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  <sheet state="visible" name="Sub-category" sheetId="2" r:id="rId5"/>
    <sheet state="visible" name="L1" sheetId="3" r:id="rId6"/>
    <sheet state="visible" name="Sheet3" sheetId="4" r:id="rId7"/>
    <sheet state="visible" name="Sheet1" sheetId="5" r:id="rId8"/>
    <sheet state="visible" name="Table" sheetId="6" r:id="rId9"/>
    <sheet state="visible" name="Sheet6" sheetId="7" r:id="rId10"/>
    <sheet state="visible" name="metadata" sheetId="8" r:id="rId11"/>
  </sheets>
  <definedNames>
    <definedName name="_xlfn.AVERAGEIF">#NAME?</definedName>
    <definedName name="_xlfn.COUNTIFS">#NAME?</definedName>
    <definedName name="_xlfn.IFS">#NAME?</definedName>
    <definedName name="_xlfn.SUMIFS">#NAME?</definedName>
    <definedName name="_xlfn.UNIQUE">#NAME?</definedName>
    <definedName hidden="1" localSheetId="0" name="Z_63157C91_7A23_4AFB_9CFF_90E5A1153BAE_.wvu.FilterData">Transactions!$A$1:$AF$8402</definedName>
    <definedName hidden="1" localSheetId="0" name="Z_3F6A0025_A2C1_481A_90EE_9A240FC68263_.wvu.FilterData">Transactions!$A$1:$AF$8402</definedName>
  </definedNames>
  <calcPr/>
  <customWorkbookViews>
    <customWorkbookView activeSheetId="0" maximized="1" windowHeight="0" windowWidth="0" guid="{3F6A0025-A2C1-481A-90EE-9A240FC68263}" name="Filter 2"/>
    <customWorkbookView activeSheetId="0" maximized="1" windowHeight="0" windowWidth="0" guid="{63157C91-7A23-4AFB-9CFF-90E5A1153BAE}" name="Filter 1"/>
  </customWorkbookViews>
  <extLst>
    <ext uri="GoogleSheetsCustomDataVersion1">
      <go:sheetsCustomData xmlns:go="http://customooxmlschemas.google.com/" r:id="rId12" roundtripDataSignature="AMtx7mgm0JFT4oRPG82mxbT6hw9Qo5HUPw=="/>
    </ext>
  </extLst>
</workbook>
</file>

<file path=xl/sharedStrings.xml><?xml version="1.0" encoding="utf-8"?>
<sst xmlns="http://schemas.openxmlformats.org/spreadsheetml/2006/main" count="100452" uniqueCount="2676">
  <si>
    <t>Order ID</t>
  </si>
  <si>
    <t>Order Date</t>
  </si>
  <si>
    <t>Year</t>
  </si>
  <si>
    <t>Order Priority</t>
  </si>
  <si>
    <t>Order Quantity</t>
  </si>
  <si>
    <t>Unit Cost</t>
  </si>
  <si>
    <t>Proft Margin</t>
  </si>
  <si>
    <t>Ship Mode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</si>
  <si>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</si>
  <si>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</si>
  <si>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</si>
  <si>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</si>
  <si>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</si>
  <si>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</si>
  <si>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</si>
  <si>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Product Container</t>
  </si>
  <si>
    <t>Ship Date</t>
  </si>
  <si>
    <t>Profit</t>
  </si>
  <si>
    <t xml:space="preserve">Average Profit </t>
  </si>
  <si>
    <t xml:space="preserve">Total Profit </t>
  </si>
  <si>
    <t>Variety  (Order Quantity)</t>
  </si>
  <si>
    <t>SUMIF</t>
  </si>
  <si>
    <t>total no. of order of customer segment</t>
  </si>
  <si>
    <t>Not Specified</t>
  </si>
  <si>
    <t>Express Air</t>
  </si>
  <si>
    <t>Matt Collister</t>
  </si>
  <si>
    <t>Quebec</t>
  </si>
  <si>
    <t>Home Office</t>
  </si>
  <si>
    <t>Office Supplies</t>
  </si>
  <si>
    <t>Storage &amp; Organization</t>
  </si>
  <si>
    <t>Safco Industrial Wire Shelving</t>
  </si>
  <si>
    <t>Large Box</t>
  </si>
  <si>
    <t>High</t>
  </si>
  <si>
    <t>Regular Air</t>
  </si>
  <si>
    <t>Jessica Myrick</t>
  </si>
  <si>
    <t>Ontario</t>
  </si>
  <si>
    <t>Small Business</t>
  </si>
  <si>
    <t>Perma STOR-ALL™ Hanging File Box, 13 1/8"W x 12 1/4"D x 10 1/2"H</t>
  </si>
  <si>
    <t>Small Box</t>
  </si>
  <si>
    <t>Critical</t>
  </si>
  <si>
    <t>David Philippe</t>
  </si>
  <si>
    <t>Consumer</t>
  </si>
  <si>
    <t>Binders and Binder Accessories</t>
  </si>
  <si>
    <t>Avery Trapezoid Ring Binder, 3" Capacity, Black, 1040 sheets</t>
  </si>
  <si>
    <t>Low</t>
  </si>
  <si>
    <t>Delivery Truck</t>
  </si>
  <si>
    <t>Alan Schoenberger</t>
  </si>
  <si>
    <t>Yukon</t>
  </si>
  <si>
    <t>Corporate</t>
  </si>
  <si>
    <t>Furniture</t>
  </si>
  <si>
    <t>Chairs &amp; Chairmats</t>
  </si>
  <si>
    <t>Hon 4070 Series Pagoda™ Armless Upholstered Stacking Chairs</t>
  </si>
  <si>
    <t>Jumbo Drum</t>
  </si>
  <si>
    <t>Hon Valutask™ Swivel Chairs</t>
  </si>
  <si>
    <t>Dual Level, Single-Width Filing Carts</t>
  </si>
  <si>
    <t>Elizabeth Moffitt</t>
  </si>
  <si>
    <t>Paper</t>
  </si>
  <si>
    <t>Black Print Carbonless Snap-Off® Rapid Letter, 8 1/2" x 7"</t>
  </si>
  <si>
    <t>Wrap Bag</t>
  </si>
  <si>
    <t>White GlueTop Scratch Pads</t>
  </si>
  <si>
    <t>Alex Russell</t>
  </si>
  <si>
    <t>West</t>
  </si>
  <si>
    <t>Pens &amp; Art Supplies</t>
  </si>
  <si>
    <t>Dixon Prang® Watercolor Pencils, 10-Color Set with Brush</t>
  </si>
  <si>
    <t>Andy Reiter</t>
  </si>
  <si>
    <t>Prarie</t>
  </si>
  <si>
    <t>Technology</t>
  </si>
  <si>
    <t>Computer Peripherals</t>
  </si>
  <si>
    <t>Fellowes Mobile Numeric Keypad, Graphite</t>
  </si>
  <si>
    <t>Office Machines</t>
  </si>
  <si>
    <t>Polycom ViaVideo™ Desktop Video Communications Unit</t>
  </si>
  <si>
    <t>Staples Wirebound Steno Books, 6" x 9", 12/Pack</t>
  </si>
  <si>
    <t>Larry Tron</t>
  </si>
  <si>
    <t>Office Furnishings</t>
  </si>
  <si>
    <t>36X48 HARDFLOOR CHAIRMAT</t>
  </si>
  <si>
    <t>Medium Box</t>
  </si>
  <si>
    <t>Ann Steele</t>
  </si>
  <si>
    <t>Panasonic KX-P2130 Dot Matrix Printer</t>
  </si>
  <si>
    <t>Bill Donatelli</t>
  </si>
  <si>
    <t>Xerox 4200 Series MultiUse Premium Copy Paper (20Lb. and 84 Bright)</t>
  </si>
  <si>
    <t>Telephones and Communication</t>
  </si>
  <si>
    <t>T18</t>
  </si>
  <si>
    <t>Patrick Jones</t>
  </si>
  <si>
    <t>Atlantic</t>
  </si>
  <si>
    <t>Avery Heavy-Duty EZD ™ Binder With Locking Rings</t>
  </si>
  <si>
    <t>Tables</t>
  </si>
  <si>
    <t>Bush Advantage Collection® Round Conference Table</t>
  </si>
  <si>
    <t>Jumbo Box</t>
  </si>
  <si>
    <t>Tamara Dahlen</t>
  </si>
  <si>
    <t>Cardinal Poly Pocket Divider Pockets for Ring Binders</t>
  </si>
  <si>
    <t>"While you Were Out" Message Book, One Form per Page</t>
  </si>
  <si>
    <t>Dave Hallsten</t>
  </si>
  <si>
    <t>Office Star - Professional Matrix Back Chair with 2-to-1 Synchro Tilt and Mesh Fabric Seat</t>
  </si>
  <si>
    <t>7.6</t>
  </si>
  <si>
    <t>Dorris Love</t>
  </si>
  <si>
    <t>Rediform Wirebound "Phone Memo" Message Book, 11 x 5-3/4</t>
  </si>
  <si>
    <t>28.4</t>
  </si>
  <si>
    <t>Matt Collins</t>
  </si>
  <si>
    <t>Memorex 4.7GB DVD+RW, 3/Pack</t>
  </si>
  <si>
    <t>Small Pack</t>
  </si>
  <si>
    <t>205.9</t>
  </si>
  <si>
    <t>3285</t>
  </si>
  <si>
    <t>Medium</t>
  </si>
  <si>
    <t>5.9</t>
  </si>
  <si>
    <t>Valerie Dominguez</t>
  </si>
  <si>
    <t>194.3</t>
  </si>
  <si>
    <t>Pauline Chand</t>
  </si>
  <si>
    <t>Electrix Halogen Magnifier Lamp</t>
  </si>
  <si>
    <t>209.8</t>
  </si>
  <si>
    <t>Luxo Professional Fluorescent Magnifier Lamp with Clamp-Mount Base</t>
  </si>
  <si>
    <t>145.4</t>
  </si>
  <si>
    <t>Panasonic KX-P1150 Dot Matrix Printer</t>
  </si>
  <si>
    <t>243.9</t>
  </si>
  <si>
    <t>Marina Lichtenstein</t>
  </si>
  <si>
    <t>Hon Deluxe Fabric Upholstered Stacking Chairs, Rounded Back</t>
  </si>
  <si>
    <t>120.9</t>
  </si>
  <si>
    <t>Susan Vittorini</t>
  </si>
  <si>
    <t>Northwest Territories</t>
  </si>
  <si>
    <t>Canon S750 Color Inkjet Printer</t>
  </si>
  <si>
    <t>1.8</t>
  </si>
  <si>
    <t>Darren Budd</t>
  </si>
  <si>
    <t>Metal Folding Chairs, Beige, 4/Carton</t>
  </si>
  <si>
    <t>20.9</t>
  </si>
  <si>
    <t>Hon 4700 Series Mobuis™ Mid-Back Task Chairs with Adjustable Arms</t>
  </si>
  <si>
    <t>279.4</t>
  </si>
  <si>
    <t>Telescoping Adjustable Floor Lamp</t>
  </si>
  <si>
    <t>4.9</t>
  </si>
  <si>
    <t>Iceberg OfficeWorks 42" Round Tables</t>
  </si>
  <si>
    <t>125.9</t>
  </si>
  <si>
    <t>232</t>
  </si>
  <si>
    <t>30.9</t>
  </si>
  <si>
    <t>Robert Waldorf</t>
  </si>
  <si>
    <t>IBM Multi-Purpose Copy Paper, 8 1/2 x 11", Case</t>
  </si>
  <si>
    <t>Victor Price</t>
  </si>
  <si>
    <t>GBC VeloBinder Strips</t>
  </si>
  <si>
    <t>6.6</t>
  </si>
  <si>
    <t>G.E. Longer-Life Indoor Recessed Floodlight Bulbs</t>
  </si>
  <si>
    <t>150.9</t>
  </si>
  <si>
    <t>Craig Leslie</t>
  </si>
  <si>
    <t>Novimex Swivel Fabric Task Chair</t>
  </si>
  <si>
    <t>28.2</t>
  </si>
  <si>
    <t>Eldon Portable Mobile Manager</t>
  </si>
  <si>
    <t>35.9</t>
  </si>
  <si>
    <t>Accessory35</t>
  </si>
  <si>
    <t>2.1</t>
  </si>
  <si>
    <t>Muhammed Yedwab</t>
  </si>
  <si>
    <t>Sanford EarthWrite® Recycled Pencils, Medium Soft, #2</t>
  </si>
  <si>
    <t>1.7</t>
  </si>
  <si>
    <t>Tracy Collins</t>
  </si>
  <si>
    <t>BASF Silver 74 Minute CD-R</t>
  </si>
  <si>
    <t>Xerox 19</t>
  </si>
  <si>
    <t>3.2</t>
  </si>
  <si>
    <t>Julia Barnett</t>
  </si>
  <si>
    <t>Newell 342</t>
  </si>
  <si>
    <t>880.9</t>
  </si>
  <si>
    <t>Julia West</t>
  </si>
  <si>
    <t>Bookcases</t>
  </si>
  <si>
    <t>Riverside Palais Royal Lawyers Bookcase, Royale Cherry Finish</t>
  </si>
  <si>
    <t>6.4</t>
  </si>
  <si>
    <t>Maribeth Schnelling</t>
  </si>
  <si>
    <t>Xerox 227</t>
  </si>
  <si>
    <t>20.3</t>
  </si>
  <si>
    <t>Tennsco Commercial Shelving</t>
  </si>
  <si>
    <t>100.9</t>
  </si>
  <si>
    <t>Corey Roper</t>
  </si>
  <si>
    <t>Bush Westfield Collection Bookcases, Fully Assembled</t>
  </si>
  <si>
    <t>1.9</t>
  </si>
  <si>
    <t>Jasper Cacioppo</t>
  </si>
  <si>
    <t>Avery Reinforcements for Hole-Punch Pages</t>
  </si>
  <si>
    <t>699.9</t>
  </si>
  <si>
    <t>Copiers and Fax</t>
  </si>
  <si>
    <t>Canon PC1060 Personal Laser Copier</t>
  </si>
  <si>
    <t>6783.0</t>
  </si>
  <si>
    <t>Polycom ViewStation™ ISDN Videoconferencing Unit</t>
  </si>
  <si>
    <t>George Ashbrook</t>
  </si>
  <si>
    <t>Premium Transparent Presentation Covers by GBC</t>
  </si>
  <si>
    <t>73.9</t>
  </si>
  <si>
    <t>Keytronic French Keyboard</t>
  </si>
  <si>
    <t>65.9</t>
  </si>
  <si>
    <t>i1000</t>
  </si>
  <si>
    <t>Benjamin Venier</t>
  </si>
  <si>
    <t>Julie Kriz</t>
  </si>
  <si>
    <t>Newell 310</t>
  </si>
  <si>
    <t>15.9</t>
  </si>
  <si>
    <t>Chloris Kastensmidt</t>
  </si>
  <si>
    <t>GBC Pre-Punched Binding Paper, Plastic, White, 8-1/2" x 11"</t>
  </si>
  <si>
    <t>4.1</t>
  </si>
  <si>
    <t>Sandra Flanagan</t>
  </si>
  <si>
    <t>Labels</t>
  </si>
  <si>
    <t>Avery 491</t>
  </si>
  <si>
    <t>22.7</t>
  </si>
  <si>
    <t>Executive Impressions 14" Two-Color Numerals Wall Clock</t>
  </si>
  <si>
    <t>896.9</t>
  </si>
  <si>
    <t>Ruben Dartt</t>
  </si>
  <si>
    <t>GBC DocuBind TL300 Electric Binding System</t>
  </si>
  <si>
    <t>14.5</t>
  </si>
  <si>
    <t>Luke Schmidt</t>
  </si>
  <si>
    <t>Appliances</t>
  </si>
  <si>
    <t>Acco 6 Outlet Guardian Premium Surge Suppressor</t>
  </si>
  <si>
    <t>11.6</t>
  </si>
  <si>
    <t>Cynthia Voltz</t>
  </si>
  <si>
    <t>Boston 16765 Mini Stand Up Battery Pencil Sharpener</t>
  </si>
  <si>
    <t>Joni Blumstein</t>
  </si>
  <si>
    <t>Avery 05222 Permanent Self-Adhesive File Folder Labels for Typewriters, on Rolls, White, 250/Roll</t>
  </si>
  <si>
    <t>2.7</t>
  </si>
  <si>
    <t>Mark Haberlin</t>
  </si>
  <si>
    <t>Newell 339</t>
  </si>
  <si>
    <t>5.3</t>
  </si>
  <si>
    <t>Acco PRESSTEX® Data Binder with Storage Hooks, Dark Blue, 9 1/2" X 11"</t>
  </si>
  <si>
    <t>Newell 337</t>
  </si>
  <si>
    <t>2.6</t>
  </si>
  <si>
    <t>Olvera Toch</t>
  </si>
  <si>
    <t>12 Colored Short Pencils</t>
  </si>
  <si>
    <t>Benjamin Patterson</t>
  </si>
  <si>
    <t>M70</t>
  </si>
  <si>
    <t>Yana Sorensen</t>
  </si>
  <si>
    <t>Rubber Bands</t>
  </si>
  <si>
    <t>Acco® Hot Clips™ Clips to Go</t>
  </si>
  <si>
    <t>8.3</t>
  </si>
  <si>
    <t>Darren Powers</t>
  </si>
  <si>
    <t>Document Clip Frames</t>
  </si>
  <si>
    <t>29.1</t>
  </si>
  <si>
    <t>Michelle Moray</t>
  </si>
  <si>
    <t>Deflect-o SuperTray™ Unbreakable Stackable Tray, Letter, Black</t>
  </si>
  <si>
    <t>297.6</t>
  </si>
  <si>
    <t>Panasonic KX-P3200 Dot Matrix Printer</t>
  </si>
  <si>
    <t>30.4</t>
  </si>
  <si>
    <t>Maria Bertelson</t>
  </si>
  <si>
    <t>Fellowes Internet Keyboard, Platinum</t>
  </si>
  <si>
    <t>161.5</t>
  </si>
  <si>
    <t>Fellowes Super Stor/Drawer® Files</t>
  </si>
  <si>
    <t>33.9</t>
  </si>
  <si>
    <t>Giulietta Dortch</t>
  </si>
  <si>
    <t>Imation Neon 80 Minute CD-R Spindle, 50/Pack</t>
  </si>
  <si>
    <t>162.9</t>
  </si>
  <si>
    <t>Sean Wendt</t>
  </si>
  <si>
    <t>Envelopes</t>
  </si>
  <si>
    <t>Multimedia Mailers</t>
  </si>
  <si>
    <t>5.0</t>
  </si>
  <si>
    <t>Rob Haberlin</t>
  </si>
  <si>
    <t>Imation 3.5, DISKETTE 44766 HGHLD3.52HD/FM, 10/Pack</t>
  </si>
  <si>
    <t>Xerox 1996</t>
  </si>
  <si>
    <t>70.9</t>
  </si>
  <si>
    <t>Kristina Nunn</t>
  </si>
  <si>
    <t>Hon Metal Bookcases, Putty</t>
  </si>
  <si>
    <t>11.5</t>
  </si>
  <si>
    <t>Newell 309</t>
  </si>
  <si>
    <t>39.2</t>
  </si>
  <si>
    <t>Alan Barnes</t>
  </si>
  <si>
    <t>Verbatim DVD-R 4.7GB authoring disc</t>
  </si>
  <si>
    <t>399.9</t>
  </si>
  <si>
    <t>Andy Gerbode</t>
  </si>
  <si>
    <t>Okidata ML320 Series Turbo Dot Matrix Printers</t>
  </si>
  <si>
    <t>Bradley Drucker</t>
  </si>
  <si>
    <t>12.9</t>
  </si>
  <si>
    <t>Tensor "Hersey Kiss" Styled Floor Lamp</t>
  </si>
  <si>
    <t>14.4</t>
  </si>
  <si>
    <t>Holmes Odor Grabber</t>
  </si>
  <si>
    <t>Eldon Image Series Black Desk Accessories</t>
  </si>
  <si>
    <t>11.3</t>
  </si>
  <si>
    <t>Xerox 188</t>
  </si>
  <si>
    <t>350.9</t>
  </si>
  <si>
    <t>Greg Matthias</t>
  </si>
  <si>
    <t>Global Leather Executive Chair</t>
  </si>
  <si>
    <t>8.7</t>
  </si>
  <si>
    <t>#10- 4 1/8" x 9 1/2" Recycled Envelopes</t>
  </si>
  <si>
    <t>Brites Rubber Bands, 1 1/2 oz. Box</t>
  </si>
  <si>
    <t>27.7</t>
  </si>
  <si>
    <t>Cindy Schnelling</t>
  </si>
  <si>
    <t>Fellowes Super Stor/Drawer®</t>
  </si>
  <si>
    <t>40.9</t>
  </si>
  <si>
    <t>Liz Price</t>
  </si>
  <si>
    <t>Targus USB Numeric Keypad</t>
  </si>
  <si>
    <t>59.9</t>
  </si>
  <si>
    <t>Guy Thornton</t>
  </si>
  <si>
    <t>Belkin 8 Outlet SurgeMaster II Gold Surge Protector</t>
  </si>
  <si>
    <t>Rick Reed</t>
  </si>
  <si>
    <t>1.6</t>
  </si>
  <si>
    <t>Prang Dustless Chalk Sticks</t>
  </si>
  <si>
    <t>Brian Stugart</t>
  </si>
  <si>
    <t>48.0</t>
  </si>
  <si>
    <t>Xerox 1910</t>
  </si>
  <si>
    <t>Mike Gockenbach</t>
  </si>
  <si>
    <t>Xerox 1903</t>
  </si>
  <si>
    <t>2.0</t>
  </si>
  <si>
    <t>Michelle Huthwaite</t>
  </si>
  <si>
    <t>Eldon® Wave Desk Accessories</t>
  </si>
  <si>
    <t>115.9</t>
  </si>
  <si>
    <t>Jennifer Patt</t>
  </si>
  <si>
    <t>Hewlett-Packard Deskjet 5550 Color Inkjet Printer</t>
  </si>
  <si>
    <t>4.2</t>
  </si>
  <si>
    <t>Newell 336</t>
  </si>
  <si>
    <t>208.1</t>
  </si>
  <si>
    <t>Toby Swindell</t>
  </si>
  <si>
    <t>1.7 Cubic Foot Compact "Cube" Office Refrigerators</t>
  </si>
  <si>
    <t>90.4</t>
  </si>
  <si>
    <t>Tyvek® Side-Opening Peel &amp; Seel® Expanding Envelopes</t>
  </si>
  <si>
    <t>9.4</t>
  </si>
  <si>
    <t>DAX Two-Tone Rosewood/Black Document Frame, Desktop, 5 x 7</t>
  </si>
  <si>
    <t>7.7</t>
  </si>
  <si>
    <t>Clytie Kelty</t>
  </si>
  <si>
    <t>Hoover Commercial Soft Guard Upright Vacuum And Disposable Filtration Bags</t>
  </si>
  <si>
    <t>306.1</t>
  </si>
  <si>
    <t>Okidata ML184 Turbo Dot Matrix Printers</t>
  </si>
  <si>
    <t>18.9</t>
  </si>
  <si>
    <t>Xerox 1939</t>
  </si>
  <si>
    <t>19.9</t>
  </si>
  <si>
    <t>Tamara Manning</t>
  </si>
  <si>
    <t>264.9</t>
  </si>
  <si>
    <t>Panasonic KX-P1131 Dot Matrix Printer</t>
  </si>
  <si>
    <t>320.9</t>
  </si>
  <si>
    <t>Hon 4070 Series Pagoda™ Round Back Stacking Chairs</t>
  </si>
  <si>
    <t>Skye Norling</t>
  </si>
  <si>
    <t>Hammermill CopyPlus Copy Paper (20Lb. and 84 Bright)</t>
  </si>
  <si>
    <t>6.3</t>
  </si>
  <si>
    <t>Telephone Message Books with Fax/Mobile Section, 5 1/2" x 3 3/16"</t>
  </si>
  <si>
    <t>8.0</t>
  </si>
  <si>
    <t>Jennifer Jackson</t>
  </si>
  <si>
    <t>6" Cubicle Wall Clock, Black</t>
  </si>
  <si>
    <t>2.8</t>
  </si>
  <si>
    <t>Amy Hunt</t>
  </si>
  <si>
    <t>Newell 335</t>
  </si>
  <si>
    <t>8.6</t>
  </si>
  <si>
    <t>Giulietta Weimer</t>
  </si>
  <si>
    <t>Avery Printable Repositionable Plastic Tabs</t>
  </si>
  <si>
    <t>7.0</t>
  </si>
  <si>
    <t>Amy Cox</t>
  </si>
  <si>
    <t>Wirebound Message Books, 2 7/8" x 5", 3 Forms per Page</t>
  </si>
  <si>
    <t>110.9</t>
  </si>
  <si>
    <t>Sanjit Jacobs</t>
  </si>
  <si>
    <t>Rubbermaid ClusterMat Chairmats, Mat Size- 66" x 60", Lip 20" x 11" -90 Degree Angle</t>
  </si>
  <si>
    <t>TOPS Money Receipt Book, Consecutively Numbered in Red,</t>
  </si>
  <si>
    <t>Christina Anderson</t>
  </si>
  <si>
    <t>2.9</t>
  </si>
  <si>
    <t>Xylona Price</t>
  </si>
  <si>
    <t>Premium Writing Pencils, Soft, #2 by Central Association for the Blind</t>
  </si>
  <si>
    <t>5.8</t>
  </si>
  <si>
    <t>Sylvia Foulston</t>
  </si>
  <si>
    <t>Fellowes Black Plastic Comb Bindings</t>
  </si>
  <si>
    <t>Assorted Color Push Pins</t>
  </si>
  <si>
    <t>Jason Klamczynski</t>
  </si>
  <si>
    <t>Stockwell Push Pins</t>
  </si>
  <si>
    <t>179.2</t>
  </si>
  <si>
    <t>Bevis Round Conference Table Top, X-Base</t>
  </si>
  <si>
    <t>13.4</t>
  </si>
  <si>
    <t>Joe Elijah</t>
  </si>
  <si>
    <t>Fellowes Personal Hanging Folder Files, Navy</t>
  </si>
  <si>
    <t>328.1</t>
  </si>
  <si>
    <t>Sanyo Counter Height Refrigerator with Crisper, 3.6 Cubic Foot, Stainless Steel/Black</t>
  </si>
  <si>
    <t>Katherine Ducich</t>
  </si>
  <si>
    <t>22.8</t>
  </si>
  <si>
    <t>Xerox 1991</t>
  </si>
  <si>
    <t>30.5</t>
  </si>
  <si>
    <t>Carlos Soltero</t>
  </si>
  <si>
    <t>Avery 4027 File Folder Labels for Dot Matrix Printers, 5000 Labels per Box, White</t>
  </si>
  <si>
    <t>Newell 323</t>
  </si>
  <si>
    <t>16.4</t>
  </si>
  <si>
    <t>John Lee</t>
  </si>
  <si>
    <t>Maxell DVD-RAM Discs</t>
  </si>
  <si>
    <t>28.1</t>
  </si>
  <si>
    <t>Randy Ferguson</t>
  </si>
  <si>
    <t>Boston Model 1800 Electric Pencil Sharpener, Gray</t>
  </si>
  <si>
    <t>14.8</t>
  </si>
  <si>
    <t>Joel Eaton</t>
  </si>
  <si>
    <t>Holmes Replacement Filter for HEPA Air Cleaner, Large Room</t>
  </si>
  <si>
    <t>Important Message Pads, 50 4-1/4 x 5-1/2 Forms per Pad</t>
  </si>
  <si>
    <t>Paul Prost</t>
  </si>
  <si>
    <t>Security-Tint Envelopes</t>
  </si>
  <si>
    <t>6162</t>
  </si>
  <si>
    <t>58.1</t>
  </si>
  <si>
    <t>Natalie Webber</t>
  </si>
  <si>
    <t>Avery Arch Ring Binders</t>
  </si>
  <si>
    <t>15.7</t>
  </si>
  <si>
    <t>Erica Bern</t>
  </si>
  <si>
    <t>#10-4 1/8" x 9 1/2" Premium Diagonal Seam Envelopes</t>
  </si>
  <si>
    <t>Kristen Hastings</t>
  </si>
  <si>
    <t>Peel &amp; Seel® Recycled Catalog Envelopes, Brown</t>
  </si>
  <si>
    <t>48.9</t>
  </si>
  <si>
    <t>Xerox 1891</t>
  </si>
  <si>
    <t>15.5</t>
  </si>
  <si>
    <t>Tenex File Box, Personal Filing Tote with Lid, Black</t>
  </si>
  <si>
    <t>AT&amp;T Black Trimline Phone, Model 210</t>
  </si>
  <si>
    <t>Arthur Gainer</t>
  </si>
  <si>
    <t>Newell 340</t>
  </si>
  <si>
    <t>207.4</t>
  </si>
  <si>
    <t>Stuart Calhoun</t>
  </si>
  <si>
    <t>Kensington 7 Outlet MasterPiece Power Center with Fax/Phone Line Protection</t>
  </si>
  <si>
    <t>Chris Cortes</t>
  </si>
  <si>
    <t>Computer Printout Paper with Letter-Trim Perforations</t>
  </si>
  <si>
    <t>119.9</t>
  </si>
  <si>
    <t>Hewlett-Packard 2600DN Business Color Inkjet Printer</t>
  </si>
  <si>
    <t>60.2</t>
  </si>
  <si>
    <t>Tanja Norvell</t>
  </si>
  <si>
    <t>Fellowes Smart Surge Ten-Outlet Protector, Platinum</t>
  </si>
  <si>
    <t>140.9</t>
  </si>
  <si>
    <t>Cynthia Arntzen</t>
  </si>
  <si>
    <t>Bush Heritage Pine Collection 5-Shelf Bookcase, Albany Pine Finish, *Special Order</t>
  </si>
  <si>
    <t>31.7</t>
  </si>
  <si>
    <t>Arthur Prichep</t>
  </si>
  <si>
    <t>Hon iLevel™ Computer Training Table</t>
  </si>
  <si>
    <t>355.9</t>
  </si>
  <si>
    <t>Southworth 25% Cotton Premium Laser Paper and Envelopes</t>
  </si>
  <si>
    <t>7.8</t>
  </si>
  <si>
    <t>Roy Phan</t>
  </si>
  <si>
    <t>XtraLife® ClearVue™ Slant-D® Ring Binders by Cardinal</t>
  </si>
  <si>
    <t>105.3</t>
  </si>
  <si>
    <t>Deflect-o DuraMat Antistatic Studded Beveled Mat for Medium Pile Carpeting</t>
  </si>
  <si>
    <t>Aaron Smayling</t>
  </si>
  <si>
    <t>279.8</t>
  </si>
  <si>
    <t>Sanyo 2.5 Cubic Foot Mid-Size Office Refrigerators</t>
  </si>
  <si>
    <t>Avery 508</t>
  </si>
  <si>
    <t>Premier Elliptical Ring Binder, Black</t>
  </si>
  <si>
    <t>Harold Ryan</t>
  </si>
  <si>
    <t>9.7</t>
  </si>
  <si>
    <t>Memorex Slim 80 Minute CD-R, 10/Pack</t>
  </si>
  <si>
    <t>3.9</t>
  </si>
  <si>
    <t>Thea Hudgings</t>
  </si>
  <si>
    <t>4009® Highlighters by Sanford</t>
  </si>
  <si>
    <t>Andrew Allen</t>
  </si>
  <si>
    <t>32.9</t>
  </si>
  <si>
    <t>PC Concepts 116 Key Quantum 3000 Keyboard</t>
  </si>
  <si>
    <t>Sally Matthias</t>
  </si>
  <si>
    <t>80.9</t>
  </si>
  <si>
    <t>Guy Phonely</t>
  </si>
  <si>
    <t>Carina 42"Hx23 3/4"W Media Storage Unit</t>
  </si>
  <si>
    <t>20.2</t>
  </si>
  <si>
    <t>Khloe Miller</t>
  </si>
  <si>
    <t>Career Cubicle Clock, 8 1/4", Black</t>
  </si>
  <si>
    <t>15.2</t>
  </si>
  <si>
    <t>Nathan Mautz</t>
  </si>
  <si>
    <t>GBC Twin Loop™ Wire Binding Elements, 9/16" Spine, Black</t>
  </si>
  <si>
    <t>179.9</t>
  </si>
  <si>
    <t>Motorola SB4200 Cable Modem</t>
  </si>
  <si>
    <t>92.2</t>
  </si>
  <si>
    <t>Deflect-o RollaMat Studded, Beveled Mat for Medium Pile Carpeting</t>
  </si>
  <si>
    <t>8890</t>
  </si>
  <si>
    <t>Russell Applegate</t>
  </si>
  <si>
    <t>Avery 498</t>
  </si>
  <si>
    <t>217.8</t>
  </si>
  <si>
    <t>Chromcraft Bull-Nose Wood Round Conference Table Top, Wood Base</t>
  </si>
  <si>
    <t>6.8</t>
  </si>
  <si>
    <t>Jocasta Rupert</t>
  </si>
  <si>
    <t>Scissors Rulers and Trimmers</t>
  </si>
  <si>
    <t>Acme Design Line 8" Stainless Steel Bent Scissors w/Champagne Handles, 3-1/8" Cut</t>
  </si>
  <si>
    <t>Victoria Brennan</t>
  </si>
  <si>
    <t>Keytronic 105-Key Spanish Keyboard</t>
  </si>
  <si>
    <t>Cynthia Delaney</t>
  </si>
  <si>
    <t>238.4</t>
  </si>
  <si>
    <t>Filia McAdams</t>
  </si>
  <si>
    <t>Safco Contoured Stacking Chairs</t>
  </si>
  <si>
    <t>199.9</t>
  </si>
  <si>
    <t>Canon PC-428 Personal Copier</t>
  </si>
  <si>
    <t>67.8</t>
  </si>
  <si>
    <t>Debra Catini</t>
  </si>
  <si>
    <t>Fellowes Command Center 5-outlet power strip</t>
  </si>
  <si>
    <t>11.7</t>
  </si>
  <si>
    <t>Michael Dominguez</t>
  </si>
  <si>
    <t>Harmony HEPA Quiet Air Purifiers</t>
  </si>
  <si>
    <t>Eldon Regeneration Recycled Desk Accessories, Smoke</t>
  </si>
  <si>
    <t>Laurel Beltran</t>
  </si>
  <si>
    <t>5170i</t>
  </si>
  <si>
    <t>90.9</t>
  </si>
  <si>
    <t>Ken Brennan</t>
  </si>
  <si>
    <t>Eldon ClusterMat Chair Mat with Cordless Antistatic Protection</t>
  </si>
  <si>
    <t>Xerox 1947</t>
  </si>
  <si>
    <t>Gene Hale</t>
  </si>
  <si>
    <t>14.3</t>
  </si>
  <si>
    <t>Nu-Dell Leatherette Frames</t>
  </si>
  <si>
    <t>Canon MP41DH Printing Calculator</t>
  </si>
  <si>
    <t>25.9</t>
  </si>
  <si>
    <t>Global Stack Chair without Arms, Black</t>
  </si>
  <si>
    <t>32.4</t>
  </si>
  <si>
    <t>Fellowes Neat Ideas® Storage Cubes</t>
  </si>
  <si>
    <t>39.9</t>
  </si>
  <si>
    <t>Stefanie Holloman</t>
  </si>
  <si>
    <t>IBM Active Response Keyboard, Black</t>
  </si>
  <si>
    <t>376.1</t>
  </si>
  <si>
    <t>Bretford Rectangular Conference Table Tops</t>
  </si>
  <si>
    <t>V70</t>
  </si>
  <si>
    <t>Sean O'Donnell</t>
  </si>
  <si>
    <t>Newell 338</t>
  </si>
  <si>
    <t>43.9</t>
  </si>
  <si>
    <t>Boston 1645 Deluxe Heavier-Duty Electric Pencil Sharpener</t>
  </si>
  <si>
    <t>1.1</t>
  </si>
  <si>
    <t>OIC Thumb-Tacks</t>
  </si>
  <si>
    <t>Cindy Chapman</t>
  </si>
  <si>
    <t>5.1</t>
  </si>
  <si>
    <t>Wilson Jones Impact Binders</t>
  </si>
  <si>
    <t>Cari Sayre</t>
  </si>
  <si>
    <t>Adams Phone Message Book, 200 Message Capacity, 8 1/16” x 11”</t>
  </si>
  <si>
    <t>55.4</t>
  </si>
  <si>
    <t>Adam Hart</t>
  </si>
  <si>
    <t>Xerox 194</t>
  </si>
  <si>
    <t>420.9</t>
  </si>
  <si>
    <t>Liz MacKendrick</t>
  </si>
  <si>
    <t>GBC DocuBind 200 Manual Binding Machine</t>
  </si>
  <si>
    <t>240.9</t>
  </si>
  <si>
    <t>Atlantic Metals Mobile 2-Shelf Bookcases, Custom Colors</t>
  </si>
  <si>
    <t>95.9</t>
  </si>
  <si>
    <t>Katherine Hughes</t>
  </si>
  <si>
    <t>T60</t>
  </si>
  <si>
    <t>Clay Rozendal</t>
  </si>
  <si>
    <t>Memorex 4.7GB DVD-RAM, 3/Pack</t>
  </si>
  <si>
    <t>574.7</t>
  </si>
  <si>
    <t>Eugene Barchas</t>
  </si>
  <si>
    <t>Imation 3.5" DS/HD IBM Formatted Diskettes, 50/Pack</t>
  </si>
  <si>
    <t>6.9</t>
  </si>
  <si>
    <t>Maria Zettner</t>
  </si>
  <si>
    <t>Adams Phone Message Book, Professional, 400 Message Capacity, 5 3/6” x 11”</t>
  </si>
  <si>
    <t>78.6</t>
  </si>
  <si>
    <t>Art Foster</t>
  </si>
  <si>
    <t>Honeywell Quietcare HEPA Air Cleaner</t>
  </si>
  <si>
    <t>Acme® Elite Stainless Steel Scissors</t>
  </si>
  <si>
    <t>160.9</t>
  </si>
  <si>
    <t>Matt Abelman</t>
  </si>
  <si>
    <t>Office Star - Mid Back Dual function Ergonomic High Back Chair with 2-Way Adjustable Arms</t>
  </si>
  <si>
    <t>Avery 51</t>
  </si>
  <si>
    <t>Rediform S.O.S. Phone Message Books</t>
  </si>
  <si>
    <t>49.9</t>
  </si>
  <si>
    <t>US Robotics 56K V.92 Internal PCI Faxmodem</t>
  </si>
  <si>
    <t>Dave Brooks</t>
  </si>
  <si>
    <t>218.7</t>
  </si>
  <si>
    <t>BoxOffice By Design Rectangular and Half-Moon Meeting Room Tables</t>
  </si>
  <si>
    <t>3.0</t>
  </si>
  <si>
    <t>Avery 497</t>
  </si>
  <si>
    <t>Marc Crier</t>
  </si>
  <si>
    <t>Lexmark Z25 Color Inkjet Printer</t>
  </si>
  <si>
    <t>45.1</t>
  </si>
  <si>
    <t>Joy Smith</t>
  </si>
  <si>
    <t>Verbatim DVD-RAM, 9.4GB, Rewritable, Type 1, DS, DataLife Plus</t>
  </si>
  <si>
    <t>83.1</t>
  </si>
  <si>
    <t>Micro Innovations Micro Digital Wireless Keyboard and Mouse, Gray</t>
  </si>
  <si>
    <t>154.1</t>
  </si>
  <si>
    <t>Bill Overfelt</t>
  </si>
  <si>
    <t>Laminate Occasional Tables</t>
  </si>
  <si>
    <t>Alejandro Grove</t>
  </si>
  <si>
    <t>122.9</t>
  </si>
  <si>
    <t>Global High-Back Leather Tilter, Burgundy</t>
  </si>
  <si>
    <t>Carol Darley</t>
  </si>
  <si>
    <t>Master Caster Door Stop, Gray</t>
  </si>
  <si>
    <t>Accessory27</t>
  </si>
  <si>
    <t>Henia Zydlo</t>
  </si>
  <si>
    <t>Peel &amp; Stick Add-On Corner Pockets</t>
  </si>
  <si>
    <t>Xerox 21</t>
  </si>
  <si>
    <t>146.0</t>
  </si>
  <si>
    <t>BPI Conference Tables</t>
  </si>
  <si>
    <t>Sonia Sunley</t>
  </si>
  <si>
    <t>GBC White Gloss Covers, Plain Front</t>
  </si>
  <si>
    <t>Dean Katz</t>
  </si>
  <si>
    <t>Newell 343</t>
  </si>
  <si>
    <t>Michael Grace</t>
  </si>
  <si>
    <t>Avery 493</t>
  </si>
  <si>
    <t>7.2</t>
  </si>
  <si>
    <t>Array® Parchment Paper, Assorted Colors</t>
  </si>
  <si>
    <t>HP Office Paper (20Lb. and 87 Bright)</t>
  </si>
  <si>
    <t>Gene McClure</t>
  </si>
  <si>
    <t>Mead 1st Gear 2" Zipper Binder, Asst. Colors</t>
  </si>
  <si>
    <t>Advantus Push Pins, Aluminum Head</t>
  </si>
  <si>
    <t>29.8</t>
  </si>
  <si>
    <t>Verbatim DVD-RAM, 5.2GB, Rewritable, Type 1, DS</t>
  </si>
  <si>
    <t>Southworth 25% Cotton Antique Laid Paper &amp; Envelopes</t>
  </si>
  <si>
    <t>Christine Sundaresam</t>
  </si>
  <si>
    <t>500.9</t>
  </si>
  <si>
    <t>Robert Barroso</t>
  </si>
  <si>
    <t>Hewlett-Packard cp1700 [D, PS] Series Color Inkjet Printers</t>
  </si>
  <si>
    <t>178.4</t>
  </si>
  <si>
    <t>Hot File® 7-Pocket, Floor Stand</t>
  </si>
  <si>
    <t>Christina Vanderzanden</t>
  </si>
  <si>
    <t>Sanford Colorific Colored Pencils, 12/Box</t>
  </si>
  <si>
    <t>195.9</t>
  </si>
  <si>
    <t>R380</t>
  </si>
  <si>
    <t>Mick Crebagga</t>
  </si>
  <si>
    <t>Post-it® “Important Message” Note Pad, Neon Colors, 50 Sheets/Pad</t>
  </si>
  <si>
    <t>9.9</t>
  </si>
  <si>
    <t>Ricardo Block</t>
  </si>
  <si>
    <t>Eldon® Expressions™ Wood and Plastic Desk Accessories, Oak</t>
  </si>
  <si>
    <t>Anthony Johnson</t>
  </si>
  <si>
    <t>259.7</t>
  </si>
  <si>
    <t>Kelly Andreada</t>
  </si>
  <si>
    <t>Bevis Round Bullnose 29" High Table Top</t>
  </si>
  <si>
    <t>999.9</t>
  </si>
  <si>
    <t>Bobby Elias</t>
  </si>
  <si>
    <t>Polycom Soundstation EX Audio-Conferencing Telephone, Black</t>
  </si>
  <si>
    <t>71.3</t>
  </si>
  <si>
    <t>Nick Zandusky</t>
  </si>
  <si>
    <t>Lesro Sheffield Collection Coffee Table, End Table, Center Table, Corner Table</t>
  </si>
  <si>
    <t>StarTAC 8000</t>
  </si>
  <si>
    <t>StarTAC 7760</t>
  </si>
  <si>
    <t>Ed Braxton</t>
  </si>
  <si>
    <t>Timeport L7089</t>
  </si>
  <si>
    <t>Xerox 1923</t>
  </si>
  <si>
    <t>17.7</t>
  </si>
  <si>
    <t>Portfile® Personal File Boxes</t>
  </si>
  <si>
    <t>Robert Dilbeck</t>
  </si>
  <si>
    <t>Surelock™ Post Binders</t>
  </si>
  <si>
    <t>Bradley Nguyen</t>
  </si>
  <si>
    <t>15.1</t>
  </si>
  <si>
    <t>Helen Wasserman</t>
  </si>
  <si>
    <t>GBC Clear Cover, 8-1/2 x 11, unpunched, 25 covers per pack</t>
  </si>
  <si>
    <t>105.9</t>
  </si>
  <si>
    <t>Grant Donatelli</t>
  </si>
  <si>
    <t>Tenex 46" x 60" Computer Anti-Static Chairmat, Rectangular Shaped</t>
  </si>
  <si>
    <t>Max Engle</t>
  </si>
  <si>
    <t>Christine Abelman</t>
  </si>
  <si>
    <t>Ionia McGrath</t>
  </si>
  <si>
    <t>13.9</t>
  </si>
  <si>
    <t>Evan Bailliet</t>
  </si>
  <si>
    <t>Sharp EL500L Fraction Calculator</t>
  </si>
  <si>
    <t>Edward Becker</t>
  </si>
  <si>
    <t>C-Line Peel &amp; Stick Add-On Filing Pockets, 8-3/4 x 5-1/8, 10/Pack</t>
  </si>
  <si>
    <t>12.2</t>
  </si>
  <si>
    <t>Thais Sissman</t>
  </si>
  <si>
    <t>Aluminum Document Frame</t>
  </si>
  <si>
    <t>Rick Wilson</t>
  </si>
  <si>
    <t>Talkabout T8097</t>
  </si>
  <si>
    <t>TimeportP7382</t>
  </si>
  <si>
    <t>2036.4</t>
  </si>
  <si>
    <t>Nicole Brennan</t>
  </si>
  <si>
    <t>Lexmark 4227 Plus Dot Matrix Printer</t>
  </si>
  <si>
    <t>60.9</t>
  </si>
  <si>
    <t>Euro Pro Shark Stick Mini Vacuum</t>
  </si>
  <si>
    <t>270.9</t>
  </si>
  <si>
    <t>Michael Moore</t>
  </si>
  <si>
    <t>Global Enterprise Series Seating High-Back Swivel/Tilt Chairs</t>
  </si>
  <si>
    <t>12.5</t>
  </si>
  <si>
    <t>GBC ProClick Spines for 32-Hole Punch</t>
  </si>
  <si>
    <t>Frank Hawley</t>
  </si>
  <si>
    <t>176.1</t>
  </si>
  <si>
    <t>Fellowes High-Stak® Drawer Files</t>
  </si>
  <si>
    <t>7.3</t>
  </si>
  <si>
    <t>David Smith</t>
  </si>
  <si>
    <t>Self-Adhesive Address Labels for Typewriters by Universal</t>
  </si>
  <si>
    <t>6.7</t>
  </si>
  <si>
    <t>Turquoise Lead Holder with Pocket Clip</t>
  </si>
  <si>
    <t>Cathy Armstrong</t>
  </si>
  <si>
    <t>Xerox 1993</t>
  </si>
  <si>
    <t>Trudy Bell</t>
  </si>
  <si>
    <t>Xerox 217</t>
  </si>
  <si>
    <t>7.1</t>
  </si>
  <si>
    <t>Vivek Grady</t>
  </si>
  <si>
    <t>Wilson Jones Hanging View Binder, White, 1"</t>
  </si>
  <si>
    <t>14.2</t>
  </si>
  <si>
    <t>GBC Laser Imprintable Binding System Covers, Desert Sand</t>
  </si>
  <si>
    <t>Staples Gold Paper Clips</t>
  </si>
  <si>
    <t>StarTAC 7797</t>
  </si>
  <si>
    <t>Hewlett-Packard Deskjet 940 REFURBISHED Color Inkjet Printer</t>
  </si>
  <si>
    <t>Xerox 1997</t>
  </si>
  <si>
    <t>Vicky Freymann</t>
  </si>
  <si>
    <t>Lena Creighton</t>
  </si>
  <si>
    <t>O'Sullivan Living Dimensions 2-Shelf Bookcases</t>
  </si>
  <si>
    <t>Southworth Structures Collection™</t>
  </si>
  <si>
    <t>60.6</t>
  </si>
  <si>
    <t>Tenex Traditional Chairmats for Medium Pile Carpet, Standard Lip, 36" x 48"</t>
  </si>
  <si>
    <t>Janet Lee</t>
  </si>
  <si>
    <t>348.2</t>
  </si>
  <si>
    <t>Bretford CR4500 Series Slim Rectangular Table</t>
  </si>
  <si>
    <t>236.9</t>
  </si>
  <si>
    <t>Charles Crestani</t>
  </si>
  <si>
    <t>Chromcraft Rectangular Conference Tables</t>
  </si>
  <si>
    <t>Bill Eplett</t>
  </si>
  <si>
    <t>Filing/Storage Totes and Swivel Casters</t>
  </si>
  <si>
    <t>159.9</t>
  </si>
  <si>
    <t>Mick Brown</t>
  </si>
  <si>
    <t>Gyration RF Keyboard</t>
  </si>
  <si>
    <t>Howard Miller 12-3/4 Diameter Accuwave DS ™ Wall Clock</t>
  </si>
  <si>
    <t>Phillip Flathmann</t>
  </si>
  <si>
    <t>3.8</t>
  </si>
  <si>
    <t>Durable Pressboard Binders</t>
  </si>
  <si>
    <t>7.9</t>
  </si>
  <si>
    <t>Adams Telephone Message Book w/Frequently-Called Numbers Space, 400 Messages per Book</t>
  </si>
  <si>
    <t>417.4</t>
  </si>
  <si>
    <t>Bretford “Just In Time” Height-Adjustable Multi-Task Work Tables</t>
  </si>
  <si>
    <t>Canon Imageclass D680 Copier / Fax</t>
  </si>
  <si>
    <t>Sharelle Roach</t>
  </si>
  <si>
    <t>Erica Smith</t>
  </si>
  <si>
    <t>Imation 3.5", DISKETTE 44766 HGHLD3.52HD/FM, 10/Pack</t>
  </si>
  <si>
    <t>5.6</t>
  </si>
  <si>
    <t>Staples Standard Envelopes</t>
  </si>
  <si>
    <t>6.0</t>
  </si>
  <si>
    <t>David Bremer</t>
  </si>
  <si>
    <t>Adams Telephone Message Books, 5 1/4” x 11”</t>
  </si>
  <si>
    <t>Frank Merwin</t>
  </si>
  <si>
    <t>Wilson Jones 14 Line Acrylic Coated Pressboard Data Binders</t>
  </si>
  <si>
    <t>62.1</t>
  </si>
  <si>
    <t>Deflect-o Glass Clear Studded Chair Mats</t>
  </si>
  <si>
    <t>41.4</t>
  </si>
  <si>
    <t>Eldon Econocleat® Chair Mats for Low Pile Carpets</t>
  </si>
  <si>
    <t>1938.0</t>
  </si>
  <si>
    <t>Polycom ViewStation™ Adapter H323 Videoconferencing Unit</t>
  </si>
  <si>
    <t>Nicole Hansen</t>
  </si>
  <si>
    <t>Justin Knight</t>
  </si>
  <si>
    <t>Newell 315</t>
  </si>
  <si>
    <t>Kleencut® Forged Office Shears by Acme United Corporation</t>
  </si>
  <si>
    <t>Xerox 1983</t>
  </si>
  <si>
    <t>39.4</t>
  </si>
  <si>
    <t>80 Minute CD-R Spindle, 100/Pack - Staples</t>
  </si>
  <si>
    <t>11.2</t>
  </si>
  <si>
    <t>Roland Fjeld</t>
  </si>
  <si>
    <t>X-Rack™ File for Hanging Folders</t>
  </si>
  <si>
    <t>Xerox 1971</t>
  </si>
  <si>
    <t>9.6</t>
  </si>
  <si>
    <t>Eldon Expressions™ Desk Accessory, Wood Pencil Holder, Oak</t>
  </si>
  <si>
    <t>4.0</t>
  </si>
  <si>
    <t>Sally Hughsby</t>
  </si>
  <si>
    <t>Eureka Disposable Bags for Sanitaire® Vibra Groomer I® Upright Vac</t>
  </si>
  <si>
    <t>3.7</t>
  </si>
  <si>
    <t>Avery 510</t>
  </si>
  <si>
    <t>10.6</t>
  </si>
  <si>
    <t>Dana Swing-Arm Lamps</t>
  </si>
  <si>
    <t>19.2</t>
  </si>
  <si>
    <t>Executive Impressions 13" Clairmont Wall Clock</t>
  </si>
  <si>
    <t>Ann Blume</t>
  </si>
  <si>
    <t>Zoom V.92 USB External Faxmodem</t>
  </si>
  <si>
    <t>Neola Schneider</t>
  </si>
  <si>
    <t>Nunavut</t>
  </si>
  <si>
    <t>442.1</t>
  </si>
  <si>
    <t>Anthony O'Donnell</t>
  </si>
  <si>
    <t>Okidata ML390 Turbo Dot Matrix Printers</t>
  </si>
  <si>
    <t>34.9</t>
  </si>
  <si>
    <t>Adam Shillingsburg</t>
  </si>
  <si>
    <t>Hunt Boston® Vacuum Mount KS Pencil Sharpener</t>
  </si>
  <si>
    <t>Peter Buhler</t>
  </si>
  <si>
    <t>34.2</t>
  </si>
  <si>
    <t>Hand-Finished Solid Wood Document Frame</t>
  </si>
  <si>
    <t>Brian Moss</t>
  </si>
  <si>
    <t>Tennsco Lockers, Gray</t>
  </si>
  <si>
    <t>13.7</t>
  </si>
  <si>
    <t>Ruben Ausman</t>
  </si>
  <si>
    <t>9-3/4 Diameter Round Wall Clock</t>
  </si>
  <si>
    <t>33.2</t>
  </si>
  <si>
    <t>Fellowes Bases and Tops For Staxonsteel®/High-Stak® Systems</t>
  </si>
  <si>
    <t>37.7</t>
  </si>
  <si>
    <t>Mary O'Rourke</t>
  </si>
  <si>
    <t>Companion Letter/Legal File, Black</t>
  </si>
  <si>
    <t>138.1</t>
  </si>
  <si>
    <t>Peter McVee</t>
  </si>
  <si>
    <t>SAFCO Commercial Wire Shelving, Black</t>
  </si>
  <si>
    <t>48.5</t>
  </si>
  <si>
    <t>Jeremy Lonsdale</t>
  </si>
  <si>
    <t>Belkin Premiere Surge Master II 8-outlet surge protector</t>
  </si>
  <si>
    <t>300.9</t>
  </si>
  <si>
    <t>Katrina Bavinger</t>
  </si>
  <si>
    <t>Global Leather and Oak Executive Chair, Black</t>
  </si>
  <si>
    <t>50.9</t>
  </si>
  <si>
    <t>Dan Campbell</t>
  </si>
  <si>
    <t>Dana Fluorescent Magnifying Lamp, White, 36"</t>
  </si>
  <si>
    <t>Dana Kaydos</t>
  </si>
  <si>
    <t>10.4</t>
  </si>
  <si>
    <t>Avery® 3 1/2" Diskette Storage Pages, 10/Pack</t>
  </si>
  <si>
    <t>80 Minute Slim Jewel Case CD-R , 10/Pack - Staples</t>
  </si>
  <si>
    <t>Wilson Jones Ledger-Size, Piano-Hinge Binder, 2", Blue</t>
  </si>
  <si>
    <t>Stephanie Phelps</t>
  </si>
  <si>
    <t>499.9</t>
  </si>
  <si>
    <t>Sharp AL-1530CS Digital Copier</t>
  </si>
  <si>
    <t>Cathy Hwang</t>
  </si>
  <si>
    <t>T28 WORLD</t>
  </si>
  <si>
    <t>Darrin Van Huff</t>
  </si>
  <si>
    <t>Accessory41</t>
  </si>
  <si>
    <t>3.6</t>
  </si>
  <si>
    <t>Jill Matthias</t>
  </si>
  <si>
    <t>Telephone Message Books with Fax/Mobile Section, 4 1/4" x 6"</t>
  </si>
  <si>
    <t>Eaton Premium Continuous-Feed Paper, 25% Cotton, Letter Size, White, 1000 Shts/Box</t>
  </si>
  <si>
    <t>11.9</t>
  </si>
  <si>
    <t>Keith Dawkins</t>
  </si>
  <si>
    <t>TI 30X Scientific Calculator</t>
  </si>
  <si>
    <t>StarTAC 6500</t>
  </si>
  <si>
    <t>130.9</t>
  </si>
  <si>
    <t>O'Sullivan Elevations Bookcase, Cherry Finish</t>
  </si>
  <si>
    <t>294.6</t>
  </si>
  <si>
    <t>James Lanier</t>
  </si>
  <si>
    <t>3.6 Cubic Foot Counter Height Office Refrigerator</t>
  </si>
  <si>
    <t>Victoria Pisteka</t>
  </si>
  <si>
    <t>GBC VeloBinder Electric Binding Machine</t>
  </si>
  <si>
    <t>Imation 3.5 IBM Formatted Diskettes, 10/Box</t>
  </si>
  <si>
    <t>V3682</t>
  </si>
  <si>
    <t>Steven Ward</t>
  </si>
  <si>
    <t>Xerox 1979</t>
  </si>
  <si>
    <t>Staples 1 Part Blank Computer Paper</t>
  </si>
  <si>
    <t>Natalie Fritzler</t>
  </si>
  <si>
    <t>Lexmark Z54se Color Inkjet Printer</t>
  </si>
  <si>
    <t>Evan Minnotte</t>
  </si>
  <si>
    <t>Denise Monton</t>
  </si>
  <si>
    <t>45.9</t>
  </si>
  <si>
    <t>KF 788</t>
  </si>
  <si>
    <t>3499.9</t>
  </si>
  <si>
    <t>Canon imageCLASS 2200 Advanced Copier</t>
  </si>
  <si>
    <t>Alan Hwang</t>
  </si>
  <si>
    <t>Avery 501</t>
  </si>
  <si>
    <t>175.9</t>
  </si>
  <si>
    <t>5165</t>
  </si>
  <si>
    <t>30.7</t>
  </si>
  <si>
    <t>Fellowes 17-key keypad for PS/2 interface</t>
  </si>
  <si>
    <t>170.9</t>
  </si>
  <si>
    <t>Theresa Swint</t>
  </si>
  <si>
    <t>Rush Hierlooms Collection 1" Thick Stackable Bookcases</t>
  </si>
  <si>
    <t>Ryan Akin</t>
  </si>
  <si>
    <t>Jim Radford</t>
  </si>
  <si>
    <t>10.1</t>
  </si>
  <si>
    <t>Delfina Latchford</t>
  </si>
  <si>
    <t>280.9</t>
  </si>
  <si>
    <t>Carl Weiss</t>
  </si>
  <si>
    <t>Hon 2090 “Pillow Soft” Series Mid Back Swivel/Tilt Chairs</t>
  </si>
  <si>
    <t>107.5</t>
  </si>
  <si>
    <t>Quincy Jones</t>
  </si>
  <si>
    <t>Tenex Contemporary Contur Chairmats for Low and Medium Pile Carpet, Computer, 39" x 49"</t>
  </si>
  <si>
    <t>296.1</t>
  </si>
  <si>
    <t>Christina DeMoss</t>
  </si>
  <si>
    <t>Hon 94000 Series Round Tables</t>
  </si>
  <si>
    <t>Guy Armstrong</t>
  </si>
  <si>
    <t>Staples #10 Laser &amp; Inkjet Envelopes, 4 1/8" x 9 1/2", 100/Box</t>
  </si>
  <si>
    <t>10.9</t>
  </si>
  <si>
    <t>Heavy-Duty E-Z-D® Binders</t>
  </si>
  <si>
    <t>6120</t>
  </si>
  <si>
    <t>Fellowes EZ Multi-Media Keyboard</t>
  </si>
  <si>
    <t>113.9</t>
  </si>
  <si>
    <t>Trudy Schmidt</t>
  </si>
  <si>
    <t>Hon Comfortask® Task/Swivel Chairs</t>
  </si>
  <si>
    <t>Xerox 204</t>
  </si>
  <si>
    <t>230.9</t>
  </si>
  <si>
    <t>Raymond Book</t>
  </si>
  <si>
    <t>Bush® Cubix Conference Tables, Fully Assembled</t>
  </si>
  <si>
    <t>Joy Bell</t>
  </si>
  <si>
    <t>517.4</t>
  </si>
  <si>
    <t>Dennis Bolton</t>
  </si>
  <si>
    <t>Panasonic KX-P3626 Dot Matrix Printer</t>
  </si>
  <si>
    <t>51.9</t>
  </si>
  <si>
    <t>Rose O'Brian</t>
  </si>
  <si>
    <t>Canon MP25DIII Desktop Whisper-Quiet Printing Calculator</t>
  </si>
  <si>
    <t>John Huston</t>
  </si>
  <si>
    <t>Richard Bierner</t>
  </si>
  <si>
    <t>Bravo II™ Megaboss® 12-Amp Hard Body Upright, Replacement Belts, 2 Belts per Pack</t>
  </si>
  <si>
    <t>Dorothy Badders</t>
  </si>
  <si>
    <t>Maxwell Schwartz</t>
  </si>
  <si>
    <t>#10- 4 1/8" x 9 1/2" Security-Tint Envelopes</t>
  </si>
  <si>
    <t>400.9</t>
  </si>
  <si>
    <t>Hewlett-Packard Deskjet 1220Cse Color Inkjet Printer</t>
  </si>
  <si>
    <t>Karen Bern</t>
  </si>
  <si>
    <t>Accessory9</t>
  </si>
  <si>
    <t>99.9</t>
  </si>
  <si>
    <t>Nora Price</t>
  </si>
  <si>
    <t>AT&amp;T 2230 Dual Handset Phone With Caller ID/Call Waiting</t>
  </si>
  <si>
    <t>Thomas Brumley</t>
  </si>
  <si>
    <t>Xerox 1961</t>
  </si>
  <si>
    <t>Craig Carroll</t>
  </si>
  <si>
    <t>Heather Kirkland</t>
  </si>
  <si>
    <t>US Robotics 56K V.92 External Faxmodem</t>
  </si>
  <si>
    <t>193.1</t>
  </si>
  <si>
    <t>Fellowes Staxonsteel® Drawer Files</t>
  </si>
  <si>
    <t>Accessory39</t>
  </si>
  <si>
    <t>Lindsay Castell</t>
  </si>
  <si>
    <t>Resi Polking</t>
  </si>
  <si>
    <t>Rob Beeghly</t>
  </si>
  <si>
    <t>Bush Westfield Collection Bookcases, Dark Cherry Finish, Fully Assembled</t>
  </si>
  <si>
    <t>47.9</t>
  </si>
  <si>
    <t>DS/HD IBM Formatted Diskettes, 200/Pack - Staples</t>
  </si>
  <si>
    <t>Dennis Kane</t>
  </si>
  <si>
    <t>4</t>
  </si>
  <si>
    <t>Laura Armstrong</t>
  </si>
  <si>
    <t>EcoTones® Memo Sheets</t>
  </si>
  <si>
    <t>Carol Adams</t>
  </si>
  <si>
    <t>Xerox 210</t>
  </si>
  <si>
    <t>Denny Blanton</t>
  </si>
  <si>
    <t>i2000</t>
  </si>
  <si>
    <t>Carlos Daly</t>
  </si>
  <si>
    <t>ACCOHIDE® 3-Ring Binder, Blue, 1"</t>
  </si>
  <si>
    <t>200.9</t>
  </si>
  <si>
    <t>Global Leather Highback Executive Chair with Pneumatic Height Adjustment, Black</t>
  </si>
  <si>
    <t>Beth Fritzler</t>
  </si>
  <si>
    <t>O'Sullivan Living Dimensions 3-Shelf Bookcases</t>
  </si>
  <si>
    <t>85.9</t>
  </si>
  <si>
    <t>Accessory4</t>
  </si>
  <si>
    <t>Carol Triggs</t>
  </si>
  <si>
    <t>17.9</t>
  </si>
  <si>
    <t>Chuck Sachs</t>
  </si>
  <si>
    <t>Belkin 107-key enhanced keyboard, USB/PS/2 interface</t>
  </si>
  <si>
    <t>SC7868i</t>
  </si>
  <si>
    <t>Naresj Patel</t>
  </si>
  <si>
    <t>Advantus Employee of the Month Certificate Frame, 11 x 13-1/2</t>
  </si>
  <si>
    <t>Mike Kennedy</t>
  </si>
  <si>
    <t>Daniel Byrd</t>
  </si>
  <si>
    <t>Coloredge Poster Frame</t>
  </si>
  <si>
    <t>7.5</t>
  </si>
  <si>
    <t>John Dryer</t>
  </si>
  <si>
    <t>Master Giant Foot® Doorstop, Safety Yellow</t>
  </si>
  <si>
    <t>Daniel Raglin</t>
  </si>
  <si>
    <t>Park Ridge™ Embossed Executive Business Envelopes</t>
  </si>
  <si>
    <t>68.8</t>
  </si>
  <si>
    <t>Michael Stewart</t>
  </si>
  <si>
    <t>Holmes Replacement Filter for HEPA Air Cleaner, Very Large Room, HEPA Filter</t>
  </si>
  <si>
    <t>21.3</t>
  </si>
  <si>
    <t>Boston 1730 StandUp Electric Pencil Sharpener</t>
  </si>
  <si>
    <t>8.1</t>
  </si>
  <si>
    <t>Julie Prescott</t>
  </si>
  <si>
    <t>Imation Neon Mac Format Diskettes, 10/Pack</t>
  </si>
  <si>
    <t>3.3</t>
  </si>
  <si>
    <t>Sean Christensen</t>
  </si>
  <si>
    <t>Avoid Verbal Orders Carbonless Minifold Book</t>
  </si>
  <si>
    <t>Eric Barreto</t>
  </si>
  <si>
    <t>Thomas Boland</t>
  </si>
  <si>
    <t>1726 Digital Answering Machine</t>
  </si>
  <si>
    <t>Brendan Murry</t>
  </si>
  <si>
    <t>Avery 49</t>
  </si>
  <si>
    <t>220.9</t>
  </si>
  <si>
    <t>Bush Cubix Collection Bookcases, Fully Assembled</t>
  </si>
  <si>
    <t>Kimberly Carter</t>
  </si>
  <si>
    <t>Marc Harrigan</t>
  </si>
  <si>
    <t>Xerox 1974</t>
  </si>
  <si>
    <t>Anna Chung</t>
  </si>
  <si>
    <t>28.9</t>
  </si>
  <si>
    <t>SouthWestern Bell FA970 Digital Answering Machine with Time/Day Stamp</t>
  </si>
  <si>
    <t>Beth Thompson</t>
  </si>
  <si>
    <t>Pressboard Data Binder, Crimson, 12" X 8 1/2"</t>
  </si>
  <si>
    <t>8860</t>
  </si>
  <si>
    <t>Noah Childs</t>
  </si>
  <si>
    <t>24.9</t>
  </si>
  <si>
    <t>GBC Standard Therm-A-Bind Covers</t>
  </si>
  <si>
    <t>Epson LQ-570e Dot Matrix Printer</t>
  </si>
  <si>
    <t>Staples Premium Bright 1-Part Blank Computer Paper</t>
  </si>
  <si>
    <t>Avery 479</t>
  </si>
  <si>
    <t>Barry Weirich</t>
  </si>
  <si>
    <t>Belkin 105-Key Black Keyboard</t>
  </si>
  <si>
    <t>1637.5</t>
  </si>
  <si>
    <t>High Speed Automatic Electric Letter Opener</t>
  </si>
  <si>
    <t>Rush Hierlooms Collection Rich Wood Bookcases</t>
  </si>
  <si>
    <t>9.1</t>
  </si>
  <si>
    <t>Victoria Wilson</t>
  </si>
  <si>
    <t>12.6</t>
  </si>
  <si>
    <t>Nu-Dell Executive Frame</t>
  </si>
  <si>
    <t>Tony Sayre</t>
  </si>
  <si>
    <t>Tenex Personal Project File with Scoop Front Design, Black</t>
  </si>
  <si>
    <t>Christopher Conant</t>
  </si>
  <si>
    <t>Xerox 200</t>
  </si>
  <si>
    <t>Emily Phan</t>
  </si>
  <si>
    <t>55.9</t>
  </si>
  <si>
    <t>Tonja Turnell</t>
  </si>
  <si>
    <t>Fellowes Smart Design 104-Key Enhanced Keyboard, PS/2 Adapter, Platinum</t>
  </si>
  <si>
    <t>Lena Cacioppo</t>
  </si>
  <si>
    <t>1500.9</t>
  </si>
  <si>
    <t>Epson DFX5000+ Dot Matrix Printer</t>
  </si>
  <si>
    <t>Newell 320</t>
  </si>
  <si>
    <t>Pamela Stobb</t>
  </si>
  <si>
    <t>Logitech Access Keyboard</t>
  </si>
  <si>
    <t>Kelly Williams</t>
  </si>
  <si>
    <t>152.4</t>
  </si>
  <si>
    <t>Adesso Programmable 142-Key Keyboard</t>
  </si>
  <si>
    <t>Jack O'Briant</t>
  </si>
  <si>
    <t>Eldon® Gobal File Keepers</t>
  </si>
  <si>
    <t>Dean Braden</t>
  </si>
  <si>
    <t>4.8</t>
  </si>
  <si>
    <t>*Staples* Highlighting Markers</t>
  </si>
  <si>
    <t>14.9</t>
  </si>
  <si>
    <t>Super Decoflex Portable Personal File</t>
  </si>
  <si>
    <t>599.9</t>
  </si>
  <si>
    <t>William Brown</t>
  </si>
  <si>
    <t>Canon PC1080F Personal Copier</t>
  </si>
  <si>
    <t>Staples SlimLine Pencil Sharpener</t>
  </si>
  <si>
    <t>4.5</t>
  </si>
  <si>
    <t>Presstex Flexible Ring Binders</t>
  </si>
  <si>
    <t>Nat Carroll</t>
  </si>
  <si>
    <t>Avery Premier Heavy-Duty Binder with Round Locking Rings</t>
  </si>
  <si>
    <t>Michael Oakman</t>
  </si>
  <si>
    <t>Troy Staebel</t>
  </si>
  <si>
    <t>15.4</t>
  </si>
  <si>
    <t>Tamara Chand</t>
  </si>
  <si>
    <t>Decoflex Hanging Personal Folder File</t>
  </si>
  <si>
    <t>138.7</t>
  </si>
  <si>
    <t>Dionis Lloyd</t>
  </si>
  <si>
    <t>Balt Split Level Computer Training Table</t>
  </si>
  <si>
    <t>Dario Medina</t>
  </si>
  <si>
    <t>Xerox 1964</t>
  </si>
  <si>
    <t>Joe Kamberova</t>
  </si>
  <si>
    <t>Ibico Presentation Index for Binding Systems</t>
  </si>
  <si>
    <t>Xerox 207</t>
  </si>
  <si>
    <t>Christopher Martinez</t>
  </si>
  <si>
    <t>DMI Eclipse Executive Suite Bookcases</t>
  </si>
  <si>
    <t>Eldon Expressions Punched Metal &amp; Wood Desk Accessories, Pewter &amp; Cherry</t>
  </si>
  <si>
    <t>Xerox 1933</t>
  </si>
  <si>
    <t>Lynn Smith</t>
  </si>
  <si>
    <t>Sanford Liquid Accent Highlighters</t>
  </si>
  <si>
    <t>225.0</t>
  </si>
  <si>
    <t>Holmes Harmony HEPA Air Purifier for 17 x 20 Room</t>
  </si>
  <si>
    <t>Rick Huthwaite</t>
  </si>
  <si>
    <t>Liz Pelletier</t>
  </si>
  <si>
    <t>20.8</t>
  </si>
  <si>
    <t>Iris® 3-Drawer Stacking Bin, Black</t>
  </si>
  <si>
    <t>18.7</t>
  </si>
  <si>
    <t>Executive Impressions 13-1/2" Indoor/Outdoor Wall Clock</t>
  </si>
  <si>
    <t>213.4</t>
  </si>
  <si>
    <t>Jennifer Ferguson</t>
  </si>
  <si>
    <t>Xerox 1882</t>
  </si>
  <si>
    <t>16.0</t>
  </si>
  <si>
    <t>Letter/Legal File Tote with Clear Snap-On Lid, Black Granite</t>
  </si>
  <si>
    <t>Dave Kipp</t>
  </si>
  <si>
    <t>Christopher Schild</t>
  </si>
  <si>
    <t>51.6</t>
  </si>
  <si>
    <t>Deflect-o EconoMat Nonstudded, No Bevel Mat</t>
  </si>
  <si>
    <t>2180</t>
  </si>
  <si>
    <t>150.8</t>
  </si>
  <si>
    <t>Don Weiss</t>
  </si>
  <si>
    <t>Global Leather &amp; Oak Executive Chair, Burgundy</t>
  </si>
  <si>
    <t>Canon P1-DHIII Palm Printing Calculator</t>
  </si>
  <si>
    <t>Staples 6 Outlet Surge</t>
  </si>
  <si>
    <t>28.5</t>
  </si>
  <si>
    <t>Lock-Up Easel 'Spel-Binder'</t>
  </si>
  <si>
    <t>Memorex 4.7GB DVD+R, 3/Pack</t>
  </si>
  <si>
    <t>8.9</t>
  </si>
  <si>
    <t>Heather Jas</t>
  </si>
  <si>
    <t>Recycled Desk Saver Line "While You Were Out" Book, 5 1/2" X 4"</t>
  </si>
  <si>
    <t>Jonathan Doherty</t>
  </si>
  <si>
    <t>Ryan Crowe</t>
  </si>
  <si>
    <t>Philip Brown</t>
  </si>
  <si>
    <t>Executive Impressions 8-1/2" Career Panel/Partition Cubicle Clock</t>
  </si>
  <si>
    <t>Xerox 1962</t>
  </si>
  <si>
    <t>Eileen Kiefer</t>
  </si>
  <si>
    <t>Nora Paige</t>
  </si>
  <si>
    <t>5.7</t>
  </si>
  <si>
    <t>HP Office Recycled Paper (20Lb. and 87 Bright)</t>
  </si>
  <si>
    <t>Grant Carroll</t>
  </si>
  <si>
    <t>Tim Brockman</t>
  </si>
  <si>
    <t>Microsoft Natural Keyboard Elite</t>
  </si>
  <si>
    <t>Ashley Jarboe</t>
  </si>
  <si>
    <t>Fred Harton</t>
  </si>
  <si>
    <t>Acco Pressboard Covers with Storage Hooks, 14 7/8" x 11", Light Blue</t>
  </si>
  <si>
    <t>Accessory6</t>
  </si>
  <si>
    <t>Tom Stivers</t>
  </si>
  <si>
    <t>Dorothy Wardle</t>
  </si>
  <si>
    <t>Accessory36</t>
  </si>
  <si>
    <t>Karen Seio</t>
  </si>
  <si>
    <t>Novimex Fabric Task Chair</t>
  </si>
  <si>
    <t>Holmes Replacement Filter for HEPA Air Cleaner, Medium Room</t>
  </si>
  <si>
    <t>Ibico Covers for Plastic or Wire Binding Elements</t>
  </si>
  <si>
    <t>Gyration Ultra Cordless Optical Suite</t>
  </si>
  <si>
    <t>90.2</t>
  </si>
  <si>
    <t>Kensington 6 Outlet MasterPiece® HOMEOFFICE Power Control Center</t>
  </si>
  <si>
    <t>Xerox 1938</t>
  </si>
  <si>
    <t>60.8</t>
  </si>
  <si>
    <t>Anthony Garverick</t>
  </si>
  <si>
    <t>Global Push Button Manager's Chair, Indigo</t>
  </si>
  <si>
    <t>37.9</t>
  </si>
  <si>
    <t>Scot Coram</t>
  </si>
  <si>
    <t>Snap-A-Way® Black Print Carbonless Ruled Speed Letter, Triplicate</t>
  </si>
  <si>
    <t>GBC Plastic Binding Combs</t>
  </si>
  <si>
    <t>Xerox 220</t>
  </si>
  <si>
    <t>59.7</t>
  </si>
  <si>
    <t>Advantus 10-Drawer Portable Organizer, Chrome Metal Frame, Smoke Drawers</t>
  </si>
  <si>
    <t>Odella Nelson</t>
  </si>
  <si>
    <t>Accessory31</t>
  </si>
  <si>
    <t>36.5</t>
  </si>
  <si>
    <t>Scot Wooten</t>
  </si>
  <si>
    <t>Dixon Ticonderoga Core-Lock Colored Pencils, 48-Color Set</t>
  </si>
  <si>
    <t>22.3</t>
  </si>
  <si>
    <t>Eudokia Martin</t>
  </si>
  <si>
    <t>Avery Flip-Chart Easel Binder, Black</t>
  </si>
  <si>
    <t>G.E. Halogen Desk Lamp Bulbs</t>
  </si>
  <si>
    <t>Harold Dahlen</t>
  </si>
  <si>
    <t>Accessory34</t>
  </si>
  <si>
    <t>Maurice Satty</t>
  </si>
  <si>
    <t>12.8</t>
  </si>
  <si>
    <t>Jenna Caffey</t>
  </si>
  <si>
    <t>Martin-Yale Premier Letter Opener</t>
  </si>
  <si>
    <t>600 Series Non-Flip</t>
  </si>
  <si>
    <t>Dave Poirier</t>
  </si>
  <si>
    <t>Advantus Push Pins</t>
  </si>
  <si>
    <t>DAX Cubicle Frames - 8x10</t>
  </si>
  <si>
    <t>89.8</t>
  </si>
  <si>
    <t>Tracy Blumstein</t>
  </si>
  <si>
    <t>Fellowes Officeware™ Wire Shelving</t>
  </si>
  <si>
    <t>Corey Lock</t>
  </si>
  <si>
    <t>Michelle Ellison</t>
  </si>
  <si>
    <t>Alex Grayson</t>
  </si>
  <si>
    <t>Atlantic Metals Mobile 5-Shelf Bookcases, Custom Colors</t>
  </si>
  <si>
    <t>17.6</t>
  </si>
  <si>
    <t>Christine Kargatis</t>
  </si>
  <si>
    <t>Executive Impressions 12" Wall Clock</t>
  </si>
  <si>
    <t>5.5</t>
  </si>
  <si>
    <t>Staples Brown Kraft Recycled Clasp Envelopes</t>
  </si>
  <si>
    <t>40.8</t>
  </si>
  <si>
    <t>Eldon Executive Woodline II Cherry Finish Desk Accessories</t>
  </si>
  <si>
    <t>40.4</t>
  </si>
  <si>
    <t>Keytronic Designer 104- Key Black Keyboard</t>
  </si>
  <si>
    <t>Grant Thornton</t>
  </si>
  <si>
    <t>g520</t>
  </si>
  <si>
    <t>Nora Pelletier</t>
  </si>
  <si>
    <t>Avery 485</t>
  </si>
  <si>
    <t>4.4</t>
  </si>
  <si>
    <t>Grip Seal Envelopes</t>
  </si>
  <si>
    <t>Jay Fine</t>
  </si>
  <si>
    <t>TDK 4.7GB DVD-R Spindle, 15/Pack</t>
  </si>
  <si>
    <t>42.9</t>
  </si>
  <si>
    <t>Kelly Lampkin</t>
  </si>
  <si>
    <t>Belkin F9M820V08 8 Outlet Surge</t>
  </si>
  <si>
    <t>35.4</t>
  </si>
  <si>
    <t>Stuart Van</t>
  </si>
  <si>
    <t>Xerox 1932</t>
  </si>
  <si>
    <t>Parhena Norris</t>
  </si>
  <si>
    <t>Emily Ducich</t>
  </si>
  <si>
    <t>Hoover Portapower™ Portable Vacuum</t>
  </si>
  <si>
    <t>349.4</t>
  </si>
  <si>
    <t>SAFCO PlanMaster Heigh-Adjustable Drafting Table Base, 43w x 30d x 30-37h, Black</t>
  </si>
  <si>
    <t>Evan Henry</t>
  </si>
  <si>
    <t>StarTAC 3000</t>
  </si>
  <si>
    <t>Roy Collins</t>
  </si>
  <si>
    <t>DAX Solid Wood Frames</t>
  </si>
  <si>
    <t>Roy French</t>
  </si>
  <si>
    <t>5185</t>
  </si>
  <si>
    <t>Newell 318</t>
  </si>
  <si>
    <t>Fuji Slim Jewel Case CD-R</t>
  </si>
  <si>
    <t>Newell 326</t>
  </si>
  <si>
    <t>Brad Thomas</t>
  </si>
  <si>
    <t>210 Trimline Phone, White</t>
  </si>
  <si>
    <t>Shahid Shariari</t>
  </si>
  <si>
    <t>Fiskars® Softgrip Scissors</t>
  </si>
  <si>
    <t>Duane Benoit</t>
  </si>
  <si>
    <t>SANFORD Major Accent™ Highlighters</t>
  </si>
  <si>
    <t>David Kendrick</t>
  </si>
  <si>
    <t>Bretford CR8500 Series Meeting Room Furniture</t>
  </si>
  <si>
    <t>165.9</t>
  </si>
  <si>
    <t>GBC DocuBind P100 Manual Binding Machine</t>
  </si>
  <si>
    <t>Ellis Ballard</t>
  </si>
  <si>
    <t>Regeneration Desk Collection</t>
  </si>
  <si>
    <t>Brad Eason</t>
  </si>
  <si>
    <t>Avery Legal 4-Ring Binder</t>
  </si>
  <si>
    <t>14-7/8 x 11 Blue Bar Computer Printout Paper</t>
  </si>
  <si>
    <t>Roy Skaria</t>
  </si>
  <si>
    <t>35.5</t>
  </si>
  <si>
    <t>Steel Personal Filing/Posting Tote</t>
  </si>
  <si>
    <t>Fellowes Twister Kit, Gray/Clear, 3/pkg</t>
  </si>
  <si>
    <t>2550.1</t>
  </si>
  <si>
    <t>Epson DFX-8500 Dot Matrix Printer</t>
  </si>
  <si>
    <t>Staples® General Use 3-Ring Binders</t>
  </si>
  <si>
    <t>Raymond Fair</t>
  </si>
  <si>
    <t>Becky Martin</t>
  </si>
  <si>
    <t>Acco Keyboard-In-A-Box®</t>
  </si>
  <si>
    <t>David Flashing</t>
  </si>
  <si>
    <t>Tripp Lite Isotel 8 Ultra 8 Outlet Metal Surge</t>
  </si>
  <si>
    <t>12-1/2 Diameter Round Wall Clock</t>
  </si>
  <si>
    <t>22.9</t>
  </si>
  <si>
    <t>James Galang</t>
  </si>
  <si>
    <t>Memorex 80 Minute CD-R, 30/Pack</t>
  </si>
  <si>
    <t>226.6</t>
  </si>
  <si>
    <t>Hon GuestStacker Chair</t>
  </si>
  <si>
    <t>Wilson Jones Suede Grain Vinyl Binders</t>
  </si>
  <si>
    <t>Denny Ordway</t>
  </si>
  <si>
    <t>Avery 48</t>
  </si>
  <si>
    <t>419.1</t>
  </si>
  <si>
    <t>Patrick Ryan</t>
  </si>
  <si>
    <t>Smead Adjustable Mobile File Trolley with Lockable Top</t>
  </si>
  <si>
    <t>Gyration Ultra Professional Cordless Optical Suite</t>
  </si>
  <si>
    <t>39.8</t>
  </si>
  <si>
    <t>Ultra Commercial Grade Dual Valve Door Closer</t>
  </si>
  <si>
    <t>Office Star - Contemporary Task Swivel chair with 2-way adjustable arms, Plum</t>
  </si>
  <si>
    <t>89.9</t>
  </si>
  <si>
    <t>Peter Fuller</t>
  </si>
  <si>
    <t>Global Leather Task Chair, Black</t>
  </si>
  <si>
    <t>52.9</t>
  </si>
  <si>
    <t>Gould Plastics 9-Pocket Panel Bin, 18-3/8w x 5-1/4d x 20-1/2h, Black</t>
  </si>
  <si>
    <t>155.9</t>
  </si>
  <si>
    <t>T39m</t>
  </si>
  <si>
    <t>3.5</t>
  </si>
  <si>
    <t>OIC Colored Binder Clips, Assorted Sizes</t>
  </si>
  <si>
    <t>79.5</t>
  </si>
  <si>
    <t>Eldon Cleatmat Plus™ Chair Mats for High Pile Carpets</t>
  </si>
  <si>
    <t>525.9</t>
  </si>
  <si>
    <t>GBC DocuBind 300 Electric Binding Machine</t>
  </si>
  <si>
    <t>Wausau Papers Astrobrights® Colored Envelopes</t>
  </si>
  <si>
    <t>Matt Connell</t>
  </si>
  <si>
    <t>4.7</t>
  </si>
  <si>
    <t>Imation Primaris 3.5" 2HD Unformatted Diskettes, 10/Pack</t>
  </si>
  <si>
    <t>Anthony Rawles</t>
  </si>
  <si>
    <t>Xerox Blank Computer Paper</t>
  </si>
  <si>
    <t>Eugene Moren</t>
  </si>
  <si>
    <t>Colored Envelopes</t>
  </si>
  <si>
    <t>Xerox 1893</t>
  </si>
  <si>
    <t>363.2</t>
  </si>
  <si>
    <t>Hoover WindTunnel™ Plus Canister Vacuum</t>
  </si>
  <si>
    <t>Xerox 1951</t>
  </si>
  <si>
    <t>Boston KS Multi-Size Manual Pencil Sharpener</t>
  </si>
  <si>
    <t>Pizazz® Global Quick File™</t>
  </si>
  <si>
    <t>212.6</t>
  </si>
  <si>
    <t>Scott Cohen</t>
  </si>
  <si>
    <t>Decoflex Hanging Personal Folder File, Blue</t>
  </si>
  <si>
    <t>Logitech Cordless Elite Duo</t>
  </si>
  <si>
    <t>5.4</t>
  </si>
  <si>
    <t>Wirebound Message Book, 4 per Page</t>
  </si>
  <si>
    <t>29.7</t>
  </si>
  <si>
    <t>Rick Duston</t>
  </si>
  <si>
    <t>Acco Perma® 2700 Stacking Storage Drawers</t>
  </si>
  <si>
    <t>22.0</t>
  </si>
  <si>
    <t>Boston 16801 Nautilus™ Battery Pencil Sharpener</t>
  </si>
  <si>
    <t>Newell® 3-Hole Punched Plastic Slotted Magazine Holders for Binders</t>
  </si>
  <si>
    <t>*Staples* Packaging Labels</t>
  </si>
  <si>
    <t>46.8</t>
  </si>
  <si>
    <t>Eugene Hildebrand</t>
  </si>
  <si>
    <t>Bionaire Personal Warm Mist Humidifier/Vaporizer</t>
  </si>
  <si>
    <t>Sauder Forest Hills Library, Woodland Oak Finish</t>
  </si>
  <si>
    <t>5.2</t>
  </si>
  <si>
    <t>Christy Brittain</t>
  </si>
  <si>
    <t>Xerox 1954</t>
  </si>
  <si>
    <t>Avery 507</t>
  </si>
  <si>
    <t>Jim Epp</t>
  </si>
  <si>
    <t>Imation DVD-RAM discs</t>
  </si>
  <si>
    <t>142.8</t>
  </si>
  <si>
    <t>Letter Size Cart</t>
  </si>
  <si>
    <t>9.0</t>
  </si>
  <si>
    <t>Southworth 25% Cotton Linen-Finish Paper &amp; Envelopes</t>
  </si>
  <si>
    <t>Mike Vittorini</t>
  </si>
  <si>
    <t>Avery Hi-Liter® Fluorescent Desk Style Markers</t>
  </si>
  <si>
    <t>180.9</t>
  </si>
  <si>
    <t>Global Ergonomic Managers Chair</t>
  </si>
  <si>
    <t>Neil Knudson</t>
  </si>
  <si>
    <t>Deborah Brumfield</t>
  </si>
  <si>
    <t>Anna Gayman</t>
  </si>
  <si>
    <t>Fred Wasserman</t>
  </si>
  <si>
    <t>8260</t>
  </si>
  <si>
    <t>Sandra Glassco</t>
  </si>
  <si>
    <t>Eldon Spacemaker® Box, Quick-Snap Lid, Clear</t>
  </si>
  <si>
    <t>Xerox 1894</t>
  </si>
  <si>
    <t>Erica Hernandez</t>
  </si>
  <si>
    <t>Yoseph Carroll</t>
  </si>
  <si>
    <t>34.7</t>
  </si>
  <si>
    <t>Home/Office Personal File Carts</t>
  </si>
  <si>
    <t>Sally Knutson</t>
  </si>
  <si>
    <t>Janet Martin</t>
  </si>
  <si>
    <t>21.9</t>
  </si>
  <si>
    <t>Roger Barcio</t>
  </si>
  <si>
    <t>Panasonic KP-310 Heavy-Duty Electric Pencil Sharpener</t>
  </si>
  <si>
    <t>KH 688</t>
  </si>
  <si>
    <t>2.2</t>
  </si>
  <si>
    <t>Georgia Rosenberg</t>
  </si>
  <si>
    <t>Eldon Pizzaz™ Desk Accessories</t>
  </si>
  <si>
    <t>Xerox 1922</t>
  </si>
  <si>
    <t>Mitch Willingham</t>
  </si>
  <si>
    <t>Fellowes Binding Cases</t>
  </si>
  <si>
    <t>415.8</t>
  </si>
  <si>
    <t>Deluxe Rollaway Locking File with Drawer</t>
  </si>
  <si>
    <t>Stephanie Ulpright</t>
  </si>
  <si>
    <t>Alyssa Tate</t>
  </si>
  <si>
    <t>Xerox 1977</t>
  </si>
  <si>
    <t>Katharine Harms</t>
  </si>
  <si>
    <t>Belkin 325VA UPS Surge Protector, 6'</t>
  </si>
  <si>
    <t>Jim Kriz</t>
  </si>
  <si>
    <t>Staples Colored Interoffice Envelopes</t>
  </si>
  <si>
    <t>49.3</t>
  </si>
  <si>
    <t>Electrix Fluorescent Magnifier Lamps &amp; Weighted Base</t>
  </si>
  <si>
    <t>276.2</t>
  </si>
  <si>
    <t>Becky Pak</t>
  </si>
  <si>
    <t>SAFCO Arco Folding Chair</t>
  </si>
  <si>
    <t>6.2</t>
  </si>
  <si>
    <t>Eldon® 200 Class™ Desk Accessories, Burgundy</t>
  </si>
  <si>
    <t>Bill Tyler</t>
  </si>
  <si>
    <t>2190</t>
  </si>
  <si>
    <t>GBC Therma-A-Bind 250T Electric Binding System</t>
  </si>
  <si>
    <t>Noel Staavos</t>
  </si>
  <si>
    <t>Melanie Page</t>
  </si>
  <si>
    <t>23.9</t>
  </si>
  <si>
    <t>Westinghouse Floor Lamp with Metal Mesh Shade, Black</t>
  </si>
  <si>
    <t>Greg Guthrie</t>
  </si>
  <si>
    <t>John Lucas</t>
  </si>
  <si>
    <t>Wirebound Voice Message Log Book</t>
  </si>
  <si>
    <t>Valerie Takahito</t>
  </si>
  <si>
    <t>Xerox 212</t>
  </si>
  <si>
    <t>27.4</t>
  </si>
  <si>
    <t>Belkin MediaBoard 104- Keyboard</t>
  </si>
  <si>
    <t>Talkabout T8367</t>
  </si>
  <si>
    <t>Steve Nguyen</t>
  </si>
  <si>
    <t>16.9</t>
  </si>
  <si>
    <t>Mary Zewe</t>
  </si>
  <si>
    <t>Brown Kraft Recycled Envelopes</t>
  </si>
  <si>
    <t>29.3</t>
  </si>
  <si>
    <t>Seth Thomas 14" Putty-Colored Wall Clock</t>
  </si>
  <si>
    <t>Sony MFD2HD Formatted Diskettes, 10/Pack</t>
  </si>
  <si>
    <t>Xerox 195</t>
  </si>
  <si>
    <t>i270</t>
  </si>
  <si>
    <t>15.6</t>
  </si>
  <si>
    <t>#10 White Business Envelopes,4 1/8 x 9 1/2</t>
  </si>
  <si>
    <t>Accessory2</t>
  </si>
  <si>
    <t>Sara Luxemburg</t>
  </si>
  <si>
    <t>Neil French</t>
  </si>
  <si>
    <t>227.5</t>
  </si>
  <si>
    <t>Hon Rectangular Conference Tables</t>
  </si>
  <si>
    <t>9.2</t>
  </si>
  <si>
    <t>Wirebound Message Books, Four 2 3/4" x 5" Forms per Page, 600 Sets per Book</t>
  </si>
  <si>
    <t>128.2</t>
  </si>
  <si>
    <t>SAFCO Folding Chair Trolley</t>
  </si>
  <si>
    <t>Imation 3.5" DS/HD IBM Formatted Diskettes, 10/Pack</t>
  </si>
  <si>
    <t>Xerox 213</t>
  </si>
  <si>
    <t>Newell 321</t>
  </si>
  <si>
    <t>Newell 351</t>
  </si>
  <si>
    <t>Carlos Meador</t>
  </si>
  <si>
    <t>Acme Hot Forged Carbon Steel Scissors with Nickel-Plated Handles, 3 7/8" Cut, 8"L</t>
  </si>
  <si>
    <t>Staples Metal Binder Clips</t>
  </si>
  <si>
    <t>55.5</t>
  </si>
  <si>
    <t>Claire Good</t>
  </si>
  <si>
    <t>Eldon Cleatmat® Chair Mats for Medium Pile Carpets</t>
  </si>
  <si>
    <t>Benjamin Farhat</t>
  </si>
  <si>
    <t>Maxell 3.5" DS/HD IBM-Formatted Diskettes, 10/Pack</t>
  </si>
  <si>
    <t>Xerox 1898</t>
  </si>
  <si>
    <t>Xerox 1952</t>
  </si>
  <si>
    <t>Bart Folk</t>
  </si>
  <si>
    <t>Xerox 1949</t>
  </si>
  <si>
    <t>39.0</t>
  </si>
  <si>
    <t>Ibico Recycled Linen-Style Covers</t>
  </si>
  <si>
    <t>Vinyl Sectional Post Binders</t>
  </si>
  <si>
    <t>Brendan Sweed</t>
  </si>
  <si>
    <t>*Staples* vLetter Openers, 2/Pack</t>
  </si>
  <si>
    <t>Belkin ErgoBoard™ Keyboard</t>
  </si>
  <si>
    <t>White Dual Perf Computer Printout Paper, 2700 Sheets, 1 Part, Heavyweight, 20 lbs., 14 7/8 x 11</t>
  </si>
  <si>
    <t>26.4</t>
  </si>
  <si>
    <t>Adam Bellavance</t>
  </si>
  <si>
    <t>DAX Natural Wood-Tone Poster Frame</t>
  </si>
  <si>
    <t>Paul Lucas</t>
  </si>
  <si>
    <t>3M Organizer Strips</t>
  </si>
  <si>
    <t>Universal Premium White Copier/Laser Paper (20Lb. and 87 Bright)</t>
  </si>
  <si>
    <t>Tennsco Snap-Together Open Shelving Units, Starter Sets and Add-On Units</t>
  </si>
  <si>
    <t>Aleksandra Gannaway</t>
  </si>
  <si>
    <t>REDIFORM Incoming/Outgoing Call Register, 11" X 8 1/2", 100 Messages</t>
  </si>
  <si>
    <t>Xerox 1897</t>
  </si>
  <si>
    <t>19.8</t>
  </si>
  <si>
    <t>Prismacolor Color Pencil Set</t>
  </si>
  <si>
    <t>Stefania Perrino</t>
  </si>
  <si>
    <t>Arthur Wiediger</t>
  </si>
  <si>
    <t>Accessory25</t>
  </si>
  <si>
    <t>Staples Surge Protector 6 outlet</t>
  </si>
  <si>
    <t>Global Adaptabilities™ Conference Tables</t>
  </si>
  <si>
    <t>Tony Molinari</t>
  </si>
  <si>
    <t>Hammermill Color Copier Paper (28Lb. and 96 Bright)</t>
  </si>
  <si>
    <t>Karen Ferguson</t>
  </si>
  <si>
    <t>172.9</t>
  </si>
  <si>
    <t>Ibico EB-19 Dual Function Manual Binding System</t>
  </si>
  <si>
    <t>5180</t>
  </si>
  <si>
    <t>20.4</t>
  </si>
  <si>
    <t>Kensington 6 Outlet Guardian Standard Surge Protector</t>
  </si>
  <si>
    <t>Duane Huffman</t>
  </si>
  <si>
    <t>GBC Wire Binding Strips</t>
  </si>
  <si>
    <t>Storex Dura Pro™ Binders</t>
  </si>
  <si>
    <t>Xerox 231</t>
  </si>
  <si>
    <t>218.0</t>
  </si>
  <si>
    <t>Lifetime Advantage™ Folding Chairs, 4/Carton</t>
  </si>
  <si>
    <t>Bill Shonely</t>
  </si>
  <si>
    <t>Cyma Kinney</t>
  </si>
  <si>
    <t>Array® Memo Cubes</t>
  </si>
  <si>
    <t>Avery Hi-Liter® Smear-Safe Highlighters</t>
  </si>
  <si>
    <t>Lisa Ryan</t>
  </si>
  <si>
    <t>Master Caster Door Stop, Large Neon Orange</t>
  </si>
  <si>
    <t>Economy Binders</t>
  </si>
  <si>
    <t>Astrea Jones</t>
  </si>
  <si>
    <t>5</t>
  </si>
  <si>
    <t>Advantus Plastic Paper Clips</t>
  </si>
  <si>
    <t>Hewlett Packard 6S Scientific Calculator</t>
  </si>
  <si>
    <t>Mitch Gastineau</t>
  </si>
  <si>
    <t>Cardinal Holdit Business Card Pockets</t>
  </si>
  <si>
    <t>256.9</t>
  </si>
  <si>
    <t>Hayes Optima 56K V.90 Internal Voice Modem</t>
  </si>
  <si>
    <t>Mathew Reese</t>
  </si>
  <si>
    <t>Boston 1799 Powerhouse™ Electric Pencil Sharpener</t>
  </si>
  <si>
    <t>Emily Grady</t>
  </si>
  <si>
    <t>Avery 494</t>
  </si>
  <si>
    <t>Nathan Gelder</t>
  </si>
  <si>
    <t>Newell 31</t>
  </si>
  <si>
    <t>77.5</t>
  </si>
  <si>
    <t>Justin Ellison</t>
  </si>
  <si>
    <t>Micro Innovations Media Access Pro Keyboard</t>
  </si>
  <si>
    <t>42.8</t>
  </si>
  <si>
    <t>Wilson Jones Elliptical Ring 3 1/2" Capacity Binders, 800 sheets</t>
  </si>
  <si>
    <t>Nancy Lomonaco</t>
  </si>
  <si>
    <t>Global Airflow Leather Mesh Back Chair, Black</t>
  </si>
  <si>
    <t>Kensington 6 Outlet SmartSocket Surge Protector</t>
  </si>
  <si>
    <t>262.1</t>
  </si>
  <si>
    <t>Bevis Boat-Shaped Conference Table</t>
  </si>
  <si>
    <t>3.1</t>
  </si>
  <si>
    <t>Denise Leinenbach</t>
  </si>
  <si>
    <t>Self-Adhesive Removable Labels</t>
  </si>
  <si>
    <t>Tracy Hopkins</t>
  </si>
  <si>
    <t>Bruce Degenhardt</t>
  </si>
  <si>
    <t>Mitch Webber</t>
  </si>
  <si>
    <t>27.1</t>
  </si>
  <si>
    <t>Tyvek ® Top-Opening Peel &amp; Seel Envelopes, Plain White</t>
  </si>
  <si>
    <t>Dianna Vittorini</t>
  </si>
  <si>
    <t>Wilson Jones Custom Binder Spines &amp; Labels</t>
  </si>
  <si>
    <t>26.3</t>
  </si>
  <si>
    <t>Xerox 1883</t>
  </si>
  <si>
    <t>Accessory37</t>
  </si>
  <si>
    <t>V2397</t>
  </si>
  <si>
    <t>270c</t>
  </si>
  <si>
    <t>Meg O'Connel</t>
  </si>
  <si>
    <t>Berenike Kampe</t>
  </si>
  <si>
    <t>Dan Reichenbach</t>
  </si>
  <si>
    <t>Ralph Arnett</t>
  </si>
  <si>
    <t>Tripp Lite Isotel 6 Outlet Surge Protector with Fax/Modem Protection</t>
  </si>
  <si>
    <t>Tyvek ® Top-Opening Peel &amp; Seel ® Envelopes, Gray</t>
  </si>
  <si>
    <t>Sheri Gordon</t>
  </si>
  <si>
    <t>Dixon My First Ticonderoga Pencil, #2</t>
  </si>
  <si>
    <t>Xerox 216</t>
  </si>
  <si>
    <t>Claudia Miner</t>
  </si>
  <si>
    <t>TI 36X Solar Scientific Calculator</t>
  </si>
  <si>
    <t>Avery 482</t>
  </si>
  <si>
    <t>15.3</t>
  </si>
  <si>
    <t>Eldon Jumbo ProFile™ Portable File Boxes Graphite/Black</t>
  </si>
  <si>
    <t>Dixon Ticonderoga Core-Lock Colored Pencils</t>
  </si>
  <si>
    <t>64.6</t>
  </si>
  <si>
    <t>Space Solutions Commercial Steel Shelving</t>
  </si>
  <si>
    <t>Steve Carroll</t>
  </si>
  <si>
    <t>Hon Every-Day® Chair Series Swivel Task Chairs</t>
  </si>
  <si>
    <t>Artistic Insta-Plaque</t>
  </si>
  <si>
    <t>Avery Non-Stick Binders</t>
  </si>
  <si>
    <t>Robert Marley</t>
  </si>
  <si>
    <t>Plymouth Boxed Rubber Bands by Plymouth</t>
  </si>
  <si>
    <t>Accessory32</t>
  </si>
  <si>
    <t>Staples #10 Colored Envelopes</t>
  </si>
  <si>
    <t>Vivian Mathis</t>
  </si>
  <si>
    <t>Elpida Rittenbach</t>
  </si>
  <si>
    <t>5125</t>
  </si>
  <si>
    <t>Canon F603 Scientific Calculator</t>
  </si>
  <si>
    <t>Newell 308</t>
  </si>
  <si>
    <t>Gary Zandusky</t>
  </si>
  <si>
    <t>Meg Tillman</t>
  </si>
  <si>
    <t>145.9</t>
  </si>
  <si>
    <t>Tamara Willingham</t>
  </si>
  <si>
    <t>Bevis Rectangular Conference Tables</t>
  </si>
  <si>
    <t>Grace Kelly</t>
  </si>
  <si>
    <t>Tennsco Lockers, Sand</t>
  </si>
  <si>
    <t>SC-3160</t>
  </si>
  <si>
    <t>Alejandro Savely</t>
  </si>
  <si>
    <t>Tom Boeckenhauer</t>
  </si>
  <si>
    <t>Xerox 23</t>
  </si>
  <si>
    <t>Cindy Stewart</t>
  </si>
  <si>
    <t>Staples Pen Style Liquid Stix; Assorted (yellow, pink, green, blue, orange), 5/Pack</t>
  </si>
  <si>
    <t>SANFORD Liquid Accent™ Tank-Style Highlighters</t>
  </si>
  <si>
    <t>1270.9</t>
  </si>
  <si>
    <t>Fellowes PB500 Electric Punch Plastic Comb Binding Machine with Manual Bind</t>
  </si>
  <si>
    <t>Xerox 1937</t>
  </si>
  <si>
    <t>Tenex B1-RE Series Chair Mats for Low Pile Carpets</t>
  </si>
  <si>
    <t>44.0</t>
  </si>
  <si>
    <t>George Zrebassa</t>
  </si>
  <si>
    <t>Acco Smartsocket® Color-Coded Six-Outlet AC Adapter Model Surge Protectors</t>
  </si>
  <si>
    <t>1.2</t>
  </si>
  <si>
    <t>Bagged Rubber Bands</t>
  </si>
  <si>
    <t>284.9</t>
  </si>
  <si>
    <t>Global Commerce™ Series High-Back Swivel/Tilt Chairs</t>
  </si>
  <si>
    <t>Pauline Webber</t>
  </si>
  <si>
    <t>Ben Wallace</t>
  </si>
  <si>
    <t>8.8</t>
  </si>
  <si>
    <t>Nat Gilpin</t>
  </si>
  <si>
    <t>GBC Standard Plastic Binding Systems Combs</t>
  </si>
  <si>
    <t>Tom Prescott</t>
  </si>
  <si>
    <t>Imation 3.5" DS-HD Macintosh Formatted Diskettes, 10/Pack</t>
  </si>
  <si>
    <t>Pete Takahito</t>
  </si>
  <si>
    <t>Harold Pawlan</t>
  </si>
  <si>
    <t>Eva Jacobs</t>
  </si>
  <si>
    <t>Xerox 1928</t>
  </si>
  <si>
    <t>Theone Pippenger</t>
  </si>
  <si>
    <t>Xerox 1906</t>
  </si>
  <si>
    <t>449.9</t>
  </si>
  <si>
    <t>Canon PC940 Copier</t>
  </si>
  <si>
    <t>Sam Zeldin</t>
  </si>
  <si>
    <t>Eldon Imàge® Series Desk Accessories, Clear</t>
  </si>
  <si>
    <t>17.0</t>
  </si>
  <si>
    <t>Recycled Interoffice Envelopes with Re-Use-A-Seal® Closure, 10 x 13</t>
  </si>
  <si>
    <t>105.2</t>
  </si>
  <si>
    <t>Eldon Antistatic Chair Mats for Low to Medium Pile Carpets</t>
  </si>
  <si>
    <t>Henry MacAllister</t>
  </si>
  <si>
    <t>17.1</t>
  </si>
  <si>
    <t>Maribeth Dona</t>
  </si>
  <si>
    <t>Advantus Rolling Storage Box</t>
  </si>
  <si>
    <t>Logitech Internet Navigator Keyboard</t>
  </si>
  <si>
    <t>177.9</t>
  </si>
  <si>
    <t>Rick Hansen</t>
  </si>
  <si>
    <t>Kensington 7 Outlet MasterPiece Power Center</t>
  </si>
  <si>
    <t>Dianna Arnett</t>
  </si>
  <si>
    <t>315.9</t>
  </si>
  <si>
    <t>Susan Pistek</t>
  </si>
  <si>
    <t>GBC ProClick™ 150 Presentation Binding System</t>
  </si>
  <si>
    <t>Karl Brown</t>
  </si>
  <si>
    <t>Avery Hanging File Binders</t>
  </si>
  <si>
    <t>Xerox 1905</t>
  </si>
  <si>
    <t>Storex DuraTech Recycled Plastic Frosted Binders</t>
  </si>
  <si>
    <t>Randy Bradley</t>
  </si>
  <si>
    <t>Eldon® Expressions™ Wood Desk Accessories, Oak</t>
  </si>
  <si>
    <t>Xerox 193</t>
  </si>
  <si>
    <t>10.8</t>
  </si>
  <si>
    <t>Belkin 6 Outlet Metallic Surge Strip</t>
  </si>
  <si>
    <t>Staples Plastic Wall Frames</t>
  </si>
  <si>
    <t>Barbara Fisher</t>
  </si>
  <si>
    <t>ACCOHIDE® Binder by Acco</t>
  </si>
  <si>
    <t>Charles Sheldon</t>
  </si>
  <si>
    <t>Fellowes Basic 104-Key Keyboard, Platinum</t>
  </si>
  <si>
    <t>51.7</t>
  </si>
  <si>
    <t>Howard Miller 13-3/4" Diameter Brushed Chrome Round Wall Clock</t>
  </si>
  <si>
    <t>33.8</t>
  </si>
  <si>
    <t>File Shuttle II and Handi-File, Black</t>
  </si>
  <si>
    <t>Lela Donovan</t>
  </si>
  <si>
    <t>Staples Battery-Operated Desktop Pencil Sharpener</t>
  </si>
  <si>
    <t>Jesus Ocampo</t>
  </si>
  <si>
    <t>Fluorescent Highlighters by Dixon</t>
  </si>
  <si>
    <t>Manila Recycled Extra-Heavyweight Clasp Envelopes, 6" x 9"</t>
  </si>
  <si>
    <t>Avery 481</t>
  </si>
  <si>
    <t>Ralph Kennedy</t>
  </si>
  <si>
    <t>Avery 492</t>
  </si>
  <si>
    <t>25.3</t>
  </si>
  <si>
    <t>Charlotte Melton</t>
  </si>
  <si>
    <t>Executive Impressions 13" Chairman Wall Clock</t>
  </si>
  <si>
    <t>Corinna Mitchell</t>
  </si>
  <si>
    <t>Epson C82 Color Inkjet Printer</t>
  </si>
  <si>
    <t>Avery Durable Binders</t>
  </si>
  <si>
    <t>304.9</t>
  </si>
  <si>
    <t>Ibico Hi-Tech Manual Binding System</t>
  </si>
  <si>
    <t>V 3600 Series</t>
  </si>
  <si>
    <t>Bobby Trafton</t>
  </si>
  <si>
    <t>StarTAC ST7762</t>
  </si>
  <si>
    <t>Iris Project Case</t>
  </si>
  <si>
    <t>Ampad #10 Peel &amp; Seel® Holiday Envelopes</t>
  </si>
  <si>
    <t>Newell 333</t>
  </si>
  <si>
    <t>T193</t>
  </si>
  <si>
    <t>Chuck Magee</t>
  </si>
  <si>
    <t>Prang Drawing Pencil Set</t>
  </si>
  <si>
    <t>Shirley Jackson</t>
  </si>
  <si>
    <t>Lindsay Williams</t>
  </si>
  <si>
    <t>Westinghouse Clip-On Gooseneck Lamps</t>
  </si>
  <si>
    <t>Brad Norvell</t>
  </si>
  <si>
    <t>2160i</t>
  </si>
  <si>
    <t>Tony Chapman</t>
  </si>
  <si>
    <t>70.8</t>
  </si>
  <si>
    <t>KI Conference Tables</t>
  </si>
  <si>
    <t>15.0</t>
  </si>
  <si>
    <t>Logan Haushalter</t>
  </si>
  <si>
    <t>GBC Prepunched Paper, 19-Hole, for Binding Systems, 24-lb</t>
  </si>
  <si>
    <t>17.5</t>
  </si>
  <si>
    <t>Rob Williams</t>
  </si>
  <si>
    <t>Bionaire 99.97% HEPA Air Cleaner</t>
  </si>
  <si>
    <t>Seth Vernon</t>
  </si>
  <si>
    <t>Avery Poly Binder Pockets</t>
  </si>
  <si>
    <t>Xerox 196</t>
  </si>
  <si>
    <t>Barrel Sharpener</t>
  </si>
  <si>
    <t>Nathan Cano</t>
  </si>
  <si>
    <t>Xerox 214</t>
  </si>
  <si>
    <t>Susan MacKendrick</t>
  </si>
  <si>
    <t>Frank Olsen</t>
  </si>
  <si>
    <t>Staples Vinyl Coated Paper Clips, 800/Box</t>
  </si>
  <si>
    <t>63.9</t>
  </si>
  <si>
    <t>Howard Miller 16" Diameter Gallery Wall Clock</t>
  </si>
  <si>
    <t>Newell 312</t>
  </si>
  <si>
    <t>Kean Takahito</t>
  </si>
  <si>
    <t>Binding Machine Supplies</t>
  </si>
  <si>
    <t>Aaron Bergman</t>
  </si>
  <si>
    <t>99.2</t>
  </si>
  <si>
    <t>GE 48" Fluorescent Tube, Cool White Energy Saver, 34 Watts, 30/Box</t>
  </si>
  <si>
    <t>Edward Hooks</t>
  </si>
  <si>
    <t>Binder Posts</t>
  </si>
  <si>
    <t>17.4</t>
  </si>
  <si>
    <t>Maxell Pro 80 Minute CD-R, 10/Pack</t>
  </si>
  <si>
    <t>Andrew Roberts</t>
  </si>
  <si>
    <t>10.0</t>
  </si>
  <si>
    <t>Riverleaf Stik-Withit® Designer Note Cubes®</t>
  </si>
  <si>
    <t>Bush Mission Pointe Library</t>
  </si>
  <si>
    <t>Neil Ducich</t>
  </si>
  <si>
    <t>Peel-Off® China Markers</t>
  </si>
  <si>
    <t>Round Specialty Laser Printer Labels</t>
  </si>
  <si>
    <t>146.3</t>
  </si>
  <si>
    <t>Bevis Round Conference Table Top &amp; Single Column Base</t>
  </si>
  <si>
    <t>1.4</t>
  </si>
  <si>
    <t>Liz Willingham</t>
  </si>
  <si>
    <t>Binder Clips by OIC</t>
  </si>
  <si>
    <t>165.2</t>
  </si>
  <si>
    <t>Economy Rollaway Files</t>
  </si>
  <si>
    <t>Edward Nazzal</t>
  </si>
  <si>
    <t>Recycled Interoffice Envelopes with String and Button Closure, 10 x 13</t>
  </si>
  <si>
    <t>Xerox 1908</t>
  </si>
  <si>
    <t>290.9</t>
  </si>
  <si>
    <t>Hon 5100 Series Wood Tables</t>
  </si>
  <si>
    <t>GBC Instant Index™ System for Binding Systems</t>
  </si>
  <si>
    <t>Avery 514</t>
  </si>
  <si>
    <t>Carina Double Wide Media Storage Towers in Natural &amp; Black</t>
  </si>
  <si>
    <t>Michael Granlund</t>
  </si>
  <si>
    <t>21.7</t>
  </si>
  <si>
    <t>Holmes HEPA Air Purifier</t>
  </si>
  <si>
    <t>Avery 520</t>
  </si>
  <si>
    <t>Wilson Jones DublLock® D-Ring Binders</t>
  </si>
  <si>
    <t>Self-Adhesive Ring Binder Labels</t>
  </si>
  <si>
    <t>Anne Pryor</t>
  </si>
  <si>
    <t>252</t>
  </si>
  <si>
    <t>CF 688</t>
  </si>
  <si>
    <t>Ken Dana</t>
  </si>
  <si>
    <t>Xerox 1986</t>
  </si>
  <si>
    <t>Master Caster Door Stop, Brown</t>
  </si>
  <si>
    <t>137.4</t>
  </si>
  <si>
    <t>O'Sullivan Cherrywood Estates Traditional Barrister Bookcase</t>
  </si>
  <si>
    <t>Troy Blackwell</t>
  </si>
  <si>
    <t>Acco Pressboard Covers with Storage Hooks, 14 7/8" x 11", Dark Blue</t>
  </si>
  <si>
    <t>Craig Rider</t>
  </si>
  <si>
    <t>VTech VT20-2481 2.4GHz Two-Line Phone System w/Answering Machine</t>
  </si>
  <si>
    <t>Boston School Pro Electric Pencil Sharpener, 1670</t>
  </si>
  <si>
    <t>Eldon Expressions Mahogany Wood Desk Collection</t>
  </si>
  <si>
    <t>260.9</t>
  </si>
  <si>
    <t>Atlantic Metals Mobile 3-Shelf Bookcases, Custom Colors</t>
  </si>
  <si>
    <t>Alice McCarthy</t>
  </si>
  <si>
    <t>6185</t>
  </si>
  <si>
    <t>136.9</t>
  </si>
  <si>
    <t>3M Polarizing Task Lamp with Clamp Arm, Light Gray</t>
  </si>
  <si>
    <t>TDK 4.7GB DVD-R</t>
  </si>
  <si>
    <t>Darrin Martin</t>
  </si>
  <si>
    <t>Lexmark Z55se Color Inkjet Printer</t>
  </si>
  <si>
    <t>i1000plus</t>
  </si>
  <si>
    <t>Bryan Mills</t>
  </si>
  <si>
    <t>Bell Sonecor JB700 Caller ID</t>
  </si>
  <si>
    <t>Wirebound Four 2-3/4 x 5 Forms per Page, 400 Sets per Book</t>
  </si>
  <si>
    <t>Rob Dowd</t>
  </si>
  <si>
    <t>Newell 346</t>
  </si>
  <si>
    <t>Bobby Odegard</t>
  </si>
  <si>
    <t>Accessory20</t>
  </si>
  <si>
    <t>Pressboard Covers with Storage Hooks, 9 1/2" x 11", Light Blue</t>
  </si>
  <si>
    <t>Imation 3.5" Unformatted DS/HD Diskettes, 10/Box</t>
  </si>
  <si>
    <t>21.6</t>
  </si>
  <si>
    <t>Holmes 99% HEPA Air Purifier</t>
  </si>
  <si>
    <t>Acme® 8" Straight Scissors</t>
  </si>
  <si>
    <t>MicroTAC 650</t>
  </si>
  <si>
    <t>115.7</t>
  </si>
  <si>
    <t>Verbatim DVD-R, 4.7GB, Spindle, WE, Blank, Ink Jet/Thermal, 20/Spindle</t>
  </si>
  <si>
    <t>Xerox 1978</t>
  </si>
  <si>
    <t>Irene Maddox</t>
  </si>
  <si>
    <t>Super Bands, 12/Pack</t>
  </si>
  <si>
    <t>Liz Carlisle</t>
  </si>
  <si>
    <t>John Castell</t>
  </si>
  <si>
    <t>Brosina Hoffman</t>
  </si>
  <si>
    <t>Cari MacIntyre</t>
  </si>
  <si>
    <t>GBC Standard Plastic Binding Systems' Combs</t>
  </si>
  <si>
    <t>Todd Boyes</t>
  </si>
  <si>
    <t>Large Capacity Hanging Post Binders</t>
  </si>
  <si>
    <t>1889.9</t>
  </si>
  <si>
    <t>Ibico EPK-21 Electric Binding System</t>
  </si>
  <si>
    <t>Julia Dunbar</t>
  </si>
  <si>
    <t>Xerox 1982</t>
  </si>
  <si>
    <t>Memorex 80 Minute CD-R Spindle, 100/Pack</t>
  </si>
  <si>
    <t>Avery Binder Labels</t>
  </si>
  <si>
    <t>Don Jones</t>
  </si>
  <si>
    <t>Joseph Airdo</t>
  </si>
  <si>
    <t>101.4</t>
  </si>
  <si>
    <t>Jeremy Pistek</t>
  </si>
  <si>
    <t>Tennsco Regal Shelving Units</t>
  </si>
  <si>
    <t>Eureka The Boss® Cordless Rechargeable Stick Vac</t>
  </si>
  <si>
    <t>49.4</t>
  </si>
  <si>
    <t>Stewart Carmichael</t>
  </si>
  <si>
    <t>Eureka Hand Vacuum, Bagless</t>
  </si>
  <si>
    <t>Recycled Premium Regency Composition Covers</t>
  </si>
  <si>
    <t>Jim Sink</t>
  </si>
  <si>
    <t>636</t>
  </si>
  <si>
    <t>A1228</t>
  </si>
  <si>
    <t>16.7</t>
  </si>
  <si>
    <t>Rogers® Profile Extra Capacity Storage Tub</t>
  </si>
  <si>
    <t>Max Jones</t>
  </si>
  <si>
    <t>Global Troy™ Executive Leather Low-Back Tilter</t>
  </si>
  <si>
    <t>Gary McGarr</t>
  </si>
  <si>
    <t>LX 677</t>
  </si>
  <si>
    <t>Brendan Dodson</t>
  </si>
  <si>
    <t>Mark Packer</t>
  </si>
  <si>
    <t>Allen Rosenblatt</t>
  </si>
  <si>
    <t>Max Ludwig</t>
  </si>
  <si>
    <t>3502.1</t>
  </si>
  <si>
    <t>Alan Dominguez</t>
  </si>
  <si>
    <t>Okidata Pacemark 4410N Wide Format Dot Matrix Printer</t>
  </si>
  <si>
    <t>7.4</t>
  </si>
  <si>
    <t>Acco Four Pocket Poly Ring Binder with Label Holder, Smoke, 1"</t>
  </si>
  <si>
    <t>Accessory23</t>
  </si>
  <si>
    <t>46.9</t>
  </si>
  <si>
    <t>Howard Miller 13" Diameter Goldtone Round Wall Clock</t>
  </si>
  <si>
    <t>Erin Creighton</t>
  </si>
  <si>
    <t>808.4</t>
  </si>
  <si>
    <t>Hewlett-Packard Business Color Inkjet 3000 [N, DTN] Series Printers</t>
  </si>
  <si>
    <t>Ben Peterman</t>
  </si>
  <si>
    <t>Anderson Hickey Conga Table Tops &amp; Accessories</t>
  </si>
  <si>
    <t>Imation 5.2GB DVD-RAM</t>
  </si>
  <si>
    <t>10.3</t>
  </si>
  <si>
    <t>Speediset Carbonless Redi-Letter® 7" x 8 1/2"</t>
  </si>
  <si>
    <t>424.2</t>
  </si>
  <si>
    <t>Bush Advantage Collection® Racetrack Conference Table</t>
  </si>
  <si>
    <t>Thomas Seio</t>
  </si>
  <si>
    <t>Hewlett-Packard Deskjet 6122 Color Inkjet Printer</t>
  </si>
  <si>
    <t>Eldon® 200 Class™ Desk Accessories</t>
  </si>
  <si>
    <t>Office Star - Ergonomic Mid Back Chair with 2-Way Adjustable Arms</t>
  </si>
  <si>
    <t>Acme Galleria® Hot Forged Steel Scissors with Colored Handles</t>
  </si>
  <si>
    <t>Logitech Cordless Navigator Duo</t>
  </si>
  <si>
    <t>SimpliFile™ Personal File, Black Granite, 15w x 6-15/16d x 11-1/4h</t>
  </si>
  <si>
    <t>Sarah Brown</t>
  </si>
  <si>
    <t>Luke Foster</t>
  </si>
  <si>
    <t>Greg Maxwell</t>
  </si>
  <si>
    <t>Deanra Eno</t>
  </si>
  <si>
    <t>Justin Hirsh</t>
  </si>
  <si>
    <t>Ivan Gibson</t>
  </si>
  <si>
    <t>Xerox 1995</t>
  </si>
  <si>
    <t>Maria Etezadi</t>
  </si>
  <si>
    <t>Acme® Preferred Stainless Steel Scissors</t>
  </si>
  <si>
    <t>5170</t>
  </si>
  <si>
    <t>i500plus</t>
  </si>
  <si>
    <t>41.9</t>
  </si>
  <si>
    <t>Paul Van Hugh</t>
  </si>
  <si>
    <t>Avery Trapezoid Extra Heavy Duty 4" Binders</t>
  </si>
  <si>
    <t>Accessory24</t>
  </si>
  <si>
    <t>Imation 3.5" IBM-Formatted Diskettes, 10/Pack</t>
  </si>
  <si>
    <t>Shaun Chance</t>
  </si>
  <si>
    <t>Xerox 1930</t>
  </si>
  <si>
    <t>10.5</t>
  </si>
  <si>
    <t>Ultra Door Pull Handle</t>
  </si>
  <si>
    <t>Xerox 1920</t>
  </si>
  <si>
    <t>Gary Mitchum</t>
  </si>
  <si>
    <t>Avery White Multi-Purpose Labels</t>
  </si>
  <si>
    <t>Ann Chong</t>
  </si>
  <si>
    <t>80.4</t>
  </si>
  <si>
    <t>APC 7 Outlet Network SurgeArrest Surge Protector</t>
  </si>
  <si>
    <t>Jonathan Howell</t>
  </si>
  <si>
    <t>Accessory28</t>
  </si>
  <si>
    <t>DAX Copper Panel Document Frame, 5 x 7 Size</t>
  </si>
  <si>
    <t>124.4</t>
  </si>
  <si>
    <t>Bevis 36 x 72 Conference Tables</t>
  </si>
  <si>
    <t>Jim Mitchum</t>
  </si>
  <si>
    <t>3395</t>
  </si>
  <si>
    <t>Newell 307</t>
  </si>
  <si>
    <t>Barry Gonzalez</t>
  </si>
  <si>
    <t>MaryBeth Skach</t>
  </si>
  <si>
    <t>Stanley Bostitch Contemporary Electric Pencil Sharpeners</t>
  </si>
  <si>
    <t>282</t>
  </si>
  <si>
    <t>Safco Value Mate Steel Bookcase, Baked Enamel Finish on Steel, Black</t>
  </si>
  <si>
    <t>Maya Herman</t>
  </si>
  <si>
    <t>Accessory15</t>
  </si>
  <si>
    <t>Aaron Hawkins</t>
  </si>
  <si>
    <t>Toby Braunhardt</t>
  </si>
  <si>
    <t>Electrix 20W Halogen Replacement Bulb for Zoom-In Desk Lamp</t>
  </si>
  <si>
    <t>Sarah Foster</t>
  </si>
  <si>
    <t>209.3</t>
  </si>
  <si>
    <t>Hon 2111 Invitation™ Series Corner Table</t>
  </si>
  <si>
    <t>BOSTON® Ranger® #55 Pencil Sharpener, Black</t>
  </si>
  <si>
    <t>Novimex High-Tech Fabric Mesh Task Chair</t>
  </si>
  <si>
    <t>Staples Copy Paper (20Lb. and 84 Bright)</t>
  </si>
  <si>
    <t>Jas O'Carroll</t>
  </si>
  <si>
    <t>Xerox 190</t>
  </si>
  <si>
    <t>549.9</t>
  </si>
  <si>
    <t>Sharp 1540cs Digital Laser Copier</t>
  </si>
  <si>
    <t>Multi-Use Personal File Cart and Caster Set, Three Stacking Bins</t>
  </si>
  <si>
    <t>Tom Zandusky</t>
  </si>
  <si>
    <t>Lisa Hazard</t>
  </si>
  <si>
    <t>3390</t>
  </si>
  <si>
    <t>54.1</t>
  </si>
  <si>
    <t>Desktop 3-Pocket Hot File®</t>
  </si>
  <si>
    <t>Hanging Personal Folder File</t>
  </si>
  <si>
    <t>Tennsco Double-Tier Lockers</t>
  </si>
  <si>
    <t>4.3</t>
  </si>
  <si>
    <t>Daniel Lacy</t>
  </si>
  <si>
    <t>Eureka Sanitaire ® Multi-Pro Heavy-Duty Upright, Disposable Bags</t>
  </si>
  <si>
    <t>100.8</t>
  </si>
  <si>
    <t>Matthew Grinstein</t>
  </si>
  <si>
    <t>Office Star Flex Back Scooter Chair with Aluminum Finish Frame</t>
  </si>
  <si>
    <t>Tennsco Industrial Shelving</t>
  </si>
  <si>
    <t>Sean Braxton</t>
  </si>
  <si>
    <t>Wirebound Service Call Books, 5 1/2" x 4"</t>
  </si>
  <si>
    <t>Patrick Gardner</t>
  </si>
  <si>
    <t>Arianne Irving</t>
  </si>
  <si>
    <t>Ed Ludwig</t>
  </si>
  <si>
    <t>Tyvek Interoffice Envelopes, 9 1/2" x 12 1/2", 100/Box</t>
  </si>
  <si>
    <t>Monica Federle</t>
  </si>
  <si>
    <t>52.4</t>
  </si>
  <si>
    <t>Ibico Laser Imprintable Binding System Covers</t>
  </si>
  <si>
    <t>Xerox 1985</t>
  </si>
  <si>
    <t>8.5</t>
  </si>
  <si>
    <t>Joni Wasserman</t>
  </si>
  <si>
    <t>Hewlett-Packard 4.7GB DVD+R Discs</t>
  </si>
  <si>
    <t>600 Series Flip</t>
  </si>
  <si>
    <t>53.9</t>
  </si>
  <si>
    <t>Nu-Form 106-Key Ergonomic Keyboard w/ Touchpad</t>
  </si>
  <si>
    <t>Xerox 1989</t>
  </si>
  <si>
    <t>Patrick O'Donnell</t>
  </si>
  <si>
    <t>Xerox 20</t>
  </si>
  <si>
    <t>Matthew Clasen</t>
  </si>
  <si>
    <t>17.2</t>
  </si>
  <si>
    <t>Fiskars 8" Scissors, 2/Pack</t>
  </si>
  <si>
    <t>Steve Chapman</t>
  </si>
  <si>
    <t>Chuck Clark</t>
  </si>
  <si>
    <t>95.4</t>
  </si>
  <si>
    <t>Fellowes Stor/Drawer® Steel Plus™ Storage Drawers</t>
  </si>
  <si>
    <t>Serrated Blade or Curved Handle Hand Letter Openers</t>
  </si>
  <si>
    <t>Michael Kennedy</t>
  </si>
  <si>
    <t>GBC Imprintable Covers</t>
  </si>
  <si>
    <t>535.6</t>
  </si>
  <si>
    <t>Katherine Murray</t>
  </si>
  <si>
    <t>Epson LQ-870 Dot Matrix Printer</t>
  </si>
  <si>
    <t>22.2</t>
  </si>
  <si>
    <t>Executive Impressions 14" Contract Wall Clock</t>
  </si>
  <si>
    <t>Ralph Knight</t>
  </si>
  <si>
    <t>Memo Book, 100 Message Capacity, 5 3/8” x 11”</t>
  </si>
  <si>
    <t>Quartet Alpha® White Chalk, 12/Pack</t>
  </si>
  <si>
    <t>Adams Write n' Stick Phone Message Book, 11" X 5 1/4", 200 Messages</t>
  </si>
  <si>
    <t>Hoover Replacement Belts For Soft Guard™ &amp; Commercial Ltweight Upright Vacs, 2/Pk</t>
  </si>
  <si>
    <t>367.9</t>
  </si>
  <si>
    <t>Ibico Ibimaster 300 Manual Binding System</t>
  </si>
  <si>
    <t>8.4</t>
  </si>
  <si>
    <t>Imation 3.5 IBM Diskettes, 10/Box</t>
  </si>
  <si>
    <t>GE 4 Foot Flourescent Tube, 40 Watt</t>
  </si>
  <si>
    <t>300 Series Non-Flip</t>
  </si>
  <si>
    <t>286.8</t>
  </si>
  <si>
    <t>Riverside Furniture Stanwyck Manor Table Series</t>
  </si>
  <si>
    <t>Xerox 1907</t>
  </si>
  <si>
    <t>Sarah Bern</t>
  </si>
  <si>
    <t>Mike Pelletier</t>
  </si>
  <si>
    <t>Eldon Shelf Savers™ Cubes and Bins</t>
  </si>
  <si>
    <t>Speros Goranitis</t>
  </si>
  <si>
    <t>Lauren Leatherbury</t>
  </si>
  <si>
    <t>Xerox 1950</t>
  </si>
  <si>
    <t>Avery® Durable Slant Ring Binders With Label Holder</t>
  </si>
  <si>
    <t>Shaun Weien</t>
  </si>
  <si>
    <t>Xerox 1896</t>
  </si>
  <si>
    <t>Xerox 224</t>
  </si>
  <si>
    <t>Zebra Zazzle Fluorescent Highlighters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</si>
  <si>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</si>
  <si>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</si>
  <si>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</si>
  <si>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</si>
  <si>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</si>
  <si>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</si>
  <si>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Xerox 1973</t>
  </si>
  <si>
    <t>Darrin Sayre</t>
  </si>
  <si>
    <t>Nick Radford</t>
  </si>
  <si>
    <t>111.0</t>
  </si>
  <si>
    <t>Fellowes Recycled Storage Drawers</t>
  </si>
  <si>
    <t>Linden® 12" Wall Clock With Oak Frame</t>
  </si>
  <si>
    <t>Ed Jacobs</t>
  </si>
  <si>
    <t>Angle-D Binders with Locking Rings, Label Holders</t>
  </si>
  <si>
    <t>Jeremy Farry</t>
  </si>
  <si>
    <t>54.2</t>
  </si>
  <si>
    <t>Eric Hoffmann</t>
  </si>
  <si>
    <t>Eldon Advantage® Foldable Chair Mats for Low Pile Carpets</t>
  </si>
  <si>
    <t>Don Miller</t>
  </si>
  <si>
    <t>387.9</t>
  </si>
  <si>
    <t>Erin Mull</t>
  </si>
  <si>
    <t>Fellowes PB300 Plastic Comb Binding Machine</t>
  </si>
  <si>
    <t>Mark Cousins</t>
  </si>
  <si>
    <t>Linda Cazamias</t>
  </si>
  <si>
    <t>Canon BP1200DH 12-Digit Bubble Jet Printing Calculator</t>
  </si>
  <si>
    <t>688</t>
  </si>
  <si>
    <t>Pete Kriz</t>
  </si>
  <si>
    <t>Eldon Radial Chair Mat for Low to Medium Pile Carpets</t>
  </si>
  <si>
    <t>Ben Ferrer</t>
  </si>
  <si>
    <t>Eldon® 400 Class™ Desk Accessories, Black Carbon</t>
  </si>
  <si>
    <t>26.1</t>
  </si>
  <si>
    <t>Quality Park Security Envelopes</t>
  </si>
  <si>
    <t>Phillina Ober</t>
  </si>
  <si>
    <t>Ross Baird</t>
  </si>
  <si>
    <t>299.9</t>
  </si>
  <si>
    <t>Brother DCP1000 Digital 3 in 1 Multifunction Machine</t>
  </si>
  <si>
    <t>Toby Knight</t>
  </si>
  <si>
    <t>Letter or Legal Size Expandable Poly String Tie Envelopes</t>
  </si>
  <si>
    <t>Sanford 52201 APSCO Electric Pencil Sharpener</t>
  </si>
  <si>
    <t>Sung Chung</t>
  </si>
  <si>
    <t>Xerox 1976</t>
  </si>
  <si>
    <t>DAX Wood Document Frame.</t>
  </si>
  <si>
    <t>Paul Knutson</t>
  </si>
  <si>
    <t>Acme Kleencut® Forged Steel Scissors</t>
  </si>
  <si>
    <t>Fellowes Mighty 8 Compact Surge Protector</t>
  </si>
  <si>
    <t>Accessory21</t>
  </si>
  <si>
    <t>Novimex Turbo Task Chair</t>
  </si>
  <si>
    <t>Advantus Map Pennant Flags and Round Head Tacks</t>
  </si>
  <si>
    <t>Michelle Arnett</t>
  </si>
  <si>
    <t>Sue Ann Reed</t>
  </si>
  <si>
    <t>Accessory17</t>
  </si>
  <si>
    <t>Tensor Computer Mounted Lamp</t>
  </si>
  <si>
    <t>Roland Black</t>
  </si>
  <si>
    <t>Barry Blumstein</t>
  </si>
  <si>
    <t>Joseph Holt</t>
  </si>
  <si>
    <t>Microsoft Natural Multimedia Keyboard</t>
  </si>
  <si>
    <t>Jack Garza</t>
  </si>
  <si>
    <t>Xerox 1936</t>
  </si>
  <si>
    <t>Avery 487</t>
  </si>
  <si>
    <t>9.8</t>
  </si>
  <si>
    <t>Lumber Crayons</t>
  </si>
  <si>
    <t>41.3</t>
  </si>
  <si>
    <t>Deflect-o EconoMat Studded, No Bevel Mat for Low Pile Carpeting</t>
  </si>
  <si>
    <t>Dan Lawera</t>
  </si>
  <si>
    <t>Magna Visual Magnetic Picture Hangers</t>
  </si>
  <si>
    <t>7160</t>
  </si>
  <si>
    <t>StarTAC Analog</t>
  </si>
  <si>
    <t>Karen Carlisle</t>
  </si>
  <si>
    <t>Michelle Tran</t>
  </si>
  <si>
    <t>6.5</t>
  </si>
  <si>
    <t>Wilson Jones® Four-Pocket Poly Binders</t>
  </si>
  <si>
    <t>Hon Deluxe Fabric Upholstered Stacking Chairs</t>
  </si>
  <si>
    <t>67.2</t>
  </si>
  <si>
    <t>Catalog Binders with Expanding Posts</t>
  </si>
  <si>
    <t>*Staples* Letter Opener</t>
  </si>
  <si>
    <t>Doug Bickford</t>
  </si>
  <si>
    <t>O'Sullivan 3-Shelf Heavy-Duty Bookcases</t>
  </si>
  <si>
    <t>Duane Noonan</t>
  </si>
  <si>
    <t>Anna Andreadi</t>
  </si>
  <si>
    <t>John Stevenson</t>
  </si>
  <si>
    <t>Bart Pistole</t>
  </si>
  <si>
    <t>Hoover Replacement Belt for Commercial Guardsman Heavy-Duty Upright Vacuum</t>
  </si>
  <si>
    <t>9.3</t>
  </si>
  <si>
    <t>Eldon Expressions Punched Metal &amp; Wood Desk Accessories, Black &amp; Cherry</t>
  </si>
  <si>
    <t>Avery Durable Poly Binders</t>
  </si>
  <si>
    <t>19.0</t>
  </si>
  <si>
    <t>Eldon Expressions™ Desk Accessory, Wood Photo Frame, Mahogany</t>
  </si>
  <si>
    <t>Chad Sievert</t>
  </si>
  <si>
    <t>370.9</t>
  </si>
  <si>
    <t>Sauder Facets Collection Locker/File Cabinet, Sky Alder Finish</t>
  </si>
  <si>
    <t>297.4</t>
  </si>
  <si>
    <t>320.6</t>
  </si>
  <si>
    <t>Katherine Nockton</t>
  </si>
  <si>
    <t>Chromcraft 48" x 96" Racetrack Double Pedestal Table</t>
  </si>
  <si>
    <t>Nick Crebassa</t>
  </si>
  <si>
    <t>140.8</t>
  </si>
  <si>
    <t>Fellowes Strictly Business® Drawer File, Letter/Legal Size</t>
  </si>
  <si>
    <t>Ken Lonsdale</t>
  </si>
  <si>
    <t>John Murray</t>
  </si>
  <si>
    <t>291.7</t>
  </si>
  <si>
    <t>Hon Metal Bookcases, Black</t>
  </si>
  <si>
    <t>Prang Colored Pencils</t>
  </si>
  <si>
    <t>35.8</t>
  </si>
  <si>
    <t>Jet-Pak Recycled Peel 'N' Seal Padded Mailers</t>
  </si>
  <si>
    <t>11.4</t>
  </si>
  <si>
    <t>Personal Creations™ Ink Jet Cards and Labels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</si>
  <si>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</si>
  <si>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</si>
  <si>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</si>
  <si>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</si>
  <si>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</si>
  <si>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</si>
  <si>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Mick Hernandez</t>
  </si>
  <si>
    <t>104.6</t>
  </si>
  <si>
    <t>Eureka The Boss® Plus 12-Amp Hard Box Upright Vacuum, Red</t>
  </si>
  <si>
    <t>Hunt BOSTON® Vista® Battery-Operated Pencil Sharpener, Black</t>
  </si>
  <si>
    <t>Advantus Panel Wall Certificate Holder - 8.5x11</t>
  </si>
  <si>
    <t>Microsoft Multimedia Keyboard</t>
  </si>
  <si>
    <t>18.6</t>
  </si>
  <si>
    <t>3M Polarizing Light Filter Sleeves</t>
  </si>
  <si>
    <t>Damala Kotsonis</t>
  </si>
  <si>
    <t>Beth Paige</t>
  </si>
  <si>
    <t>3M Office Air Cleaner</t>
  </si>
  <si>
    <t>78.8</t>
  </si>
  <si>
    <t>Space Solutions™ Industrial Galvanized Steel Shelving.</t>
  </si>
  <si>
    <t>Laurel Workman</t>
  </si>
  <si>
    <t>Steven Roelle</t>
  </si>
  <si>
    <t>Magdelene Morse</t>
  </si>
  <si>
    <t>Hon Pagoda™ Stacking Chairs</t>
  </si>
  <si>
    <t>Alan Haines</t>
  </si>
  <si>
    <t>Dean Percer</t>
  </si>
  <si>
    <t>Staples Vinyl Coated Paper Clips</t>
  </si>
  <si>
    <t>Cathy Prescott</t>
  </si>
  <si>
    <t>Bruce Stewart</t>
  </si>
  <si>
    <t>Xerox 1880</t>
  </si>
  <si>
    <t>2.5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</si>
  <si>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</si>
  <si>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</si>
  <si>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</si>
  <si>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</si>
  <si>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</si>
  <si>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</si>
  <si>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Clay Cheatham</t>
  </si>
  <si>
    <t>300.6</t>
  </si>
  <si>
    <t>Honeywell Enviracaire Portable HEPA Air Cleaner for 17' x 22' Room</t>
  </si>
  <si>
    <t>104.8</t>
  </si>
  <si>
    <t>Xerox 1941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</si>
  <si>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</si>
  <si>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</si>
  <si>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</si>
  <si>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</si>
  <si>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Craig Molinari</t>
  </si>
  <si>
    <t>Gary Hwang</t>
  </si>
  <si>
    <t>Sanford Pocket Accent® Highlighters</t>
  </si>
  <si>
    <t>Rachel Payne</t>
  </si>
  <si>
    <t>2300 Heavy-Duty Transfer File Systems by Perma</t>
  </si>
  <si>
    <t>Bill Stewart</t>
  </si>
  <si>
    <t>105.4</t>
  </si>
  <si>
    <t>Balt Solid Wood Rectangular Table</t>
  </si>
  <si>
    <t>Avery 506</t>
  </si>
  <si>
    <t>Recycled Eldon Regeneration Jumbo File</t>
  </si>
  <si>
    <t>167.2</t>
  </si>
  <si>
    <t>Office Impressions Heavy Duty Welded Shelving &amp; Multimedia Storage Drawers</t>
  </si>
  <si>
    <t>Alex Avila</t>
  </si>
  <si>
    <t>Avery Hi-Liter GlideStik Fluorescent Highlighter, Yellow Ink</t>
  </si>
  <si>
    <t>Micro Innovations 104 Keyboard</t>
  </si>
  <si>
    <t>Pierre Wener</t>
  </si>
  <si>
    <t>Avery 496</t>
  </si>
  <si>
    <t>Newell 332</t>
  </si>
  <si>
    <t>Avery Binding System Hidden Tab™ Executive Style Index Sets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</si>
  <si>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</si>
  <si>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</si>
  <si>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</si>
  <si>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</si>
  <si>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</si>
  <si>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</si>
  <si>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</si>
  <si>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</si>
  <si>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223.9</t>
  </si>
  <si>
    <t>GBC DocuBind TL200 Manual Binding Machine</t>
  </si>
  <si>
    <t>Jamie Frazer</t>
  </si>
  <si>
    <t>Micro Innovations Micro 3000 Keyboard, Black</t>
  </si>
  <si>
    <t>GBC Recycled Regency Composition Covers</t>
  </si>
  <si>
    <t>Accessory29</t>
  </si>
  <si>
    <t>Avery 478</t>
  </si>
  <si>
    <t>Boston 16701 Slimline Battery Pencil Sharpener</t>
  </si>
  <si>
    <t>Brian Dahlen</t>
  </si>
  <si>
    <t>Wirebound Message Forms, Four 2 3/4 x 5 Forms per Page, Pink Paper</t>
  </si>
  <si>
    <t>12.4</t>
  </si>
  <si>
    <t>Eldon Simplefile® Box Office®</t>
  </si>
  <si>
    <t>Larry Blacks</t>
  </si>
  <si>
    <t>Kean Nguyen</t>
  </si>
  <si>
    <t>62.0</t>
  </si>
  <si>
    <t>Acco Smartsocket™ Table Surge Protector, 6 Color-Coded Adapter Outlets</t>
  </si>
  <si>
    <t>Sharp EL501VB Scientific Calculator, Battery Operated, 10-Digit Display, Hard Case</t>
  </si>
  <si>
    <t>34.5</t>
  </si>
  <si>
    <t>GBC Recycled Grain Textured Covers</t>
  </si>
  <si>
    <t>Xerox 1881</t>
  </si>
  <si>
    <t>Panasonic KP-350BK Electric Pencil Sharpener with Auto Stop</t>
  </si>
  <si>
    <t>Zoom V.92 V.44 PCI Internal Controllerless FaxModem</t>
  </si>
  <si>
    <t>Linda Southworth</t>
  </si>
  <si>
    <t>Revere Boxed Rubber Bands by Revere</t>
  </si>
  <si>
    <t>155.0</t>
  </si>
  <si>
    <t>Roger Demir</t>
  </si>
  <si>
    <t>159.3</t>
  </si>
  <si>
    <t>Hon Non-Folding Utility Tables</t>
  </si>
  <si>
    <t>Acme® Forged Steel Scissors with Black Enamel Handles</t>
  </si>
  <si>
    <t>Sean Miller</t>
  </si>
  <si>
    <t>Nona Balk</t>
  </si>
  <si>
    <t>Belkin OmniView SE Rackmount Kit</t>
  </si>
  <si>
    <t>Tenex Personal Self-Stacking Standard File Box, Black/Gray</t>
  </si>
  <si>
    <t>Seth Thomas 13 1/2" Wall Clock</t>
  </si>
  <si>
    <t>204.1</t>
  </si>
  <si>
    <t>Soundgear Copyboard Conference Phone, Optional Battery</t>
  </si>
  <si>
    <t>Jennifer Braxton</t>
  </si>
  <si>
    <t>Polycom VoiceStation 100</t>
  </si>
  <si>
    <t>Phone 918</t>
  </si>
  <si>
    <t>Saphhira Shifley</t>
  </si>
  <si>
    <t>Art Ferguson</t>
  </si>
  <si>
    <t>DIXON Oriole® Pencils</t>
  </si>
  <si>
    <t>StarTAC Series</t>
  </si>
  <si>
    <t>43.5</t>
  </si>
  <si>
    <t>Trav-L-File Heavy-Duty Shuttle II, Black</t>
  </si>
  <si>
    <t>Staples Bulldog Clip</t>
  </si>
  <si>
    <t>Philip Fox</t>
  </si>
  <si>
    <t>Model L Table or Wall-Mount Pencil Sharpener</t>
  </si>
  <si>
    <t>Chris Selesnick</t>
  </si>
  <si>
    <t>DAX Clear Channel Poster Frame</t>
  </si>
  <si>
    <t>Xerox 1998</t>
  </si>
  <si>
    <t>Binney &amp; Smith inkTank™ Erasable Pocket Highlighter, Chisel Tip, Yellow</t>
  </si>
  <si>
    <t>Harold Engle</t>
  </si>
  <si>
    <t>GBC Binding covers</t>
  </si>
  <si>
    <t>Seth Thomas 8 1/2" Cubicle Clock</t>
  </si>
  <si>
    <t>Rubber Band Ball</t>
  </si>
  <si>
    <t>Laurel Elliston</t>
  </si>
  <si>
    <t>Dixon Ticonderoga® Erasable Colored Pencil Set, 12-Color</t>
  </si>
  <si>
    <t>1360.1</t>
  </si>
  <si>
    <t>Okidata ML395C Color Dot Matrix Printer</t>
  </si>
  <si>
    <t>Xerox 1984</t>
  </si>
  <si>
    <t>Brian Thompson</t>
  </si>
  <si>
    <t>Tenex Antistatic Computer Chair Mats</t>
  </si>
  <si>
    <t>Xerox 226</t>
  </si>
  <si>
    <t>IBM 80 Minute CD-R Spindle, 50/Pack</t>
  </si>
  <si>
    <t>Lycoris Saunders</t>
  </si>
  <si>
    <t>Xerox 1994</t>
  </si>
  <si>
    <t>Hon Olson Stacker Stools</t>
  </si>
  <si>
    <t>70.7</t>
  </si>
  <si>
    <t>Tenex Carpeted, Granite-Look or Clear Contemporary Contour Shape Chair Mats</t>
  </si>
  <si>
    <t>510.1</t>
  </si>
  <si>
    <t>Patrick O'Brill</t>
  </si>
  <si>
    <t>Okidata ML520 Series Dot Matrix Printers</t>
  </si>
  <si>
    <t>TOPS Voice Message Log Book, Flash Format</t>
  </si>
  <si>
    <t>Sanjit Engle</t>
  </si>
  <si>
    <t>Becky Castell</t>
  </si>
  <si>
    <t>Eleni McCrary</t>
  </si>
  <si>
    <t>Annie Thurman</t>
  </si>
  <si>
    <t>38.7</t>
  </si>
  <si>
    <t>Xerox 1892</t>
  </si>
  <si>
    <t>T65</t>
  </si>
  <si>
    <t>Angele Hood</t>
  </si>
  <si>
    <t>Lisa DeCherney</t>
  </si>
  <si>
    <t>Xerox 199</t>
  </si>
  <si>
    <t>2160</t>
  </si>
  <si>
    <t>Snap-A-Way® Black Print Carbonless Speed Message, No Reply Area, Duplicate</t>
  </si>
  <si>
    <t>Xerox 1916</t>
  </si>
  <si>
    <t>Jeremy Ellison</t>
  </si>
  <si>
    <t>Candace McMahon</t>
  </si>
  <si>
    <t>Hunter Lopez</t>
  </si>
  <si>
    <t>Xerox 1888</t>
  </si>
  <si>
    <t>Mark Van Huff</t>
  </si>
  <si>
    <t>Helen Andreada</t>
  </si>
  <si>
    <t>Denny Joy</t>
  </si>
  <si>
    <t>Muhammed MacIntyre</t>
  </si>
  <si>
    <t>Xerox 1935</t>
  </si>
  <si>
    <t>81.3</t>
  </si>
  <si>
    <t>Juliana Krohn</t>
  </si>
  <si>
    <t>Kensington 4 Outlet MasterPiece® Compact Power Control Center</t>
  </si>
  <si>
    <t>Sarah Jordon</t>
  </si>
  <si>
    <t>Xerox 1929</t>
  </si>
  <si>
    <t>DPC 650 Piper</t>
  </si>
  <si>
    <t>550.9</t>
  </si>
  <si>
    <t>Chromcraft Bull-Nose Wood Oval Conference Tables &amp; Bases</t>
  </si>
  <si>
    <t>3M Hangers With Command Adhesive</t>
  </si>
  <si>
    <t>Barry Franz</t>
  </si>
  <si>
    <t>Michael Nguyen</t>
  </si>
  <si>
    <t>54.9</t>
  </si>
  <si>
    <t>Lena Radford</t>
  </si>
  <si>
    <t>Xerox 1940</t>
  </si>
  <si>
    <t>Brooke Gillingham</t>
  </si>
  <si>
    <t>Hilary Holden</t>
  </si>
  <si>
    <t>Jack Lebron</t>
  </si>
  <si>
    <t>Canon Image Class D660 Copier</t>
  </si>
  <si>
    <t>Suzanne McNair</t>
  </si>
  <si>
    <t>Epson C62 Color Inkjet Printer</t>
  </si>
  <si>
    <t>Verbatim DVD-R, 3.95GB, SR, Mitsubishi Branded, Jewel</t>
  </si>
  <si>
    <t>Tim Taslimi</t>
  </si>
  <si>
    <t>Sibella Parks</t>
  </si>
  <si>
    <t>Xerox 197</t>
  </si>
  <si>
    <t>Quartet Omega® Colored Chalk, 12/Pack</t>
  </si>
  <si>
    <t>38.0</t>
  </si>
  <si>
    <t>Fellowes Superior 10 Outlet Split Surge Protector</t>
  </si>
  <si>
    <t>Hewlett Packard LaserJet 3310 Copier</t>
  </si>
  <si>
    <t>Unpadded Memo Slips</t>
  </si>
  <si>
    <t>Michael Chen</t>
  </si>
  <si>
    <t>83.9</t>
  </si>
  <si>
    <t>Ames Color-File® Green Diamond Border X-ray Mailers</t>
  </si>
  <si>
    <t>iDEN i95</t>
  </si>
  <si>
    <t>Dennis Pardue</t>
  </si>
  <si>
    <t>Multicolor Computer Printout Paper</t>
  </si>
  <si>
    <t>Imation 3.5", RTS 247544 3M 3.5 DSDD, 10/Pack</t>
  </si>
  <si>
    <t>289.5</t>
  </si>
  <si>
    <t>Hoover Upright Vacuum With Dirt Cup</t>
  </si>
  <si>
    <t>Avery Hi-Liter Pen Style Six-Color Fluorescent Set</t>
  </si>
  <si>
    <t>16.1</t>
  </si>
  <si>
    <t>Contemporary Wood/Metal Frame</t>
  </si>
  <si>
    <t>Master Big Foot® Doorstop, Beige</t>
  </si>
  <si>
    <t>Crayola Colored Pencils</t>
  </si>
  <si>
    <t>Blackstonian Pencils</t>
  </si>
  <si>
    <t>Pamela Coakley</t>
  </si>
  <si>
    <t>Susan Gilcrest</t>
  </si>
  <si>
    <t>Xerox 1959</t>
  </si>
  <si>
    <t>Microsoft Internet Keyboard</t>
  </si>
  <si>
    <t>Justin MacKendrick</t>
  </si>
  <si>
    <t>Newell 35</t>
  </si>
  <si>
    <t>Avanti 4.4 Cu. Ft. Refrigerator</t>
  </si>
  <si>
    <t>Executive Impressions 14" Contract Wall Clock with Quartz Movement</t>
  </si>
  <si>
    <t>Rogers Handheld Barrel Pencil Sharpener</t>
  </si>
  <si>
    <t>Catherine Glotzbach</t>
  </si>
  <si>
    <t>Xerox 1924</t>
  </si>
  <si>
    <t>10.2</t>
  </si>
  <si>
    <t>Acme® Box Cutter Scissors</t>
  </si>
  <si>
    <t>Carl Ludwig</t>
  </si>
  <si>
    <t>Dianna Wilson</t>
  </si>
  <si>
    <t>Erica Hackney</t>
  </si>
  <si>
    <t>Wilson Jones “Snap” Scratch Pad Binder Tool for Ring Binders</t>
  </si>
  <si>
    <t>Avery 503</t>
  </si>
  <si>
    <t>Chad McGuire</t>
  </si>
  <si>
    <t>Cardinal Slant-D® Ring Binder, Heavy Gauge Vinyl</t>
  </si>
  <si>
    <t>Portable Personal File Box</t>
  </si>
  <si>
    <t>Sam Craven</t>
  </si>
  <si>
    <t>Luxo Economy Swing Arm Lamp</t>
  </si>
  <si>
    <t>Wirebound Message Books, 5-1/2 x 4 Forms, 2 or 4 Forms per Page</t>
  </si>
  <si>
    <t>56.9</t>
  </si>
  <si>
    <t>Conquest™ 14 Commercial Heavy-Duty Upright Vacuum, Collection System, Accessory Kit</t>
  </si>
  <si>
    <t>35.7</t>
  </si>
  <si>
    <t>IBM Numeric Access II Keypad, 17-Key, Black</t>
  </si>
  <si>
    <t>Ted Butterfield</t>
  </si>
  <si>
    <t>Penelope Sewall</t>
  </si>
  <si>
    <t>Xerox 1934</t>
  </si>
  <si>
    <t>31.9</t>
  </si>
  <si>
    <t>Fellowes Bankers Box™ Stor/Drawer® Steel Plus™</t>
  </si>
  <si>
    <t>120.3</t>
  </si>
  <si>
    <t>Iceberg Mobile Mega Data/Printer Cart ®</t>
  </si>
  <si>
    <t>Carl Jackson</t>
  </si>
  <si>
    <t>Ken Black</t>
  </si>
  <si>
    <t>John Grady</t>
  </si>
  <si>
    <t>Craig Yedwab</t>
  </si>
  <si>
    <t>Ampad® Evidence® Wirebond Steno Books, 6" x 9"</t>
  </si>
  <si>
    <t>Katrina Willman</t>
  </si>
  <si>
    <t>Karen Daniels</t>
  </si>
  <si>
    <t>Caroline Jumper</t>
  </si>
  <si>
    <t>Airmail Envelopes</t>
  </si>
  <si>
    <t>Blue String-Tie &amp; Button Interoffice Envelopes, 10 x 13</t>
  </si>
  <si>
    <t>Staples 4 Outlet Surge Protector</t>
  </si>
  <si>
    <t>Xerox 1899</t>
  </si>
  <si>
    <t>White Business Envelopes with Contemporary Seam, Recycled White Business Envelopes</t>
  </si>
  <si>
    <t>Avery 511</t>
  </si>
  <si>
    <t>Xerox 1981</t>
  </si>
  <si>
    <t>Pauline Johnson</t>
  </si>
  <si>
    <t>DAX Charcoal/Nickel-Tone Document Frame, 5 x 7</t>
  </si>
  <si>
    <t>Fellowes Premier Superior Surge Suppressor, 10-Outlet, With Phone and Remote</t>
  </si>
  <si>
    <t>Alejandro Ballentine</t>
  </si>
  <si>
    <t>DS/HD IBM Formatted Diskettes, 10/Pack - Staples</t>
  </si>
  <si>
    <t>Accessory12</t>
  </si>
  <si>
    <t>Chad Cunningham</t>
  </si>
  <si>
    <t>Staples Colored Bar Computer Paper</t>
  </si>
  <si>
    <t>Brenda Bowman</t>
  </si>
  <si>
    <t>Eureka Recycled Copy Paper 8 1/2" x 11", Ream</t>
  </si>
  <si>
    <t>Michael Paige</t>
  </si>
  <si>
    <t>11.1</t>
  </si>
  <si>
    <t>Joni Sundaresam</t>
  </si>
  <si>
    <t>Geographics Note Cards, Blank, White, 8 1/2" x 11"</t>
  </si>
  <si>
    <t>Ted Trevino</t>
  </si>
  <si>
    <t>64.9</t>
  </si>
  <si>
    <t>Fellowes Bankers Box™ Staxonsteel® Drawer File/Stacking System</t>
  </si>
  <si>
    <t>Maureen Gastineau</t>
  </si>
  <si>
    <t>114.9</t>
  </si>
  <si>
    <t>Sauder Camden County Collection Library</t>
  </si>
  <si>
    <t>TIMEPORT P8767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</si>
  <si>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</si>
  <si>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</si>
  <si>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</si>
  <si>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</si>
  <si>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</si>
  <si>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Paper</t>
  </si>
  <si>
    <t>Roland Murray</t>
  </si>
  <si>
    <t>Liz Thompson</t>
  </si>
  <si>
    <t>Office Star - Task Chair with Contemporary Loop Arms</t>
  </si>
  <si>
    <t>Acco Perma® 3000 Stacking Storage Drawers</t>
  </si>
  <si>
    <t>Scott Williamson</t>
  </si>
  <si>
    <t>Ultra Door Push Plate</t>
  </si>
  <si>
    <t>3.4</t>
  </si>
  <si>
    <t>OIC Bulk Pack Metal Binder Clips</t>
  </si>
  <si>
    <t>37.4</t>
  </si>
  <si>
    <t>Sanford Prismacolor® Professional Thick Lead Art Pencils, 36-Color Set</t>
  </si>
  <si>
    <t>UniKeep™ View Case Binders</t>
  </si>
  <si>
    <t>David Wiener</t>
  </si>
  <si>
    <t>Xerox 198</t>
  </si>
  <si>
    <t>Anemone Ratner</t>
  </si>
  <si>
    <t>Situations Contoured Folding Chairs, 4/Set</t>
  </si>
  <si>
    <t>82.9</t>
  </si>
  <si>
    <t>Avery Hi-Liter Comfort Grip Fluorescent Highlighter, Yellow Ink</t>
  </si>
  <si>
    <t>Herbert Flentye</t>
  </si>
  <si>
    <t>Epson Stylus 1520 Color Inkjet Printer</t>
  </si>
  <si>
    <t>Adams Telephone Message Book W/Dividers/Space For Phone Numbers, 5 1/4"X8 1/2", 300/Messages</t>
  </si>
  <si>
    <t>Patricia Hirasaki</t>
  </si>
  <si>
    <t>Belkin 8 Outlet SurgeMaster II Gold Surge Protector with Phone Protection</t>
  </si>
  <si>
    <t>T61</t>
  </si>
  <si>
    <t>Xerox 191</t>
  </si>
  <si>
    <t>Doug Jacobs</t>
  </si>
  <si>
    <t>Tom Ashbrook</t>
  </si>
  <si>
    <t>76.7</t>
  </si>
  <si>
    <t>Honeywell Enviracaire® Portable Air Cleaner for up to 8 x 10 Room</t>
  </si>
  <si>
    <t>Theresa Coyne</t>
  </si>
  <si>
    <t>Xerox 1927</t>
  </si>
  <si>
    <t>Xerox 1953</t>
  </si>
  <si>
    <t>43.2</t>
  </si>
  <si>
    <t>Jennifer Halladay</t>
  </si>
  <si>
    <t>LX 788</t>
  </si>
  <si>
    <t>Kelly Collister</t>
  </si>
  <si>
    <t>Adams Telephone Message Book W/Dividers/Space For Phone Numbers, 5 1/4"X8 1/2", 200/Messages</t>
  </si>
  <si>
    <t>Avery 52</t>
  </si>
  <si>
    <t>Lori Olson</t>
  </si>
  <si>
    <t>StarTAC ST7868</t>
  </si>
  <si>
    <t>M3682</t>
  </si>
  <si>
    <t>Barry French</t>
  </si>
  <si>
    <t>135.9</t>
  </si>
  <si>
    <t>Global Deluxe High-Back Office Chair in Storm</t>
  </si>
  <si>
    <t>Global Deluxe Office Fabric Chairs</t>
  </si>
  <si>
    <t>Xerox 1885</t>
  </si>
  <si>
    <t>Global Deluxe Stacking Chair, Gray</t>
  </si>
  <si>
    <t>Alyssa Crouse</t>
  </si>
  <si>
    <t>Frank Carlisle</t>
  </si>
  <si>
    <t>Canon MP100DHII Printing Calculator</t>
  </si>
  <si>
    <t>Cari Schnelling</t>
  </si>
  <si>
    <t>Elite 5" Scissors</t>
  </si>
  <si>
    <t>Julie Creighton</t>
  </si>
  <si>
    <t>George Bell</t>
  </si>
  <si>
    <t>Wilson Jones Easy Flow II™ Sheet Lifters</t>
  </si>
  <si>
    <t>Xerox 229</t>
  </si>
  <si>
    <t>Dana Halogen Swing-Arm Architect Lamp</t>
  </si>
  <si>
    <t>210.5</t>
  </si>
  <si>
    <t>24 Capacity Maxi Data Binder Racks, Pearl</t>
  </si>
  <si>
    <t>Vivek Sundaresam</t>
  </si>
  <si>
    <t>U.S. Robotics 56K Internet Call Modem</t>
  </si>
  <si>
    <t>V8162</t>
  </si>
  <si>
    <t>Hoover® Commercial Lightweight Upright Vacuum</t>
  </si>
  <si>
    <t>Ross DeVincentis</t>
  </si>
  <si>
    <t>Paul Stevenson</t>
  </si>
  <si>
    <t>DAX Contemporary Wood Frame with Silver Metal Mat, Desktop, 11 x 14 Size</t>
  </si>
  <si>
    <t>85.2</t>
  </si>
  <si>
    <t>Barricks Non-Folding Utility Table with Steel Legs, Laminate Tops</t>
  </si>
  <si>
    <t>Ritsa Hightower</t>
  </si>
  <si>
    <t>55.2</t>
  </si>
  <si>
    <t>Recycled Steel Personal File for Standard File Folders</t>
  </si>
  <si>
    <t>131.1</t>
  </si>
  <si>
    <t>Kensington 7 Outlet MasterPiece® HOMEOFFICE Power Control Center</t>
  </si>
  <si>
    <t>Hallie Redmond</t>
  </si>
  <si>
    <t>Acco 3-Hole Punch</t>
  </si>
  <si>
    <t>14.0</t>
  </si>
  <si>
    <t>Project Tote Personal File</t>
  </si>
  <si>
    <t>Eric Murdock</t>
  </si>
  <si>
    <t>Russell D'Ascenzo</t>
  </si>
  <si>
    <t>Xerox 1966</t>
  </si>
  <si>
    <t>Richard Eichhorn</t>
  </si>
  <si>
    <t>Seth Thomas 12" Clock w/ Goldtone Case</t>
  </si>
  <si>
    <t>Tracy Zic</t>
  </si>
  <si>
    <t>5190</t>
  </si>
  <si>
    <t>18.8</t>
  </si>
  <si>
    <t>Flat Face Poster Frame</t>
  </si>
  <si>
    <t>#6 3/4 Gummed Flap White Envelopes</t>
  </si>
  <si>
    <t>102.3</t>
  </si>
  <si>
    <t>Luxo Professional Combination Clamp-On Lamps</t>
  </si>
  <si>
    <t>Andy Yotov</t>
  </si>
  <si>
    <t>Maribeth Yedwab</t>
  </si>
  <si>
    <t>Joel Jenkins</t>
  </si>
  <si>
    <t>Vivek Gonzalez</t>
  </si>
  <si>
    <t>Crayola Anti Dust Chalk, 12/Pack</t>
  </si>
  <si>
    <t>Thomas Thornton</t>
  </si>
  <si>
    <t>Frank Price</t>
  </si>
  <si>
    <t>Round Ring Binders</t>
  </si>
  <si>
    <t>Accessory13</t>
  </si>
  <si>
    <t>Helen Abelman</t>
  </si>
  <si>
    <t>Xerox 1926</t>
  </si>
  <si>
    <t>Emily Burns</t>
  </si>
  <si>
    <t>Fred Chung</t>
  </si>
  <si>
    <t>Dorothy Dickinson</t>
  </si>
  <si>
    <t>11.0</t>
  </si>
  <si>
    <t>#10 Self-Seal White Envelopes</t>
  </si>
  <si>
    <t>Spiral Phone Message Books with Labels by Adams</t>
  </si>
  <si>
    <t>Colorific® Watercolor Pencils</t>
  </si>
  <si>
    <t>44.4</t>
  </si>
  <si>
    <t>Bryan Spruell</t>
  </si>
  <si>
    <t>Hon 61000 Series Interactive Training Tables</t>
  </si>
  <si>
    <t>Adams "While You Were Out" Message Pads</t>
  </si>
  <si>
    <t>Barry Pond</t>
  </si>
  <si>
    <t>Fred McMath</t>
  </si>
  <si>
    <t>i600</t>
  </si>
  <si>
    <t>Berol Giant Pencil Sharpener</t>
  </si>
  <si>
    <t>Erin Smith</t>
  </si>
  <si>
    <t>Luke Weiss</t>
  </si>
  <si>
    <t>Avery 474</t>
  </si>
  <si>
    <t>Anna Haberlin</t>
  </si>
  <si>
    <t>Xerox 1992</t>
  </si>
  <si>
    <t>4.6</t>
  </si>
  <si>
    <t>Shui Tom</t>
  </si>
  <si>
    <t>Binney &amp; Smith Crayola® Metallic Colored Pencils, 8-Color Set</t>
  </si>
  <si>
    <t>Laser &amp; Ink Jet Business Envelopes</t>
  </si>
  <si>
    <t>12.0</t>
  </si>
  <si>
    <t>Eldon® 500 Class™ Desk Accessories</t>
  </si>
  <si>
    <t>Lindsay Shagiari</t>
  </si>
  <si>
    <t>2.4</t>
  </si>
  <si>
    <t>Staples Paper Clips</t>
  </si>
  <si>
    <t>29.9</t>
  </si>
  <si>
    <t>Logitech Cordless Access Keyboard</t>
  </si>
  <si>
    <t>While You Were Out Pads, 50 per Pad, 4 x 5 1/4, Green Cycle</t>
  </si>
  <si>
    <t>TDK 4.7GB DVD+RW</t>
  </si>
  <si>
    <t>Deirdre Greer</t>
  </si>
  <si>
    <t>Barricks 18" x 48" Non-Folding Utility Table with Bottom Storage Shelf</t>
  </si>
  <si>
    <t>Avery File Folder Labels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</si>
  <si>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</si>
  <si>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</si>
  <si>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</si>
  <si>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</si>
  <si>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</si>
  <si>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</si>
  <si>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</si>
  <si>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</si>
  <si>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</si>
  <si>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</si>
  <si>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</si>
  <si>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</si>
  <si>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</si>
  <si>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</si>
  <si>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Rubber Bands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</si>
  <si>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</si>
  <si>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</si>
  <si>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</si>
  <si>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</si>
  <si>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</si>
  <si>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</si>
  <si>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</si>
  <si>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</si>
  <si>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</si>
  <si>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42.7</t>
  </si>
  <si>
    <t>SAFCO Mobile Desk Side File, Wire Frame</t>
  </si>
  <si>
    <t>Jamie Kunitz</t>
  </si>
  <si>
    <t>Xerox 1919</t>
  </si>
  <si>
    <t>232.5</t>
  </si>
  <si>
    <t>Hoover Commercial Lightweight Upright Vacuum with E-Z Empty™ Dirt Cup</t>
  </si>
  <si>
    <t>Xerox 1980</t>
  </si>
  <si>
    <t>20.1</t>
  </si>
  <si>
    <t>Boston 19500 Mighty Mite Electric Pencil Sharpener</t>
  </si>
  <si>
    <t>Annie Cyprus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</si>
  <si>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</si>
  <si>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</si>
  <si>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</si>
  <si>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</si>
  <si>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</si>
  <si>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</si>
  <si>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</si>
  <si>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98.3</t>
  </si>
  <si>
    <t>Dot Matrix Printer Tape Reel Labels, White, 5000/Box</t>
  </si>
  <si>
    <t>Staples File Caddy</t>
  </si>
  <si>
    <t>Charles McCrossin</t>
  </si>
  <si>
    <t>Sanjit Chand</t>
  </si>
  <si>
    <t>V8160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</si>
  <si>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</si>
  <si>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</si>
  <si>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</si>
  <si>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</si>
  <si>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</si>
  <si>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</si>
  <si>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Stewart Visinsky</t>
  </si>
  <si>
    <t>Xerox 1968</t>
  </si>
  <si>
    <t>Tiffany House</t>
  </si>
  <si>
    <t>Sanford Uni-Blazer™ View Highlighters, Chisel Tip, Yellow</t>
  </si>
  <si>
    <t>Avery® Durable Plastic 1" Binders</t>
  </si>
  <si>
    <t>Xerox 1887</t>
  </si>
  <si>
    <t>Gary Hansen</t>
  </si>
  <si>
    <t>Nicole Fjeld</t>
  </si>
  <si>
    <t>Xerox 1895</t>
  </si>
  <si>
    <t>Cyra Reiten</t>
  </si>
  <si>
    <t>Bart Watters</t>
  </si>
  <si>
    <t>6340</t>
  </si>
  <si>
    <t>Hon 4060 Series Tables</t>
  </si>
  <si>
    <t>Corey Catlett</t>
  </si>
  <si>
    <t>3.5" IBM Formatted Diskettes, DS/HD</t>
  </si>
  <si>
    <t>Steven Cartwright</t>
  </si>
  <si>
    <t>Logan Currie</t>
  </si>
  <si>
    <t>Giulietta Baptist</t>
  </si>
  <si>
    <t>Poly Designer Cover &amp; Back</t>
  </si>
  <si>
    <t>28.3</t>
  </si>
  <si>
    <t>Maxell 4.7GB DVD-R</t>
  </si>
  <si>
    <t>Paul Gonzalez</t>
  </si>
  <si>
    <t>Howard Miller 11-1/2" Diameter Ridgewood Wall Clock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</si>
  <si>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</si>
  <si>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</si>
  <si>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</si>
  <si>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</si>
  <si>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</si>
  <si>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</si>
  <si>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</si>
  <si>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</si>
  <si>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Highlighters, 4/Pack</t>
  </si>
  <si>
    <t>Imation IBM Formatted Diskettes, 100/Pack</t>
  </si>
  <si>
    <t>216.6</t>
  </si>
  <si>
    <t>Hon Multipurpose Stacking Arm Chairs</t>
  </si>
  <si>
    <t>Greg Hansen</t>
  </si>
  <si>
    <t>Shirley Schmidt</t>
  </si>
  <si>
    <t>54.7</t>
  </si>
  <si>
    <t>C-Line Cubicle Keepers Polyproplyene Holder w/Velcro® Back, 8-1/2x11, 25/Bx</t>
  </si>
  <si>
    <t>O'Sullivan 2-Shelf Heavy-Duty Bookcases</t>
  </si>
  <si>
    <t>Wilson Jones Turn Tabs Binder Tool for Ring Binders</t>
  </si>
  <si>
    <t>Logitech Cordless Keyboard</t>
  </si>
  <si>
    <t>Toby Carlisle</t>
  </si>
  <si>
    <t>Lena Hernandez</t>
  </si>
  <si>
    <t>Phillip Breyer</t>
  </si>
  <si>
    <t>Hon 4-Shelf Metal Bookcases</t>
  </si>
  <si>
    <t>Fuji 5.2GB DVD-RAM</t>
  </si>
  <si>
    <t>Pete Armstrong</t>
  </si>
  <si>
    <t>Avery 504</t>
  </si>
  <si>
    <t>Tracy Poddar</t>
  </si>
  <si>
    <t>81.9</t>
  </si>
  <si>
    <t>O'Sullivan 5-Shelf Heavy-Duty Bookcases</t>
  </si>
  <si>
    <t>O'Sullivan Manor Hill 2-Door Library in Brianna Oak</t>
  </si>
  <si>
    <t>Newell 314</t>
  </si>
  <si>
    <t>Staples Pushpins</t>
  </si>
  <si>
    <t>Fred Hopkins</t>
  </si>
  <si>
    <t>DAX Metal Frame, Desktop, Stepped-Edge</t>
  </si>
  <si>
    <t>Jane Waco</t>
  </si>
  <si>
    <t>26.6</t>
  </si>
  <si>
    <t>SAFCO Optional Arm Kit for Workspace® Cribbage Stacking Chair</t>
  </si>
  <si>
    <t>Jill Stevenson</t>
  </si>
  <si>
    <t>Imation Printable White 80 Minute CD-R Spindle, 50/Pack</t>
  </si>
  <si>
    <t>38.9</t>
  </si>
  <si>
    <t>Eldon Base for stackable storage shelf, platinum</t>
  </si>
  <si>
    <t>258.9</t>
  </si>
  <si>
    <t>Global Enterprise™ Series Seating Low-Back Swivel/Tilt Chairs</t>
  </si>
  <si>
    <t>Office Star Flex Back Scooter Chair with White Frame</t>
  </si>
  <si>
    <t>810.9</t>
  </si>
  <si>
    <t>Okidata ML591 Wide Format Dot Matrix Printer</t>
  </si>
  <si>
    <t>19.3</t>
  </si>
  <si>
    <t>GBC Durable Plastic Covers</t>
  </si>
  <si>
    <t>Acco Suede Grain Vinyl Round Ring Binder</t>
  </si>
  <si>
    <t>111.9</t>
  </si>
  <si>
    <t>O'Sullivan 4-Shelf Bookcase in Odessa Pine</t>
  </si>
  <si>
    <t>Binney &amp; Smith inkTank™ Erasable Desk Highlighter, Chisel Tip, Yellow, 12/Box</t>
  </si>
  <si>
    <t>96.4</t>
  </si>
  <si>
    <t>Soundgear TeleForum DX Desktop Conference Phone</t>
  </si>
  <si>
    <t>54.4</t>
  </si>
  <si>
    <t>Belkin 5 Outlet SurgeMaster™ Power Centers</t>
  </si>
  <si>
    <t>Acco Clips to Go™ Binder Clips, 24 Clips in Two Sizes</t>
  </si>
  <si>
    <t>Rob Lucas</t>
  </si>
  <si>
    <t>41.7</t>
  </si>
  <si>
    <t>Fellowes 8 Outlet Superior Workstation Surge Protector</t>
  </si>
  <si>
    <t>Ivan Liston</t>
  </si>
  <si>
    <t>Harry Greene</t>
  </si>
  <si>
    <t>Eldon Delta Triangular Chair Mat, 52" x 58", Clear</t>
  </si>
  <si>
    <t>Rick Bensley</t>
  </si>
  <si>
    <t>Eldon Wave Desk Accessories</t>
  </si>
  <si>
    <t>R280</t>
  </si>
  <si>
    <t>0.9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</si>
  <si>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</si>
  <si>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</si>
  <si>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</si>
  <si>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</si>
  <si>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</si>
  <si>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</si>
  <si>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Executive Impressions 14"</t>
  </si>
  <si>
    <t>Trimflex™ Flexible Post Binders</t>
  </si>
  <si>
    <t>Frank Gastineau</t>
  </si>
  <si>
    <t>Avanti 1.7 Cu. Ft. Refrigerator</t>
  </si>
  <si>
    <t>Chromcraft Bull-Nose Wood 48" x 96" Rectangular Conference Tables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</si>
  <si>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</si>
  <si>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</si>
  <si>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</si>
  <si>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</si>
  <si>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</si>
  <si>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</si>
  <si>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</si>
  <si>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66.9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</si>
  <si>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</si>
  <si>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</si>
  <si>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</si>
  <si>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</si>
  <si>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</si>
  <si>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</si>
  <si>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</si>
  <si>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123.3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</si>
  <si>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</si>
  <si>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</si>
  <si>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</si>
  <si>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</si>
  <si>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</si>
  <si>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Aimee Bixby</t>
  </si>
  <si>
    <t>Belkin 7 Outlet SurgeMaster Surge Protector with Phone Protection</t>
  </si>
  <si>
    <t>Cassandra Brandow</t>
  </si>
  <si>
    <t>43.4</t>
  </si>
  <si>
    <t>Satellite Sectional Post Binders</t>
  </si>
  <si>
    <t>Matt Hagelstein</t>
  </si>
  <si>
    <t>Katrina Edelman</t>
  </si>
  <si>
    <t>Acco Six-Outlet Power Strip, 4' Cord Length</t>
  </si>
  <si>
    <t>182.5</t>
  </si>
  <si>
    <t>Lesro Round Back Collection Coffee Table, End Table</t>
  </si>
  <si>
    <t>Michelle Lonsdale</t>
  </si>
  <si>
    <t>113.6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</si>
  <si>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</si>
  <si>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</si>
  <si>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</si>
  <si>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</si>
  <si>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</si>
  <si>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</si>
  <si>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</si>
  <si>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</si>
  <si>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</si>
  <si>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16.5</t>
  </si>
  <si>
    <t>JM Magazine Binder</t>
  </si>
  <si>
    <t>Xerox 1988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</si>
  <si>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</si>
  <si>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</si>
  <si>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</si>
  <si>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</si>
  <si>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</si>
  <si>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</si>
  <si>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</si>
  <si>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</si>
  <si>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Philisse Overcash</t>
  </si>
  <si>
    <t>Boston Electric Pencil Sharpener, Model 1818, Charcoal Black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</si>
  <si>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</si>
  <si>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</si>
  <si>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</si>
  <si>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</si>
  <si>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</si>
  <si>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</si>
  <si>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</si>
  <si>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</si>
  <si>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31.1</t>
  </si>
  <si>
    <t>Ricardo Emerson</t>
  </si>
  <si>
    <t>Imation 3.5" Diskettes, IBM Format, DS/HD, 10/Box, Neon</t>
  </si>
  <si>
    <t>Computer Room Manger, 14"</t>
  </si>
  <si>
    <t>33.6</t>
  </si>
  <si>
    <t>Fellowes 8 Outlet Superior Workstation Surge Protector w/o Phone/Fax/Modem Protection</t>
  </si>
  <si>
    <t>Advantus SlideClip™ Paper Clips</t>
  </si>
  <si>
    <t>Smead Alpha-Z Color-Coded Name Labels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</si>
  <si>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</si>
  <si>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</si>
  <si>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</si>
  <si>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</si>
  <si>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</si>
  <si>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</si>
  <si>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Rubber Bands</t>
  </si>
  <si>
    <t>Sample Company A</t>
  </si>
  <si>
    <t>6162i</t>
  </si>
  <si>
    <t>IBM 3.5" DS/HD IBM Formatted Diskettes, 50/Pack</t>
  </si>
  <si>
    <t>Microsoft Office Keyboard</t>
  </si>
  <si>
    <t>135.3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</si>
  <si>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</si>
  <si>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</si>
  <si>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</si>
  <si>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</si>
  <si>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</si>
  <si>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</si>
  <si>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</si>
  <si>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</si>
  <si>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</si>
  <si>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</si>
  <si>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88.8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</si>
  <si>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</si>
  <si>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</si>
  <si>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</si>
  <si>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</si>
  <si>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</si>
  <si>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</si>
  <si>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</si>
  <si>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</si>
  <si>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25.1</t>
  </si>
  <si>
    <t>Eldon® Executive Woodline II Desk Accessories, Mahogany</t>
  </si>
  <si>
    <t>Anthony Witt</t>
  </si>
  <si>
    <t>Hunter Glantz</t>
  </si>
  <si>
    <t>43.3</t>
  </si>
  <si>
    <t>Eldon Advantage® Chair Mats for Low to Medium Pile Carpets</t>
  </si>
  <si>
    <t>DAX Wood Document Frame</t>
  </si>
  <si>
    <t>DMI Arturo Collection Mission-style Design Wood Chair</t>
  </si>
  <si>
    <t>Clay Ludtke</t>
  </si>
  <si>
    <t>Craig Carreira</t>
  </si>
  <si>
    <t>Fellowes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</si>
  <si>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</si>
  <si>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</si>
  <si>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</si>
  <si>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</si>
  <si>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</si>
  <si>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</si>
  <si>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</si>
  <si>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</si>
  <si>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</si>
  <si>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Global Comet™ Stacking Armless Chair</t>
  </si>
  <si>
    <t>Epson FX-2180 Wide Format Dot Matrix Printer</t>
  </si>
  <si>
    <t>Total Order Quantity of the day</t>
  </si>
  <si>
    <t>Total Order Quantity of customer</t>
  </si>
  <si>
    <t>OFT: 123</t>
  </si>
  <si>
    <t>Total transaction</t>
  </si>
  <si>
    <t>OF:262+220+123=605</t>
  </si>
  <si>
    <t xml:space="preserve">Min. Suuport </t>
  </si>
  <si>
    <t>FT:122+71+123=316</t>
  </si>
  <si>
    <t>Min. Confidence</t>
  </si>
  <si>
    <t>OT:353+261+123=737</t>
  </si>
  <si>
    <t>F:1141+383+35=1559</t>
  </si>
  <si>
    <t>O:3075+513+37=3625</t>
  </si>
  <si>
    <t>T:1288+518+53=1859</t>
  </si>
  <si>
    <t>Support (F)</t>
  </si>
  <si>
    <t>Frequent Item</t>
  </si>
  <si>
    <t>Support (O)</t>
  </si>
  <si>
    <t>Support (T)</t>
  </si>
  <si>
    <t>Support (OFT)</t>
  </si>
  <si>
    <t>OF</t>
  </si>
  <si>
    <t>FT</t>
  </si>
  <si>
    <t>OT</t>
  </si>
  <si>
    <t>OFT</t>
  </si>
  <si>
    <t xml:space="preserve">Confidence </t>
  </si>
  <si>
    <t>O --&gt; T</t>
  </si>
  <si>
    <t>P(T|O)</t>
  </si>
  <si>
    <t>T --&gt; O</t>
  </si>
  <si>
    <t>Improvement</t>
  </si>
  <si>
    <t>O --&gt; F</t>
  </si>
  <si>
    <t>F--&gt; O</t>
  </si>
  <si>
    <t>T --&gt; F</t>
  </si>
  <si>
    <t>F --&gt; T</t>
  </si>
  <si>
    <t>Top 5 best customer</t>
  </si>
  <si>
    <t>ANNAUL PROFIT</t>
  </si>
  <si>
    <t>YEAR</t>
  </si>
  <si>
    <t>Total Sale</t>
  </si>
  <si>
    <t>Payoff Table</t>
  </si>
  <si>
    <t>For loyalty customers</t>
  </si>
  <si>
    <t>Decisions</t>
  </si>
  <si>
    <t>State of Nature</t>
  </si>
  <si>
    <t>Expected value</t>
  </si>
  <si>
    <t>Waive 1-order shipping cost</t>
  </si>
  <si>
    <t>$25 coupon for buying Furniture</t>
  </si>
  <si>
    <t>One-time $10 cash deposit in customer account</t>
  </si>
  <si>
    <t>$35 coupon for buying Technology</t>
  </si>
  <si>
    <t>One-time $25 cash deposit in customer account</t>
  </si>
  <si>
    <t>30% off discount</t>
  </si>
  <si>
    <t>10% off discount</t>
  </si>
  <si>
    <t>35% off discount</t>
  </si>
  <si>
    <t>20% off discount</t>
  </si>
  <si>
    <t>Probability</t>
  </si>
  <si>
    <t>Average shipping cost per order</t>
  </si>
  <si>
    <t xml:space="preserve">Average Revenue per order </t>
  </si>
  <si>
    <t>For vulnerable customers</t>
  </si>
  <si>
    <t>$10 coupon</t>
  </si>
  <si>
    <t>$25 coupon</t>
  </si>
  <si>
    <t>((30-26)*100-10)*100%</t>
  </si>
  <si>
    <t>((100-87)-100*75%)*20%</t>
  </si>
  <si>
    <t>average profits</t>
  </si>
  <si>
    <t>average order quantity</t>
  </si>
  <si>
    <t>average shipping cost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</si>
</sst>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dd/mm/yyyy"/>
    <numFmt numFmtId="166" formatCode="&quot;$&quot;#,##0.00"/>
  </numFmts>
  <fonts count="15">
    <font>
      <sz val="10.0"/>
      <color rgb="FF000000"/>
      <name val="Microsoft JhengHei"/>
      <scheme val="minor"/>
    </font>
    <font>
      <b/>
      <sz val="12.0"/>
      <color theme="1"/>
      <name val="Open Sans"/>
    </font>
    <font>
      <sz val="10.0"/>
      <color theme="1"/>
      <name val="Microsoft JhengHei"/>
    </font>
    <font>
      <sz val="12.0"/>
      <color theme="1"/>
      <name val="Open Sans"/>
    </font>
    <font>
      <sz val="11.0"/>
      <color rgb="FF000000"/>
      <name val="Inconsolata"/>
    </font>
    <font>
      <sz val="12.0"/>
      <color theme="1"/>
      <name val="Microsoft JhengHei"/>
    </font>
    <font>
      <color theme="1"/>
      <name val="Microsoft JhengHei"/>
      <scheme val="minor"/>
    </font>
    <font>
      <color rgb="FFFF0000"/>
      <name val="Microsoft JhengHei"/>
      <scheme val="minor"/>
    </font>
    <font>
      <b/>
      <sz val="14.0"/>
      <color theme="1"/>
      <name val="Microsoft JhengHei"/>
    </font>
    <font>
      <b/>
      <color theme="1"/>
      <name val="Times New Roman"/>
    </font>
    <font>
      <color theme="1"/>
      <name val="Times New Roman"/>
    </font>
    <font>
      <sz val="10.0"/>
      <color theme="1"/>
      <name val="Times New Roman"/>
    </font>
    <font/>
    <font>
      <sz val="10.0"/>
      <color rgb="FF000000"/>
      <name val="Times New Roman"/>
    </font>
    <font>
      <sz val="16.0"/>
      <color rgb="FFFFFFFF"/>
      <name val="Nunito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</fills>
  <borders count="3">
    <border/>
    <border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164" xfId="0" applyAlignment="1" applyBorder="1" applyFont="1" applyNumberFormat="1">
      <alignment horizontal="center" shrinkToFit="0" vertical="center" wrapText="0"/>
    </xf>
    <xf borderId="1" fillId="0" fontId="1" numFmtId="10" xfId="0" applyAlignment="1" applyBorder="1" applyFont="1" applyNumberFormat="1">
      <alignment horizontal="center" shrinkToFit="0" vertical="center" wrapText="0"/>
    </xf>
    <xf borderId="1" fillId="0" fontId="1" numFmtId="165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3" numFmtId="1" xfId="0" applyAlignment="1" applyFont="1" applyNumberFormat="1">
      <alignment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3" numFmtId="10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2" numFmtId="166" xfId="0" applyAlignment="1" applyFont="1" applyNumberFormat="1">
      <alignment shrinkToFit="0" vertical="bottom" wrapText="0"/>
    </xf>
    <xf borderId="0" fillId="2" fontId="4" numFmtId="0" xfId="0" applyFill="1" applyFont="1"/>
    <xf borderId="0" fillId="0" fontId="5" numFmtId="165" xfId="0" applyAlignment="1" applyFont="1" applyNumberFormat="1">
      <alignment shrinkToFit="0" vertical="bottom" wrapText="0"/>
    </xf>
    <xf borderId="0" fillId="0" fontId="3" numFmtId="164" xfId="0" applyAlignment="1" applyFont="1" applyNumberFormat="1">
      <alignment horizontal="right" shrinkToFit="0" vertical="bottom" wrapText="0"/>
    </xf>
    <xf borderId="0" fillId="3" fontId="3" numFmtId="0" xfId="0" applyAlignment="1" applyFill="1" applyFont="1">
      <alignment shrinkToFit="0" vertical="bottom" wrapText="0"/>
    </xf>
    <xf borderId="0" fillId="3" fontId="3" numFmtId="165" xfId="0" applyAlignment="1" applyFont="1" applyNumberFormat="1">
      <alignment shrinkToFit="0" vertical="bottom" wrapText="0"/>
    </xf>
    <xf borderId="0" fillId="3" fontId="3" numFmtId="1" xfId="0" applyAlignment="1" applyFont="1" applyNumberFormat="1">
      <alignment shrinkToFit="0" vertical="bottom" wrapText="0"/>
    </xf>
    <xf borderId="0" fillId="3" fontId="3" numFmtId="164" xfId="0" applyAlignment="1" applyFont="1" applyNumberFormat="1">
      <alignment horizontal="right" shrinkToFit="0" vertical="bottom" wrapText="0"/>
    </xf>
    <xf borderId="0" fillId="3" fontId="3" numFmtId="10" xfId="0" applyAlignment="1" applyFont="1" applyNumberFormat="1">
      <alignment shrinkToFit="0" vertical="bottom" wrapText="0"/>
    </xf>
    <xf borderId="0" fillId="3" fontId="3" numFmtId="2" xfId="0" applyAlignment="1" applyFont="1" applyNumberFormat="1">
      <alignment shrinkToFit="0" vertical="bottom" wrapText="0"/>
    </xf>
    <xf borderId="0" fillId="3" fontId="2" numFmtId="0" xfId="0" applyAlignment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2" fillId="0" fontId="3" numFmtId="165" xfId="0" applyAlignment="1" applyBorder="1" applyFont="1" applyNumberFormat="1">
      <alignment shrinkToFit="0" vertical="bottom" wrapText="0"/>
    </xf>
    <xf borderId="2" fillId="0" fontId="3" numFmtId="1" xfId="0" applyAlignment="1" applyBorder="1" applyFont="1" applyNumberFormat="1">
      <alignment shrinkToFit="0" vertical="bottom" wrapText="0"/>
    </xf>
    <xf borderId="2" fillId="0" fontId="3" numFmtId="164" xfId="0" applyAlignment="1" applyBorder="1" applyFont="1" applyNumberFormat="1">
      <alignment horizontal="right" shrinkToFit="0" vertical="bottom" wrapText="0"/>
    </xf>
    <xf borderId="2" fillId="0" fontId="3" numFmtId="10" xfId="0" applyAlignment="1" applyBorder="1" applyFont="1" applyNumberFormat="1">
      <alignment shrinkToFit="0" vertical="bottom" wrapText="0"/>
    </xf>
    <xf borderId="2" fillId="0" fontId="3" numFmtId="2" xfId="0" applyAlignment="1" applyBorder="1" applyFont="1" applyNumberFormat="1">
      <alignment shrinkToFit="0" vertical="bottom" wrapText="0"/>
    </xf>
    <xf borderId="2" fillId="3" fontId="5" numFmtId="165" xfId="0" applyAlignment="1" applyBorder="1" applyFont="1" applyNumberFormat="1">
      <alignment shrinkToFit="0" vertical="bottom" wrapText="0"/>
    </xf>
    <xf borderId="2" fillId="3" fontId="2" numFmtId="0" xfId="0" applyAlignment="1" applyBorder="1" applyFont="1">
      <alignment shrinkToFit="0" vertical="bottom" wrapText="0"/>
    </xf>
    <xf borderId="0" fillId="0" fontId="6" numFmtId="0" xfId="0" applyAlignment="1" applyFont="1">
      <alignment readingOrder="0" shrinkToFit="0" wrapText="1"/>
    </xf>
    <xf borderId="0" fillId="0" fontId="6" numFmtId="165" xfId="0" applyFont="1" applyNumberFormat="1"/>
    <xf borderId="0" fillId="0" fontId="6" numFmtId="0" xfId="0" applyFont="1"/>
    <xf borderId="0" fillId="2" fontId="4" numFmtId="0" xfId="0" applyFont="1"/>
    <xf borderId="0" fillId="0" fontId="6" numFmtId="0" xfId="0" applyAlignment="1" applyFont="1">
      <alignment readingOrder="0"/>
    </xf>
    <xf borderId="0" fillId="0" fontId="6" numFmtId="9" xfId="0" applyAlignment="1" applyFont="1" applyNumberFormat="1">
      <alignment readingOrder="0"/>
    </xf>
    <xf borderId="0" fillId="3" fontId="6" numFmtId="0" xfId="0" applyAlignment="1" applyFont="1">
      <alignment readingOrder="0"/>
    </xf>
    <xf borderId="0" fillId="0" fontId="7" numFmtId="0" xfId="0" applyFont="1"/>
    <xf borderId="0" fillId="3" fontId="7" numFmtId="0" xfId="0" applyFont="1"/>
    <xf borderId="0" fillId="0" fontId="6" numFmtId="0" xfId="0" applyAlignment="1" applyFont="1">
      <alignment readingOrder="0" shrinkToFit="0" wrapText="1"/>
    </xf>
    <xf borderId="2" fillId="3" fontId="8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right" shrinkToFit="0" vertical="bottom" wrapText="0"/>
    </xf>
    <xf borderId="0" fillId="0" fontId="9" numFmtId="0" xfId="0" applyAlignment="1" applyFont="1">
      <alignment readingOrder="0"/>
    </xf>
    <xf borderId="0" fillId="0" fontId="10" numFmtId="0" xfId="0" applyFont="1"/>
    <xf borderId="0" fillId="0" fontId="10" numFmtId="0" xfId="0" applyAlignment="1" applyFont="1">
      <alignment horizontal="center"/>
    </xf>
    <xf borderId="0" fillId="0" fontId="11" numFmtId="0" xfId="0" applyAlignment="1" applyFont="1">
      <alignment readingOrder="0"/>
    </xf>
    <xf borderId="0" fillId="0" fontId="11" numFmtId="0" xfId="0" applyFont="1"/>
    <xf borderId="1" fillId="0" fontId="11" numFmtId="0" xfId="0" applyAlignment="1" applyBorder="1" applyFont="1">
      <alignment horizontal="center" readingOrder="0"/>
    </xf>
    <xf borderId="1" fillId="0" fontId="12" numFmtId="0" xfId="0" applyBorder="1" applyFont="1"/>
    <xf borderId="0" fillId="0" fontId="13" numFmtId="0" xfId="0" applyFont="1"/>
    <xf borderId="0" fillId="2" fontId="13" numFmtId="0" xfId="0" applyFont="1"/>
    <xf borderId="0" fillId="0" fontId="10" numFmtId="0" xfId="0" applyAlignment="1" applyFont="1">
      <alignment readingOrder="0"/>
    </xf>
    <xf borderId="0" fillId="0" fontId="14" numFmtId="0" xfId="0" applyAlignment="1" applyFont="1">
      <alignment readingOrder="0"/>
    </xf>
    <xf borderId="0" fillId="2" fontId="13" numFmtId="0" xfId="0" applyAlignment="1" applyFont="1">
      <alignment readingOrder="0"/>
    </xf>
    <xf borderId="0" fillId="5" fontId="6" numFmtId="0" xfId="0" applyAlignment="1" applyFill="1" applyFont="1">
      <alignment readingOrder="0"/>
    </xf>
    <xf borderId="0" fillId="6" fontId="6" numFmtId="0" xfId="0" applyAlignment="1" applyFill="1" applyFont="1">
      <alignment readingOrder="0"/>
    </xf>
    <xf borderId="0" fillId="5" fontId="6" numFmtId="2" xfId="0" applyFont="1" applyNumberFormat="1"/>
    <xf borderId="0" fillId="6" fontId="6" numFmtId="2" xfId="0" applyFont="1" applyNumberFormat="1"/>
    <xf borderId="0" fillId="5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Top-5 Best Customers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Sheet3!$J$2:$J$6</c:f>
            </c:strRef>
          </c:cat>
          <c:val>
            <c:numRef>
              <c:f>Sheet3!$K$2:$K$6</c:f>
              <c:numCache/>
            </c:numRef>
          </c:val>
        </c:ser>
        <c:axId val="849238434"/>
        <c:axId val="158553"/>
      </c:barChart>
      <c:catAx>
        <c:axId val="8492384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553"/>
      </c:catAx>
      <c:valAx>
        <c:axId val="1585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92384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447675</xdr:colOff>
      <xdr:row>9</xdr:row>
      <xdr:rowOff>76200</xdr:rowOff>
    </xdr:from>
    <xdr:ext cx="5715000" cy="3533775"/>
    <xdr:graphicFrame>
      <xdr:nvGraphicFramePr>
        <xdr:cNvPr id="782048423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800100</xdr:colOff>
      <xdr:row>3</xdr:row>
      <xdr:rowOff>19050</xdr:rowOff>
    </xdr:from>
    <xdr:ext cx="5676900" cy="34099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476875" cy="60007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icrosoft JhengHei"/>
        <a:ea typeface="Microsoft JhengHei"/>
        <a:cs typeface="Microsoft JhengHei"/>
      </a:majorFont>
      <a:minorFont>
        <a:latin typeface="Microsoft JhengHei"/>
        <a:ea typeface="Microsoft JhengHei"/>
        <a:cs typeface="Microsoft JhengHe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14"/>
    <col customWidth="1" min="2" max="3" width="17.29"/>
    <col customWidth="1" min="4" max="4" width="19.86"/>
    <col customWidth="1" min="5" max="5" width="21.43"/>
    <col customWidth="1" min="6" max="6" width="15.86"/>
    <col customWidth="1" min="7" max="7" width="20.14"/>
    <col customWidth="1" min="8" max="8" width="16.29"/>
    <col customWidth="1" min="9" max="9" width="19.43"/>
    <col customWidth="1" min="10" max="10" width="22.57"/>
    <col customWidth="1" min="11" max="11" width="15.14"/>
    <col customWidth="1" min="12" max="12" width="25.71"/>
    <col customWidth="1" min="13" max="13" width="23.86"/>
    <col customWidth="1" min="14" max="14" width="35.71"/>
    <col customWidth="1" min="15" max="15" width="109.0"/>
    <col customWidth="1" min="16" max="16" width="25.0"/>
    <col customWidth="1" min="17" max="17" width="20.86"/>
    <col customWidth="1" min="18" max="18" width="9.0"/>
    <col customWidth="1" min="19" max="19" width="14.29"/>
    <col customWidth="1" min="20" max="20" width="11.43"/>
    <col customWidth="1" min="21" max="21" width="12.29"/>
    <col customWidth="1" min="22" max="22" width="29.57"/>
    <col customWidth="1" min="23" max="27" width="8.71"/>
    <col customWidth="1" min="28" max="28" width="22.14"/>
    <col customWidth="1" min="29" max="29" width="14.14"/>
    <col customWidth="1" min="30" max="30" width="20.0"/>
    <col customWidth="1" min="31" max="31" width="10.14"/>
    <col customWidth="1" min="32" max="35" width="8.71"/>
  </cols>
  <sheetData>
    <row r="1" ht="25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6"/>
      <c r="V1" s="7" t="s">
        <v>20</v>
      </c>
      <c r="W1" s="6" t="s">
        <v>21</v>
      </c>
      <c r="X1" s="8">
        <v>2009.0</v>
      </c>
      <c r="Y1" s="8">
        <v>2010.0</v>
      </c>
      <c r="Z1" s="8">
        <v>2011.0</v>
      </c>
      <c r="AA1" s="8">
        <v>2012.0</v>
      </c>
      <c r="AB1" s="9" t="str">
        <f>IFERROR(__xludf.DUMMYFUNCTION("unique(J:J)"),"Customer Name")</f>
        <v>Customer Name</v>
      </c>
      <c r="AC1" s="10" t="s">
        <v>11</v>
      </c>
      <c r="AD1" s="8" t="s">
        <v>10</v>
      </c>
      <c r="AE1" s="10" t="s">
        <v>11</v>
      </c>
      <c r="AF1" s="8" t="s">
        <v>10</v>
      </c>
      <c r="AG1" s="9"/>
      <c r="AH1" s="10" t="s">
        <v>22</v>
      </c>
      <c r="AI1" s="9"/>
    </row>
    <row r="2" ht="15.0" customHeight="1">
      <c r="A2" s="11">
        <v>1.0</v>
      </c>
      <c r="B2" s="12">
        <f t="shared" ref="B2:B3" si="1">DATE(2012,12,31)-1460</f>
        <v>39814</v>
      </c>
      <c r="C2" s="13">
        <v>2009.0</v>
      </c>
      <c r="D2" s="11" t="s">
        <v>23</v>
      </c>
      <c r="E2" s="11">
        <v>9.0</v>
      </c>
      <c r="F2" s="14">
        <v>95.9</v>
      </c>
      <c r="G2" s="15">
        <v>0.08209723939019359</v>
      </c>
      <c r="H2" s="11" t="s">
        <v>24</v>
      </c>
      <c r="I2" s="16">
        <v>28.0</v>
      </c>
      <c r="J2" s="11" t="s">
        <v>25</v>
      </c>
      <c r="K2" s="11" t="s">
        <v>26</v>
      </c>
      <c r="L2" s="11" t="s">
        <v>27</v>
      </c>
      <c r="M2" s="11" t="s">
        <v>28</v>
      </c>
      <c r="N2" s="11" t="s">
        <v>29</v>
      </c>
      <c r="O2" s="11" t="s">
        <v>30</v>
      </c>
      <c r="P2" s="11" t="s">
        <v>31</v>
      </c>
      <c r="Q2" s="17" t="str">
        <f>D2*E2*F2+H2</f>
        <v>#VALUE!</v>
      </c>
      <c r="R2" s="17">
        <f t="shared" ref="R2:R8400" si="2">G2*(E2*F2+I2)</f>
        <v>73.15685002</v>
      </c>
      <c r="S2" s="18">
        <f>AVERAGE(R2:R8400)</f>
        <v>96.90448104</v>
      </c>
      <c r="T2" s="18">
        <f>SUM(R2:R8400)</f>
        <v>813900.7363</v>
      </c>
      <c r="U2" s="19"/>
      <c r="V2" s="9" t="str">
        <f>IFERROR(__xludf.DUMMYFUNCTION("ARRAY_CONSTRAIN(ARRAYFORMULA(UNIQUE(N2:N8400)), 17, 1)"),"Storage &amp; Organization")</f>
        <v>Storage &amp; Organization</v>
      </c>
      <c r="W2" s="9">
        <f t="shared" ref="W2:W18" si="3">SUMIFS($E$2:$E$8400,$N$2:$N$8400,V2)</f>
        <v>13804</v>
      </c>
      <c r="X2" s="19">
        <f t="shared" ref="X2:X18" si="4">SUMIFS($E$2:$E$8400,$C$2:$C$8400,"2009",$N$2:$N$8400,V2)</f>
        <v>3469</v>
      </c>
      <c r="Y2" s="19">
        <f t="shared" ref="Y2:Y18" si="5">SUMIFS($E$2:$E$8400,$C$2:$C$8400,"2010",$N$2:$N$8400,V2)</f>
        <v>3527</v>
      </c>
      <c r="Z2" s="19">
        <f t="shared" ref="Z2:Z18" si="6">SUMIFS($E$2:$E$8400,$C$2:$C$8400,"2011",$N$2:$N$8400,V2)</f>
        <v>3105</v>
      </c>
      <c r="AA2" s="9">
        <f t="shared" ref="AA2:AA18" si="7">SUMIFS($E$2:$E$8400,$C$2:$C$8400,"2012",$N$2:$N$8400,V2)</f>
        <v>3703</v>
      </c>
      <c r="AB2" s="9" t="str">
        <f>IFERROR(__xludf.DUMMYFUNCTION("""COMPUTED_VALUE"""),"Matt Collister")</f>
        <v>Matt Collister</v>
      </c>
      <c r="AC2" s="9" t="str">
        <f>IFERROR(__xludf.DUMMYFUNCTION("unique(L2:L8400)"),"Home Office")</f>
        <v>Home Office</v>
      </c>
      <c r="AD2" s="9" t="str">
        <f>IFERROR(__xludf.DUMMYFUNCTION("unique(K2:K8400)"),"Quebec")</f>
        <v>Quebec</v>
      </c>
      <c r="AE2" s="9">
        <f t="shared" ref="AE2:AE8400" si="8">if(L2=$AC$2,1,if(L2=$AC$3,2,if(L2=$AC$4,3,if(L2=$AC$5,4))))</f>
        <v>1</v>
      </c>
      <c r="AF2" s="19">
        <f t="shared" ref="AF2:AF9" si="9">if(K2=$AD$2,10,if(K2=$AD$3,20,if(K2=$AD$4,30,if(K2=$AD$5,40,if(K2=$AD$6,50,IF(K2=$AD$7,60,IF(K2=$AD$8,70,IF(K2=$AD$9,80))))))))</f>
        <v>10</v>
      </c>
      <c r="AG2" s="9"/>
      <c r="AH2" s="9">
        <f>countif(L2:L8400,AC2)</f>
        <v>2032</v>
      </c>
      <c r="AI2" s="9"/>
    </row>
    <row r="3" ht="15.0" customHeight="1">
      <c r="A3" s="11">
        <v>2.0</v>
      </c>
      <c r="B3" s="12">
        <f t="shared" si="1"/>
        <v>39814</v>
      </c>
      <c r="C3" s="13">
        <v>2009.0</v>
      </c>
      <c r="D3" s="11" t="s">
        <v>32</v>
      </c>
      <c r="E3" s="11">
        <v>32.0</v>
      </c>
      <c r="F3" s="14">
        <v>5.9</v>
      </c>
      <c r="G3" s="15">
        <v>0.10690166975881249</v>
      </c>
      <c r="H3" s="11" t="s">
        <v>33</v>
      </c>
      <c r="I3" s="16">
        <v>3.7520000000000007</v>
      </c>
      <c r="J3" s="11" t="s">
        <v>34</v>
      </c>
      <c r="K3" s="11" t="s">
        <v>35</v>
      </c>
      <c r="L3" s="11" t="s">
        <v>36</v>
      </c>
      <c r="M3" s="11" t="s">
        <v>28</v>
      </c>
      <c r="N3" s="11" t="s">
        <v>29</v>
      </c>
      <c r="O3" s="11" t="s">
        <v>37</v>
      </c>
      <c r="P3" s="11" t="s">
        <v>38</v>
      </c>
      <c r="Q3" s="20">
        <v>39815.0</v>
      </c>
      <c r="R3" s="17">
        <f t="shared" si="2"/>
        <v>20.58413032</v>
      </c>
      <c r="S3" s="9"/>
      <c r="T3" s="9"/>
      <c r="U3" s="9"/>
      <c r="V3" s="9" t="str">
        <f>IFERROR(__xludf.DUMMYFUNCTION("""COMPUTED_VALUE"""),"Binders and Binder Accessories")</f>
        <v>Binders and Binder Accessories</v>
      </c>
      <c r="W3" s="9">
        <f t="shared" si="3"/>
        <v>22992</v>
      </c>
      <c r="X3" s="19">
        <f t="shared" si="4"/>
        <v>6111</v>
      </c>
      <c r="Y3" s="19">
        <f t="shared" si="5"/>
        <v>5283</v>
      </c>
      <c r="Z3" s="19">
        <f t="shared" si="6"/>
        <v>5531</v>
      </c>
      <c r="AA3" s="9">
        <f t="shared" si="7"/>
        <v>6067</v>
      </c>
      <c r="AB3" s="9" t="str">
        <f>IFERROR(__xludf.DUMMYFUNCTION("""COMPUTED_VALUE"""),"Jessica Myrick")</f>
        <v>Jessica Myrick</v>
      </c>
      <c r="AC3" s="9" t="str">
        <f>IFERROR(__xludf.DUMMYFUNCTION("""COMPUTED_VALUE"""),"Small Business")</f>
        <v>Small Business</v>
      </c>
      <c r="AD3" s="9" t="str">
        <f>IFERROR(__xludf.DUMMYFUNCTION("""COMPUTED_VALUE"""),"Ontario")</f>
        <v>Ontario</v>
      </c>
      <c r="AE3" s="9">
        <f t="shared" si="8"/>
        <v>2</v>
      </c>
      <c r="AF3" s="19">
        <f t="shared" si="9"/>
        <v>20</v>
      </c>
      <c r="AG3" s="9"/>
      <c r="AH3" s="9">
        <f t="shared" ref="AH3:AH5" si="10">countif(L3:L8403,AC3)</f>
        <v>1642</v>
      </c>
      <c r="AI3" s="9"/>
    </row>
    <row r="4" ht="15.0" customHeight="1">
      <c r="A4" s="11">
        <v>3.0</v>
      </c>
      <c r="B4" s="12">
        <f t="shared" ref="B4:B9" si="11">DATE(2012,12,31)-1459</f>
        <v>39815</v>
      </c>
      <c r="C4" s="13">
        <v>2009.0</v>
      </c>
      <c r="D4" s="11" t="s">
        <v>39</v>
      </c>
      <c r="E4" s="11">
        <v>3.0</v>
      </c>
      <c r="F4" s="14">
        <v>40.9</v>
      </c>
      <c r="G4" s="15">
        <v>0.0622788605697153</v>
      </c>
      <c r="H4" s="11" t="s">
        <v>33</v>
      </c>
      <c r="I4" s="16">
        <v>2.3920000000000003</v>
      </c>
      <c r="J4" s="11" t="s">
        <v>40</v>
      </c>
      <c r="K4" s="11" t="s">
        <v>35</v>
      </c>
      <c r="L4" s="11" t="s">
        <v>41</v>
      </c>
      <c r="M4" s="11" t="s">
        <v>28</v>
      </c>
      <c r="N4" s="11" t="s">
        <v>42</v>
      </c>
      <c r="O4" s="11" t="s">
        <v>43</v>
      </c>
      <c r="P4" s="11" t="s">
        <v>38</v>
      </c>
      <c r="Q4" s="20">
        <v>39815.0</v>
      </c>
      <c r="R4" s="17">
        <f t="shared" si="2"/>
        <v>7.790587226</v>
      </c>
      <c r="S4" s="9"/>
      <c r="T4" s="9"/>
      <c r="U4" s="9"/>
      <c r="V4" s="9" t="str">
        <f>IFERROR(__xludf.DUMMYFUNCTION("""COMPUTED_VALUE"""),"Chairs &amp; Chairmats")</f>
        <v>Chairs &amp; Chairmats</v>
      </c>
      <c r="W4" s="9">
        <f t="shared" si="3"/>
        <v>9590</v>
      </c>
      <c r="X4" s="19">
        <f t="shared" si="4"/>
        <v>2556</v>
      </c>
      <c r="Y4" s="19">
        <f t="shared" si="5"/>
        <v>2317</v>
      </c>
      <c r="Z4" s="19">
        <f t="shared" si="6"/>
        <v>2549</v>
      </c>
      <c r="AA4" s="9">
        <f t="shared" si="7"/>
        <v>2168</v>
      </c>
      <c r="AB4" s="9" t="str">
        <f>IFERROR(__xludf.DUMMYFUNCTION("""COMPUTED_VALUE"""),"David Philippe")</f>
        <v>David Philippe</v>
      </c>
      <c r="AC4" s="9" t="str">
        <f>IFERROR(__xludf.DUMMYFUNCTION("""COMPUTED_VALUE"""),"Consumer")</f>
        <v>Consumer</v>
      </c>
      <c r="AD4" s="9" t="str">
        <f>IFERROR(__xludf.DUMMYFUNCTION("""COMPUTED_VALUE"""),"Yukon")</f>
        <v>Yukon</v>
      </c>
      <c r="AE4" s="9">
        <f t="shared" si="8"/>
        <v>3</v>
      </c>
      <c r="AF4" s="19">
        <f t="shared" si="9"/>
        <v>20</v>
      </c>
      <c r="AG4" s="9"/>
      <c r="AH4" s="9">
        <f t="shared" si="10"/>
        <v>1649</v>
      </c>
      <c r="AI4" s="9"/>
    </row>
    <row r="5" ht="15.0" customHeight="1">
      <c r="A5" s="11">
        <v>4.0</v>
      </c>
      <c r="B5" s="12">
        <f t="shared" si="11"/>
        <v>39815</v>
      </c>
      <c r="C5" s="13">
        <v>2009.0</v>
      </c>
      <c r="D5" s="11" t="s">
        <v>44</v>
      </c>
      <c r="E5" s="11">
        <v>4.0</v>
      </c>
      <c r="F5" s="14">
        <v>291.7</v>
      </c>
      <c r="G5" s="15">
        <v>0.008110553590524082</v>
      </c>
      <c r="H5" s="11" t="s">
        <v>45</v>
      </c>
      <c r="I5" s="16">
        <v>39.04</v>
      </c>
      <c r="J5" s="11" t="s">
        <v>46</v>
      </c>
      <c r="K5" s="11" t="s">
        <v>47</v>
      </c>
      <c r="L5" s="11" t="s">
        <v>48</v>
      </c>
      <c r="M5" s="11" t="s">
        <v>49</v>
      </c>
      <c r="N5" s="11" t="s">
        <v>50</v>
      </c>
      <c r="O5" s="11" t="s">
        <v>51</v>
      </c>
      <c r="P5" s="11" t="s">
        <v>52</v>
      </c>
      <c r="Q5" s="20">
        <v>39816.0</v>
      </c>
      <c r="R5" s="17">
        <f t="shared" si="2"/>
        <v>9.780029942</v>
      </c>
      <c r="S5" s="9"/>
      <c r="T5" s="9"/>
      <c r="U5" s="9"/>
      <c r="V5" s="9" t="str">
        <f>IFERROR(__xludf.DUMMYFUNCTION("""COMPUTED_VALUE"""),"Paper")</f>
        <v>Paper</v>
      </c>
      <c r="W5" s="9">
        <f t="shared" si="3"/>
        <v>30871</v>
      </c>
      <c r="X5" s="19">
        <f t="shared" si="4"/>
        <v>7517</v>
      </c>
      <c r="Y5" s="19">
        <f t="shared" si="5"/>
        <v>7977</v>
      </c>
      <c r="Z5" s="19">
        <f t="shared" si="6"/>
        <v>7686</v>
      </c>
      <c r="AA5" s="9">
        <f t="shared" si="7"/>
        <v>7691</v>
      </c>
      <c r="AB5" s="9" t="str">
        <f>IFERROR(__xludf.DUMMYFUNCTION("""COMPUTED_VALUE"""),"Alan Schoenberger")</f>
        <v>Alan Schoenberger</v>
      </c>
      <c r="AC5" s="9" t="str">
        <f>IFERROR(__xludf.DUMMYFUNCTION("""COMPUTED_VALUE"""),"Corporate")</f>
        <v>Corporate</v>
      </c>
      <c r="AD5" s="9" t="str">
        <f>IFERROR(__xludf.DUMMYFUNCTION("""COMPUTED_VALUE"""),"West")</f>
        <v>West</v>
      </c>
      <c r="AE5" s="9">
        <f t="shared" si="8"/>
        <v>4</v>
      </c>
      <c r="AF5" s="19">
        <f t="shared" si="9"/>
        <v>30</v>
      </c>
      <c r="AG5" s="9"/>
      <c r="AH5" s="9">
        <f t="shared" si="10"/>
        <v>3076</v>
      </c>
      <c r="AI5" s="9"/>
    </row>
    <row r="6" ht="15.0" customHeight="1">
      <c r="A6" s="11">
        <v>5.0</v>
      </c>
      <c r="B6" s="12">
        <f t="shared" si="11"/>
        <v>39815</v>
      </c>
      <c r="C6" s="13">
        <v>2009.0</v>
      </c>
      <c r="D6" s="11" t="s">
        <v>44</v>
      </c>
      <c r="E6" s="11">
        <v>43.0</v>
      </c>
      <c r="F6" s="14">
        <v>100.9</v>
      </c>
      <c r="G6" s="15">
        <v>0.06806271569170466</v>
      </c>
      <c r="H6" s="11" t="s">
        <v>45</v>
      </c>
      <c r="I6" s="16">
        <v>36.0</v>
      </c>
      <c r="J6" s="11" t="s">
        <v>46</v>
      </c>
      <c r="K6" s="11" t="s">
        <v>47</v>
      </c>
      <c r="L6" s="11" t="s">
        <v>48</v>
      </c>
      <c r="M6" s="11" t="s">
        <v>49</v>
      </c>
      <c r="N6" s="11" t="s">
        <v>50</v>
      </c>
      <c r="O6" s="11" t="s">
        <v>53</v>
      </c>
      <c r="P6" s="11" t="s">
        <v>52</v>
      </c>
      <c r="Q6" s="20">
        <v>39817.0</v>
      </c>
      <c r="R6" s="17">
        <f t="shared" si="2"/>
        <v>297.7539623</v>
      </c>
      <c r="S6" s="9"/>
      <c r="T6" s="9"/>
      <c r="U6" s="9"/>
      <c r="V6" s="9" t="str">
        <f>IFERROR(__xludf.DUMMYFUNCTION("""COMPUTED_VALUE"""),"Pens &amp; Art Supplies")</f>
        <v>Pens &amp; Art Supplies</v>
      </c>
      <c r="W6" s="9">
        <f t="shared" si="3"/>
        <v>16980</v>
      </c>
      <c r="X6" s="19">
        <f t="shared" si="4"/>
        <v>4424</v>
      </c>
      <c r="Y6" s="19">
        <f t="shared" si="5"/>
        <v>4285</v>
      </c>
      <c r="Z6" s="19">
        <f t="shared" si="6"/>
        <v>4322</v>
      </c>
      <c r="AA6" s="9">
        <f t="shared" si="7"/>
        <v>3949</v>
      </c>
      <c r="AB6" s="9" t="str">
        <f>IFERROR(__xludf.DUMMYFUNCTION("""COMPUTED_VALUE"""),"Elizabeth Moffitt")</f>
        <v>Elizabeth Moffitt</v>
      </c>
      <c r="AC6" s="9"/>
      <c r="AD6" s="9" t="str">
        <f>IFERROR(__xludf.DUMMYFUNCTION("""COMPUTED_VALUE"""),"Prarie")</f>
        <v>Prarie</v>
      </c>
      <c r="AE6" s="9">
        <f t="shared" si="8"/>
        <v>4</v>
      </c>
      <c r="AF6" s="19">
        <f t="shared" si="9"/>
        <v>30</v>
      </c>
      <c r="AG6" s="9"/>
      <c r="AH6" s="9"/>
      <c r="AI6" s="9"/>
    </row>
    <row r="7" ht="15.0" customHeight="1">
      <c r="A7" s="11">
        <v>6.0</v>
      </c>
      <c r="B7" s="12">
        <f t="shared" si="11"/>
        <v>39815</v>
      </c>
      <c r="C7" s="13">
        <v>2009.0</v>
      </c>
      <c r="D7" s="11" t="s">
        <v>44</v>
      </c>
      <c r="E7" s="11">
        <v>32.0</v>
      </c>
      <c r="F7" s="14">
        <v>155.0</v>
      </c>
      <c r="G7" s="15">
        <v>0.048250852915245085</v>
      </c>
      <c r="H7" s="11" t="s">
        <v>33</v>
      </c>
      <c r="I7" s="16">
        <v>5.656000000000001</v>
      </c>
      <c r="J7" s="11" t="s">
        <v>46</v>
      </c>
      <c r="K7" s="11" t="s">
        <v>47</v>
      </c>
      <c r="L7" s="11" t="s">
        <v>48</v>
      </c>
      <c r="M7" s="11" t="s">
        <v>28</v>
      </c>
      <c r="N7" s="11" t="s">
        <v>29</v>
      </c>
      <c r="O7" s="11" t="s">
        <v>54</v>
      </c>
      <c r="P7" s="11" t="s">
        <v>38</v>
      </c>
      <c r="Q7" s="20">
        <v>39817.0</v>
      </c>
      <c r="R7" s="17">
        <f t="shared" si="2"/>
        <v>239.5971373</v>
      </c>
      <c r="S7" s="9"/>
      <c r="T7" s="9"/>
      <c r="U7" s="9"/>
      <c r="V7" s="9" t="str">
        <f>IFERROR(__xludf.DUMMYFUNCTION("""COMPUTED_VALUE"""),"Computer Peripherals")</f>
        <v>Computer Peripherals</v>
      </c>
      <c r="W7" s="9">
        <f t="shared" si="3"/>
        <v>19222</v>
      </c>
      <c r="X7" s="19">
        <f t="shared" si="4"/>
        <v>5117</v>
      </c>
      <c r="Y7" s="19">
        <f t="shared" si="5"/>
        <v>4826</v>
      </c>
      <c r="Z7" s="19">
        <f t="shared" si="6"/>
        <v>4284</v>
      </c>
      <c r="AA7" s="9">
        <f t="shared" si="7"/>
        <v>4995</v>
      </c>
      <c r="AB7" s="9" t="str">
        <f>IFERROR(__xludf.DUMMYFUNCTION("""COMPUTED_VALUE"""),"Alex Russell")</f>
        <v>Alex Russell</v>
      </c>
      <c r="AC7" s="9"/>
      <c r="AD7" s="9" t="str">
        <f>IFERROR(__xludf.DUMMYFUNCTION("""COMPUTED_VALUE"""),"Atlantic")</f>
        <v>Atlantic</v>
      </c>
      <c r="AE7" s="9">
        <f t="shared" si="8"/>
        <v>4</v>
      </c>
      <c r="AF7" s="19">
        <f t="shared" si="9"/>
        <v>30</v>
      </c>
      <c r="AG7" s="9"/>
      <c r="AH7" s="9"/>
      <c r="AI7" s="9"/>
    </row>
    <row r="8" ht="15.0" customHeight="1">
      <c r="A8" s="11">
        <v>7.0</v>
      </c>
      <c r="B8" s="12">
        <f t="shared" si="11"/>
        <v>39815</v>
      </c>
      <c r="C8" s="13">
        <v>2009.0</v>
      </c>
      <c r="D8" s="11" t="s">
        <v>39</v>
      </c>
      <c r="E8" s="11">
        <v>16.0</v>
      </c>
      <c r="F8" s="14">
        <v>9.1</v>
      </c>
      <c r="G8" s="15">
        <v>0.08610421836228285</v>
      </c>
      <c r="H8" s="11" t="s">
        <v>24</v>
      </c>
      <c r="I8" s="16">
        <v>1.72</v>
      </c>
      <c r="J8" s="11" t="s">
        <v>55</v>
      </c>
      <c r="K8" s="11" t="s">
        <v>26</v>
      </c>
      <c r="L8" s="11" t="s">
        <v>41</v>
      </c>
      <c r="M8" s="11" t="s">
        <v>28</v>
      </c>
      <c r="N8" s="11" t="s">
        <v>56</v>
      </c>
      <c r="O8" s="11" t="s">
        <v>57</v>
      </c>
      <c r="P8" s="11" t="s">
        <v>58</v>
      </c>
      <c r="Q8" s="20">
        <v>39817.0</v>
      </c>
      <c r="R8" s="17">
        <f t="shared" si="2"/>
        <v>12.68487345</v>
      </c>
      <c r="S8" s="9"/>
      <c r="T8" s="9"/>
      <c r="U8" s="9"/>
      <c r="V8" s="9" t="str">
        <f>IFERROR(__xludf.DUMMYFUNCTION("""COMPUTED_VALUE"""),"Office Machines")</f>
        <v>Office Machines</v>
      </c>
      <c r="W8" s="9">
        <f t="shared" si="3"/>
        <v>7856</v>
      </c>
      <c r="X8" s="19">
        <f t="shared" si="4"/>
        <v>2122</v>
      </c>
      <c r="Y8" s="19">
        <f t="shared" si="5"/>
        <v>1960</v>
      </c>
      <c r="Z8" s="19">
        <f t="shared" si="6"/>
        <v>1782</v>
      </c>
      <c r="AA8" s="9">
        <f t="shared" si="7"/>
        <v>1992</v>
      </c>
      <c r="AB8" s="9" t="str">
        <f>IFERROR(__xludf.DUMMYFUNCTION("""COMPUTED_VALUE"""),"Andy Reiter")</f>
        <v>Andy Reiter</v>
      </c>
      <c r="AC8" s="9"/>
      <c r="AD8" s="9" t="str">
        <f>IFERROR(__xludf.DUMMYFUNCTION("""COMPUTED_VALUE"""),"Northwest Territories")</f>
        <v>Northwest Territories</v>
      </c>
      <c r="AE8" s="9">
        <f t="shared" si="8"/>
        <v>3</v>
      </c>
      <c r="AF8" s="19">
        <f t="shared" si="9"/>
        <v>10</v>
      </c>
      <c r="AG8" s="9"/>
      <c r="AH8" s="9"/>
      <c r="AI8" s="9"/>
    </row>
    <row r="9" ht="15.0" customHeight="1">
      <c r="A9" s="11">
        <v>8.0</v>
      </c>
      <c r="B9" s="12">
        <f t="shared" si="11"/>
        <v>39815</v>
      </c>
      <c r="C9" s="13">
        <v>2009.0</v>
      </c>
      <c r="D9" s="11" t="s">
        <v>39</v>
      </c>
      <c r="E9" s="11">
        <v>43.0</v>
      </c>
      <c r="F9" s="14">
        <v>15.0</v>
      </c>
      <c r="G9" s="15">
        <v>0.07697930049964308</v>
      </c>
      <c r="H9" s="11" t="s">
        <v>33</v>
      </c>
      <c r="I9" s="16">
        <v>1.576</v>
      </c>
      <c r="J9" s="11" t="s">
        <v>55</v>
      </c>
      <c r="K9" s="11" t="s">
        <v>26</v>
      </c>
      <c r="L9" s="11" t="s">
        <v>41</v>
      </c>
      <c r="M9" s="11" t="s">
        <v>28</v>
      </c>
      <c r="N9" s="11" t="s">
        <v>56</v>
      </c>
      <c r="O9" s="11" t="s">
        <v>59</v>
      </c>
      <c r="P9" s="11" t="s">
        <v>58</v>
      </c>
      <c r="Q9" s="20">
        <v>39817.0</v>
      </c>
      <c r="R9" s="17">
        <f t="shared" si="2"/>
        <v>49.7729682</v>
      </c>
      <c r="S9" s="9"/>
      <c r="T9" s="9"/>
      <c r="U9" s="9"/>
      <c r="V9" s="9" t="str">
        <f>IFERROR(__xludf.DUMMYFUNCTION("""COMPUTED_VALUE"""),"Office Furnishings")</f>
        <v>Office Furnishings</v>
      </c>
      <c r="W9" s="9">
        <f t="shared" si="3"/>
        <v>20648</v>
      </c>
      <c r="X9" s="19">
        <f t="shared" si="4"/>
        <v>5582</v>
      </c>
      <c r="Y9" s="19">
        <f t="shared" si="5"/>
        <v>5468</v>
      </c>
      <c r="Z9" s="19">
        <f t="shared" si="6"/>
        <v>4802</v>
      </c>
      <c r="AA9" s="9">
        <f t="shared" si="7"/>
        <v>4796</v>
      </c>
      <c r="AB9" s="9" t="str">
        <f>IFERROR(__xludf.DUMMYFUNCTION("""COMPUTED_VALUE"""),"Larry Tron")</f>
        <v>Larry Tron</v>
      </c>
      <c r="AC9" s="9"/>
      <c r="AD9" s="9" t="str">
        <f>IFERROR(__xludf.DUMMYFUNCTION("""COMPUTED_VALUE"""),"Nunavut")</f>
        <v>Nunavut</v>
      </c>
      <c r="AE9" s="9">
        <f t="shared" si="8"/>
        <v>3</v>
      </c>
      <c r="AF9" s="19">
        <f t="shared" si="9"/>
        <v>10</v>
      </c>
      <c r="AG9" s="9"/>
      <c r="AH9" s="9"/>
      <c r="AI9" s="9"/>
    </row>
    <row r="10" ht="15.0" customHeight="1">
      <c r="A10" s="11">
        <v>9.0</v>
      </c>
      <c r="B10" s="12">
        <f t="shared" ref="B10:B19" si="12">DATE(2012,12,31)-1458</f>
        <v>39816</v>
      </c>
      <c r="C10" s="13">
        <v>2009.0</v>
      </c>
      <c r="D10" s="11" t="s">
        <v>32</v>
      </c>
      <c r="E10" s="11">
        <v>29.0</v>
      </c>
      <c r="F10" s="14">
        <v>4.2</v>
      </c>
      <c r="G10" s="15">
        <v>0.04392523364485981</v>
      </c>
      <c r="H10" s="11" t="s">
        <v>33</v>
      </c>
      <c r="I10" s="16">
        <v>0.96</v>
      </c>
      <c r="J10" s="11" t="s">
        <v>60</v>
      </c>
      <c r="K10" s="11" t="s">
        <v>61</v>
      </c>
      <c r="L10" s="11" t="s">
        <v>27</v>
      </c>
      <c r="M10" s="11" t="s">
        <v>28</v>
      </c>
      <c r="N10" s="11" t="s">
        <v>62</v>
      </c>
      <c r="O10" s="11" t="s">
        <v>63</v>
      </c>
      <c r="P10" s="11" t="s">
        <v>58</v>
      </c>
      <c r="Q10" s="20">
        <v>39817.0</v>
      </c>
      <c r="R10" s="17">
        <f t="shared" si="2"/>
        <v>5.392261682</v>
      </c>
      <c r="S10" s="9"/>
      <c r="T10" s="9"/>
      <c r="U10" s="9"/>
      <c r="V10" s="9" t="str">
        <f>IFERROR(__xludf.DUMMYFUNCTION("""COMPUTED_VALUE"""),"Telephones and Communication")</f>
        <v>Telephones and Communication</v>
      </c>
      <c r="W10" s="9">
        <f t="shared" si="3"/>
        <v>22969</v>
      </c>
      <c r="X10" s="19">
        <f t="shared" si="4"/>
        <v>5547</v>
      </c>
      <c r="Y10" s="19">
        <f t="shared" si="5"/>
        <v>5764</v>
      </c>
      <c r="Z10" s="19">
        <f t="shared" si="6"/>
        <v>5568</v>
      </c>
      <c r="AA10" s="9">
        <f t="shared" si="7"/>
        <v>6090</v>
      </c>
      <c r="AB10" s="9" t="str">
        <f>IFERROR(__xludf.DUMMYFUNCTION("""COMPUTED_VALUE"""),"Ann Steele")</f>
        <v>Ann Steele</v>
      </c>
      <c r="AC10" s="9"/>
      <c r="AD10" s="9"/>
      <c r="AE10" s="9">
        <f t="shared" si="8"/>
        <v>1</v>
      </c>
      <c r="AF10" s="19">
        <f t="shared" ref="AF10:AF8400" si="13">if(K10=$AD$2,1,if(K10=$AD$3,2,if(K10=$AD$4,3,if(K10=$AD$5,4,if(K10=$AD$6,5)))))</f>
        <v>4</v>
      </c>
      <c r="AG10" s="9"/>
      <c r="AH10" s="9"/>
      <c r="AI10" s="9"/>
    </row>
    <row r="11" ht="15.0" customHeight="1">
      <c r="A11" s="11">
        <v>10.0</v>
      </c>
      <c r="B11" s="12">
        <f t="shared" si="12"/>
        <v>39816</v>
      </c>
      <c r="C11" s="13">
        <v>2009.0</v>
      </c>
      <c r="D11" s="11" t="s">
        <v>44</v>
      </c>
      <c r="E11" s="11">
        <v>12.0</v>
      </c>
      <c r="F11" s="14">
        <v>43.2</v>
      </c>
      <c r="G11" s="15">
        <v>0.08014530358069517</v>
      </c>
      <c r="H11" s="11" t="s">
        <v>33</v>
      </c>
      <c r="I11" s="16">
        <v>13.368000000000002</v>
      </c>
      <c r="J11" s="11" t="s">
        <v>64</v>
      </c>
      <c r="K11" s="11" t="s">
        <v>65</v>
      </c>
      <c r="L11" s="11" t="s">
        <v>48</v>
      </c>
      <c r="M11" s="11" t="s">
        <v>66</v>
      </c>
      <c r="N11" s="11" t="s">
        <v>67</v>
      </c>
      <c r="O11" s="11" t="s">
        <v>68</v>
      </c>
      <c r="P11" s="11" t="s">
        <v>38</v>
      </c>
      <c r="Q11" s="20">
        <v>39817.0</v>
      </c>
      <c r="R11" s="17">
        <f t="shared" si="2"/>
        <v>42.61870779</v>
      </c>
      <c r="S11" s="9"/>
      <c r="T11" s="9"/>
      <c r="U11" s="9"/>
      <c r="V11" s="9" t="str">
        <f>IFERROR(__xludf.DUMMYFUNCTION("""COMPUTED_VALUE"""),"Tables")</f>
        <v>Tables</v>
      </c>
      <c r="W11" s="9">
        <f t="shared" si="3"/>
        <v>9195</v>
      </c>
      <c r="X11" s="19">
        <f t="shared" si="4"/>
        <v>2264</v>
      </c>
      <c r="Y11" s="19">
        <f t="shared" si="5"/>
        <v>2237</v>
      </c>
      <c r="Z11" s="19">
        <f t="shared" si="6"/>
        <v>2422</v>
      </c>
      <c r="AA11" s="9">
        <f t="shared" si="7"/>
        <v>2272</v>
      </c>
      <c r="AB11" s="9" t="str">
        <f>IFERROR(__xludf.DUMMYFUNCTION("""COMPUTED_VALUE"""),"Bill Donatelli")</f>
        <v>Bill Donatelli</v>
      </c>
      <c r="AC11" s="9"/>
      <c r="AD11" s="9"/>
      <c r="AE11" s="9">
        <f t="shared" si="8"/>
        <v>4</v>
      </c>
      <c r="AF11" s="19">
        <f t="shared" si="13"/>
        <v>5</v>
      </c>
      <c r="AG11" s="9"/>
      <c r="AH11" s="9"/>
      <c r="AI11" s="9"/>
    </row>
    <row r="12" ht="15.0" customHeight="1">
      <c r="A12" s="11">
        <v>11.0</v>
      </c>
      <c r="B12" s="12">
        <f t="shared" si="12"/>
        <v>39816</v>
      </c>
      <c r="C12" s="13">
        <v>2009.0</v>
      </c>
      <c r="D12" s="11" t="s">
        <v>44</v>
      </c>
      <c r="E12" s="11">
        <v>49.0</v>
      </c>
      <c r="F12" s="14">
        <v>574.7</v>
      </c>
      <c r="G12" s="15">
        <v>0.0478479524260034</v>
      </c>
      <c r="H12" s="11" t="s">
        <v>33</v>
      </c>
      <c r="I12" s="16">
        <v>19.592</v>
      </c>
      <c r="J12" s="11" t="s">
        <v>64</v>
      </c>
      <c r="K12" s="11" t="s">
        <v>65</v>
      </c>
      <c r="L12" s="11" t="s">
        <v>48</v>
      </c>
      <c r="M12" s="11" t="s">
        <v>66</v>
      </c>
      <c r="N12" s="11" t="s">
        <v>69</v>
      </c>
      <c r="O12" s="11" t="s">
        <v>70</v>
      </c>
      <c r="P12" s="11" t="s">
        <v>31</v>
      </c>
      <c r="Q12" s="20">
        <v>39817.0</v>
      </c>
      <c r="R12" s="17">
        <f t="shared" si="2"/>
        <v>1348.350132</v>
      </c>
      <c r="S12" s="9"/>
      <c r="T12" s="9"/>
      <c r="U12" s="9"/>
      <c r="V12" s="9" t="str">
        <f>IFERROR(__xludf.DUMMYFUNCTION("""COMPUTED_VALUE"""),"Bookcases")</f>
        <v>Bookcases</v>
      </c>
      <c r="W12" s="9">
        <f t="shared" si="3"/>
        <v>4891</v>
      </c>
      <c r="X12" s="19">
        <f t="shared" si="4"/>
        <v>1291</v>
      </c>
      <c r="Y12" s="19">
        <f t="shared" si="5"/>
        <v>1535</v>
      </c>
      <c r="Z12" s="19">
        <f t="shared" si="6"/>
        <v>891</v>
      </c>
      <c r="AA12" s="9">
        <f t="shared" si="7"/>
        <v>1174</v>
      </c>
      <c r="AB12" s="9" t="str">
        <f>IFERROR(__xludf.DUMMYFUNCTION("""COMPUTED_VALUE"""),"Patrick Jones")</f>
        <v>Patrick Jones</v>
      </c>
      <c r="AC12" s="9"/>
      <c r="AD12" s="9"/>
      <c r="AE12" s="9">
        <f t="shared" si="8"/>
        <v>4</v>
      </c>
      <c r="AF12" s="19">
        <f t="shared" si="13"/>
        <v>5</v>
      </c>
      <c r="AG12" s="9"/>
      <c r="AH12" s="9"/>
      <c r="AI12" s="9"/>
    </row>
    <row r="13" ht="15.0" customHeight="1">
      <c r="A13" s="11">
        <v>12.0</v>
      </c>
      <c r="B13" s="12">
        <f t="shared" si="12"/>
        <v>39816</v>
      </c>
      <c r="C13" s="13">
        <v>2009.0</v>
      </c>
      <c r="D13" s="11" t="s">
        <v>44</v>
      </c>
      <c r="E13" s="11">
        <v>12.0</v>
      </c>
      <c r="F13" s="14">
        <v>10.1</v>
      </c>
      <c r="G13" s="15">
        <v>0.045647788983708415</v>
      </c>
      <c r="H13" s="11" t="s">
        <v>33</v>
      </c>
      <c r="I13" s="16">
        <v>1.816</v>
      </c>
      <c r="J13" s="11" t="s">
        <v>64</v>
      </c>
      <c r="K13" s="11" t="s">
        <v>65</v>
      </c>
      <c r="L13" s="11" t="s">
        <v>48</v>
      </c>
      <c r="M13" s="11" t="s">
        <v>28</v>
      </c>
      <c r="N13" s="11" t="s">
        <v>56</v>
      </c>
      <c r="O13" s="11" t="s">
        <v>71</v>
      </c>
      <c r="P13" s="11" t="s">
        <v>58</v>
      </c>
      <c r="Q13" s="20">
        <v>39818.0</v>
      </c>
      <c r="R13" s="17">
        <f t="shared" si="2"/>
        <v>5.61540841</v>
      </c>
      <c r="S13" s="9"/>
      <c r="T13" s="9"/>
      <c r="U13" s="9"/>
      <c r="V13" s="9" t="str">
        <f>IFERROR(__xludf.DUMMYFUNCTION("""COMPUTED_VALUE"""),"Copiers and Fax")</f>
        <v>Copiers and Fax</v>
      </c>
      <c r="W13" s="9">
        <f t="shared" si="3"/>
        <v>2128</v>
      </c>
      <c r="X13" s="19">
        <f t="shared" si="4"/>
        <v>501</v>
      </c>
      <c r="Y13" s="19">
        <f t="shared" si="5"/>
        <v>636</v>
      </c>
      <c r="Z13" s="19">
        <f t="shared" si="6"/>
        <v>518</v>
      </c>
      <c r="AA13" s="9">
        <f t="shared" si="7"/>
        <v>473</v>
      </c>
      <c r="AB13" s="9" t="str">
        <f>IFERROR(__xludf.DUMMYFUNCTION("""COMPUTED_VALUE"""),"Tamara Dahlen")</f>
        <v>Tamara Dahlen</v>
      </c>
      <c r="AC13" s="9"/>
      <c r="AD13" s="9"/>
      <c r="AE13" s="9">
        <f t="shared" si="8"/>
        <v>4</v>
      </c>
      <c r="AF13" s="19">
        <f t="shared" si="13"/>
        <v>5</v>
      </c>
      <c r="AG13" s="9"/>
      <c r="AH13" s="9"/>
      <c r="AI13" s="9"/>
    </row>
    <row r="14" ht="15.0" customHeight="1">
      <c r="A14" s="11">
        <v>13.0</v>
      </c>
      <c r="B14" s="12">
        <f t="shared" si="12"/>
        <v>39816</v>
      </c>
      <c r="C14" s="13">
        <v>2009.0</v>
      </c>
      <c r="D14" s="11" t="s">
        <v>32</v>
      </c>
      <c r="E14" s="11">
        <v>12.0</v>
      </c>
      <c r="F14" s="14">
        <v>20.9</v>
      </c>
      <c r="G14" s="15">
        <v>0.06573621772505245</v>
      </c>
      <c r="H14" s="11" t="s">
        <v>33</v>
      </c>
      <c r="I14" s="16">
        <v>16.96</v>
      </c>
      <c r="J14" s="11" t="s">
        <v>72</v>
      </c>
      <c r="K14" s="11" t="s">
        <v>61</v>
      </c>
      <c r="L14" s="11" t="s">
        <v>27</v>
      </c>
      <c r="M14" s="11" t="s">
        <v>49</v>
      </c>
      <c r="N14" s="11" t="s">
        <v>73</v>
      </c>
      <c r="O14" s="11" t="s">
        <v>74</v>
      </c>
      <c r="P14" s="11" t="s">
        <v>75</v>
      </c>
      <c r="Q14" s="20">
        <v>39818.0</v>
      </c>
      <c r="R14" s="17">
        <f t="shared" si="2"/>
        <v>17.60152966</v>
      </c>
      <c r="S14" s="9"/>
      <c r="T14" s="9"/>
      <c r="U14" s="9"/>
      <c r="V14" s="9" t="str">
        <f>IFERROR(__xludf.DUMMYFUNCTION("""COMPUTED_VALUE"""),"Labels")</f>
        <v>Labels</v>
      </c>
      <c r="W14" s="9">
        <f t="shared" si="3"/>
        <v>7301</v>
      </c>
      <c r="X14" s="19">
        <f t="shared" si="4"/>
        <v>1792</v>
      </c>
      <c r="Y14" s="19">
        <f t="shared" si="5"/>
        <v>1719</v>
      </c>
      <c r="Z14" s="19">
        <f t="shared" si="6"/>
        <v>1832</v>
      </c>
      <c r="AA14" s="9">
        <f t="shared" si="7"/>
        <v>1958</v>
      </c>
      <c r="AB14" s="9" t="str">
        <f>IFERROR(__xludf.DUMMYFUNCTION("""COMPUTED_VALUE"""),"Dave Hallsten")</f>
        <v>Dave Hallsten</v>
      </c>
      <c r="AC14" s="9"/>
      <c r="AD14" s="9"/>
      <c r="AE14" s="9">
        <f t="shared" si="8"/>
        <v>1</v>
      </c>
      <c r="AF14" s="19">
        <f t="shared" si="13"/>
        <v>4</v>
      </c>
      <c r="AG14" s="9"/>
      <c r="AH14" s="9"/>
      <c r="AI14" s="9"/>
    </row>
    <row r="15" ht="14.25" customHeight="1">
      <c r="A15" s="11">
        <v>14.0</v>
      </c>
      <c r="B15" s="12">
        <f t="shared" si="12"/>
        <v>39816</v>
      </c>
      <c r="C15" s="13">
        <v>2009.0</v>
      </c>
      <c r="D15" s="11" t="s">
        <v>23</v>
      </c>
      <c r="E15" s="11">
        <v>4.0</v>
      </c>
      <c r="F15" s="14">
        <v>213.4</v>
      </c>
      <c r="G15" s="15">
        <v>0.02696819228554984</v>
      </c>
      <c r="H15" s="11" t="s">
        <v>45</v>
      </c>
      <c r="I15" s="16">
        <v>11.76</v>
      </c>
      <c r="J15" s="11" t="s">
        <v>76</v>
      </c>
      <c r="K15" s="11" t="s">
        <v>61</v>
      </c>
      <c r="L15" s="11" t="s">
        <v>48</v>
      </c>
      <c r="M15" s="11" t="s">
        <v>66</v>
      </c>
      <c r="N15" s="11" t="s">
        <v>69</v>
      </c>
      <c r="O15" s="11" t="s">
        <v>77</v>
      </c>
      <c r="P15" s="11" t="s">
        <v>52</v>
      </c>
      <c r="Q15" s="20">
        <v>39818.0</v>
      </c>
      <c r="R15" s="17">
        <f t="shared" si="2"/>
        <v>23.33719488</v>
      </c>
      <c r="S15" s="9"/>
      <c r="T15" s="9"/>
      <c r="U15" s="9"/>
      <c r="V15" s="9" t="str">
        <f>IFERROR(__xludf.DUMMYFUNCTION("""COMPUTED_VALUE"""),"Appliances")</f>
        <v>Appliances</v>
      </c>
      <c r="W15" s="9">
        <f t="shared" si="3"/>
        <v>10901</v>
      </c>
      <c r="X15" s="19">
        <f t="shared" si="4"/>
        <v>2706</v>
      </c>
      <c r="Y15" s="19">
        <f t="shared" si="5"/>
        <v>2793</v>
      </c>
      <c r="Z15" s="19">
        <f t="shared" si="6"/>
        <v>2613</v>
      </c>
      <c r="AA15" s="9">
        <f t="shared" si="7"/>
        <v>2789</v>
      </c>
      <c r="AB15" s="9" t="str">
        <f>IFERROR(__xludf.DUMMYFUNCTION("""COMPUTED_VALUE"""),"Dorris Love")</f>
        <v>Dorris Love</v>
      </c>
      <c r="AC15" s="9"/>
      <c r="AD15" s="9"/>
      <c r="AE15" s="9">
        <f t="shared" si="8"/>
        <v>4</v>
      </c>
      <c r="AF15" s="19">
        <f t="shared" si="13"/>
        <v>4</v>
      </c>
      <c r="AG15" s="9"/>
      <c r="AH15" s="9"/>
      <c r="AI15" s="9"/>
    </row>
    <row r="16" ht="15.0" customHeight="1">
      <c r="A16" s="11">
        <v>15.0</v>
      </c>
      <c r="B16" s="12">
        <f t="shared" si="12"/>
        <v>39816</v>
      </c>
      <c r="C16" s="13">
        <v>2009.0</v>
      </c>
      <c r="D16" s="11" t="s">
        <v>39</v>
      </c>
      <c r="E16" s="11">
        <v>15.0</v>
      </c>
      <c r="F16" s="14">
        <v>5.2</v>
      </c>
      <c r="G16" s="15">
        <v>0.0557437070938215</v>
      </c>
      <c r="H16" s="11" t="s">
        <v>33</v>
      </c>
      <c r="I16" s="16">
        <v>4.5280000000000005</v>
      </c>
      <c r="J16" s="11" t="s">
        <v>78</v>
      </c>
      <c r="K16" s="11" t="s">
        <v>35</v>
      </c>
      <c r="L16" s="11" t="s">
        <v>48</v>
      </c>
      <c r="M16" s="11" t="s">
        <v>28</v>
      </c>
      <c r="N16" s="11" t="s">
        <v>56</v>
      </c>
      <c r="O16" s="11" t="s">
        <v>79</v>
      </c>
      <c r="P16" s="11" t="s">
        <v>38</v>
      </c>
      <c r="Q16" s="20">
        <v>39818.0</v>
      </c>
      <c r="R16" s="17">
        <f t="shared" si="2"/>
        <v>4.600416659</v>
      </c>
      <c r="S16" s="9"/>
      <c r="T16" s="9"/>
      <c r="U16" s="9"/>
      <c r="V16" s="9" t="str">
        <f>IFERROR(__xludf.DUMMYFUNCTION("""COMPUTED_VALUE"""),"Rubber Bands")</f>
        <v>Rubber Bands</v>
      </c>
      <c r="W16" s="9">
        <f t="shared" si="3"/>
        <v>4920</v>
      </c>
      <c r="X16" s="19">
        <f t="shared" si="4"/>
        <v>1023</v>
      </c>
      <c r="Y16" s="19">
        <f t="shared" si="5"/>
        <v>1347</v>
      </c>
      <c r="Z16" s="19">
        <f t="shared" si="6"/>
        <v>1230</v>
      </c>
      <c r="AA16" s="9">
        <f t="shared" si="7"/>
        <v>1320</v>
      </c>
      <c r="AB16" s="9" t="str">
        <f>IFERROR(__xludf.DUMMYFUNCTION("""COMPUTED_VALUE"""),"Matt Collins")</f>
        <v>Matt Collins</v>
      </c>
      <c r="AC16" s="9"/>
      <c r="AD16" s="9"/>
      <c r="AE16" s="9">
        <f t="shared" si="8"/>
        <v>4</v>
      </c>
      <c r="AF16" s="19">
        <f t="shared" si="13"/>
        <v>2</v>
      </c>
      <c r="AG16" s="9"/>
      <c r="AH16" s="9"/>
      <c r="AI16" s="9"/>
    </row>
    <row r="17" ht="15.0" customHeight="1">
      <c r="A17" s="11">
        <v>16.0</v>
      </c>
      <c r="B17" s="12">
        <f t="shared" si="12"/>
        <v>39816</v>
      </c>
      <c r="C17" s="13">
        <v>2009.0</v>
      </c>
      <c r="D17" s="11" t="s">
        <v>39</v>
      </c>
      <c r="E17" s="11">
        <v>8.0</v>
      </c>
      <c r="F17" s="14">
        <v>110.9</v>
      </c>
      <c r="G17" s="15">
        <v>0.011230957411319815</v>
      </c>
      <c r="H17" s="11" t="s">
        <v>33</v>
      </c>
      <c r="I17" s="16">
        <v>2.0</v>
      </c>
      <c r="J17" s="11" t="s">
        <v>78</v>
      </c>
      <c r="K17" s="11" t="s">
        <v>35</v>
      </c>
      <c r="L17" s="11" t="s">
        <v>48</v>
      </c>
      <c r="M17" s="11" t="s">
        <v>66</v>
      </c>
      <c r="N17" s="11" t="s">
        <v>80</v>
      </c>
      <c r="O17" s="11" t="s">
        <v>81</v>
      </c>
      <c r="P17" s="11" t="s">
        <v>38</v>
      </c>
      <c r="Q17" s="20">
        <v>39818.0</v>
      </c>
      <c r="R17" s="17">
        <f t="shared" si="2"/>
        <v>9.98656733</v>
      </c>
      <c r="S17" s="9"/>
      <c r="T17" s="9"/>
      <c r="U17" s="9"/>
      <c r="V17" s="9" t="str">
        <f>IFERROR(__xludf.DUMMYFUNCTION("""COMPUTED_VALUE"""),"Envelopes")</f>
        <v>Envelopes</v>
      </c>
      <c r="W17" s="9">
        <f t="shared" si="3"/>
        <v>6578</v>
      </c>
      <c r="X17" s="19">
        <f t="shared" si="4"/>
        <v>1507</v>
      </c>
      <c r="Y17" s="19">
        <f t="shared" si="5"/>
        <v>1932</v>
      </c>
      <c r="Z17" s="19">
        <f t="shared" si="6"/>
        <v>1241</v>
      </c>
      <c r="AA17" s="9">
        <f t="shared" si="7"/>
        <v>1898</v>
      </c>
      <c r="AB17" s="9" t="str">
        <f>IFERROR(__xludf.DUMMYFUNCTION("""COMPUTED_VALUE"""),"Valerie Dominguez")</f>
        <v>Valerie Dominguez</v>
      </c>
      <c r="AC17" s="9"/>
      <c r="AD17" s="9"/>
      <c r="AE17" s="9">
        <f t="shared" si="8"/>
        <v>4</v>
      </c>
      <c r="AF17" s="19">
        <f t="shared" si="13"/>
        <v>2</v>
      </c>
      <c r="AG17" s="9"/>
      <c r="AH17" s="9"/>
      <c r="AI17" s="9"/>
    </row>
    <row r="18" ht="15.0" customHeight="1">
      <c r="A18" s="11">
        <v>17.0</v>
      </c>
      <c r="B18" s="12">
        <f t="shared" si="12"/>
        <v>39816</v>
      </c>
      <c r="C18" s="13">
        <v>2009.0</v>
      </c>
      <c r="D18" s="11" t="s">
        <v>32</v>
      </c>
      <c r="E18" s="11">
        <v>29.0</v>
      </c>
      <c r="F18" s="14">
        <v>5.5</v>
      </c>
      <c r="G18" s="15">
        <v>0.04601060695344722</v>
      </c>
      <c r="H18" s="11" t="s">
        <v>33</v>
      </c>
      <c r="I18" s="16">
        <v>2.3920000000000003</v>
      </c>
      <c r="J18" s="11" t="s">
        <v>82</v>
      </c>
      <c r="K18" s="11" t="s">
        <v>83</v>
      </c>
      <c r="L18" s="11" t="s">
        <v>27</v>
      </c>
      <c r="M18" s="11" t="s">
        <v>28</v>
      </c>
      <c r="N18" s="11" t="s">
        <v>42</v>
      </c>
      <c r="O18" s="11" t="s">
        <v>84</v>
      </c>
      <c r="P18" s="11" t="s">
        <v>38</v>
      </c>
      <c r="Q18" s="20">
        <v>39818.0</v>
      </c>
      <c r="R18" s="17">
        <f t="shared" si="2"/>
        <v>7.448749181</v>
      </c>
      <c r="S18" s="9"/>
      <c r="T18" s="9"/>
      <c r="U18" s="17">
        <f>average(R18)</f>
        <v>7.448749181</v>
      </c>
      <c r="V18" s="9" t="str">
        <f>IFERROR(__xludf.DUMMYFUNCTION("""COMPUTED_VALUE"""),"Scissors Rulers and Trimmers")</f>
        <v>Scissors Rulers and Trimmers</v>
      </c>
      <c r="W18" s="9">
        <f t="shared" si="3"/>
        <v>3931</v>
      </c>
      <c r="X18" s="19">
        <f t="shared" si="4"/>
        <v>851</v>
      </c>
      <c r="Y18" s="19">
        <f t="shared" si="5"/>
        <v>778</v>
      </c>
      <c r="Z18" s="19">
        <f t="shared" si="6"/>
        <v>1188</v>
      </c>
      <c r="AA18" s="9">
        <f t="shared" si="7"/>
        <v>1114</v>
      </c>
      <c r="AB18" s="9" t="str">
        <f>IFERROR(__xludf.DUMMYFUNCTION("""COMPUTED_VALUE"""),"Pauline Chand")</f>
        <v>Pauline Chand</v>
      </c>
      <c r="AC18" s="9"/>
      <c r="AD18" s="9"/>
      <c r="AE18" s="9">
        <f t="shared" si="8"/>
        <v>1</v>
      </c>
      <c r="AF18" s="19" t="b">
        <f t="shared" si="13"/>
        <v>0</v>
      </c>
      <c r="AG18" s="9"/>
      <c r="AH18" s="9"/>
      <c r="AI18" s="9"/>
    </row>
    <row r="19" ht="15.0" customHeight="1">
      <c r="A19" s="11">
        <v>18.0</v>
      </c>
      <c r="B19" s="12">
        <f t="shared" si="12"/>
        <v>39816</v>
      </c>
      <c r="C19" s="13">
        <v>2009.0</v>
      </c>
      <c r="D19" s="11" t="s">
        <v>32</v>
      </c>
      <c r="E19" s="11">
        <v>4.0</v>
      </c>
      <c r="F19" s="14">
        <v>212.6</v>
      </c>
      <c r="G19" s="15">
        <v>0.0931490140272413</v>
      </c>
      <c r="H19" s="11" t="s">
        <v>45</v>
      </c>
      <c r="I19" s="16">
        <v>41.760000000000005</v>
      </c>
      <c r="J19" s="11" t="s">
        <v>82</v>
      </c>
      <c r="K19" s="11" t="s">
        <v>83</v>
      </c>
      <c r="L19" s="11" t="s">
        <v>27</v>
      </c>
      <c r="M19" s="11" t="s">
        <v>49</v>
      </c>
      <c r="N19" s="11" t="s">
        <v>85</v>
      </c>
      <c r="O19" s="11" t="s">
        <v>86</v>
      </c>
      <c r="P19" s="11" t="s">
        <v>87</v>
      </c>
      <c r="Q19" s="20">
        <v>39818.0</v>
      </c>
      <c r="R19" s="17">
        <f t="shared" si="2"/>
        <v>83.10382435</v>
      </c>
      <c r="S19" s="9"/>
      <c r="T19" s="9"/>
      <c r="U19" s="9"/>
      <c r="V19" s="9"/>
      <c r="W19" s="9"/>
      <c r="X19" s="9"/>
      <c r="Y19" s="9"/>
      <c r="Z19" s="9"/>
      <c r="AA19" s="9"/>
      <c r="AB19" s="9" t="str">
        <f>IFERROR(__xludf.DUMMYFUNCTION("""COMPUTED_VALUE"""),"Marina Lichtenstein")</f>
        <v>Marina Lichtenstein</v>
      </c>
      <c r="AC19" s="9"/>
      <c r="AD19" s="9"/>
      <c r="AE19" s="9">
        <f t="shared" si="8"/>
        <v>1</v>
      </c>
      <c r="AF19" s="19" t="b">
        <f t="shared" si="13"/>
        <v>0</v>
      </c>
      <c r="AG19" s="9"/>
      <c r="AH19" s="9"/>
      <c r="AI19" s="9"/>
    </row>
    <row r="20" ht="15.0" customHeight="1">
      <c r="A20" s="11">
        <v>19.0</v>
      </c>
      <c r="B20" s="12">
        <f t="shared" ref="B20:B22" si="14">DATE(2012,12,31)-1457</f>
        <v>39817</v>
      </c>
      <c r="C20" s="13">
        <v>2009.0</v>
      </c>
      <c r="D20" s="11" t="s">
        <v>39</v>
      </c>
      <c r="E20" s="11">
        <v>17.0</v>
      </c>
      <c r="F20" s="14">
        <v>3.3</v>
      </c>
      <c r="G20" s="15">
        <v>0.06263803680981611</v>
      </c>
      <c r="H20" s="11" t="s">
        <v>33</v>
      </c>
      <c r="I20" s="16">
        <v>5.016</v>
      </c>
      <c r="J20" s="11" t="s">
        <v>88</v>
      </c>
      <c r="K20" s="11" t="s">
        <v>35</v>
      </c>
      <c r="L20" s="11" t="s">
        <v>48</v>
      </c>
      <c r="M20" s="11" t="s">
        <v>28</v>
      </c>
      <c r="N20" s="11" t="s">
        <v>42</v>
      </c>
      <c r="O20" s="11" t="s">
        <v>89</v>
      </c>
      <c r="P20" s="11" t="s">
        <v>38</v>
      </c>
      <c r="Q20" s="20">
        <v>39819.0</v>
      </c>
      <c r="R20" s="17">
        <f t="shared" si="2"/>
        <v>3.828186258</v>
      </c>
      <c r="S20" s="9"/>
      <c r="T20" s="9"/>
      <c r="U20" s="9"/>
      <c r="V20" s="9"/>
      <c r="W20" s="9"/>
      <c r="X20" s="9"/>
      <c r="Y20" s="9"/>
      <c r="Z20" s="9"/>
      <c r="AA20" s="9"/>
      <c r="AB20" s="9" t="str">
        <f>IFERROR(__xludf.DUMMYFUNCTION("""COMPUTED_VALUE"""),"Susan Vittorini")</f>
        <v>Susan Vittorini</v>
      </c>
      <c r="AC20" s="9"/>
      <c r="AD20" s="9"/>
      <c r="AE20" s="9">
        <f t="shared" si="8"/>
        <v>4</v>
      </c>
      <c r="AF20" s="19">
        <f t="shared" si="13"/>
        <v>2</v>
      </c>
      <c r="AG20" s="9"/>
      <c r="AH20" s="9"/>
      <c r="AI20" s="9"/>
    </row>
    <row r="21" ht="15.0" customHeight="1">
      <c r="A21" s="11">
        <v>20.0</v>
      </c>
      <c r="B21" s="12">
        <f t="shared" si="14"/>
        <v>39817</v>
      </c>
      <c r="C21" s="13">
        <v>2009.0</v>
      </c>
      <c r="D21" s="11" t="s">
        <v>39</v>
      </c>
      <c r="E21" s="11">
        <v>42.0</v>
      </c>
      <c r="F21" s="14">
        <v>3.7</v>
      </c>
      <c r="G21" s="15">
        <v>0.06968583283935965</v>
      </c>
      <c r="H21" s="11" t="s">
        <v>24</v>
      </c>
      <c r="I21" s="16">
        <v>1.544</v>
      </c>
      <c r="J21" s="11" t="s">
        <v>88</v>
      </c>
      <c r="K21" s="11" t="s">
        <v>35</v>
      </c>
      <c r="L21" s="11" t="s">
        <v>48</v>
      </c>
      <c r="M21" s="11" t="s">
        <v>28</v>
      </c>
      <c r="N21" s="11" t="s">
        <v>56</v>
      </c>
      <c r="O21" s="11" t="s">
        <v>90</v>
      </c>
      <c r="P21" s="11" t="s">
        <v>58</v>
      </c>
      <c r="Q21" s="20">
        <v>39819.0</v>
      </c>
      <c r="R21" s="17">
        <f t="shared" si="2"/>
        <v>10.93677335</v>
      </c>
      <c r="S21" s="9"/>
      <c r="T21" s="9"/>
      <c r="U21" s="9"/>
      <c r="V21" s="9"/>
      <c r="W21" s="9"/>
      <c r="X21" s="9"/>
      <c r="Y21" s="9"/>
      <c r="Z21" s="9"/>
      <c r="AA21" s="9"/>
      <c r="AB21" s="9" t="str">
        <f>IFERROR(__xludf.DUMMYFUNCTION("""COMPUTED_VALUE"""),"Darren Budd")</f>
        <v>Darren Budd</v>
      </c>
      <c r="AC21" s="9"/>
      <c r="AD21" s="9"/>
      <c r="AE21" s="9">
        <f t="shared" si="8"/>
        <v>4</v>
      </c>
      <c r="AF21" s="19">
        <f t="shared" si="13"/>
        <v>2</v>
      </c>
      <c r="AG21" s="9"/>
      <c r="AH21" s="9"/>
      <c r="AI21" s="9"/>
    </row>
    <row r="22" ht="15.0" customHeight="1">
      <c r="A22" s="11">
        <v>21.0</v>
      </c>
      <c r="B22" s="12">
        <f t="shared" si="14"/>
        <v>39817</v>
      </c>
      <c r="C22" s="13">
        <v>2009.0</v>
      </c>
      <c r="D22" s="11" t="s">
        <v>32</v>
      </c>
      <c r="E22" s="11">
        <v>3.0</v>
      </c>
      <c r="F22" s="14">
        <v>350.9</v>
      </c>
      <c r="G22" s="15">
        <v>0.062026308911926356</v>
      </c>
      <c r="H22" s="11" t="s">
        <v>45</v>
      </c>
      <c r="I22" s="16">
        <v>24.0</v>
      </c>
      <c r="J22" s="11" t="s">
        <v>91</v>
      </c>
      <c r="K22" s="11" t="s">
        <v>35</v>
      </c>
      <c r="L22" s="11" t="s">
        <v>27</v>
      </c>
      <c r="M22" s="11" t="s">
        <v>49</v>
      </c>
      <c r="N22" s="11" t="s">
        <v>50</v>
      </c>
      <c r="O22" s="11" t="s">
        <v>92</v>
      </c>
      <c r="P22" s="11" t="s">
        <v>52</v>
      </c>
      <c r="Q22" s="20">
        <v>39819.0</v>
      </c>
      <c r="R22" s="17">
        <f t="shared" si="2"/>
        <v>66.78372681</v>
      </c>
      <c r="S22" s="9"/>
      <c r="T22" s="9"/>
      <c r="U22" s="9"/>
      <c r="V22" s="9"/>
      <c r="W22" s="9"/>
      <c r="X22" s="9"/>
      <c r="Y22" s="9"/>
      <c r="Z22" s="9"/>
      <c r="AA22" s="9"/>
      <c r="AB22" s="9" t="str">
        <f>IFERROR(__xludf.DUMMYFUNCTION("""COMPUTED_VALUE"""),"Robert Waldorf")</f>
        <v>Robert Waldorf</v>
      </c>
      <c r="AC22" s="9"/>
      <c r="AD22" s="9"/>
      <c r="AE22" s="9">
        <f t="shared" si="8"/>
        <v>1</v>
      </c>
      <c r="AF22" s="19">
        <f t="shared" si="13"/>
        <v>2</v>
      </c>
      <c r="AG22" s="9"/>
      <c r="AH22" s="9"/>
      <c r="AI22" s="9"/>
    </row>
    <row r="23" ht="15.0" customHeight="1">
      <c r="A23" s="11">
        <v>22.0</v>
      </c>
      <c r="B23" s="12">
        <f t="shared" ref="B23:B37" si="15">DATE(2012,12,31)-1456</f>
        <v>39818</v>
      </c>
      <c r="C23" s="13">
        <v>2009.0</v>
      </c>
      <c r="D23" s="11" t="s">
        <v>23</v>
      </c>
      <c r="E23" s="11">
        <v>24.0</v>
      </c>
      <c r="F23" s="21" t="s">
        <v>93</v>
      </c>
      <c r="G23" s="15">
        <v>0.058086606243706096</v>
      </c>
      <c r="H23" s="11" t="s">
        <v>33</v>
      </c>
      <c r="I23" s="16">
        <v>4.664000000000001</v>
      </c>
      <c r="J23" s="11" t="s">
        <v>94</v>
      </c>
      <c r="K23" s="11" t="s">
        <v>26</v>
      </c>
      <c r="L23" s="11" t="s">
        <v>27</v>
      </c>
      <c r="M23" s="11" t="s">
        <v>28</v>
      </c>
      <c r="N23" s="11" t="s">
        <v>56</v>
      </c>
      <c r="O23" s="11" t="s">
        <v>95</v>
      </c>
      <c r="P23" s="11" t="s">
        <v>58</v>
      </c>
      <c r="Q23" s="20">
        <v>39819.0</v>
      </c>
      <c r="R23" s="17">
        <f t="shared" si="2"/>
        <v>10.86591291</v>
      </c>
      <c r="S23" s="9"/>
      <c r="T23" s="9"/>
      <c r="U23" s="9"/>
      <c r="V23" s="9"/>
      <c r="W23" s="9"/>
      <c r="X23" s="9"/>
      <c r="Y23" s="9"/>
      <c r="Z23" s="9"/>
      <c r="AA23" s="9"/>
      <c r="AB23" s="9" t="str">
        <f>IFERROR(__xludf.DUMMYFUNCTION("""COMPUTED_VALUE"""),"Victor Price")</f>
        <v>Victor Price</v>
      </c>
      <c r="AC23" s="9"/>
      <c r="AD23" s="9"/>
      <c r="AE23" s="9">
        <f t="shared" si="8"/>
        <v>1</v>
      </c>
      <c r="AF23" s="19">
        <f t="shared" si="13"/>
        <v>1</v>
      </c>
      <c r="AG23" s="9"/>
      <c r="AH23" s="9"/>
      <c r="AI23" s="9"/>
    </row>
    <row r="24" ht="15.0" customHeight="1">
      <c r="A24" s="11">
        <v>23.0</v>
      </c>
      <c r="B24" s="12">
        <f t="shared" si="15"/>
        <v>39818</v>
      </c>
      <c r="C24" s="13">
        <v>2009.0</v>
      </c>
      <c r="D24" s="11" t="s">
        <v>32</v>
      </c>
      <c r="E24" s="11">
        <v>6.0</v>
      </c>
      <c r="F24" s="21" t="s">
        <v>96</v>
      </c>
      <c r="G24" s="15">
        <v>0.0337528089887641</v>
      </c>
      <c r="H24" s="11" t="s">
        <v>33</v>
      </c>
      <c r="I24" s="16">
        <v>1.592</v>
      </c>
      <c r="J24" s="11" t="s">
        <v>97</v>
      </c>
      <c r="K24" s="11" t="s">
        <v>61</v>
      </c>
      <c r="L24" s="11" t="s">
        <v>41</v>
      </c>
      <c r="M24" s="11" t="s">
        <v>66</v>
      </c>
      <c r="N24" s="11" t="s">
        <v>67</v>
      </c>
      <c r="O24" s="11" t="s">
        <v>98</v>
      </c>
      <c r="P24" s="11" t="s">
        <v>99</v>
      </c>
      <c r="Q24" s="20">
        <v>39819.0</v>
      </c>
      <c r="R24" s="17">
        <f t="shared" si="2"/>
        <v>5.805213124</v>
      </c>
      <c r="S24" s="9"/>
      <c r="T24" s="9"/>
      <c r="U24" s="9"/>
      <c r="V24" s="9"/>
      <c r="W24" s="9"/>
      <c r="X24" s="9"/>
      <c r="Y24" s="9"/>
      <c r="Z24" s="9"/>
      <c r="AA24" s="9"/>
      <c r="AB24" s="9" t="str">
        <f>IFERROR(__xludf.DUMMYFUNCTION("""COMPUTED_VALUE"""),"Craig Leslie")</f>
        <v>Craig Leslie</v>
      </c>
      <c r="AC24" s="9"/>
      <c r="AD24" s="9"/>
      <c r="AE24" s="9">
        <f t="shared" si="8"/>
        <v>3</v>
      </c>
      <c r="AF24" s="19">
        <f t="shared" si="13"/>
        <v>4</v>
      </c>
      <c r="AG24" s="9"/>
      <c r="AH24" s="9"/>
      <c r="AI24" s="9"/>
    </row>
    <row r="25" ht="15.0" customHeight="1">
      <c r="A25" s="11">
        <v>24.0</v>
      </c>
      <c r="B25" s="12">
        <f t="shared" si="15"/>
        <v>39818</v>
      </c>
      <c r="C25" s="13">
        <v>2009.0</v>
      </c>
      <c r="D25" s="11" t="s">
        <v>32</v>
      </c>
      <c r="E25" s="11">
        <v>11.0</v>
      </c>
      <c r="F25" s="21" t="s">
        <v>100</v>
      </c>
      <c r="G25" s="15">
        <v>0.010811941599477006</v>
      </c>
      <c r="H25" s="11" t="s">
        <v>33</v>
      </c>
      <c r="I25" s="16">
        <v>4.792000000000001</v>
      </c>
      <c r="J25" s="11" t="s">
        <v>97</v>
      </c>
      <c r="K25" s="11" t="s">
        <v>61</v>
      </c>
      <c r="L25" s="11" t="s">
        <v>41</v>
      </c>
      <c r="M25" s="11" t="s">
        <v>66</v>
      </c>
      <c r="N25" s="11" t="s">
        <v>80</v>
      </c>
      <c r="O25" s="11" t="s">
        <v>101</v>
      </c>
      <c r="P25" s="11" t="s">
        <v>38</v>
      </c>
      <c r="Q25" s="20">
        <v>39819.0</v>
      </c>
      <c r="R25" s="17">
        <f t="shared" si="2"/>
        <v>24.53977735</v>
      </c>
      <c r="S25" s="9"/>
      <c r="T25" s="9"/>
      <c r="U25" s="9"/>
      <c r="V25" s="9"/>
      <c r="W25" s="9"/>
      <c r="X25" s="9"/>
      <c r="Y25" s="9"/>
      <c r="Z25" s="9"/>
      <c r="AA25" s="9"/>
      <c r="AB25" s="9" t="str">
        <f>IFERROR(__xludf.DUMMYFUNCTION("""COMPUTED_VALUE"""),"Muhammed Yedwab")</f>
        <v>Muhammed Yedwab</v>
      </c>
      <c r="AC25" s="9"/>
      <c r="AD25" s="9"/>
      <c r="AE25" s="9">
        <f t="shared" si="8"/>
        <v>3</v>
      </c>
      <c r="AF25" s="19">
        <f t="shared" si="13"/>
        <v>4</v>
      </c>
      <c r="AG25" s="9"/>
      <c r="AH25" s="9"/>
      <c r="AI25" s="9"/>
    </row>
    <row r="26" ht="15.0" customHeight="1">
      <c r="A26" s="11">
        <v>25.0</v>
      </c>
      <c r="B26" s="12">
        <f t="shared" si="15"/>
        <v>39818</v>
      </c>
      <c r="C26" s="13">
        <v>2009.0</v>
      </c>
      <c r="D26" s="11" t="s">
        <v>102</v>
      </c>
      <c r="E26" s="11">
        <v>43.0</v>
      </c>
      <c r="F26" s="21" t="s">
        <v>103</v>
      </c>
      <c r="G26" s="15">
        <v>0.09760953382404491</v>
      </c>
      <c r="H26" s="11" t="s">
        <v>33</v>
      </c>
      <c r="I26" s="16">
        <v>3.7520000000000007</v>
      </c>
      <c r="J26" s="11" t="s">
        <v>104</v>
      </c>
      <c r="K26" s="11" t="s">
        <v>65</v>
      </c>
      <c r="L26" s="11" t="s">
        <v>48</v>
      </c>
      <c r="M26" s="11" t="s">
        <v>28</v>
      </c>
      <c r="N26" s="11" t="s">
        <v>29</v>
      </c>
      <c r="O26" s="11" t="s">
        <v>37</v>
      </c>
      <c r="P26" s="11" t="s">
        <v>38</v>
      </c>
      <c r="Q26" s="20">
        <v>39819.0</v>
      </c>
      <c r="R26" s="17">
        <f t="shared" si="2"/>
        <v>25.1297697</v>
      </c>
      <c r="S26" s="9"/>
      <c r="T26" s="9"/>
      <c r="U26" s="9"/>
      <c r="V26" s="9"/>
      <c r="W26" s="9"/>
      <c r="X26" s="9"/>
      <c r="Y26" s="9"/>
      <c r="Z26" s="9"/>
      <c r="AA26" s="9"/>
      <c r="AB26" s="9" t="str">
        <f>IFERROR(__xludf.DUMMYFUNCTION("""COMPUTED_VALUE"""),"Tracy Collins")</f>
        <v>Tracy Collins</v>
      </c>
      <c r="AC26" s="9"/>
      <c r="AD26" s="9"/>
      <c r="AE26" s="9">
        <f t="shared" si="8"/>
        <v>4</v>
      </c>
      <c r="AF26" s="19">
        <f t="shared" si="13"/>
        <v>5</v>
      </c>
      <c r="AG26" s="9"/>
      <c r="AH26" s="9"/>
      <c r="AI26" s="9"/>
    </row>
    <row r="27" ht="15.0" customHeight="1">
      <c r="A27" s="11">
        <v>26.0</v>
      </c>
      <c r="B27" s="12">
        <f t="shared" si="15"/>
        <v>39818</v>
      </c>
      <c r="C27" s="13">
        <v>2009.0</v>
      </c>
      <c r="D27" s="11" t="s">
        <v>39</v>
      </c>
      <c r="E27" s="11">
        <v>21.0</v>
      </c>
      <c r="F27" s="21" t="s">
        <v>105</v>
      </c>
      <c r="G27" s="15">
        <v>0.010445471483533687</v>
      </c>
      <c r="H27" s="11" t="s">
        <v>33</v>
      </c>
      <c r="I27" s="16">
        <v>9.232</v>
      </c>
      <c r="J27" s="11" t="s">
        <v>106</v>
      </c>
      <c r="K27" s="11" t="s">
        <v>35</v>
      </c>
      <c r="L27" s="11" t="s">
        <v>36</v>
      </c>
      <c r="M27" s="11" t="s">
        <v>49</v>
      </c>
      <c r="N27" s="11" t="s">
        <v>73</v>
      </c>
      <c r="O27" s="11" t="s">
        <v>107</v>
      </c>
      <c r="P27" s="11" t="s">
        <v>31</v>
      </c>
      <c r="Q27" s="20">
        <v>39819.0</v>
      </c>
      <c r="R27" s="17">
        <f t="shared" si="2"/>
        <v>42.71708989</v>
      </c>
      <c r="S27" s="9"/>
      <c r="T27" s="9"/>
      <c r="U27" s="9"/>
      <c r="V27" s="9"/>
      <c r="W27" s="9"/>
      <c r="X27" s="9"/>
      <c r="Y27" s="9"/>
      <c r="Z27" s="9"/>
      <c r="AA27" s="9"/>
      <c r="AB27" s="9" t="str">
        <f>IFERROR(__xludf.DUMMYFUNCTION("""COMPUTED_VALUE"""),"Julia Barnett")</f>
        <v>Julia Barnett</v>
      </c>
      <c r="AC27" s="9"/>
      <c r="AD27" s="9"/>
      <c r="AE27" s="9">
        <f t="shared" si="8"/>
        <v>2</v>
      </c>
      <c r="AF27" s="19">
        <f t="shared" si="13"/>
        <v>2</v>
      </c>
      <c r="AG27" s="9"/>
      <c r="AH27" s="9"/>
      <c r="AI27" s="9"/>
    </row>
    <row r="28" ht="15.0" customHeight="1">
      <c r="A28" s="11">
        <v>27.0</v>
      </c>
      <c r="B28" s="12">
        <f t="shared" si="15"/>
        <v>39818</v>
      </c>
      <c r="C28" s="13">
        <v>2009.0</v>
      </c>
      <c r="D28" s="11" t="s">
        <v>39</v>
      </c>
      <c r="E28" s="11">
        <v>41.0</v>
      </c>
      <c r="F28" s="21" t="s">
        <v>108</v>
      </c>
      <c r="G28" s="15">
        <v>0.02027168044014488</v>
      </c>
      <c r="H28" s="11" t="s">
        <v>33</v>
      </c>
      <c r="I28" s="16">
        <v>16.968</v>
      </c>
      <c r="J28" s="11" t="s">
        <v>106</v>
      </c>
      <c r="K28" s="11" t="s">
        <v>35</v>
      </c>
      <c r="L28" s="11" t="s">
        <v>36</v>
      </c>
      <c r="M28" s="11" t="s">
        <v>49</v>
      </c>
      <c r="N28" s="11" t="s">
        <v>73</v>
      </c>
      <c r="O28" s="11" t="s">
        <v>109</v>
      </c>
      <c r="P28" s="11" t="s">
        <v>31</v>
      </c>
      <c r="Q28" s="20">
        <v>39819.0</v>
      </c>
      <c r="R28" s="17">
        <f t="shared" si="2"/>
        <v>174.7169107</v>
      </c>
      <c r="S28" s="9"/>
      <c r="T28" s="9"/>
      <c r="U28" s="9"/>
      <c r="V28" s="9"/>
      <c r="W28" s="9"/>
      <c r="X28" s="9"/>
      <c r="Y28" s="9"/>
      <c r="Z28" s="9"/>
      <c r="AA28" s="9"/>
      <c r="AB28" s="9" t="str">
        <f>IFERROR(__xludf.DUMMYFUNCTION("""COMPUTED_VALUE"""),"Julia West")</f>
        <v>Julia West</v>
      </c>
      <c r="AC28" s="9"/>
      <c r="AD28" s="9"/>
      <c r="AE28" s="9">
        <f t="shared" si="8"/>
        <v>2</v>
      </c>
      <c r="AF28" s="19">
        <f t="shared" si="13"/>
        <v>2</v>
      </c>
      <c r="AG28" s="9"/>
      <c r="AH28" s="9"/>
      <c r="AI28" s="9"/>
    </row>
    <row r="29" ht="15.0" customHeight="1">
      <c r="A29" s="11">
        <v>28.0</v>
      </c>
      <c r="B29" s="12">
        <f t="shared" si="15"/>
        <v>39818</v>
      </c>
      <c r="C29" s="13">
        <v>2009.0</v>
      </c>
      <c r="D29" s="11" t="s">
        <v>39</v>
      </c>
      <c r="E29" s="11">
        <v>33.0</v>
      </c>
      <c r="F29" s="21" t="s">
        <v>110</v>
      </c>
      <c r="G29" s="15">
        <v>0.04865095673987893</v>
      </c>
      <c r="H29" s="11" t="s">
        <v>45</v>
      </c>
      <c r="I29" s="16">
        <v>14.280000000000001</v>
      </c>
      <c r="J29" s="11" t="s">
        <v>106</v>
      </c>
      <c r="K29" s="11" t="s">
        <v>35</v>
      </c>
      <c r="L29" s="11" t="s">
        <v>36</v>
      </c>
      <c r="M29" s="11" t="s">
        <v>66</v>
      </c>
      <c r="N29" s="11" t="s">
        <v>69</v>
      </c>
      <c r="O29" s="11" t="s">
        <v>111</v>
      </c>
      <c r="P29" s="11" t="s">
        <v>52</v>
      </c>
      <c r="Q29" s="20">
        <v>39819.0</v>
      </c>
      <c r="R29" s="17">
        <f t="shared" si="2"/>
        <v>234.1317563</v>
      </c>
      <c r="S29" s="9"/>
      <c r="T29" s="9"/>
      <c r="U29" s="9"/>
      <c r="V29" s="9"/>
      <c r="W29" s="9"/>
      <c r="X29" s="9"/>
      <c r="Y29" s="9"/>
      <c r="Z29" s="9"/>
      <c r="AA29" s="9"/>
      <c r="AB29" s="9" t="str">
        <f>IFERROR(__xludf.DUMMYFUNCTION("""COMPUTED_VALUE"""),"Maribeth Schnelling")</f>
        <v>Maribeth Schnelling</v>
      </c>
      <c r="AC29" s="9"/>
      <c r="AD29" s="9"/>
      <c r="AE29" s="9">
        <f t="shared" si="8"/>
        <v>2</v>
      </c>
      <c r="AF29" s="19">
        <f t="shared" si="13"/>
        <v>2</v>
      </c>
      <c r="AG29" s="9"/>
      <c r="AH29" s="9"/>
      <c r="AI29" s="9"/>
    </row>
    <row r="30" ht="15.0" customHeight="1">
      <c r="A30" s="11">
        <v>29.0</v>
      </c>
      <c r="B30" s="12">
        <f t="shared" si="15"/>
        <v>39818</v>
      </c>
      <c r="C30" s="13">
        <v>2009.0</v>
      </c>
      <c r="D30" s="11" t="s">
        <v>23</v>
      </c>
      <c r="E30" s="11">
        <v>5.0</v>
      </c>
      <c r="F30" s="21" t="s">
        <v>112</v>
      </c>
      <c r="G30" s="15">
        <v>0.08066559155549047</v>
      </c>
      <c r="H30" s="11" t="s">
        <v>45</v>
      </c>
      <c r="I30" s="16">
        <v>34.656</v>
      </c>
      <c r="J30" s="11" t="s">
        <v>113</v>
      </c>
      <c r="K30" s="11" t="s">
        <v>61</v>
      </c>
      <c r="L30" s="11" t="s">
        <v>48</v>
      </c>
      <c r="M30" s="11" t="s">
        <v>49</v>
      </c>
      <c r="N30" s="11" t="s">
        <v>50</v>
      </c>
      <c r="O30" s="11" t="s">
        <v>114</v>
      </c>
      <c r="P30" s="11" t="s">
        <v>52</v>
      </c>
      <c r="Q30" s="20">
        <v>39820.0</v>
      </c>
      <c r="R30" s="17">
        <f t="shared" si="2"/>
        <v>101.1672356</v>
      </c>
      <c r="S30" s="9"/>
      <c r="T30" s="9"/>
      <c r="U30" s="9"/>
      <c r="V30" s="9"/>
      <c r="W30" s="9"/>
      <c r="X30" s="9"/>
      <c r="Y30" s="9"/>
      <c r="Z30" s="9"/>
      <c r="AA30" s="9"/>
      <c r="AB30" s="9" t="str">
        <f>IFERROR(__xludf.DUMMYFUNCTION("""COMPUTED_VALUE"""),"Corey Roper")</f>
        <v>Corey Roper</v>
      </c>
      <c r="AC30" s="9"/>
      <c r="AD30" s="9"/>
      <c r="AE30" s="9">
        <f t="shared" si="8"/>
        <v>4</v>
      </c>
      <c r="AF30" s="19">
        <f t="shared" si="13"/>
        <v>4</v>
      </c>
      <c r="AG30" s="9"/>
      <c r="AH30" s="9"/>
      <c r="AI30" s="9"/>
    </row>
    <row r="31" ht="15.0" customHeight="1">
      <c r="A31" s="11">
        <v>30.0</v>
      </c>
      <c r="B31" s="12">
        <f t="shared" si="15"/>
        <v>39818</v>
      </c>
      <c r="C31" s="13">
        <v>2009.0</v>
      </c>
      <c r="D31" s="11" t="s">
        <v>32</v>
      </c>
      <c r="E31" s="11">
        <v>6.0</v>
      </c>
      <c r="F31" s="21" t="s">
        <v>115</v>
      </c>
      <c r="G31" s="15">
        <v>0.08096527948781086</v>
      </c>
      <c r="H31" s="11" t="s">
        <v>45</v>
      </c>
      <c r="I31" s="16">
        <v>21.040000000000003</v>
      </c>
      <c r="J31" s="11" t="s">
        <v>116</v>
      </c>
      <c r="K31" s="11" t="s">
        <v>117</v>
      </c>
      <c r="L31" s="11" t="s">
        <v>27</v>
      </c>
      <c r="M31" s="11" t="s">
        <v>66</v>
      </c>
      <c r="N31" s="11" t="s">
        <v>69</v>
      </c>
      <c r="O31" s="11" t="s">
        <v>118</v>
      </c>
      <c r="P31" s="11" t="s">
        <v>52</v>
      </c>
      <c r="Q31" s="20">
        <v>39820.0</v>
      </c>
      <c r="R31" s="17">
        <f t="shared" si="2"/>
        <v>60.43572322</v>
      </c>
      <c r="S31" s="9"/>
      <c r="T31" s="9"/>
      <c r="U31" s="9"/>
      <c r="V31" s="9"/>
      <c r="W31" s="9"/>
      <c r="X31" s="9"/>
      <c r="Y31" s="9"/>
      <c r="Z31" s="9"/>
      <c r="AA31" s="9"/>
      <c r="AB31" s="9" t="str">
        <f>IFERROR(__xludf.DUMMYFUNCTION("""COMPUTED_VALUE"""),"Jasper Cacioppo")</f>
        <v>Jasper Cacioppo</v>
      </c>
      <c r="AC31" s="9"/>
      <c r="AD31" s="9"/>
      <c r="AE31" s="9">
        <f t="shared" si="8"/>
        <v>1</v>
      </c>
      <c r="AF31" s="19" t="b">
        <f t="shared" si="13"/>
        <v>0</v>
      </c>
      <c r="AG31" s="9"/>
      <c r="AH31" s="9"/>
      <c r="AI31" s="9"/>
    </row>
    <row r="32" ht="15.0" customHeight="1">
      <c r="A32" s="11">
        <v>31.0</v>
      </c>
      <c r="B32" s="12">
        <f t="shared" si="15"/>
        <v>39818</v>
      </c>
      <c r="C32" s="13">
        <v>2009.0</v>
      </c>
      <c r="D32" s="11" t="s">
        <v>39</v>
      </c>
      <c r="E32" s="11">
        <v>43.0</v>
      </c>
      <c r="F32" s="21" t="s">
        <v>119</v>
      </c>
      <c r="G32" s="15">
        <v>0.08018867924528299</v>
      </c>
      <c r="H32" s="11" t="s">
        <v>33</v>
      </c>
      <c r="I32" s="16">
        <v>0.6000000000000001</v>
      </c>
      <c r="J32" s="11" t="s">
        <v>120</v>
      </c>
      <c r="K32" s="11" t="s">
        <v>35</v>
      </c>
      <c r="L32" s="11" t="s">
        <v>41</v>
      </c>
      <c r="M32" s="11" t="s">
        <v>49</v>
      </c>
      <c r="N32" s="11" t="s">
        <v>50</v>
      </c>
      <c r="O32" s="11" t="s">
        <v>121</v>
      </c>
      <c r="P32" s="11" t="s">
        <v>52</v>
      </c>
      <c r="Q32" s="20">
        <v>39820.0</v>
      </c>
      <c r="R32" s="17">
        <f t="shared" si="2"/>
        <v>6.254716981</v>
      </c>
      <c r="S32" s="9"/>
      <c r="T32" s="9"/>
      <c r="U32" s="9"/>
      <c r="V32" s="9"/>
      <c r="W32" s="9"/>
      <c r="X32" s="9"/>
      <c r="Y32" s="9"/>
      <c r="Z32" s="9"/>
      <c r="AA32" s="9"/>
      <c r="AB32" s="9" t="str">
        <f>IFERROR(__xludf.DUMMYFUNCTION("""COMPUTED_VALUE"""),"George Ashbrook")</f>
        <v>George Ashbrook</v>
      </c>
      <c r="AC32" s="9"/>
      <c r="AD32" s="9"/>
      <c r="AE32" s="9">
        <f t="shared" si="8"/>
        <v>3</v>
      </c>
      <c r="AF32" s="19">
        <f t="shared" si="13"/>
        <v>2</v>
      </c>
      <c r="AG32" s="9"/>
      <c r="AH32" s="9"/>
      <c r="AI32" s="9"/>
    </row>
    <row r="33" ht="15.0" customHeight="1">
      <c r="A33" s="11">
        <v>32.0</v>
      </c>
      <c r="B33" s="12">
        <f t="shared" si="15"/>
        <v>39818</v>
      </c>
      <c r="C33" s="13">
        <v>2009.0</v>
      </c>
      <c r="D33" s="11" t="s">
        <v>39</v>
      </c>
      <c r="E33" s="11">
        <v>29.0</v>
      </c>
      <c r="F33" s="21" t="s">
        <v>122</v>
      </c>
      <c r="G33" s="15">
        <v>0.07499072885465716</v>
      </c>
      <c r="H33" s="11" t="s">
        <v>45</v>
      </c>
      <c r="I33" s="16">
        <v>42.42400000000001</v>
      </c>
      <c r="J33" s="11" t="s">
        <v>120</v>
      </c>
      <c r="K33" s="11" t="s">
        <v>35</v>
      </c>
      <c r="L33" s="11" t="s">
        <v>41</v>
      </c>
      <c r="M33" s="11" t="s">
        <v>49</v>
      </c>
      <c r="N33" s="11" t="s">
        <v>50</v>
      </c>
      <c r="O33" s="11" t="s">
        <v>123</v>
      </c>
      <c r="P33" s="11" t="s">
        <v>52</v>
      </c>
      <c r="Q33" s="20">
        <v>39820.0</v>
      </c>
      <c r="R33" s="17">
        <f t="shared" si="2"/>
        <v>48.63328744</v>
      </c>
      <c r="S33" s="9"/>
      <c r="T33" s="9"/>
      <c r="U33" s="9"/>
      <c r="V33" s="9"/>
      <c r="W33" s="9"/>
      <c r="X33" s="9"/>
      <c r="Y33" s="9"/>
      <c r="Z33" s="9"/>
      <c r="AA33" s="9"/>
      <c r="AB33" s="9" t="str">
        <f>IFERROR(__xludf.DUMMYFUNCTION("""COMPUTED_VALUE"""),"Benjamin Venier")</f>
        <v>Benjamin Venier</v>
      </c>
      <c r="AC33" s="9"/>
      <c r="AD33" s="9"/>
      <c r="AE33" s="9">
        <f t="shared" si="8"/>
        <v>3</v>
      </c>
      <c r="AF33" s="19">
        <f t="shared" si="13"/>
        <v>2</v>
      </c>
      <c r="AG33" s="9"/>
      <c r="AH33" s="9"/>
      <c r="AI33" s="9"/>
    </row>
    <row r="34" ht="15.0" customHeight="1">
      <c r="A34" s="11">
        <v>33.0</v>
      </c>
      <c r="B34" s="12">
        <f t="shared" si="15"/>
        <v>39818</v>
      </c>
      <c r="C34" s="13">
        <v>2009.0</v>
      </c>
      <c r="D34" s="11" t="s">
        <v>39</v>
      </c>
      <c r="E34" s="11">
        <v>48.0</v>
      </c>
      <c r="F34" s="21" t="s">
        <v>124</v>
      </c>
      <c r="G34" s="15">
        <v>0.0661710037174722</v>
      </c>
      <c r="H34" s="11" t="s">
        <v>33</v>
      </c>
      <c r="I34" s="16">
        <v>28.0</v>
      </c>
      <c r="J34" s="11" t="s">
        <v>120</v>
      </c>
      <c r="K34" s="11" t="s">
        <v>35</v>
      </c>
      <c r="L34" s="11" t="s">
        <v>41</v>
      </c>
      <c r="M34" s="11" t="s">
        <v>49</v>
      </c>
      <c r="N34" s="11" t="s">
        <v>73</v>
      </c>
      <c r="O34" s="11" t="s">
        <v>125</v>
      </c>
      <c r="P34" s="11" t="s">
        <v>31</v>
      </c>
      <c r="Q34" s="20">
        <v>39820.0</v>
      </c>
      <c r="R34" s="17">
        <f t="shared" si="2"/>
        <v>889.2853532</v>
      </c>
      <c r="S34" s="9"/>
      <c r="T34" s="9"/>
      <c r="U34" s="9"/>
      <c r="V34" s="9"/>
      <c r="W34" s="9"/>
      <c r="X34" s="9"/>
      <c r="Y34" s="9"/>
      <c r="Z34" s="9"/>
      <c r="AA34" s="9"/>
      <c r="AB34" s="9" t="str">
        <f>IFERROR(__xludf.DUMMYFUNCTION("""COMPUTED_VALUE"""),"Julie Kriz")</f>
        <v>Julie Kriz</v>
      </c>
      <c r="AC34" s="9"/>
      <c r="AD34" s="9"/>
      <c r="AE34" s="9">
        <f t="shared" si="8"/>
        <v>3</v>
      </c>
      <c r="AF34" s="19">
        <f t="shared" si="13"/>
        <v>2</v>
      </c>
      <c r="AG34" s="9"/>
      <c r="AH34" s="9"/>
      <c r="AI34" s="9"/>
    </row>
    <row r="35" ht="15.0" customHeight="1">
      <c r="A35" s="11">
        <v>34.0</v>
      </c>
      <c r="B35" s="12">
        <f t="shared" si="15"/>
        <v>39818</v>
      </c>
      <c r="C35" s="13">
        <v>2009.0</v>
      </c>
      <c r="D35" s="11" t="s">
        <v>39</v>
      </c>
      <c r="E35" s="11">
        <v>49.0</v>
      </c>
      <c r="F35" s="21" t="s">
        <v>126</v>
      </c>
      <c r="G35" s="15">
        <v>0.07993982700263236</v>
      </c>
      <c r="H35" s="11" t="s">
        <v>33</v>
      </c>
      <c r="I35" s="16">
        <v>4.544</v>
      </c>
      <c r="J35" s="11" t="s">
        <v>120</v>
      </c>
      <c r="K35" s="11" t="s">
        <v>35</v>
      </c>
      <c r="L35" s="11" t="s">
        <v>41</v>
      </c>
      <c r="M35" s="11" t="s">
        <v>49</v>
      </c>
      <c r="N35" s="11" t="s">
        <v>85</v>
      </c>
      <c r="O35" s="11" t="s">
        <v>127</v>
      </c>
      <c r="P35" s="11" t="s">
        <v>87</v>
      </c>
      <c r="Q35" s="20">
        <v>39820.0</v>
      </c>
      <c r="R35" s="17">
        <f t="shared" si="2"/>
        <v>19.55679904</v>
      </c>
      <c r="S35" s="9"/>
      <c r="T35" s="9"/>
      <c r="U35" s="9"/>
      <c r="V35" s="9"/>
      <c r="W35" s="9"/>
      <c r="X35" s="9"/>
      <c r="Y35" s="9"/>
      <c r="Z35" s="9"/>
      <c r="AA35" s="9"/>
      <c r="AB35" s="9" t="str">
        <f>IFERROR(__xludf.DUMMYFUNCTION("""COMPUTED_VALUE"""),"Chloris Kastensmidt")</f>
        <v>Chloris Kastensmidt</v>
      </c>
      <c r="AC35" s="9"/>
      <c r="AD35" s="9"/>
      <c r="AE35" s="9">
        <f t="shared" si="8"/>
        <v>3</v>
      </c>
      <c r="AF35" s="19">
        <f t="shared" si="13"/>
        <v>2</v>
      </c>
      <c r="AG35" s="9"/>
      <c r="AH35" s="9"/>
      <c r="AI35" s="9"/>
    </row>
    <row r="36" ht="15.0" customHeight="1">
      <c r="A36" s="11">
        <v>35.0</v>
      </c>
      <c r="B36" s="12">
        <f t="shared" si="15"/>
        <v>39818</v>
      </c>
      <c r="C36" s="13">
        <v>2009.0</v>
      </c>
      <c r="D36" s="11" t="s">
        <v>39</v>
      </c>
      <c r="E36" s="11">
        <v>25.0</v>
      </c>
      <c r="F36" s="21" t="s">
        <v>128</v>
      </c>
      <c r="G36" s="15">
        <v>0.03946482994026568</v>
      </c>
      <c r="H36" s="11" t="s">
        <v>33</v>
      </c>
      <c r="I36" s="16">
        <v>4.208</v>
      </c>
      <c r="J36" s="11" t="s">
        <v>120</v>
      </c>
      <c r="K36" s="11" t="s">
        <v>35</v>
      </c>
      <c r="L36" s="11" t="s">
        <v>41</v>
      </c>
      <c r="M36" s="11" t="s">
        <v>66</v>
      </c>
      <c r="N36" s="11" t="s">
        <v>80</v>
      </c>
      <c r="O36" s="11" t="s">
        <v>129</v>
      </c>
      <c r="P36" s="11" t="s">
        <v>38</v>
      </c>
      <c r="Q36" s="20">
        <v>39820.0</v>
      </c>
      <c r="R36" s="17">
        <f t="shared" si="2"/>
        <v>124.3816202</v>
      </c>
      <c r="S36" s="9"/>
      <c r="T36" s="9"/>
      <c r="U36" s="9"/>
      <c r="V36" s="9"/>
      <c r="W36" s="9"/>
      <c r="X36" s="9"/>
      <c r="Y36" s="9"/>
      <c r="Z36" s="9"/>
      <c r="AA36" s="9"/>
      <c r="AB36" s="9" t="str">
        <f>IFERROR(__xludf.DUMMYFUNCTION("""COMPUTED_VALUE"""),"Sandra Flanagan")</f>
        <v>Sandra Flanagan</v>
      </c>
      <c r="AC36" s="9"/>
      <c r="AD36" s="9"/>
      <c r="AE36" s="9">
        <f t="shared" si="8"/>
        <v>3</v>
      </c>
      <c r="AF36" s="19">
        <f t="shared" si="13"/>
        <v>2</v>
      </c>
      <c r="AG36" s="9"/>
      <c r="AH36" s="9"/>
      <c r="AI36" s="9"/>
    </row>
    <row r="37" ht="15.0" customHeight="1">
      <c r="A37" s="11">
        <v>36.0</v>
      </c>
      <c r="B37" s="12">
        <f t="shared" si="15"/>
        <v>39818</v>
      </c>
      <c r="C37" s="13">
        <v>2009.0</v>
      </c>
      <c r="D37" s="11" t="s">
        <v>32</v>
      </c>
      <c r="E37" s="11">
        <v>23.0</v>
      </c>
      <c r="F37" s="21" t="s">
        <v>130</v>
      </c>
      <c r="G37" s="15">
        <v>0.027505264165390588</v>
      </c>
      <c r="H37" s="11" t="s">
        <v>33</v>
      </c>
      <c r="I37" s="16">
        <v>4.608</v>
      </c>
      <c r="J37" s="11" t="s">
        <v>131</v>
      </c>
      <c r="K37" s="11" t="s">
        <v>35</v>
      </c>
      <c r="L37" s="11" t="s">
        <v>27</v>
      </c>
      <c r="M37" s="11" t="s">
        <v>28</v>
      </c>
      <c r="N37" s="11" t="s">
        <v>56</v>
      </c>
      <c r="O37" s="11" t="s">
        <v>132</v>
      </c>
      <c r="P37" s="11" t="s">
        <v>38</v>
      </c>
      <c r="Q37" s="20">
        <v>39820.0</v>
      </c>
      <c r="R37" s="17">
        <f t="shared" si="2"/>
        <v>19.6747355</v>
      </c>
      <c r="S37" s="9"/>
      <c r="T37" s="9"/>
      <c r="U37" s="9"/>
      <c r="V37" s="9"/>
      <c r="W37" s="9"/>
      <c r="X37" s="9"/>
      <c r="Y37" s="9"/>
      <c r="Z37" s="9"/>
      <c r="AA37" s="9"/>
      <c r="AB37" s="9" t="str">
        <f>IFERROR(__xludf.DUMMYFUNCTION("""COMPUTED_VALUE"""),"Ruben Dartt")</f>
        <v>Ruben Dartt</v>
      </c>
      <c r="AC37" s="9"/>
      <c r="AD37" s="9"/>
      <c r="AE37" s="9">
        <f t="shared" si="8"/>
        <v>1</v>
      </c>
      <c r="AF37" s="19">
        <f t="shared" si="13"/>
        <v>2</v>
      </c>
      <c r="AG37" s="9"/>
      <c r="AH37" s="9"/>
      <c r="AI37" s="9"/>
    </row>
    <row r="38" ht="15.0" customHeight="1">
      <c r="A38" s="11">
        <v>37.0</v>
      </c>
      <c r="B38" s="12">
        <f t="shared" ref="B38:B50" si="16">DATE(2012,12,31)-1455</f>
        <v>39819</v>
      </c>
      <c r="C38" s="13">
        <v>2009.0</v>
      </c>
      <c r="D38" s="11" t="s">
        <v>102</v>
      </c>
      <c r="E38" s="11">
        <v>1.0</v>
      </c>
      <c r="F38" s="21" t="s">
        <v>93</v>
      </c>
      <c r="G38" s="15">
        <v>0.15351351351351353</v>
      </c>
      <c r="H38" s="11" t="s">
        <v>24</v>
      </c>
      <c r="I38" s="16">
        <v>4.928000000000001</v>
      </c>
      <c r="J38" s="11" t="s">
        <v>133</v>
      </c>
      <c r="K38" s="11" t="s">
        <v>65</v>
      </c>
      <c r="L38" s="11" t="s">
        <v>41</v>
      </c>
      <c r="M38" s="11" t="s">
        <v>28</v>
      </c>
      <c r="N38" s="11" t="s">
        <v>42</v>
      </c>
      <c r="O38" s="11" t="s">
        <v>134</v>
      </c>
      <c r="P38" s="11" t="s">
        <v>38</v>
      </c>
      <c r="Q38" s="20">
        <v>39820.0</v>
      </c>
      <c r="R38" s="17">
        <f t="shared" si="2"/>
        <v>1.923217297</v>
      </c>
      <c r="S38" s="9"/>
      <c r="T38" s="9"/>
      <c r="U38" s="9"/>
      <c r="V38" s="9"/>
      <c r="W38" s="9"/>
      <c r="X38" s="9"/>
      <c r="Y38" s="9"/>
      <c r="Z38" s="9"/>
      <c r="AA38" s="9"/>
      <c r="AB38" s="9" t="str">
        <f>IFERROR(__xludf.DUMMYFUNCTION("""COMPUTED_VALUE"""),"Luke Schmidt")</f>
        <v>Luke Schmidt</v>
      </c>
      <c r="AC38" s="9"/>
      <c r="AD38" s="9"/>
      <c r="AE38" s="9">
        <f t="shared" si="8"/>
        <v>3</v>
      </c>
      <c r="AF38" s="19">
        <f t="shared" si="13"/>
        <v>5</v>
      </c>
      <c r="AG38" s="9"/>
      <c r="AH38" s="9"/>
      <c r="AI38" s="9"/>
    </row>
    <row r="39" ht="15.0" customHeight="1">
      <c r="A39" s="11">
        <v>38.0</v>
      </c>
      <c r="B39" s="12">
        <f t="shared" si="16"/>
        <v>39819</v>
      </c>
      <c r="C39" s="13">
        <v>2009.0</v>
      </c>
      <c r="D39" s="11" t="s">
        <v>102</v>
      </c>
      <c r="E39" s="11">
        <v>19.0</v>
      </c>
      <c r="F39" s="21" t="s">
        <v>135</v>
      </c>
      <c r="G39" s="15">
        <v>0.05988372093023263</v>
      </c>
      <c r="H39" s="11" t="s">
        <v>24</v>
      </c>
      <c r="I39" s="16">
        <v>3.9600000000000004</v>
      </c>
      <c r="J39" s="11" t="s">
        <v>133</v>
      </c>
      <c r="K39" s="11" t="s">
        <v>65</v>
      </c>
      <c r="L39" s="11" t="s">
        <v>41</v>
      </c>
      <c r="M39" s="11" t="s">
        <v>49</v>
      </c>
      <c r="N39" s="11" t="s">
        <v>73</v>
      </c>
      <c r="O39" s="11" t="s">
        <v>136</v>
      </c>
      <c r="P39" s="11" t="s">
        <v>99</v>
      </c>
      <c r="Q39" s="20">
        <v>39820.0</v>
      </c>
      <c r="R39" s="17">
        <f t="shared" si="2"/>
        <v>7.74655814</v>
      </c>
      <c r="S39" s="9"/>
      <c r="T39" s="9"/>
      <c r="U39" s="9"/>
      <c r="V39" s="9"/>
      <c r="W39" s="9"/>
      <c r="X39" s="9"/>
      <c r="Y39" s="9"/>
      <c r="Z39" s="9"/>
      <c r="AA39" s="9"/>
      <c r="AB39" s="9" t="str">
        <f>IFERROR(__xludf.DUMMYFUNCTION("""COMPUTED_VALUE"""),"Cynthia Voltz")</f>
        <v>Cynthia Voltz</v>
      </c>
      <c r="AC39" s="9"/>
      <c r="AD39" s="9"/>
      <c r="AE39" s="9">
        <f t="shared" si="8"/>
        <v>3</v>
      </c>
      <c r="AF39" s="19">
        <f t="shared" si="13"/>
        <v>5</v>
      </c>
      <c r="AG39" s="9"/>
      <c r="AH39" s="9"/>
      <c r="AI39" s="9"/>
    </row>
    <row r="40" ht="15.0" customHeight="1">
      <c r="A40" s="11">
        <v>39.0</v>
      </c>
      <c r="B40" s="12">
        <f t="shared" si="16"/>
        <v>39819</v>
      </c>
      <c r="C40" s="13">
        <v>2009.0</v>
      </c>
      <c r="D40" s="11" t="s">
        <v>23</v>
      </c>
      <c r="E40" s="11">
        <v>23.0</v>
      </c>
      <c r="F40" s="21" t="s">
        <v>137</v>
      </c>
      <c r="G40" s="15">
        <v>0.012098939929328544</v>
      </c>
      <c r="H40" s="11" t="s">
        <v>45</v>
      </c>
      <c r="I40" s="16">
        <v>24.0</v>
      </c>
      <c r="J40" s="11" t="s">
        <v>138</v>
      </c>
      <c r="K40" s="11" t="s">
        <v>61</v>
      </c>
      <c r="L40" s="11" t="s">
        <v>41</v>
      </c>
      <c r="M40" s="11" t="s">
        <v>49</v>
      </c>
      <c r="N40" s="11" t="s">
        <v>50</v>
      </c>
      <c r="O40" s="11" t="s">
        <v>139</v>
      </c>
      <c r="P40" s="11" t="s">
        <v>52</v>
      </c>
      <c r="Q40" s="20">
        <v>39820.0</v>
      </c>
      <c r="R40" s="17">
        <f t="shared" si="2"/>
        <v>42.28216537</v>
      </c>
      <c r="S40" s="9"/>
      <c r="T40" s="9"/>
      <c r="U40" s="9"/>
      <c r="V40" s="9"/>
      <c r="W40" s="9"/>
      <c r="X40" s="9"/>
      <c r="Y40" s="9"/>
      <c r="Z40" s="9"/>
      <c r="AA40" s="9"/>
      <c r="AB40" s="9" t="str">
        <f>IFERROR(__xludf.DUMMYFUNCTION("""COMPUTED_VALUE"""),"Joni Blumstein")</f>
        <v>Joni Blumstein</v>
      </c>
      <c r="AC40" s="9"/>
      <c r="AD40" s="9"/>
      <c r="AE40" s="9">
        <f t="shared" si="8"/>
        <v>3</v>
      </c>
      <c r="AF40" s="19">
        <f t="shared" si="13"/>
        <v>4</v>
      </c>
      <c r="AG40" s="9"/>
      <c r="AH40" s="9"/>
      <c r="AI40" s="9"/>
    </row>
    <row r="41" ht="15.0" customHeight="1">
      <c r="A41" s="11">
        <v>40.0</v>
      </c>
      <c r="B41" s="12">
        <f t="shared" si="16"/>
        <v>39819</v>
      </c>
      <c r="C41" s="13">
        <v>2009.0</v>
      </c>
      <c r="D41" s="11" t="s">
        <v>23</v>
      </c>
      <c r="E41" s="11">
        <v>46.0</v>
      </c>
      <c r="F41" s="21" t="s">
        <v>140</v>
      </c>
      <c r="G41" s="15">
        <v>0.014765060240963815</v>
      </c>
      <c r="H41" s="11" t="s">
        <v>24</v>
      </c>
      <c r="I41" s="16">
        <v>11.192</v>
      </c>
      <c r="J41" s="11" t="s">
        <v>138</v>
      </c>
      <c r="K41" s="11" t="s">
        <v>61</v>
      </c>
      <c r="L41" s="11" t="s">
        <v>41</v>
      </c>
      <c r="M41" s="11" t="s">
        <v>28</v>
      </c>
      <c r="N41" s="11" t="s">
        <v>29</v>
      </c>
      <c r="O41" s="11" t="s">
        <v>141</v>
      </c>
      <c r="P41" s="11" t="s">
        <v>75</v>
      </c>
      <c r="Q41" s="20">
        <v>39821.0</v>
      </c>
      <c r="R41" s="17">
        <f t="shared" si="2"/>
        <v>19.3184867</v>
      </c>
      <c r="S41" s="9"/>
      <c r="T41" s="9"/>
      <c r="U41" s="9"/>
      <c r="V41" s="9"/>
      <c r="W41" s="9"/>
      <c r="X41" s="9"/>
      <c r="Y41" s="9"/>
      <c r="Z41" s="9"/>
      <c r="AA41" s="9"/>
      <c r="AB41" s="9" t="str">
        <f>IFERROR(__xludf.DUMMYFUNCTION("""COMPUTED_VALUE"""),"Mark Haberlin")</f>
        <v>Mark Haberlin</v>
      </c>
      <c r="AC41" s="9"/>
      <c r="AD41" s="9"/>
      <c r="AE41" s="9">
        <f t="shared" si="8"/>
        <v>3</v>
      </c>
      <c r="AF41" s="19">
        <f t="shared" si="13"/>
        <v>4</v>
      </c>
      <c r="AG41" s="9"/>
      <c r="AH41" s="9"/>
      <c r="AI41" s="9"/>
    </row>
    <row r="42" ht="15.0" customHeight="1">
      <c r="A42" s="11">
        <v>41.0</v>
      </c>
      <c r="B42" s="12">
        <f t="shared" si="16"/>
        <v>39819</v>
      </c>
      <c r="C42" s="13">
        <v>2009.0</v>
      </c>
      <c r="D42" s="11" t="s">
        <v>23</v>
      </c>
      <c r="E42" s="11">
        <v>2.0</v>
      </c>
      <c r="F42" s="21" t="s">
        <v>142</v>
      </c>
      <c r="G42" s="15">
        <v>0.03351063829787247</v>
      </c>
      <c r="H42" s="11" t="s">
        <v>33</v>
      </c>
      <c r="I42" s="16">
        <v>0.8800000000000001</v>
      </c>
      <c r="J42" s="11" t="s">
        <v>138</v>
      </c>
      <c r="K42" s="11" t="s">
        <v>61</v>
      </c>
      <c r="L42" s="11" t="s">
        <v>41</v>
      </c>
      <c r="M42" s="11" t="s">
        <v>66</v>
      </c>
      <c r="N42" s="11" t="s">
        <v>80</v>
      </c>
      <c r="O42" s="11" t="s">
        <v>143</v>
      </c>
      <c r="P42" s="11" t="s">
        <v>38</v>
      </c>
      <c r="Q42" s="20">
        <v>39821.0</v>
      </c>
      <c r="R42" s="17">
        <f t="shared" si="2"/>
        <v>2.435553191</v>
      </c>
      <c r="S42" s="9"/>
      <c r="T42" s="9"/>
      <c r="U42" s="9"/>
      <c r="V42" s="9"/>
      <c r="W42" s="9"/>
      <c r="X42" s="9"/>
      <c r="Y42" s="9"/>
      <c r="Z42" s="9"/>
      <c r="AA42" s="9"/>
      <c r="AB42" s="9" t="str">
        <f>IFERROR(__xludf.DUMMYFUNCTION("""COMPUTED_VALUE"""),"Olvera Toch")</f>
        <v>Olvera Toch</v>
      </c>
      <c r="AC42" s="9"/>
      <c r="AD42" s="9"/>
      <c r="AE42" s="9">
        <f t="shared" si="8"/>
        <v>3</v>
      </c>
      <c r="AF42" s="19">
        <f t="shared" si="13"/>
        <v>4</v>
      </c>
      <c r="AG42" s="9"/>
      <c r="AH42" s="9"/>
      <c r="AI42" s="9"/>
    </row>
    <row r="43" ht="15.0" customHeight="1">
      <c r="A43" s="11">
        <v>42.0</v>
      </c>
      <c r="B43" s="12">
        <f t="shared" si="16"/>
        <v>39819</v>
      </c>
      <c r="C43" s="13">
        <v>2009.0</v>
      </c>
      <c r="D43" s="11" t="s">
        <v>39</v>
      </c>
      <c r="E43" s="11">
        <v>17.0</v>
      </c>
      <c r="F43" s="21" t="s">
        <v>144</v>
      </c>
      <c r="G43" s="15">
        <v>0.030481283422459718</v>
      </c>
      <c r="H43" s="11" t="s">
        <v>33</v>
      </c>
      <c r="I43" s="16">
        <v>0.5599999999999999</v>
      </c>
      <c r="J43" s="11" t="s">
        <v>145</v>
      </c>
      <c r="K43" s="11" t="s">
        <v>83</v>
      </c>
      <c r="L43" s="11" t="s">
        <v>41</v>
      </c>
      <c r="M43" s="11" t="s">
        <v>28</v>
      </c>
      <c r="N43" s="11" t="s">
        <v>62</v>
      </c>
      <c r="O43" s="11" t="s">
        <v>146</v>
      </c>
      <c r="P43" s="11" t="s">
        <v>58</v>
      </c>
      <c r="Q43" s="20">
        <v>39821.0</v>
      </c>
      <c r="R43" s="17">
        <f t="shared" si="2"/>
        <v>1.105251337</v>
      </c>
      <c r="S43" s="9"/>
      <c r="T43" s="9"/>
      <c r="U43" s="9"/>
      <c r="V43" s="9"/>
      <c r="W43" s="9"/>
      <c r="X43" s="9"/>
      <c r="Y43" s="9"/>
      <c r="Z43" s="9"/>
      <c r="AA43" s="9"/>
      <c r="AB43" s="9" t="str">
        <f>IFERROR(__xludf.DUMMYFUNCTION("""COMPUTED_VALUE"""),"Benjamin Patterson")</f>
        <v>Benjamin Patterson</v>
      </c>
      <c r="AC43" s="9"/>
      <c r="AD43" s="9"/>
      <c r="AE43" s="9">
        <f t="shared" si="8"/>
        <v>3</v>
      </c>
      <c r="AF43" s="19" t="b">
        <f t="shared" si="13"/>
        <v>0</v>
      </c>
      <c r="AG43" s="9"/>
      <c r="AH43" s="9"/>
      <c r="AI43" s="9"/>
    </row>
    <row r="44" ht="15.0" customHeight="1">
      <c r="A44" s="11">
        <v>43.0</v>
      </c>
      <c r="B44" s="12">
        <f t="shared" si="16"/>
        <v>39819</v>
      </c>
      <c r="C44" s="13">
        <v>2009.0</v>
      </c>
      <c r="D44" s="11" t="s">
        <v>23</v>
      </c>
      <c r="E44" s="11">
        <v>27.0</v>
      </c>
      <c r="F44" s="21" t="s">
        <v>147</v>
      </c>
      <c r="G44" s="15">
        <v>0.0632741617357003</v>
      </c>
      <c r="H44" s="11" t="s">
        <v>33</v>
      </c>
      <c r="I44" s="16">
        <v>1.592</v>
      </c>
      <c r="J44" s="11" t="s">
        <v>148</v>
      </c>
      <c r="K44" s="11" t="s">
        <v>65</v>
      </c>
      <c r="L44" s="11" t="s">
        <v>41</v>
      </c>
      <c r="M44" s="11" t="s">
        <v>66</v>
      </c>
      <c r="N44" s="11" t="s">
        <v>67</v>
      </c>
      <c r="O44" s="11" t="s">
        <v>149</v>
      </c>
      <c r="P44" s="11" t="s">
        <v>99</v>
      </c>
      <c r="Q44" s="20">
        <v>39821.0</v>
      </c>
      <c r="R44" s="17">
        <f t="shared" si="2"/>
        <v>3.005016489</v>
      </c>
      <c r="S44" s="9"/>
      <c r="T44" s="9"/>
      <c r="U44" s="9"/>
      <c r="V44" s="9"/>
      <c r="W44" s="9"/>
      <c r="X44" s="9"/>
      <c r="Y44" s="9"/>
      <c r="Z44" s="9"/>
      <c r="AA44" s="9"/>
      <c r="AB44" s="9" t="str">
        <f>IFERROR(__xludf.DUMMYFUNCTION("""COMPUTED_VALUE"""),"Yana Sorensen")</f>
        <v>Yana Sorensen</v>
      </c>
      <c r="AC44" s="9"/>
      <c r="AD44" s="9"/>
      <c r="AE44" s="9">
        <f t="shared" si="8"/>
        <v>3</v>
      </c>
      <c r="AF44" s="19">
        <f t="shared" si="13"/>
        <v>5</v>
      </c>
      <c r="AG44" s="9"/>
      <c r="AH44" s="9"/>
      <c r="AI44" s="9"/>
    </row>
    <row r="45" ht="15.0" customHeight="1">
      <c r="A45" s="11">
        <v>44.0</v>
      </c>
      <c r="B45" s="12">
        <f t="shared" si="16"/>
        <v>39819</v>
      </c>
      <c r="C45" s="13">
        <v>2009.0</v>
      </c>
      <c r="D45" s="11" t="s">
        <v>23</v>
      </c>
      <c r="E45" s="11">
        <v>34.0</v>
      </c>
      <c r="F45" s="21" t="s">
        <v>130</v>
      </c>
      <c r="G45" s="15">
        <v>0.013310880344279439</v>
      </c>
      <c r="H45" s="11" t="s">
        <v>33</v>
      </c>
      <c r="I45" s="16">
        <v>4.072</v>
      </c>
      <c r="J45" s="11" t="s">
        <v>148</v>
      </c>
      <c r="K45" s="11" t="s">
        <v>65</v>
      </c>
      <c r="L45" s="11" t="s">
        <v>41</v>
      </c>
      <c r="M45" s="11" t="s">
        <v>28</v>
      </c>
      <c r="N45" s="11" t="s">
        <v>56</v>
      </c>
      <c r="O45" s="11" t="s">
        <v>150</v>
      </c>
      <c r="P45" s="11" t="s">
        <v>38</v>
      </c>
      <c r="Q45" s="20">
        <v>39821.0</v>
      </c>
      <c r="R45" s="17">
        <f t="shared" si="2"/>
        <v>14.03861279</v>
      </c>
      <c r="S45" s="9"/>
      <c r="T45" s="9"/>
      <c r="U45" s="9"/>
      <c r="V45" s="9"/>
      <c r="W45" s="9"/>
      <c r="X45" s="9"/>
      <c r="Y45" s="9"/>
      <c r="Z45" s="9"/>
      <c r="AA45" s="9"/>
      <c r="AB45" s="9" t="str">
        <f>IFERROR(__xludf.DUMMYFUNCTION("""COMPUTED_VALUE"""),"Darren Powers")</f>
        <v>Darren Powers</v>
      </c>
      <c r="AC45" s="9"/>
      <c r="AD45" s="9"/>
      <c r="AE45" s="9">
        <f t="shared" si="8"/>
        <v>3</v>
      </c>
      <c r="AF45" s="19">
        <f t="shared" si="13"/>
        <v>5</v>
      </c>
      <c r="AG45" s="9"/>
      <c r="AH45" s="9"/>
      <c r="AI45" s="9"/>
    </row>
    <row r="46" ht="15.0" customHeight="1">
      <c r="A46" s="11">
        <v>45.0</v>
      </c>
      <c r="B46" s="12">
        <f t="shared" si="16"/>
        <v>39819</v>
      </c>
      <c r="C46" s="13">
        <v>2009.0</v>
      </c>
      <c r="D46" s="11" t="s">
        <v>32</v>
      </c>
      <c r="E46" s="11">
        <v>29.0</v>
      </c>
      <c r="F46" s="21" t="s">
        <v>151</v>
      </c>
      <c r="G46" s="15">
        <v>0.059058823529411636</v>
      </c>
      <c r="H46" s="11" t="s">
        <v>33</v>
      </c>
      <c r="I46" s="16">
        <v>3.176</v>
      </c>
      <c r="J46" s="11" t="s">
        <v>152</v>
      </c>
      <c r="K46" s="11" t="s">
        <v>61</v>
      </c>
      <c r="L46" s="11" t="s">
        <v>27</v>
      </c>
      <c r="M46" s="11" t="s">
        <v>28</v>
      </c>
      <c r="N46" s="11" t="s">
        <v>62</v>
      </c>
      <c r="O46" s="11" t="s">
        <v>153</v>
      </c>
      <c r="P46" s="11" t="s">
        <v>58</v>
      </c>
      <c r="Q46" s="20">
        <v>39821.0</v>
      </c>
      <c r="R46" s="17">
        <f t="shared" si="2"/>
        <v>5.668229647</v>
      </c>
      <c r="S46" s="9"/>
      <c r="T46" s="9"/>
      <c r="U46" s="9"/>
      <c r="V46" s="9"/>
      <c r="W46" s="9"/>
      <c r="X46" s="9"/>
      <c r="Y46" s="9"/>
      <c r="Z46" s="9"/>
      <c r="AA46" s="9"/>
      <c r="AB46" s="9" t="str">
        <f>IFERROR(__xludf.DUMMYFUNCTION("""COMPUTED_VALUE"""),"Michelle Moray")</f>
        <v>Michelle Moray</v>
      </c>
      <c r="AC46" s="9"/>
      <c r="AD46" s="9"/>
      <c r="AE46" s="9">
        <f t="shared" si="8"/>
        <v>1</v>
      </c>
      <c r="AF46" s="19">
        <f t="shared" si="13"/>
        <v>4</v>
      </c>
      <c r="AG46" s="9"/>
      <c r="AH46" s="9"/>
      <c r="AI46" s="9"/>
    </row>
    <row r="47" ht="15.0" customHeight="1">
      <c r="A47" s="11">
        <v>46.0</v>
      </c>
      <c r="B47" s="12">
        <f t="shared" si="16"/>
        <v>39819</v>
      </c>
      <c r="C47" s="13">
        <v>2009.0</v>
      </c>
      <c r="D47" s="11" t="s">
        <v>39</v>
      </c>
      <c r="E47" s="11">
        <v>30.0</v>
      </c>
      <c r="F47" s="21" t="s">
        <v>154</v>
      </c>
      <c r="G47" s="15">
        <v>0.03887204035898877</v>
      </c>
      <c r="H47" s="11" t="s">
        <v>45</v>
      </c>
      <c r="I47" s="16">
        <v>35.64</v>
      </c>
      <c r="J47" s="11" t="s">
        <v>155</v>
      </c>
      <c r="K47" s="11" t="s">
        <v>117</v>
      </c>
      <c r="L47" s="11" t="s">
        <v>27</v>
      </c>
      <c r="M47" s="11" t="s">
        <v>49</v>
      </c>
      <c r="N47" s="11" t="s">
        <v>156</v>
      </c>
      <c r="O47" s="11" t="s">
        <v>157</v>
      </c>
      <c r="P47" s="11" t="s">
        <v>87</v>
      </c>
      <c r="Q47" s="20">
        <v>39821.0</v>
      </c>
      <c r="R47" s="17">
        <f t="shared" si="2"/>
        <v>1028.65681</v>
      </c>
      <c r="S47" s="9"/>
      <c r="T47" s="9"/>
      <c r="U47" s="9"/>
      <c r="V47" s="9"/>
      <c r="W47" s="9"/>
      <c r="X47" s="9"/>
      <c r="Y47" s="9"/>
      <c r="Z47" s="9"/>
      <c r="AA47" s="9"/>
      <c r="AB47" s="9" t="str">
        <f>IFERROR(__xludf.DUMMYFUNCTION("""COMPUTED_VALUE"""),"Maria Bertelson")</f>
        <v>Maria Bertelson</v>
      </c>
      <c r="AC47" s="9"/>
      <c r="AD47" s="9"/>
      <c r="AE47" s="9">
        <f t="shared" si="8"/>
        <v>1</v>
      </c>
      <c r="AF47" s="19" t="b">
        <f t="shared" si="13"/>
        <v>0</v>
      </c>
      <c r="AG47" s="9"/>
      <c r="AH47" s="9"/>
      <c r="AI47" s="9"/>
    </row>
    <row r="48" ht="15.0" customHeight="1">
      <c r="A48" s="11">
        <v>47.0</v>
      </c>
      <c r="B48" s="12">
        <f t="shared" si="16"/>
        <v>39819</v>
      </c>
      <c r="C48" s="13">
        <v>2009.0</v>
      </c>
      <c r="D48" s="11" t="s">
        <v>44</v>
      </c>
      <c r="E48" s="11">
        <v>46.0</v>
      </c>
      <c r="F48" s="21" t="s">
        <v>158</v>
      </c>
      <c r="G48" s="15">
        <v>0.09873205741626784</v>
      </c>
      <c r="H48" s="11" t="s">
        <v>33</v>
      </c>
      <c r="I48" s="16">
        <v>6.984000000000001</v>
      </c>
      <c r="J48" s="11" t="s">
        <v>159</v>
      </c>
      <c r="K48" s="11" t="s">
        <v>83</v>
      </c>
      <c r="L48" s="11" t="s">
        <v>48</v>
      </c>
      <c r="M48" s="11" t="s">
        <v>28</v>
      </c>
      <c r="N48" s="11" t="s">
        <v>56</v>
      </c>
      <c r="O48" s="11" t="s">
        <v>160</v>
      </c>
      <c r="P48" s="11" t="s">
        <v>38</v>
      </c>
      <c r="Q48" s="20">
        <v>39821.0</v>
      </c>
      <c r="R48" s="17">
        <f t="shared" si="2"/>
        <v>29.75626239</v>
      </c>
      <c r="S48" s="9"/>
      <c r="T48" s="9"/>
      <c r="U48" s="9"/>
      <c r="V48" s="9"/>
      <c r="W48" s="9"/>
      <c r="X48" s="9"/>
      <c r="Y48" s="9"/>
      <c r="Z48" s="9"/>
      <c r="AA48" s="9"/>
      <c r="AB48" s="9" t="str">
        <f>IFERROR(__xludf.DUMMYFUNCTION("""COMPUTED_VALUE"""),"Giulietta Dortch")</f>
        <v>Giulietta Dortch</v>
      </c>
      <c r="AC48" s="9"/>
      <c r="AD48" s="9"/>
      <c r="AE48" s="9">
        <f t="shared" si="8"/>
        <v>4</v>
      </c>
      <c r="AF48" s="19" t="b">
        <f t="shared" si="13"/>
        <v>0</v>
      </c>
      <c r="AG48" s="9"/>
      <c r="AH48" s="9"/>
      <c r="AI48" s="9"/>
    </row>
    <row r="49" ht="15.0" customHeight="1">
      <c r="A49" s="11">
        <v>48.0</v>
      </c>
      <c r="B49" s="12">
        <f t="shared" si="16"/>
        <v>39819</v>
      </c>
      <c r="C49" s="13">
        <v>2009.0</v>
      </c>
      <c r="D49" s="11" t="s">
        <v>44</v>
      </c>
      <c r="E49" s="11">
        <v>6.0</v>
      </c>
      <c r="F49" s="21" t="s">
        <v>161</v>
      </c>
      <c r="G49" s="15">
        <v>0.09101941747572814</v>
      </c>
      <c r="H49" s="11" t="s">
        <v>33</v>
      </c>
      <c r="I49" s="16">
        <v>28.0</v>
      </c>
      <c r="J49" s="11" t="s">
        <v>159</v>
      </c>
      <c r="K49" s="11" t="s">
        <v>83</v>
      </c>
      <c r="L49" s="11" t="s">
        <v>48</v>
      </c>
      <c r="M49" s="11" t="s">
        <v>28</v>
      </c>
      <c r="N49" s="11" t="s">
        <v>29</v>
      </c>
      <c r="O49" s="11" t="s">
        <v>162</v>
      </c>
      <c r="P49" s="11" t="s">
        <v>31</v>
      </c>
      <c r="Q49" s="20">
        <v>39821.0</v>
      </c>
      <c r="R49" s="17">
        <f t="shared" si="2"/>
        <v>13.63470874</v>
      </c>
      <c r="S49" s="9"/>
      <c r="T49" s="9"/>
      <c r="U49" s="9"/>
      <c r="V49" s="9"/>
      <c r="W49" s="9"/>
      <c r="X49" s="9"/>
      <c r="Y49" s="9"/>
      <c r="Z49" s="9"/>
      <c r="AA49" s="9"/>
      <c r="AB49" s="9" t="str">
        <f>IFERROR(__xludf.DUMMYFUNCTION("""COMPUTED_VALUE"""),"Sean Wendt")</f>
        <v>Sean Wendt</v>
      </c>
      <c r="AC49" s="9"/>
      <c r="AD49" s="9"/>
      <c r="AE49" s="9">
        <f t="shared" si="8"/>
        <v>4</v>
      </c>
      <c r="AF49" s="19" t="b">
        <f t="shared" si="13"/>
        <v>0</v>
      </c>
      <c r="AG49" s="9"/>
      <c r="AH49" s="9"/>
      <c r="AI49" s="9"/>
    </row>
    <row r="50" ht="15.0" customHeight="1">
      <c r="A50" s="11">
        <v>49.0</v>
      </c>
      <c r="B50" s="12">
        <f t="shared" si="16"/>
        <v>39819</v>
      </c>
      <c r="C50" s="13">
        <v>2009.0</v>
      </c>
      <c r="D50" s="11" t="s">
        <v>44</v>
      </c>
      <c r="E50" s="11">
        <v>23.0</v>
      </c>
      <c r="F50" s="21" t="s">
        <v>163</v>
      </c>
      <c r="G50" s="15">
        <v>0.023333194762003618</v>
      </c>
      <c r="H50" s="11" t="s">
        <v>45</v>
      </c>
      <c r="I50" s="16">
        <v>28.672000000000004</v>
      </c>
      <c r="J50" s="11" t="s">
        <v>164</v>
      </c>
      <c r="K50" s="11" t="s">
        <v>83</v>
      </c>
      <c r="L50" s="11" t="s">
        <v>36</v>
      </c>
      <c r="M50" s="11" t="s">
        <v>49</v>
      </c>
      <c r="N50" s="11" t="s">
        <v>156</v>
      </c>
      <c r="O50" s="11" t="s">
        <v>165</v>
      </c>
      <c r="P50" s="11" t="s">
        <v>87</v>
      </c>
      <c r="Q50" s="20">
        <v>39821.0</v>
      </c>
      <c r="R50" s="17">
        <f t="shared" si="2"/>
        <v>54.81835444</v>
      </c>
      <c r="S50" s="9"/>
      <c r="T50" s="9"/>
      <c r="U50" s="9"/>
      <c r="V50" s="9"/>
      <c r="W50" s="9"/>
      <c r="X50" s="9"/>
      <c r="Y50" s="9"/>
      <c r="Z50" s="9"/>
      <c r="AA50" s="9"/>
      <c r="AB50" s="9" t="str">
        <f>IFERROR(__xludf.DUMMYFUNCTION("""COMPUTED_VALUE"""),"Rob Haberlin")</f>
        <v>Rob Haberlin</v>
      </c>
      <c r="AC50" s="9"/>
      <c r="AD50" s="9"/>
      <c r="AE50" s="9">
        <f t="shared" si="8"/>
        <v>2</v>
      </c>
      <c r="AF50" s="19" t="b">
        <f t="shared" si="13"/>
        <v>0</v>
      </c>
      <c r="AG50" s="9"/>
      <c r="AH50" s="9"/>
      <c r="AI50" s="9"/>
    </row>
    <row r="51" ht="15.0" customHeight="1">
      <c r="A51" s="11">
        <v>50.0</v>
      </c>
      <c r="B51" s="12">
        <f t="shared" ref="B51:B59" si="17">DATE(2012,12,31)-1454</f>
        <v>39820</v>
      </c>
      <c r="C51" s="13">
        <v>2009.0</v>
      </c>
      <c r="D51" s="11" t="s">
        <v>102</v>
      </c>
      <c r="E51" s="11">
        <v>3.0</v>
      </c>
      <c r="F51" s="21" t="s">
        <v>166</v>
      </c>
      <c r="G51" s="15">
        <v>0.15035714285714297</v>
      </c>
      <c r="H51" s="11" t="s">
        <v>33</v>
      </c>
      <c r="I51" s="16">
        <v>3.816</v>
      </c>
      <c r="J51" s="11" t="s">
        <v>167</v>
      </c>
      <c r="K51" s="11" t="s">
        <v>26</v>
      </c>
      <c r="L51" s="11" t="s">
        <v>27</v>
      </c>
      <c r="M51" s="11" t="s">
        <v>28</v>
      </c>
      <c r="N51" s="11" t="s">
        <v>42</v>
      </c>
      <c r="O51" s="11" t="s">
        <v>168</v>
      </c>
      <c r="P51" s="11" t="s">
        <v>38</v>
      </c>
      <c r="Q51" s="20">
        <v>39821.0</v>
      </c>
      <c r="R51" s="17">
        <f t="shared" si="2"/>
        <v>1.430798571</v>
      </c>
      <c r="S51" s="9"/>
      <c r="T51" s="9"/>
      <c r="U51" s="9"/>
      <c r="V51" s="9"/>
      <c r="W51" s="9"/>
      <c r="X51" s="9"/>
      <c r="Y51" s="9"/>
      <c r="Z51" s="9"/>
      <c r="AA51" s="9"/>
      <c r="AB51" s="9" t="str">
        <f>IFERROR(__xludf.DUMMYFUNCTION("""COMPUTED_VALUE"""),"Kristina Nunn")</f>
        <v>Kristina Nunn</v>
      </c>
      <c r="AC51" s="9"/>
      <c r="AD51" s="9"/>
      <c r="AE51" s="9">
        <f t="shared" si="8"/>
        <v>1</v>
      </c>
      <c r="AF51" s="19">
        <f t="shared" si="13"/>
        <v>1</v>
      </c>
      <c r="AG51" s="9"/>
      <c r="AH51" s="9"/>
      <c r="AI51" s="9"/>
    </row>
    <row r="52" ht="15.0" customHeight="1">
      <c r="A52" s="11">
        <v>51.0</v>
      </c>
      <c r="B52" s="12">
        <f t="shared" si="17"/>
        <v>39820</v>
      </c>
      <c r="C52" s="13">
        <v>2009.0</v>
      </c>
      <c r="D52" s="11" t="s">
        <v>102</v>
      </c>
      <c r="E52" s="11">
        <v>3.0</v>
      </c>
      <c r="F52" s="21" t="s">
        <v>169</v>
      </c>
      <c r="G52" s="15">
        <v>0.06766442303462232</v>
      </c>
      <c r="H52" s="11" t="s">
        <v>24</v>
      </c>
      <c r="I52" s="16">
        <v>19.592</v>
      </c>
      <c r="J52" s="11" t="s">
        <v>167</v>
      </c>
      <c r="K52" s="11" t="s">
        <v>26</v>
      </c>
      <c r="L52" s="11" t="s">
        <v>27</v>
      </c>
      <c r="M52" s="11" t="s">
        <v>66</v>
      </c>
      <c r="N52" s="11" t="s">
        <v>170</v>
      </c>
      <c r="O52" s="11" t="s">
        <v>171</v>
      </c>
      <c r="P52" s="11" t="s">
        <v>31</v>
      </c>
      <c r="Q52" s="20">
        <v>39821.0</v>
      </c>
      <c r="R52" s="17">
        <f t="shared" si="2"/>
        <v>143.4006704</v>
      </c>
      <c r="S52" s="9"/>
      <c r="T52" s="9"/>
      <c r="U52" s="9"/>
      <c r="V52" s="9"/>
      <c r="W52" s="9"/>
      <c r="X52" s="9"/>
      <c r="Y52" s="9"/>
      <c r="Z52" s="9"/>
      <c r="AA52" s="9"/>
      <c r="AB52" s="9" t="str">
        <f>IFERROR(__xludf.DUMMYFUNCTION("""COMPUTED_VALUE"""),"Alan Barnes")</f>
        <v>Alan Barnes</v>
      </c>
      <c r="AC52" s="9"/>
      <c r="AD52" s="9"/>
      <c r="AE52" s="9">
        <f t="shared" si="8"/>
        <v>1</v>
      </c>
      <c r="AF52" s="19">
        <f t="shared" si="13"/>
        <v>1</v>
      </c>
      <c r="AG52" s="9"/>
      <c r="AH52" s="9"/>
      <c r="AI52" s="9"/>
    </row>
    <row r="53" ht="15.0" customHeight="1">
      <c r="A53" s="11">
        <v>52.0</v>
      </c>
      <c r="B53" s="12">
        <f t="shared" si="17"/>
        <v>39820</v>
      </c>
      <c r="C53" s="13">
        <v>2009.0</v>
      </c>
      <c r="D53" s="11" t="s">
        <v>102</v>
      </c>
      <c r="E53" s="11">
        <v>7.0</v>
      </c>
      <c r="F53" s="21" t="s">
        <v>172</v>
      </c>
      <c r="G53" s="15">
        <v>0.06551923039090325</v>
      </c>
      <c r="H53" s="11" t="s">
        <v>33</v>
      </c>
      <c r="I53" s="16">
        <v>19.592</v>
      </c>
      <c r="J53" s="11" t="s">
        <v>167</v>
      </c>
      <c r="K53" s="11" t="s">
        <v>26</v>
      </c>
      <c r="L53" s="11" t="s">
        <v>27</v>
      </c>
      <c r="M53" s="11" t="s">
        <v>66</v>
      </c>
      <c r="N53" s="11" t="s">
        <v>69</v>
      </c>
      <c r="O53" s="11" t="s">
        <v>173</v>
      </c>
      <c r="P53" s="11" t="s">
        <v>31</v>
      </c>
      <c r="Q53" s="20">
        <v>39821.0</v>
      </c>
      <c r="R53" s="17">
        <f t="shared" si="2"/>
        <v>3112.202231</v>
      </c>
      <c r="S53" s="9"/>
      <c r="T53" s="9"/>
      <c r="U53" s="9"/>
      <c r="V53" s="9"/>
      <c r="W53" s="9"/>
      <c r="X53" s="9"/>
      <c r="Y53" s="9"/>
      <c r="Z53" s="9"/>
      <c r="AA53" s="9"/>
      <c r="AB53" s="9" t="str">
        <f>IFERROR(__xludf.DUMMYFUNCTION("""COMPUTED_VALUE"""),"Andy Gerbode")</f>
        <v>Andy Gerbode</v>
      </c>
      <c r="AC53" s="9"/>
      <c r="AD53" s="9"/>
      <c r="AE53" s="9">
        <f t="shared" si="8"/>
        <v>1</v>
      </c>
      <c r="AF53" s="19">
        <f t="shared" si="13"/>
        <v>1</v>
      </c>
      <c r="AG53" s="9"/>
      <c r="AH53" s="9"/>
      <c r="AI53" s="9"/>
    </row>
    <row r="54" ht="15.0" customHeight="1">
      <c r="A54" s="11">
        <v>53.0</v>
      </c>
      <c r="B54" s="12">
        <f t="shared" si="17"/>
        <v>39820</v>
      </c>
      <c r="C54" s="13">
        <v>2009.0</v>
      </c>
      <c r="D54" s="11" t="s">
        <v>102</v>
      </c>
      <c r="E54" s="11">
        <v>30.0</v>
      </c>
      <c r="F54" s="21" t="s">
        <v>122</v>
      </c>
      <c r="G54" s="15">
        <v>0.08846463484761365</v>
      </c>
      <c r="H54" s="11" t="s">
        <v>24</v>
      </c>
      <c r="I54" s="16">
        <v>7.064</v>
      </c>
      <c r="J54" s="11" t="s">
        <v>174</v>
      </c>
      <c r="K54" s="11" t="s">
        <v>35</v>
      </c>
      <c r="L54" s="11" t="s">
        <v>41</v>
      </c>
      <c r="M54" s="11" t="s">
        <v>28</v>
      </c>
      <c r="N54" s="11" t="s">
        <v>42</v>
      </c>
      <c r="O54" s="11" t="s">
        <v>175</v>
      </c>
      <c r="P54" s="11" t="s">
        <v>38</v>
      </c>
      <c r="Q54" s="20">
        <v>39821.0</v>
      </c>
      <c r="R54" s="17">
        <f t="shared" si="2"/>
        <v>56.09224023</v>
      </c>
      <c r="S54" s="9"/>
      <c r="T54" s="9"/>
      <c r="U54" s="9"/>
      <c r="V54" s="9"/>
      <c r="W54" s="9"/>
      <c r="X54" s="9"/>
      <c r="Y54" s="9"/>
      <c r="Z54" s="9"/>
      <c r="AA54" s="9"/>
      <c r="AB54" s="9" t="str">
        <f>IFERROR(__xludf.DUMMYFUNCTION("""COMPUTED_VALUE"""),"Bradley Drucker")</f>
        <v>Bradley Drucker</v>
      </c>
      <c r="AC54" s="9"/>
      <c r="AD54" s="9"/>
      <c r="AE54" s="9">
        <f t="shared" si="8"/>
        <v>3</v>
      </c>
      <c r="AF54" s="19">
        <f t="shared" si="13"/>
        <v>2</v>
      </c>
      <c r="AG54" s="9"/>
      <c r="AH54" s="9"/>
      <c r="AI54" s="9"/>
    </row>
    <row r="55" ht="15.0" customHeight="1">
      <c r="A55" s="11">
        <v>54.0</v>
      </c>
      <c r="B55" s="12">
        <f t="shared" si="17"/>
        <v>39820</v>
      </c>
      <c r="C55" s="13">
        <v>2009.0</v>
      </c>
      <c r="D55" s="11" t="s">
        <v>102</v>
      </c>
      <c r="E55" s="11">
        <v>2.0</v>
      </c>
      <c r="F55" s="21" t="s">
        <v>176</v>
      </c>
      <c r="G55" s="15">
        <v>0.04712492528392118</v>
      </c>
      <c r="H55" s="11" t="s">
        <v>33</v>
      </c>
      <c r="I55" s="16">
        <v>11.616</v>
      </c>
      <c r="J55" s="11" t="s">
        <v>174</v>
      </c>
      <c r="K55" s="11" t="s">
        <v>35</v>
      </c>
      <c r="L55" s="11" t="s">
        <v>41</v>
      </c>
      <c r="M55" s="11" t="s">
        <v>66</v>
      </c>
      <c r="N55" s="11" t="s">
        <v>67</v>
      </c>
      <c r="O55" s="11" t="s">
        <v>177</v>
      </c>
      <c r="P55" s="11" t="s">
        <v>38</v>
      </c>
      <c r="Q55" s="20">
        <v>39822.0</v>
      </c>
      <c r="R55" s="17">
        <f t="shared" si="2"/>
        <v>7.512467089</v>
      </c>
      <c r="S55" s="9"/>
      <c r="T55" s="9"/>
      <c r="U55" s="9"/>
      <c r="V55" s="9"/>
      <c r="W55" s="9"/>
      <c r="X55" s="9"/>
      <c r="Y55" s="9"/>
      <c r="Z55" s="9"/>
      <c r="AA55" s="9"/>
      <c r="AB55" s="9" t="str">
        <f>IFERROR(__xludf.DUMMYFUNCTION("""COMPUTED_VALUE"""),"Greg Matthias")</f>
        <v>Greg Matthias</v>
      </c>
      <c r="AC55" s="9"/>
      <c r="AD55" s="9"/>
      <c r="AE55" s="9">
        <f t="shared" si="8"/>
        <v>3</v>
      </c>
      <c r="AF55" s="19">
        <f t="shared" si="13"/>
        <v>2</v>
      </c>
      <c r="AG55" s="9"/>
      <c r="AH55" s="9"/>
      <c r="AI55" s="9"/>
    </row>
    <row r="56" ht="15.0" customHeight="1">
      <c r="A56" s="11">
        <v>55.0</v>
      </c>
      <c r="B56" s="12">
        <f t="shared" si="17"/>
        <v>39820</v>
      </c>
      <c r="C56" s="13">
        <v>2009.0</v>
      </c>
      <c r="D56" s="11" t="s">
        <v>32</v>
      </c>
      <c r="E56" s="11">
        <v>11.0</v>
      </c>
      <c r="F56" s="21" t="s">
        <v>178</v>
      </c>
      <c r="G56" s="15">
        <v>0.0682007406461498</v>
      </c>
      <c r="H56" s="11" t="s">
        <v>33</v>
      </c>
      <c r="I56" s="16">
        <v>4.792000000000001</v>
      </c>
      <c r="J56" s="11" t="s">
        <v>106</v>
      </c>
      <c r="K56" s="11" t="s">
        <v>35</v>
      </c>
      <c r="L56" s="11" t="s">
        <v>36</v>
      </c>
      <c r="M56" s="11" t="s">
        <v>66</v>
      </c>
      <c r="N56" s="11" t="s">
        <v>80</v>
      </c>
      <c r="O56" s="11" t="s">
        <v>179</v>
      </c>
      <c r="P56" s="11" t="s">
        <v>38</v>
      </c>
      <c r="Q56" s="20">
        <v>39822.0</v>
      </c>
      <c r="R56" s="17">
        <f t="shared" si="2"/>
        <v>49.76553484</v>
      </c>
      <c r="S56" s="9"/>
      <c r="T56" s="9"/>
      <c r="U56" s="9"/>
      <c r="V56" s="9"/>
      <c r="W56" s="9"/>
      <c r="X56" s="9"/>
      <c r="Y56" s="9"/>
      <c r="Z56" s="9"/>
      <c r="AA56" s="9"/>
      <c r="AB56" s="9" t="str">
        <f>IFERROR(__xludf.DUMMYFUNCTION("""COMPUTED_VALUE"""),"Cindy Schnelling")</f>
        <v>Cindy Schnelling</v>
      </c>
      <c r="AC56" s="9"/>
      <c r="AD56" s="9"/>
      <c r="AE56" s="9">
        <f t="shared" si="8"/>
        <v>2</v>
      </c>
      <c r="AF56" s="19">
        <f t="shared" si="13"/>
        <v>2</v>
      </c>
      <c r="AG56" s="9"/>
      <c r="AH56" s="9"/>
      <c r="AI56" s="9"/>
    </row>
    <row r="57" ht="15.0" customHeight="1">
      <c r="A57" s="11">
        <v>56.0</v>
      </c>
      <c r="B57" s="12">
        <f t="shared" si="17"/>
        <v>39820</v>
      </c>
      <c r="C57" s="13">
        <v>2009.0</v>
      </c>
      <c r="D57" s="11" t="s">
        <v>44</v>
      </c>
      <c r="E57" s="11">
        <v>34.0</v>
      </c>
      <c r="F57" s="21" t="s">
        <v>178</v>
      </c>
      <c r="G57" s="15">
        <v>0.04940857711358521</v>
      </c>
      <c r="H57" s="11" t="s">
        <v>33</v>
      </c>
      <c r="I57" s="16">
        <v>4.792000000000001</v>
      </c>
      <c r="J57" s="11" t="s">
        <v>180</v>
      </c>
      <c r="K57" s="11" t="s">
        <v>35</v>
      </c>
      <c r="L57" s="11" t="s">
        <v>36</v>
      </c>
      <c r="M57" s="11" t="s">
        <v>66</v>
      </c>
      <c r="N57" s="11" t="s">
        <v>80</v>
      </c>
      <c r="O57" s="11" t="s">
        <v>179</v>
      </c>
      <c r="P57" s="11" t="s">
        <v>38</v>
      </c>
      <c r="Q57" s="20">
        <v>39822.0</v>
      </c>
      <c r="R57" s="17">
        <f t="shared" si="2"/>
        <v>110.9416238</v>
      </c>
      <c r="S57" s="9"/>
      <c r="T57" s="9"/>
      <c r="U57" s="9"/>
      <c r="V57" s="9"/>
      <c r="W57" s="9"/>
      <c r="X57" s="9"/>
      <c r="Y57" s="9"/>
      <c r="Z57" s="9"/>
      <c r="AA57" s="9"/>
      <c r="AB57" s="9" t="str">
        <f>IFERROR(__xludf.DUMMYFUNCTION("""COMPUTED_VALUE"""),"Liz Price")</f>
        <v>Liz Price</v>
      </c>
      <c r="AC57" s="9"/>
      <c r="AD57" s="9"/>
      <c r="AE57" s="9">
        <f t="shared" si="8"/>
        <v>2</v>
      </c>
      <c r="AF57" s="19">
        <f t="shared" si="13"/>
        <v>2</v>
      </c>
      <c r="AG57" s="9"/>
      <c r="AH57" s="9"/>
      <c r="AI57" s="9"/>
    </row>
    <row r="58" ht="15.0" customHeight="1">
      <c r="A58" s="11">
        <v>57.0</v>
      </c>
      <c r="B58" s="12">
        <f t="shared" si="17"/>
        <v>39820</v>
      </c>
      <c r="C58" s="13">
        <v>2009.0</v>
      </c>
      <c r="D58" s="11" t="s">
        <v>44</v>
      </c>
      <c r="E58" s="11">
        <v>6.0</v>
      </c>
      <c r="F58" s="21" t="s">
        <v>147</v>
      </c>
      <c r="G58" s="15">
        <v>0.0477876106194691</v>
      </c>
      <c r="H58" s="11" t="s">
        <v>33</v>
      </c>
      <c r="I58" s="16">
        <v>0.5599999999999999</v>
      </c>
      <c r="J58" s="11" t="s">
        <v>181</v>
      </c>
      <c r="K58" s="11" t="s">
        <v>65</v>
      </c>
      <c r="L58" s="11" t="s">
        <v>48</v>
      </c>
      <c r="M58" s="11" t="s">
        <v>28</v>
      </c>
      <c r="N58" s="11" t="s">
        <v>62</v>
      </c>
      <c r="O58" s="11" t="s">
        <v>182</v>
      </c>
      <c r="P58" s="11" t="s">
        <v>58</v>
      </c>
      <c r="Q58" s="20">
        <v>39822.0</v>
      </c>
      <c r="R58" s="17">
        <f t="shared" si="2"/>
        <v>0.5141946903</v>
      </c>
      <c r="S58" s="9"/>
      <c r="T58" s="9"/>
      <c r="U58" s="9"/>
      <c r="V58" s="9"/>
      <c r="W58" s="9"/>
      <c r="X58" s="9"/>
      <c r="Y58" s="9"/>
      <c r="Z58" s="9"/>
      <c r="AA58" s="9"/>
      <c r="AB58" s="9" t="str">
        <f>IFERROR(__xludf.DUMMYFUNCTION("""COMPUTED_VALUE"""),"Guy Thornton")</f>
        <v>Guy Thornton</v>
      </c>
      <c r="AC58" s="9"/>
      <c r="AD58" s="9"/>
      <c r="AE58" s="9">
        <f t="shared" si="8"/>
        <v>4</v>
      </c>
      <c r="AF58" s="19">
        <f t="shared" si="13"/>
        <v>5</v>
      </c>
      <c r="AG58" s="9"/>
      <c r="AH58" s="9"/>
      <c r="AI58" s="9"/>
    </row>
    <row r="59" ht="15.0" customHeight="1">
      <c r="A59" s="11">
        <v>58.0</v>
      </c>
      <c r="B59" s="12">
        <f t="shared" si="17"/>
        <v>39820</v>
      </c>
      <c r="C59" s="13">
        <v>2009.0</v>
      </c>
      <c r="D59" s="11" t="s">
        <v>32</v>
      </c>
      <c r="E59" s="11">
        <v>46.0</v>
      </c>
      <c r="F59" s="21" t="s">
        <v>183</v>
      </c>
      <c r="G59" s="15">
        <v>0.0824338362602029</v>
      </c>
      <c r="H59" s="11" t="s">
        <v>33</v>
      </c>
      <c r="I59" s="16">
        <v>10.544</v>
      </c>
      <c r="J59" s="11" t="s">
        <v>184</v>
      </c>
      <c r="K59" s="11" t="s">
        <v>61</v>
      </c>
      <c r="L59" s="11" t="s">
        <v>41</v>
      </c>
      <c r="M59" s="11" t="s">
        <v>28</v>
      </c>
      <c r="N59" s="11" t="s">
        <v>42</v>
      </c>
      <c r="O59" s="11" t="s">
        <v>185</v>
      </c>
      <c r="P59" s="11" t="s">
        <v>38</v>
      </c>
      <c r="Q59" s="20">
        <v>39823.0</v>
      </c>
      <c r="R59" s="17">
        <f t="shared" si="2"/>
        <v>61.16129021</v>
      </c>
      <c r="S59" s="9"/>
      <c r="T59" s="9"/>
      <c r="U59" s="9"/>
      <c r="V59" s="9"/>
      <c r="W59" s="9"/>
      <c r="X59" s="9"/>
      <c r="Y59" s="9"/>
      <c r="Z59" s="9"/>
      <c r="AA59" s="9"/>
      <c r="AB59" s="9" t="str">
        <f>IFERROR(__xludf.DUMMYFUNCTION("""COMPUTED_VALUE"""),"Rick Reed")</f>
        <v>Rick Reed</v>
      </c>
      <c r="AC59" s="9"/>
      <c r="AD59" s="9"/>
      <c r="AE59" s="9">
        <f t="shared" si="8"/>
        <v>3</v>
      </c>
      <c r="AF59" s="19">
        <f t="shared" si="13"/>
        <v>4</v>
      </c>
      <c r="AG59" s="9"/>
      <c r="AH59" s="9"/>
      <c r="AI59" s="9"/>
    </row>
    <row r="60" ht="15.0" customHeight="1">
      <c r="A60" s="11">
        <v>59.0</v>
      </c>
      <c r="B60" s="12">
        <f t="shared" ref="B60:B63" si="18">DATE(2012,12,31)-1453</f>
        <v>39821</v>
      </c>
      <c r="C60" s="13">
        <v>2009.0</v>
      </c>
      <c r="D60" s="11" t="s">
        <v>32</v>
      </c>
      <c r="E60" s="11">
        <v>16.0</v>
      </c>
      <c r="F60" s="21" t="s">
        <v>186</v>
      </c>
      <c r="G60" s="15">
        <v>0.07403068340306844</v>
      </c>
      <c r="H60" s="11" t="s">
        <v>33</v>
      </c>
      <c r="I60" s="16">
        <v>0.792</v>
      </c>
      <c r="J60" s="11" t="s">
        <v>187</v>
      </c>
      <c r="K60" s="11" t="s">
        <v>35</v>
      </c>
      <c r="L60" s="11" t="s">
        <v>27</v>
      </c>
      <c r="M60" s="11" t="s">
        <v>28</v>
      </c>
      <c r="N60" s="11" t="s">
        <v>188</v>
      </c>
      <c r="O60" s="11" t="s">
        <v>189</v>
      </c>
      <c r="P60" s="11" t="s">
        <v>38</v>
      </c>
      <c r="Q60" s="20">
        <v>39823.0</v>
      </c>
      <c r="R60" s="17">
        <f t="shared" si="2"/>
        <v>4.915045132</v>
      </c>
      <c r="S60" s="9"/>
      <c r="T60" s="9"/>
      <c r="U60" s="9"/>
      <c r="V60" s="9"/>
      <c r="W60" s="9"/>
      <c r="X60" s="9"/>
      <c r="Y60" s="9"/>
      <c r="Z60" s="9"/>
      <c r="AA60" s="9"/>
      <c r="AB60" s="9" t="str">
        <f>IFERROR(__xludf.DUMMYFUNCTION("""COMPUTED_VALUE"""),"Brian Stugart")</f>
        <v>Brian Stugart</v>
      </c>
      <c r="AC60" s="9"/>
      <c r="AD60" s="9"/>
      <c r="AE60" s="9">
        <f t="shared" si="8"/>
        <v>1</v>
      </c>
      <c r="AF60" s="19">
        <f t="shared" si="13"/>
        <v>2</v>
      </c>
      <c r="AG60" s="9"/>
      <c r="AH60" s="9"/>
      <c r="AI60" s="9"/>
    </row>
    <row r="61" ht="15.0" customHeight="1">
      <c r="A61" s="11">
        <v>60.0</v>
      </c>
      <c r="B61" s="12">
        <f t="shared" si="18"/>
        <v>39821</v>
      </c>
      <c r="C61" s="13">
        <v>2009.0</v>
      </c>
      <c r="D61" s="11" t="s">
        <v>32</v>
      </c>
      <c r="E61" s="11">
        <v>3.0</v>
      </c>
      <c r="F61" s="21" t="s">
        <v>190</v>
      </c>
      <c r="G61" s="15">
        <v>0.05173803526448367</v>
      </c>
      <c r="H61" s="11" t="s">
        <v>33</v>
      </c>
      <c r="I61" s="16">
        <v>7.192</v>
      </c>
      <c r="J61" s="11" t="s">
        <v>187</v>
      </c>
      <c r="K61" s="11" t="s">
        <v>35</v>
      </c>
      <c r="L61" s="11" t="s">
        <v>27</v>
      </c>
      <c r="M61" s="11" t="s">
        <v>49</v>
      </c>
      <c r="N61" s="11" t="s">
        <v>73</v>
      </c>
      <c r="O61" s="11" t="s">
        <v>191</v>
      </c>
      <c r="P61" s="11" t="s">
        <v>99</v>
      </c>
      <c r="Q61" s="20">
        <v>39823.0</v>
      </c>
      <c r="R61" s="17">
        <f t="shared" si="2"/>
        <v>3.895460151</v>
      </c>
      <c r="S61" s="9"/>
      <c r="T61" s="9"/>
      <c r="U61" s="9"/>
      <c r="V61" s="9"/>
      <c r="W61" s="9"/>
      <c r="X61" s="9"/>
      <c r="Y61" s="9"/>
      <c r="Z61" s="9"/>
      <c r="AA61" s="9"/>
      <c r="AB61" s="9" t="str">
        <f>IFERROR(__xludf.DUMMYFUNCTION("""COMPUTED_VALUE"""),"Mike Gockenbach")</f>
        <v>Mike Gockenbach</v>
      </c>
      <c r="AC61" s="9"/>
      <c r="AD61" s="9"/>
      <c r="AE61" s="9">
        <f t="shared" si="8"/>
        <v>1</v>
      </c>
      <c r="AF61" s="19">
        <f t="shared" si="13"/>
        <v>2</v>
      </c>
      <c r="AG61" s="9"/>
      <c r="AH61" s="9"/>
      <c r="AI61" s="9"/>
    </row>
    <row r="62" ht="15.0" customHeight="1">
      <c r="A62" s="11">
        <v>61.0</v>
      </c>
      <c r="B62" s="12">
        <f t="shared" si="18"/>
        <v>39821</v>
      </c>
      <c r="C62" s="13">
        <v>2009.0</v>
      </c>
      <c r="D62" s="11" t="s">
        <v>32</v>
      </c>
      <c r="E62" s="11">
        <v>25.0</v>
      </c>
      <c r="F62" s="21" t="s">
        <v>192</v>
      </c>
      <c r="G62" s="15">
        <v>0.029393027078467065</v>
      </c>
      <c r="H62" s="11" t="s">
        <v>33</v>
      </c>
      <c r="I62" s="16">
        <v>15.991999999999999</v>
      </c>
      <c r="J62" s="11" t="s">
        <v>193</v>
      </c>
      <c r="K62" s="11" t="s">
        <v>61</v>
      </c>
      <c r="L62" s="11" t="s">
        <v>48</v>
      </c>
      <c r="M62" s="11" t="s">
        <v>28</v>
      </c>
      <c r="N62" s="11" t="s">
        <v>42</v>
      </c>
      <c r="O62" s="11" t="s">
        <v>194</v>
      </c>
      <c r="P62" s="11" t="s">
        <v>38</v>
      </c>
      <c r="Q62" s="20">
        <v>39823.0</v>
      </c>
      <c r="R62" s="17">
        <f t="shared" si="2"/>
        <v>659.535203</v>
      </c>
      <c r="S62" s="9"/>
      <c r="T62" s="9"/>
      <c r="U62" s="9"/>
      <c r="V62" s="9"/>
      <c r="W62" s="9"/>
      <c r="X62" s="9"/>
      <c r="Y62" s="9"/>
      <c r="Z62" s="9"/>
      <c r="AA62" s="9"/>
      <c r="AB62" s="9" t="str">
        <f>IFERROR(__xludf.DUMMYFUNCTION("""COMPUTED_VALUE"""),"Michelle Huthwaite")</f>
        <v>Michelle Huthwaite</v>
      </c>
      <c r="AC62" s="9"/>
      <c r="AD62" s="9"/>
      <c r="AE62" s="9">
        <f t="shared" si="8"/>
        <v>4</v>
      </c>
      <c r="AF62" s="19">
        <f t="shared" si="13"/>
        <v>4</v>
      </c>
      <c r="AG62" s="9"/>
      <c r="AH62" s="9"/>
      <c r="AI62" s="9"/>
    </row>
    <row r="63" ht="15.0" customHeight="1">
      <c r="A63" s="11">
        <v>62.0</v>
      </c>
      <c r="B63" s="12">
        <f t="shared" si="18"/>
        <v>39821</v>
      </c>
      <c r="C63" s="13">
        <v>2009.0</v>
      </c>
      <c r="D63" s="11" t="s">
        <v>23</v>
      </c>
      <c r="E63" s="11">
        <v>23.0</v>
      </c>
      <c r="F63" s="21" t="s">
        <v>195</v>
      </c>
      <c r="G63" s="15">
        <v>0.07099447513812152</v>
      </c>
      <c r="H63" s="11" t="s">
        <v>33</v>
      </c>
      <c r="I63" s="16">
        <v>2.8000000000000003</v>
      </c>
      <c r="J63" s="11" t="s">
        <v>196</v>
      </c>
      <c r="K63" s="11" t="s">
        <v>65</v>
      </c>
      <c r="L63" s="11" t="s">
        <v>27</v>
      </c>
      <c r="M63" s="11" t="s">
        <v>28</v>
      </c>
      <c r="N63" s="11" t="s">
        <v>197</v>
      </c>
      <c r="O63" s="11" t="s">
        <v>198</v>
      </c>
      <c r="P63" s="11" t="s">
        <v>38</v>
      </c>
      <c r="Q63" s="20">
        <v>39823.0</v>
      </c>
      <c r="R63" s="17">
        <f t="shared" si="2"/>
        <v>23.87544199</v>
      </c>
      <c r="S63" s="9"/>
      <c r="T63" s="9"/>
      <c r="U63" s="9"/>
      <c r="V63" s="9"/>
      <c r="W63" s="9"/>
      <c r="X63" s="9"/>
      <c r="Y63" s="9"/>
      <c r="Z63" s="9"/>
      <c r="AA63" s="9"/>
      <c r="AB63" s="9" t="str">
        <f>IFERROR(__xludf.DUMMYFUNCTION("""COMPUTED_VALUE"""),"Jennifer Patt")</f>
        <v>Jennifer Patt</v>
      </c>
      <c r="AC63" s="9"/>
      <c r="AD63" s="9"/>
      <c r="AE63" s="9">
        <f t="shared" si="8"/>
        <v>1</v>
      </c>
      <c r="AF63" s="19">
        <f t="shared" si="13"/>
        <v>5</v>
      </c>
      <c r="AG63" s="9"/>
      <c r="AH63" s="9"/>
      <c r="AI63" s="9"/>
    </row>
    <row r="64" ht="15.0" customHeight="1">
      <c r="A64" s="11">
        <v>63.0</v>
      </c>
      <c r="B64" s="12">
        <f t="shared" ref="B64:B71" si="19">DATE(2012,12,31)-1452</f>
        <v>39822</v>
      </c>
      <c r="C64" s="13">
        <v>2009.0</v>
      </c>
      <c r="D64" s="11" t="s">
        <v>32</v>
      </c>
      <c r="E64" s="11">
        <v>43.0</v>
      </c>
      <c r="F64" s="21" t="s">
        <v>199</v>
      </c>
      <c r="G64" s="15">
        <v>0.008442092886537316</v>
      </c>
      <c r="H64" s="11" t="s">
        <v>24</v>
      </c>
      <c r="I64" s="16">
        <v>7.192</v>
      </c>
      <c r="J64" s="11" t="s">
        <v>200</v>
      </c>
      <c r="K64" s="11" t="s">
        <v>47</v>
      </c>
      <c r="L64" s="11" t="s">
        <v>48</v>
      </c>
      <c r="M64" s="11" t="s">
        <v>28</v>
      </c>
      <c r="N64" s="11" t="s">
        <v>62</v>
      </c>
      <c r="O64" s="11" t="s">
        <v>201</v>
      </c>
      <c r="P64" s="11" t="s">
        <v>99</v>
      </c>
      <c r="Q64" s="20">
        <v>39823.0</v>
      </c>
      <c r="R64" s="17">
        <f t="shared" si="2"/>
        <v>4.271631464</v>
      </c>
      <c r="S64" s="9"/>
      <c r="T64" s="9"/>
      <c r="U64" s="9"/>
      <c r="V64" s="9"/>
      <c r="W64" s="9"/>
      <c r="X64" s="9"/>
      <c r="Y64" s="9"/>
      <c r="Z64" s="9"/>
      <c r="AA64" s="9"/>
      <c r="AB64" s="9" t="str">
        <f>IFERROR(__xludf.DUMMYFUNCTION("""COMPUTED_VALUE"""),"Toby Swindell")</f>
        <v>Toby Swindell</v>
      </c>
      <c r="AC64" s="9"/>
      <c r="AD64" s="9"/>
      <c r="AE64" s="9">
        <f t="shared" si="8"/>
        <v>4</v>
      </c>
      <c r="AF64" s="19">
        <f t="shared" si="13"/>
        <v>3</v>
      </c>
      <c r="AG64" s="9"/>
      <c r="AH64" s="9"/>
      <c r="AI64" s="9"/>
    </row>
    <row r="65" ht="15.0" customHeight="1">
      <c r="A65" s="11">
        <v>64.0</v>
      </c>
      <c r="B65" s="12">
        <f t="shared" si="19"/>
        <v>39822</v>
      </c>
      <c r="C65" s="13">
        <v>2009.0</v>
      </c>
      <c r="D65" s="11" t="s">
        <v>23</v>
      </c>
      <c r="E65" s="11">
        <v>9.0</v>
      </c>
      <c r="F65" s="21" t="s">
        <v>186</v>
      </c>
      <c r="G65" s="15">
        <v>0.0554120267260579</v>
      </c>
      <c r="H65" s="11" t="s">
        <v>33</v>
      </c>
      <c r="I65" s="16">
        <v>5.5120000000000005</v>
      </c>
      <c r="J65" s="11" t="s">
        <v>202</v>
      </c>
      <c r="K65" s="11" t="s">
        <v>35</v>
      </c>
      <c r="L65" s="11" t="s">
        <v>27</v>
      </c>
      <c r="M65" s="11" t="s">
        <v>28</v>
      </c>
      <c r="N65" s="11" t="s">
        <v>188</v>
      </c>
      <c r="O65" s="11" t="s">
        <v>203</v>
      </c>
      <c r="P65" s="11" t="s">
        <v>38</v>
      </c>
      <c r="Q65" s="20">
        <v>39824.0</v>
      </c>
      <c r="R65" s="17">
        <f t="shared" si="2"/>
        <v>2.350134878</v>
      </c>
      <c r="S65" s="9"/>
      <c r="T65" s="9"/>
      <c r="U65" s="9"/>
      <c r="V65" s="9"/>
      <c r="W65" s="9"/>
      <c r="X65" s="9"/>
      <c r="Y65" s="9"/>
      <c r="Z65" s="9"/>
      <c r="AA65" s="9"/>
      <c r="AB65" s="9" t="str">
        <f>IFERROR(__xludf.DUMMYFUNCTION("""COMPUTED_VALUE"""),"Clytie Kelty")</f>
        <v>Clytie Kelty</v>
      </c>
      <c r="AC65" s="9"/>
      <c r="AD65" s="9"/>
      <c r="AE65" s="9">
        <f t="shared" si="8"/>
        <v>1</v>
      </c>
      <c r="AF65" s="19">
        <f t="shared" si="13"/>
        <v>2</v>
      </c>
      <c r="AG65" s="9"/>
      <c r="AH65" s="9"/>
      <c r="AI65" s="9"/>
    </row>
    <row r="66" ht="15.0" customHeight="1">
      <c r="A66" s="11">
        <v>65.0</v>
      </c>
      <c r="B66" s="12">
        <f t="shared" si="19"/>
        <v>39822</v>
      </c>
      <c r="C66" s="13">
        <v>2009.0</v>
      </c>
      <c r="D66" s="11" t="s">
        <v>23</v>
      </c>
      <c r="E66" s="11">
        <v>24.0</v>
      </c>
      <c r="F66" s="21" t="s">
        <v>204</v>
      </c>
      <c r="G66" s="15">
        <v>0.11023066485753046</v>
      </c>
      <c r="H66" s="11" t="s">
        <v>33</v>
      </c>
      <c r="I66" s="16">
        <v>0.776</v>
      </c>
      <c r="J66" s="11" t="s">
        <v>205</v>
      </c>
      <c r="K66" s="11" t="s">
        <v>83</v>
      </c>
      <c r="L66" s="11" t="s">
        <v>36</v>
      </c>
      <c r="M66" s="11" t="s">
        <v>28</v>
      </c>
      <c r="N66" s="11" t="s">
        <v>62</v>
      </c>
      <c r="O66" s="11" t="s">
        <v>206</v>
      </c>
      <c r="P66" s="11" t="s">
        <v>58</v>
      </c>
      <c r="Q66" s="20">
        <v>39824.0</v>
      </c>
      <c r="R66" s="17">
        <f t="shared" si="2"/>
        <v>7.228486079</v>
      </c>
      <c r="S66" s="9"/>
      <c r="T66" s="9"/>
      <c r="U66" s="9"/>
      <c r="V66" s="9"/>
      <c r="W66" s="9"/>
      <c r="X66" s="9"/>
      <c r="Y66" s="9"/>
      <c r="Z66" s="9"/>
      <c r="AA66" s="9"/>
      <c r="AB66" s="9" t="str">
        <f>IFERROR(__xludf.DUMMYFUNCTION("""COMPUTED_VALUE"""),"Tamara Manning")</f>
        <v>Tamara Manning</v>
      </c>
      <c r="AC66" s="9"/>
      <c r="AD66" s="9"/>
      <c r="AE66" s="9">
        <f t="shared" si="8"/>
        <v>2</v>
      </c>
      <c r="AF66" s="19" t="b">
        <f t="shared" si="13"/>
        <v>0</v>
      </c>
      <c r="AG66" s="9"/>
      <c r="AH66" s="9"/>
      <c r="AI66" s="9"/>
    </row>
    <row r="67" ht="15.0" customHeight="1">
      <c r="A67" s="11">
        <v>66.0</v>
      </c>
      <c r="B67" s="12">
        <f t="shared" si="19"/>
        <v>39822</v>
      </c>
      <c r="C67" s="13">
        <v>2009.0</v>
      </c>
      <c r="D67" s="11" t="s">
        <v>23</v>
      </c>
      <c r="E67" s="11">
        <v>11.0</v>
      </c>
      <c r="F67" s="21" t="s">
        <v>207</v>
      </c>
      <c r="G67" s="15">
        <v>0.04516320474777464</v>
      </c>
      <c r="H67" s="11" t="s">
        <v>33</v>
      </c>
      <c r="I67" s="16">
        <v>6.056000000000001</v>
      </c>
      <c r="J67" s="11" t="s">
        <v>205</v>
      </c>
      <c r="K67" s="11" t="s">
        <v>83</v>
      </c>
      <c r="L67" s="11" t="s">
        <v>36</v>
      </c>
      <c r="M67" s="11" t="s">
        <v>28</v>
      </c>
      <c r="N67" s="11" t="s">
        <v>42</v>
      </c>
      <c r="O67" s="11" t="s">
        <v>208</v>
      </c>
      <c r="P67" s="11" t="s">
        <v>38</v>
      </c>
      <c r="Q67" s="20">
        <v>39824.0</v>
      </c>
      <c r="R67" s="17">
        <f t="shared" si="2"/>
        <v>2.906523205</v>
      </c>
      <c r="S67" s="9"/>
      <c r="T67" s="9"/>
      <c r="U67" s="9"/>
      <c r="V67" s="9"/>
      <c r="W67" s="9"/>
      <c r="X67" s="9"/>
      <c r="Y67" s="9"/>
      <c r="Z67" s="9"/>
      <c r="AA67" s="9"/>
      <c r="AB67" s="9" t="str">
        <f>IFERROR(__xludf.DUMMYFUNCTION("""COMPUTED_VALUE"""),"Skye Norling")</f>
        <v>Skye Norling</v>
      </c>
      <c r="AC67" s="9"/>
      <c r="AD67" s="9"/>
      <c r="AE67" s="9">
        <f t="shared" si="8"/>
        <v>2</v>
      </c>
      <c r="AF67" s="19" t="b">
        <f t="shared" si="13"/>
        <v>0</v>
      </c>
      <c r="AG67" s="9"/>
      <c r="AH67" s="9"/>
      <c r="AI67" s="9"/>
    </row>
    <row r="68" ht="15.0" customHeight="1">
      <c r="A68" s="11">
        <v>67.0</v>
      </c>
      <c r="B68" s="12">
        <f t="shared" si="19"/>
        <v>39822</v>
      </c>
      <c r="C68" s="13">
        <v>2009.0</v>
      </c>
      <c r="D68" s="11" t="s">
        <v>23</v>
      </c>
      <c r="E68" s="11">
        <v>44.0</v>
      </c>
      <c r="F68" s="21" t="s">
        <v>151</v>
      </c>
      <c r="G68" s="15">
        <v>0.07529865125240842</v>
      </c>
      <c r="H68" s="11" t="s">
        <v>33</v>
      </c>
      <c r="I68" s="16">
        <v>3.176</v>
      </c>
      <c r="J68" s="11" t="s">
        <v>205</v>
      </c>
      <c r="K68" s="11" t="s">
        <v>83</v>
      </c>
      <c r="L68" s="11" t="s">
        <v>36</v>
      </c>
      <c r="M68" s="11" t="s">
        <v>28</v>
      </c>
      <c r="N68" s="11" t="s">
        <v>62</v>
      </c>
      <c r="O68" s="11" t="s">
        <v>209</v>
      </c>
      <c r="P68" s="11" t="s">
        <v>58</v>
      </c>
      <c r="Q68" s="20">
        <v>39824.0</v>
      </c>
      <c r="R68" s="17">
        <f t="shared" si="2"/>
        <v>10.84119861</v>
      </c>
      <c r="S68" s="9"/>
      <c r="T68" s="9"/>
      <c r="U68" s="9"/>
      <c r="V68" s="9"/>
      <c r="W68" s="9"/>
      <c r="X68" s="9"/>
      <c r="Y68" s="9"/>
      <c r="Z68" s="9"/>
      <c r="AA68" s="9"/>
      <c r="AB68" s="9" t="str">
        <f>IFERROR(__xludf.DUMMYFUNCTION("""COMPUTED_VALUE"""),"Jennifer Jackson")</f>
        <v>Jennifer Jackson</v>
      </c>
      <c r="AC68" s="9"/>
      <c r="AD68" s="9"/>
      <c r="AE68" s="9">
        <f t="shared" si="8"/>
        <v>2</v>
      </c>
      <c r="AF68" s="19" t="b">
        <f t="shared" si="13"/>
        <v>0</v>
      </c>
      <c r="AG68" s="9"/>
      <c r="AH68" s="9"/>
      <c r="AI68" s="9"/>
    </row>
    <row r="69" ht="15.0" customHeight="1">
      <c r="A69" s="11">
        <v>68.0</v>
      </c>
      <c r="B69" s="12">
        <f t="shared" si="19"/>
        <v>39822</v>
      </c>
      <c r="C69" s="13">
        <v>2009.0</v>
      </c>
      <c r="D69" s="11" t="s">
        <v>44</v>
      </c>
      <c r="E69" s="11">
        <v>47.0</v>
      </c>
      <c r="F69" s="21" t="s">
        <v>210</v>
      </c>
      <c r="G69" s="15">
        <v>0.09401459854014595</v>
      </c>
      <c r="H69" s="11" t="s">
        <v>33</v>
      </c>
      <c r="I69" s="16">
        <v>1.92</v>
      </c>
      <c r="J69" s="11" t="s">
        <v>211</v>
      </c>
      <c r="K69" s="11" t="s">
        <v>35</v>
      </c>
      <c r="L69" s="11" t="s">
        <v>27</v>
      </c>
      <c r="M69" s="11" t="s">
        <v>28</v>
      </c>
      <c r="N69" s="11" t="s">
        <v>62</v>
      </c>
      <c r="O69" s="11" t="s">
        <v>212</v>
      </c>
      <c r="P69" s="11" t="s">
        <v>58</v>
      </c>
      <c r="Q69" s="20">
        <v>39824.0</v>
      </c>
      <c r="R69" s="17">
        <f t="shared" si="2"/>
        <v>11.66909197</v>
      </c>
      <c r="S69" s="9"/>
      <c r="T69" s="9"/>
      <c r="U69" s="9"/>
      <c r="V69" s="9"/>
      <c r="W69" s="9"/>
      <c r="X69" s="9"/>
      <c r="Y69" s="9"/>
      <c r="Z69" s="9"/>
      <c r="AA69" s="9"/>
      <c r="AB69" s="9" t="str">
        <f>IFERROR(__xludf.DUMMYFUNCTION("""COMPUTED_VALUE"""),"Amy Hunt")</f>
        <v>Amy Hunt</v>
      </c>
      <c r="AC69" s="9"/>
      <c r="AD69" s="9"/>
      <c r="AE69" s="9">
        <f t="shared" si="8"/>
        <v>1</v>
      </c>
      <c r="AF69" s="19">
        <f t="shared" si="13"/>
        <v>2</v>
      </c>
      <c r="AG69" s="9"/>
      <c r="AH69" s="9"/>
      <c r="AI69" s="9"/>
    </row>
    <row r="70" ht="15.0" customHeight="1">
      <c r="A70" s="11">
        <v>69.0</v>
      </c>
      <c r="B70" s="12">
        <f t="shared" si="19"/>
        <v>39822</v>
      </c>
      <c r="C70" s="13">
        <v>2009.0</v>
      </c>
      <c r="D70" s="11" t="s">
        <v>44</v>
      </c>
      <c r="E70" s="11">
        <v>1.0</v>
      </c>
      <c r="F70" s="21" t="s">
        <v>128</v>
      </c>
      <c r="G70" s="15">
        <v>0.05137562366357803</v>
      </c>
      <c r="H70" s="11" t="s">
        <v>33</v>
      </c>
      <c r="I70" s="16">
        <v>7.192</v>
      </c>
      <c r="J70" s="11" t="s">
        <v>213</v>
      </c>
      <c r="K70" s="11" t="s">
        <v>47</v>
      </c>
      <c r="L70" s="11" t="s">
        <v>48</v>
      </c>
      <c r="M70" s="11" t="s">
        <v>66</v>
      </c>
      <c r="N70" s="11" t="s">
        <v>80</v>
      </c>
      <c r="O70" s="11" t="s">
        <v>214</v>
      </c>
      <c r="P70" s="11" t="s">
        <v>38</v>
      </c>
      <c r="Q70" s="20">
        <v>39824.0</v>
      </c>
      <c r="R70" s="17">
        <f t="shared" si="2"/>
        <v>6.837684505</v>
      </c>
      <c r="S70" s="9"/>
      <c r="T70" s="9"/>
      <c r="U70" s="9"/>
      <c r="V70" s="9"/>
      <c r="W70" s="9"/>
      <c r="X70" s="9"/>
      <c r="Y70" s="9"/>
      <c r="Z70" s="9"/>
      <c r="AA70" s="9"/>
      <c r="AB70" s="9" t="str">
        <f>IFERROR(__xludf.DUMMYFUNCTION("""COMPUTED_VALUE"""),"Giulietta Weimer")</f>
        <v>Giulietta Weimer</v>
      </c>
      <c r="AC70" s="9"/>
      <c r="AD70" s="9"/>
      <c r="AE70" s="9">
        <f t="shared" si="8"/>
        <v>4</v>
      </c>
      <c r="AF70" s="19">
        <f t="shared" si="13"/>
        <v>3</v>
      </c>
      <c r="AG70" s="9"/>
      <c r="AH70" s="9"/>
      <c r="AI70" s="9"/>
    </row>
    <row r="71" ht="15.0" customHeight="1">
      <c r="A71" s="11">
        <v>70.0</v>
      </c>
      <c r="B71" s="12">
        <f t="shared" si="19"/>
        <v>39822</v>
      </c>
      <c r="C71" s="13">
        <v>2009.0</v>
      </c>
      <c r="D71" s="11" t="s">
        <v>23</v>
      </c>
      <c r="E71" s="11">
        <v>39.0</v>
      </c>
      <c r="F71" s="21" t="s">
        <v>151</v>
      </c>
      <c r="G71" s="15">
        <v>0.09242970439798111</v>
      </c>
      <c r="H71" s="11" t="s">
        <v>33</v>
      </c>
      <c r="I71" s="16">
        <v>1.08</v>
      </c>
      <c r="J71" s="11" t="s">
        <v>215</v>
      </c>
      <c r="K71" s="11" t="s">
        <v>26</v>
      </c>
      <c r="L71" s="11" t="s">
        <v>48</v>
      </c>
      <c r="M71" s="11" t="s">
        <v>28</v>
      </c>
      <c r="N71" s="11" t="s">
        <v>216</v>
      </c>
      <c r="O71" s="11" t="s">
        <v>217</v>
      </c>
      <c r="P71" s="11" t="s">
        <v>58</v>
      </c>
      <c r="Q71" s="20">
        <v>39824.0</v>
      </c>
      <c r="R71" s="17">
        <f t="shared" si="2"/>
        <v>11.63505119</v>
      </c>
      <c r="S71" s="9"/>
      <c r="T71" s="9"/>
      <c r="U71" s="9"/>
      <c r="V71" s="9"/>
      <c r="W71" s="9"/>
      <c r="X71" s="9"/>
      <c r="Y71" s="9"/>
      <c r="Z71" s="9"/>
      <c r="AA71" s="9"/>
      <c r="AB71" s="9" t="str">
        <f>IFERROR(__xludf.DUMMYFUNCTION("""COMPUTED_VALUE"""),"Amy Cox")</f>
        <v>Amy Cox</v>
      </c>
      <c r="AC71" s="9"/>
      <c r="AD71" s="9"/>
      <c r="AE71" s="9">
        <f t="shared" si="8"/>
        <v>4</v>
      </c>
      <c r="AF71" s="19">
        <f t="shared" si="13"/>
        <v>1</v>
      </c>
      <c r="AG71" s="9"/>
      <c r="AH71" s="9"/>
      <c r="AI71" s="9"/>
    </row>
    <row r="72" ht="15.0" customHeight="1">
      <c r="A72" s="11">
        <v>71.0</v>
      </c>
      <c r="B72" s="12">
        <f t="shared" ref="B72:B83" si="20">DATE(2012,12,31)-1451</f>
        <v>39823</v>
      </c>
      <c r="C72" s="13">
        <v>2009.0</v>
      </c>
      <c r="D72" s="11" t="s">
        <v>39</v>
      </c>
      <c r="E72" s="11">
        <v>24.0</v>
      </c>
      <c r="F72" s="21" t="s">
        <v>218</v>
      </c>
      <c r="G72" s="15">
        <v>0.01542097488921702</v>
      </c>
      <c r="H72" s="11" t="s">
        <v>33</v>
      </c>
      <c r="I72" s="16">
        <v>0.768</v>
      </c>
      <c r="J72" s="11" t="s">
        <v>219</v>
      </c>
      <c r="K72" s="11" t="s">
        <v>61</v>
      </c>
      <c r="L72" s="11" t="s">
        <v>48</v>
      </c>
      <c r="M72" s="11" t="s">
        <v>49</v>
      </c>
      <c r="N72" s="11" t="s">
        <v>73</v>
      </c>
      <c r="O72" s="11" t="s">
        <v>220</v>
      </c>
      <c r="P72" s="11" t="s">
        <v>58</v>
      </c>
      <c r="Q72" s="20">
        <v>39824.0</v>
      </c>
      <c r="R72" s="17">
        <f t="shared" si="2"/>
        <v>3.083701507</v>
      </c>
      <c r="S72" s="9"/>
      <c r="T72" s="9"/>
      <c r="U72" s="9"/>
      <c r="V72" s="9"/>
      <c r="W72" s="9"/>
      <c r="X72" s="9"/>
      <c r="Y72" s="9"/>
      <c r="Z72" s="9"/>
      <c r="AA72" s="9"/>
      <c r="AB72" s="9" t="str">
        <f>IFERROR(__xludf.DUMMYFUNCTION("""COMPUTED_VALUE"""),"Sanjit Jacobs")</f>
        <v>Sanjit Jacobs</v>
      </c>
      <c r="AC72" s="9"/>
      <c r="AD72" s="9"/>
      <c r="AE72" s="9">
        <f t="shared" si="8"/>
        <v>4</v>
      </c>
      <c r="AF72" s="19">
        <f t="shared" si="13"/>
        <v>4</v>
      </c>
      <c r="AG72" s="9"/>
      <c r="AH72" s="9"/>
      <c r="AI72" s="9"/>
    </row>
    <row r="73" ht="15.0" customHeight="1">
      <c r="A73" s="11">
        <v>72.0</v>
      </c>
      <c r="B73" s="12">
        <f t="shared" si="20"/>
        <v>39823</v>
      </c>
      <c r="C73" s="13">
        <v>2009.0</v>
      </c>
      <c r="D73" s="11" t="s">
        <v>39</v>
      </c>
      <c r="E73" s="11">
        <v>19.0</v>
      </c>
      <c r="F73" s="21" t="s">
        <v>151</v>
      </c>
      <c r="G73" s="15">
        <v>0.0886609686609686</v>
      </c>
      <c r="H73" s="11" t="s">
        <v>33</v>
      </c>
      <c r="I73" s="16">
        <v>3.176</v>
      </c>
      <c r="J73" s="11" t="s">
        <v>219</v>
      </c>
      <c r="K73" s="11" t="s">
        <v>61</v>
      </c>
      <c r="L73" s="11" t="s">
        <v>48</v>
      </c>
      <c r="M73" s="11" t="s">
        <v>28</v>
      </c>
      <c r="N73" s="11" t="s">
        <v>62</v>
      </c>
      <c r="O73" s="11" t="s">
        <v>209</v>
      </c>
      <c r="P73" s="11" t="s">
        <v>58</v>
      </c>
      <c r="Q73" s="20">
        <v>39824.0</v>
      </c>
      <c r="R73" s="17">
        <f t="shared" si="2"/>
        <v>5.672174131</v>
      </c>
      <c r="S73" s="9"/>
      <c r="T73" s="9"/>
      <c r="U73" s="9"/>
      <c r="V73" s="9"/>
      <c r="W73" s="9"/>
      <c r="X73" s="9"/>
      <c r="Y73" s="9"/>
      <c r="Z73" s="9"/>
      <c r="AA73" s="9"/>
      <c r="AB73" s="9" t="str">
        <f>IFERROR(__xludf.DUMMYFUNCTION("""COMPUTED_VALUE"""),"Christina Anderson")</f>
        <v>Christina Anderson</v>
      </c>
      <c r="AC73" s="9"/>
      <c r="AD73" s="9"/>
      <c r="AE73" s="9">
        <f t="shared" si="8"/>
        <v>4</v>
      </c>
      <c r="AF73" s="19">
        <f t="shared" si="13"/>
        <v>4</v>
      </c>
      <c r="AG73" s="9"/>
      <c r="AH73" s="9"/>
      <c r="AI73" s="9"/>
    </row>
    <row r="74" ht="15.0" customHeight="1">
      <c r="A74" s="11">
        <v>73.0</v>
      </c>
      <c r="B74" s="12">
        <f t="shared" si="20"/>
        <v>39823</v>
      </c>
      <c r="C74" s="13">
        <v>2009.0</v>
      </c>
      <c r="D74" s="11" t="s">
        <v>44</v>
      </c>
      <c r="E74" s="11">
        <v>35.0</v>
      </c>
      <c r="F74" s="21" t="s">
        <v>221</v>
      </c>
      <c r="G74" s="15">
        <v>0.02385757806549902</v>
      </c>
      <c r="H74" s="11" t="s">
        <v>33</v>
      </c>
      <c r="I74" s="16">
        <v>6.840000000000001</v>
      </c>
      <c r="J74" s="11" t="s">
        <v>222</v>
      </c>
      <c r="K74" s="11" t="s">
        <v>65</v>
      </c>
      <c r="L74" s="11" t="s">
        <v>48</v>
      </c>
      <c r="M74" s="11" t="s">
        <v>49</v>
      </c>
      <c r="N74" s="11" t="s">
        <v>73</v>
      </c>
      <c r="O74" s="11" t="s">
        <v>223</v>
      </c>
      <c r="P74" s="11" t="s">
        <v>38</v>
      </c>
      <c r="Q74" s="20">
        <v>39824.0</v>
      </c>
      <c r="R74" s="17">
        <f t="shared" si="2"/>
        <v>24.46212909</v>
      </c>
      <c r="S74" s="9"/>
      <c r="T74" s="9"/>
      <c r="U74" s="9"/>
      <c r="V74" s="9"/>
      <c r="W74" s="9"/>
      <c r="X74" s="9"/>
      <c r="Y74" s="9"/>
      <c r="Z74" s="9"/>
      <c r="AA74" s="9"/>
      <c r="AB74" s="9" t="str">
        <f>IFERROR(__xludf.DUMMYFUNCTION("""COMPUTED_VALUE"""),"Xylona Price")</f>
        <v>Xylona Price</v>
      </c>
      <c r="AC74" s="9"/>
      <c r="AD74" s="9"/>
      <c r="AE74" s="9">
        <f t="shared" si="8"/>
        <v>4</v>
      </c>
      <c r="AF74" s="19">
        <f t="shared" si="13"/>
        <v>5</v>
      </c>
      <c r="AG74" s="9"/>
      <c r="AH74" s="9"/>
      <c r="AI74" s="9"/>
    </row>
    <row r="75" ht="15.0" customHeight="1">
      <c r="A75" s="11">
        <v>74.0</v>
      </c>
      <c r="B75" s="12">
        <f t="shared" si="20"/>
        <v>39823</v>
      </c>
      <c r="C75" s="13">
        <v>2009.0</v>
      </c>
      <c r="D75" s="11" t="s">
        <v>44</v>
      </c>
      <c r="E75" s="11">
        <v>49.0</v>
      </c>
      <c r="F75" s="21" t="s">
        <v>224</v>
      </c>
      <c r="G75" s="15">
        <v>0.029450023275919286</v>
      </c>
      <c r="H75" s="11" t="s">
        <v>45</v>
      </c>
      <c r="I75" s="16">
        <v>11.76</v>
      </c>
      <c r="J75" s="11" t="s">
        <v>222</v>
      </c>
      <c r="K75" s="11" t="s">
        <v>65</v>
      </c>
      <c r="L75" s="11" t="s">
        <v>48</v>
      </c>
      <c r="M75" s="11" t="s">
        <v>66</v>
      </c>
      <c r="N75" s="11" t="s">
        <v>69</v>
      </c>
      <c r="O75" s="11" t="s">
        <v>225</v>
      </c>
      <c r="P75" s="11" t="s">
        <v>52</v>
      </c>
      <c r="Q75" s="20">
        <v>39824.0</v>
      </c>
      <c r="R75" s="17">
        <f t="shared" si="2"/>
        <v>429.7983517</v>
      </c>
      <c r="S75" s="9"/>
      <c r="T75" s="9"/>
      <c r="U75" s="9"/>
      <c r="V75" s="9"/>
      <c r="W75" s="9"/>
      <c r="X75" s="9"/>
      <c r="Y75" s="9"/>
      <c r="Z75" s="9"/>
      <c r="AA75" s="9"/>
      <c r="AB75" s="9" t="str">
        <f>IFERROR(__xludf.DUMMYFUNCTION("""COMPUTED_VALUE"""),"Sylvia Foulston")</f>
        <v>Sylvia Foulston</v>
      </c>
      <c r="AC75" s="9"/>
      <c r="AD75" s="9"/>
      <c r="AE75" s="9">
        <f t="shared" si="8"/>
        <v>4</v>
      </c>
      <c r="AF75" s="19">
        <f t="shared" si="13"/>
        <v>5</v>
      </c>
      <c r="AG75" s="9"/>
      <c r="AH75" s="9"/>
      <c r="AI75" s="9"/>
    </row>
    <row r="76" ht="15.0" customHeight="1">
      <c r="A76" s="11">
        <v>75.0</v>
      </c>
      <c r="B76" s="12">
        <f t="shared" si="20"/>
        <v>39823</v>
      </c>
      <c r="C76" s="13">
        <v>2009.0</v>
      </c>
      <c r="D76" s="11" t="s">
        <v>44</v>
      </c>
      <c r="E76" s="11">
        <v>43.0</v>
      </c>
      <c r="F76" s="21" t="s">
        <v>226</v>
      </c>
      <c r="G76" s="15">
        <v>0.0494611211573236</v>
      </c>
      <c r="H76" s="11" t="s">
        <v>24</v>
      </c>
      <c r="I76" s="16">
        <v>6.920000000000001</v>
      </c>
      <c r="J76" s="11" t="s">
        <v>227</v>
      </c>
      <c r="K76" s="11" t="s">
        <v>35</v>
      </c>
      <c r="L76" s="11" t="s">
        <v>27</v>
      </c>
      <c r="M76" s="11" t="s">
        <v>66</v>
      </c>
      <c r="N76" s="11" t="s">
        <v>67</v>
      </c>
      <c r="O76" s="11" t="s">
        <v>228</v>
      </c>
      <c r="P76" s="11" t="s">
        <v>38</v>
      </c>
      <c r="Q76" s="20">
        <v>39825.0</v>
      </c>
      <c r="R76" s="17">
        <f t="shared" si="2"/>
        <v>64.99784854</v>
      </c>
      <c r="S76" s="9"/>
      <c r="T76" s="9"/>
      <c r="U76" s="9"/>
      <c r="V76" s="9"/>
      <c r="W76" s="9"/>
      <c r="X76" s="9"/>
      <c r="Y76" s="9"/>
      <c r="Z76" s="9"/>
      <c r="AA76" s="9"/>
      <c r="AB76" s="9" t="str">
        <f>IFERROR(__xludf.DUMMYFUNCTION("""COMPUTED_VALUE"""),"Jason Klamczynski")</f>
        <v>Jason Klamczynski</v>
      </c>
      <c r="AC76" s="9"/>
      <c r="AD76" s="9"/>
      <c r="AE76" s="9">
        <f t="shared" si="8"/>
        <v>1</v>
      </c>
      <c r="AF76" s="19">
        <f t="shared" si="13"/>
        <v>2</v>
      </c>
      <c r="AG76" s="9"/>
      <c r="AH76" s="9"/>
      <c r="AI76" s="9"/>
    </row>
    <row r="77" ht="15.0" customHeight="1">
      <c r="A77" s="11">
        <v>76.0</v>
      </c>
      <c r="B77" s="12">
        <f t="shared" si="20"/>
        <v>39823</v>
      </c>
      <c r="C77" s="13">
        <v>2009.0</v>
      </c>
      <c r="D77" s="11" t="s">
        <v>44</v>
      </c>
      <c r="E77" s="11">
        <v>3.0</v>
      </c>
      <c r="F77" s="21" t="s">
        <v>229</v>
      </c>
      <c r="G77" s="15">
        <v>0.017872841444270024</v>
      </c>
      <c r="H77" s="11" t="s">
        <v>24</v>
      </c>
      <c r="I77" s="16">
        <v>15.991999999999999</v>
      </c>
      <c r="J77" s="11" t="s">
        <v>227</v>
      </c>
      <c r="K77" s="11" t="s">
        <v>35</v>
      </c>
      <c r="L77" s="11" t="s">
        <v>27</v>
      </c>
      <c r="M77" s="11" t="s">
        <v>28</v>
      </c>
      <c r="N77" s="11" t="s">
        <v>29</v>
      </c>
      <c r="O77" s="11" t="s">
        <v>230</v>
      </c>
      <c r="P77" s="11" t="s">
        <v>38</v>
      </c>
      <c r="Q77" s="20">
        <v>39825.0</v>
      </c>
      <c r="R77" s="17">
        <f t="shared" si="2"/>
        <v>8.94521416</v>
      </c>
      <c r="S77" s="9"/>
      <c r="T77" s="9"/>
      <c r="U77" s="9"/>
      <c r="V77" s="9"/>
      <c r="W77" s="9"/>
      <c r="X77" s="9"/>
      <c r="Y77" s="9"/>
      <c r="Z77" s="9"/>
      <c r="AA77" s="9"/>
      <c r="AB77" s="9" t="str">
        <f>IFERROR(__xludf.DUMMYFUNCTION("""COMPUTED_VALUE"""),"Joe Elijah")</f>
        <v>Joe Elijah</v>
      </c>
      <c r="AC77" s="9"/>
      <c r="AD77" s="9"/>
      <c r="AE77" s="9">
        <f t="shared" si="8"/>
        <v>1</v>
      </c>
      <c r="AF77" s="19">
        <f t="shared" si="13"/>
        <v>2</v>
      </c>
      <c r="AG77" s="9"/>
      <c r="AH77" s="9"/>
      <c r="AI77" s="9"/>
    </row>
    <row r="78" ht="15.0" customHeight="1">
      <c r="A78" s="11">
        <v>77.0</v>
      </c>
      <c r="B78" s="12">
        <f t="shared" si="20"/>
        <v>39823</v>
      </c>
      <c r="C78" s="13">
        <v>2009.0</v>
      </c>
      <c r="D78" s="11" t="s">
        <v>32</v>
      </c>
      <c r="E78" s="11">
        <v>34.0</v>
      </c>
      <c r="F78" s="21" t="s">
        <v>231</v>
      </c>
      <c r="G78" s="15">
        <v>0.022202643171806237</v>
      </c>
      <c r="H78" s="11" t="s">
        <v>33</v>
      </c>
      <c r="I78" s="16">
        <v>1.592</v>
      </c>
      <c r="J78" s="11" t="s">
        <v>232</v>
      </c>
      <c r="K78" s="11" t="s">
        <v>47</v>
      </c>
      <c r="L78" s="11" t="s">
        <v>48</v>
      </c>
      <c r="M78" s="11" t="s">
        <v>66</v>
      </c>
      <c r="N78" s="11" t="s">
        <v>67</v>
      </c>
      <c r="O78" s="11" t="s">
        <v>233</v>
      </c>
      <c r="P78" s="11" t="s">
        <v>99</v>
      </c>
      <c r="Q78" s="20">
        <v>39825.0</v>
      </c>
      <c r="R78" s="17">
        <f t="shared" si="2"/>
        <v>25.62611313</v>
      </c>
      <c r="S78" s="9"/>
      <c r="T78" s="9"/>
      <c r="U78" s="9"/>
      <c r="V78" s="9"/>
      <c r="W78" s="9"/>
      <c r="X78" s="9"/>
      <c r="Y78" s="9"/>
      <c r="Z78" s="9"/>
      <c r="AA78" s="9"/>
      <c r="AB78" s="9" t="str">
        <f>IFERROR(__xludf.DUMMYFUNCTION("""COMPUTED_VALUE"""),"Katherine Ducich")</f>
        <v>Katherine Ducich</v>
      </c>
      <c r="AC78" s="9"/>
      <c r="AD78" s="9"/>
      <c r="AE78" s="9">
        <f t="shared" si="8"/>
        <v>4</v>
      </c>
      <c r="AF78" s="19">
        <f t="shared" si="13"/>
        <v>3</v>
      </c>
      <c r="AG78" s="9"/>
      <c r="AH78" s="9"/>
      <c r="AI78" s="9"/>
    </row>
    <row r="79" ht="15.0" customHeight="1">
      <c r="A79" s="11">
        <v>78.0</v>
      </c>
      <c r="B79" s="12">
        <f t="shared" si="20"/>
        <v>39823</v>
      </c>
      <c r="C79" s="13">
        <v>2009.0</v>
      </c>
      <c r="D79" s="11" t="s">
        <v>39</v>
      </c>
      <c r="E79" s="11">
        <v>32.0</v>
      </c>
      <c r="F79" s="21" t="s">
        <v>234</v>
      </c>
      <c r="G79" s="15">
        <v>0.08342384349746691</v>
      </c>
      <c r="H79" s="11" t="s">
        <v>33</v>
      </c>
      <c r="I79" s="16">
        <v>15.991999999999999</v>
      </c>
      <c r="J79" s="11" t="s">
        <v>235</v>
      </c>
      <c r="K79" s="11" t="s">
        <v>61</v>
      </c>
      <c r="L79" s="11" t="s">
        <v>48</v>
      </c>
      <c r="M79" s="11" t="s">
        <v>28</v>
      </c>
      <c r="N79" s="11" t="s">
        <v>236</v>
      </c>
      <c r="O79" s="11" t="s">
        <v>237</v>
      </c>
      <c r="P79" s="11" t="s">
        <v>38</v>
      </c>
      <c r="Q79" s="20">
        <v>39825.0</v>
      </c>
      <c r="R79" s="17">
        <f t="shared" si="2"/>
        <v>436.2059255</v>
      </c>
      <c r="S79" s="9"/>
      <c r="T79" s="9"/>
      <c r="U79" s="9"/>
      <c r="V79" s="9"/>
      <c r="W79" s="9"/>
      <c r="X79" s="9"/>
      <c r="Y79" s="9"/>
      <c r="Z79" s="9"/>
      <c r="AA79" s="9"/>
      <c r="AB79" s="9" t="str">
        <f>IFERROR(__xludf.DUMMYFUNCTION("""COMPUTED_VALUE"""),"Carlos Soltero")</f>
        <v>Carlos Soltero</v>
      </c>
      <c r="AC79" s="9"/>
      <c r="AD79" s="9"/>
      <c r="AE79" s="9">
        <f t="shared" si="8"/>
        <v>4</v>
      </c>
      <c r="AF79" s="19">
        <f t="shared" si="13"/>
        <v>4</v>
      </c>
      <c r="AG79" s="9"/>
      <c r="AH79" s="9"/>
      <c r="AI79" s="9"/>
    </row>
    <row r="80" ht="15.0" customHeight="1">
      <c r="A80" s="11">
        <v>79.0</v>
      </c>
      <c r="B80" s="12">
        <f t="shared" si="20"/>
        <v>39823</v>
      </c>
      <c r="C80" s="13">
        <v>2009.0</v>
      </c>
      <c r="D80" s="11" t="s">
        <v>102</v>
      </c>
      <c r="E80" s="11">
        <v>30.0</v>
      </c>
      <c r="F80" s="21" t="s">
        <v>238</v>
      </c>
      <c r="G80" s="15">
        <v>0.010199100834938947</v>
      </c>
      <c r="H80" s="11" t="s">
        <v>33</v>
      </c>
      <c r="I80" s="16">
        <v>4.112</v>
      </c>
      <c r="J80" s="11" t="s">
        <v>239</v>
      </c>
      <c r="K80" s="11" t="s">
        <v>61</v>
      </c>
      <c r="L80" s="11" t="s">
        <v>41</v>
      </c>
      <c r="M80" s="11" t="s">
        <v>66</v>
      </c>
      <c r="N80" s="11" t="s">
        <v>67</v>
      </c>
      <c r="O80" s="11" t="s">
        <v>240</v>
      </c>
      <c r="P80" s="11" t="s">
        <v>99</v>
      </c>
      <c r="Q80" s="20">
        <v>39825.0</v>
      </c>
      <c r="R80" s="17">
        <f t="shared" si="2"/>
        <v>1.571803828</v>
      </c>
      <c r="S80" s="9"/>
      <c r="T80" s="9"/>
      <c r="U80" s="9"/>
      <c r="V80" s="9"/>
      <c r="W80" s="9"/>
      <c r="X80" s="9"/>
      <c r="Y80" s="9"/>
      <c r="Z80" s="9"/>
      <c r="AA80" s="9"/>
      <c r="AB80" s="9" t="str">
        <f>IFERROR(__xludf.DUMMYFUNCTION("""COMPUTED_VALUE"""),"John Lee")</f>
        <v>John Lee</v>
      </c>
      <c r="AC80" s="9"/>
      <c r="AD80" s="9"/>
      <c r="AE80" s="9">
        <f t="shared" si="8"/>
        <v>3</v>
      </c>
      <c r="AF80" s="19">
        <f t="shared" si="13"/>
        <v>4</v>
      </c>
      <c r="AG80" s="9"/>
      <c r="AH80" s="9"/>
      <c r="AI80" s="9"/>
    </row>
    <row r="81" ht="15.0" customHeight="1">
      <c r="A81" s="11">
        <v>80.0</v>
      </c>
      <c r="B81" s="12">
        <f t="shared" si="20"/>
        <v>39823</v>
      </c>
      <c r="C81" s="13">
        <v>2009.0</v>
      </c>
      <c r="D81" s="11" t="s">
        <v>23</v>
      </c>
      <c r="E81" s="11">
        <v>16.0</v>
      </c>
      <c r="F81" s="21" t="s">
        <v>158</v>
      </c>
      <c r="G81" s="15">
        <v>0.04660295395308419</v>
      </c>
      <c r="H81" s="11" t="s">
        <v>33</v>
      </c>
      <c r="I81" s="16">
        <v>7.336</v>
      </c>
      <c r="J81" s="11" t="s">
        <v>76</v>
      </c>
      <c r="K81" s="11" t="s">
        <v>61</v>
      </c>
      <c r="L81" s="11" t="s">
        <v>48</v>
      </c>
      <c r="M81" s="11" t="s">
        <v>28</v>
      </c>
      <c r="N81" s="11" t="s">
        <v>56</v>
      </c>
      <c r="O81" s="11" t="s">
        <v>241</v>
      </c>
      <c r="P81" s="11" t="s">
        <v>38</v>
      </c>
      <c r="Q81" s="20">
        <v>39825.0</v>
      </c>
      <c r="R81" s="17">
        <f t="shared" si="2"/>
        <v>5.114021755</v>
      </c>
      <c r="S81" s="9"/>
      <c r="T81" s="9"/>
      <c r="U81" s="9"/>
      <c r="V81" s="9"/>
      <c r="W81" s="9"/>
      <c r="X81" s="9"/>
      <c r="Y81" s="9"/>
      <c r="Z81" s="9"/>
      <c r="AA81" s="9"/>
      <c r="AB81" s="9" t="str">
        <f>IFERROR(__xludf.DUMMYFUNCTION("""COMPUTED_VALUE"""),"Randy Ferguson")</f>
        <v>Randy Ferguson</v>
      </c>
      <c r="AC81" s="9"/>
      <c r="AD81" s="9"/>
      <c r="AE81" s="9">
        <f t="shared" si="8"/>
        <v>4</v>
      </c>
      <c r="AF81" s="19">
        <f t="shared" si="13"/>
        <v>4</v>
      </c>
      <c r="AG81" s="9"/>
      <c r="AH81" s="9"/>
      <c r="AI81" s="9"/>
    </row>
    <row r="82" ht="15.0" customHeight="1">
      <c r="A82" s="11">
        <v>81.0</v>
      </c>
      <c r="B82" s="12">
        <f t="shared" si="20"/>
        <v>39823</v>
      </c>
      <c r="C82" s="13">
        <v>2009.0</v>
      </c>
      <c r="D82" s="11" t="s">
        <v>39</v>
      </c>
      <c r="E82" s="11">
        <v>31.0</v>
      </c>
      <c r="F82" s="21" t="s">
        <v>242</v>
      </c>
      <c r="G82" s="15">
        <v>0.052601508858184355</v>
      </c>
      <c r="H82" s="11" t="s">
        <v>45</v>
      </c>
      <c r="I82" s="16">
        <v>37.392</v>
      </c>
      <c r="J82" s="11" t="s">
        <v>243</v>
      </c>
      <c r="K82" s="11" t="s">
        <v>61</v>
      </c>
      <c r="L82" s="11" t="s">
        <v>41</v>
      </c>
      <c r="M82" s="11" t="s">
        <v>49</v>
      </c>
      <c r="N82" s="11" t="s">
        <v>156</v>
      </c>
      <c r="O82" s="11" t="s">
        <v>244</v>
      </c>
      <c r="P82" s="11" t="s">
        <v>87</v>
      </c>
      <c r="Q82" s="20">
        <v>39825.0</v>
      </c>
      <c r="R82" s="17">
        <f t="shared" si="2"/>
        <v>117.5797319</v>
      </c>
      <c r="S82" s="9"/>
      <c r="T82" s="9"/>
      <c r="U82" s="9"/>
      <c r="V82" s="9"/>
      <c r="W82" s="9"/>
      <c r="X82" s="9"/>
      <c r="Y82" s="9"/>
      <c r="Z82" s="9"/>
      <c r="AA82" s="9"/>
      <c r="AB82" s="9" t="str">
        <f>IFERROR(__xludf.DUMMYFUNCTION("""COMPUTED_VALUE"""),"Joel Eaton")</f>
        <v>Joel Eaton</v>
      </c>
      <c r="AC82" s="9"/>
      <c r="AD82" s="9"/>
      <c r="AE82" s="9">
        <f t="shared" si="8"/>
        <v>3</v>
      </c>
      <c r="AF82" s="19">
        <f t="shared" si="13"/>
        <v>4</v>
      </c>
      <c r="AG82" s="9"/>
      <c r="AH82" s="9"/>
      <c r="AI82" s="9"/>
    </row>
    <row r="83" ht="15.0" customHeight="1">
      <c r="A83" s="11">
        <v>82.0</v>
      </c>
      <c r="B83" s="12">
        <f t="shared" si="20"/>
        <v>39823</v>
      </c>
      <c r="C83" s="13">
        <v>2009.0</v>
      </c>
      <c r="D83" s="11" t="s">
        <v>39</v>
      </c>
      <c r="E83" s="11">
        <v>48.0</v>
      </c>
      <c r="F83" s="21" t="s">
        <v>245</v>
      </c>
      <c r="G83" s="15">
        <v>0.0523729683490162</v>
      </c>
      <c r="H83" s="11" t="s">
        <v>33</v>
      </c>
      <c r="I83" s="16">
        <v>1.888</v>
      </c>
      <c r="J83" s="11" t="s">
        <v>243</v>
      </c>
      <c r="K83" s="11" t="s">
        <v>61</v>
      </c>
      <c r="L83" s="11" t="s">
        <v>41</v>
      </c>
      <c r="M83" s="11" t="s">
        <v>28</v>
      </c>
      <c r="N83" s="11" t="s">
        <v>62</v>
      </c>
      <c r="O83" s="11" t="s">
        <v>246</v>
      </c>
      <c r="P83" s="11" t="s">
        <v>58</v>
      </c>
      <c r="Q83" s="20">
        <v>39825.0</v>
      </c>
      <c r="R83" s="17">
        <f t="shared" si="2"/>
        <v>29.00875869</v>
      </c>
      <c r="S83" s="9"/>
      <c r="T83" s="9"/>
      <c r="U83" s="9"/>
      <c r="V83" s="9"/>
      <c r="W83" s="9"/>
      <c r="X83" s="9"/>
      <c r="Y83" s="9"/>
      <c r="Z83" s="9"/>
      <c r="AA83" s="9"/>
      <c r="AB83" s="9" t="str">
        <f>IFERROR(__xludf.DUMMYFUNCTION("""COMPUTED_VALUE"""),"Paul Prost")</f>
        <v>Paul Prost</v>
      </c>
      <c r="AC83" s="9"/>
      <c r="AD83" s="9"/>
      <c r="AE83" s="9">
        <f t="shared" si="8"/>
        <v>3</v>
      </c>
      <c r="AF83" s="19">
        <f t="shared" si="13"/>
        <v>4</v>
      </c>
      <c r="AG83" s="9"/>
      <c r="AH83" s="9"/>
      <c r="AI83" s="9"/>
    </row>
    <row r="84" ht="15.0" customHeight="1">
      <c r="A84" s="11">
        <v>83.0</v>
      </c>
      <c r="B84" s="12">
        <f t="shared" ref="B84:B90" si="21">DATE(2012,12,31)-1450</f>
        <v>39824</v>
      </c>
      <c r="C84" s="13">
        <v>2009.0</v>
      </c>
      <c r="D84" s="11" t="s">
        <v>32</v>
      </c>
      <c r="E84" s="11">
        <v>31.0</v>
      </c>
      <c r="F84" s="21" t="s">
        <v>247</v>
      </c>
      <c r="G84" s="15">
        <v>0.05784591560201305</v>
      </c>
      <c r="H84" s="11" t="s">
        <v>33</v>
      </c>
      <c r="I84" s="16">
        <v>1.592</v>
      </c>
      <c r="J84" s="11" t="s">
        <v>248</v>
      </c>
      <c r="K84" s="11" t="s">
        <v>117</v>
      </c>
      <c r="L84" s="11" t="s">
        <v>48</v>
      </c>
      <c r="M84" s="11" t="s">
        <v>66</v>
      </c>
      <c r="N84" s="11" t="s">
        <v>67</v>
      </c>
      <c r="O84" s="11" t="s">
        <v>249</v>
      </c>
      <c r="P84" s="11" t="s">
        <v>99</v>
      </c>
      <c r="Q84" s="20">
        <v>39826.0</v>
      </c>
      <c r="R84" s="17">
        <f t="shared" si="2"/>
        <v>70.38644734</v>
      </c>
      <c r="S84" s="9"/>
      <c r="T84" s="9"/>
      <c r="U84" s="9"/>
      <c r="V84" s="9"/>
      <c r="W84" s="9"/>
      <c r="X84" s="9"/>
      <c r="Y84" s="9"/>
      <c r="Z84" s="9"/>
      <c r="AA84" s="9"/>
      <c r="AB84" s="9" t="str">
        <f>IFERROR(__xludf.DUMMYFUNCTION("""COMPUTED_VALUE"""),"Natalie Webber")</f>
        <v>Natalie Webber</v>
      </c>
      <c r="AC84" s="9"/>
      <c r="AD84" s="9"/>
      <c r="AE84" s="9">
        <f t="shared" si="8"/>
        <v>4</v>
      </c>
      <c r="AF84" s="19" t="b">
        <f t="shared" si="13"/>
        <v>0</v>
      </c>
      <c r="AG84" s="9"/>
      <c r="AH84" s="9"/>
      <c r="AI84" s="9"/>
    </row>
    <row r="85" ht="15.0" customHeight="1">
      <c r="A85" s="11">
        <v>84.0</v>
      </c>
      <c r="B85" s="12">
        <f t="shared" si="21"/>
        <v>39824</v>
      </c>
      <c r="C85" s="13">
        <v>2009.0</v>
      </c>
      <c r="D85" s="11" t="s">
        <v>44</v>
      </c>
      <c r="E85" s="11">
        <v>19.0</v>
      </c>
      <c r="F85" s="21" t="s">
        <v>250</v>
      </c>
      <c r="G85" s="15">
        <v>0.07455076271804986</v>
      </c>
      <c r="H85" s="11" t="s">
        <v>45</v>
      </c>
      <c r="I85" s="16">
        <v>9.648000000000001</v>
      </c>
      <c r="J85" s="11" t="s">
        <v>251</v>
      </c>
      <c r="K85" s="11" t="s">
        <v>65</v>
      </c>
      <c r="L85" s="11" t="s">
        <v>41</v>
      </c>
      <c r="M85" s="11" t="s">
        <v>66</v>
      </c>
      <c r="N85" s="11" t="s">
        <v>69</v>
      </c>
      <c r="O85" s="11" t="s">
        <v>252</v>
      </c>
      <c r="P85" s="11" t="s">
        <v>87</v>
      </c>
      <c r="Q85" s="20">
        <v>39826.0</v>
      </c>
      <c r="R85" s="17">
        <f t="shared" si="2"/>
        <v>567.163416</v>
      </c>
      <c r="S85" s="9"/>
      <c r="T85" s="9"/>
      <c r="U85" s="9"/>
      <c r="V85" s="9"/>
      <c r="W85" s="9"/>
      <c r="X85" s="9"/>
      <c r="Y85" s="9"/>
      <c r="Z85" s="9"/>
      <c r="AA85" s="9"/>
      <c r="AB85" s="9" t="str">
        <f>IFERROR(__xludf.DUMMYFUNCTION("""COMPUTED_VALUE"""),"Erica Bern")</f>
        <v>Erica Bern</v>
      </c>
      <c r="AC85" s="9"/>
      <c r="AD85" s="9"/>
      <c r="AE85" s="9">
        <f t="shared" si="8"/>
        <v>3</v>
      </c>
      <c r="AF85" s="19">
        <f t="shared" si="13"/>
        <v>5</v>
      </c>
      <c r="AG85" s="9"/>
      <c r="AH85" s="9"/>
      <c r="AI85" s="9"/>
    </row>
    <row r="86" ht="15.0" customHeight="1">
      <c r="A86" s="11">
        <v>85.0</v>
      </c>
      <c r="B86" s="12">
        <f t="shared" si="21"/>
        <v>39824</v>
      </c>
      <c r="C86" s="13">
        <v>2009.0</v>
      </c>
      <c r="D86" s="11" t="s">
        <v>23</v>
      </c>
      <c r="E86" s="11">
        <v>20.0</v>
      </c>
      <c r="F86" s="21" t="s">
        <v>224</v>
      </c>
      <c r="G86" s="15">
        <v>0.07465437788018424</v>
      </c>
      <c r="H86" s="11" t="s">
        <v>45</v>
      </c>
      <c r="I86" s="16">
        <v>11.76</v>
      </c>
      <c r="J86" s="11" t="s">
        <v>253</v>
      </c>
      <c r="K86" s="11" t="s">
        <v>61</v>
      </c>
      <c r="L86" s="11" t="s">
        <v>36</v>
      </c>
      <c r="M86" s="11" t="s">
        <v>66</v>
      </c>
      <c r="N86" s="11" t="s">
        <v>69</v>
      </c>
      <c r="O86" s="11" t="s">
        <v>225</v>
      </c>
      <c r="P86" s="11" t="s">
        <v>52</v>
      </c>
      <c r="Q86" s="20">
        <v>39826.0</v>
      </c>
      <c r="R86" s="17">
        <f t="shared" si="2"/>
        <v>445.2207926</v>
      </c>
      <c r="S86" s="9"/>
      <c r="T86" s="9"/>
      <c r="U86" s="9"/>
      <c r="V86" s="9"/>
      <c r="W86" s="9"/>
      <c r="X86" s="9"/>
      <c r="Y86" s="9"/>
      <c r="Z86" s="9"/>
      <c r="AA86" s="9"/>
      <c r="AB86" s="9" t="str">
        <f>IFERROR(__xludf.DUMMYFUNCTION("""COMPUTED_VALUE"""),"Kristen Hastings")</f>
        <v>Kristen Hastings</v>
      </c>
      <c r="AC86" s="9"/>
      <c r="AD86" s="9"/>
      <c r="AE86" s="9">
        <f t="shared" si="8"/>
        <v>2</v>
      </c>
      <c r="AF86" s="19">
        <f t="shared" si="13"/>
        <v>4</v>
      </c>
      <c r="AG86" s="9"/>
      <c r="AH86" s="9"/>
      <c r="AI86" s="9"/>
    </row>
    <row r="87" ht="15.0" customHeight="1">
      <c r="A87" s="11">
        <v>86.0</v>
      </c>
      <c r="B87" s="12">
        <f t="shared" si="21"/>
        <v>39824</v>
      </c>
      <c r="C87" s="13">
        <v>2009.0</v>
      </c>
      <c r="D87" s="11" t="s">
        <v>23</v>
      </c>
      <c r="E87" s="11">
        <v>44.0</v>
      </c>
      <c r="F87" s="21" t="s">
        <v>254</v>
      </c>
      <c r="G87" s="15">
        <v>0.030963855421686778</v>
      </c>
      <c r="H87" s="11" t="s">
        <v>33</v>
      </c>
      <c r="I87" s="16">
        <v>11.496</v>
      </c>
      <c r="J87" s="11" t="s">
        <v>253</v>
      </c>
      <c r="K87" s="11" t="s">
        <v>61</v>
      </c>
      <c r="L87" s="11" t="s">
        <v>36</v>
      </c>
      <c r="M87" s="11" t="s">
        <v>49</v>
      </c>
      <c r="N87" s="11" t="s">
        <v>73</v>
      </c>
      <c r="O87" s="11" t="s">
        <v>255</v>
      </c>
      <c r="P87" s="11" t="s">
        <v>31</v>
      </c>
      <c r="Q87" s="20">
        <v>39826.0</v>
      </c>
      <c r="R87" s="17">
        <f t="shared" si="2"/>
        <v>17.93104482</v>
      </c>
      <c r="S87" s="9"/>
      <c r="T87" s="9"/>
      <c r="U87" s="9"/>
      <c r="V87" s="9"/>
      <c r="W87" s="9"/>
      <c r="X87" s="9"/>
      <c r="Y87" s="9"/>
      <c r="Z87" s="9"/>
      <c r="AA87" s="9"/>
      <c r="AB87" s="9" t="str">
        <f>IFERROR(__xludf.DUMMYFUNCTION("""COMPUTED_VALUE"""),"Arthur Gainer")</f>
        <v>Arthur Gainer</v>
      </c>
      <c r="AC87" s="9"/>
      <c r="AD87" s="9"/>
      <c r="AE87" s="9">
        <f t="shared" si="8"/>
        <v>2</v>
      </c>
      <c r="AF87" s="19">
        <f t="shared" si="13"/>
        <v>4</v>
      </c>
      <c r="AG87" s="9"/>
      <c r="AH87" s="9"/>
      <c r="AI87" s="9"/>
    </row>
    <row r="88" ht="15.0" customHeight="1">
      <c r="A88" s="11">
        <v>87.0</v>
      </c>
      <c r="B88" s="12">
        <f t="shared" si="21"/>
        <v>39824</v>
      </c>
      <c r="C88" s="13">
        <v>2009.0</v>
      </c>
      <c r="D88" s="11" t="s">
        <v>23</v>
      </c>
      <c r="E88" s="11">
        <v>18.0</v>
      </c>
      <c r="F88" s="21" t="s">
        <v>256</v>
      </c>
      <c r="G88" s="15">
        <v>0.06236711552090724</v>
      </c>
      <c r="H88" s="11" t="s">
        <v>33</v>
      </c>
      <c r="I88" s="16">
        <v>5.4</v>
      </c>
      <c r="J88" s="11" t="s">
        <v>253</v>
      </c>
      <c r="K88" s="11" t="s">
        <v>61</v>
      </c>
      <c r="L88" s="11" t="s">
        <v>36</v>
      </c>
      <c r="M88" s="11" t="s">
        <v>28</v>
      </c>
      <c r="N88" s="11" t="s">
        <v>197</v>
      </c>
      <c r="O88" s="11" t="s">
        <v>257</v>
      </c>
      <c r="P88" s="11" t="s">
        <v>75</v>
      </c>
      <c r="Q88" s="20">
        <v>39827.0</v>
      </c>
      <c r="R88" s="17">
        <f t="shared" si="2"/>
        <v>16.50233877</v>
      </c>
      <c r="S88" s="9"/>
      <c r="T88" s="9"/>
      <c r="U88" s="9"/>
      <c r="V88" s="9"/>
      <c r="W88" s="9"/>
      <c r="X88" s="9"/>
      <c r="Y88" s="9"/>
      <c r="Z88" s="9"/>
      <c r="AA88" s="9"/>
      <c r="AB88" s="9" t="str">
        <f>IFERROR(__xludf.DUMMYFUNCTION("""COMPUTED_VALUE"""),"Stuart Calhoun")</f>
        <v>Stuart Calhoun</v>
      </c>
      <c r="AC88" s="9"/>
      <c r="AD88" s="9"/>
      <c r="AE88" s="9">
        <f t="shared" si="8"/>
        <v>2</v>
      </c>
      <c r="AF88" s="19">
        <f t="shared" si="13"/>
        <v>4</v>
      </c>
      <c r="AG88" s="9"/>
      <c r="AH88" s="9"/>
      <c r="AI88" s="9"/>
    </row>
    <row r="89" ht="15.0" customHeight="1">
      <c r="A89" s="11">
        <v>88.0</v>
      </c>
      <c r="B89" s="12">
        <f t="shared" si="21"/>
        <v>39824</v>
      </c>
      <c r="C89" s="13">
        <v>2009.0</v>
      </c>
      <c r="D89" s="11" t="s">
        <v>23</v>
      </c>
      <c r="E89" s="11">
        <v>29.0</v>
      </c>
      <c r="F89" s="21" t="s">
        <v>186</v>
      </c>
      <c r="G89" s="15">
        <v>0.0656132430398797</v>
      </c>
      <c r="H89" s="11" t="s">
        <v>24</v>
      </c>
      <c r="I89" s="16">
        <v>5.28</v>
      </c>
      <c r="J89" s="11" t="s">
        <v>253</v>
      </c>
      <c r="K89" s="11" t="s">
        <v>61</v>
      </c>
      <c r="L89" s="11" t="s">
        <v>36</v>
      </c>
      <c r="M89" s="11" t="s">
        <v>49</v>
      </c>
      <c r="N89" s="11" t="s">
        <v>73</v>
      </c>
      <c r="O89" s="11" t="s">
        <v>258</v>
      </c>
      <c r="P89" s="11" t="s">
        <v>38</v>
      </c>
      <c r="Q89" s="20">
        <v>39827.0</v>
      </c>
      <c r="R89" s="17">
        <f t="shared" si="2"/>
        <v>8.147852521</v>
      </c>
      <c r="S89" s="9"/>
      <c r="T89" s="9"/>
      <c r="U89" s="9"/>
      <c r="V89" s="9"/>
      <c r="W89" s="9"/>
      <c r="X89" s="9"/>
      <c r="Y89" s="9"/>
      <c r="Z89" s="9"/>
      <c r="AA89" s="9"/>
      <c r="AB89" s="9" t="str">
        <f>IFERROR(__xludf.DUMMYFUNCTION("""COMPUTED_VALUE"""),"Chris Cortes")</f>
        <v>Chris Cortes</v>
      </c>
      <c r="AC89" s="9"/>
      <c r="AD89" s="9"/>
      <c r="AE89" s="9">
        <f t="shared" si="8"/>
        <v>2</v>
      </c>
      <c r="AF89" s="19">
        <f t="shared" si="13"/>
        <v>4</v>
      </c>
      <c r="AG89" s="9"/>
      <c r="AH89" s="9"/>
      <c r="AI89" s="9"/>
    </row>
    <row r="90" ht="15.0" customHeight="1">
      <c r="A90" s="11">
        <v>89.0</v>
      </c>
      <c r="B90" s="12">
        <f t="shared" si="21"/>
        <v>39824</v>
      </c>
      <c r="C90" s="13">
        <v>2009.0</v>
      </c>
      <c r="D90" s="11" t="s">
        <v>23</v>
      </c>
      <c r="E90" s="11">
        <v>18.0</v>
      </c>
      <c r="F90" s="21" t="s">
        <v>259</v>
      </c>
      <c r="G90" s="15">
        <v>0.03710306406685232</v>
      </c>
      <c r="H90" s="11" t="s">
        <v>33</v>
      </c>
      <c r="I90" s="16">
        <v>4.008</v>
      </c>
      <c r="J90" s="11" t="s">
        <v>253</v>
      </c>
      <c r="K90" s="11" t="s">
        <v>61</v>
      </c>
      <c r="L90" s="11" t="s">
        <v>36</v>
      </c>
      <c r="M90" s="11" t="s">
        <v>28</v>
      </c>
      <c r="N90" s="11" t="s">
        <v>56</v>
      </c>
      <c r="O90" s="11" t="s">
        <v>260</v>
      </c>
      <c r="P90" s="11" t="s">
        <v>38</v>
      </c>
      <c r="Q90" s="20">
        <v>39827.0</v>
      </c>
      <c r="R90" s="17">
        <f t="shared" si="2"/>
        <v>7.695472312</v>
      </c>
      <c r="S90" s="9"/>
      <c r="T90" s="9"/>
      <c r="U90" s="9"/>
      <c r="V90" s="9"/>
      <c r="W90" s="9"/>
      <c r="X90" s="9"/>
      <c r="Y90" s="9"/>
      <c r="Z90" s="9"/>
      <c r="AA90" s="9"/>
      <c r="AB90" s="9" t="str">
        <f>IFERROR(__xludf.DUMMYFUNCTION("""COMPUTED_VALUE"""),"Tanja Norvell")</f>
        <v>Tanja Norvell</v>
      </c>
      <c r="AC90" s="9"/>
      <c r="AD90" s="9"/>
      <c r="AE90" s="9">
        <f t="shared" si="8"/>
        <v>2</v>
      </c>
      <c r="AF90" s="19">
        <f t="shared" si="13"/>
        <v>4</v>
      </c>
      <c r="AG90" s="9"/>
      <c r="AH90" s="9"/>
      <c r="AI90" s="9"/>
    </row>
    <row r="91" ht="15.0" customHeight="1">
      <c r="A91" s="11">
        <v>90.0</v>
      </c>
      <c r="B91" s="12">
        <f t="shared" ref="B91:B98" si="22">DATE(2012,12,31)-1449</f>
        <v>39825</v>
      </c>
      <c r="C91" s="13">
        <v>2009.0</v>
      </c>
      <c r="D91" s="11" t="s">
        <v>44</v>
      </c>
      <c r="E91" s="11">
        <v>12.0</v>
      </c>
      <c r="F91" s="21" t="s">
        <v>261</v>
      </c>
      <c r="G91" s="15">
        <v>0.04960344132275856</v>
      </c>
      <c r="H91" s="11" t="s">
        <v>45</v>
      </c>
      <c r="I91" s="16">
        <v>31.200000000000003</v>
      </c>
      <c r="J91" s="11" t="s">
        <v>262</v>
      </c>
      <c r="K91" s="11" t="s">
        <v>61</v>
      </c>
      <c r="L91" s="11" t="s">
        <v>27</v>
      </c>
      <c r="M91" s="11" t="s">
        <v>49</v>
      </c>
      <c r="N91" s="11" t="s">
        <v>50</v>
      </c>
      <c r="O91" s="11" t="s">
        <v>263</v>
      </c>
      <c r="P91" s="11" t="s">
        <v>52</v>
      </c>
      <c r="Q91" s="20">
        <v>39827.0</v>
      </c>
      <c r="R91" s="17">
        <f t="shared" si="2"/>
        <v>210.4177981</v>
      </c>
      <c r="S91" s="9"/>
      <c r="T91" s="9"/>
      <c r="U91" s="9"/>
      <c r="V91" s="9"/>
      <c r="W91" s="9"/>
      <c r="X91" s="9"/>
      <c r="Y91" s="9"/>
      <c r="Z91" s="9"/>
      <c r="AA91" s="9"/>
      <c r="AB91" s="9" t="str">
        <f>IFERROR(__xludf.DUMMYFUNCTION("""COMPUTED_VALUE"""),"Cynthia Arntzen")</f>
        <v>Cynthia Arntzen</v>
      </c>
      <c r="AC91" s="9"/>
      <c r="AD91" s="9"/>
      <c r="AE91" s="9">
        <f t="shared" si="8"/>
        <v>1</v>
      </c>
      <c r="AF91" s="19">
        <f t="shared" si="13"/>
        <v>4</v>
      </c>
      <c r="AG91" s="9"/>
      <c r="AH91" s="9"/>
      <c r="AI91" s="9"/>
    </row>
    <row r="92" ht="15.0" customHeight="1">
      <c r="A92" s="11">
        <v>91.0</v>
      </c>
      <c r="B92" s="12">
        <f t="shared" si="22"/>
        <v>39825</v>
      </c>
      <c r="C92" s="13">
        <v>2009.0</v>
      </c>
      <c r="D92" s="11" t="s">
        <v>44</v>
      </c>
      <c r="E92" s="11">
        <v>28.0</v>
      </c>
      <c r="F92" s="21" t="s">
        <v>264</v>
      </c>
      <c r="G92" s="15">
        <v>0.005639983746444672</v>
      </c>
      <c r="H92" s="11" t="s">
        <v>33</v>
      </c>
      <c r="I92" s="16">
        <v>1.1119999999999999</v>
      </c>
      <c r="J92" s="11" t="s">
        <v>262</v>
      </c>
      <c r="K92" s="11" t="s">
        <v>61</v>
      </c>
      <c r="L92" s="11" t="s">
        <v>27</v>
      </c>
      <c r="M92" s="11" t="s">
        <v>28</v>
      </c>
      <c r="N92" s="11" t="s">
        <v>236</v>
      </c>
      <c r="O92" s="11" t="s">
        <v>265</v>
      </c>
      <c r="P92" s="11" t="s">
        <v>38</v>
      </c>
      <c r="Q92" s="20">
        <v>39827.0</v>
      </c>
      <c r="R92" s="17">
        <f t="shared" si="2"/>
        <v>1.380171703</v>
      </c>
      <c r="S92" s="9"/>
      <c r="T92" s="9"/>
      <c r="U92" s="9"/>
      <c r="V92" s="9"/>
      <c r="W92" s="9"/>
      <c r="X92" s="9"/>
      <c r="Y92" s="9"/>
      <c r="Z92" s="9"/>
      <c r="AA92" s="9"/>
      <c r="AB92" s="9" t="str">
        <f>IFERROR(__xludf.DUMMYFUNCTION("""COMPUTED_VALUE"""),"Arthur Prichep")</f>
        <v>Arthur Prichep</v>
      </c>
      <c r="AC92" s="9"/>
      <c r="AD92" s="9"/>
      <c r="AE92" s="9">
        <f t="shared" si="8"/>
        <v>1</v>
      </c>
      <c r="AF92" s="19">
        <f t="shared" si="13"/>
        <v>4</v>
      </c>
      <c r="AG92" s="9"/>
      <c r="AH92" s="9"/>
      <c r="AI92" s="9"/>
    </row>
    <row r="93" ht="15.0" customHeight="1">
      <c r="A93" s="11">
        <v>92.0</v>
      </c>
      <c r="B93" s="12">
        <f t="shared" si="22"/>
        <v>39825</v>
      </c>
      <c r="C93" s="13">
        <v>2009.0</v>
      </c>
      <c r="D93" s="11" t="s">
        <v>44</v>
      </c>
      <c r="E93" s="11">
        <v>44.0</v>
      </c>
      <c r="F93" s="21" t="s">
        <v>166</v>
      </c>
      <c r="G93" s="15">
        <v>0.05966480446927378</v>
      </c>
      <c r="H93" s="11" t="s">
        <v>33</v>
      </c>
      <c r="I93" s="16">
        <v>0.5599999999999999</v>
      </c>
      <c r="J93" s="11" t="s">
        <v>262</v>
      </c>
      <c r="K93" s="11" t="s">
        <v>61</v>
      </c>
      <c r="L93" s="11" t="s">
        <v>27</v>
      </c>
      <c r="M93" s="11" t="s">
        <v>28</v>
      </c>
      <c r="N93" s="11" t="s">
        <v>216</v>
      </c>
      <c r="O93" s="11" t="s">
        <v>266</v>
      </c>
      <c r="P93" s="11" t="s">
        <v>58</v>
      </c>
      <c r="Q93" s="20">
        <v>39827.0</v>
      </c>
      <c r="R93" s="17">
        <f t="shared" si="2"/>
        <v>5.021389944</v>
      </c>
      <c r="S93" s="9"/>
      <c r="T93" s="9"/>
      <c r="U93" s="9"/>
      <c r="V93" s="9"/>
      <c r="W93" s="9"/>
      <c r="X93" s="9"/>
      <c r="Y93" s="9"/>
      <c r="Z93" s="9"/>
      <c r="AA93" s="9"/>
      <c r="AB93" s="9" t="str">
        <f>IFERROR(__xludf.DUMMYFUNCTION("""COMPUTED_VALUE"""),"Roy Phan")</f>
        <v>Roy Phan</v>
      </c>
      <c r="AC93" s="9"/>
      <c r="AD93" s="9"/>
      <c r="AE93" s="9">
        <f t="shared" si="8"/>
        <v>1</v>
      </c>
      <c r="AF93" s="19">
        <f t="shared" si="13"/>
        <v>4</v>
      </c>
      <c r="AG93" s="9"/>
      <c r="AH93" s="9"/>
      <c r="AI93" s="9"/>
    </row>
    <row r="94" ht="15.0" customHeight="1">
      <c r="A94" s="11">
        <v>93.0</v>
      </c>
      <c r="B94" s="12">
        <f t="shared" si="22"/>
        <v>39825</v>
      </c>
      <c r="C94" s="13">
        <v>2009.0</v>
      </c>
      <c r="D94" s="11" t="s">
        <v>23</v>
      </c>
      <c r="E94" s="11">
        <v>40.0</v>
      </c>
      <c r="F94" s="21" t="s">
        <v>267</v>
      </c>
      <c r="G94" s="15">
        <v>0.087372523546606</v>
      </c>
      <c r="H94" s="11" t="s">
        <v>33</v>
      </c>
      <c r="I94" s="16">
        <v>15.991999999999999</v>
      </c>
      <c r="J94" s="11" t="s">
        <v>268</v>
      </c>
      <c r="K94" s="11" t="s">
        <v>65</v>
      </c>
      <c r="L94" s="11" t="s">
        <v>48</v>
      </c>
      <c r="M94" s="11" t="s">
        <v>28</v>
      </c>
      <c r="N94" s="11" t="s">
        <v>29</v>
      </c>
      <c r="O94" s="11" t="s">
        <v>269</v>
      </c>
      <c r="P94" s="11" t="s">
        <v>38</v>
      </c>
      <c r="Q94" s="20">
        <v>39827.0</v>
      </c>
      <c r="R94" s="17">
        <f t="shared" si="2"/>
        <v>98.20601749</v>
      </c>
      <c r="S94" s="9"/>
      <c r="T94" s="9"/>
      <c r="U94" s="9"/>
      <c r="V94" s="9"/>
      <c r="W94" s="9"/>
      <c r="X94" s="9"/>
      <c r="Y94" s="9"/>
      <c r="Z94" s="9"/>
      <c r="AA94" s="9"/>
      <c r="AB94" s="9" t="str">
        <f>IFERROR(__xludf.DUMMYFUNCTION("""COMPUTED_VALUE"""),"Aaron Smayling")</f>
        <v>Aaron Smayling</v>
      </c>
      <c r="AC94" s="9"/>
      <c r="AD94" s="9"/>
      <c r="AE94" s="9">
        <f t="shared" si="8"/>
        <v>4</v>
      </c>
      <c r="AF94" s="19">
        <f t="shared" si="13"/>
        <v>5</v>
      </c>
      <c r="AG94" s="9"/>
      <c r="AH94" s="9"/>
      <c r="AI94" s="9"/>
    </row>
    <row r="95" ht="15.0" customHeight="1">
      <c r="A95" s="11">
        <v>94.0</v>
      </c>
      <c r="B95" s="12">
        <f t="shared" si="22"/>
        <v>39825</v>
      </c>
      <c r="C95" s="13">
        <v>2009.0</v>
      </c>
      <c r="D95" s="11" t="s">
        <v>102</v>
      </c>
      <c r="E95" s="11">
        <v>10.0</v>
      </c>
      <c r="F95" s="21" t="s">
        <v>270</v>
      </c>
      <c r="G95" s="15">
        <v>0.09543568464730288</v>
      </c>
      <c r="H95" s="11" t="s">
        <v>33</v>
      </c>
      <c r="I95" s="16">
        <v>5.2</v>
      </c>
      <c r="J95" s="11" t="s">
        <v>271</v>
      </c>
      <c r="K95" s="11" t="s">
        <v>61</v>
      </c>
      <c r="L95" s="11" t="s">
        <v>41</v>
      </c>
      <c r="M95" s="11" t="s">
        <v>66</v>
      </c>
      <c r="N95" s="11" t="s">
        <v>67</v>
      </c>
      <c r="O95" s="11" t="s">
        <v>272</v>
      </c>
      <c r="P95" s="11" t="s">
        <v>38</v>
      </c>
      <c r="Q95" s="20">
        <v>39827.0</v>
      </c>
      <c r="R95" s="17">
        <f t="shared" si="2"/>
        <v>39.52946058</v>
      </c>
      <c r="S95" s="9"/>
      <c r="T95" s="9"/>
      <c r="U95" s="9"/>
      <c r="V95" s="9"/>
      <c r="W95" s="9"/>
      <c r="X95" s="9"/>
      <c r="Y95" s="9"/>
      <c r="Z95" s="9"/>
      <c r="AA95" s="9"/>
      <c r="AB95" s="9" t="str">
        <f>IFERROR(__xludf.DUMMYFUNCTION("""COMPUTED_VALUE"""),"Harold Ryan")</f>
        <v>Harold Ryan</v>
      </c>
      <c r="AC95" s="9"/>
      <c r="AD95" s="9"/>
      <c r="AE95" s="9">
        <f t="shared" si="8"/>
        <v>3</v>
      </c>
      <c r="AF95" s="19">
        <f t="shared" si="13"/>
        <v>4</v>
      </c>
      <c r="AG95" s="9"/>
      <c r="AH95" s="9"/>
      <c r="AI95" s="9"/>
    </row>
    <row r="96" ht="15.0" customHeight="1">
      <c r="A96" s="11">
        <v>95.0</v>
      </c>
      <c r="B96" s="12">
        <f t="shared" si="22"/>
        <v>39825</v>
      </c>
      <c r="C96" s="13">
        <v>2009.0</v>
      </c>
      <c r="D96" s="11" t="s">
        <v>23</v>
      </c>
      <c r="E96" s="11">
        <v>27.0</v>
      </c>
      <c r="F96" s="21" t="s">
        <v>273</v>
      </c>
      <c r="G96" s="15">
        <v>0.01165406196633322</v>
      </c>
      <c r="H96" s="11" t="s">
        <v>33</v>
      </c>
      <c r="I96" s="16">
        <v>3.192</v>
      </c>
      <c r="J96" s="11" t="s">
        <v>274</v>
      </c>
      <c r="K96" s="11" t="s">
        <v>35</v>
      </c>
      <c r="L96" s="11" t="s">
        <v>48</v>
      </c>
      <c r="M96" s="11" t="s">
        <v>28</v>
      </c>
      <c r="N96" s="11" t="s">
        <v>197</v>
      </c>
      <c r="O96" s="11" t="s">
        <v>275</v>
      </c>
      <c r="P96" s="11" t="s">
        <v>38</v>
      </c>
      <c r="Q96" s="20">
        <v>39828.0</v>
      </c>
      <c r="R96" s="17">
        <f t="shared" si="2"/>
        <v>18.88531418</v>
      </c>
      <c r="S96" s="9"/>
      <c r="T96" s="9"/>
      <c r="U96" s="9"/>
      <c r="V96" s="9"/>
      <c r="W96" s="9"/>
      <c r="X96" s="9"/>
      <c r="Y96" s="9"/>
      <c r="Z96" s="9"/>
      <c r="AA96" s="9"/>
      <c r="AB96" s="9" t="str">
        <f>IFERROR(__xludf.DUMMYFUNCTION("""COMPUTED_VALUE"""),"Thea Hudgings")</f>
        <v>Thea Hudgings</v>
      </c>
      <c r="AC96" s="9"/>
      <c r="AD96" s="9"/>
      <c r="AE96" s="9">
        <f t="shared" si="8"/>
        <v>4</v>
      </c>
      <c r="AF96" s="19">
        <f t="shared" si="13"/>
        <v>2</v>
      </c>
      <c r="AG96" s="9"/>
      <c r="AH96" s="9"/>
      <c r="AI96" s="9"/>
    </row>
    <row r="97" ht="15.0" customHeight="1">
      <c r="A97" s="11">
        <v>96.0</v>
      </c>
      <c r="B97" s="12">
        <f t="shared" si="22"/>
        <v>39825</v>
      </c>
      <c r="C97" s="13">
        <v>2009.0</v>
      </c>
      <c r="D97" s="11" t="s">
        <v>39</v>
      </c>
      <c r="E97" s="11">
        <v>45.0</v>
      </c>
      <c r="F97" s="21" t="s">
        <v>261</v>
      </c>
      <c r="G97" s="15">
        <v>0.029713843963972877</v>
      </c>
      <c r="H97" s="11" t="s">
        <v>45</v>
      </c>
      <c r="I97" s="16">
        <v>24.0</v>
      </c>
      <c r="J97" s="11" t="s">
        <v>276</v>
      </c>
      <c r="K97" s="11" t="s">
        <v>26</v>
      </c>
      <c r="L97" s="11" t="s">
        <v>41</v>
      </c>
      <c r="M97" s="11" t="s">
        <v>49</v>
      </c>
      <c r="N97" s="11" t="s">
        <v>50</v>
      </c>
      <c r="O97" s="11" t="s">
        <v>92</v>
      </c>
      <c r="P97" s="11" t="s">
        <v>52</v>
      </c>
      <c r="Q97" s="20">
        <v>39828.0</v>
      </c>
      <c r="R97" s="17">
        <f t="shared" si="2"/>
        <v>469.9095854</v>
      </c>
      <c r="S97" s="9"/>
      <c r="T97" s="9"/>
      <c r="U97" s="9"/>
      <c r="V97" s="9"/>
      <c r="W97" s="9"/>
      <c r="X97" s="9"/>
      <c r="Y97" s="9"/>
      <c r="Z97" s="9"/>
      <c r="AA97" s="9"/>
      <c r="AB97" s="9" t="str">
        <f>IFERROR(__xludf.DUMMYFUNCTION("""COMPUTED_VALUE"""),"Andrew Allen")</f>
        <v>Andrew Allen</v>
      </c>
      <c r="AC97" s="9"/>
      <c r="AD97" s="9"/>
      <c r="AE97" s="9">
        <f t="shared" si="8"/>
        <v>3</v>
      </c>
      <c r="AF97" s="19">
        <f t="shared" si="13"/>
        <v>1</v>
      </c>
      <c r="AG97" s="9"/>
      <c r="AH97" s="9"/>
      <c r="AI97" s="9"/>
    </row>
    <row r="98" ht="15.0" customHeight="1">
      <c r="A98" s="11">
        <v>97.0</v>
      </c>
      <c r="B98" s="12">
        <f t="shared" si="22"/>
        <v>39825</v>
      </c>
      <c r="C98" s="13">
        <v>2009.0</v>
      </c>
      <c r="D98" s="11" t="s">
        <v>39</v>
      </c>
      <c r="E98" s="11">
        <v>33.0</v>
      </c>
      <c r="F98" s="21" t="s">
        <v>277</v>
      </c>
      <c r="G98" s="15">
        <v>0.08532423208191126</v>
      </c>
      <c r="H98" s="11" t="s">
        <v>33</v>
      </c>
      <c r="I98" s="16">
        <v>0.8</v>
      </c>
      <c r="J98" s="11" t="s">
        <v>276</v>
      </c>
      <c r="K98" s="11" t="s">
        <v>26</v>
      </c>
      <c r="L98" s="11" t="s">
        <v>41</v>
      </c>
      <c r="M98" s="11" t="s">
        <v>28</v>
      </c>
      <c r="N98" s="11" t="s">
        <v>62</v>
      </c>
      <c r="O98" s="11" t="s">
        <v>278</v>
      </c>
      <c r="P98" s="11" t="s">
        <v>58</v>
      </c>
      <c r="Q98" s="20">
        <v>39828.0</v>
      </c>
      <c r="R98" s="17">
        <f t="shared" si="2"/>
        <v>4.57337884</v>
      </c>
      <c r="S98" s="9"/>
      <c r="T98" s="9"/>
      <c r="U98" s="9"/>
      <c r="V98" s="9"/>
      <c r="W98" s="9"/>
      <c r="X98" s="9"/>
      <c r="Y98" s="9"/>
      <c r="Z98" s="9"/>
      <c r="AA98" s="9"/>
      <c r="AB98" s="9" t="str">
        <f>IFERROR(__xludf.DUMMYFUNCTION("""COMPUTED_VALUE"""),"Sally Matthias")</f>
        <v>Sally Matthias</v>
      </c>
      <c r="AC98" s="9"/>
      <c r="AD98" s="9"/>
      <c r="AE98" s="9">
        <f t="shared" si="8"/>
        <v>3</v>
      </c>
      <c r="AF98" s="19">
        <f t="shared" si="13"/>
        <v>1</v>
      </c>
      <c r="AG98" s="9"/>
      <c r="AH98" s="9"/>
      <c r="AI98" s="9"/>
    </row>
    <row r="99" ht="15.0" customHeight="1">
      <c r="A99" s="11">
        <v>98.0</v>
      </c>
      <c r="B99" s="12">
        <f t="shared" ref="B99:B102" si="23">DATE(2012,12,31)-1448</f>
        <v>39826</v>
      </c>
      <c r="C99" s="13">
        <v>2009.0</v>
      </c>
      <c r="D99" s="11" t="s">
        <v>44</v>
      </c>
      <c r="E99" s="11">
        <v>3.0</v>
      </c>
      <c r="F99" s="21" t="s">
        <v>110</v>
      </c>
      <c r="G99" s="15">
        <v>0.037024369388627604</v>
      </c>
      <c r="H99" s="11" t="s">
        <v>45</v>
      </c>
      <c r="I99" s="16">
        <v>14.280000000000001</v>
      </c>
      <c r="J99" s="11" t="s">
        <v>279</v>
      </c>
      <c r="K99" s="11" t="s">
        <v>47</v>
      </c>
      <c r="L99" s="11" t="s">
        <v>48</v>
      </c>
      <c r="M99" s="11" t="s">
        <v>66</v>
      </c>
      <c r="N99" s="11" t="s">
        <v>69</v>
      </c>
      <c r="O99" s="11" t="s">
        <v>111</v>
      </c>
      <c r="P99" s="11" t="s">
        <v>52</v>
      </c>
      <c r="Q99" s="20">
        <v>39828.0</v>
      </c>
      <c r="R99" s="17">
        <f t="shared" si="2"/>
        <v>16.67873792</v>
      </c>
      <c r="S99" s="9"/>
      <c r="T99" s="9"/>
      <c r="U99" s="9"/>
      <c r="V99" s="9"/>
      <c r="W99" s="9"/>
      <c r="X99" s="9"/>
      <c r="Y99" s="9"/>
      <c r="Z99" s="9"/>
      <c r="AA99" s="9"/>
      <c r="AB99" s="9" t="str">
        <f>IFERROR(__xludf.DUMMYFUNCTION("""COMPUTED_VALUE"""),"Guy Phonely")</f>
        <v>Guy Phonely</v>
      </c>
      <c r="AC99" s="9"/>
      <c r="AD99" s="9"/>
      <c r="AE99" s="9">
        <f t="shared" si="8"/>
        <v>4</v>
      </c>
      <c r="AF99" s="19">
        <f t="shared" si="13"/>
        <v>3</v>
      </c>
      <c r="AG99" s="9"/>
      <c r="AH99" s="9"/>
      <c r="AI99" s="9"/>
    </row>
    <row r="100" ht="15.0" customHeight="1">
      <c r="A100" s="11">
        <v>99.0</v>
      </c>
      <c r="B100" s="12">
        <f t="shared" si="23"/>
        <v>39826</v>
      </c>
      <c r="C100" s="13">
        <v>2009.0</v>
      </c>
      <c r="D100" s="11" t="s">
        <v>44</v>
      </c>
      <c r="E100" s="11">
        <v>13.0</v>
      </c>
      <c r="F100" s="21" t="s">
        <v>280</v>
      </c>
      <c r="G100" s="15">
        <v>0.021999377141077612</v>
      </c>
      <c r="H100" s="11" t="s">
        <v>33</v>
      </c>
      <c r="I100" s="16">
        <v>4.072</v>
      </c>
      <c r="J100" s="11" t="s">
        <v>279</v>
      </c>
      <c r="K100" s="11" t="s">
        <v>47</v>
      </c>
      <c r="L100" s="11" t="s">
        <v>48</v>
      </c>
      <c r="M100" s="11" t="s">
        <v>28</v>
      </c>
      <c r="N100" s="11" t="s">
        <v>56</v>
      </c>
      <c r="O100" s="11" t="s">
        <v>281</v>
      </c>
      <c r="P100" s="11" t="s">
        <v>38</v>
      </c>
      <c r="Q100" s="20">
        <v>39828.0</v>
      </c>
      <c r="R100" s="17">
        <f t="shared" si="2"/>
        <v>13.8171928</v>
      </c>
      <c r="S100" s="9"/>
      <c r="T100" s="9"/>
      <c r="U100" s="9"/>
      <c r="V100" s="9"/>
      <c r="W100" s="9"/>
      <c r="X100" s="9"/>
      <c r="Y100" s="9"/>
      <c r="Z100" s="9"/>
      <c r="AA100" s="9"/>
      <c r="AB100" s="9" t="str">
        <f>IFERROR(__xludf.DUMMYFUNCTION("""COMPUTED_VALUE"""),"Khloe Miller")</f>
        <v>Khloe Miller</v>
      </c>
      <c r="AC100" s="9"/>
      <c r="AD100" s="9"/>
      <c r="AE100" s="9">
        <f t="shared" si="8"/>
        <v>4</v>
      </c>
      <c r="AF100" s="19">
        <f t="shared" si="13"/>
        <v>3</v>
      </c>
      <c r="AG100" s="9"/>
      <c r="AH100" s="9"/>
      <c r="AI100" s="9"/>
    </row>
    <row r="101" ht="15.0" customHeight="1">
      <c r="A101" s="11">
        <v>100.0</v>
      </c>
      <c r="B101" s="12">
        <f t="shared" si="23"/>
        <v>39826</v>
      </c>
      <c r="C101" s="13">
        <v>2009.0</v>
      </c>
      <c r="D101" s="11" t="s">
        <v>44</v>
      </c>
      <c r="E101" s="11">
        <v>50.0</v>
      </c>
      <c r="F101" s="21" t="s">
        <v>103</v>
      </c>
      <c r="G101" s="15">
        <v>0.0811652867218645</v>
      </c>
      <c r="H101" s="11" t="s">
        <v>33</v>
      </c>
      <c r="I101" s="16">
        <v>4.632000000000001</v>
      </c>
      <c r="J101" s="11" t="s">
        <v>282</v>
      </c>
      <c r="K101" s="11" t="s">
        <v>65</v>
      </c>
      <c r="L101" s="11" t="s">
        <v>41</v>
      </c>
      <c r="M101" s="11" t="s">
        <v>28</v>
      </c>
      <c r="N101" s="11" t="s">
        <v>56</v>
      </c>
      <c r="O101" s="11" t="s">
        <v>283</v>
      </c>
      <c r="P101" s="11" t="s">
        <v>38</v>
      </c>
      <c r="Q101" s="20">
        <v>39828.0</v>
      </c>
      <c r="R101" s="17">
        <f t="shared" si="2"/>
        <v>24.31971719</v>
      </c>
      <c r="S101" s="9"/>
      <c r="T101" s="9"/>
      <c r="U101" s="9"/>
      <c r="V101" s="9"/>
      <c r="W101" s="9"/>
      <c r="X101" s="9"/>
      <c r="Y101" s="9"/>
      <c r="Z101" s="9"/>
      <c r="AA101" s="9"/>
      <c r="AB101" s="9" t="str">
        <f>IFERROR(__xludf.DUMMYFUNCTION("""COMPUTED_VALUE"""),"Nathan Mautz")</f>
        <v>Nathan Mautz</v>
      </c>
      <c r="AC101" s="9"/>
      <c r="AD101" s="9"/>
      <c r="AE101" s="9">
        <f t="shared" si="8"/>
        <v>3</v>
      </c>
      <c r="AF101" s="19">
        <f t="shared" si="13"/>
        <v>5</v>
      </c>
      <c r="AG101" s="9"/>
      <c r="AH101" s="9"/>
      <c r="AI101" s="9"/>
    </row>
    <row r="102" ht="15.0" customHeight="1">
      <c r="A102" s="11">
        <v>101.0</v>
      </c>
      <c r="B102" s="12">
        <f t="shared" si="23"/>
        <v>39826</v>
      </c>
      <c r="C102" s="13">
        <v>2009.0</v>
      </c>
      <c r="D102" s="11" t="s">
        <v>39</v>
      </c>
      <c r="E102" s="11">
        <v>17.0</v>
      </c>
      <c r="F102" s="21" t="s">
        <v>284</v>
      </c>
      <c r="G102" s="15">
        <v>0.11220417633410669</v>
      </c>
      <c r="H102" s="11" t="s">
        <v>33</v>
      </c>
      <c r="I102" s="16">
        <v>4.264</v>
      </c>
      <c r="J102" s="11" t="s">
        <v>285</v>
      </c>
      <c r="K102" s="11" t="s">
        <v>26</v>
      </c>
      <c r="L102" s="11" t="s">
        <v>27</v>
      </c>
      <c r="M102" s="11" t="s">
        <v>49</v>
      </c>
      <c r="N102" s="11" t="s">
        <v>73</v>
      </c>
      <c r="O102" s="11" t="s">
        <v>286</v>
      </c>
      <c r="P102" s="11" t="s">
        <v>38</v>
      </c>
      <c r="Q102" s="20">
        <v>39828.0</v>
      </c>
      <c r="R102" s="17">
        <f t="shared" si="2"/>
        <v>4.293380603</v>
      </c>
      <c r="S102" s="9"/>
      <c r="T102" s="9"/>
      <c r="U102" s="9"/>
      <c r="V102" s="9"/>
      <c r="W102" s="9"/>
      <c r="X102" s="9"/>
      <c r="Y102" s="9"/>
      <c r="Z102" s="9"/>
      <c r="AA102" s="9"/>
      <c r="AB102" s="9" t="str">
        <f>IFERROR(__xludf.DUMMYFUNCTION("""COMPUTED_VALUE"""),"Russell Applegate")</f>
        <v>Russell Applegate</v>
      </c>
      <c r="AC102" s="9"/>
      <c r="AD102" s="9"/>
      <c r="AE102" s="9">
        <f t="shared" si="8"/>
        <v>1</v>
      </c>
      <c r="AF102" s="19">
        <f t="shared" si="13"/>
        <v>1</v>
      </c>
      <c r="AG102" s="9"/>
      <c r="AH102" s="9"/>
      <c r="AI102" s="9"/>
    </row>
    <row r="103" ht="15.0" customHeight="1">
      <c r="A103" s="11">
        <v>102.0</v>
      </c>
      <c r="B103" s="12">
        <f t="shared" ref="B103:B114" si="24">DATE(2012,12,31)-1447</f>
        <v>39827</v>
      </c>
      <c r="C103" s="13">
        <v>2009.0</v>
      </c>
      <c r="D103" s="11" t="s">
        <v>39</v>
      </c>
      <c r="E103" s="11">
        <v>21.0</v>
      </c>
      <c r="F103" s="21" t="s">
        <v>287</v>
      </c>
      <c r="G103" s="15">
        <v>0.0789194411414982</v>
      </c>
      <c r="H103" s="11" t="s">
        <v>45</v>
      </c>
      <c r="I103" s="16">
        <v>44.912000000000006</v>
      </c>
      <c r="J103" s="11" t="s">
        <v>288</v>
      </c>
      <c r="K103" s="11" t="s">
        <v>61</v>
      </c>
      <c r="L103" s="11" t="s">
        <v>27</v>
      </c>
      <c r="M103" s="11" t="s">
        <v>66</v>
      </c>
      <c r="N103" s="11" t="s">
        <v>69</v>
      </c>
      <c r="O103" s="11" t="s">
        <v>289</v>
      </c>
      <c r="P103" s="11" t="s">
        <v>52</v>
      </c>
      <c r="Q103" s="20">
        <v>39828.0</v>
      </c>
      <c r="R103" s="17">
        <f t="shared" si="2"/>
        <v>195.6264577</v>
      </c>
      <c r="S103" s="9"/>
      <c r="T103" s="9"/>
      <c r="U103" s="9"/>
      <c r="V103" s="9"/>
      <c r="W103" s="9"/>
      <c r="X103" s="9"/>
      <c r="Y103" s="9"/>
      <c r="Z103" s="9"/>
      <c r="AA103" s="9"/>
      <c r="AB103" s="9" t="str">
        <f>IFERROR(__xludf.DUMMYFUNCTION("""COMPUTED_VALUE"""),"Jocasta Rupert")</f>
        <v>Jocasta Rupert</v>
      </c>
      <c r="AC103" s="9"/>
      <c r="AD103" s="9"/>
      <c r="AE103" s="9">
        <f t="shared" si="8"/>
        <v>1</v>
      </c>
      <c r="AF103" s="19">
        <f t="shared" si="13"/>
        <v>4</v>
      </c>
      <c r="AG103" s="9"/>
      <c r="AH103" s="9"/>
      <c r="AI103" s="9"/>
    </row>
    <row r="104" ht="15.0" customHeight="1">
      <c r="A104" s="11">
        <v>103.0</v>
      </c>
      <c r="B104" s="12">
        <f t="shared" si="24"/>
        <v>39827</v>
      </c>
      <c r="C104" s="13">
        <v>2009.0</v>
      </c>
      <c r="D104" s="11" t="s">
        <v>39</v>
      </c>
      <c r="E104" s="11">
        <v>27.0</v>
      </c>
      <c r="F104" s="21" t="s">
        <v>290</v>
      </c>
      <c r="G104" s="15">
        <v>0.09259141494435609</v>
      </c>
      <c r="H104" s="11" t="s">
        <v>33</v>
      </c>
      <c r="I104" s="16">
        <v>0.752</v>
      </c>
      <c r="J104" s="11" t="s">
        <v>288</v>
      </c>
      <c r="K104" s="11" t="s">
        <v>61</v>
      </c>
      <c r="L104" s="11" t="s">
        <v>27</v>
      </c>
      <c r="M104" s="11" t="s">
        <v>28</v>
      </c>
      <c r="N104" s="11" t="s">
        <v>62</v>
      </c>
      <c r="O104" s="11" t="s">
        <v>291</v>
      </c>
      <c r="P104" s="11" t="s">
        <v>58</v>
      </c>
      <c r="Q104" s="20">
        <v>39828.0</v>
      </c>
      <c r="R104" s="17">
        <f t="shared" si="2"/>
        <v>10.5694952</v>
      </c>
      <c r="S104" s="9"/>
      <c r="T104" s="9"/>
      <c r="U104" s="9"/>
      <c r="V104" s="9"/>
      <c r="W104" s="9"/>
      <c r="X104" s="9"/>
      <c r="Y104" s="9"/>
      <c r="Z104" s="9"/>
      <c r="AA104" s="9"/>
      <c r="AB104" s="9" t="str">
        <f>IFERROR(__xludf.DUMMYFUNCTION("""COMPUTED_VALUE"""),"Victoria Brennan")</f>
        <v>Victoria Brennan</v>
      </c>
      <c r="AC104" s="9"/>
      <c r="AD104" s="9"/>
      <c r="AE104" s="9">
        <f t="shared" si="8"/>
        <v>1</v>
      </c>
      <c r="AF104" s="19">
        <f t="shared" si="13"/>
        <v>4</v>
      </c>
      <c r="AG104" s="9"/>
      <c r="AH104" s="9"/>
      <c r="AI104" s="9"/>
    </row>
    <row r="105" ht="15.0" customHeight="1">
      <c r="A105" s="11">
        <v>104.0</v>
      </c>
      <c r="B105" s="12">
        <f t="shared" si="24"/>
        <v>39827</v>
      </c>
      <c r="C105" s="13">
        <v>2009.0</v>
      </c>
      <c r="D105" s="11" t="s">
        <v>23</v>
      </c>
      <c r="E105" s="11">
        <v>14.0</v>
      </c>
      <c r="F105" s="21" t="s">
        <v>292</v>
      </c>
      <c r="G105" s="15">
        <v>0.09528837946591874</v>
      </c>
      <c r="H105" s="11" t="s">
        <v>45</v>
      </c>
      <c r="I105" s="16">
        <v>54.416</v>
      </c>
      <c r="J105" s="11" t="s">
        <v>293</v>
      </c>
      <c r="K105" s="11" t="s">
        <v>65</v>
      </c>
      <c r="L105" s="11" t="s">
        <v>36</v>
      </c>
      <c r="M105" s="11" t="s">
        <v>28</v>
      </c>
      <c r="N105" s="11" t="s">
        <v>197</v>
      </c>
      <c r="O105" s="11" t="s">
        <v>294</v>
      </c>
      <c r="P105" s="11" t="s">
        <v>52</v>
      </c>
      <c r="Q105" s="20">
        <v>39829.0</v>
      </c>
      <c r="R105" s="17">
        <f t="shared" si="2"/>
        <v>282.7983772</v>
      </c>
      <c r="S105" s="9"/>
      <c r="T105" s="9"/>
      <c r="U105" s="9"/>
      <c r="V105" s="9"/>
      <c r="W105" s="9"/>
      <c r="X105" s="9"/>
      <c r="Y105" s="9"/>
      <c r="Z105" s="9"/>
      <c r="AA105" s="9"/>
      <c r="AB105" s="9" t="str">
        <f>IFERROR(__xludf.DUMMYFUNCTION("""COMPUTED_VALUE"""),"Cynthia Delaney")</f>
        <v>Cynthia Delaney</v>
      </c>
      <c r="AC105" s="9"/>
      <c r="AD105" s="9"/>
      <c r="AE105" s="9">
        <f t="shared" si="8"/>
        <v>2</v>
      </c>
      <c r="AF105" s="19">
        <f t="shared" si="13"/>
        <v>5</v>
      </c>
      <c r="AG105" s="9"/>
      <c r="AH105" s="9"/>
      <c r="AI105" s="9"/>
    </row>
    <row r="106" ht="15.0" customHeight="1">
      <c r="A106" s="11">
        <v>105.0</v>
      </c>
      <c r="B106" s="12">
        <f t="shared" si="24"/>
        <v>39827</v>
      </c>
      <c r="C106" s="13">
        <v>2009.0</v>
      </c>
      <c r="D106" s="11" t="s">
        <v>23</v>
      </c>
      <c r="E106" s="11">
        <v>8.0</v>
      </c>
      <c r="F106" s="21" t="s">
        <v>295</v>
      </c>
      <c r="G106" s="15">
        <v>0.07113345061573254</v>
      </c>
      <c r="H106" s="11" t="s">
        <v>33</v>
      </c>
      <c r="I106" s="16">
        <v>15.991999999999999</v>
      </c>
      <c r="J106" s="11" t="s">
        <v>293</v>
      </c>
      <c r="K106" s="11" t="s">
        <v>65</v>
      </c>
      <c r="L106" s="11" t="s">
        <v>36</v>
      </c>
      <c r="M106" s="11" t="s">
        <v>28</v>
      </c>
      <c r="N106" s="11" t="s">
        <v>236</v>
      </c>
      <c r="O106" s="11" t="s">
        <v>296</v>
      </c>
      <c r="P106" s="11" t="s">
        <v>38</v>
      </c>
      <c r="Q106" s="20">
        <v>39829.0</v>
      </c>
      <c r="R106" s="17">
        <f t="shared" si="2"/>
        <v>52.58127763</v>
      </c>
      <c r="S106" s="9"/>
      <c r="T106" s="9"/>
      <c r="U106" s="9"/>
      <c r="V106" s="9"/>
      <c r="W106" s="9"/>
      <c r="X106" s="9"/>
      <c r="Y106" s="9"/>
      <c r="Z106" s="9"/>
      <c r="AA106" s="9"/>
      <c r="AB106" s="9" t="str">
        <f>IFERROR(__xludf.DUMMYFUNCTION("""COMPUTED_VALUE"""),"Filia McAdams")</f>
        <v>Filia McAdams</v>
      </c>
      <c r="AC106" s="9"/>
      <c r="AD106" s="9"/>
      <c r="AE106" s="9">
        <f t="shared" si="8"/>
        <v>2</v>
      </c>
      <c r="AF106" s="19">
        <f t="shared" si="13"/>
        <v>5</v>
      </c>
      <c r="AG106" s="9"/>
      <c r="AH106" s="9"/>
      <c r="AI106" s="9"/>
    </row>
    <row r="107" ht="15.0" customHeight="1">
      <c r="A107" s="11">
        <v>106.0</v>
      </c>
      <c r="B107" s="12">
        <f t="shared" si="24"/>
        <v>39827</v>
      </c>
      <c r="C107" s="13">
        <v>2009.0</v>
      </c>
      <c r="D107" s="11" t="s">
        <v>23</v>
      </c>
      <c r="E107" s="11">
        <v>3.0</v>
      </c>
      <c r="F107" s="21" t="s">
        <v>297</v>
      </c>
      <c r="G107" s="15">
        <v>0.054666666666666565</v>
      </c>
      <c r="H107" s="11" t="s">
        <v>24</v>
      </c>
      <c r="I107" s="16">
        <v>5.832000000000001</v>
      </c>
      <c r="J107" s="11" t="s">
        <v>293</v>
      </c>
      <c r="K107" s="11" t="s">
        <v>65</v>
      </c>
      <c r="L107" s="11" t="s">
        <v>36</v>
      </c>
      <c r="M107" s="11" t="s">
        <v>49</v>
      </c>
      <c r="N107" s="11" t="s">
        <v>73</v>
      </c>
      <c r="O107" s="11" t="s">
        <v>298</v>
      </c>
      <c r="P107" s="11" t="s">
        <v>99</v>
      </c>
      <c r="Q107" s="20">
        <v>39829.0</v>
      </c>
      <c r="R107" s="17">
        <f t="shared" si="2"/>
        <v>1.860416</v>
      </c>
      <c r="S107" s="9"/>
      <c r="T107" s="9"/>
      <c r="U107" s="9"/>
      <c r="V107" s="9"/>
      <c r="W107" s="9"/>
      <c r="X107" s="9"/>
      <c r="Y107" s="9"/>
      <c r="Z107" s="9"/>
      <c r="AA107" s="9"/>
      <c r="AB107" s="9" t="str">
        <f>IFERROR(__xludf.DUMMYFUNCTION("""COMPUTED_VALUE"""),"Debra Catini")</f>
        <v>Debra Catini</v>
      </c>
      <c r="AC107" s="9"/>
      <c r="AD107" s="9"/>
      <c r="AE107" s="9">
        <f t="shared" si="8"/>
        <v>2</v>
      </c>
      <c r="AF107" s="19">
        <f t="shared" si="13"/>
        <v>5</v>
      </c>
      <c r="AG107" s="9"/>
      <c r="AH107" s="9"/>
      <c r="AI107" s="9"/>
    </row>
    <row r="108" ht="15.0" customHeight="1">
      <c r="A108" s="11">
        <v>107.0</v>
      </c>
      <c r="B108" s="12">
        <f t="shared" si="24"/>
        <v>39827</v>
      </c>
      <c r="C108" s="13">
        <v>2009.0</v>
      </c>
      <c r="D108" s="11" t="s">
        <v>23</v>
      </c>
      <c r="E108" s="11">
        <v>14.0</v>
      </c>
      <c r="F108" s="21" t="s">
        <v>290</v>
      </c>
      <c r="G108" s="15">
        <v>0.03948387096774183</v>
      </c>
      <c r="H108" s="11" t="s">
        <v>33</v>
      </c>
      <c r="I108" s="16">
        <v>0.752</v>
      </c>
      <c r="J108" s="11" t="s">
        <v>293</v>
      </c>
      <c r="K108" s="11" t="s">
        <v>65</v>
      </c>
      <c r="L108" s="11" t="s">
        <v>36</v>
      </c>
      <c r="M108" s="11" t="s">
        <v>28</v>
      </c>
      <c r="N108" s="11" t="s">
        <v>62</v>
      </c>
      <c r="O108" s="11" t="s">
        <v>291</v>
      </c>
      <c r="P108" s="11" t="s">
        <v>58</v>
      </c>
      <c r="Q108" s="20">
        <v>39829.0</v>
      </c>
      <c r="R108" s="17">
        <f t="shared" si="2"/>
        <v>2.351343484</v>
      </c>
      <c r="S108" s="9"/>
      <c r="T108" s="9"/>
      <c r="U108" s="9"/>
      <c r="V108" s="9"/>
      <c r="W108" s="9"/>
      <c r="X108" s="9"/>
      <c r="Y108" s="9"/>
      <c r="Z108" s="9"/>
      <c r="AA108" s="9"/>
      <c r="AB108" s="9" t="str">
        <f>IFERROR(__xludf.DUMMYFUNCTION("""COMPUTED_VALUE"""),"Michael Dominguez")</f>
        <v>Michael Dominguez</v>
      </c>
      <c r="AC108" s="9"/>
      <c r="AD108" s="9"/>
      <c r="AE108" s="9">
        <f t="shared" si="8"/>
        <v>2</v>
      </c>
      <c r="AF108" s="19">
        <f t="shared" si="13"/>
        <v>5</v>
      </c>
      <c r="AG108" s="9"/>
      <c r="AH108" s="9"/>
      <c r="AI108" s="9"/>
    </row>
    <row r="109" ht="15.0" customHeight="1">
      <c r="A109" s="11">
        <v>108.0</v>
      </c>
      <c r="B109" s="12">
        <f t="shared" si="24"/>
        <v>39827</v>
      </c>
      <c r="C109" s="13">
        <v>2009.0</v>
      </c>
      <c r="D109" s="11" t="s">
        <v>39</v>
      </c>
      <c r="E109" s="11">
        <v>27.0</v>
      </c>
      <c r="F109" s="21" t="s">
        <v>299</v>
      </c>
      <c r="G109" s="15">
        <v>0.089708245243129</v>
      </c>
      <c r="H109" s="11" t="s">
        <v>33</v>
      </c>
      <c r="I109" s="16">
        <v>7.384</v>
      </c>
      <c r="J109" s="11" t="s">
        <v>300</v>
      </c>
      <c r="K109" s="11" t="s">
        <v>35</v>
      </c>
      <c r="L109" s="11" t="s">
        <v>36</v>
      </c>
      <c r="M109" s="11" t="s">
        <v>28</v>
      </c>
      <c r="N109" s="11" t="s">
        <v>197</v>
      </c>
      <c r="O109" s="11" t="s">
        <v>301</v>
      </c>
      <c r="P109" s="11" t="s">
        <v>38</v>
      </c>
      <c r="Q109" s="20">
        <v>39829.0</v>
      </c>
      <c r="R109" s="17">
        <f t="shared" si="2"/>
        <v>19.31274987</v>
      </c>
      <c r="S109" s="9"/>
      <c r="T109" s="9"/>
      <c r="U109" s="9"/>
      <c r="V109" s="9"/>
      <c r="W109" s="9"/>
      <c r="X109" s="9"/>
      <c r="Y109" s="9"/>
      <c r="Z109" s="9"/>
      <c r="AA109" s="9"/>
      <c r="AB109" s="9" t="str">
        <f>IFERROR(__xludf.DUMMYFUNCTION("""COMPUTED_VALUE"""),"Laurel Beltran")</f>
        <v>Laurel Beltran</v>
      </c>
      <c r="AC109" s="9"/>
      <c r="AD109" s="9"/>
      <c r="AE109" s="9">
        <f t="shared" si="8"/>
        <v>2</v>
      </c>
      <c r="AF109" s="19">
        <f t="shared" si="13"/>
        <v>2</v>
      </c>
      <c r="AG109" s="9"/>
      <c r="AH109" s="9"/>
      <c r="AI109" s="9"/>
    </row>
    <row r="110" ht="15.0" customHeight="1">
      <c r="A110" s="11">
        <v>109.0</v>
      </c>
      <c r="B110" s="12">
        <f t="shared" si="24"/>
        <v>39827</v>
      </c>
      <c r="C110" s="13">
        <v>2009.0</v>
      </c>
      <c r="D110" s="11" t="s">
        <v>39</v>
      </c>
      <c r="E110" s="11">
        <v>23.0</v>
      </c>
      <c r="F110" s="21" t="s">
        <v>302</v>
      </c>
      <c r="G110" s="15">
        <v>0.020470793857763108</v>
      </c>
      <c r="H110" s="11" t="s">
        <v>45</v>
      </c>
      <c r="I110" s="16">
        <v>21.224000000000004</v>
      </c>
      <c r="J110" s="11" t="s">
        <v>300</v>
      </c>
      <c r="K110" s="11" t="s">
        <v>35</v>
      </c>
      <c r="L110" s="11" t="s">
        <v>36</v>
      </c>
      <c r="M110" s="11" t="s">
        <v>66</v>
      </c>
      <c r="N110" s="11" t="s">
        <v>69</v>
      </c>
      <c r="O110" s="11" t="s">
        <v>303</v>
      </c>
      <c r="P110" s="11" t="s">
        <v>52</v>
      </c>
      <c r="Q110" s="20">
        <v>39829.0</v>
      </c>
      <c r="R110" s="17">
        <f t="shared" si="2"/>
        <v>144.5550021</v>
      </c>
      <c r="S110" s="9"/>
      <c r="T110" s="9"/>
      <c r="U110" s="9"/>
      <c r="V110" s="9"/>
      <c r="W110" s="9"/>
      <c r="X110" s="9"/>
      <c r="Y110" s="9"/>
      <c r="Z110" s="9"/>
      <c r="AA110" s="9"/>
      <c r="AB110" s="9" t="str">
        <f>IFERROR(__xludf.DUMMYFUNCTION("""COMPUTED_VALUE"""),"Ken Brennan")</f>
        <v>Ken Brennan</v>
      </c>
      <c r="AC110" s="9"/>
      <c r="AD110" s="9"/>
      <c r="AE110" s="9">
        <f t="shared" si="8"/>
        <v>2</v>
      </c>
      <c r="AF110" s="19">
        <f t="shared" si="13"/>
        <v>2</v>
      </c>
      <c r="AG110" s="9"/>
      <c r="AH110" s="9"/>
      <c r="AI110" s="9"/>
    </row>
    <row r="111" ht="15.0" customHeight="1">
      <c r="A111" s="11">
        <v>110.0</v>
      </c>
      <c r="B111" s="12">
        <f t="shared" si="24"/>
        <v>39827</v>
      </c>
      <c r="C111" s="13">
        <v>2009.0</v>
      </c>
      <c r="D111" s="11" t="s">
        <v>39</v>
      </c>
      <c r="E111" s="11">
        <v>13.0</v>
      </c>
      <c r="F111" s="21" t="s">
        <v>304</v>
      </c>
      <c r="G111" s="15">
        <v>0.10070287539936101</v>
      </c>
      <c r="H111" s="11" t="s">
        <v>24</v>
      </c>
      <c r="I111" s="16">
        <v>7.632</v>
      </c>
      <c r="J111" s="11" t="s">
        <v>300</v>
      </c>
      <c r="K111" s="11" t="s">
        <v>35</v>
      </c>
      <c r="L111" s="11" t="s">
        <v>36</v>
      </c>
      <c r="M111" s="11" t="s">
        <v>28</v>
      </c>
      <c r="N111" s="11" t="s">
        <v>56</v>
      </c>
      <c r="O111" s="11" t="s">
        <v>305</v>
      </c>
      <c r="P111" s="11" t="s">
        <v>38</v>
      </c>
      <c r="Q111" s="20">
        <v>39829.0</v>
      </c>
      <c r="R111" s="17">
        <f t="shared" si="2"/>
        <v>25.51126083</v>
      </c>
      <c r="S111" s="9"/>
      <c r="T111" s="9"/>
      <c r="U111" s="9"/>
      <c r="V111" s="9"/>
      <c r="W111" s="9"/>
      <c r="X111" s="9"/>
      <c r="Y111" s="9"/>
      <c r="Z111" s="9"/>
      <c r="AA111" s="9"/>
      <c r="AB111" s="9" t="str">
        <f>IFERROR(__xludf.DUMMYFUNCTION("""COMPUTED_VALUE"""),"Gene Hale")</f>
        <v>Gene Hale</v>
      </c>
      <c r="AC111" s="9"/>
      <c r="AD111" s="9"/>
      <c r="AE111" s="9">
        <f t="shared" si="8"/>
        <v>2</v>
      </c>
      <c r="AF111" s="19">
        <f t="shared" si="13"/>
        <v>2</v>
      </c>
      <c r="AG111" s="9"/>
      <c r="AH111" s="9"/>
      <c r="AI111" s="9"/>
    </row>
    <row r="112" ht="15.0" customHeight="1">
      <c r="A112" s="11">
        <v>111.0</v>
      </c>
      <c r="B112" s="12">
        <f t="shared" si="24"/>
        <v>39827</v>
      </c>
      <c r="C112" s="13">
        <v>2009.0</v>
      </c>
      <c r="D112" s="11" t="s">
        <v>102</v>
      </c>
      <c r="E112" s="11">
        <v>29.0</v>
      </c>
      <c r="F112" s="21" t="s">
        <v>306</v>
      </c>
      <c r="G112" s="15">
        <v>0.06428867954654321</v>
      </c>
      <c r="H112" s="11" t="s">
        <v>33</v>
      </c>
      <c r="I112" s="16">
        <v>8.936</v>
      </c>
      <c r="J112" s="11" t="s">
        <v>307</v>
      </c>
      <c r="K112" s="11" t="s">
        <v>61</v>
      </c>
      <c r="L112" s="11" t="s">
        <v>48</v>
      </c>
      <c r="M112" s="11" t="s">
        <v>49</v>
      </c>
      <c r="N112" s="11" t="s">
        <v>73</v>
      </c>
      <c r="O112" s="11" t="s">
        <v>125</v>
      </c>
      <c r="P112" s="11" t="s">
        <v>31</v>
      </c>
      <c r="Q112" s="20">
        <v>39829.0</v>
      </c>
      <c r="R112" s="17">
        <f t="shared" si="2"/>
        <v>37.67548061</v>
      </c>
      <c r="S112" s="9"/>
      <c r="T112" s="9"/>
      <c r="U112" s="9"/>
      <c r="V112" s="9"/>
      <c r="W112" s="9"/>
      <c r="X112" s="9"/>
      <c r="Y112" s="9"/>
      <c r="Z112" s="9"/>
      <c r="AA112" s="9"/>
      <c r="AB112" s="9" t="str">
        <f>IFERROR(__xludf.DUMMYFUNCTION("""COMPUTED_VALUE"""),"Stefanie Holloman")</f>
        <v>Stefanie Holloman</v>
      </c>
      <c r="AC112" s="9"/>
      <c r="AD112" s="9"/>
      <c r="AE112" s="9">
        <f t="shared" si="8"/>
        <v>4</v>
      </c>
      <c r="AF112" s="19">
        <f t="shared" si="13"/>
        <v>4</v>
      </c>
      <c r="AG112" s="9"/>
      <c r="AH112" s="9"/>
      <c r="AI112" s="9"/>
    </row>
    <row r="113" ht="15.0" customHeight="1">
      <c r="A113" s="11">
        <v>112.0</v>
      </c>
      <c r="B113" s="12">
        <f t="shared" si="24"/>
        <v>39827</v>
      </c>
      <c r="C113" s="13">
        <v>2009.0</v>
      </c>
      <c r="D113" s="11" t="s">
        <v>102</v>
      </c>
      <c r="E113" s="11">
        <v>36.0</v>
      </c>
      <c r="F113" s="21" t="s">
        <v>308</v>
      </c>
      <c r="G113" s="15">
        <v>0.06067091481725644</v>
      </c>
      <c r="H113" s="11" t="s">
        <v>45</v>
      </c>
      <c r="I113" s="16">
        <v>14.288</v>
      </c>
      <c r="J113" s="11" t="s">
        <v>307</v>
      </c>
      <c r="K113" s="11" t="s">
        <v>61</v>
      </c>
      <c r="L113" s="11" t="s">
        <v>48</v>
      </c>
      <c r="M113" s="11" t="s">
        <v>66</v>
      </c>
      <c r="N113" s="11" t="s">
        <v>69</v>
      </c>
      <c r="O113" s="11" t="s">
        <v>309</v>
      </c>
      <c r="P113" s="11" t="s">
        <v>52</v>
      </c>
      <c r="Q113" s="20">
        <v>39829.0</v>
      </c>
      <c r="R113" s="17">
        <f t="shared" si="2"/>
        <v>579.4489781</v>
      </c>
      <c r="S113" s="9"/>
      <c r="T113" s="9"/>
      <c r="U113" s="9"/>
      <c r="V113" s="9"/>
      <c r="W113" s="9"/>
      <c r="X113" s="9"/>
      <c r="Y113" s="9"/>
      <c r="Z113" s="9"/>
      <c r="AA113" s="9"/>
      <c r="AB113" s="9" t="str">
        <f>IFERROR(__xludf.DUMMYFUNCTION("""COMPUTED_VALUE"""),"Sean O'Donnell")</f>
        <v>Sean O'Donnell</v>
      </c>
      <c r="AC113" s="9"/>
      <c r="AD113" s="9"/>
      <c r="AE113" s="9">
        <f t="shared" si="8"/>
        <v>4</v>
      </c>
      <c r="AF113" s="19">
        <f t="shared" si="13"/>
        <v>4</v>
      </c>
      <c r="AG113" s="9"/>
      <c r="AH113" s="9"/>
      <c r="AI113" s="9"/>
    </row>
    <row r="114" ht="15.0" customHeight="1">
      <c r="A114" s="11">
        <v>113.0</v>
      </c>
      <c r="B114" s="12">
        <f t="shared" si="24"/>
        <v>39827</v>
      </c>
      <c r="C114" s="13">
        <v>2009.0</v>
      </c>
      <c r="D114" s="11" t="s">
        <v>102</v>
      </c>
      <c r="E114" s="11">
        <v>23.0</v>
      </c>
      <c r="F114" s="21" t="s">
        <v>310</v>
      </c>
      <c r="G114" s="15">
        <v>0.058322240393514115</v>
      </c>
      <c r="H114" s="11" t="s">
        <v>45</v>
      </c>
      <c r="I114" s="16">
        <v>47.160000000000004</v>
      </c>
      <c r="J114" s="11" t="s">
        <v>307</v>
      </c>
      <c r="K114" s="11" t="s">
        <v>61</v>
      </c>
      <c r="L114" s="11" t="s">
        <v>48</v>
      </c>
      <c r="M114" s="11" t="s">
        <v>49</v>
      </c>
      <c r="N114" s="11" t="s">
        <v>50</v>
      </c>
      <c r="O114" s="11" t="s">
        <v>311</v>
      </c>
      <c r="P114" s="11" t="s">
        <v>52</v>
      </c>
      <c r="Q114" s="20">
        <v>39829.0</v>
      </c>
      <c r="R114" s="17">
        <f t="shared" si="2"/>
        <v>433.2094365</v>
      </c>
      <c r="S114" s="9"/>
      <c r="T114" s="9"/>
      <c r="U114" s="9"/>
      <c r="V114" s="9"/>
      <c r="W114" s="9"/>
      <c r="X114" s="9"/>
      <c r="Y114" s="9"/>
      <c r="Z114" s="9"/>
      <c r="AA114" s="9"/>
      <c r="AB114" s="9" t="str">
        <f>IFERROR(__xludf.DUMMYFUNCTION("""COMPUTED_VALUE"""),"Cindy Chapman")</f>
        <v>Cindy Chapman</v>
      </c>
      <c r="AC114" s="9"/>
      <c r="AD114" s="9"/>
      <c r="AE114" s="9">
        <f t="shared" si="8"/>
        <v>4</v>
      </c>
      <c r="AF114" s="19">
        <f t="shared" si="13"/>
        <v>4</v>
      </c>
      <c r="AG114" s="9"/>
      <c r="AH114" s="9"/>
      <c r="AI114" s="9"/>
    </row>
    <row r="115" ht="15.0" customHeight="1">
      <c r="A115" s="11">
        <v>114.0</v>
      </c>
      <c r="B115" s="12">
        <f t="shared" ref="B115:B120" si="25">DATE(2012,12,31)-1446</f>
        <v>39828</v>
      </c>
      <c r="C115" s="13">
        <v>2009.0</v>
      </c>
      <c r="D115" s="11" t="s">
        <v>44</v>
      </c>
      <c r="E115" s="11">
        <v>41.0</v>
      </c>
      <c r="F115" s="21" t="s">
        <v>126</v>
      </c>
      <c r="G115" s="15">
        <v>0.02985781990521319</v>
      </c>
      <c r="H115" s="11" t="s">
        <v>33</v>
      </c>
      <c r="I115" s="16">
        <v>3.8000000000000003</v>
      </c>
      <c r="J115" s="11" t="s">
        <v>312</v>
      </c>
      <c r="K115" s="11" t="s">
        <v>35</v>
      </c>
      <c r="L115" s="11" t="s">
        <v>27</v>
      </c>
      <c r="M115" s="11" t="s">
        <v>28</v>
      </c>
      <c r="N115" s="11" t="s">
        <v>56</v>
      </c>
      <c r="O115" s="11" t="s">
        <v>313</v>
      </c>
      <c r="P115" s="11" t="s">
        <v>38</v>
      </c>
      <c r="Q115" s="20">
        <v>39829.0</v>
      </c>
      <c r="R115" s="17">
        <f t="shared" si="2"/>
        <v>6.111895735</v>
      </c>
      <c r="S115" s="9"/>
      <c r="T115" s="9"/>
      <c r="U115" s="9"/>
      <c r="V115" s="9"/>
      <c r="W115" s="9"/>
      <c r="X115" s="9"/>
      <c r="Y115" s="9"/>
      <c r="Z115" s="9"/>
      <c r="AA115" s="9"/>
      <c r="AB115" s="9" t="str">
        <f>IFERROR(__xludf.DUMMYFUNCTION("""COMPUTED_VALUE"""),"Cari Sayre")</f>
        <v>Cari Sayre</v>
      </c>
      <c r="AC115" s="9"/>
      <c r="AD115" s="9"/>
      <c r="AE115" s="9">
        <f t="shared" si="8"/>
        <v>1</v>
      </c>
      <c r="AF115" s="19">
        <f t="shared" si="13"/>
        <v>2</v>
      </c>
      <c r="AG115" s="9"/>
      <c r="AH115" s="9"/>
      <c r="AI115" s="9"/>
    </row>
    <row r="116" ht="15.0" customHeight="1">
      <c r="A116" s="11">
        <v>115.0</v>
      </c>
      <c r="B116" s="12">
        <f t="shared" si="25"/>
        <v>39828</v>
      </c>
      <c r="C116" s="13">
        <v>2009.0</v>
      </c>
      <c r="D116" s="11" t="s">
        <v>44</v>
      </c>
      <c r="E116" s="11">
        <v>47.0</v>
      </c>
      <c r="F116" s="21" t="s">
        <v>314</v>
      </c>
      <c r="G116" s="15">
        <v>0.046512524084778545</v>
      </c>
      <c r="H116" s="11" t="s">
        <v>33</v>
      </c>
      <c r="I116" s="16">
        <v>0.8160000000000001</v>
      </c>
      <c r="J116" s="11" t="s">
        <v>312</v>
      </c>
      <c r="K116" s="11" t="s">
        <v>35</v>
      </c>
      <c r="L116" s="11" t="s">
        <v>27</v>
      </c>
      <c r="M116" s="11" t="s">
        <v>28</v>
      </c>
      <c r="N116" s="11" t="s">
        <v>56</v>
      </c>
      <c r="O116" s="11" t="s">
        <v>315</v>
      </c>
      <c r="P116" s="11" t="s">
        <v>58</v>
      </c>
      <c r="Q116" s="20">
        <v>39830.0</v>
      </c>
      <c r="R116" s="17">
        <f t="shared" si="2"/>
        <v>13.8103126</v>
      </c>
      <c r="S116" s="9"/>
      <c r="T116" s="9"/>
      <c r="U116" s="9"/>
      <c r="V116" s="9"/>
      <c r="W116" s="9"/>
      <c r="X116" s="9"/>
      <c r="Y116" s="9"/>
      <c r="Z116" s="9"/>
      <c r="AA116" s="9"/>
      <c r="AB116" s="9" t="str">
        <f>IFERROR(__xludf.DUMMYFUNCTION("""COMPUTED_VALUE"""),"Adam Hart")</f>
        <v>Adam Hart</v>
      </c>
      <c r="AC116" s="9"/>
      <c r="AD116" s="9"/>
      <c r="AE116" s="9">
        <f t="shared" si="8"/>
        <v>1</v>
      </c>
      <c r="AF116" s="19">
        <f t="shared" si="13"/>
        <v>2</v>
      </c>
      <c r="AG116" s="9"/>
      <c r="AH116" s="9"/>
      <c r="AI116" s="9"/>
    </row>
    <row r="117" ht="15.0" customHeight="1">
      <c r="A117" s="11">
        <v>116.0</v>
      </c>
      <c r="B117" s="12">
        <f t="shared" si="25"/>
        <v>39828</v>
      </c>
      <c r="C117" s="13">
        <v>2009.0</v>
      </c>
      <c r="D117" s="11" t="s">
        <v>32</v>
      </c>
      <c r="E117" s="11">
        <v>25.0</v>
      </c>
      <c r="F117" s="21" t="s">
        <v>316</v>
      </c>
      <c r="G117" s="15">
        <v>0.09088986784140972</v>
      </c>
      <c r="H117" s="11" t="s">
        <v>24</v>
      </c>
      <c r="I117" s="16">
        <v>6.368</v>
      </c>
      <c r="J117" s="11" t="s">
        <v>317</v>
      </c>
      <c r="K117" s="11" t="s">
        <v>65</v>
      </c>
      <c r="L117" s="11" t="s">
        <v>27</v>
      </c>
      <c r="M117" s="11" t="s">
        <v>49</v>
      </c>
      <c r="N117" s="11" t="s">
        <v>73</v>
      </c>
      <c r="O117" s="11" t="s">
        <v>318</v>
      </c>
      <c r="P117" s="11" t="s">
        <v>38</v>
      </c>
      <c r="Q117" s="20">
        <v>39830.0</v>
      </c>
      <c r="R117" s="17">
        <f t="shared" si="2"/>
        <v>18.75676025</v>
      </c>
      <c r="S117" s="9"/>
      <c r="T117" s="9"/>
      <c r="U117" s="9"/>
      <c r="V117" s="9"/>
      <c r="W117" s="9"/>
      <c r="X117" s="9"/>
      <c r="Y117" s="9"/>
      <c r="Z117" s="9"/>
      <c r="AA117" s="9"/>
      <c r="AB117" s="9" t="str">
        <f>IFERROR(__xludf.DUMMYFUNCTION("""COMPUTED_VALUE"""),"Liz MacKendrick")</f>
        <v>Liz MacKendrick</v>
      </c>
      <c r="AC117" s="9"/>
      <c r="AD117" s="9"/>
      <c r="AE117" s="9">
        <f t="shared" si="8"/>
        <v>1</v>
      </c>
      <c r="AF117" s="19">
        <f t="shared" si="13"/>
        <v>5</v>
      </c>
      <c r="AG117" s="9"/>
      <c r="AH117" s="9"/>
      <c r="AI117" s="9"/>
    </row>
    <row r="118" ht="15.0" customHeight="1">
      <c r="A118" s="11">
        <v>117.0</v>
      </c>
      <c r="B118" s="12">
        <f t="shared" si="25"/>
        <v>39828</v>
      </c>
      <c r="C118" s="13">
        <v>2009.0</v>
      </c>
      <c r="D118" s="11" t="s">
        <v>39</v>
      </c>
      <c r="E118" s="11">
        <v>9.0</v>
      </c>
      <c r="F118" s="21" t="s">
        <v>319</v>
      </c>
      <c r="G118" s="15">
        <v>0.11172413793103456</v>
      </c>
      <c r="H118" s="11" t="s">
        <v>33</v>
      </c>
      <c r="I118" s="16">
        <v>0.5599999999999999</v>
      </c>
      <c r="J118" s="11" t="s">
        <v>320</v>
      </c>
      <c r="K118" s="11" t="s">
        <v>65</v>
      </c>
      <c r="L118" s="11" t="s">
        <v>41</v>
      </c>
      <c r="M118" s="11" t="s">
        <v>28</v>
      </c>
      <c r="N118" s="11" t="s">
        <v>62</v>
      </c>
      <c r="O118" s="11" t="s">
        <v>321</v>
      </c>
      <c r="P118" s="11" t="s">
        <v>58</v>
      </c>
      <c r="Q118" s="20">
        <v>39830.0</v>
      </c>
      <c r="R118" s="17">
        <f t="shared" si="2"/>
        <v>2.878013793</v>
      </c>
      <c r="S118" s="9"/>
      <c r="T118" s="9"/>
      <c r="U118" s="9"/>
      <c r="V118" s="9"/>
      <c r="W118" s="9"/>
      <c r="X118" s="9"/>
      <c r="Y118" s="9"/>
      <c r="Z118" s="9"/>
      <c r="AA118" s="9"/>
      <c r="AB118" s="9" t="str">
        <f>IFERROR(__xludf.DUMMYFUNCTION("""COMPUTED_VALUE"""),"Katherine Hughes")</f>
        <v>Katherine Hughes</v>
      </c>
      <c r="AC118" s="9"/>
      <c r="AD118" s="9"/>
      <c r="AE118" s="9">
        <f t="shared" si="8"/>
        <v>3</v>
      </c>
      <c r="AF118" s="19">
        <f t="shared" si="13"/>
        <v>5</v>
      </c>
      <c r="AG118" s="9"/>
      <c r="AH118" s="9"/>
      <c r="AI118" s="9"/>
    </row>
    <row r="119" ht="15.0" customHeight="1">
      <c r="A119" s="11">
        <v>118.0</v>
      </c>
      <c r="B119" s="12">
        <f t="shared" si="25"/>
        <v>39828</v>
      </c>
      <c r="C119" s="13">
        <v>2009.0</v>
      </c>
      <c r="D119" s="11" t="s">
        <v>23</v>
      </c>
      <c r="E119" s="11">
        <v>48.0</v>
      </c>
      <c r="F119" s="21" t="s">
        <v>322</v>
      </c>
      <c r="G119" s="15">
        <v>0.026113780138457963</v>
      </c>
      <c r="H119" s="11" t="s">
        <v>33</v>
      </c>
      <c r="I119" s="16">
        <v>4.952000000000001</v>
      </c>
      <c r="J119" s="11" t="s">
        <v>323</v>
      </c>
      <c r="K119" s="11" t="s">
        <v>61</v>
      </c>
      <c r="L119" s="11" t="s">
        <v>48</v>
      </c>
      <c r="M119" s="11" t="s">
        <v>28</v>
      </c>
      <c r="N119" s="11" t="s">
        <v>42</v>
      </c>
      <c r="O119" s="11" t="s">
        <v>324</v>
      </c>
      <c r="P119" s="11" t="s">
        <v>38</v>
      </c>
      <c r="Q119" s="20">
        <v>39830.0</v>
      </c>
      <c r="R119" s="17">
        <f t="shared" si="2"/>
        <v>10.90908388</v>
      </c>
      <c r="S119" s="9"/>
      <c r="T119" s="9"/>
      <c r="U119" s="9"/>
      <c r="V119" s="9"/>
      <c r="W119" s="9"/>
      <c r="X119" s="9"/>
      <c r="Y119" s="9"/>
      <c r="Z119" s="9"/>
      <c r="AA119" s="9"/>
      <c r="AB119" s="9" t="str">
        <f>IFERROR(__xludf.DUMMYFUNCTION("""COMPUTED_VALUE"""),"Clay Rozendal")</f>
        <v>Clay Rozendal</v>
      </c>
      <c r="AC119" s="9"/>
      <c r="AD119" s="9"/>
      <c r="AE119" s="9">
        <f t="shared" si="8"/>
        <v>4</v>
      </c>
      <c r="AF119" s="19">
        <f t="shared" si="13"/>
        <v>4</v>
      </c>
      <c r="AG119" s="9"/>
      <c r="AH119" s="9"/>
      <c r="AI119" s="9"/>
    </row>
    <row r="120" ht="15.0" customHeight="1">
      <c r="A120" s="11">
        <v>119.0</v>
      </c>
      <c r="B120" s="12">
        <f t="shared" si="25"/>
        <v>39828</v>
      </c>
      <c r="C120" s="13">
        <v>2009.0</v>
      </c>
      <c r="D120" s="11" t="s">
        <v>102</v>
      </c>
      <c r="E120" s="11">
        <v>7.0</v>
      </c>
      <c r="F120" s="21" t="s">
        <v>325</v>
      </c>
      <c r="G120" s="15">
        <v>0.06906422018348629</v>
      </c>
      <c r="H120" s="11" t="s">
        <v>33</v>
      </c>
      <c r="I120" s="16">
        <v>1.736</v>
      </c>
      <c r="J120" s="11" t="s">
        <v>326</v>
      </c>
      <c r="K120" s="11" t="s">
        <v>35</v>
      </c>
      <c r="L120" s="11" t="s">
        <v>36</v>
      </c>
      <c r="M120" s="11" t="s">
        <v>28</v>
      </c>
      <c r="N120" s="11" t="s">
        <v>56</v>
      </c>
      <c r="O120" s="11" t="s">
        <v>327</v>
      </c>
      <c r="P120" s="11" t="s">
        <v>58</v>
      </c>
      <c r="Q120" s="20">
        <v>39830.0</v>
      </c>
      <c r="R120" s="17">
        <f t="shared" si="2"/>
        <v>3.504042275</v>
      </c>
      <c r="S120" s="9"/>
      <c r="T120" s="9"/>
      <c r="U120" s="9"/>
      <c r="V120" s="9"/>
      <c r="W120" s="9"/>
      <c r="X120" s="9"/>
      <c r="Y120" s="9"/>
      <c r="Z120" s="9"/>
      <c r="AA120" s="9"/>
      <c r="AB120" s="9" t="str">
        <f>IFERROR(__xludf.DUMMYFUNCTION("""COMPUTED_VALUE"""),"Eugene Barchas")</f>
        <v>Eugene Barchas</v>
      </c>
      <c r="AC120" s="9"/>
      <c r="AD120" s="9"/>
      <c r="AE120" s="9">
        <f t="shared" si="8"/>
        <v>2</v>
      </c>
      <c r="AF120" s="19">
        <f t="shared" si="13"/>
        <v>2</v>
      </c>
      <c r="AG120" s="9"/>
      <c r="AH120" s="9"/>
      <c r="AI120" s="9"/>
    </row>
    <row r="121" ht="15.0" customHeight="1">
      <c r="A121" s="11">
        <v>120.0</v>
      </c>
      <c r="B121" s="12">
        <f t="shared" ref="B121:B130" si="26">DATE(2012,12,31)-1445</f>
        <v>39829</v>
      </c>
      <c r="C121" s="13">
        <v>2009.0</v>
      </c>
      <c r="D121" s="11" t="s">
        <v>39</v>
      </c>
      <c r="E121" s="11">
        <v>6.0</v>
      </c>
      <c r="F121" s="21" t="s">
        <v>328</v>
      </c>
      <c r="G121" s="15">
        <v>0.024239976925295472</v>
      </c>
      <c r="H121" s="11" t="s">
        <v>33</v>
      </c>
      <c r="I121" s="16">
        <v>11.192</v>
      </c>
      <c r="J121" s="11" t="s">
        <v>329</v>
      </c>
      <c r="K121" s="11" t="s">
        <v>26</v>
      </c>
      <c r="L121" s="11" t="s">
        <v>41</v>
      </c>
      <c r="M121" s="11" t="s">
        <v>49</v>
      </c>
      <c r="N121" s="11" t="s">
        <v>73</v>
      </c>
      <c r="O121" s="11" t="s">
        <v>330</v>
      </c>
      <c r="P121" s="11" t="s">
        <v>75</v>
      </c>
      <c r="Q121" s="20">
        <v>39830.0</v>
      </c>
      <c r="R121" s="17">
        <f t="shared" si="2"/>
        <v>16.40057447</v>
      </c>
      <c r="S121" s="9"/>
      <c r="T121" s="9"/>
      <c r="U121" s="9"/>
      <c r="V121" s="9"/>
      <c r="W121" s="9"/>
      <c r="X121" s="9"/>
      <c r="Y121" s="9"/>
      <c r="Z121" s="9"/>
      <c r="AA121" s="9"/>
      <c r="AB121" s="9" t="str">
        <f>IFERROR(__xludf.DUMMYFUNCTION("""COMPUTED_VALUE"""),"Maria Zettner")</f>
        <v>Maria Zettner</v>
      </c>
      <c r="AC121" s="9"/>
      <c r="AD121" s="9"/>
      <c r="AE121" s="9">
        <f t="shared" si="8"/>
        <v>3</v>
      </c>
      <c r="AF121" s="19">
        <f t="shared" si="13"/>
        <v>1</v>
      </c>
      <c r="AG121" s="9"/>
      <c r="AH121" s="9"/>
      <c r="AI121" s="9"/>
    </row>
    <row r="122" ht="15.0" customHeight="1">
      <c r="A122" s="11">
        <v>121.0</v>
      </c>
      <c r="B122" s="12">
        <f t="shared" si="26"/>
        <v>39829</v>
      </c>
      <c r="C122" s="13">
        <v>2009.0</v>
      </c>
      <c r="D122" s="11" t="s">
        <v>39</v>
      </c>
      <c r="E122" s="11">
        <v>30.0</v>
      </c>
      <c r="F122" s="21" t="s">
        <v>316</v>
      </c>
      <c r="G122" s="15">
        <v>0.013452768729641702</v>
      </c>
      <c r="H122" s="11" t="s">
        <v>33</v>
      </c>
      <c r="I122" s="16">
        <v>2.2960000000000003</v>
      </c>
      <c r="J122" s="11" t="s">
        <v>329</v>
      </c>
      <c r="K122" s="11" t="s">
        <v>26</v>
      </c>
      <c r="L122" s="11" t="s">
        <v>41</v>
      </c>
      <c r="M122" s="11" t="s">
        <v>28</v>
      </c>
      <c r="N122" s="11" t="s">
        <v>56</v>
      </c>
      <c r="O122" s="11" t="s">
        <v>331</v>
      </c>
      <c r="P122" s="11" t="s">
        <v>58</v>
      </c>
      <c r="Q122" s="20">
        <v>39830.0</v>
      </c>
      <c r="R122" s="17">
        <f t="shared" si="2"/>
        <v>3.259552052</v>
      </c>
      <c r="S122" s="9"/>
      <c r="T122" s="9"/>
      <c r="U122" s="9"/>
      <c r="V122" s="9"/>
      <c r="W122" s="9"/>
      <c r="X122" s="9"/>
      <c r="Y122" s="9"/>
      <c r="Z122" s="9"/>
      <c r="AA122" s="9"/>
      <c r="AB122" s="9" t="str">
        <f>IFERROR(__xludf.DUMMYFUNCTION("""COMPUTED_VALUE"""),"Art Foster")</f>
        <v>Art Foster</v>
      </c>
      <c r="AC122" s="9"/>
      <c r="AD122" s="9"/>
      <c r="AE122" s="9">
        <f t="shared" si="8"/>
        <v>3</v>
      </c>
      <c r="AF122" s="19">
        <f t="shared" si="13"/>
        <v>1</v>
      </c>
      <c r="AG122" s="9"/>
      <c r="AH122" s="9"/>
      <c r="AI122" s="9"/>
    </row>
    <row r="123" ht="15.0" customHeight="1">
      <c r="A123" s="11">
        <v>122.0</v>
      </c>
      <c r="B123" s="12">
        <f t="shared" si="26"/>
        <v>39829</v>
      </c>
      <c r="C123" s="13">
        <v>2009.0</v>
      </c>
      <c r="D123" s="11" t="s">
        <v>44</v>
      </c>
      <c r="E123" s="11">
        <v>37.0</v>
      </c>
      <c r="F123" s="21" t="s">
        <v>190</v>
      </c>
      <c r="G123" s="15">
        <v>0.04131733816206432</v>
      </c>
      <c r="H123" s="11" t="s">
        <v>33</v>
      </c>
      <c r="I123" s="16">
        <v>7.192</v>
      </c>
      <c r="J123" s="11" t="s">
        <v>332</v>
      </c>
      <c r="K123" s="11" t="s">
        <v>65</v>
      </c>
      <c r="L123" s="11" t="s">
        <v>48</v>
      </c>
      <c r="M123" s="11" t="s">
        <v>49</v>
      </c>
      <c r="N123" s="11" t="s">
        <v>73</v>
      </c>
      <c r="O123" s="11" t="s">
        <v>191</v>
      </c>
      <c r="P123" s="11" t="s">
        <v>99</v>
      </c>
      <c r="Q123" s="20">
        <v>39831.0</v>
      </c>
      <c r="R123" s="17">
        <f t="shared" si="2"/>
        <v>34.99958662</v>
      </c>
      <c r="S123" s="9"/>
      <c r="T123" s="9"/>
      <c r="U123" s="9"/>
      <c r="V123" s="9"/>
      <c r="W123" s="9"/>
      <c r="X123" s="9"/>
      <c r="Y123" s="9"/>
      <c r="Z123" s="9"/>
      <c r="AA123" s="9"/>
      <c r="AB123" s="9" t="str">
        <f>IFERROR(__xludf.DUMMYFUNCTION("""COMPUTED_VALUE"""),"Matt Abelman")</f>
        <v>Matt Abelman</v>
      </c>
      <c r="AC123" s="9"/>
      <c r="AD123" s="9"/>
      <c r="AE123" s="9">
        <f t="shared" si="8"/>
        <v>4</v>
      </c>
      <c r="AF123" s="19">
        <f t="shared" si="13"/>
        <v>5</v>
      </c>
      <c r="AG123" s="9"/>
      <c r="AH123" s="9"/>
      <c r="AI123" s="9"/>
    </row>
    <row r="124" ht="15.0" customHeight="1">
      <c r="A124" s="11">
        <v>123.0</v>
      </c>
      <c r="B124" s="12">
        <f t="shared" si="26"/>
        <v>39829</v>
      </c>
      <c r="C124" s="13">
        <v>2009.0</v>
      </c>
      <c r="D124" s="11" t="s">
        <v>44</v>
      </c>
      <c r="E124" s="11">
        <v>20.0</v>
      </c>
      <c r="F124" s="21" t="s">
        <v>333</v>
      </c>
      <c r="G124" s="15">
        <v>0.06837499999999996</v>
      </c>
      <c r="H124" s="11" t="s">
        <v>24</v>
      </c>
      <c r="I124" s="16">
        <v>1.6239999999999999</v>
      </c>
      <c r="J124" s="11" t="s">
        <v>334</v>
      </c>
      <c r="K124" s="11" t="s">
        <v>35</v>
      </c>
      <c r="L124" s="11" t="s">
        <v>48</v>
      </c>
      <c r="M124" s="11" t="s">
        <v>28</v>
      </c>
      <c r="N124" s="11" t="s">
        <v>62</v>
      </c>
      <c r="O124" s="11" t="s">
        <v>335</v>
      </c>
      <c r="P124" s="11" t="s">
        <v>58</v>
      </c>
      <c r="Q124" s="20">
        <v>39831.0</v>
      </c>
      <c r="R124" s="17">
        <f t="shared" si="2"/>
        <v>4.076791</v>
      </c>
      <c r="S124" s="9"/>
      <c r="T124" s="9"/>
      <c r="U124" s="9"/>
      <c r="V124" s="9"/>
      <c r="W124" s="9"/>
      <c r="X124" s="9"/>
      <c r="Y124" s="9"/>
      <c r="Z124" s="9"/>
      <c r="AA124" s="9"/>
      <c r="AB124" s="9" t="str">
        <f>IFERROR(__xludf.DUMMYFUNCTION("""COMPUTED_VALUE"""),"Dave Brooks")</f>
        <v>Dave Brooks</v>
      </c>
      <c r="AC124" s="9"/>
      <c r="AD124" s="9"/>
      <c r="AE124" s="9">
        <f t="shared" si="8"/>
        <v>4</v>
      </c>
      <c r="AF124" s="19">
        <f t="shared" si="13"/>
        <v>2</v>
      </c>
      <c r="AG124" s="9"/>
      <c r="AH124" s="9"/>
      <c r="AI124" s="9"/>
    </row>
    <row r="125" ht="15.0" customHeight="1">
      <c r="A125" s="11">
        <v>124.0</v>
      </c>
      <c r="B125" s="12">
        <f t="shared" si="26"/>
        <v>39829</v>
      </c>
      <c r="C125" s="13">
        <v>2009.0</v>
      </c>
      <c r="D125" s="11" t="s">
        <v>44</v>
      </c>
      <c r="E125" s="11">
        <v>25.0</v>
      </c>
      <c r="F125" s="21" t="s">
        <v>128</v>
      </c>
      <c r="G125" s="15">
        <v>0.0111613327900198</v>
      </c>
      <c r="H125" s="11" t="s">
        <v>33</v>
      </c>
      <c r="I125" s="16">
        <v>7.192</v>
      </c>
      <c r="J125" s="11" t="s">
        <v>334</v>
      </c>
      <c r="K125" s="11" t="s">
        <v>35</v>
      </c>
      <c r="L125" s="11" t="s">
        <v>48</v>
      </c>
      <c r="M125" s="11" t="s">
        <v>66</v>
      </c>
      <c r="N125" s="11" t="s">
        <v>80</v>
      </c>
      <c r="O125" s="11" t="s">
        <v>214</v>
      </c>
      <c r="P125" s="11" t="s">
        <v>38</v>
      </c>
      <c r="Q125" s="20">
        <v>39831.0</v>
      </c>
      <c r="R125" s="17">
        <f t="shared" si="2"/>
        <v>35.21056726</v>
      </c>
      <c r="S125" s="9"/>
      <c r="T125" s="9"/>
      <c r="U125" s="9"/>
      <c r="V125" s="9"/>
      <c r="W125" s="9"/>
      <c r="X125" s="9"/>
      <c r="Y125" s="9"/>
      <c r="Z125" s="9"/>
      <c r="AA125" s="9"/>
      <c r="AB125" s="9" t="str">
        <f>IFERROR(__xludf.DUMMYFUNCTION("""COMPUTED_VALUE"""),"Marc Crier")</f>
        <v>Marc Crier</v>
      </c>
      <c r="AC125" s="9"/>
      <c r="AD125" s="9"/>
      <c r="AE125" s="9">
        <f t="shared" si="8"/>
        <v>4</v>
      </c>
      <c r="AF125" s="19">
        <f t="shared" si="13"/>
        <v>2</v>
      </c>
      <c r="AG125" s="9"/>
      <c r="AH125" s="9"/>
      <c r="AI125" s="9"/>
    </row>
    <row r="126" ht="15.0" customHeight="1">
      <c r="A126" s="11">
        <v>125.0</v>
      </c>
      <c r="B126" s="12">
        <f t="shared" si="26"/>
        <v>39829</v>
      </c>
      <c r="C126" s="13">
        <v>2009.0</v>
      </c>
      <c r="D126" s="11" t="s">
        <v>102</v>
      </c>
      <c r="E126" s="11">
        <v>46.0</v>
      </c>
      <c r="F126" s="21" t="s">
        <v>336</v>
      </c>
      <c r="G126" s="15">
        <v>0.09794922518958135</v>
      </c>
      <c r="H126" s="11" t="s">
        <v>33</v>
      </c>
      <c r="I126" s="16">
        <v>6.792000000000001</v>
      </c>
      <c r="J126" s="11" t="s">
        <v>337</v>
      </c>
      <c r="K126" s="11" t="s">
        <v>117</v>
      </c>
      <c r="L126" s="11" t="s">
        <v>48</v>
      </c>
      <c r="M126" s="11" t="s">
        <v>28</v>
      </c>
      <c r="N126" s="11" t="s">
        <v>42</v>
      </c>
      <c r="O126" s="11" t="s">
        <v>338</v>
      </c>
      <c r="P126" s="11" t="s">
        <v>38</v>
      </c>
      <c r="Q126" s="20">
        <v>39831.0</v>
      </c>
      <c r="R126" s="17">
        <f t="shared" si="2"/>
        <v>26.79812442</v>
      </c>
      <c r="S126" s="9"/>
      <c r="T126" s="9"/>
      <c r="U126" s="9"/>
      <c r="V126" s="9"/>
      <c r="W126" s="9"/>
      <c r="X126" s="9"/>
      <c r="Y126" s="9"/>
      <c r="Z126" s="9"/>
      <c r="AA126" s="9"/>
      <c r="AB126" s="9" t="str">
        <f>IFERROR(__xludf.DUMMYFUNCTION("""COMPUTED_VALUE"""),"Joy Smith")</f>
        <v>Joy Smith</v>
      </c>
      <c r="AC126" s="9"/>
      <c r="AD126" s="9"/>
      <c r="AE126" s="9">
        <f t="shared" si="8"/>
        <v>4</v>
      </c>
      <c r="AF126" s="19" t="b">
        <f t="shared" si="13"/>
        <v>0</v>
      </c>
      <c r="AG126" s="9"/>
      <c r="AH126" s="9"/>
      <c r="AI126" s="9"/>
    </row>
    <row r="127" ht="15.0" customHeight="1">
      <c r="A127" s="11">
        <v>126.0</v>
      </c>
      <c r="B127" s="12">
        <f t="shared" si="26"/>
        <v>39829</v>
      </c>
      <c r="C127" s="13">
        <v>2009.0</v>
      </c>
      <c r="D127" s="11" t="s">
        <v>102</v>
      </c>
      <c r="E127" s="11">
        <v>41.0</v>
      </c>
      <c r="F127" s="21" t="s">
        <v>119</v>
      </c>
      <c r="G127" s="15">
        <v>0.036269430051813614</v>
      </c>
      <c r="H127" s="11" t="s">
        <v>33</v>
      </c>
      <c r="I127" s="16">
        <v>0.6000000000000001</v>
      </c>
      <c r="J127" s="11" t="s">
        <v>337</v>
      </c>
      <c r="K127" s="11" t="s">
        <v>117</v>
      </c>
      <c r="L127" s="11" t="s">
        <v>48</v>
      </c>
      <c r="M127" s="11" t="s">
        <v>28</v>
      </c>
      <c r="N127" s="11" t="s">
        <v>216</v>
      </c>
      <c r="O127" s="11" t="s">
        <v>339</v>
      </c>
      <c r="P127" s="11" t="s">
        <v>58</v>
      </c>
      <c r="Q127" s="20">
        <v>39831.0</v>
      </c>
      <c r="R127" s="17">
        <f t="shared" si="2"/>
        <v>2.698445596</v>
      </c>
      <c r="S127" s="9"/>
      <c r="T127" s="9"/>
      <c r="U127" s="9"/>
      <c r="V127" s="9"/>
      <c r="W127" s="9"/>
      <c r="X127" s="9"/>
      <c r="Y127" s="9"/>
      <c r="Z127" s="9"/>
      <c r="AA127" s="9"/>
      <c r="AB127" s="9" t="str">
        <f>IFERROR(__xludf.DUMMYFUNCTION("""COMPUTED_VALUE"""),"Bill Overfelt")</f>
        <v>Bill Overfelt</v>
      </c>
      <c r="AC127" s="9"/>
      <c r="AD127" s="9"/>
      <c r="AE127" s="9">
        <f t="shared" si="8"/>
        <v>4</v>
      </c>
      <c r="AF127" s="19" t="b">
        <f t="shared" si="13"/>
        <v>0</v>
      </c>
      <c r="AG127" s="9"/>
      <c r="AH127" s="9"/>
      <c r="AI127" s="9"/>
    </row>
    <row r="128" ht="15.0" customHeight="1">
      <c r="A128" s="11">
        <v>127.0</v>
      </c>
      <c r="B128" s="12">
        <f t="shared" si="26"/>
        <v>39829</v>
      </c>
      <c r="C128" s="13">
        <v>2009.0</v>
      </c>
      <c r="D128" s="11" t="s">
        <v>39</v>
      </c>
      <c r="E128" s="11">
        <v>36.0</v>
      </c>
      <c r="F128" s="21" t="s">
        <v>144</v>
      </c>
      <c r="G128" s="15">
        <v>0.11675550405561985</v>
      </c>
      <c r="H128" s="11" t="s">
        <v>33</v>
      </c>
      <c r="I128" s="16">
        <v>0.6240000000000001</v>
      </c>
      <c r="J128" s="11" t="s">
        <v>340</v>
      </c>
      <c r="K128" s="11" t="s">
        <v>26</v>
      </c>
      <c r="L128" s="11" t="s">
        <v>36</v>
      </c>
      <c r="M128" s="11" t="s">
        <v>28</v>
      </c>
      <c r="N128" s="11" t="s">
        <v>216</v>
      </c>
      <c r="O128" s="11" t="s">
        <v>341</v>
      </c>
      <c r="P128" s="11" t="s">
        <v>58</v>
      </c>
      <c r="Q128" s="20">
        <v>39831.0</v>
      </c>
      <c r="R128" s="17">
        <f t="shared" si="2"/>
        <v>8.899571541</v>
      </c>
      <c r="S128" s="9"/>
      <c r="T128" s="9"/>
      <c r="U128" s="9"/>
      <c r="V128" s="9"/>
      <c r="W128" s="9"/>
      <c r="X128" s="9"/>
      <c r="Y128" s="9"/>
      <c r="Z128" s="9"/>
      <c r="AA128" s="9"/>
      <c r="AB128" s="9" t="str">
        <f>IFERROR(__xludf.DUMMYFUNCTION("""COMPUTED_VALUE"""),"Alejandro Grove")</f>
        <v>Alejandro Grove</v>
      </c>
      <c r="AC128" s="9"/>
      <c r="AD128" s="9"/>
      <c r="AE128" s="9">
        <f t="shared" si="8"/>
        <v>2</v>
      </c>
      <c r="AF128" s="19">
        <f t="shared" si="13"/>
        <v>1</v>
      </c>
      <c r="AG128" s="9"/>
      <c r="AH128" s="9"/>
      <c r="AI128" s="9"/>
    </row>
    <row r="129" ht="15.0" customHeight="1">
      <c r="A129" s="11">
        <v>128.0</v>
      </c>
      <c r="B129" s="12">
        <f t="shared" si="26"/>
        <v>39829</v>
      </c>
      <c r="C129" s="13">
        <v>2009.0</v>
      </c>
      <c r="D129" s="11" t="s">
        <v>39</v>
      </c>
      <c r="E129" s="11">
        <v>2.0</v>
      </c>
      <c r="F129" s="21" t="s">
        <v>342</v>
      </c>
      <c r="G129" s="15">
        <v>0.062225497420781255</v>
      </c>
      <c r="H129" s="11" t="s">
        <v>45</v>
      </c>
      <c r="I129" s="16">
        <v>23.368000000000002</v>
      </c>
      <c r="J129" s="11" t="s">
        <v>340</v>
      </c>
      <c r="K129" s="11" t="s">
        <v>26</v>
      </c>
      <c r="L129" s="11" t="s">
        <v>36</v>
      </c>
      <c r="M129" s="11" t="s">
        <v>49</v>
      </c>
      <c r="N129" s="11" t="s">
        <v>85</v>
      </c>
      <c r="O129" s="11" t="s">
        <v>343</v>
      </c>
      <c r="P129" s="11" t="s">
        <v>87</v>
      </c>
      <c r="Q129" s="20">
        <v>39831.0</v>
      </c>
      <c r="R129" s="17">
        <f t="shared" si="2"/>
        <v>23.7557037</v>
      </c>
      <c r="S129" s="9"/>
      <c r="T129" s="9"/>
      <c r="U129" s="9"/>
      <c r="V129" s="9"/>
      <c r="W129" s="9"/>
      <c r="X129" s="9"/>
      <c r="Y129" s="9"/>
      <c r="Z129" s="9"/>
      <c r="AA129" s="9"/>
      <c r="AB129" s="9" t="str">
        <f>IFERROR(__xludf.DUMMYFUNCTION("""COMPUTED_VALUE"""),"Carol Darley")</f>
        <v>Carol Darley</v>
      </c>
      <c r="AC129" s="9"/>
      <c r="AD129" s="9"/>
      <c r="AE129" s="9">
        <f t="shared" si="8"/>
        <v>2</v>
      </c>
      <c r="AF129" s="19">
        <f t="shared" si="13"/>
        <v>1</v>
      </c>
      <c r="AG129" s="9"/>
      <c r="AH129" s="9"/>
      <c r="AI129" s="9"/>
    </row>
    <row r="130" ht="15.0" customHeight="1">
      <c r="A130" s="11">
        <v>129.0</v>
      </c>
      <c r="B130" s="12">
        <f t="shared" si="26"/>
        <v>39829</v>
      </c>
      <c r="C130" s="13">
        <v>2009.0</v>
      </c>
      <c r="D130" s="11" t="s">
        <v>102</v>
      </c>
      <c r="E130" s="11">
        <v>35.0</v>
      </c>
      <c r="F130" s="21" t="s">
        <v>344</v>
      </c>
      <c r="G130" s="15">
        <v>0.027750394321766677</v>
      </c>
      <c r="H130" s="11" t="s">
        <v>33</v>
      </c>
      <c r="I130" s="16">
        <v>4.4</v>
      </c>
      <c r="J130" s="11" t="s">
        <v>345</v>
      </c>
      <c r="K130" s="11" t="s">
        <v>65</v>
      </c>
      <c r="L130" s="11" t="s">
        <v>27</v>
      </c>
      <c r="M130" s="11" t="s">
        <v>28</v>
      </c>
      <c r="N130" s="11" t="s">
        <v>29</v>
      </c>
      <c r="O130" s="11" t="s">
        <v>346</v>
      </c>
      <c r="P130" s="11" t="s">
        <v>38</v>
      </c>
      <c r="Q130" s="20">
        <v>39831.0</v>
      </c>
      <c r="R130" s="17">
        <f t="shared" si="2"/>
        <v>13.13703667</v>
      </c>
      <c r="S130" s="9"/>
      <c r="T130" s="9"/>
      <c r="U130" s="9"/>
      <c r="V130" s="9"/>
      <c r="W130" s="9"/>
      <c r="X130" s="9"/>
      <c r="Y130" s="9"/>
      <c r="Z130" s="9"/>
      <c r="AA130" s="9"/>
      <c r="AB130" s="9" t="str">
        <f>IFERROR(__xludf.DUMMYFUNCTION("""COMPUTED_VALUE"""),"Henia Zydlo")</f>
        <v>Henia Zydlo</v>
      </c>
      <c r="AC130" s="9"/>
      <c r="AD130" s="9"/>
      <c r="AE130" s="9">
        <f t="shared" si="8"/>
        <v>1</v>
      </c>
      <c r="AF130" s="19">
        <f t="shared" si="13"/>
        <v>5</v>
      </c>
      <c r="AG130" s="9"/>
      <c r="AH130" s="9"/>
      <c r="AI130" s="9"/>
    </row>
    <row r="131" ht="15.0" customHeight="1">
      <c r="A131" s="11">
        <v>130.0</v>
      </c>
      <c r="B131" s="12">
        <f t="shared" ref="B131:B142" si="27">DATE(2012,12,31)-1444</f>
        <v>39830</v>
      </c>
      <c r="C131" s="13">
        <v>2009.0</v>
      </c>
      <c r="D131" s="11" t="s">
        <v>102</v>
      </c>
      <c r="E131" s="11">
        <v>24.0</v>
      </c>
      <c r="F131" s="21" t="s">
        <v>347</v>
      </c>
      <c r="G131" s="15">
        <v>0.0499073487393451</v>
      </c>
      <c r="H131" s="11" t="s">
        <v>45</v>
      </c>
      <c r="I131" s="16">
        <v>72.84</v>
      </c>
      <c r="J131" s="11" t="s">
        <v>180</v>
      </c>
      <c r="K131" s="11" t="s">
        <v>35</v>
      </c>
      <c r="L131" s="11" t="s">
        <v>36</v>
      </c>
      <c r="M131" s="11" t="s">
        <v>28</v>
      </c>
      <c r="N131" s="11" t="s">
        <v>197</v>
      </c>
      <c r="O131" s="11" t="s">
        <v>348</v>
      </c>
      <c r="P131" s="11" t="s">
        <v>52</v>
      </c>
      <c r="Q131" s="20">
        <v>39831.0</v>
      </c>
      <c r="R131" s="17">
        <f t="shared" si="2"/>
        <v>396.6256782</v>
      </c>
      <c r="S131" s="9"/>
      <c r="T131" s="9"/>
      <c r="U131" s="9"/>
      <c r="V131" s="9"/>
      <c r="W131" s="9"/>
      <c r="X131" s="9"/>
      <c r="Y131" s="9"/>
      <c r="Z131" s="9"/>
      <c r="AA131" s="9"/>
      <c r="AB131" s="9" t="str">
        <f>IFERROR(__xludf.DUMMYFUNCTION("""COMPUTED_VALUE"""),"Sonia Sunley")</f>
        <v>Sonia Sunley</v>
      </c>
      <c r="AC131" s="9"/>
      <c r="AD131" s="9"/>
      <c r="AE131" s="9">
        <f t="shared" si="8"/>
        <v>2</v>
      </c>
      <c r="AF131" s="19">
        <f t="shared" si="13"/>
        <v>2</v>
      </c>
      <c r="AG131" s="9"/>
      <c r="AH131" s="9"/>
      <c r="AI131" s="9"/>
    </row>
    <row r="132" ht="15.0" customHeight="1">
      <c r="A132" s="11">
        <v>131.0</v>
      </c>
      <c r="B132" s="12">
        <f t="shared" si="27"/>
        <v>39830</v>
      </c>
      <c r="C132" s="13">
        <v>2009.0</v>
      </c>
      <c r="D132" s="11" t="s">
        <v>102</v>
      </c>
      <c r="E132" s="11">
        <v>3.0</v>
      </c>
      <c r="F132" s="21" t="s">
        <v>295</v>
      </c>
      <c r="G132" s="15">
        <v>0.043012329223591994</v>
      </c>
      <c r="H132" s="11" t="s">
        <v>33</v>
      </c>
      <c r="I132" s="16">
        <v>15.991999999999999</v>
      </c>
      <c r="J132" s="11" t="s">
        <v>349</v>
      </c>
      <c r="K132" s="11" t="s">
        <v>61</v>
      </c>
      <c r="L132" s="11" t="s">
        <v>48</v>
      </c>
      <c r="M132" s="11" t="s">
        <v>28</v>
      </c>
      <c r="N132" s="11" t="s">
        <v>236</v>
      </c>
      <c r="O132" s="11" t="s">
        <v>296</v>
      </c>
      <c r="P132" s="11" t="s">
        <v>38</v>
      </c>
      <c r="Q132" s="20">
        <v>39831.0</v>
      </c>
      <c r="R132" s="17">
        <f t="shared" si="2"/>
        <v>12.35279685</v>
      </c>
      <c r="S132" s="9"/>
      <c r="T132" s="9"/>
      <c r="U132" s="9"/>
      <c r="V132" s="9"/>
      <c r="W132" s="9"/>
      <c r="X132" s="9"/>
      <c r="Y132" s="9"/>
      <c r="Z132" s="9"/>
      <c r="AA132" s="9"/>
      <c r="AB132" s="9" t="str">
        <f>IFERROR(__xludf.DUMMYFUNCTION("""COMPUTED_VALUE"""),"Dean Katz")</f>
        <v>Dean Katz</v>
      </c>
      <c r="AC132" s="9"/>
      <c r="AD132" s="9"/>
      <c r="AE132" s="9">
        <f t="shared" si="8"/>
        <v>4</v>
      </c>
      <c r="AF132" s="19">
        <f t="shared" si="13"/>
        <v>4</v>
      </c>
      <c r="AG132" s="9"/>
      <c r="AH132" s="9"/>
      <c r="AI132" s="9"/>
    </row>
    <row r="133" ht="15.0" customHeight="1">
      <c r="A133" s="11">
        <v>132.0</v>
      </c>
      <c r="B133" s="12">
        <f t="shared" si="27"/>
        <v>39830</v>
      </c>
      <c r="C133" s="13">
        <v>2009.0</v>
      </c>
      <c r="D133" s="11" t="s">
        <v>102</v>
      </c>
      <c r="E133" s="11">
        <v>26.0</v>
      </c>
      <c r="F133" s="21" t="s">
        <v>350</v>
      </c>
      <c r="G133" s="15">
        <v>0.060736561667450194</v>
      </c>
      <c r="H133" s="11" t="s">
        <v>33</v>
      </c>
      <c r="I133" s="16">
        <v>6.5440000000000005</v>
      </c>
      <c r="J133" s="11" t="s">
        <v>349</v>
      </c>
      <c r="K133" s="11" t="s">
        <v>61</v>
      </c>
      <c r="L133" s="11" t="s">
        <v>48</v>
      </c>
      <c r="M133" s="11" t="s">
        <v>28</v>
      </c>
      <c r="N133" s="11" t="s">
        <v>56</v>
      </c>
      <c r="O133" s="11" t="s">
        <v>351</v>
      </c>
      <c r="P133" s="11" t="s">
        <v>38</v>
      </c>
      <c r="Q133" s="20">
        <v>39832.0</v>
      </c>
      <c r="R133" s="17">
        <f t="shared" si="2"/>
        <v>36.40209382</v>
      </c>
      <c r="S133" s="9"/>
      <c r="T133" s="9"/>
      <c r="U133" s="9"/>
      <c r="V133" s="9"/>
      <c r="W133" s="9"/>
      <c r="X133" s="9"/>
      <c r="Y133" s="9"/>
      <c r="Z133" s="9"/>
      <c r="AA133" s="9"/>
      <c r="AB133" s="9" t="str">
        <f>IFERROR(__xludf.DUMMYFUNCTION("""COMPUTED_VALUE"""),"Michael Grace")</f>
        <v>Michael Grace</v>
      </c>
      <c r="AC133" s="9"/>
      <c r="AD133" s="9"/>
      <c r="AE133" s="9">
        <f t="shared" si="8"/>
        <v>4</v>
      </c>
      <c r="AF133" s="19">
        <f t="shared" si="13"/>
        <v>4</v>
      </c>
      <c r="AG133" s="9"/>
      <c r="AH133" s="9"/>
      <c r="AI133" s="9"/>
    </row>
    <row r="134" ht="15.0" customHeight="1">
      <c r="A134" s="11">
        <v>133.0</v>
      </c>
      <c r="B134" s="12">
        <f t="shared" si="27"/>
        <v>39830</v>
      </c>
      <c r="C134" s="13">
        <v>2009.0</v>
      </c>
      <c r="D134" s="11" t="s">
        <v>39</v>
      </c>
      <c r="E134" s="11">
        <v>40.0</v>
      </c>
      <c r="F134" s="21" t="s">
        <v>352</v>
      </c>
      <c r="G134" s="15">
        <v>0.07789316621903919</v>
      </c>
      <c r="H134" s="11" t="s">
        <v>33</v>
      </c>
      <c r="I134" s="16">
        <v>15.991999999999999</v>
      </c>
      <c r="J134" s="11" t="s">
        <v>353</v>
      </c>
      <c r="K134" s="11" t="s">
        <v>117</v>
      </c>
      <c r="L134" s="11" t="s">
        <v>36</v>
      </c>
      <c r="M134" s="11" t="s">
        <v>28</v>
      </c>
      <c r="N134" s="11" t="s">
        <v>188</v>
      </c>
      <c r="O134" s="11" t="s">
        <v>354</v>
      </c>
      <c r="P134" s="11" t="s">
        <v>38</v>
      </c>
      <c r="Q134" s="20">
        <v>39832.0</v>
      </c>
      <c r="R134" s="17">
        <f t="shared" si="2"/>
        <v>96.2753303</v>
      </c>
      <c r="S134" s="9"/>
      <c r="T134" s="9"/>
      <c r="U134" s="9"/>
      <c r="V134" s="9"/>
      <c r="W134" s="9"/>
      <c r="X134" s="9"/>
      <c r="Y134" s="9"/>
      <c r="Z134" s="9"/>
      <c r="AA134" s="9"/>
      <c r="AB134" s="9" t="str">
        <f>IFERROR(__xludf.DUMMYFUNCTION("""COMPUTED_VALUE"""),"Gene McClure")</f>
        <v>Gene McClure</v>
      </c>
      <c r="AC134" s="9"/>
      <c r="AD134" s="9"/>
      <c r="AE134" s="9">
        <f t="shared" si="8"/>
        <v>2</v>
      </c>
      <c r="AF134" s="19" t="b">
        <f t="shared" si="13"/>
        <v>0</v>
      </c>
      <c r="AG134" s="9"/>
      <c r="AH134" s="9"/>
      <c r="AI134" s="9"/>
    </row>
    <row r="135" ht="15.0" customHeight="1">
      <c r="A135" s="11">
        <v>134.0</v>
      </c>
      <c r="B135" s="12">
        <f t="shared" si="27"/>
        <v>39830</v>
      </c>
      <c r="C135" s="13">
        <v>2009.0</v>
      </c>
      <c r="D135" s="11" t="s">
        <v>39</v>
      </c>
      <c r="E135" s="11">
        <v>46.0</v>
      </c>
      <c r="F135" s="21" t="s">
        <v>277</v>
      </c>
      <c r="G135" s="15">
        <v>0.05959798994974857</v>
      </c>
      <c r="H135" s="11" t="s">
        <v>33</v>
      </c>
      <c r="I135" s="16">
        <v>1.2560000000000002</v>
      </c>
      <c r="J135" s="11" t="s">
        <v>353</v>
      </c>
      <c r="K135" s="11" t="s">
        <v>117</v>
      </c>
      <c r="L135" s="11" t="s">
        <v>36</v>
      </c>
      <c r="M135" s="11" t="s">
        <v>28</v>
      </c>
      <c r="N135" s="11" t="s">
        <v>62</v>
      </c>
      <c r="O135" s="11" t="s">
        <v>355</v>
      </c>
      <c r="P135" s="11" t="s">
        <v>58</v>
      </c>
      <c r="Q135" s="20">
        <v>39832.0</v>
      </c>
      <c r="R135" s="17">
        <f t="shared" si="2"/>
        <v>4.461267136</v>
      </c>
      <c r="S135" s="9"/>
      <c r="T135" s="9"/>
      <c r="U135" s="9"/>
      <c r="V135" s="9"/>
      <c r="W135" s="9"/>
      <c r="X135" s="9"/>
      <c r="Y135" s="9"/>
      <c r="Z135" s="9"/>
      <c r="AA135" s="9"/>
      <c r="AB135" s="9" t="str">
        <f>IFERROR(__xludf.DUMMYFUNCTION("""COMPUTED_VALUE"""),"Christine Sundaresam")</f>
        <v>Christine Sundaresam</v>
      </c>
      <c r="AC135" s="9"/>
      <c r="AD135" s="9"/>
      <c r="AE135" s="9">
        <f t="shared" si="8"/>
        <v>2</v>
      </c>
      <c r="AF135" s="19" t="b">
        <f t="shared" si="13"/>
        <v>0</v>
      </c>
      <c r="AG135" s="9"/>
      <c r="AH135" s="9"/>
      <c r="AI135" s="9"/>
    </row>
    <row r="136" ht="15.0" customHeight="1">
      <c r="A136" s="11">
        <v>135.0</v>
      </c>
      <c r="B136" s="12">
        <f t="shared" si="27"/>
        <v>39830</v>
      </c>
      <c r="C136" s="13">
        <v>2009.0</v>
      </c>
      <c r="D136" s="11" t="s">
        <v>102</v>
      </c>
      <c r="E136" s="11">
        <v>33.0</v>
      </c>
      <c r="F136" s="21" t="s">
        <v>356</v>
      </c>
      <c r="G136" s="15">
        <v>0.06172515125324129</v>
      </c>
      <c r="H136" s="11" t="s">
        <v>33</v>
      </c>
      <c r="I136" s="16">
        <v>1.592</v>
      </c>
      <c r="J136" s="11" t="s">
        <v>357</v>
      </c>
      <c r="K136" s="11" t="s">
        <v>65</v>
      </c>
      <c r="L136" s="11" t="s">
        <v>48</v>
      </c>
      <c r="M136" s="11" t="s">
        <v>66</v>
      </c>
      <c r="N136" s="11" t="s">
        <v>67</v>
      </c>
      <c r="O136" s="11" t="s">
        <v>358</v>
      </c>
      <c r="P136" s="11" t="s">
        <v>99</v>
      </c>
      <c r="Q136" s="20">
        <v>39832.0</v>
      </c>
      <c r="R136" s="17">
        <f t="shared" si="2"/>
        <v>33.5039183</v>
      </c>
      <c r="S136" s="9"/>
      <c r="T136" s="9"/>
      <c r="U136" s="9"/>
      <c r="V136" s="9"/>
      <c r="W136" s="9"/>
      <c r="X136" s="9"/>
      <c r="Y136" s="9"/>
      <c r="Z136" s="9"/>
      <c r="AA136" s="9"/>
      <c r="AB136" s="9" t="str">
        <f>IFERROR(__xludf.DUMMYFUNCTION("""COMPUTED_VALUE"""),"Robert Barroso")</f>
        <v>Robert Barroso</v>
      </c>
      <c r="AC136" s="9"/>
      <c r="AD136" s="9"/>
      <c r="AE136" s="9">
        <f t="shared" si="8"/>
        <v>4</v>
      </c>
      <c r="AF136" s="19">
        <f t="shared" si="13"/>
        <v>5</v>
      </c>
      <c r="AG136" s="9"/>
      <c r="AH136" s="9"/>
      <c r="AI136" s="9"/>
    </row>
    <row r="137" ht="15.0" customHeight="1">
      <c r="A137" s="11">
        <v>136.0</v>
      </c>
      <c r="B137" s="12">
        <f t="shared" si="27"/>
        <v>39830</v>
      </c>
      <c r="C137" s="13">
        <v>2009.0</v>
      </c>
      <c r="D137" s="11" t="s">
        <v>23</v>
      </c>
      <c r="E137" s="11">
        <v>39.0</v>
      </c>
      <c r="F137" s="21" t="s">
        <v>359</v>
      </c>
      <c r="G137" s="15">
        <v>0.05034851621808146</v>
      </c>
      <c r="H137" s="11" t="s">
        <v>33</v>
      </c>
      <c r="I137" s="16">
        <v>4.936</v>
      </c>
      <c r="J137" s="11" t="s">
        <v>360</v>
      </c>
      <c r="K137" s="11" t="s">
        <v>65</v>
      </c>
      <c r="L137" s="11" t="s">
        <v>27</v>
      </c>
      <c r="M137" s="11" t="s">
        <v>28</v>
      </c>
      <c r="N137" s="11" t="s">
        <v>62</v>
      </c>
      <c r="O137" s="11" t="s">
        <v>361</v>
      </c>
      <c r="P137" s="11" t="s">
        <v>99</v>
      </c>
      <c r="Q137" s="20">
        <v>39832.0</v>
      </c>
      <c r="R137" s="17">
        <f t="shared" si="2"/>
        <v>55.4254592</v>
      </c>
      <c r="S137" s="9"/>
      <c r="T137" s="9"/>
      <c r="U137" s="9"/>
      <c r="V137" s="9"/>
      <c r="W137" s="9"/>
      <c r="X137" s="9"/>
      <c r="Y137" s="9"/>
      <c r="Z137" s="9"/>
      <c r="AA137" s="9"/>
      <c r="AB137" s="9" t="str">
        <f>IFERROR(__xludf.DUMMYFUNCTION("""COMPUTED_VALUE"""),"Christina Vanderzanden")</f>
        <v>Christina Vanderzanden</v>
      </c>
      <c r="AC137" s="9"/>
      <c r="AD137" s="9"/>
      <c r="AE137" s="9">
        <f t="shared" si="8"/>
        <v>1</v>
      </c>
      <c r="AF137" s="19">
        <f t="shared" si="13"/>
        <v>5</v>
      </c>
      <c r="AG137" s="9"/>
      <c r="AH137" s="9"/>
      <c r="AI137" s="9"/>
    </row>
    <row r="138" ht="15.0" customHeight="1">
      <c r="A138" s="11">
        <v>137.0</v>
      </c>
      <c r="B138" s="12">
        <f t="shared" si="27"/>
        <v>39830</v>
      </c>
      <c r="C138" s="13">
        <v>2009.0</v>
      </c>
      <c r="D138" s="11" t="s">
        <v>102</v>
      </c>
      <c r="E138" s="11">
        <v>13.0</v>
      </c>
      <c r="F138" s="21" t="s">
        <v>362</v>
      </c>
      <c r="G138" s="15">
        <v>0.060360944007403904</v>
      </c>
      <c r="H138" s="11" t="s">
        <v>33</v>
      </c>
      <c r="I138" s="16">
        <v>10.656</v>
      </c>
      <c r="J138" s="11" t="s">
        <v>363</v>
      </c>
      <c r="K138" s="11" t="s">
        <v>65</v>
      </c>
      <c r="L138" s="11" t="s">
        <v>27</v>
      </c>
      <c r="M138" s="11" t="s">
        <v>28</v>
      </c>
      <c r="N138" s="11" t="s">
        <v>197</v>
      </c>
      <c r="O138" s="11" t="s">
        <v>364</v>
      </c>
      <c r="P138" s="11" t="s">
        <v>38</v>
      </c>
      <c r="Q138" s="20">
        <v>39832.0</v>
      </c>
      <c r="R138" s="17">
        <f t="shared" si="2"/>
        <v>12.25665185</v>
      </c>
      <c r="S138" s="9"/>
      <c r="T138" s="9"/>
      <c r="U138" s="9"/>
      <c r="V138" s="9"/>
      <c r="W138" s="9"/>
      <c r="X138" s="9"/>
      <c r="Y138" s="9"/>
      <c r="Z138" s="9"/>
      <c r="AA138" s="9"/>
      <c r="AB138" s="9" t="str">
        <f>IFERROR(__xludf.DUMMYFUNCTION("""COMPUTED_VALUE"""),"Mick Crebagga")</f>
        <v>Mick Crebagga</v>
      </c>
      <c r="AC138" s="9"/>
      <c r="AD138" s="9"/>
      <c r="AE138" s="9">
        <f t="shared" si="8"/>
        <v>1</v>
      </c>
      <c r="AF138" s="19">
        <f t="shared" si="13"/>
        <v>5</v>
      </c>
      <c r="AG138" s="9"/>
      <c r="AH138" s="9"/>
      <c r="AI138" s="9"/>
    </row>
    <row r="139" ht="15.0" customHeight="1">
      <c r="A139" s="11">
        <v>138.0</v>
      </c>
      <c r="B139" s="12">
        <f t="shared" si="27"/>
        <v>39830</v>
      </c>
      <c r="C139" s="13">
        <v>2009.0</v>
      </c>
      <c r="D139" s="11" t="s">
        <v>102</v>
      </c>
      <c r="E139" s="11">
        <v>11.0</v>
      </c>
      <c r="F139" s="21" t="s">
        <v>290</v>
      </c>
      <c r="G139" s="15">
        <v>0.05496062992125974</v>
      </c>
      <c r="H139" s="11" t="s">
        <v>24</v>
      </c>
      <c r="I139" s="16">
        <v>1.8079999999999998</v>
      </c>
      <c r="J139" s="11" t="s">
        <v>363</v>
      </c>
      <c r="K139" s="11" t="s">
        <v>65</v>
      </c>
      <c r="L139" s="11" t="s">
        <v>27</v>
      </c>
      <c r="M139" s="11" t="s">
        <v>28</v>
      </c>
      <c r="N139" s="11" t="s">
        <v>56</v>
      </c>
      <c r="O139" s="11" t="s">
        <v>365</v>
      </c>
      <c r="P139" s="11" t="s">
        <v>58</v>
      </c>
      <c r="Q139" s="20">
        <v>39832.0</v>
      </c>
      <c r="R139" s="17">
        <f t="shared" si="2"/>
        <v>2.638549921</v>
      </c>
      <c r="S139" s="9"/>
      <c r="T139" s="9"/>
      <c r="U139" s="9"/>
      <c r="V139" s="9"/>
      <c r="W139" s="9"/>
      <c r="X139" s="9"/>
      <c r="Y139" s="9"/>
      <c r="Z139" s="9"/>
      <c r="AA139" s="9"/>
      <c r="AB139" s="9" t="str">
        <f>IFERROR(__xludf.DUMMYFUNCTION("""COMPUTED_VALUE"""),"Ricardo Block")</f>
        <v>Ricardo Block</v>
      </c>
      <c r="AC139" s="9"/>
      <c r="AD139" s="9"/>
      <c r="AE139" s="9">
        <f t="shared" si="8"/>
        <v>1</v>
      </c>
      <c r="AF139" s="19">
        <f t="shared" si="13"/>
        <v>5</v>
      </c>
      <c r="AG139" s="9"/>
      <c r="AH139" s="9"/>
      <c r="AI139" s="9"/>
    </row>
    <row r="140" ht="15.0" customHeight="1">
      <c r="A140" s="11">
        <v>139.0</v>
      </c>
      <c r="B140" s="12">
        <f t="shared" si="27"/>
        <v>39830</v>
      </c>
      <c r="C140" s="13">
        <v>2009.0</v>
      </c>
      <c r="D140" s="11" t="s">
        <v>102</v>
      </c>
      <c r="E140" s="11">
        <v>18.0</v>
      </c>
      <c r="F140" s="21" t="s">
        <v>93</v>
      </c>
      <c r="G140" s="15">
        <v>0.0974345549738222</v>
      </c>
      <c r="H140" s="11" t="s">
        <v>33</v>
      </c>
      <c r="I140" s="16">
        <v>1.1119999999999999</v>
      </c>
      <c r="J140" s="11" t="s">
        <v>366</v>
      </c>
      <c r="K140" s="11" t="s">
        <v>35</v>
      </c>
      <c r="L140" s="11" t="s">
        <v>48</v>
      </c>
      <c r="M140" s="11" t="s">
        <v>28</v>
      </c>
      <c r="N140" s="11" t="s">
        <v>236</v>
      </c>
      <c r="O140" s="11" t="s">
        <v>367</v>
      </c>
      <c r="P140" s="11" t="s">
        <v>38</v>
      </c>
      <c r="Q140" s="20">
        <v>39832.0</v>
      </c>
      <c r="R140" s="17">
        <f t="shared" si="2"/>
        <v>13.43739435</v>
      </c>
      <c r="S140" s="9"/>
      <c r="T140" s="9"/>
      <c r="U140" s="9"/>
      <c r="V140" s="9"/>
      <c r="W140" s="9"/>
      <c r="X140" s="9"/>
      <c r="Y140" s="9"/>
      <c r="Z140" s="9"/>
      <c r="AA140" s="9"/>
      <c r="AB140" s="9" t="str">
        <f>IFERROR(__xludf.DUMMYFUNCTION("""COMPUTED_VALUE"""),"Anthony Johnson")</f>
        <v>Anthony Johnson</v>
      </c>
      <c r="AC140" s="9"/>
      <c r="AD140" s="9"/>
      <c r="AE140" s="9">
        <f t="shared" si="8"/>
        <v>4</v>
      </c>
      <c r="AF140" s="19">
        <f t="shared" si="13"/>
        <v>2</v>
      </c>
      <c r="AG140" s="9"/>
      <c r="AH140" s="9"/>
      <c r="AI140" s="9"/>
    </row>
    <row r="141" ht="15.0" customHeight="1">
      <c r="A141" s="11">
        <v>140.0</v>
      </c>
      <c r="B141" s="12">
        <f t="shared" si="27"/>
        <v>39830</v>
      </c>
      <c r="C141" s="13">
        <v>2009.0</v>
      </c>
      <c r="D141" s="11" t="s">
        <v>102</v>
      </c>
      <c r="E141" s="11">
        <v>3.0</v>
      </c>
      <c r="F141" s="21" t="s">
        <v>128</v>
      </c>
      <c r="G141" s="15">
        <v>0.035594365453095134</v>
      </c>
      <c r="H141" s="11" t="s">
        <v>33</v>
      </c>
      <c r="I141" s="16">
        <v>2.0</v>
      </c>
      <c r="J141" s="11" t="s">
        <v>366</v>
      </c>
      <c r="K141" s="11" t="s">
        <v>35</v>
      </c>
      <c r="L141" s="11" t="s">
        <v>48</v>
      </c>
      <c r="M141" s="11" t="s">
        <v>66</v>
      </c>
      <c r="N141" s="11" t="s">
        <v>80</v>
      </c>
      <c r="O141" s="11" t="s">
        <v>368</v>
      </c>
      <c r="P141" s="11" t="s">
        <v>38</v>
      </c>
      <c r="Q141" s="20">
        <v>39832.0</v>
      </c>
      <c r="R141" s="17">
        <f t="shared" si="2"/>
        <v>13.51518056</v>
      </c>
      <c r="S141" s="9"/>
      <c r="T141" s="9"/>
      <c r="U141" s="9"/>
      <c r="V141" s="9"/>
      <c r="W141" s="9"/>
      <c r="X141" s="9"/>
      <c r="Y141" s="9"/>
      <c r="Z141" s="9"/>
      <c r="AA141" s="9"/>
      <c r="AB141" s="9" t="str">
        <f>IFERROR(__xludf.DUMMYFUNCTION("""COMPUTED_VALUE"""),"Kelly Andreada")</f>
        <v>Kelly Andreada</v>
      </c>
      <c r="AC141" s="9"/>
      <c r="AD141" s="9"/>
      <c r="AE141" s="9">
        <f t="shared" si="8"/>
        <v>4</v>
      </c>
      <c r="AF141" s="19">
        <f t="shared" si="13"/>
        <v>2</v>
      </c>
      <c r="AG141" s="9"/>
      <c r="AH141" s="9"/>
      <c r="AI141" s="9"/>
    </row>
    <row r="142" ht="15.0" customHeight="1">
      <c r="A142" s="11">
        <v>141.0</v>
      </c>
      <c r="B142" s="12">
        <f t="shared" si="27"/>
        <v>39830</v>
      </c>
      <c r="C142" s="13">
        <v>2009.0</v>
      </c>
      <c r="D142" s="11" t="s">
        <v>102</v>
      </c>
      <c r="E142" s="11">
        <v>25.0</v>
      </c>
      <c r="F142" s="21" t="s">
        <v>245</v>
      </c>
      <c r="G142" s="15">
        <v>0.09622735790131172</v>
      </c>
      <c r="H142" s="11" t="s">
        <v>33</v>
      </c>
      <c r="I142" s="16">
        <v>1.888</v>
      </c>
      <c r="J142" s="11" t="s">
        <v>366</v>
      </c>
      <c r="K142" s="11" t="s">
        <v>35</v>
      </c>
      <c r="L142" s="11" t="s">
        <v>48</v>
      </c>
      <c r="M142" s="11" t="s">
        <v>28</v>
      </c>
      <c r="N142" s="11" t="s">
        <v>62</v>
      </c>
      <c r="O142" s="11" t="s">
        <v>246</v>
      </c>
      <c r="P142" s="11" t="s">
        <v>58</v>
      </c>
      <c r="Q142" s="20">
        <v>39832.0</v>
      </c>
      <c r="R142" s="17">
        <f t="shared" si="2"/>
        <v>27.84704265</v>
      </c>
      <c r="S142" s="9"/>
      <c r="T142" s="9"/>
      <c r="U142" s="9"/>
      <c r="V142" s="9"/>
      <c r="W142" s="9"/>
      <c r="X142" s="9"/>
      <c r="Y142" s="9"/>
      <c r="Z142" s="9"/>
      <c r="AA142" s="9"/>
      <c r="AB142" s="9" t="str">
        <f>IFERROR(__xludf.DUMMYFUNCTION("""COMPUTED_VALUE"""),"Bobby Elias")</f>
        <v>Bobby Elias</v>
      </c>
      <c r="AC142" s="9"/>
      <c r="AD142" s="9"/>
      <c r="AE142" s="9">
        <f t="shared" si="8"/>
        <v>4</v>
      </c>
      <c r="AF142" s="19">
        <f t="shared" si="13"/>
        <v>2</v>
      </c>
      <c r="AG142" s="9"/>
      <c r="AH142" s="9"/>
      <c r="AI142" s="9"/>
    </row>
    <row r="143" ht="15.0" customHeight="1">
      <c r="A143" s="11">
        <v>142.0</v>
      </c>
      <c r="B143" s="12">
        <f t="shared" ref="B143:B149" si="28">DATE(2012,12,31)-1443</f>
        <v>39831</v>
      </c>
      <c r="C143" s="13">
        <v>2009.0</v>
      </c>
      <c r="D143" s="11" t="s">
        <v>32</v>
      </c>
      <c r="E143" s="11">
        <v>50.0</v>
      </c>
      <c r="F143" s="21" t="s">
        <v>369</v>
      </c>
      <c r="G143" s="15">
        <v>0.04771216986696381</v>
      </c>
      <c r="H143" s="11" t="s">
        <v>33</v>
      </c>
      <c r="I143" s="16">
        <v>1.192</v>
      </c>
      <c r="J143" s="11" t="s">
        <v>370</v>
      </c>
      <c r="K143" s="11" t="s">
        <v>65</v>
      </c>
      <c r="L143" s="11" t="s">
        <v>48</v>
      </c>
      <c r="M143" s="11" t="s">
        <v>28</v>
      </c>
      <c r="N143" s="11" t="s">
        <v>42</v>
      </c>
      <c r="O143" s="11" t="s">
        <v>371</v>
      </c>
      <c r="P143" s="11" t="s">
        <v>38</v>
      </c>
      <c r="Q143" s="20">
        <v>39833.0</v>
      </c>
      <c r="R143" s="17">
        <f t="shared" si="2"/>
        <v>138.6607264</v>
      </c>
      <c r="S143" s="9"/>
      <c r="T143" s="9"/>
      <c r="U143" s="9"/>
      <c r="V143" s="9"/>
      <c r="W143" s="9"/>
      <c r="X143" s="9"/>
      <c r="Y143" s="9"/>
      <c r="Z143" s="9"/>
      <c r="AA143" s="9"/>
      <c r="AB143" s="9" t="str">
        <f>IFERROR(__xludf.DUMMYFUNCTION("""COMPUTED_VALUE"""),"Nick Zandusky")</f>
        <v>Nick Zandusky</v>
      </c>
      <c r="AC143" s="9"/>
      <c r="AD143" s="9"/>
      <c r="AE143" s="9">
        <f t="shared" si="8"/>
        <v>4</v>
      </c>
      <c r="AF143" s="19">
        <f t="shared" si="13"/>
        <v>5</v>
      </c>
      <c r="AG143" s="9"/>
      <c r="AH143" s="9"/>
      <c r="AI143" s="9"/>
    </row>
    <row r="144" ht="15.0" customHeight="1">
      <c r="A144" s="11">
        <v>143.0</v>
      </c>
      <c r="B144" s="12">
        <f t="shared" si="28"/>
        <v>39831</v>
      </c>
      <c r="C144" s="13">
        <v>2009.0</v>
      </c>
      <c r="D144" s="11" t="s">
        <v>23</v>
      </c>
      <c r="E144" s="11">
        <v>47.0</v>
      </c>
      <c r="F144" s="21" t="s">
        <v>372</v>
      </c>
      <c r="G144" s="15">
        <v>0.09345927379784114</v>
      </c>
      <c r="H144" s="11" t="s">
        <v>33</v>
      </c>
      <c r="I144" s="16">
        <v>1.1119999999999999</v>
      </c>
      <c r="J144" s="11" t="s">
        <v>373</v>
      </c>
      <c r="K144" s="11" t="s">
        <v>83</v>
      </c>
      <c r="L144" s="11" t="s">
        <v>48</v>
      </c>
      <c r="M144" s="11" t="s">
        <v>28</v>
      </c>
      <c r="N144" s="11" t="s">
        <v>236</v>
      </c>
      <c r="O144" s="11" t="s">
        <v>374</v>
      </c>
      <c r="P144" s="11" t="s">
        <v>38</v>
      </c>
      <c r="Q144" s="20">
        <v>39833.0</v>
      </c>
      <c r="R144" s="17">
        <f t="shared" si="2"/>
        <v>69.06752485</v>
      </c>
      <c r="S144" s="9"/>
      <c r="T144" s="9"/>
      <c r="U144" s="9"/>
      <c r="V144" s="9"/>
      <c r="W144" s="9"/>
      <c r="X144" s="9"/>
      <c r="Y144" s="9"/>
      <c r="Z144" s="9"/>
      <c r="AA144" s="9"/>
      <c r="AB144" s="9" t="str">
        <f>IFERROR(__xludf.DUMMYFUNCTION("""COMPUTED_VALUE"""),"Ed Braxton")</f>
        <v>Ed Braxton</v>
      </c>
      <c r="AC144" s="9"/>
      <c r="AD144" s="9"/>
      <c r="AE144" s="9">
        <f t="shared" si="8"/>
        <v>4</v>
      </c>
      <c r="AF144" s="19" t="b">
        <f t="shared" si="13"/>
        <v>0</v>
      </c>
      <c r="AG144" s="9"/>
      <c r="AH144" s="9"/>
      <c r="AI144" s="9"/>
    </row>
    <row r="145" ht="15.0" customHeight="1">
      <c r="A145" s="11">
        <v>144.0</v>
      </c>
      <c r="B145" s="12">
        <f t="shared" si="28"/>
        <v>39831</v>
      </c>
      <c r="C145" s="13">
        <v>2009.0</v>
      </c>
      <c r="D145" s="11" t="s">
        <v>102</v>
      </c>
      <c r="E145" s="11">
        <v>12.0</v>
      </c>
      <c r="F145" s="21" t="s">
        <v>245</v>
      </c>
      <c r="G145" s="15">
        <v>0.03338305084745767</v>
      </c>
      <c r="H145" s="11" t="s">
        <v>33</v>
      </c>
      <c r="I145" s="16">
        <v>4.576</v>
      </c>
      <c r="J145" s="11" t="s">
        <v>375</v>
      </c>
      <c r="K145" s="11" t="s">
        <v>65</v>
      </c>
      <c r="L145" s="11" t="s">
        <v>48</v>
      </c>
      <c r="M145" s="11" t="s">
        <v>28</v>
      </c>
      <c r="N145" s="11" t="s">
        <v>236</v>
      </c>
      <c r="O145" s="11" t="s">
        <v>376</v>
      </c>
      <c r="P145" s="11" t="s">
        <v>38</v>
      </c>
      <c r="Q145" s="20">
        <v>39833.0</v>
      </c>
      <c r="R145" s="17">
        <f t="shared" si="2"/>
        <v>4.759621858</v>
      </c>
      <c r="S145" s="9"/>
      <c r="T145" s="9"/>
      <c r="U145" s="9"/>
      <c r="V145" s="9"/>
      <c r="W145" s="9"/>
      <c r="X145" s="9"/>
      <c r="Y145" s="9"/>
      <c r="Z145" s="9"/>
      <c r="AA145" s="9"/>
      <c r="AB145" s="9" t="str">
        <f>IFERROR(__xludf.DUMMYFUNCTION("""COMPUTED_VALUE"""),"Robert Dilbeck")</f>
        <v>Robert Dilbeck</v>
      </c>
      <c r="AC145" s="9"/>
      <c r="AD145" s="9"/>
      <c r="AE145" s="9">
        <f t="shared" si="8"/>
        <v>4</v>
      </c>
      <c r="AF145" s="19">
        <f t="shared" si="13"/>
        <v>5</v>
      </c>
      <c r="AG145" s="9"/>
      <c r="AH145" s="9"/>
      <c r="AI145" s="9"/>
    </row>
    <row r="146" ht="15.0" customHeight="1">
      <c r="A146" s="11">
        <v>145.0</v>
      </c>
      <c r="B146" s="12">
        <f t="shared" si="28"/>
        <v>39831</v>
      </c>
      <c r="C146" s="13">
        <v>2009.0</v>
      </c>
      <c r="D146" s="11" t="s">
        <v>102</v>
      </c>
      <c r="E146" s="11">
        <v>29.0</v>
      </c>
      <c r="F146" s="21" t="s">
        <v>377</v>
      </c>
      <c r="G146" s="15">
        <v>0.05753312135665083</v>
      </c>
      <c r="H146" s="11" t="s">
        <v>33</v>
      </c>
      <c r="I146" s="16">
        <v>4.648</v>
      </c>
      <c r="J146" s="11" t="s">
        <v>375</v>
      </c>
      <c r="K146" s="11" t="s">
        <v>65</v>
      </c>
      <c r="L146" s="11" t="s">
        <v>48</v>
      </c>
      <c r="M146" s="11" t="s">
        <v>28</v>
      </c>
      <c r="N146" s="11" t="s">
        <v>56</v>
      </c>
      <c r="O146" s="11" t="s">
        <v>378</v>
      </c>
      <c r="P146" s="11" t="s">
        <v>38</v>
      </c>
      <c r="Q146" s="20">
        <v>39833.0</v>
      </c>
      <c r="R146" s="17">
        <f t="shared" si="2"/>
        <v>81.85513334</v>
      </c>
      <c r="S146" s="9"/>
      <c r="T146" s="9"/>
      <c r="U146" s="9"/>
      <c r="V146" s="9"/>
      <c r="W146" s="9"/>
      <c r="X146" s="9"/>
      <c r="Y146" s="9"/>
      <c r="Z146" s="9"/>
      <c r="AA146" s="9"/>
      <c r="AB146" s="9" t="str">
        <f>IFERROR(__xludf.DUMMYFUNCTION("""COMPUTED_VALUE"""),"Bradley Nguyen")</f>
        <v>Bradley Nguyen</v>
      </c>
      <c r="AC146" s="9"/>
      <c r="AD146" s="9"/>
      <c r="AE146" s="9">
        <f t="shared" si="8"/>
        <v>4</v>
      </c>
      <c r="AF146" s="19">
        <f t="shared" si="13"/>
        <v>5</v>
      </c>
      <c r="AG146" s="9"/>
      <c r="AH146" s="9"/>
      <c r="AI146" s="9"/>
    </row>
    <row r="147" ht="15.0" customHeight="1">
      <c r="A147" s="11">
        <v>146.0</v>
      </c>
      <c r="B147" s="12">
        <f t="shared" si="28"/>
        <v>39831</v>
      </c>
      <c r="C147" s="13">
        <v>2009.0</v>
      </c>
      <c r="D147" s="11" t="s">
        <v>102</v>
      </c>
      <c r="E147" s="11">
        <v>17.0</v>
      </c>
      <c r="F147" s="21" t="s">
        <v>379</v>
      </c>
      <c r="G147" s="15">
        <v>0.03232055749128924</v>
      </c>
      <c r="H147" s="11" t="s">
        <v>33</v>
      </c>
      <c r="I147" s="16">
        <v>14.224000000000002</v>
      </c>
      <c r="J147" s="11" t="s">
        <v>375</v>
      </c>
      <c r="K147" s="11" t="s">
        <v>65</v>
      </c>
      <c r="L147" s="11" t="s">
        <v>48</v>
      </c>
      <c r="M147" s="11" t="s">
        <v>28</v>
      </c>
      <c r="N147" s="11" t="s">
        <v>29</v>
      </c>
      <c r="O147" s="11" t="s">
        <v>380</v>
      </c>
      <c r="P147" s="11" t="s">
        <v>38</v>
      </c>
      <c r="Q147" s="20">
        <v>39833.0</v>
      </c>
      <c r="R147" s="17">
        <f t="shared" si="2"/>
        <v>8.976194509</v>
      </c>
      <c r="S147" s="9"/>
      <c r="T147" s="9"/>
      <c r="U147" s="9"/>
      <c r="V147" s="9"/>
      <c r="W147" s="9"/>
      <c r="X147" s="9"/>
      <c r="Y147" s="9"/>
      <c r="Z147" s="9"/>
      <c r="AA147" s="9"/>
      <c r="AB147" s="9" t="str">
        <f>IFERROR(__xludf.DUMMYFUNCTION("""COMPUTED_VALUE"""),"Helen Wasserman")</f>
        <v>Helen Wasserman</v>
      </c>
      <c r="AC147" s="9"/>
      <c r="AD147" s="9"/>
      <c r="AE147" s="9">
        <f t="shared" si="8"/>
        <v>4</v>
      </c>
      <c r="AF147" s="19">
        <f t="shared" si="13"/>
        <v>5</v>
      </c>
      <c r="AG147" s="9"/>
      <c r="AH147" s="9"/>
      <c r="AI147" s="9"/>
    </row>
    <row r="148" ht="15.0" customHeight="1">
      <c r="A148" s="11">
        <v>147.0</v>
      </c>
      <c r="B148" s="12">
        <f t="shared" si="28"/>
        <v>39831</v>
      </c>
      <c r="C148" s="13">
        <v>2009.0</v>
      </c>
      <c r="D148" s="11" t="s">
        <v>102</v>
      </c>
      <c r="E148" s="11">
        <v>25.0</v>
      </c>
      <c r="F148" s="21" t="s">
        <v>261</v>
      </c>
      <c r="G148" s="15">
        <v>0.04870115836791136</v>
      </c>
      <c r="H148" s="11" t="s">
        <v>45</v>
      </c>
      <c r="I148" s="16">
        <v>31.200000000000003</v>
      </c>
      <c r="J148" s="11" t="s">
        <v>375</v>
      </c>
      <c r="K148" s="11" t="s">
        <v>65</v>
      </c>
      <c r="L148" s="11" t="s">
        <v>48</v>
      </c>
      <c r="M148" s="11" t="s">
        <v>49</v>
      </c>
      <c r="N148" s="11" t="s">
        <v>50</v>
      </c>
      <c r="O148" s="11" t="s">
        <v>263</v>
      </c>
      <c r="P148" s="11" t="s">
        <v>52</v>
      </c>
      <c r="Q148" s="20">
        <v>39833.0</v>
      </c>
      <c r="R148" s="17">
        <f t="shared" si="2"/>
        <v>428.7503879</v>
      </c>
      <c r="S148" s="9"/>
      <c r="T148" s="9"/>
      <c r="U148" s="9"/>
      <c r="V148" s="9"/>
      <c r="W148" s="9"/>
      <c r="X148" s="9"/>
      <c r="Y148" s="9"/>
      <c r="Z148" s="9"/>
      <c r="AA148" s="9"/>
      <c r="AB148" s="9" t="str">
        <f>IFERROR(__xludf.DUMMYFUNCTION("""COMPUTED_VALUE"""),"Grant Donatelli")</f>
        <v>Grant Donatelli</v>
      </c>
      <c r="AC148" s="9"/>
      <c r="AD148" s="9"/>
      <c r="AE148" s="9">
        <f t="shared" si="8"/>
        <v>4</v>
      </c>
      <c r="AF148" s="19">
        <f t="shared" si="13"/>
        <v>5</v>
      </c>
      <c r="AG148" s="9"/>
      <c r="AH148" s="9"/>
      <c r="AI148" s="9"/>
    </row>
    <row r="149" ht="15.0" customHeight="1">
      <c r="A149" s="11">
        <v>148.0</v>
      </c>
      <c r="B149" s="12">
        <f t="shared" si="28"/>
        <v>39831</v>
      </c>
      <c r="C149" s="13">
        <v>2009.0</v>
      </c>
      <c r="D149" s="11" t="s">
        <v>102</v>
      </c>
      <c r="E149" s="11">
        <v>20.0</v>
      </c>
      <c r="F149" s="21" t="s">
        <v>183</v>
      </c>
      <c r="G149" s="15">
        <v>0.0490213263219399</v>
      </c>
      <c r="H149" s="11" t="s">
        <v>24</v>
      </c>
      <c r="I149" s="16">
        <v>7.5200000000000005</v>
      </c>
      <c r="J149" s="11" t="s">
        <v>375</v>
      </c>
      <c r="K149" s="11" t="s">
        <v>65</v>
      </c>
      <c r="L149" s="11" t="s">
        <v>48</v>
      </c>
      <c r="M149" s="11" t="s">
        <v>66</v>
      </c>
      <c r="N149" s="11" t="s">
        <v>69</v>
      </c>
      <c r="O149" s="11" t="s">
        <v>381</v>
      </c>
      <c r="P149" s="11" t="s">
        <v>38</v>
      </c>
      <c r="Q149" s="20">
        <v>39833.0</v>
      </c>
      <c r="R149" s="17">
        <f t="shared" si="2"/>
        <v>15.95742214</v>
      </c>
      <c r="S149" s="9"/>
      <c r="T149" s="9"/>
      <c r="U149" s="9"/>
      <c r="V149" s="9"/>
      <c r="W149" s="9"/>
      <c r="X149" s="9"/>
      <c r="Y149" s="9"/>
      <c r="Z149" s="9"/>
      <c r="AA149" s="9"/>
      <c r="AB149" s="9" t="str">
        <f>IFERROR(__xludf.DUMMYFUNCTION("""COMPUTED_VALUE"""),"Max Engle")</f>
        <v>Max Engle</v>
      </c>
      <c r="AC149" s="9"/>
      <c r="AD149" s="9"/>
      <c r="AE149" s="9">
        <f t="shared" si="8"/>
        <v>4</v>
      </c>
      <c r="AF149" s="19">
        <f t="shared" si="13"/>
        <v>5</v>
      </c>
      <c r="AG149" s="9"/>
      <c r="AH149" s="9"/>
      <c r="AI149" s="9"/>
    </row>
    <row r="150" ht="15.0" customHeight="1">
      <c r="A150" s="11">
        <v>149.0</v>
      </c>
      <c r="B150" s="12">
        <f t="shared" ref="B150:B153" si="29">DATE(2012,12,31)-1442</f>
        <v>39832</v>
      </c>
      <c r="C150" s="13">
        <v>2009.0</v>
      </c>
      <c r="D150" s="11" t="s">
        <v>44</v>
      </c>
      <c r="E150" s="11">
        <v>41.0</v>
      </c>
      <c r="F150" s="21" t="s">
        <v>319</v>
      </c>
      <c r="G150" s="15">
        <v>0.1085007727975271</v>
      </c>
      <c r="H150" s="11" t="s">
        <v>33</v>
      </c>
      <c r="I150" s="16">
        <v>0.5599999999999999</v>
      </c>
      <c r="J150" s="11" t="s">
        <v>382</v>
      </c>
      <c r="K150" s="11" t="s">
        <v>65</v>
      </c>
      <c r="L150" s="11" t="s">
        <v>41</v>
      </c>
      <c r="M150" s="11" t="s">
        <v>28</v>
      </c>
      <c r="N150" s="11" t="s">
        <v>62</v>
      </c>
      <c r="O150" s="11" t="s">
        <v>383</v>
      </c>
      <c r="P150" s="11" t="s">
        <v>58</v>
      </c>
      <c r="Q150" s="20">
        <v>39834.0</v>
      </c>
      <c r="R150" s="17">
        <f t="shared" si="2"/>
        <v>12.51664915</v>
      </c>
      <c r="S150" s="9"/>
      <c r="T150" s="9"/>
      <c r="U150" s="9"/>
      <c r="V150" s="9"/>
      <c r="W150" s="9"/>
      <c r="X150" s="9"/>
      <c r="Y150" s="9"/>
      <c r="Z150" s="9"/>
      <c r="AA150" s="9"/>
      <c r="AB150" s="9" t="str">
        <f>IFERROR(__xludf.DUMMYFUNCTION("""COMPUTED_VALUE"""),"Christine Abelman")</f>
        <v>Christine Abelman</v>
      </c>
      <c r="AC150" s="9"/>
      <c r="AD150" s="9"/>
      <c r="AE150" s="9">
        <f t="shared" si="8"/>
        <v>3</v>
      </c>
      <c r="AF150" s="19">
        <f t="shared" si="13"/>
        <v>5</v>
      </c>
      <c r="AG150" s="9"/>
      <c r="AH150" s="9"/>
      <c r="AI150" s="9"/>
    </row>
    <row r="151" ht="15.0" customHeight="1">
      <c r="A151" s="11">
        <v>150.0</v>
      </c>
      <c r="B151" s="12">
        <f t="shared" si="29"/>
        <v>39832</v>
      </c>
      <c r="C151" s="13">
        <v>2009.0</v>
      </c>
      <c r="D151" s="11" t="s">
        <v>39</v>
      </c>
      <c r="E151" s="11">
        <v>18.0</v>
      </c>
      <c r="F151" s="21" t="s">
        <v>384</v>
      </c>
      <c r="G151" s="15">
        <v>0.08296281742718208</v>
      </c>
      <c r="H151" s="11" t="s">
        <v>33</v>
      </c>
      <c r="I151" s="16">
        <v>0.792</v>
      </c>
      <c r="J151" s="11" t="s">
        <v>385</v>
      </c>
      <c r="K151" s="11" t="s">
        <v>35</v>
      </c>
      <c r="L151" s="11" t="s">
        <v>41</v>
      </c>
      <c r="M151" s="11" t="s">
        <v>28</v>
      </c>
      <c r="N151" s="11" t="s">
        <v>197</v>
      </c>
      <c r="O151" s="11" t="s">
        <v>386</v>
      </c>
      <c r="P151" s="11" t="s">
        <v>38</v>
      </c>
      <c r="Q151" s="20">
        <v>39834.0</v>
      </c>
      <c r="R151" s="17">
        <f t="shared" si="2"/>
        <v>309.7824966</v>
      </c>
      <c r="S151" s="9"/>
      <c r="T151" s="9"/>
      <c r="U151" s="9"/>
      <c r="V151" s="9"/>
      <c r="W151" s="9"/>
      <c r="X151" s="9"/>
      <c r="Y151" s="9"/>
      <c r="Z151" s="9"/>
      <c r="AA151" s="9"/>
      <c r="AB151" s="9" t="str">
        <f>IFERROR(__xludf.DUMMYFUNCTION("""COMPUTED_VALUE"""),"Ionia McGrath")</f>
        <v>Ionia McGrath</v>
      </c>
      <c r="AC151" s="9"/>
      <c r="AD151" s="9"/>
      <c r="AE151" s="9">
        <f t="shared" si="8"/>
        <v>3</v>
      </c>
      <c r="AF151" s="19">
        <f t="shared" si="13"/>
        <v>2</v>
      </c>
      <c r="AG151" s="9"/>
      <c r="AH151" s="9"/>
      <c r="AI151" s="9"/>
    </row>
    <row r="152" ht="15.0" customHeight="1">
      <c r="A152" s="11">
        <v>151.0</v>
      </c>
      <c r="B152" s="12">
        <f t="shared" si="29"/>
        <v>39832</v>
      </c>
      <c r="C152" s="13">
        <v>2009.0</v>
      </c>
      <c r="D152" s="11" t="s">
        <v>39</v>
      </c>
      <c r="E152" s="11">
        <v>5.0</v>
      </c>
      <c r="F152" s="21" t="s">
        <v>304</v>
      </c>
      <c r="G152" s="15">
        <v>0.10924693520140104</v>
      </c>
      <c r="H152" s="11" t="s">
        <v>33</v>
      </c>
      <c r="I152" s="16">
        <v>7.224</v>
      </c>
      <c r="J152" s="11" t="s">
        <v>387</v>
      </c>
      <c r="K152" s="11" t="s">
        <v>83</v>
      </c>
      <c r="L152" s="11" t="s">
        <v>41</v>
      </c>
      <c r="M152" s="11" t="s">
        <v>28</v>
      </c>
      <c r="N152" s="11" t="s">
        <v>56</v>
      </c>
      <c r="O152" s="11" t="s">
        <v>388</v>
      </c>
      <c r="P152" s="11" t="s">
        <v>38</v>
      </c>
      <c r="Q152" s="20">
        <v>39834.0</v>
      </c>
      <c r="R152" s="17">
        <f t="shared" si="2"/>
        <v>11.11303524</v>
      </c>
      <c r="S152" s="9"/>
      <c r="T152" s="9"/>
      <c r="U152" s="9"/>
      <c r="V152" s="9"/>
      <c r="W152" s="9"/>
      <c r="X152" s="9"/>
      <c r="Y152" s="9"/>
      <c r="Z152" s="9"/>
      <c r="AA152" s="9"/>
      <c r="AB152" s="9" t="str">
        <f>IFERROR(__xludf.DUMMYFUNCTION("""COMPUTED_VALUE"""),"Evan Bailliet")</f>
        <v>Evan Bailliet</v>
      </c>
      <c r="AC152" s="9"/>
      <c r="AD152" s="9"/>
      <c r="AE152" s="9">
        <f t="shared" si="8"/>
        <v>3</v>
      </c>
      <c r="AF152" s="19" t="b">
        <f t="shared" si="13"/>
        <v>0</v>
      </c>
      <c r="AG152" s="9"/>
      <c r="AH152" s="9"/>
      <c r="AI152" s="9"/>
    </row>
    <row r="153" ht="15.0" customHeight="1">
      <c r="A153" s="11">
        <v>152.0</v>
      </c>
      <c r="B153" s="12">
        <f t="shared" si="29"/>
        <v>39832</v>
      </c>
      <c r="C153" s="13">
        <v>2009.0</v>
      </c>
      <c r="D153" s="11" t="s">
        <v>39</v>
      </c>
      <c r="E153" s="11">
        <v>18.0</v>
      </c>
      <c r="F153" s="21" t="s">
        <v>389</v>
      </c>
      <c r="G153" s="15">
        <v>0.0057710185477684054</v>
      </c>
      <c r="H153" s="11" t="s">
        <v>45</v>
      </c>
      <c r="I153" s="16">
        <v>44.912000000000006</v>
      </c>
      <c r="J153" s="11" t="s">
        <v>387</v>
      </c>
      <c r="K153" s="11" t="s">
        <v>35</v>
      </c>
      <c r="L153" s="11" t="s">
        <v>41</v>
      </c>
      <c r="M153" s="11" t="s">
        <v>66</v>
      </c>
      <c r="N153" s="11" t="s">
        <v>69</v>
      </c>
      <c r="O153" s="11" t="s">
        <v>390</v>
      </c>
      <c r="P153" s="11" t="s">
        <v>87</v>
      </c>
      <c r="Q153" s="20">
        <v>39834.0</v>
      </c>
      <c r="R153" s="17">
        <f t="shared" si="2"/>
        <v>12.71420021</v>
      </c>
      <c r="S153" s="9"/>
      <c r="T153" s="9"/>
      <c r="U153" s="9"/>
      <c r="V153" s="9"/>
      <c r="W153" s="9"/>
      <c r="X153" s="9"/>
      <c r="Y153" s="9"/>
      <c r="Z153" s="9"/>
      <c r="AA153" s="9"/>
      <c r="AB153" s="9" t="str">
        <f>IFERROR(__xludf.DUMMYFUNCTION("""COMPUTED_VALUE"""),"Edward Becker")</f>
        <v>Edward Becker</v>
      </c>
      <c r="AC153" s="9"/>
      <c r="AD153" s="9"/>
      <c r="AE153" s="9">
        <f t="shared" si="8"/>
        <v>3</v>
      </c>
      <c r="AF153" s="19">
        <f t="shared" si="13"/>
        <v>2</v>
      </c>
      <c r="AG153" s="9"/>
      <c r="AH153" s="9"/>
      <c r="AI153" s="9"/>
    </row>
    <row r="154" ht="15.0" customHeight="1">
      <c r="A154" s="11">
        <v>153.0</v>
      </c>
      <c r="B154" s="12">
        <f t="shared" ref="B154:B155" si="30">DATE(2012,12,31)-1441</f>
        <v>39833</v>
      </c>
      <c r="C154" s="13">
        <v>2009.0</v>
      </c>
      <c r="D154" s="11" t="s">
        <v>39</v>
      </c>
      <c r="E154" s="11">
        <v>36.0</v>
      </c>
      <c r="F154" s="21" t="s">
        <v>391</v>
      </c>
      <c r="G154" s="15">
        <v>0.020227560050568777</v>
      </c>
      <c r="H154" s="11" t="s">
        <v>33</v>
      </c>
      <c r="I154" s="16">
        <v>2.8000000000000003</v>
      </c>
      <c r="J154" s="11" t="s">
        <v>392</v>
      </c>
      <c r="K154" s="11" t="s">
        <v>65</v>
      </c>
      <c r="L154" s="11" t="s">
        <v>48</v>
      </c>
      <c r="M154" s="11" t="s">
        <v>28</v>
      </c>
      <c r="N154" s="11" t="s">
        <v>197</v>
      </c>
      <c r="O154" s="11" t="s">
        <v>393</v>
      </c>
      <c r="P154" s="11" t="s">
        <v>38</v>
      </c>
      <c r="Q154" s="20">
        <v>39834.0</v>
      </c>
      <c r="R154" s="17">
        <f t="shared" si="2"/>
        <v>43.89380531</v>
      </c>
      <c r="S154" s="9"/>
      <c r="T154" s="9"/>
      <c r="U154" s="9"/>
      <c r="V154" s="9"/>
      <c r="W154" s="9"/>
      <c r="X154" s="9"/>
      <c r="Y154" s="9"/>
      <c r="Z154" s="9"/>
      <c r="AA154" s="9"/>
      <c r="AB154" s="9" t="str">
        <f>IFERROR(__xludf.DUMMYFUNCTION("""COMPUTED_VALUE"""),"Thais Sissman")</f>
        <v>Thais Sissman</v>
      </c>
      <c r="AC154" s="9"/>
      <c r="AD154" s="9"/>
      <c r="AE154" s="9">
        <f t="shared" si="8"/>
        <v>4</v>
      </c>
      <c r="AF154" s="19">
        <f t="shared" si="13"/>
        <v>5</v>
      </c>
      <c r="AG154" s="9"/>
      <c r="AH154" s="9"/>
      <c r="AI154" s="9"/>
    </row>
    <row r="155" ht="15.0" customHeight="1">
      <c r="A155" s="11">
        <v>154.0</v>
      </c>
      <c r="B155" s="12">
        <f t="shared" si="30"/>
        <v>39833</v>
      </c>
      <c r="C155" s="13">
        <v>2009.0</v>
      </c>
      <c r="D155" s="11" t="s">
        <v>32</v>
      </c>
      <c r="E155" s="11">
        <v>27.0</v>
      </c>
      <c r="F155" s="21" t="s">
        <v>394</v>
      </c>
      <c r="G155" s="15">
        <v>0.022863528993421457</v>
      </c>
      <c r="H155" s="11" t="s">
        <v>45</v>
      </c>
      <c r="I155" s="16">
        <v>42.784</v>
      </c>
      <c r="J155" s="11" t="s">
        <v>395</v>
      </c>
      <c r="K155" s="11" t="s">
        <v>35</v>
      </c>
      <c r="L155" s="11" t="s">
        <v>36</v>
      </c>
      <c r="M155" s="11" t="s">
        <v>49</v>
      </c>
      <c r="N155" s="11" t="s">
        <v>156</v>
      </c>
      <c r="O155" s="11" t="s">
        <v>396</v>
      </c>
      <c r="P155" s="11" t="s">
        <v>87</v>
      </c>
      <c r="Q155" s="20">
        <v>39835.0</v>
      </c>
      <c r="R155" s="17">
        <f t="shared" si="2"/>
        <v>87.95791657</v>
      </c>
      <c r="S155" s="9"/>
      <c r="T155" s="9"/>
      <c r="U155" s="9"/>
      <c r="V155" s="9"/>
      <c r="W155" s="9"/>
      <c r="X155" s="9"/>
      <c r="Y155" s="9"/>
      <c r="Z155" s="9"/>
      <c r="AA155" s="9"/>
      <c r="AB155" s="9" t="str">
        <f>IFERROR(__xludf.DUMMYFUNCTION("""COMPUTED_VALUE"""),"Rick Wilson")</f>
        <v>Rick Wilson</v>
      </c>
      <c r="AC155" s="9"/>
      <c r="AD155" s="9"/>
      <c r="AE155" s="9">
        <f t="shared" si="8"/>
        <v>2</v>
      </c>
      <c r="AF155" s="19">
        <f t="shared" si="13"/>
        <v>2</v>
      </c>
      <c r="AG155" s="9"/>
      <c r="AH155" s="9"/>
      <c r="AI155" s="9"/>
    </row>
    <row r="156" ht="15.0" customHeight="1">
      <c r="A156" s="11">
        <v>155.0</v>
      </c>
      <c r="B156" s="12">
        <f t="shared" ref="B156:B169" si="31">DATE(2012,12,31)-1440</f>
        <v>39834</v>
      </c>
      <c r="C156" s="13">
        <v>2009.0</v>
      </c>
      <c r="D156" s="11" t="s">
        <v>32</v>
      </c>
      <c r="E156" s="11">
        <v>37.0</v>
      </c>
      <c r="F156" s="21" t="s">
        <v>397</v>
      </c>
      <c r="G156" s="15">
        <v>0.056407615480649306</v>
      </c>
      <c r="H156" s="11" t="s">
        <v>45</v>
      </c>
      <c r="I156" s="16">
        <v>36.408</v>
      </c>
      <c r="J156" s="11" t="s">
        <v>398</v>
      </c>
      <c r="K156" s="11" t="s">
        <v>35</v>
      </c>
      <c r="L156" s="11" t="s">
        <v>36</v>
      </c>
      <c r="M156" s="11" t="s">
        <v>49</v>
      </c>
      <c r="N156" s="11" t="s">
        <v>85</v>
      </c>
      <c r="O156" s="11" t="s">
        <v>399</v>
      </c>
      <c r="P156" s="11" t="s">
        <v>87</v>
      </c>
      <c r="Q156" s="20">
        <v>39835.0</v>
      </c>
      <c r="R156" s="17">
        <f t="shared" si="2"/>
        <v>68.21418066</v>
      </c>
      <c r="S156" s="9"/>
      <c r="T156" s="9"/>
      <c r="U156" s="9"/>
      <c r="V156" s="9"/>
      <c r="W156" s="9"/>
      <c r="X156" s="9"/>
      <c r="Y156" s="9"/>
      <c r="Z156" s="9"/>
      <c r="AA156" s="9"/>
      <c r="AB156" s="9" t="str">
        <f>IFERROR(__xludf.DUMMYFUNCTION("""COMPUTED_VALUE"""),"Nicole Brennan")</f>
        <v>Nicole Brennan</v>
      </c>
      <c r="AC156" s="9"/>
      <c r="AD156" s="9"/>
      <c r="AE156" s="9">
        <f t="shared" si="8"/>
        <v>2</v>
      </c>
      <c r="AF156" s="19">
        <f t="shared" si="13"/>
        <v>2</v>
      </c>
      <c r="AG156" s="9"/>
      <c r="AH156" s="9"/>
      <c r="AI156" s="9"/>
    </row>
    <row r="157" ht="15.0" customHeight="1">
      <c r="A157" s="11">
        <v>156.0</v>
      </c>
      <c r="B157" s="12">
        <f t="shared" si="31"/>
        <v>39834</v>
      </c>
      <c r="C157" s="13">
        <v>2009.0</v>
      </c>
      <c r="D157" s="11" t="s">
        <v>23</v>
      </c>
      <c r="E157" s="11">
        <v>33.0</v>
      </c>
      <c r="F157" s="21" t="s">
        <v>400</v>
      </c>
      <c r="G157" s="15">
        <v>0.03963546035753558</v>
      </c>
      <c r="H157" s="11" t="s">
        <v>45</v>
      </c>
      <c r="I157" s="16">
        <v>47.136</v>
      </c>
      <c r="J157" s="11" t="s">
        <v>72</v>
      </c>
      <c r="K157" s="11" t="s">
        <v>61</v>
      </c>
      <c r="L157" s="11" t="s">
        <v>27</v>
      </c>
      <c r="M157" s="11" t="s">
        <v>49</v>
      </c>
      <c r="N157" s="11" t="s">
        <v>50</v>
      </c>
      <c r="O157" s="11" t="s">
        <v>123</v>
      </c>
      <c r="P157" s="11" t="s">
        <v>52</v>
      </c>
      <c r="Q157" s="20">
        <v>39835.0</v>
      </c>
      <c r="R157" s="17">
        <f t="shared" si="2"/>
        <v>467.3748483</v>
      </c>
      <c r="S157" s="9"/>
      <c r="T157" s="9"/>
      <c r="U157" s="9"/>
      <c r="V157" s="9"/>
      <c r="W157" s="9"/>
      <c r="X157" s="9"/>
      <c r="Y157" s="9"/>
      <c r="Z157" s="9"/>
      <c r="AA157" s="9"/>
      <c r="AB157" s="9" t="str">
        <f>IFERROR(__xludf.DUMMYFUNCTION("""COMPUTED_VALUE"""),"Michael Moore")</f>
        <v>Michael Moore</v>
      </c>
      <c r="AC157" s="9"/>
      <c r="AD157" s="9"/>
      <c r="AE157" s="9">
        <f t="shared" si="8"/>
        <v>1</v>
      </c>
      <c r="AF157" s="19">
        <f t="shared" si="13"/>
        <v>4</v>
      </c>
      <c r="AG157" s="9"/>
      <c r="AH157" s="9"/>
      <c r="AI157" s="9"/>
    </row>
    <row r="158" ht="15.0" customHeight="1">
      <c r="A158" s="11">
        <v>157.0</v>
      </c>
      <c r="B158" s="12">
        <f t="shared" si="31"/>
        <v>39834</v>
      </c>
      <c r="C158" s="13">
        <v>2009.0</v>
      </c>
      <c r="D158" s="11" t="s">
        <v>23</v>
      </c>
      <c r="E158" s="11">
        <v>19.0</v>
      </c>
      <c r="F158" s="21" t="s">
        <v>306</v>
      </c>
      <c r="G158" s="15">
        <v>0.09016068052930058</v>
      </c>
      <c r="H158" s="11" t="s">
        <v>33</v>
      </c>
      <c r="I158" s="16">
        <v>6.944</v>
      </c>
      <c r="J158" s="11" t="s">
        <v>72</v>
      </c>
      <c r="K158" s="11" t="s">
        <v>61</v>
      </c>
      <c r="L158" s="11" t="s">
        <v>27</v>
      </c>
      <c r="M158" s="11" t="s">
        <v>28</v>
      </c>
      <c r="N158" s="11" t="s">
        <v>56</v>
      </c>
      <c r="O158" s="11" t="s">
        <v>401</v>
      </c>
      <c r="P158" s="11" t="s">
        <v>38</v>
      </c>
      <c r="Q158" s="20">
        <v>39835.0</v>
      </c>
      <c r="R158" s="17">
        <f t="shared" si="2"/>
        <v>34.71582907</v>
      </c>
      <c r="S158" s="9"/>
      <c r="T158" s="9"/>
      <c r="U158" s="9"/>
      <c r="V158" s="9"/>
      <c r="W158" s="9"/>
      <c r="X158" s="9"/>
      <c r="Y158" s="9"/>
      <c r="Z158" s="9"/>
      <c r="AA158" s="9"/>
      <c r="AB158" s="9" t="str">
        <f>IFERROR(__xludf.DUMMYFUNCTION("""COMPUTED_VALUE"""),"Frank Hawley")</f>
        <v>Frank Hawley</v>
      </c>
      <c r="AC158" s="9"/>
      <c r="AD158" s="9"/>
      <c r="AE158" s="9">
        <f t="shared" si="8"/>
        <v>1</v>
      </c>
      <c r="AF158" s="19">
        <f t="shared" si="13"/>
        <v>4</v>
      </c>
      <c r="AG158" s="9"/>
      <c r="AH158" s="9"/>
      <c r="AI158" s="9"/>
    </row>
    <row r="159" ht="15.0" customHeight="1">
      <c r="A159" s="11">
        <v>158.0</v>
      </c>
      <c r="B159" s="12">
        <f t="shared" si="31"/>
        <v>39834</v>
      </c>
      <c r="C159" s="13">
        <v>2009.0</v>
      </c>
      <c r="D159" s="11" t="s">
        <v>23</v>
      </c>
      <c r="E159" s="11">
        <v>40.0</v>
      </c>
      <c r="F159" s="21" t="s">
        <v>306</v>
      </c>
      <c r="G159" s="15">
        <v>0.07109671448403519</v>
      </c>
      <c r="H159" s="11" t="s">
        <v>33</v>
      </c>
      <c r="I159" s="16">
        <v>6.944</v>
      </c>
      <c r="J159" s="11" t="s">
        <v>72</v>
      </c>
      <c r="K159" s="11" t="s">
        <v>61</v>
      </c>
      <c r="L159" s="11" t="s">
        <v>27</v>
      </c>
      <c r="M159" s="11" t="s">
        <v>28</v>
      </c>
      <c r="N159" s="11" t="s">
        <v>56</v>
      </c>
      <c r="O159" s="11" t="s">
        <v>401</v>
      </c>
      <c r="P159" s="11" t="s">
        <v>38</v>
      </c>
      <c r="Q159" s="20">
        <v>39835.0</v>
      </c>
      <c r="R159" s="17">
        <f t="shared" si="2"/>
        <v>57.08668031</v>
      </c>
      <c r="S159" s="9"/>
      <c r="T159" s="9"/>
      <c r="U159" s="9"/>
      <c r="V159" s="9"/>
      <c r="W159" s="9"/>
      <c r="X159" s="9"/>
      <c r="Y159" s="9"/>
      <c r="Z159" s="9"/>
      <c r="AA159" s="9"/>
      <c r="AB159" s="9" t="str">
        <f>IFERROR(__xludf.DUMMYFUNCTION("""COMPUTED_VALUE"""),"David Smith")</f>
        <v>David Smith</v>
      </c>
      <c r="AC159" s="9"/>
      <c r="AD159" s="9"/>
      <c r="AE159" s="9">
        <f t="shared" si="8"/>
        <v>1</v>
      </c>
      <c r="AF159" s="19">
        <f t="shared" si="13"/>
        <v>4</v>
      </c>
      <c r="AG159" s="9"/>
      <c r="AH159" s="9"/>
      <c r="AI159" s="9"/>
    </row>
    <row r="160" ht="15.0" customHeight="1">
      <c r="A160" s="11">
        <v>159.0</v>
      </c>
      <c r="B160" s="12">
        <f t="shared" si="31"/>
        <v>39834</v>
      </c>
      <c r="C160" s="13">
        <v>2009.0</v>
      </c>
      <c r="D160" s="11" t="s">
        <v>102</v>
      </c>
      <c r="E160" s="11">
        <v>41.0</v>
      </c>
      <c r="F160" s="21" t="s">
        <v>402</v>
      </c>
      <c r="G160" s="15">
        <v>0.0812947189097104</v>
      </c>
      <c r="H160" s="11" t="s">
        <v>33</v>
      </c>
      <c r="I160" s="16">
        <v>3.7680000000000002</v>
      </c>
      <c r="J160" s="11" t="s">
        <v>403</v>
      </c>
      <c r="K160" s="11" t="s">
        <v>61</v>
      </c>
      <c r="L160" s="11" t="s">
        <v>48</v>
      </c>
      <c r="M160" s="11" t="s">
        <v>28</v>
      </c>
      <c r="N160" s="11" t="s">
        <v>42</v>
      </c>
      <c r="O160" s="11" t="s">
        <v>404</v>
      </c>
      <c r="P160" s="11" t="s">
        <v>38</v>
      </c>
      <c r="Q160" s="20">
        <v>39835.0</v>
      </c>
      <c r="R160" s="17">
        <f t="shared" si="2"/>
        <v>26.30436961</v>
      </c>
      <c r="S160" s="9"/>
      <c r="T160" s="9"/>
      <c r="U160" s="9"/>
      <c r="V160" s="9"/>
      <c r="W160" s="9"/>
      <c r="X160" s="9"/>
      <c r="Y160" s="9"/>
      <c r="Z160" s="9"/>
      <c r="AA160" s="9"/>
      <c r="AB160" s="9" t="str">
        <f>IFERROR(__xludf.DUMMYFUNCTION("""COMPUTED_VALUE"""),"Cathy Armstrong")</f>
        <v>Cathy Armstrong</v>
      </c>
      <c r="AC160" s="9"/>
      <c r="AD160" s="9"/>
      <c r="AE160" s="9">
        <f t="shared" si="8"/>
        <v>4</v>
      </c>
      <c r="AF160" s="19">
        <f t="shared" si="13"/>
        <v>4</v>
      </c>
      <c r="AG160" s="9"/>
      <c r="AH160" s="9"/>
      <c r="AI160" s="9"/>
    </row>
    <row r="161" ht="15.0" customHeight="1">
      <c r="A161" s="11">
        <v>160.0</v>
      </c>
      <c r="B161" s="12">
        <f t="shared" si="31"/>
        <v>39834</v>
      </c>
      <c r="C161" s="13">
        <v>2009.0</v>
      </c>
      <c r="D161" s="11" t="s">
        <v>102</v>
      </c>
      <c r="E161" s="11">
        <v>40.0</v>
      </c>
      <c r="F161" s="21" t="s">
        <v>405</v>
      </c>
      <c r="G161" s="15">
        <v>0.030607532300925545</v>
      </c>
      <c r="H161" s="11" t="s">
        <v>33</v>
      </c>
      <c r="I161" s="16">
        <v>19.592</v>
      </c>
      <c r="J161" s="11" t="s">
        <v>403</v>
      </c>
      <c r="K161" s="11" t="s">
        <v>61</v>
      </c>
      <c r="L161" s="11" t="s">
        <v>48</v>
      </c>
      <c r="M161" s="11" t="s">
        <v>49</v>
      </c>
      <c r="N161" s="11" t="s">
        <v>73</v>
      </c>
      <c r="O161" s="11" t="s">
        <v>406</v>
      </c>
      <c r="P161" s="11" t="s">
        <v>31</v>
      </c>
      <c r="Q161" s="20">
        <v>39835.0</v>
      </c>
      <c r="R161" s="17">
        <f t="shared" si="2"/>
        <v>129.5185888</v>
      </c>
      <c r="S161" s="9"/>
      <c r="T161" s="9"/>
      <c r="U161" s="9"/>
      <c r="V161" s="9"/>
      <c r="W161" s="9"/>
      <c r="X161" s="9"/>
      <c r="Y161" s="9"/>
      <c r="Z161" s="9"/>
      <c r="AA161" s="9"/>
      <c r="AB161" s="9" t="str">
        <f>IFERROR(__xludf.DUMMYFUNCTION("""COMPUTED_VALUE"""),"Trudy Bell")</f>
        <v>Trudy Bell</v>
      </c>
      <c r="AC161" s="9"/>
      <c r="AD161" s="9"/>
      <c r="AE161" s="9">
        <f t="shared" si="8"/>
        <v>4</v>
      </c>
      <c r="AF161" s="19">
        <f t="shared" si="13"/>
        <v>4</v>
      </c>
      <c r="AG161" s="9"/>
      <c r="AH161" s="9"/>
      <c r="AI161" s="9"/>
    </row>
    <row r="162" ht="15.0" customHeight="1">
      <c r="A162" s="11">
        <v>161.0</v>
      </c>
      <c r="B162" s="12">
        <f t="shared" si="31"/>
        <v>39834</v>
      </c>
      <c r="C162" s="13">
        <v>2009.0</v>
      </c>
      <c r="D162" s="11" t="s">
        <v>44</v>
      </c>
      <c r="E162" s="11">
        <v>33.0</v>
      </c>
      <c r="F162" s="21" t="s">
        <v>186</v>
      </c>
      <c r="G162" s="15">
        <v>0.08086161879895565</v>
      </c>
      <c r="H162" s="11" t="s">
        <v>33</v>
      </c>
      <c r="I162" s="16">
        <v>5.5120000000000005</v>
      </c>
      <c r="J162" s="11" t="s">
        <v>407</v>
      </c>
      <c r="K162" s="11" t="s">
        <v>26</v>
      </c>
      <c r="L162" s="11" t="s">
        <v>36</v>
      </c>
      <c r="M162" s="11" t="s">
        <v>28</v>
      </c>
      <c r="N162" s="11" t="s">
        <v>188</v>
      </c>
      <c r="O162" s="11" t="s">
        <v>203</v>
      </c>
      <c r="P162" s="11" t="s">
        <v>38</v>
      </c>
      <c r="Q162" s="20">
        <v>39835.0</v>
      </c>
      <c r="R162" s="17">
        <f t="shared" si="2"/>
        <v>11.38628627</v>
      </c>
      <c r="S162" s="9"/>
      <c r="T162" s="9"/>
      <c r="U162" s="9"/>
      <c r="V162" s="9"/>
      <c r="W162" s="9"/>
      <c r="X162" s="9"/>
      <c r="Y162" s="9"/>
      <c r="Z162" s="9"/>
      <c r="AA162" s="9"/>
      <c r="AB162" s="9" t="str">
        <f>IFERROR(__xludf.DUMMYFUNCTION("""COMPUTED_VALUE"""),"Vivek Grady")</f>
        <v>Vivek Grady</v>
      </c>
      <c r="AC162" s="9"/>
      <c r="AD162" s="9"/>
      <c r="AE162" s="9">
        <f t="shared" si="8"/>
        <v>2</v>
      </c>
      <c r="AF162" s="19">
        <f t="shared" si="13"/>
        <v>1</v>
      </c>
      <c r="AG162" s="9"/>
      <c r="AH162" s="9"/>
      <c r="AI162" s="9"/>
    </row>
    <row r="163" ht="15.0" customHeight="1">
      <c r="A163" s="11">
        <v>162.0</v>
      </c>
      <c r="B163" s="12">
        <f t="shared" si="31"/>
        <v>39834</v>
      </c>
      <c r="C163" s="13">
        <v>2009.0</v>
      </c>
      <c r="D163" s="11" t="s">
        <v>102</v>
      </c>
      <c r="E163" s="11">
        <v>16.0</v>
      </c>
      <c r="F163" s="21" t="s">
        <v>408</v>
      </c>
      <c r="G163" s="15">
        <v>0.03947522488835719</v>
      </c>
      <c r="H163" s="11" t="s">
        <v>45</v>
      </c>
      <c r="I163" s="16">
        <v>18.552000000000003</v>
      </c>
      <c r="J163" s="11" t="s">
        <v>239</v>
      </c>
      <c r="K163" s="11" t="s">
        <v>61</v>
      </c>
      <c r="L163" s="11" t="s">
        <v>48</v>
      </c>
      <c r="M163" s="11" t="s">
        <v>28</v>
      </c>
      <c r="N163" s="11" t="s">
        <v>197</v>
      </c>
      <c r="O163" s="11" t="s">
        <v>409</v>
      </c>
      <c r="P163" s="11" t="s">
        <v>52</v>
      </c>
      <c r="Q163" s="20">
        <v>39835.0</v>
      </c>
      <c r="R163" s="17">
        <f t="shared" si="2"/>
        <v>177.4550312</v>
      </c>
      <c r="S163" s="9"/>
      <c r="T163" s="9"/>
      <c r="U163" s="9"/>
      <c r="V163" s="9"/>
      <c r="W163" s="9"/>
      <c r="X163" s="9"/>
      <c r="Y163" s="9"/>
      <c r="Z163" s="9"/>
      <c r="AA163" s="9"/>
      <c r="AB163" s="9" t="str">
        <f>IFERROR(__xludf.DUMMYFUNCTION("""COMPUTED_VALUE"""),"Vicky Freymann")</f>
        <v>Vicky Freymann</v>
      </c>
      <c r="AC163" s="9"/>
      <c r="AD163" s="9"/>
      <c r="AE163" s="9">
        <f t="shared" si="8"/>
        <v>4</v>
      </c>
      <c r="AF163" s="19">
        <f t="shared" si="13"/>
        <v>4</v>
      </c>
      <c r="AG163" s="9"/>
      <c r="AH163" s="9"/>
      <c r="AI163" s="9"/>
    </row>
    <row r="164" ht="15.0" customHeight="1">
      <c r="A164" s="11">
        <v>163.0</v>
      </c>
      <c r="B164" s="12">
        <f t="shared" si="31"/>
        <v>39834</v>
      </c>
      <c r="C164" s="13">
        <v>2009.0</v>
      </c>
      <c r="D164" s="11" t="s">
        <v>102</v>
      </c>
      <c r="E164" s="11">
        <v>36.0</v>
      </c>
      <c r="F164" s="21" t="s">
        <v>126</v>
      </c>
      <c r="G164" s="15">
        <v>0.022123893805309734</v>
      </c>
      <c r="H164" s="11" t="s">
        <v>33</v>
      </c>
      <c r="I164" s="16">
        <v>0.4</v>
      </c>
      <c r="J164" s="11" t="s">
        <v>239</v>
      </c>
      <c r="K164" s="11" t="s">
        <v>61</v>
      </c>
      <c r="L164" s="11" t="s">
        <v>48</v>
      </c>
      <c r="M164" s="11" t="s">
        <v>28</v>
      </c>
      <c r="N164" s="11" t="s">
        <v>188</v>
      </c>
      <c r="O164" s="11" t="s">
        <v>410</v>
      </c>
      <c r="P164" s="11" t="s">
        <v>38</v>
      </c>
      <c r="Q164" s="20">
        <v>39836.0</v>
      </c>
      <c r="R164" s="17">
        <f t="shared" si="2"/>
        <v>3.911504425</v>
      </c>
      <c r="S164" s="9"/>
      <c r="T164" s="9"/>
      <c r="U164" s="9"/>
      <c r="V164" s="9"/>
      <c r="W164" s="9"/>
      <c r="X164" s="9"/>
      <c r="Y164" s="9"/>
      <c r="Z164" s="9"/>
      <c r="AA164" s="9"/>
      <c r="AB164" s="9" t="str">
        <f>IFERROR(__xludf.DUMMYFUNCTION("""COMPUTED_VALUE"""),"Lena Creighton")</f>
        <v>Lena Creighton</v>
      </c>
      <c r="AC164" s="9"/>
      <c r="AD164" s="9"/>
      <c r="AE164" s="9">
        <f t="shared" si="8"/>
        <v>4</v>
      </c>
      <c r="AF164" s="19">
        <f t="shared" si="13"/>
        <v>4</v>
      </c>
      <c r="AG164" s="9"/>
      <c r="AH164" s="9"/>
      <c r="AI164" s="9"/>
    </row>
    <row r="165" ht="15.0" customHeight="1">
      <c r="A165" s="11">
        <v>164.0</v>
      </c>
      <c r="B165" s="12">
        <f t="shared" si="31"/>
        <v>39834</v>
      </c>
      <c r="C165" s="13">
        <v>2009.0</v>
      </c>
      <c r="D165" s="11" t="s">
        <v>102</v>
      </c>
      <c r="E165" s="11">
        <v>46.0</v>
      </c>
      <c r="F165" s="21" t="s">
        <v>226</v>
      </c>
      <c r="G165" s="15">
        <v>0.02105896341889919</v>
      </c>
      <c r="H165" s="11" t="s">
        <v>33</v>
      </c>
      <c r="I165" s="16">
        <v>1.192</v>
      </c>
      <c r="J165" s="11" t="s">
        <v>239</v>
      </c>
      <c r="K165" s="11" t="s">
        <v>61</v>
      </c>
      <c r="L165" s="11" t="s">
        <v>48</v>
      </c>
      <c r="M165" s="11" t="s">
        <v>28</v>
      </c>
      <c r="N165" s="11" t="s">
        <v>42</v>
      </c>
      <c r="O165" s="11" t="s">
        <v>411</v>
      </c>
      <c r="P165" s="11" t="s">
        <v>38</v>
      </c>
      <c r="Q165" s="20">
        <v>39836.0</v>
      </c>
      <c r="R165" s="17">
        <f t="shared" si="2"/>
        <v>29.47395673</v>
      </c>
      <c r="S165" s="9"/>
      <c r="T165" s="9"/>
      <c r="U165" s="9"/>
      <c r="V165" s="9"/>
      <c r="W165" s="9"/>
      <c r="X165" s="9"/>
      <c r="Y165" s="9"/>
      <c r="Z165" s="9"/>
      <c r="AA165" s="9"/>
      <c r="AB165" s="9" t="str">
        <f>IFERROR(__xludf.DUMMYFUNCTION("""COMPUTED_VALUE"""),"Janet Lee")</f>
        <v>Janet Lee</v>
      </c>
      <c r="AC165" s="9"/>
      <c r="AD165" s="9"/>
      <c r="AE165" s="9">
        <f t="shared" si="8"/>
        <v>4</v>
      </c>
      <c r="AF165" s="19">
        <f t="shared" si="13"/>
        <v>4</v>
      </c>
      <c r="AG165" s="9"/>
      <c r="AH165" s="9"/>
      <c r="AI165" s="9"/>
    </row>
    <row r="166" ht="15.0" customHeight="1">
      <c r="A166" s="11">
        <v>165.0</v>
      </c>
      <c r="B166" s="12">
        <f t="shared" si="31"/>
        <v>39834</v>
      </c>
      <c r="C166" s="13">
        <v>2009.0</v>
      </c>
      <c r="D166" s="11" t="s">
        <v>39</v>
      </c>
      <c r="E166" s="11">
        <v>12.0</v>
      </c>
      <c r="F166" s="21" t="s">
        <v>402</v>
      </c>
      <c r="G166" s="15">
        <v>0.05191820837390465</v>
      </c>
      <c r="H166" s="11" t="s">
        <v>33</v>
      </c>
      <c r="I166" s="16">
        <v>3.7680000000000002</v>
      </c>
      <c r="J166" s="11" t="s">
        <v>412</v>
      </c>
      <c r="K166" s="11" t="s">
        <v>35</v>
      </c>
      <c r="L166" s="11" t="s">
        <v>27</v>
      </c>
      <c r="M166" s="11" t="s">
        <v>28</v>
      </c>
      <c r="N166" s="11" t="s">
        <v>42</v>
      </c>
      <c r="O166" s="11" t="s">
        <v>404</v>
      </c>
      <c r="P166" s="11" t="s">
        <v>38</v>
      </c>
      <c r="Q166" s="20">
        <v>39836.0</v>
      </c>
      <c r="R166" s="17">
        <f t="shared" si="2"/>
        <v>5.055172113</v>
      </c>
      <c r="S166" s="9"/>
      <c r="T166" s="9"/>
      <c r="U166" s="9"/>
      <c r="V166" s="9"/>
      <c r="W166" s="9"/>
      <c r="X166" s="9"/>
      <c r="Y166" s="9"/>
      <c r="Z166" s="9"/>
      <c r="AA166" s="9"/>
      <c r="AB166" s="9" t="str">
        <f>IFERROR(__xludf.DUMMYFUNCTION("""COMPUTED_VALUE"""),"Charles Crestani")</f>
        <v>Charles Crestani</v>
      </c>
      <c r="AC166" s="9"/>
      <c r="AD166" s="9"/>
      <c r="AE166" s="9">
        <f t="shared" si="8"/>
        <v>1</v>
      </c>
      <c r="AF166" s="19">
        <f t="shared" si="13"/>
        <v>2</v>
      </c>
      <c r="AG166" s="9"/>
      <c r="AH166" s="9"/>
      <c r="AI166" s="9"/>
    </row>
    <row r="167" ht="15.0" customHeight="1">
      <c r="A167" s="11">
        <v>166.0</v>
      </c>
      <c r="B167" s="12">
        <f t="shared" si="31"/>
        <v>39834</v>
      </c>
      <c r="C167" s="13">
        <v>2009.0</v>
      </c>
      <c r="D167" s="11" t="s">
        <v>39</v>
      </c>
      <c r="E167" s="11">
        <v>34.0</v>
      </c>
      <c r="F167" s="21" t="s">
        <v>413</v>
      </c>
      <c r="G167" s="15">
        <v>0.047176538240368236</v>
      </c>
      <c r="H167" s="11" t="s">
        <v>24</v>
      </c>
      <c r="I167" s="16">
        <v>1.592</v>
      </c>
      <c r="J167" s="11" t="s">
        <v>412</v>
      </c>
      <c r="K167" s="11" t="s">
        <v>35</v>
      </c>
      <c r="L167" s="11" t="s">
        <v>27</v>
      </c>
      <c r="M167" s="11" t="s">
        <v>66</v>
      </c>
      <c r="N167" s="11" t="s">
        <v>67</v>
      </c>
      <c r="O167" s="11" t="s">
        <v>414</v>
      </c>
      <c r="P167" s="11" t="s">
        <v>99</v>
      </c>
      <c r="Q167" s="20">
        <v>39836.0</v>
      </c>
      <c r="R167" s="17">
        <f t="shared" si="2"/>
        <v>15.63392736</v>
      </c>
      <c r="S167" s="9"/>
      <c r="T167" s="9"/>
      <c r="U167" s="9"/>
      <c r="V167" s="9"/>
      <c r="W167" s="9"/>
      <c r="X167" s="9"/>
      <c r="Y167" s="9"/>
      <c r="Z167" s="9"/>
      <c r="AA167" s="9"/>
      <c r="AB167" s="9" t="str">
        <f>IFERROR(__xludf.DUMMYFUNCTION("""COMPUTED_VALUE"""),"Bill Eplett")</f>
        <v>Bill Eplett</v>
      </c>
      <c r="AC167" s="9"/>
      <c r="AD167" s="9"/>
      <c r="AE167" s="9">
        <f t="shared" si="8"/>
        <v>1</v>
      </c>
      <c r="AF167" s="19">
        <f t="shared" si="13"/>
        <v>2</v>
      </c>
      <c r="AG167" s="9"/>
      <c r="AH167" s="9"/>
      <c r="AI167" s="9"/>
    </row>
    <row r="168" ht="15.0" customHeight="1">
      <c r="A168" s="11">
        <v>167.0</v>
      </c>
      <c r="B168" s="12">
        <f t="shared" si="31"/>
        <v>39834</v>
      </c>
      <c r="C168" s="13">
        <v>2009.0</v>
      </c>
      <c r="D168" s="11" t="s">
        <v>44</v>
      </c>
      <c r="E168" s="11">
        <v>36.0</v>
      </c>
      <c r="F168" s="21" t="s">
        <v>415</v>
      </c>
      <c r="G168" s="15">
        <v>0.06710787557908661</v>
      </c>
      <c r="H168" s="11" t="s">
        <v>33</v>
      </c>
      <c r="I168" s="16">
        <v>0.5599999999999999</v>
      </c>
      <c r="J168" s="11" t="s">
        <v>416</v>
      </c>
      <c r="K168" s="11" t="s">
        <v>65</v>
      </c>
      <c r="L168" s="11" t="s">
        <v>41</v>
      </c>
      <c r="M168" s="11" t="s">
        <v>28</v>
      </c>
      <c r="N168" s="11" t="s">
        <v>62</v>
      </c>
      <c r="O168" s="11" t="s">
        <v>417</v>
      </c>
      <c r="P168" s="11" t="s">
        <v>58</v>
      </c>
      <c r="Q168" s="20">
        <v>39836.0</v>
      </c>
      <c r="R168" s="17">
        <f t="shared" si="2"/>
        <v>9.459526142</v>
      </c>
      <c r="S168" s="9"/>
      <c r="T168" s="9"/>
      <c r="U168" s="9"/>
      <c r="V168" s="9"/>
      <c r="W168" s="9"/>
      <c r="X168" s="9"/>
      <c r="Y168" s="9"/>
      <c r="Z168" s="9"/>
      <c r="AA168" s="9"/>
      <c r="AB168" s="9" t="str">
        <f>IFERROR(__xludf.DUMMYFUNCTION("""COMPUTED_VALUE"""),"Mick Brown")</f>
        <v>Mick Brown</v>
      </c>
      <c r="AC168" s="9"/>
      <c r="AD168" s="9"/>
      <c r="AE168" s="9">
        <f t="shared" si="8"/>
        <v>3</v>
      </c>
      <c r="AF168" s="19">
        <f t="shared" si="13"/>
        <v>5</v>
      </c>
      <c r="AG168" s="9"/>
      <c r="AH168" s="9"/>
      <c r="AI168" s="9"/>
    </row>
    <row r="169" ht="15.0" customHeight="1">
      <c r="A169" s="11">
        <v>168.0</v>
      </c>
      <c r="B169" s="12">
        <f t="shared" si="31"/>
        <v>39834</v>
      </c>
      <c r="C169" s="13">
        <v>2009.0</v>
      </c>
      <c r="D169" s="11" t="s">
        <v>44</v>
      </c>
      <c r="E169" s="11">
        <v>4.0</v>
      </c>
      <c r="F169" s="21" t="s">
        <v>316</v>
      </c>
      <c r="G169" s="15">
        <v>0.10687499999999998</v>
      </c>
      <c r="H169" s="11" t="s">
        <v>33</v>
      </c>
      <c r="I169" s="16">
        <v>2.2960000000000003</v>
      </c>
      <c r="J169" s="11" t="s">
        <v>418</v>
      </c>
      <c r="K169" s="11" t="s">
        <v>61</v>
      </c>
      <c r="L169" s="11" t="s">
        <v>48</v>
      </c>
      <c r="M169" s="11" t="s">
        <v>28</v>
      </c>
      <c r="N169" s="11" t="s">
        <v>56</v>
      </c>
      <c r="O169" s="11" t="s">
        <v>331</v>
      </c>
      <c r="P169" s="11" t="s">
        <v>58</v>
      </c>
      <c r="Q169" s="20">
        <v>39836.0</v>
      </c>
      <c r="R169" s="17">
        <f t="shared" si="2"/>
        <v>3.665385</v>
      </c>
      <c r="S169" s="9"/>
      <c r="T169" s="9"/>
      <c r="U169" s="9"/>
      <c r="V169" s="9"/>
      <c r="W169" s="9"/>
      <c r="X169" s="9"/>
      <c r="Y169" s="9"/>
      <c r="Z169" s="9"/>
      <c r="AA169" s="9"/>
      <c r="AB169" s="9" t="str">
        <f>IFERROR(__xludf.DUMMYFUNCTION("""COMPUTED_VALUE"""),"Phillip Flathmann")</f>
        <v>Phillip Flathmann</v>
      </c>
      <c r="AC169" s="9"/>
      <c r="AD169" s="9"/>
      <c r="AE169" s="9">
        <f t="shared" si="8"/>
        <v>4</v>
      </c>
      <c r="AF169" s="19">
        <f t="shared" si="13"/>
        <v>4</v>
      </c>
      <c r="AG169" s="9"/>
      <c r="AH169" s="9"/>
      <c r="AI169" s="9"/>
    </row>
    <row r="170" ht="15.0" customHeight="1">
      <c r="A170" s="11">
        <v>169.0</v>
      </c>
      <c r="B170" s="12">
        <f t="shared" ref="B170:B179" si="32">DATE(2012,12,31)-1439</f>
        <v>39835</v>
      </c>
      <c r="C170" s="13">
        <v>2009.0</v>
      </c>
      <c r="D170" s="11" t="s">
        <v>39</v>
      </c>
      <c r="E170" s="11">
        <v>6.0</v>
      </c>
      <c r="F170" s="21" t="s">
        <v>419</v>
      </c>
      <c r="G170" s="15">
        <v>0.08935018050541521</v>
      </c>
      <c r="H170" s="11" t="s">
        <v>33</v>
      </c>
      <c r="I170" s="16">
        <v>4.4</v>
      </c>
      <c r="J170" s="11" t="s">
        <v>320</v>
      </c>
      <c r="K170" s="11" t="s">
        <v>65</v>
      </c>
      <c r="L170" s="11" t="s">
        <v>27</v>
      </c>
      <c r="M170" s="11" t="s">
        <v>66</v>
      </c>
      <c r="N170" s="11" t="s">
        <v>67</v>
      </c>
      <c r="O170" s="11" t="s">
        <v>420</v>
      </c>
      <c r="P170" s="11" t="s">
        <v>38</v>
      </c>
      <c r="Q170" s="20">
        <v>39836.0</v>
      </c>
      <c r="R170" s="17">
        <f t="shared" si="2"/>
        <v>18.03086643</v>
      </c>
      <c r="S170" s="9"/>
      <c r="T170" s="9"/>
      <c r="U170" s="9"/>
      <c r="V170" s="9"/>
      <c r="W170" s="9"/>
      <c r="X170" s="9"/>
      <c r="Y170" s="9"/>
      <c r="Z170" s="9"/>
      <c r="AA170" s="9"/>
      <c r="AB170" s="9" t="str">
        <f>IFERROR(__xludf.DUMMYFUNCTION("""COMPUTED_VALUE"""),"Sharelle Roach")</f>
        <v>Sharelle Roach</v>
      </c>
      <c r="AC170" s="9"/>
      <c r="AD170" s="9"/>
      <c r="AE170" s="9">
        <f t="shared" si="8"/>
        <v>1</v>
      </c>
      <c r="AF170" s="19">
        <f t="shared" si="13"/>
        <v>5</v>
      </c>
      <c r="AG170" s="9"/>
      <c r="AH170" s="9"/>
      <c r="AI170" s="9"/>
    </row>
    <row r="171" ht="15.0" customHeight="1">
      <c r="A171" s="11">
        <v>170.0</v>
      </c>
      <c r="B171" s="12">
        <f t="shared" si="32"/>
        <v>39835</v>
      </c>
      <c r="C171" s="13">
        <v>2009.0</v>
      </c>
      <c r="D171" s="11" t="s">
        <v>44</v>
      </c>
      <c r="E171" s="11">
        <v>32.0</v>
      </c>
      <c r="F171" s="21" t="s">
        <v>154</v>
      </c>
      <c r="G171" s="15">
        <v>0.02000513878183093</v>
      </c>
      <c r="H171" s="11" t="s">
        <v>45</v>
      </c>
      <c r="I171" s="16">
        <v>35.64</v>
      </c>
      <c r="J171" s="11" t="s">
        <v>421</v>
      </c>
      <c r="K171" s="11" t="s">
        <v>83</v>
      </c>
      <c r="L171" s="11" t="s">
        <v>27</v>
      </c>
      <c r="M171" s="11" t="s">
        <v>49</v>
      </c>
      <c r="N171" s="11" t="s">
        <v>156</v>
      </c>
      <c r="O171" s="11" t="s">
        <v>157</v>
      </c>
      <c r="P171" s="11" t="s">
        <v>87</v>
      </c>
      <c r="Q171" s="20">
        <v>39836.0</v>
      </c>
      <c r="R171" s="17">
        <f t="shared" si="2"/>
        <v>564.6338392</v>
      </c>
      <c r="S171" s="9"/>
      <c r="T171" s="9"/>
      <c r="U171" s="9"/>
      <c r="V171" s="9"/>
      <c r="W171" s="9"/>
      <c r="X171" s="9"/>
      <c r="Y171" s="9"/>
      <c r="Z171" s="9"/>
      <c r="AA171" s="9"/>
      <c r="AB171" s="9" t="str">
        <f>IFERROR(__xludf.DUMMYFUNCTION("""COMPUTED_VALUE"""),"Erica Smith")</f>
        <v>Erica Smith</v>
      </c>
      <c r="AC171" s="9"/>
      <c r="AD171" s="9"/>
      <c r="AE171" s="9">
        <f t="shared" si="8"/>
        <v>1</v>
      </c>
      <c r="AF171" s="19" t="b">
        <f t="shared" si="13"/>
        <v>0</v>
      </c>
      <c r="AG171" s="9"/>
      <c r="AH171" s="9"/>
      <c r="AI171" s="9"/>
    </row>
    <row r="172" ht="15.0" customHeight="1">
      <c r="A172" s="11">
        <v>171.0</v>
      </c>
      <c r="B172" s="12">
        <f t="shared" si="32"/>
        <v>39835</v>
      </c>
      <c r="C172" s="13">
        <v>2009.0</v>
      </c>
      <c r="D172" s="11" t="s">
        <v>39</v>
      </c>
      <c r="E172" s="11">
        <v>13.0</v>
      </c>
      <c r="F172" s="21" t="s">
        <v>422</v>
      </c>
      <c r="G172" s="15">
        <v>0.017203713817585897</v>
      </c>
      <c r="H172" s="11" t="s">
        <v>33</v>
      </c>
      <c r="I172" s="16">
        <v>28.0</v>
      </c>
      <c r="J172" s="11" t="s">
        <v>423</v>
      </c>
      <c r="K172" s="11" t="s">
        <v>35</v>
      </c>
      <c r="L172" s="11" t="s">
        <v>48</v>
      </c>
      <c r="M172" s="11" t="s">
        <v>28</v>
      </c>
      <c r="N172" s="11" t="s">
        <v>29</v>
      </c>
      <c r="O172" s="11" t="s">
        <v>424</v>
      </c>
      <c r="P172" s="11" t="s">
        <v>31</v>
      </c>
      <c r="Q172" s="20">
        <v>39836.0</v>
      </c>
      <c r="R172" s="17">
        <f t="shared" si="2"/>
        <v>18.57484981</v>
      </c>
      <c r="S172" s="9"/>
      <c r="T172" s="9"/>
      <c r="U172" s="9"/>
      <c r="V172" s="9"/>
      <c r="W172" s="9"/>
      <c r="X172" s="9"/>
      <c r="Y172" s="9"/>
      <c r="Z172" s="9"/>
      <c r="AA172" s="9"/>
      <c r="AB172" s="9" t="str">
        <f>IFERROR(__xludf.DUMMYFUNCTION("""COMPUTED_VALUE"""),"David Bremer")</f>
        <v>David Bremer</v>
      </c>
      <c r="AC172" s="9"/>
      <c r="AD172" s="9"/>
      <c r="AE172" s="9">
        <f t="shared" si="8"/>
        <v>4</v>
      </c>
      <c r="AF172" s="19">
        <f t="shared" si="13"/>
        <v>2</v>
      </c>
      <c r="AG172" s="9"/>
      <c r="AH172" s="9"/>
      <c r="AI172" s="9"/>
    </row>
    <row r="173" ht="15.0" customHeight="1">
      <c r="A173" s="11">
        <v>172.0</v>
      </c>
      <c r="B173" s="12">
        <f t="shared" si="32"/>
        <v>39835</v>
      </c>
      <c r="C173" s="13">
        <v>2009.0</v>
      </c>
      <c r="D173" s="11" t="s">
        <v>39</v>
      </c>
      <c r="E173" s="11">
        <v>9.0</v>
      </c>
      <c r="F173" s="21" t="s">
        <v>425</v>
      </c>
      <c r="G173" s="15">
        <v>0.018222447943118447</v>
      </c>
      <c r="H173" s="11" t="s">
        <v>33</v>
      </c>
      <c r="I173" s="16">
        <v>11.512</v>
      </c>
      <c r="J173" s="11" t="s">
        <v>426</v>
      </c>
      <c r="K173" s="11" t="s">
        <v>61</v>
      </c>
      <c r="L173" s="11" t="s">
        <v>48</v>
      </c>
      <c r="M173" s="11" t="s">
        <v>49</v>
      </c>
      <c r="N173" s="11" t="s">
        <v>73</v>
      </c>
      <c r="O173" s="11" t="s">
        <v>427</v>
      </c>
      <c r="P173" s="11" t="s">
        <v>38</v>
      </c>
      <c r="Q173" s="20">
        <v>39836.0</v>
      </c>
      <c r="R173" s="17">
        <f t="shared" si="2"/>
        <v>3.522617857</v>
      </c>
      <c r="S173" s="9"/>
      <c r="T173" s="9"/>
      <c r="U173" s="9"/>
      <c r="V173" s="9"/>
      <c r="W173" s="9"/>
      <c r="X173" s="9"/>
      <c r="Y173" s="9"/>
      <c r="Z173" s="9"/>
      <c r="AA173" s="9"/>
      <c r="AB173" s="9" t="str">
        <f>IFERROR(__xludf.DUMMYFUNCTION("""COMPUTED_VALUE"""),"Frank Merwin")</f>
        <v>Frank Merwin</v>
      </c>
      <c r="AC173" s="9"/>
      <c r="AD173" s="9"/>
      <c r="AE173" s="9">
        <f t="shared" si="8"/>
        <v>4</v>
      </c>
      <c r="AF173" s="19">
        <f t="shared" si="13"/>
        <v>4</v>
      </c>
      <c r="AG173" s="9"/>
      <c r="AH173" s="9"/>
      <c r="AI173" s="9"/>
    </row>
    <row r="174" ht="15.0" customHeight="1">
      <c r="A174" s="11">
        <v>173.0</v>
      </c>
      <c r="B174" s="12">
        <f t="shared" si="32"/>
        <v>39835</v>
      </c>
      <c r="C174" s="13">
        <v>2009.0</v>
      </c>
      <c r="D174" s="11" t="s">
        <v>32</v>
      </c>
      <c r="E174" s="11">
        <v>36.0</v>
      </c>
      <c r="F174" s="21" t="s">
        <v>428</v>
      </c>
      <c r="G174" s="15">
        <v>0.024289732770745486</v>
      </c>
      <c r="H174" s="11" t="s">
        <v>33</v>
      </c>
      <c r="I174" s="16">
        <v>7.784000000000001</v>
      </c>
      <c r="J174" s="11" t="s">
        <v>429</v>
      </c>
      <c r="K174" s="11" t="s">
        <v>83</v>
      </c>
      <c r="L174" s="11" t="s">
        <v>27</v>
      </c>
      <c r="M174" s="11" t="s">
        <v>28</v>
      </c>
      <c r="N174" s="11" t="s">
        <v>42</v>
      </c>
      <c r="O174" s="11" t="s">
        <v>430</v>
      </c>
      <c r="P174" s="11" t="s">
        <v>38</v>
      </c>
      <c r="Q174" s="20">
        <v>39836.0</v>
      </c>
      <c r="R174" s="17">
        <f t="shared" si="2"/>
        <v>13.48041305</v>
      </c>
      <c r="S174" s="9"/>
      <c r="T174" s="9"/>
      <c r="U174" s="9"/>
      <c r="V174" s="9"/>
      <c r="W174" s="9"/>
      <c r="X174" s="9"/>
      <c r="Y174" s="9"/>
      <c r="Z174" s="9"/>
      <c r="AA174" s="9"/>
      <c r="AB174" s="9" t="str">
        <f>IFERROR(__xludf.DUMMYFUNCTION("""COMPUTED_VALUE"""),"Nicole Hansen")</f>
        <v>Nicole Hansen</v>
      </c>
      <c r="AC174" s="9"/>
      <c r="AD174" s="9"/>
      <c r="AE174" s="9">
        <f t="shared" si="8"/>
        <v>1</v>
      </c>
      <c r="AF174" s="19" t="b">
        <f t="shared" si="13"/>
        <v>0</v>
      </c>
      <c r="AG174" s="9"/>
      <c r="AH174" s="9"/>
      <c r="AI174" s="9"/>
    </row>
    <row r="175" ht="15.0" customHeight="1">
      <c r="A175" s="11">
        <v>174.0</v>
      </c>
      <c r="B175" s="12">
        <f t="shared" si="32"/>
        <v>39835</v>
      </c>
      <c r="C175" s="13">
        <v>2009.0</v>
      </c>
      <c r="D175" s="11" t="s">
        <v>32</v>
      </c>
      <c r="E175" s="11">
        <v>27.0</v>
      </c>
      <c r="F175" s="21" t="s">
        <v>431</v>
      </c>
      <c r="G175" s="15">
        <v>0.0666516001762013</v>
      </c>
      <c r="H175" s="11" t="s">
        <v>33</v>
      </c>
      <c r="I175" s="16">
        <v>15.991999999999999</v>
      </c>
      <c r="J175" s="11" t="s">
        <v>429</v>
      </c>
      <c r="K175" s="11" t="s">
        <v>83</v>
      </c>
      <c r="L175" s="11" t="s">
        <v>27</v>
      </c>
      <c r="M175" s="11" t="s">
        <v>66</v>
      </c>
      <c r="N175" s="11" t="s">
        <v>67</v>
      </c>
      <c r="O175" s="11" t="s">
        <v>432</v>
      </c>
      <c r="P175" s="11" t="s">
        <v>38</v>
      </c>
      <c r="Q175" s="20">
        <v>39837.0</v>
      </c>
      <c r="R175" s="17">
        <f t="shared" si="2"/>
        <v>324.8127099</v>
      </c>
      <c r="S175" s="9"/>
      <c r="T175" s="9"/>
      <c r="U175" s="9"/>
      <c r="V175" s="9"/>
      <c r="W175" s="9"/>
      <c r="X175" s="9"/>
      <c r="Y175" s="9"/>
      <c r="Z175" s="9"/>
      <c r="AA175" s="9"/>
      <c r="AB175" s="9" t="str">
        <f>IFERROR(__xludf.DUMMYFUNCTION("""COMPUTED_VALUE"""),"Justin Knight")</f>
        <v>Justin Knight</v>
      </c>
      <c r="AC175" s="9"/>
      <c r="AD175" s="9"/>
      <c r="AE175" s="9">
        <f t="shared" si="8"/>
        <v>1</v>
      </c>
      <c r="AF175" s="19" t="b">
        <f t="shared" si="13"/>
        <v>0</v>
      </c>
      <c r="AG175" s="9"/>
      <c r="AH175" s="9"/>
      <c r="AI175" s="9"/>
    </row>
    <row r="176" ht="15.0" customHeight="1">
      <c r="A176" s="11">
        <v>175.0</v>
      </c>
      <c r="B176" s="12">
        <f t="shared" si="32"/>
        <v>39835</v>
      </c>
      <c r="C176" s="13">
        <v>2009.0</v>
      </c>
      <c r="D176" s="11" t="s">
        <v>32</v>
      </c>
      <c r="E176" s="11">
        <v>44.0</v>
      </c>
      <c r="F176" s="21" t="s">
        <v>433</v>
      </c>
      <c r="G176" s="15">
        <v>0.02179921523590776</v>
      </c>
      <c r="H176" s="11" t="s">
        <v>24</v>
      </c>
      <c r="I176" s="16">
        <v>31.688000000000002</v>
      </c>
      <c r="J176" s="11" t="s">
        <v>429</v>
      </c>
      <c r="K176" s="11" t="s">
        <v>83</v>
      </c>
      <c r="L176" s="11" t="s">
        <v>27</v>
      </c>
      <c r="M176" s="11" t="s">
        <v>49</v>
      </c>
      <c r="N176" s="11" t="s">
        <v>73</v>
      </c>
      <c r="O176" s="11" t="s">
        <v>434</v>
      </c>
      <c r="P176" s="11" t="s">
        <v>75</v>
      </c>
      <c r="Q176" s="20">
        <v>39837.0</v>
      </c>
      <c r="R176" s="17">
        <f t="shared" si="2"/>
        <v>89.1258299</v>
      </c>
      <c r="S176" s="9"/>
      <c r="T176" s="9"/>
      <c r="U176" s="9"/>
      <c r="V176" s="9"/>
      <c r="W176" s="9"/>
      <c r="X176" s="9"/>
      <c r="Y176" s="9"/>
      <c r="Z176" s="9"/>
      <c r="AA176" s="9"/>
      <c r="AB176" s="9" t="str">
        <f>IFERROR(__xludf.DUMMYFUNCTION("""COMPUTED_VALUE"""),"Roland Fjeld")</f>
        <v>Roland Fjeld</v>
      </c>
      <c r="AC176" s="9"/>
      <c r="AD176" s="9"/>
      <c r="AE176" s="9">
        <f t="shared" si="8"/>
        <v>1</v>
      </c>
      <c r="AF176" s="19" t="b">
        <f t="shared" si="13"/>
        <v>0</v>
      </c>
      <c r="AG176" s="9"/>
      <c r="AH176" s="9"/>
      <c r="AI176" s="9"/>
    </row>
    <row r="177" ht="15.0" customHeight="1">
      <c r="A177" s="11">
        <v>176.0</v>
      </c>
      <c r="B177" s="12">
        <f t="shared" si="32"/>
        <v>39835</v>
      </c>
      <c r="C177" s="13">
        <v>2009.0</v>
      </c>
      <c r="D177" s="11" t="s">
        <v>32</v>
      </c>
      <c r="E177" s="11">
        <v>25.0</v>
      </c>
      <c r="F177" s="21" t="s">
        <v>287</v>
      </c>
      <c r="G177" s="15">
        <v>0.030260625501202988</v>
      </c>
      <c r="H177" s="11" t="s">
        <v>24</v>
      </c>
      <c r="I177" s="16">
        <v>4.736</v>
      </c>
      <c r="J177" s="11" t="s">
        <v>429</v>
      </c>
      <c r="K177" s="11" t="s">
        <v>83</v>
      </c>
      <c r="L177" s="11" t="s">
        <v>27</v>
      </c>
      <c r="M177" s="11" t="s">
        <v>66</v>
      </c>
      <c r="N177" s="11" t="s">
        <v>80</v>
      </c>
      <c r="O177" s="11" t="s">
        <v>435</v>
      </c>
      <c r="P177" s="11" t="s">
        <v>38</v>
      </c>
      <c r="Q177" s="20">
        <v>39837.0</v>
      </c>
      <c r="R177" s="17">
        <f t="shared" si="2"/>
        <v>87.82347671</v>
      </c>
      <c r="S177" s="9"/>
      <c r="T177" s="9"/>
      <c r="U177" s="9"/>
      <c r="V177" s="9"/>
      <c r="W177" s="9"/>
      <c r="X177" s="9"/>
      <c r="Y177" s="9"/>
      <c r="Z177" s="9"/>
      <c r="AA177" s="9"/>
      <c r="AB177" s="9" t="str">
        <f>IFERROR(__xludf.DUMMYFUNCTION("""COMPUTED_VALUE"""),"Sally Hughsby")</f>
        <v>Sally Hughsby</v>
      </c>
      <c r="AC177" s="9"/>
      <c r="AD177" s="9"/>
      <c r="AE177" s="9">
        <f t="shared" si="8"/>
        <v>1</v>
      </c>
      <c r="AF177" s="19" t="b">
        <f t="shared" si="13"/>
        <v>0</v>
      </c>
      <c r="AG177" s="9"/>
      <c r="AH177" s="9"/>
      <c r="AI177" s="9"/>
    </row>
    <row r="178" ht="15.0" customHeight="1">
      <c r="A178" s="11">
        <v>177.0</v>
      </c>
      <c r="B178" s="12">
        <f t="shared" si="32"/>
        <v>39835</v>
      </c>
      <c r="C178" s="13">
        <v>2009.0</v>
      </c>
      <c r="D178" s="11" t="s">
        <v>102</v>
      </c>
      <c r="E178" s="11">
        <v>49.0</v>
      </c>
      <c r="F178" s="21" t="s">
        <v>319</v>
      </c>
      <c r="G178" s="15">
        <v>0.09473684210526319</v>
      </c>
      <c r="H178" s="11" t="s">
        <v>33</v>
      </c>
      <c r="I178" s="16">
        <v>0.4</v>
      </c>
      <c r="J178" s="11" t="s">
        <v>436</v>
      </c>
      <c r="K178" s="11" t="s">
        <v>65</v>
      </c>
      <c r="L178" s="11" t="s">
        <v>36</v>
      </c>
      <c r="M178" s="11" t="s">
        <v>28</v>
      </c>
      <c r="N178" s="11" t="s">
        <v>188</v>
      </c>
      <c r="O178" s="11" t="s">
        <v>437</v>
      </c>
      <c r="P178" s="11" t="s">
        <v>38</v>
      </c>
      <c r="Q178" s="20">
        <v>39837.0</v>
      </c>
      <c r="R178" s="17">
        <f t="shared" si="2"/>
        <v>13.03578947</v>
      </c>
      <c r="S178" s="9"/>
      <c r="T178" s="9"/>
      <c r="U178" s="9"/>
      <c r="V178" s="9"/>
      <c r="W178" s="9"/>
      <c r="X178" s="9"/>
      <c r="Y178" s="9"/>
      <c r="Z178" s="9"/>
      <c r="AA178" s="9"/>
      <c r="AB178" s="9" t="str">
        <f>IFERROR(__xludf.DUMMYFUNCTION("""COMPUTED_VALUE"""),"Ann Blume")</f>
        <v>Ann Blume</v>
      </c>
      <c r="AC178" s="9"/>
      <c r="AD178" s="9"/>
      <c r="AE178" s="9">
        <f t="shared" si="8"/>
        <v>2</v>
      </c>
      <c r="AF178" s="19">
        <f t="shared" si="13"/>
        <v>5</v>
      </c>
      <c r="AG178" s="9"/>
      <c r="AH178" s="9"/>
      <c r="AI178" s="9"/>
    </row>
    <row r="179" ht="15.0" customHeight="1">
      <c r="A179" s="11">
        <v>178.0</v>
      </c>
      <c r="B179" s="12">
        <f t="shared" si="32"/>
        <v>39835</v>
      </c>
      <c r="C179" s="13">
        <v>2009.0</v>
      </c>
      <c r="D179" s="11" t="s">
        <v>102</v>
      </c>
      <c r="E179" s="11">
        <v>39.0</v>
      </c>
      <c r="F179" s="21" t="s">
        <v>438</v>
      </c>
      <c r="G179" s="15">
        <v>0.048481476764684145</v>
      </c>
      <c r="H179" s="11" t="s">
        <v>45</v>
      </c>
      <c r="I179" s="16">
        <v>23.28</v>
      </c>
      <c r="J179" s="11" t="s">
        <v>436</v>
      </c>
      <c r="K179" s="11" t="s">
        <v>65</v>
      </c>
      <c r="L179" s="11" t="s">
        <v>36</v>
      </c>
      <c r="M179" s="11" t="s">
        <v>49</v>
      </c>
      <c r="N179" s="11" t="s">
        <v>85</v>
      </c>
      <c r="O179" s="11" t="s">
        <v>439</v>
      </c>
      <c r="P179" s="11" t="s">
        <v>87</v>
      </c>
      <c r="Q179" s="20">
        <v>39838.0</v>
      </c>
      <c r="R179" s="17">
        <f t="shared" si="2"/>
        <v>412.9400087</v>
      </c>
      <c r="S179" s="9"/>
      <c r="T179" s="9"/>
      <c r="U179" s="9"/>
      <c r="V179" s="9"/>
      <c r="W179" s="9"/>
      <c r="X179" s="9"/>
      <c r="Y179" s="9"/>
      <c r="Z179" s="9"/>
      <c r="AA179" s="9"/>
      <c r="AB179" s="9" t="str">
        <f>IFERROR(__xludf.DUMMYFUNCTION("""COMPUTED_VALUE"""),"Neola Schneider")</f>
        <v>Neola Schneider</v>
      </c>
      <c r="AC179" s="9"/>
      <c r="AD179" s="9"/>
      <c r="AE179" s="9">
        <f t="shared" si="8"/>
        <v>2</v>
      </c>
      <c r="AF179" s="19">
        <f t="shared" si="13"/>
        <v>5</v>
      </c>
      <c r="AG179" s="9"/>
      <c r="AH179" s="9"/>
      <c r="AI179" s="9"/>
    </row>
    <row r="180" ht="15.0" customHeight="1">
      <c r="A180" s="11">
        <v>179.0</v>
      </c>
      <c r="B180" s="12">
        <f t="shared" ref="B180:B182" si="33">DATE(2012,12,31)-1438</f>
        <v>39836</v>
      </c>
      <c r="C180" s="13">
        <v>2009.0</v>
      </c>
      <c r="D180" s="11" t="s">
        <v>23</v>
      </c>
      <c r="E180" s="11">
        <v>18.0</v>
      </c>
      <c r="F180" s="21" t="s">
        <v>440</v>
      </c>
      <c r="G180" s="15">
        <v>0.017534246575342482</v>
      </c>
      <c r="H180" s="11" t="s">
        <v>33</v>
      </c>
      <c r="I180" s="16">
        <v>6.696</v>
      </c>
      <c r="J180" s="11" t="s">
        <v>441</v>
      </c>
      <c r="K180" s="11" t="s">
        <v>83</v>
      </c>
      <c r="L180" s="11" t="s">
        <v>41</v>
      </c>
      <c r="M180" s="11" t="s">
        <v>28</v>
      </c>
      <c r="N180" s="11" t="s">
        <v>442</v>
      </c>
      <c r="O180" s="11" t="s">
        <v>443</v>
      </c>
      <c r="P180" s="11" t="s">
        <v>99</v>
      </c>
      <c r="Q180" s="20">
        <v>39838.0</v>
      </c>
      <c r="R180" s="17">
        <f t="shared" si="2"/>
        <v>2.263601096</v>
      </c>
      <c r="S180" s="9"/>
      <c r="T180" s="9"/>
      <c r="U180" s="9"/>
      <c r="V180" s="9"/>
      <c r="W180" s="9"/>
      <c r="X180" s="9"/>
      <c r="Y180" s="9"/>
      <c r="Z180" s="9"/>
      <c r="AA180" s="9"/>
      <c r="AB180" s="9" t="str">
        <f>IFERROR(__xludf.DUMMYFUNCTION("""COMPUTED_VALUE"""),"Anthony O'Donnell")</f>
        <v>Anthony O'Donnell</v>
      </c>
      <c r="AC180" s="9"/>
      <c r="AD180" s="9"/>
      <c r="AE180" s="9">
        <f t="shared" si="8"/>
        <v>3</v>
      </c>
      <c r="AF180" s="19" t="b">
        <f t="shared" si="13"/>
        <v>0</v>
      </c>
      <c r="AG180" s="9"/>
      <c r="AH180" s="9"/>
      <c r="AI180" s="9"/>
    </row>
    <row r="181" ht="15.0" customHeight="1">
      <c r="A181" s="11">
        <v>180.0</v>
      </c>
      <c r="B181" s="12">
        <f t="shared" si="33"/>
        <v>39836</v>
      </c>
      <c r="C181" s="13">
        <v>2009.0</v>
      </c>
      <c r="D181" s="11" t="s">
        <v>23</v>
      </c>
      <c r="E181" s="11">
        <v>42.0</v>
      </c>
      <c r="F181" s="21" t="s">
        <v>130</v>
      </c>
      <c r="G181" s="15">
        <v>0.06864416475972553</v>
      </c>
      <c r="H181" s="11" t="s">
        <v>33</v>
      </c>
      <c r="I181" s="16">
        <v>4.608</v>
      </c>
      <c r="J181" s="11" t="s">
        <v>441</v>
      </c>
      <c r="K181" s="11" t="s">
        <v>83</v>
      </c>
      <c r="L181" s="11" t="s">
        <v>41</v>
      </c>
      <c r="M181" s="11" t="s">
        <v>28</v>
      </c>
      <c r="N181" s="11" t="s">
        <v>56</v>
      </c>
      <c r="O181" s="11" t="s">
        <v>132</v>
      </c>
      <c r="P181" s="11" t="s">
        <v>38</v>
      </c>
      <c r="Q181" s="20">
        <v>39838.0</v>
      </c>
      <c r="R181" s="17">
        <f t="shared" si="2"/>
        <v>89.40270934</v>
      </c>
      <c r="S181" s="9"/>
      <c r="T181" s="9"/>
      <c r="U181" s="9"/>
      <c r="V181" s="9"/>
      <c r="W181" s="9"/>
      <c r="X181" s="9"/>
      <c r="Y181" s="9"/>
      <c r="Z181" s="9"/>
      <c r="AA181" s="9"/>
      <c r="AB181" s="9" t="str">
        <f>IFERROR(__xludf.DUMMYFUNCTION("""COMPUTED_VALUE"""),"Adam Shillingsburg")</f>
        <v>Adam Shillingsburg</v>
      </c>
      <c r="AC181" s="9"/>
      <c r="AD181" s="9"/>
      <c r="AE181" s="9">
        <f t="shared" si="8"/>
        <v>3</v>
      </c>
      <c r="AF181" s="19" t="b">
        <f t="shared" si="13"/>
        <v>0</v>
      </c>
      <c r="AG181" s="9"/>
      <c r="AH181" s="9"/>
      <c r="AI181" s="9"/>
    </row>
    <row r="182" ht="15.0" customHeight="1">
      <c r="A182" s="11">
        <v>181.0</v>
      </c>
      <c r="B182" s="12">
        <f t="shared" si="33"/>
        <v>39836</v>
      </c>
      <c r="C182" s="13">
        <v>2009.0</v>
      </c>
      <c r="D182" s="11" t="s">
        <v>102</v>
      </c>
      <c r="E182" s="11">
        <v>18.0</v>
      </c>
      <c r="F182" s="21" t="s">
        <v>176</v>
      </c>
      <c r="G182" s="15">
        <v>0.012737989979369297</v>
      </c>
      <c r="H182" s="11" t="s">
        <v>33</v>
      </c>
      <c r="I182" s="16">
        <v>9.712000000000002</v>
      </c>
      <c r="J182" s="11" t="s">
        <v>444</v>
      </c>
      <c r="K182" s="11" t="s">
        <v>61</v>
      </c>
      <c r="L182" s="11" t="s">
        <v>36</v>
      </c>
      <c r="M182" s="11" t="s">
        <v>66</v>
      </c>
      <c r="N182" s="11" t="s">
        <v>67</v>
      </c>
      <c r="O182" s="11" t="s">
        <v>445</v>
      </c>
      <c r="P182" s="11" t="s">
        <v>38</v>
      </c>
      <c r="Q182" s="20">
        <v>39839.0</v>
      </c>
      <c r="R182" s="17">
        <f t="shared" si="2"/>
        <v>17.06778563</v>
      </c>
      <c r="S182" s="9"/>
      <c r="T182" s="9"/>
      <c r="U182" s="9"/>
      <c r="V182" s="9"/>
      <c r="W182" s="9"/>
      <c r="X182" s="9"/>
      <c r="Y182" s="9"/>
      <c r="Z182" s="9"/>
      <c r="AA182" s="9"/>
      <c r="AB182" s="9" t="str">
        <f>IFERROR(__xludf.DUMMYFUNCTION("""COMPUTED_VALUE"""),"Peter Buhler")</f>
        <v>Peter Buhler</v>
      </c>
      <c r="AC182" s="9"/>
      <c r="AD182" s="9"/>
      <c r="AE182" s="9">
        <f t="shared" si="8"/>
        <v>2</v>
      </c>
      <c r="AF182" s="19">
        <f t="shared" si="13"/>
        <v>4</v>
      </c>
      <c r="AG182" s="9"/>
      <c r="AH182" s="9"/>
      <c r="AI182" s="9"/>
    </row>
    <row r="183" ht="15.0" customHeight="1">
      <c r="A183" s="11">
        <v>182.0</v>
      </c>
      <c r="B183" s="12">
        <f t="shared" ref="B183:B187" si="34">DATE(2012,12,31)-1437</f>
        <v>39837</v>
      </c>
      <c r="C183" s="13">
        <v>2009.0</v>
      </c>
      <c r="D183" s="11" t="s">
        <v>32</v>
      </c>
      <c r="E183" s="11">
        <v>24.0</v>
      </c>
      <c r="F183" s="21" t="s">
        <v>256</v>
      </c>
      <c r="G183" s="15">
        <v>0.014875105248386223</v>
      </c>
      <c r="H183" s="11" t="s">
        <v>33</v>
      </c>
      <c r="I183" s="16">
        <v>5.4</v>
      </c>
      <c r="J183" s="11" t="s">
        <v>446</v>
      </c>
      <c r="K183" s="11" t="s">
        <v>61</v>
      </c>
      <c r="L183" s="11" t="s">
        <v>48</v>
      </c>
      <c r="M183" s="11" t="s">
        <v>28</v>
      </c>
      <c r="N183" s="11" t="s">
        <v>197</v>
      </c>
      <c r="O183" s="11" t="s">
        <v>257</v>
      </c>
      <c r="P183" s="11" t="s">
        <v>75</v>
      </c>
      <c r="Q183" s="20">
        <v>39839.0</v>
      </c>
      <c r="R183" s="17">
        <f t="shared" si="2"/>
        <v>5.221161942</v>
      </c>
      <c r="S183" s="9"/>
      <c r="T183" s="9"/>
      <c r="U183" s="9"/>
      <c r="V183" s="9"/>
      <c r="W183" s="9"/>
      <c r="X183" s="9"/>
      <c r="Y183" s="9"/>
      <c r="Z183" s="9"/>
      <c r="AA183" s="9"/>
      <c r="AB183" s="9" t="str">
        <f>IFERROR(__xludf.DUMMYFUNCTION("""COMPUTED_VALUE"""),"Brian Moss")</f>
        <v>Brian Moss</v>
      </c>
      <c r="AC183" s="9"/>
      <c r="AD183" s="9"/>
      <c r="AE183" s="9">
        <f t="shared" si="8"/>
        <v>4</v>
      </c>
      <c r="AF183" s="19">
        <f t="shared" si="13"/>
        <v>4</v>
      </c>
      <c r="AG183" s="9"/>
      <c r="AH183" s="9"/>
      <c r="AI183" s="9"/>
    </row>
    <row r="184" ht="15.0" customHeight="1">
      <c r="A184" s="11">
        <v>183.0</v>
      </c>
      <c r="B184" s="12">
        <f t="shared" si="34"/>
        <v>39837</v>
      </c>
      <c r="C184" s="13">
        <v>2009.0</v>
      </c>
      <c r="D184" s="11" t="s">
        <v>44</v>
      </c>
      <c r="E184" s="11">
        <v>30.0</v>
      </c>
      <c r="F184" s="21" t="s">
        <v>447</v>
      </c>
      <c r="G184" s="15">
        <v>0.09152506302175051</v>
      </c>
      <c r="H184" s="11" t="s">
        <v>33</v>
      </c>
      <c r="I184" s="16">
        <v>19.592</v>
      </c>
      <c r="J184" s="11" t="s">
        <v>448</v>
      </c>
      <c r="K184" s="11" t="s">
        <v>83</v>
      </c>
      <c r="L184" s="11" t="s">
        <v>36</v>
      </c>
      <c r="M184" s="11" t="s">
        <v>49</v>
      </c>
      <c r="N184" s="11" t="s">
        <v>50</v>
      </c>
      <c r="O184" s="11" t="s">
        <v>449</v>
      </c>
      <c r="P184" s="11" t="s">
        <v>31</v>
      </c>
      <c r="Q184" s="20">
        <v>39839.0</v>
      </c>
      <c r="R184" s="17">
        <f t="shared" si="2"/>
        <v>656.3804098</v>
      </c>
      <c r="S184" s="9"/>
      <c r="T184" s="9"/>
      <c r="U184" s="9"/>
      <c r="V184" s="9"/>
      <c r="W184" s="9"/>
      <c r="X184" s="9"/>
      <c r="Y184" s="9"/>
      <c r="Z184" s="9"/>
      <c r="AA184" s="9"/>
      <c r="AB184" s="9" t="str">
        <f>IFERROR(__xludf.DUMMYFUNCTION("""COMPUTED_VALUE"""),"Ruben Ausman")</f>
        <v>Ruben Ausman</v>
      </c>
      <c r="AC184" s="9"/>
      <c r="AD184" s="9"/>
      <c r="AE184" s="9">
        <f t="shared" si="8"/>
        <v>2</v>
      </c>
      <c r="AF184" s="19" t="b">
        <f t="shared" si="13"/>
        <v>0</v>
      </c>
      <c r="AG184" s="9"/>
      <c r="AH184" s="9"/>
      <c r="AI184" s="9"/>
    </row>
    <row r="185" ht="15.0" customHeight="1">
      <c r="A185" s="11">
        <v>184.0</v>
      </c>
      <c r="B185" s="12">
        <f t="shared" si="34"/>
        <v>39837</v>
      </c>
      <c r="C185" s="13">
        <v>2009.0</v>
      </c>
      <c r="D185" s="11" t="s">
        <v>44</v>
      </c>
      <c r="E185" s="11">
        <v>21.0</v>
      </c>
      <c r="F185" s="21" t="s">
        <v>450</v>
      </c>
      <c r="G185" s="15">
        <v>0.030684440358538224</v>
      </c>
      <c r="H185" s="11" t="s">
        <v>24</v>
      </c>
      <c r="I185" s="16">
        <v>19.592</v>
      </c>
      <c r="J185" s="11" t="s">
        <v>448</v>
      </c>
      <c r="K185" s="11" t="s">
        <v>83</v>
      </c>
      <c r="L185" s="11" t="s">
        <v>36</v>
      </c>
      <c r="M185" s="11" t="s">
        <v>66</v>
      </c>
      <c r="N185" s="11" t="s">
        <v>170</v>
      </c>
      <c r="O185" s="11" t="s">
        <v>451</v>
      </c>
      <c r="P185" s="11" t="s">
        <v>31</v>
      </c>
      <c r="Q185" s="20">
        <v>39839.0</v>
      </c>
      <c r="R185" s="17">
        <f t="shared" si="2"/>
        <v>129.4113817</v>
      </c>
      <c r="S185" s="9"/>
      <c r="T185" s="9"/>
      <c r="U185" s="9"/>
      <c r="V185" s="9"/>
      <c r="W185" s="9"/>
      <c r="X185" s="9"/>
      <c r="Y185" s="9"/>
      <c r="Z185" s="9"/>
      <c r="AA185" s="9"/>
      <c r="AB185" s="9" t="str">
        <f>IFERROR(__xludf.DUMMYFUNCTION("""COMPUTED_VALUE"""),"Mary O'Rourke")</f>
        <v>Mary O'Rourke</v>
      </c>
      <c r="AC185" s="9"/>
      <c r="AD185" s="9"/>
      <c r="AE185" s="9">
        <f t="shared" si="8"/>
        <v>2</v>
      </c>
      <c r="AF185" s="19" t="b">
        <f t="shared" si="13"/>
        <v>0</v>
      </c>
      <c r="AG185" s="9"/>
      <c r="AH185" s="9"/>
      <c r="AI185" s="9"/>
    </row>
    <row r="186" ht="15.0" customHeight="1">
      <c r="A186" s="11">
        <v>185.0</v>
      </c>
      <c r="B186" s="12">
        <f t="shared" si="34"/>
        <v>39837</v>
      </c>
      <c r="C186" s="13">
        <v>2009.0</v>
      </c>
      <c r="D186" s="11" t="s">
        <v>44</v>
      </c>
      <c r="E186" s="11">
        <v>5.0</v>
      </c>
      <c r="F186" s="21" t="s">
        <v>452</v>
      </c>
      <c r="G186" s="15">
        <v>0.07514425694066414</v>
      </c>
      <c r="H186" s="11" t="s">
        <v>33</v>
      </c>
      <c r="I186" s="16">
        <v>0.792</v>
      </c>
      <c r="J186" s="11" t="s">
        <v>453</v>
      </c>
      <c r="K186" s="11" t="s">
        <v>61</v>
      </c>
      <c r="L186" s="11" t="s">
        <v>36</v>
      </c>
      <c r="M186" s="11" t="s">
        <v>28</v>
      </c>
      <c r="N186" s="11" t="s">
        <v>197</v>
      </c>
      <c r="O186" s="11" t="s">
        <v>454</v>
      </c>
      <c r="P186" s="11" t="s">
        <v>38</v>
      </c>
      <c r="Q186" s="20">
        <v>39839.0</v>
      </c>
      <c r="R186" s="17">
        <f t="shared" si="2"/>
        <v>25.53341735</v>
      </c>
      <c r="S186" s="9"/>
      <c r="T186" s="9"/>
      <c r="U186" s="9"/>
      <c r="V186" s="9"/>
      <c r="W186" s="9"/>
      <c r="X186" s="9"/>
      <c r="Y186" s="9"/>
      <c r="Z186" s="9"/>
      <c r="AA186" s="9"/>
      <c r="AB186" s="9" t="str">
        <f>IFERROR(__xludf.DUMMYFUNCTION("""COMPUTED_VALUE"""),"Peter McVee")</f>
        <v>Peter McVee</v>
      </c>
      <c r="AC186" s="9"/>
      <c r="AD186" s="9"/>
      <c r="AE186" s="9">
        <f t="shared" si="8"/>
        <v>2</v>
      </c>
      <c r="AF186" s="19">
        <f t="shared" si="13"/>
        <v>4</v>
      </c>
      <c r="AG186" s="9"/>
      <c r="AH186" s="9"/>
      <c r="AI186" s="9"/>
    </row>
    <row r="187" ht="15.0" customHeight="1">
      <c r="A187" s="11">
        <v>186.0</v>
      </c>
      <c r="B187" s="12">
        <f t="shared" si="34"/>
        <v>39837</v>
      </c>
      <c r="C187" s="13">
        <v>2009.0</v>
      </c>
      <c r="D187" s="11" t="s">
        <v>102</v>
      </c>
      <c r="E187" s="11">
        <v>23.0</v>
      </c>
      <c r="F187" s="21" t="s">
        <v>455</v>
      </c>
      <c r="G187" s="15">
        <v>0.014820659971305817</v>
      </c>
      <c r="H187" s="11" t="s">
        <v>33</v>
      </c>
      <c r="I187" s="16">
        <v>5.5680000000000005</v>
      </c>
      <c r="J187" s="11" t="s">
        <v>456</v>
      </c>
      <c r="K187" s="11" t="s">
        <v>35</v>
      </c>
      <c r="L187" s="11" t="s">
        <v>27</v>
      </c>
      <c r="M187" s="11" t="s">
        <v>28</v>
      </c>
      <c r="N187" s="11" t="s">
        <v>197</v>
      </c>
      <c r="O187" s="11" t="s">
        <v>457</v>
      </c>
      <c r="P187" s="11" t="s">
        <v>75</v>
      </c>
      <c r="Q187" s="20">
        <v>39840.0</v>
      </c>
      <c r="R187" s="17">
        <f t="shared" si="2"/>
        <v>4.070761033</v>
      </c>
      <c r="S187" s="9"/>
      <c r="T187" s="9"/>
      <c r="U187" s="9"/>
      <c r="V187" s="9"/>
      <c r="W187" s="9"/>
      <c r="X187" s="9"/>
      <c r="Y187" s="9"/>
      <c r="Z187" s="9"/>
      <c r="AA187" s="9"/>
      <c r="AB187" s="9" t="str">
        <f>IFERROR(__xludf.DUMMYFUNCTION("""COMPUTED_VALUE"""),"Jeremy Lonsdale")</f>
        <v>Jeremy Lonsdale</v>
      </c>
      <c r="AC187" s="9"/>
      <c r="AD187" s="9"/>
      <c r="AE187" s="9">
        <f t="shared" si="8"/>
        <v>1</v>
      </c>
      <c r="AF187" s="19">
        <f t="shared" si="13"/>
        <v>2</v>
      </c>
      <c r="AG187" s="9"/>
      <c r="AH187" s="9"/>
      <c r="AI187" s="9"/>
    </row>
    <row r="188" ht="15.0" customHeight="1">
      <c r="A188" s="11">
        <v>187.0</v>
      </c>
      <c r="B188" s="12">
        <f t="shared" ref="B188:B189" si="35">DATE(2012,12,31)-1436</f>
        <v>39838</v>
      </c>
      <c r="C188" s="13">
        <v>2009.0</v>
      </c>
      <c r="D188" s="11" t="s">
        <v>39</v>
      </c>
      <c r="E188" s="11">
        <v>4.0</v>
      </c>
      <c r="F188" s="21" t="s">
        <v>147</v>
      </c>
      <c r="G188" s="15">
        <v>0.13982905982905977</v>
      </c>
      <c r="H188" s="11" t="s">
        <v>33</v>
      </c>
      <c r="I188" s="16">
        <v>3.2640000000000002</v>
      </c>
      <c r="J188" s="11" t="s">
        <v>232</v>
      </c>
      <c r="K188" s="11" t="s">
        <v>47</v>
      </c>
      <c r="L188" s="11" t="s">
        <v>48</v>
      </c>
      <c r="M188" s="11" t="s">
        <v>49</v>
      </c>
      <c r="N188" s="11" t="s">
        <v>73</v>
      </c>
      <c r="O188" s="11" t="s">
        <v>458</v>
      </c>
      <c r="P188" s="11" t="s">
        <v>99</v>
      </c>
      <c r="Q188" s="20">
        <v>39840.0</v>
      </c>
      <c r="R188" s="17">
        <f t="shared" si="2"/>
        <v>1.407239658</v>
      </c>
      <c r="S188" s="9"/>
      <c r="T188" s="9"/>
      <c r="U188" s="9"/>
      <c r="V188" s="9"/>
      <c r="W188" s="9"/>
      <c r="X188" s="9"/>
      <c r="Y188" s="9"/>
      <c r="Z188" s="9"/>
      <c r="AA188" s="9"/>
      <c r="AB188" s="9" t="str">
        <f>IFERROR(__xludf.DUMMYFUNCTION("""COMPUTED_VALUE"""),"Katrina Bavinger")</f>
        <v>Katrina Bavinger</v>
      </c>
      <c r="AC188" s="9"/>
      <c r="AD188" s="9"/>
      <c r="AE188" s="9">
        <f t="shared" si="8"/>
        <v>4</v>
      </c>
      <c r="AF188" s="19">
        <f t="shared" si="13"/>
        <v>3</v>
      </c>
      <c r="AG188" s="9"/>
      <c r="AH188" s="9"/>
      <c r="AI188" s="9"/>
    </row>
    <row r="189" ht="15.0" customHeight="1">
      <c r="A189" s="11">
        <v>188.0</v>
      </c>
      <c r="B189" s="12">
        <f t="shared" si="35"/>
        <v>39838</v>
      </c>
      <c r="C189" s="13">
        <v>2009.0</v>
      </c>
      <c r="D189" s="11" t="s">
        <v>23</v>
      </c>
      <c r="E189" s="11">
        <v>15.0</v>
      </c>
      <c r="F189" s="21" t="s">
        <v>128</v>
      </c>
      <c r="G189" s="15">
        <v>0.09240580265236742</v>
      </c>
      <c r="H189" s="11" t="s">
        <v>33</v>
      </c>
      <c r="I189" s="16">
        <v>7.192</v>
      </c>
      <c r="J189" s="11" t="s">
        <v>459</v>
      </c>
      <c r="K189" s="11" t="s">
        <v>65</v>
      </c>
      <c r="L189" s="11" t="s">
        <v>41</v>
      </c>
      <c r="M189" s="11" t="s">
        <v>66</v>
      </c>
      <c r="N189" s="11" t="s">
        <v>80</v>
      </c>
      <c r="O189" s="11" t="s">
        <v>460</v>
      </c>
      <c r="P189" s="11" t="s">
        <v>38</v>
      </c>
      <c r="Q189" s="20">
        <v>39840.0</v>
      </c>
      <c r="R189" s="17">
        <f t="shared" si="2"/>
        <v>175.1729408</v>
      </c>
      <c r="S189" s="9"/>
      <c r="T189" s="9"/>
      <c r="U189" s="9"/>
      <c r="V189" s="9"/>
      <c r="W189" s="9"/>
      <c r="X189" s="9"/>
      <c r="Y189" s="9"/>
      <c r="Z189" s="9"/>
      <c r="AA189" s="9"/>
      <c r="AB189" s="9" t="str">
        <f>IFERROR(__xludf.DUMMYFUNCTION("""COMPUTED_VALUE"""),"Dan Campbell")</f>
        <v>Dan Campbell</v>
      </c>
      <c r="AC189" s="9"/>
      <c r="AD189" s="9"/>
      <c r="AE189" s="9">
        <f t="shared" si="8"/>
        <v>3</v>
      </c>
      <c r="AF189" s="19">
        <f t="shared" si="13"/>
        <v>5</v>
      </c>
      <c r="AG189" s="9"/>
      <c r="AH189" s="9"/>
      <c r="AI189" s="9"/>
    </row>
    <row r="190" ht="15.0" customHeight="1">
      <c r="A190" s="11">
        <v>189.0</v>
      </c>
      <c r="B190" s="12">
        <f t="shared" ref="B190:B198" si="36">DATE(2012,12,31)-1435</f>
        <v>39839</v>
      </c>
      <c r="C190" s="13">
        <v>2009.0</v>
      </c>
      <c r="D190" s="11" t="s">
        <v>102</v>
      </c>
      <c r="E190" s="11">
        <v>49.0</v>
      </c>
      <c r="F190" s="21" t="s">
        <v>461</v>
      </c>
      <c r="G190" s="15">
        <v>0.07717268680901683</v>
      </c>
      <c r="H190" s="11" t="s">
        <v>33</v>
      </c>
      <c r="I190" s="16">
        <v>44.96000000000001</v>
      </c>
      <c r="J190" s="11" t="s">
        <v>462</v>
      </c>
      <c r="K190" s="11" t="s">
        <v>35</v>
      </c>
      <c r="L190" s="11" t="s">
        <v>41</v>
      </c>
      <c r="M190" s="11" t="s">
        <v>49</v>
      </c>
      <c r="N190" s="11" t="s">
        <v>73</v>
      </c>
      <c r="O190" s="11" t="s">
        <v>463</v>
      </c>
      <c r="P190" s="11" t="s">
        <v>75</v>
      </c>
      <c r="Q190" s="20">
        <v>39840.0</v>
      </c>
      <c r="R190" s="17">
        <f t="shared" si="2"/>
        <v>347.2045483</v>
      </c>
      <c r="S190" s="9"/>
      <c r="T190" s="9"/>
      <c r="U190" s="9"/>
      <c r="V190" s="9"/>
      <c r="W190" s="9"/>
      <c r="X190" s="9"/>
      <c r="Y190" s="9"/>
      <c r="Z190" s="9"/>
      <c r="AA190" s="9"/>
      <c r="AB190" s="9" t="str">
        <f>IFERROR(__xludf.DUMMYFUNCTION("""COMPUTED_VALUE"""),"Dana Kaydos")</f>
        <v>Dana Kaydos</v>
      </c>
      <c r="AC190" s="9"/>
      <c r="AD190" s="9"/>
      <c r="AE190" s="9">
        <f t="shared" si="8"/>
        <v>3</v>
      </c>
      <c r="AF190" s="19">
        <f t="shared" si="13"/>
        <v>2</v>
      </c>
      <c r="AG190" s="9"/>
      <c r="AH190" s="9"/>
      <c r="AI190" s="9"/>
    </row>
    <row r="191" ht="15.0" customHeight="1">
      <c r="A191" s="11">
        <v>190.0</v>
      </c>
      <c r="B191" s="12">
        <f t="shared" si="36"/>
        <v>39839</v>
      </c>
      <c r="C191" s="13">
        <v>2009.0</v>
      </c>
      <c r="D191" s="11" t="s">
        <v>102</v>
      </c>
      <c r="E191" s="11">
        <v>11.0</v>
      </c>
      <c r="F191" s="21" t="s">
        <v>103</v>
      </c>
      <c r="G191" s="15">
        <v>0.09093298291721404</v>
      </c>
      <c r="H191" s="11" t="s">
        <v>33</v>
      </c>
      <c r="I191" s="16">
        <v>4.28</v>
      </c>
      <c r="J191" s="11" t="s">
        <v>462</v>
      </c>
      <c r="K191" s="11" t="s">
        <v>35</v>
      </c>
      <c r="L191" s="11" t="s">
        <v>41</v>
      </c>
      <c r="M191" s="11" t="s">
        <v>28</v>
      </c>
      <c r="N191" s="11" t="s">
        <v>56</v>
      </c>
      <c r="O191" s="11" t="s">
        <v>464</v>
      </c>
      <c r="P191" s="11" t="s">
        <v>38</v>
      </c>
      <c r="Q191" s="20">
        <v>39841.0</v>
      </c>
      <c r="R191" s="17">
        <f t="shared" si="2"/>
        <v>6.290743758</v>
      </c>
      <c r="S191" s="9"/>
      <c r="T191" s="9"/>
      <c r="U191" s="9"/>
      <c r="V191" s="9"/>
      <c r="W191" s="9"/>
      <c r="X191" s="9"/>
      <c r="Y191" s="9"/>
      <c r="Z191" s="9"/>
      <c r="AA191" s="9"/>
      <c r="AB191" s="9" t="str">
        <f>IFERROR(__xludf.DUMMYFUNCTION("""COMPUTED_VALUE"""),"Stephanie Phelps")</f>
        <v>Stephanie Phelps</v>
      </c>
      <c r="AC191" s="9"/>
      <c r="AD191" s="9"/>
      <c r="AE191" s="9">
        <f t="shared" si="8"/>
        <v>3</v>
      </c>
      <c r="AF191" s="19">
        <f t="shared" si="13"/>
        <v>2</v>
      </c>
      <c r="AG191" s="9"/>
      <c r="AH191" s="9"/>
      <c r="AI191" s="9"/>
    </row>
    <row r="192" ht="15.0" customHeight="1">
      <c r="A192" s="11">
        <v>191.0</v>
      </c>
      <c r="B192" s="12">
        <f t="shared" si="36"/>
        <v>39839</v>
      </c>
      <c r="C192" s="13">
        <v>2009.0</v>
      </c>
      <c r="D192" s="11" t="s">
        <v>32</v>
      </c>
      <c r="E192" s="11">
        <v>5.0</v>
      </c>
      <c r="F192" s="21" t="s">
        <v>319</v>
      </c>
      <c r="G192" s="15">
        <v>0.03999999999999997</v>
      </c>
      <c r="H192" s="11" t="s">
        <v>33</v>
      </c>
      <c r="I192" s="16">
        <v>0.4</v>
      </c>
      <c r="J192" s="11" t="s">
        <v>465</v>
      </c>
      <c r="K192" s="11" t="s">
        <v>61</v>
      </c>
      <c r="L192" s="11" t="s">
        <v>41</v>
      </c>
      <c r="M192" s="11" t="s">
        <v>28</v>
      </c>
      <c r="N192" s="11" t="s">
        <v>188</v>
      </c>
      <c r="O192" s="11" t="s">
        <v>437</v>
      </c>
      <c r="P192" s="11" t="s">
        <v>38</v>
      </c>
      <c r="Q192" s="20">
        <v>39841.0</v>
      </c>
      <c r="R192" s="17">
        <f t="shared" si="2"/>
        <v>0.576</v>
      </c>
      <c r="S192" s="9"/>
      <c r="T192" s="9"/>
      <c r="U192" s="9"/>
      <c r="V192" s="9"/>
      <c r="W192" s="9"/>
      <c r="X192" s="9"/>
      <c r="Y192" s="9"/>
      <c r="Z192" s="9"/>
      <c r="AA192" s="9"/>
      <c r="AB192" s="9" t="str">
        <f>IFERROR(__xludf.DUMMYFUNCTION("""COMPUTED_VALUE"""),"Cathy Hwang")</f>
        <v>Cathy Hwang</v>
      </c>
      <c r="AC192" s="9"/>
      <c r="AD192" s="9"/>
      <c r="AE192" s="9">
        <f t="shared" si="8"/>
        <v>3</v>
      </c>
      <c r="AF192" s="19">
        <f t="shared" si="13"/>
        <v>4</v>
      </c>
      <c r="AG192" s="9"/>
      <c r="AH192" s="9"/>
      <c r="AI192" s="9"/>
    </row>
    <row r="193" ht="15.0" customHeight="1">
      <c r="A193" s="11">
        <v>192.0</v>
      </c>
      <c r="B193" s="12">
        <f t="shared" si="36"/>
        <v>39839</v>
      </c>
      <c r="C193" s="13">
        <v>2009.0</v>
      </c>
      <c r="D193" s="11" t="s">
        <v>32</v>
      </c>
      <c r="E193" s="11">
        <v>30.0</v>
      </c>
      <c r="F193" s="21" t="s">
        <v>466</v>
      </c>
      <c r="G193" s="15">
        <v>0.033913431503792925</v>
      </c>
      <c r="H193" s="11" t="s">
        <v>33</v>
      </c>
      <c r="I193" s="16">
        <v>4.0</v>
      </c>
      <c r="J193" s="11" t="s">
        <v>465</v>
      </c>
      <c r="K193" s="11" t="s">
        <v>61</v>
      </c>
      <c r="L193" s="11" t="s">
        <v>41</v>
      </c>
      <c r="M193" s="11" t="s">
        <v>49</v>
      </c>
      <c r="N193" s="11" t="s">
        <v>73</v>
      </c>
      <c r="O193" s="11" t="s">
        <v>467</v>
      </c>
      <c r="P193" s="11" t="s">
        <v>99</v>
      </c>
      <c r="Q193" s="20">
        <v>39841.0</v>
      </c>
      <c r="R193" s="17">
        <f t="shared" si="2"/>
        <v>14.68451584</v>
      </c>
      <c r="S193" s="9"/>
      <c r="T193" s="9"/>
      <c r="U193" s="9"/>
      <c r="V193" s="9"/>
      <c r="W193" s="9"/>
      <c r="X193" s="9"/>
      <c r="Y193" s="9"/>
      <c r="Z193" s="9"/>
      <c r="AA193" s="9"/>
      <c r="AB193" s="9" t="str">
        <f>IFERROR(__xludf.DUMMYFUNCTION("""COMPUTED_VALUE"""),"Darrin Van Huff")</f>
        <v>Darrin Van Huff</v>
      </c>
      <c r="AC193" s="9"/>
      <c r="AD193" s="9"/>
      <c r="AE193" s="9">
        <f t="shared" si="8"/>
        <v>3</v>
      </c>
      <c r="AF193" s="19">
        <f t="shared" si="13"/>
        <v>4</v>
      </c>
      <c r="AG193" s="9"/>
      <c r="AH193" s="9"/>
      <c r="AI193" s="9"/>
    </row>
    <row r="194" ht="15.0" customHeight="1">
      <c r="A194" s="11">
        <v>193.0</v>
      </c>
      <c r="B194" s="12">
        <f t="shared" si="36"/>
        <v>39839</v>
      </c>
      <c r="C194" s="13">
        <v>2009.0</v>
      </c>
      <c r="D194" s="11" t="s">
        <v>32</v>
      </c>
      <c r="E194" s="11">
        <v>31.0</v>
      </c>
      <c r="F194" s="21" t="s">
        <v>137</v>
      </c>
      <c r="G194" s="15">
        <v>0.07511154066155133</v>
      </c>
      <c r="H194" s="11" t="s">
        <v>24</v>
      </c>
      <c r="I194" s="16">
        <v>11.192</v>
      </c>
      <c r="J194" s="11" t="s">
        <v>392</v>
      </c>
      <c r="K194" s="11" t="s">
        <v>65</v>
      </c>
      <c r="L194" s="11" t="s">
        <v>48</v>
      </c>
      <c r="M194" s="11" t="s">
        <v>66</v>
      </c>
      <c r="N194" s="11" t="s">
        <v>69</v>
      </c>
      <c r="O194" s="11" t="s">
        <v>468</v>
      </c>
      <c r="P194" s="11" t="s">
        <v>75</v>
      </c>
      <c r="Q194" s="20">
        <v>39841.0</v>
      </c>
      <c r="R194" s="17">
        <f t="shared" si="2"/>
        <v>352.2049244</v>
      </c>
      <c r="S194" s="9"/>
      <c r="T194" s="9"/>
      <c r="U194" s="9"/>
      <c r="V194" s="9"/>
      <c r="W194" s="9"/>
      <c r="X194" s="9"/>
      <c r="Y194" s="9"/>
      <c r="Z194" s="9"/>
      <c r="AA194" s="9"/>
      <c r="AB194" s="9" t="str">
        <f>IFERROR(__xludf.DUMMYFUNCTION("""COMPUTED_VALUE"""),"Jill Matthias")</f>
        <v>Jill Matthias</v>
      </c>
      <c r="AC194" s="9"/>
      <c r="AD194" s="9"/>
      <c r="AE194" s="9">
        <f t="shared" si="8"/>
        <v>4</v>
      </c>
      <c r="AF194" s="19">
        <f t="shared" si="13"/>
        <v>5</v>
      </c>
      <c r="AG194" s="9"/>
      <c r="AH194" s="9"/>
      <c r="AI194" s="9"/>
    </row>
    <row r="195" ht="15.0" customHeight="1">
      <c r="A195" s="11">
        <v>194.0</v>
      </c>
      <c r="B195" s="12">
        <f t="shared" si="36"/>
        <v>39839</v>
      </c>
      <c r="C195" s="13">
        <v>2009.0</v>
      </c>
      <c r="D195" s="11" t="s">
        <v>32</v>
      </c>
      <c r="E195" s="11">
        <v>15.0</v>
      </c>
      <c r="F195" s="21" t="s">
        <v>469</v>
      </c>
      <c r="G195" s="15">
        <v>0.038721461187214666</v>
      </c>
      <c r="H195" s="11" t="s">
        <v>45</v>
      </c>
      <c r="I195" s="16">
        <v>11.488</v>
      </c>
      <c r="J195" s="11" t="s">
        <v>392</v>
      </c>
      <c r="K195" s="11" t="s">
        <v>65</v>
      </c>
      <c r="L195" s="11" t="s">
        <v>48</v>
      </c>
      <c r="M195" s="11" t="s">
        <v>49</v>
      </c>
      <c r="N195" s="11" t="s">
        <v>50</v>
      </c>
      <c r="O195" s="11" t="s">
        <v>470</v>
      </c>
      <c r="P195" s="11" t="s">
        <v>52</v>
      </c>
      <c r="Q195" s="20">
        <v>39841.0</v>
      </c>
      <c r="R195" s="17">
        <f t="shared" si="2"/>
        <v>15.48811982</v>
      </c>
      <c r="S195" s="9"/>
      <c r="T195" s="9"/>
      <c r="U195" s="9"/>
      <c r="V195" s="9"/>
      <c r="W195" s="9"/>
      <c r="X195" s="9"/>
      <c r="Y195" s="9"/>
      <c r="Z195" s="9"/>
      <c r="AA195" s="9"/>
      <c r="AB195" s="9" t="str">
        <f>IFERROR(__xludf.DUMMYFUNCTION("""COMPUTED_VALUE"""),"Keith Dawkins")</f>
        <v>Keith Dawkins</v>
      </c>
      <c r="AC195" s="9"/>
      <c r="AD195" s="9"/>
      <c r="AE195" s="9">
        <f t="shared" si="8"/>
        <v>4</v>
      </c>
      <c r="AF195" s="19">
        <f t="shared" si="13"/>
        <v>5</v>
      </c>
      <c r="AG195" s="9"/>
      <c r="AH195" s="9"/>
      <c r="AI195" s="9"/>
    </row>
    <row r="196" ht="15.0" customHeight="1">
      <c r="A196" s="11">
        <v>195.0</v>
      </c>
      <c r="B196" s="12">
        <f t="shared" si="36"/>
        <v>39839</v>
      </c>
      <c r="C196" s="13">
        <v>2009.0</v>
      </c>
      <c r="D196" s="11" t="s">
        <v>32</v>
      </c>
      <c r="E196" s="11">
        <v>39.0</v>
      </c>
      <c r="F196" s="21" t="s">
        <v>471</v>
      </c>
      <c r="G196" s="15">
        <v>0.0979187037295712</v>
      </c>
      <c r="H196" s="11" t="s">
        <v>33</v>
      </c>
      <c r="I196" s="16">
        <v>28.0</v>
      </c>
      <c r="J196" s="11" t="s">
        <v>392</v>
      </c>
      <c r="K196" s="11" t="s">
        <v>65</v>
      </c>
      <c r="L196" s="11" t="s">
        <v>48</v>
      </c>
      <c r="M196" s="11" t="s">
        <v>28</v>
      </c>
      <c r="N196" s="11" t="s">
        <v>29</v>
      </c>
      <c r="O196" s="11" t="s">
        <v>472</v>
      </c>
      <c r="P196" s="11" t="s">
        <v>31</v>
      </c>
      <c r="Q196" s="20">
        <v>39841.0</v>
      </c>
      <c r="R196" s="17">
        <f t="shared" si="2"/>
        <v>126.4717977</v>
      </c>
      <c r="S196" s="9"/>
      <c r="T196" s="9"/>
      <c r="U196" s="9"/>
      <c r="V196" s="9"/>
      <c r="W196" s="9"/>
      <c r="X196" s="9"/>
      <c r="Y196" s="9"/>
      <c r="Z196" s="9"/>
      <c r="AA196" s="9"/>
      <c r="AB196" s="9" t="str">
        <f>IFERROR(__xludf.DUMMYFUNCTION("""COMPUTED_VALUE"""),"James Lanier")</f>
        <v>James Lanier</v>
      </c>
      <c r="AC196" s="9"/>
      <c r="AD196" s="9"/>
      <c r="AE196" s="9">
        <f t="shared" si="8"/>
        <v>4</v>
      </c>
      <c r="AF196" s="19">
        <f t="shared" si="13"/>
        <v>5</v>
      </c>
      <c r="AG196" s="9"/>
      <c r="AH196" s="9"/>
      <c r="AI196" s="9"/>
    </row>
    <row r="197" ht="15.0" customHeight="1">
      <c r="A197" s="11">
        <v>196.0</v>
      </c>
      <c r="B197" s="12">
        <f t="shared" si="36"/>
        <v>39839</v>
      </c>
      <c r="C197" s="13">
        <v>2009.0</v>
      </c>
      <c r="D197" s="11" t="s">
        <v>102</v>
      </c>
      <c r="E197" s="11">
        <v>10.0</v>
      </c>
      <c r="F197" s="21" t="s">
        <v>473</v>
      </c>
      <c r="G197" s="15">
        <v>0.0874949267192784</v>
      </c>
      <c r="H197" s="11" t="s">
        <v>33</v>
      </c>
      <c r="I197" s="16">
        <v>5.696000000000001</v>
      </c>
      <c r="J197" s="11" t="s">
        <v>474</v>
      </c>
      <c r="K197" s="11" t="s">
        <v>65</v>
      </c>
      <c r="L197" s="11" t="s">
        <v>36</v>
      </c>
      <c r="M197" s="11" t="s">
        <v>66</v>
      </c>
      <c r="N197" s="11" t="s">
        <v>67</v>
      </c>
      <c r="O197" s="11" t="s">
        <v>475</v>
      </c>
      <c r="P197" s="11" t="s">
        <v>38</v>
      </c>
      <c r="Q197" s="20">
        <v>39841.0</v>
      </c>
      <c r="R197" s="17">
        <f t="shared" si="2"/>
        <v>35.40884686</v>
      </c>
      <c r="S197" s="9"/>
      <c r="T197" s="9"/>
      <c r="U197" s="9"/>
      <c r="V197" s="9"/>
      <c r="W197" s="9"/>
      <c r="X197" s="9"/>
      <c r="Y197" s="9"/>
      <c r="Z197" s="9"/>
      <c r="AA197" s="9"/>
      <c r="AB197" s="9" t="str">
        <f>IFERROR(__xludf.DUMMYFUNCTION("""COMPUTED_VALUE"""),"Victoria Pisteka")</f>
        <v>Victoria Pisteka</v>
      </c>
      <c r="AC197" s="9"/>
      <c r="AD197" s="9"/>
      <c r="AE197" s="9">
        <f t="shared" si="8"/>
        <v>2</v>
      </c>
      <c r="AF197" s="19">
        <f t="shared" si="13"/>
        <v>5</v>
      </c>
      <c r="AG197" s="9"/>
      <c r="AH197" s="9"/>
      <c r="AI197" s="9"/>
    </row>
    <row r="198" ht="15.0" customHeight="1">
      <c r="A198" s="11">
        <v>197.0</v>
      </c>
      <c r="B198" s="12">
        <f t="shared" si="36"/>
        <v>39839</v>
      </c>
      <c r="C198" s="13">
        <v>2009.0</v>
      </c>
      <c r="D198" s="11" t="s">
        <v>102</v>
      </c>
      <c r="E198" s="11">
        <v>24.0</v>
      </c>
      <c r="F198" s="21" t="s">
        <v>476</v>
      </c>
      <c r="G198" s="15">
        <v>0.058449816243076526</v>
      </c>
      <c r="H198" s="11" t="s">
        <v>45</v>
      </c>
      <c r="I198" s="16">
        <v>68.504</v>
      </c>
      <c r="J198" s="11" t="s">
        <v>474</v>
      </c>
      <c r="K198" s="11" t="s">
        <v>65</v>
      </c>
      <c r="L198" s="11" t="s">
        <v>36</v>
      </c>
      <c r="M198" s="11" t="s">
        <v>49</v>
      </c>
      <c r="N198" s="11" t="s">
        <v>85</v>
      </c>
      <c r="O198" s="11" t="s">
        <v>477</v>
      </c>
      <c r="P198" s="11" t="s">
        <v>87</v>
      </c>
      <c r="Q198" s="20">
        <v>39841.0</v>
      </c>
      <c r="R198" s="17">
        <f t="shared" si="2"/>
        <v>531.5954675</v>
      </c>
      <c r="S198" s="9"/>
      <c r="T198" s="9"/>
      <c r="U198" s="9"/>
      <c r="V198" s="9"/>
      <c r="W198" s="9"/>
      <c r="X198" s="9"/>
      <c r="Y198" s="9"/>
      <c r="Z198" s="9"/>
      <c r="AA198" s="9"/>
      <c r="AB198" s="9" t="str">
        <f>IFERROR(__xludf.DUMMYFUNCTION("""COMPUTED_VALUE"""),"Steven Ward")</f>
        <v>Steven Ward</v>
      </c>
      <c r="AC198" s="9"/>
      <c r="AD198" s="9"/>
      <c r="AE198" s="9">
        <f t="shared" si="8"/>
        <v>2</v>
      </c>
      <c r="AF198" s="19">
        <f t="shared" si="13"/>
        <v>5</v>
      </c>
      <c r="AG198" s="9"/>
      <c r="AH198" s="9"/>
      <c r="AI198" s="9"/>
    </row>
    <row r="199" ht="15.0" customHeight="1">
      <c r="A199" s="11">
        <v>198.0</v>
      </c>
      <c r="B199" s="12">
        <f t="shared" ref="B199:B203" si="37">DATE(2012,12,31)-1434</f>
        <v>39840</v>
      </c>
      <c r="C199" s="13">
        <v>2009.0</v>
      </c>
      <c r="D199" s="11" t="s">
        <v>102</v>
      </c>
      <c r="E199" s="11">
        <v>4.0</v>
      </c>
      <c r="F199" s="21" t="s">
        <v>328</v>
      </c>
      <c r="G199" s="15">
        <v>0.02130463430705027</v>
      </c>
      <c r="H199" s="11" t="s">
        <v>33</v>
      </c>
      <c r="I199" s="16">
        <v>2.0</v>
      </c>
      <c r="J199" s="11" t="s">
        <v>133</v>
      </c>
      <c r="K199" s="11" t="s">
        <v>65</v>
      </c>
      <c r="L199" s="11" t="s">
        <v>41</v>
      </c>
      <c r="M199" s="11" t="s">
        <v>66</v>
      </c>
      <c r="N199" s="11" t="s">
        <v>80</v>
      </c>
      <c r="O199" s="11" t="s">
        <v>81</v>
      </c>
      <c r="P199" s="11" t="s">
        <v>38</v>
      </c>
      <c r="Q199" s="20">
        <v>39841.0</v>
      </c>
      <c r="R199" s="17">
        <f t="shared" si="2"/>
        <v>9.493345047</v>
      </c>
      <c r="S199" s="9"/>
      <c r="T199" s="9"/>
      <c r="U199" s="9"/>
      <c r="V199" s="9"/>
      <c r="W199" s="9"/>
      <c r="X199" s="9"/>
      <c r="Y199" s="9"/>
      <c r="Z199" s="9"/>
      <c r="AA199" s="9"/>
      <c r="AB199" s="9" t="str">
        <f>IFERROR(__xludf.DUMMYFUNCTION("""COMPUTED_VALUE"""),"Natalie Fritzler")</f>
        <v>Natalie Fritzler</v>
      </c>
      <c r="AC199" s="9"/>
      <c r="AD199" s="9"/>
      <c r="AE199" s="9">
        <f t="shared" si="8"/>
        <v>3</v>
      </c>
      <c r="AF199" s="19">
        <f t="shared" si="13"/>
        <v>5</v>
      </c>
      <c r="AG199" s="9"/>
      <c r="AH199" s="9"/>
      <c r="AI199" s="9"/>
    </row>
    <row r="200" ht="15.0" customHeight="1">
      <c r="A200" s="11">
        <v>199.0</v>
      </c>
      <c r="B200" s="12">
        <f t="shared" si="37"/>
        <v>39840</v>
      </c>
      <c r="C200" s="13">
        <v>2009.0</v>
      </c>
      <c r="D200" s="11" t="s">
        <v>23</v>
      </c>
      <c r="E200" s="11">
        <v>38.0</v>
      </c>
      <c r="F200" s="21" t="s">
        <v>100</v>
      </c>
      <c r="G200" s="15">
        <v>0.07453438183645718</v>
      </c>
      <c r="H200" s="11" t="s">
        <v>33</v>
      </c>
      <c r="I200" s="16">
        <v>2.0</v>
      </c>
      <c r="J200" s="11" t="s">
        <v>456</v>
      </c>
      <c r="K200" s="11" t="s">
        <v>35</v>
      </c>
      <c r="L200" s="11" t="s">
        <v>27</v>
      </c>
      <c r="M200" s="11" t="s">
        <v>66</v>
      </c>
      <c r="N200" s="11" t="s">
        <v>80</v>
      </c>
      <c r="O200" s="11" t="s">
        <v>478</v>
      </c>
      <c r="P200" s="11" t="s">
        <v>38</v>
      </c>
      <c r="Q200" s="20">
        <v>39841.0</v>
      </c>
      <c r="R200" s="17">
        <f t="shared" si="2"/>
        <v>583.3209791</v>
      </c>
      <c r="S200" s="9"/>
      <c r="T200" s="9"/>
      <c r="U200" s="9"/>
      <c r="V200" s="9"/>
      <c r="W200" s="9"/>
      <c r="X200" s="9"/>
      <c r="Y200" s="9"/>
      <c r="Z200" s="9"/>
      <c r="AA200" s="9"/>
      <c r="AB200" s="9" t="str">
        <f>IFERROR(__xludf.DUMMYFUNCTION("""COMPUTED_VALUE"""),"Evan Minnotte")</f>
        <v>Evan Minnotte</v>
      </c>
      <c r="AC200" s="9"/>
      <c r="AD200" s="9"/>
      <c r="AE200" s="9">
        <f t="shared" si="8"/>
        <v>1</v>
      </c>
      <c r="AF200" s="19">
        <f t="shared" si="13"/>
        <v>2</v>
      </c>
      <c r="AG200" s="9"/>
      <c r="AH200" s="9"/>
      <c r="AI200" s="9"/>
    </row>
    <row r="201" ht="15.0" customHeight="1">
      <c r="A201" s="11">
        <v>200.0</v>
      </c>
      <c r="B201" s="12">
        <f t="shared" si="37"/>
        <v>39840</v>
      </c>
      <c r="C201" s="13">
        <v>2009.0</v>
      </c>
      <c r="D201" s="11" t="s">
        <v>39</v>
      </c>
      <c r="E201" s="11">
        <v>36.0</v>
      </c>
      <c r="F201" s="21" t="s">
        <v>333</v>
      </c>
      <c r="G201" s="15">
        <v>0.09595176571920759</v>
      </c>
      <c r="H201" s="11" t="s">
        <v>33</v>
      </c>
      <c r="I201" s="16">
        <v>0.5599999999999999</v>
      </c>
      <c r="J201" s="11" t="s">
        <v>479</v>
      </c>
      <c r="K201" s="11" t="s">
        <v>35</v>
      </c>
      <c r="L201" s="11" t="s">
        <v>48</v>
      </c>
      <c r="M201" s="11" t="s">
        <v>28</v>
      </c>
      <c r="N201" s="11" t="s">
        <v>62</v>
      </c>
      <c r="O201" s="11" t="s">
        <v>480</v>
      </c>
      <c r="P201" s="11" t="s">
        <v>58</v>
      </c>
      <c r="Q201" s="20">
        <v>39842.0</v>
      </c>
      <c r="R201" s="17">
        <f t="shared" si="2"/>
        <v>10.07109733</v>
      </c>
      <c r="S201" s="9"/>
      <c r="T201" s="9"/>
      <c r="U201" s="9"/>
      <c r="V201" s="9"/>
      <c r="W201" s="9"/>
      <c r="X201" s="9"/>
      <c r="Y201" s="9"/>
      <c r="Z201" s="9"/>
      <c r="AA201" s="9"/>
      <c r="AB201" s="9" t="str">
        <f>IFERROR(__xludf.DUMMYFUNCTION("""COMPUTED_VALUE"""),"Denise Monton")</f>
        <v>Denise Monton</v>
      </c>
      <c r="AC201" s="9"/>
      <c r="AD201" s="9"/>
      <c r="AE201" s="9">
        <f t="shared" si="8"/>
        <v>4</v>
      </c>
      <c r="AF201" s="19">
        <f t="shared" si="13"/>
        <v>2</v>
      </c>
      <c r="AG201" s="9"/>
      <c r="AH201" s="9"/>
      <c r="AI201" s="9"/>
    </row>
    <row r="202" ht="15.0" customHeight="1">
      <c r="A202" s="11">
        <v>201.0</v>
      </c>
      <c r="B202" s="12">
        <f t="shared" si="37"/>
        <v>39840</v>
      </c>
      <c r="C202" s="13">
        <v>2009.0</v>
      </c>
      <c r="D202" s="11" t="s">
        <v>39</v>
      </c>
      <c r="E202" s="11">
        <v>41.0</v>
      </c>
      <c r="F202" s="21" t="s">
        <v>481</v>
      </c>
      <c r="G202" s="15">
        <v>0.03182855612108231</v>
      </c>
      <c r="H202" s="11" t="s">
        <v>33</v>
      </c>
      <c r="I202" s="16">
        <v>7.192</v>
      </c>
      <c r="J202" s="11" t="s">
        <v>479</v>
      </c>
      <c r="K202" s="11" t="s">
        <v>35</v>
      </c>
      <c r="L202" s="11" t="s">
        <v>48</v>
      </c>
      <c r="M202" s="11" t="s">
        <v>28</v>
      </c>
      <c r="N202" s="11" t="s">
        <v>62</v>
      </c>
      <c r="O202" s="11" t="s">
        <v>482</v>
      </c>
      <c r="P202" s="11" t="s">
        <v>99</v>
      </c>
      <c r="Q202" s="20">
        <v>39842.0</v>
      </c>
      <c r="R202" s="17">
        <f t="shared" si="2"/>
        <v>57.51712914</v>
      </c>
      <c r="S202" s="9"/>
      <c r="T202" s="9"/>
      <c r="U202" s="9"/>
      <c r="V202" s="9"/>
      <c r="W202" s="9"/>
      <c r="X202" s="9"/>
      <c r="Y202" s="9"/>
      <c r="Z202" s="9"/>
      <c r="AA202" s="9"/>
      <c r="AB202" s="9" t="str">
        <f>IFERROR(__xludf.DUMMYFUNCTION("""COMPUTED_VALUE"""),"Alan Hwang")</f>
        <v>Alan Hwang</v>
      </c>
      <c r="AC202" s="9"/>
      <c r="AD202" s="9"/>
      <c r="AE202" s="9">
        <f t="shared" si="8"/>
        <v>4</v>
      </c>
      <c r="AF202" s="19">
        <f t="shared" si="13"/>
        <v>2</v>
      </c>
      <c r="AG202" s="9"/>
      <c r="AH202" s="9"/>
      <c r="AI202" s="9"/>
    </row>
    <row r="203" ht="15.0" customHeight="1">
      <c r="A203" s="11">
        <v>202.0</v>
      </c>
      <c r="B203" s="12">
        <f t="shared" si="37"/>
        <v>39840</v>
      </c>
      <c r="C203" s="13">
        <v>2009.0</v>
      </c>
      <c r="D203" s="11" t="s">
        <v>39</v>
      </c>
      <c r="E203" s="11">
        <v>50.0</v>
      </c>
      <c r="F203" s="21" t="s">
        <v>483</v>
      </c>
      <c r="G203" s="15">
        <v>0.09067103109656288</v>
      </c>
      <c r="H203" s="11" t="s">
        <v>33</v>
      </c>
      <c r="I203" s="16">
        <v>0.5599999999999999</v>
      </c>
      <c r="J203" s="11" t="s">
        <v>479</v>
      </c>
      <c r="K203" s="11" t="s">
        <v>35</v>
      </c>
      <c r="L203" s="11" t="s">
        <v>48</v>
      </c>
      <c r="M203" s="11" t="s">
        <v>28</v>
      </c>
      <c r="N203" s="11" t="s">
        <v>216</v>
      </c>
      <c r="O203" s="11" t="s">
        <v>484</v>
      </c>
      <c r="P203" s="11" t="s">
        <v>58</v>
      </c>
      <c r="Q203" s="20">
        <v>39842.0</v>
      </c>
      <c r="R203" s="17">
        <f t="shared" si="2"/>
        <v>5.037682488</v>
      </c>
      <c r="S203" s="9"/>
      <c r="T203" s="9"/>
      <c r="U203" s="9"/>
      <c r="V203" s="9"/>
      <c r="W203" s="9"/>
      <c r="X203" s="9"/>
      <c r="Y203" s="9"/>
      <c r="Z203" s="9"/>
      <c r="AA203" s="9"/>
      <c r="AB203" s="9" t="str">
        <f>IFERROR(__xludf.DUMMYFUNCTION("""COMPUTED_VALUE"""),"Theresa Swint")</f>
        <v>Theresa Swint</v>
      </c>
      <c r="AC203" s="9"/>
      <c r="AD203" s="9"/>
      <c r="AE203" s="9">
        <f t="shared" si="8"/>
        <v>4</v>
      </c>
      <c r="AF203" s="19">
        <f t="shared" si="13"/>
        <v>2</v>
      </c>
      <c r="AG203" s="9"/>
      <c r="AH203" s="9"/>
      <c r="AI203" s="9"/>
    </row>
    <row r="204" ht="15.0" customHeight="1">
      <c r="A204" s="11">
        <v>203.0</v>
      </c>
      <c r="B204" s="12">
        <f t="shared" ref="B204:B209" si="38">DATE(2012,12,31)-1433</f>
        <v>39841</v>
      </c>
      <c r="C204" s="13">
        <v>2009.0</v>
      </c>
      <c r="D204" s="11" t="s">
        <v>44</v>
      </c>
      <c r="E204" s="11">
        <v>3.0</v>
      </c>
      <c r="F204" s="21" t="s">
        <v>273</v>
      </c>
      <c r="G204" s="15">
        <v>0.025095948827292103</v>
      </c>
      <c r="H204" s="11" t="s">
        <v>33</v>
      </c>
      <c r="I204" s="16">
        <v>3.192</v>
      </c>
      <c r="J204" s="11" t="s">
        <v>485</v>
      </c>
      <c r="K204" s="11" t="s">
        <v>47</v>
      </c>
      <c r="L204" s="11" t="s">
        <v>48</v>
      </c>
      <c r="M204" s="11" t="s">
        <v>28</v>
      </c>
      <c r="N204" s="11" t="s">
        <v>197</v>
      </c>
      <c r="O204" s="11" t="s">
        <v>275</v>
      </c>
      <c r="P204" s="11" t="s">
        <v>38</v>
      </c>
      <c r="Q204" s="20">
        <v>39842.0</v>
      </c>
      <c r="R204" s="17">
        <f t="shared" si="2"/>
        <v>4.589848273</v>
      </c>
      <c r="S204" s="9"/>
      <c r="T204" s="9"/>
      <c r="U204" s="9"/>
      <c r="V204" s="9"/>
      <c r="W204" s="9"/>
      <c r="X204" s="9"/>
      <c r="Y204" s="9"/>
      <c r="Z204" s="9"/>
      <c r="AA204" s="9"/>
      <c r="AB204" s="9" t="str">
        <f>IFERROR(__xludf.DUMMYFUNCTION("""COMPUTED_VALUE"""),"Ryan Akin")</f>
        <v>Ryan Akin</v>
      </c>
      <c r="AC204" s="9"/>
      <c r="AD204" s="9"/>
      <c r="AE204" s="9">
        <f t="shared" si="8"/>
        <v>4</v>
      </c>
      <c r="AF204" s="19">
        <f t="shared" si="13"/>
        <v>3</v>
      </c>
      <c r="AG204" s="9"/>
      <c r="AH204" s="9"/>
      <c r="AI204" s="9"/>
    </row>
    <row r="205" ht="15.0" customHeight="1">
      <c r="A205" s="11">
        <v>204.0</v>
      </c>
      <c r="B205" s="12">
        <f t="shared" si="38"/>
        <v>39841</v>
      </c>
      <c r="C205" s="13">
        <v>2009.0</v>
      </c>
      <c r="D205" s="11" t="s">
        <v>44</v>
      </c>
      <c r="E205" s="11">
        <v>34.0</v>
      </c>
      <c r="F205" s="21" t="s">
        <v>486</v>
      </c>
      <c r="G205" s="15">
        <v>0.04969567538707966</v>
      </c>
      <c r="H205" s="11" t="s">
        <v>33</v>
      </c>
      <c r="I205" s="16">
        <v>4.5920000000000005</v>
      </c>
      <c r="J205" s="11" t="s">
        <v>485</v>
      </c>
      <c r="K205" s="11" t="s">
        <v>47</v>
      </c>
      <c r="L205" s="11" t="s">
        <v>48</v>
      </c>
      <c r="M205" s="11" t="s">
        <v>28</v>
      </c>
      <c r="N205" s="11" t="s">
        <v>42</v>
      </c>
      <c r="O205" s="11" t="s">
        <v>487</v>
      </c>
      <c r="P205" s="11" t="s">
        <v>38</v>
      </c>
      <c r="Q205" s="20">
        <v>39842.0</v>
      </c>
      <c r="R205" s="17">
        <f t="shared" si="2"/>
        <v>8.845432653</v>
      </c>
      <c r="S205" s="9"/>
      <c r="T205" s="9"/>
      <c r="U205" s="9"/>
      <c r="V205" s="9"/>
      <c r="W205" s="9"/>
      <c r="X205" s="9"/>
      <c r="Y205" s="9"/>
      <c r="Z205" s="9"/>
      <c r="AA205" s="9"/>
      <c r="AB205" s="9" t="str">
        <f>IFERROR(__xludf.DUMMYFUNCTION("""COMPUTED_VALUE"""),"Jim Radford")</f>
        <v>Jim Radford</v>
      </c>
      <c r="AC205" s="9"/>
      <c r="AD205" s="9"/>
      <c r="AE205" s="9">
        <f t="shared" si="8"/>
        <v>4</v>
      </c>
      <c r="AF205" s="19">
        <f t="shared" si="13"/>
        <v>3</v>
      </c>
      <c r="AG205" s="9"/>
      <c r="AH205" s="9"/>
      <c r="AI205" s="9"/>
    </row>
    <row r="206" ht="15.0" customHeight="1">
      <c r="A206" s="11">
        <v>205.0</v>
      </c>
      <c r="B206" s="12">
        <f t="shared" si="38"/>
        <v>39841</v>
      </c>
      <c r="C206" s="13">
        <v>2009.0</v>
      </c>
      <c r="D206" s="11" t="s">
        <v>102</v>
      </c>
      <c r="E206" s="11">
        <v>36.0</v>
      </c>
      <c r="F206" s="21" t="s">
        <v>440</v>
      </c>
      <c r="G206" s="15">
        <v>0.01282051282051289</v>
      </c>
      <c r="H206" s="11" t="s">
        <v>24</v>
      </c>
      <c r="I206" s="16">
        <v>1.6</v>
      </c>
      <c r="J206" s="11" t="s">
        <v>488</v>
      </c>
      <c r="K206" s="11" t="s">
        <v>61</v>
      </c>
      <c r="L206" s="11" t="s">
        <v>27</v>
      </c>
      <c r="M206" s="11" t="s">
        <v>28</v>
      </c>
      <c r="N206" s="11" t="s">
        <v>56</v>
      </c>
      <c r="O206" s="11" t="s">
        <v>489</v>
      </c>
      <c r="P206" s="11" t="s">
        <v>58</v>
      </c>
      <c r="Q206" s="20">
        <v>39843.0</v>
      </c>
      <c r="R206" s="17">
        <f t="shared" si="2"/>
        <v>3.158974359</v>
      </c>
      <c r="S206" s="9"/>
      <c r="T206" s="9"/>
      <c r="U206" s="9"/>
      <c r="V206" s="9"/>
      <c r="W206" s="9"/>
      <c r="X206" s="9"/>
      <c r="Y206" s="9"/>
      <c r="Z206" s="9"/>
      <c r="AA206" s="9"/>
      <c r="AB206" s="9" t="str">
        <f>IFERROR(__xludf.DUMMYFUNCTION("""COMPUTED_VALUE"""),"Delfina Latchford")</f>
        <v>Delfina Latchford</v>
      </c>
      <c r="AC206" s="9"/>
      <c r="AD206" s="9"/>
      <c r="AE206" s="9">
        <f t="shared" si="8"/>
        <v>1</v>
      </c>
      <c r="AF206" s="19">
        <f t="shared" si="13"/>
        <v>4</v>
      </c>
      <c r="AG206" s="9"/>
      <c r="AH206" s="9"/>
      <c r="AI206" s="9"/>
    </row>
    <row r="207" ht="15.0" customHeight="1">
      <c r="A207" s="11">
        <v>206.0</v>
      </c>
      <c r="B207" s="12">
        <f t="shared" si="38"/>
        <v>39841</v>
      </c>
      <c r="C207" s="13">
        <v>2009.0</v>
      </c>
      <c r="D207" s="11" t="s">
        <v>102</v>
      </c>
      <c r="E207" s="11">
        <v>31.0</v>
      </c>
      <c r="F207" s="21" t="s">
        <v>471</v>
      </c>
      <c r="G207" s="15">
        <v>0.037927499767029936</v>
      </c>
      <c r="H207" s="11" t="s">
        <v>24</v>
      </c>
      <c r="I207" s="16">
        <v>28.0</v>
      </c>
      <c r="J207" s="11" t="s">
        <v>488</v>
      </c>
      <c r="K207" s="11" t="s">
        <v>61</v>
      </c>
      <c r="L207" s="11" t="s">
        <v>27</v>
      </c>
      <c r="M207" s="11" t="s">
        <v>28</v>
      </c>
      <c r="N207" s="11" t="s">
        <v>29</v>
      </c>
      <c r="O207" s="11" t="s">
        <v>472</v>
      </c>
      <c r="P207" s="11" t="s">
        <v>31</v>
      </c>
      <c r="Q207" s="20">
        <v>39843.0</v>
      </c>
      <c r="R207" s="17">
        <f t="shared" si="2"/>
        <v>39.15635076</v>
      </c>
      <c r="S207" s="9"/>
      <c r="T207" s="9"/>
      <c r="U207" s="9"/>
      <c r="V207" s="9"/>
      <c r="W207" s="9"/>
      <c r="X207" s="9"/>
      <c r="Y207" s="9"/>
      <c r="Z207" s="9"/>
      <c r="AA207" s="9"/>
      <c r="AB207" s="9" t="str">
        <f>IFERROR(__xludf.DUMMYFUNCTION("""COMPUTED_VALUE"""),"Carl Weiss")</f>
        <v>Carl Weiss</v>
      </c>
      <c r="AC207" s="9"/>
      <c r="AD207" s="9"/>
      <c r="AE207" s="9">
        <f t="shared" si="8"/>
        <v>1</v>
      </c>
      <c r="AF207" s="19">
        <f t="shared" si="13"/>
        <v>4</v>
      </c>
      <c r="AG207" s="9"/>
      <c r="AH207" s="9"/>
      <c r="AI207" s="9"/>
    </row>
    <row r="208" ht="15.0" customHeight="1">
      <c r="A208" s="11">
        <v>207.0</v>
      </c>
      <c r="B208" s="12">
        <f t="shared" si="38"/>
        <v>39841</v>
      </c>
      <c r="C208" s="13">
        <v>2009.0</v>
      </c>
      <c r="D208" s="11" t="s">
        <v>32</v>
      </c>
      <c r="E208" s="11">
        <v>1.0</v>
      </c>
      <c r="F208" s="21" t="s">
        <v>490</v>
      </c>
      <c r="G208" s="15">
        <v>0.0955345060893099</v>
      </c>
      <c r="H208" s="11" t="s">
        <v>33</v>
      </c>
      <c r="I208" s="16">
        <v>11.440000000000001</v>
      </c>
      <c r="J208" s="11" t="s">
        <v>491</v>
      </c>
      <c r="K208" s="11" t="s">
        <v>47</v>
      </c>
      <c r="L208" s="11" t="s">
        <v>48</v>
      </c>
      <c r="M208" s="11" t="s">
        <v>28</v>
      </c>
      <c r="N208" s="11" t="s">
        <v>56</v>
      </c>
      <c r="O208" s="11" t="s">
        <v>492</v>
      </c>
      <c r="P208" s="11" t="s">
        <v>38</v>
      </c>
      <c r="Q208" s="20">
        <v>39843.0</v>
      </c>
      <c r="R208" s="17">
        <f t="shared" si="2"/>
        <v>6.385526387</v>
      </c>
      <c r="S208" s="9"/>
      <c r="T208" s="9"/>
      <c r="U208" s="9"/>
      <c r="V208" s="9"/>
      <c r="W208" s="9"/>
      <c r="X208" s="9"/>
      <c r="Y208" s="9"/>
      <c r="Z208" s="9"/>
      <c r="AA208" s="9"/>
      <c r="AB208" s="9" t="str">
        <f>IFERROR(__xludf.DUMMYFUNCTION("""COMPUTED_VALUE"""),"Quincy Jones")</f>
        <v>Quincy Jones</v>
      </c>
      <c r="AC208" s="9"/>
      <c r="AD208" s="9"/>
      <c r="AE208" s="9">
        <f t="shared" si="8"/>
        <v>4</v>
      </c>
      <c r="AF208" s="19">
        <f t="shared" si="13"/>
        <v>3</v>
      </c>
      <c r="AG208" s="9"/>
      <c r="AH208" s="9"/>
      <c r="AI208" s="9"/>
    </row>
    <row r="209" ht="15.0" customHeight="1">
      <c r="A209" s="11">
        <v>208.0</v>
      </c>
      <c r="B209" s="12">
        <f t="shared" si="38"/>
        <v>39841</v>
      </c>
      <c r="C209" s="13">
        <v>2009.0</v>
      </c>
      <c r="D209" s="11" t="s">
        <v>32</v>
      </c>
      <c r="E209" s="11">
        <v>3.0</v>
      </c>
      <c r="F209" s="21" t="s">
        <v>277</v>
      </c>
      <c r="G209" s="15">
        <v>0.09611940298507451</v>
      </c>
      <c r="H209" s="11" t="s">
        <v>33</v>
      </c>
      <c r="I209" s="16">
        <v>1.2560000000000002</v>
      </c>
      <c r="J209" s="11" t="s">
        <v>491</v>
      </c>
      <c r="K209" s="11" t="s">
        <v>47</v>
      </c>
      <c r="L209" s="11" t="s">
        <v>48</v>
      </c>
      <c r="M209" s="11" t="s">
        <v>28</v>
      </c>
      <c r="N209" s="11" t="s">
        <v>62</v>
      </c>
      <c r="O209" s="11" t="s">
        <v>355</v>
      </c>
      <c r="P209" s="11" t="s">
        <v>58</v>
      </c>
      <c r="Q209" s="20">
        <v>39844.0</v>
      </c>
      <c r="R209" s="17">
        <f t="shared" si="2"/>
        <v>0.5820991045</v>
      </c>
      <c r="S209" s="9"/>
      <c r="T209" s="9"/>
      <c r="U209" s="9"/>
      <c r="V209" s="9"/>
      <c r="W209" s="9"/>
      <c r="X209" s="9"/>
      <c r="Y209" s="9"/>
      <c r="Z209" s="9"/>
      <c r="AA209" s="9"/>
      <c r="AB209" s="9" t="str">
        <f>IFERROR(__xludf.DUMMYFUNCTION("""COMPUTED_VALUE"""),"Christina DeMoss")</f>
        <v>Christina DeMoss</v>
      </c>
      <c r="AC209" s="9"/>
      <c r="AD209" s="9"/>
      <c r="AE209" s="9">
        <f t="shared" si="8"/>
        <v>4</v>
      </c>
      <c r="AF209" s="19">
        <f t="shared" si="13"/>
        <v>3</v>
      </c>
      <c r="AG209" s="9"/>
      <c r="AH209" s="9"/>
      <c r="AI209" s="9"/>
    </row>
    <row r="210" ht="15.0" customHeight="1">
      <c r="A210" s="11">
        <v>209.0</v>
      </c>
      <c r="B210" s="12">
        <f t="shared" ref="B210:B212" si="39">DATE(2012,12,31)-1432</f>
        <v>39842</v>
      </c>
      <c r="C210" s="13">
        <v>2009.0</v>
      </c>
      <c r="D210" s="11" t="s">
        <v>102</v>
      </c>
      <c r="E210" s="11">
        <v>38.0</v>
      </c>
      <c r="F210" s="21" t="s">
        <v>493</v>
      </c>
      <c r="G210" s="15">
        <v>0.020034154552410154</v>
      </c>
      <c r="H210" s="11" t="s">
        <v>33</v>
      </c>
      <c r="I210" s="16">
        <v>15.991999999999999</v>
      </c>
      <c r="J210" s="11" t="s">
        <v>494</v>
      </c>
      <c r="K210" s="11" t="s">
        <v>83</v>
      </c>
      <c r="L210" s="11" t="s">
        <v>48</v>
      </c>
      <c r="M210" s="11" t="s">
        <v>28</v>
      </c>
      <c r="N210" s="11" t="s">
        <v>42</v>
      </c>
      <c r="O210" s="11" t="s">
        <v>495</v>
      </c>
      <c r="P210" s="11" t="s">
        <v>38</v>
      </c>
      <c r="Q210" s="20">
        <v>39844.0</v>
      </c>
      <c r="R210" s="17">
        <f t="shared" si="2"/>
        <v>320.7506609</v>
      </c>
      <c r="S210" s="9"/>
      <c r="T210" s="9"/>
      <c r="U210" s="9"/>
      <c r="V210" s="9"/>
      <c r="W210" s="9"/>
      <c r="X210" s="9"/>
      <c r="Y210" s="9"/>
      <c r="Z210" s="9"/>
      <c r="AA210" s="9"/>
      <c r="AB210" s="9" t="str">
        <f>IFERROR(__xludf.DUMMYFUNCTION("""COMPUTED_VALUE"""),"Guy Armstrong")</f>
        <v>Guy Armstrong</v>
      </c>
      <c r="AC210" s="9"/>
      <c r="AD210" s="9"/>
      <c r="AE210" s="9">
        <f t="shared" si="8"/>
        <v>4</v>
      </c>
      <c r="AF210" s="19" t="b">
        <f t="shared" si="13"/>
        <v>0</v>
      </c>
      <c r="AG210" s="9"/>
      <c r="AH210" s="9"/>
      <c r="AI210" s="9"/>
    </row>
    <row r="211" ht="15.0" customHeight="1">
      <c r="A211" s="11">
        <v>210.0</v>
      </c>
      <c r="B211" s="12">
        <f t="shared" si="39"/>
        <v>39842</v>
      </c>
      <c r="C211" s="13">
        <v>2009.0</v>
      </c>
      <c r="D211" s="11" t="s">
        <v>102</v>
      </c>
      <c r="E211" s="11">
        <v>4.0</v>
      </c>
      <c r="F211" s="21" t="s">
        <v>496</v>
      </c>
      <c r="G211" s="15">
        <v>0.031437870955389545</v>
      </c>
      <c r="H211" s="11" t="s">
        <v>45</v>
      </c>
      <c r="I211" s="16">
        <v>48.160000000000004</v>
      </c>
      <c r="J211" s="11" t="s">
        <v>494</v>
      </c>
      <c r="K211" s="11" t="s">
        <v>83</v>
      </c>
      <c r="L211" s="11" t="s">
        <v>48</v>
      </c>
      <c r="M211" s="11" t="s">
        <v>49</v>
      </c>
      <c r="N211" s="11" t="s">
        <v>156</v>
      </c>
      <c r="O211" s="11" t="s">
        <v>497</v>
      </c>
      <c r="P211" s="11" t="s">
        <v>87</v>
      </c>
      <c r="Q211" s="20">
        <v>39844.0</v>
      </c>
      <c r="R211" s="17">
        <f t="shared" si="2"/>
        <v>31.80758032</v>
      </c>
      <c r="S211" s="9"/>
      <c r="T211" s="9"/>
      <c r="U211" s="9"/>
      <c r="V211" s="9"/>
      <c r="W211" s="9"/>
      <c r="X211" s="9"/>
      <c r="Y211" s="9"/>
      <c r="Z211" s="9"/>
      <c r="AA211" s="9"/>
      <c r="AB211" s="9" t="str">
        <f>IFERROR(__xludf.DUMMYFUNCTION("""COMPUTED_VALUE"""),"Trudy Schmidt")</f>
        <v>Trudy Schmidt</v>
      </c>
      <c r="AC211" s="9"/>
      <c r="AD211" s="9"/>
      <c r="AE211" s="9">
        <f t="shared" si="8"/>
        <v>4</v>
      </c>
      <c r="AF211" s="19" t="b">
        <f t="shared" si="13"/>
        <v>0</v>
      </c>
      <c r="AG211" s="9"/>
      <c r="AH211" s="9"/>
      <c r="AI211" s="9"/>
    </row>
    <row r="212" ht="15.0" customHeight="1">
      <c r="A212" s="11">
        <v>211.0</v>
      </c>
      <c r="B212" s="12">
        <f t="shared" si="39"/>
        <v>39842</v>
      </c>
      <c r="C212" s="13">
        <v>2009.0</v>
      </c>
      <c r="D212" s="11" t="s">
        <v>39</v>
      </c>
      <c r="E212" s="11">
        <v>14.0</v>
      </c>
      <c r="F212" s="21" t="s">
        <v>498</v>
      </c>
      <c r="G212" s="15">
        <v>0.08406230868648372</v>
      </c>
      <c r="H212" s="11" t="s">
        <v>33</v>
      </c>
      <c r="I212" s="16">
        <v>3.9200000000000004</v>
      </c>
      <c r="J212" s="11" t="s">
        <v>499</v>
      </c>
      <c r="K212" s="11" t="s">
        <v>83</v>
      </c>
      <c r="L212" s="11" t="s">
        <v>41</v>
      </c>
      <c r="M212" s="11" t="s">
        <v>66</v>
      </c>
      <c r="N212" s="11" t="s">
        <v>80</v>
      </c>
      <c r="O212" s="11" t="s">
        <v>500</v>
      </c>
      <c r="P212" s="11" t="s">
        <v>38</v>
      </c>
      <c r="Q212" s="20">
        <v>39844.0</v>
      </c>
      <c r="R212" s="17">
        <f t="shared" si="2"/>
        <v>113.1915799</v>
      </c>
      <c r="S212" s="9"/>
      <c r="T212" s="9"/>
      <c r="U212" s="9"/>
      <c r="V212" s="9"/>
      <c r="W212" s="9"/>
      <c r="X212" s="9"/>
      <c r="Y212" s="9"/>
      <c r="Z212" s="9"/>
      <c r="AA212" s="9"/>
      <c r="AB212" s="9" t="str">
        <f>IFERROR(__xludf.DUMMYFUNCTION("""COMPUTED_VALUE"""),"Raymond Book")</f>
        <v>Raymond Book</v>
      </c>
      <c r="AC212" s="9"/>
      <c r="AD212" s="9"/>
      <c r="AE212" s="9">
        <f t="shared" si="8"/>
        <v>3</v>
      </c>
      <c r="AF212" s="19" t="b">
        <f t="shared" si="13"/>
        <v>0</v>
      </c>
      <c r="AG212" s="9"/>
      <c r="AH212" s="9"/>
      <c r="AI212" s="9"/>
    </row>
    <row r="213" ht="15.0" customHeight="1">
      <c r="A213" s="11">
        <v>212.0</v>
      </c>
      <c r="B213" s="12">
        <f t="shared" ref="B213:B215" si="40">DATE(2012,12,31)-1431</f>
        <v>39843</v>
      </c>
      <c r="C213" s="13">
        <v>2009.0</v>
      </c>
      <c r="D213" s="11" t="s">
        <v>39</v>
      </c>
      <c r="E213" s="11">
        <v>42.0</v>
      </c>
      <c r="F213" s="21" t="s">
        <v>397</v>
      </c>
      <c r="G213" s="15">
        <v>0.09344940152339508</v>
      </c>
      <c r="H213" s="11" t="s">
        <v>33</v>
      </c>
      <c r="I213" s="16">
        <v>1.592</v>
      </c>
      <c r="J213" s="11" t="s">
        <v>501</v>
      </c>
      <c r="K213" s="11" t="s">
        <v>117</v>
      </c>
      <c r="L213" s="11" t="s">
        <v>48</v>
      </c>
      <c r="M213" s="11" t="s">
        <v>66</v>
      </c>
      <c r="N213" s="11" t="s">
        <v>67</v>
      </c>
      <c r="O213" s="11" t="s">
        <v>502</v>
      </c>
      <c r="P213" s="11" t="s">
        <v>99</v>
      </c>
      <c r="Q213" s="20">
        <v>39845.0</v>
      </c>
      <c r="R213" s="17">
        <f t="shared" si="2"/>
        <v>124.5673046</v>
      </c>
      <c r="S213" s="9"/>
      <c r="T213" s="9"/>
      <c r="U213" s="9"/>
      <c r="V213" s="9"/>
      <c r="W213" s="9"/>
      <c r="X213" s="9"/>
      <c r="Y213" s="9"/>
      <c r="Z213" s="9"/>
      <c r="AA213" s="9"/>
      <c r="AB213" s="9" t="str">
        <f>IFERROR(__xludf.DUMMYFUNCTION("""COMPUTED_VALUE"""),"Joy Bell")</f>
        <v>Joy Bell</v>
      </c>
      <c r="AC213" s="9"/>
      <c r="AD213" s="9"/>
      <c r="AE213" s="9">
        <f t="shared" si="8"/>
        <v>4</v>
      </c>
      <c r="AF213" s="19" t="b">
        <f t="shared" si="13"/>
        <v>0</v>
      </c>
      <c r="AG213" s="9"/>
      <c r="AH213" s="9"/>
      <c r="AI213" s="9"/>
    </row>
    <row r="214" ht="15.0" customHeight="1">
      <c r="A214" s="11">
        <v>213.0</v>
      </c>
      <c r="B214" s="12">
        <f t="shared" si="40"/>
        <v>39843</v>
      </c>
      <c r="C214" s="13">
        <v>2009.0</v>
      </c>
      <c r="D214" s="11" t="s">
        <v>44</v>
      </c>
      <c r="E214" s="11">
        <v>31.0</v>
      </c>
      <c r="F214" s="21" t="s">
        <v>503</v>
      </c>
      <c r="G214" s="15">
        <v>0.06574061172427872</v>
      </c>
      <c r="H214" s="11" t="s">
        <v>33</v>
      </c>
      <c r="I214" s="16">
        <v>19.592</v>
      </c>
      <c r="J214" s="11" t="s">
        <v>276</v>
      </c>
      <c r="K214" s="11" t="s">
        <v>26</v>
      </c>
      <c r="L214" s="11" t="s">
        <v>41</v>
      </c>
      <c r="M214" s="11" t="s">
        <v>66</v>
      </c>
      <c r="N214" s="11" t="s">
        <v>69</v>
      </c>
      <c r="O214" s="11" t="s">
        <v>70</v>
      </c>
      <c r="P214" s="11" t="s">
        <v>31</v>
      </c>
      <c r="Q214" s="20">
        <v>39845.0</v>
      </c>
      <c r="R214" s="17">
        <f t="shared" si="2"/>
        <v>1172.503006</v>
      </c>
      <c r="S214" s="9"/>
      <c r="T214" s="9"/>
      <c r="U214" s="9"/>
      <c r="V214" s="9"/>
      <c r="W214" s="9"/>
      <c r="X214" s="9"/>
      <c r="Y214" s="9"/>
      <c r="Z214" s="9"/>
      <c r="AA214" s="9"/>
      <c r="AB214" s="9" t="str">
        <f>IFERROR(__xludf.DUMMYFUNCTION("""COMPUTED_VALUE"""),"Dennis Bolton")</f>
        <v>Dennis Bolton</v>
      </c>
      <c r="AC214" s="9"/>
      <c r="AD214" s="9"/>
      <c r="AE214" s="9">
        <f t="shared" si="8"/>
        <v>3</v>
      </c>
      <c r="AF214" s="19">
        <f t="shared" si="13"/>
        <v>1</v>
      </c>
      <c r="AG214" s="9"/>
      <c r="AH214" s="9"/>
      <c r="AI214" s="9"/>
    </row>
    <row r="215" ht="15.0" customHeight="1">
      <c r="A215" s="11">
        <v>214.0</v>
      </c>
      <c r="B215" s="12">
        <f t="shared" si="40"/>
        <v>39843</v>
      </c>
      <c r="C215" s="13">
        <v>2009.0</v>
      </c>
      <c r="D215" s="11" t="s">
        <v>39</v>
      </c>
      <c r="E215" s="11">
        <v>23.0</v>
      </c>
      <c r="F215" s="21" t="s">
        <v>183</v>
      </c>
      <c r="G215" s="15">
        <v>0.08290211510083627</v>
      </c>
      <c r="H215" s="11" t="s">
        <v>24</v>
      </c>
      <c r="I215" s="16">
        <v>7.192</v>
      </c>
      <c r="J215" s="11" t="s">
        <v>504</v>
      </c>
      <c r="K215" s="11" t="s">
        <v>117</v>
      </c>
      <c r="L215" s="11" t="s">
        <v>48</v>
      </c>
      <c r="M215" s="11" t="s">
        <v>66</v>
      </c>
      <c r="N215" s="11" t="s">
        <v>67</v>
      </c>
      <c r="O215" s="11" t="s">
        <v>505</v>
      </c>
      <c r="P215" s="11" t="s">
        <v>99</v>
      </c>
      <c r="Q215" s="20">
        <v>39845.0</v>
      </c>
      <c r="R215" s="17">
        <f t="shared" si="2"/>
        <v>30.9135355</v>
      </c>
      <c r="S215" s="9"/>
      <c r="T215" s="9"/>
      <c r="U215" s="9"/>
      <c r="V215" s="9"/>
      <c r="W215" s="9"/>
      <c r="X215" s="9"/>
      <c r="Y215" s="9"/>
      <c r="Z215" s="9"/>
      <c r="AA215" s="9"/>
      <c r="AB215" s="9" t="str">
        <f>IFERROR(__xludf.DUMMYFUNCTION("""COMPUTED_VALUE"""),"Rose O'Brian")</f>
        <v>Rose O'Brian</v>
      </c>
      <c r="AC215" s="9"/>
      <c r="AD215" s="9"/>
      <c r="AE215" s="9">
        <f t="shared" si="8"/>
        <v>4</v>
      </c>
      <c r="AF215" s="19" t="b">
        <f t="shared" si="13"/>
        <v>0</v>
      </c>
      <c r="AG215" s="9"/>
      <c r="AH215" s="9"/>
      <c r="AI215" s="9"/>
    </row>
    <row r="216" ht="15.0" customHeight="1">
      <c r="A216" s="11">
        <v>215.0</v>
      </c>
      <c r="B216" s="12">
        <f t="shared" ref="B216:B224" si="41">DATE(2012,12,31)-1430</f>
        <v>39844</v>
      </c>
      <c r="C216" s="13">
        <v>2009.0</v>
      </c>
      <c r="D216" s="11" t="s">
        <v>23</v>
      </c>
      <c r="E216" s="11">
        <v>36.0</v>
      </c>
      <c r="F216" s="21" t="s">
        <v>506</v>
      </c>
      <c r="G216" s="15">
        <v>0.012341772151898751</v>
      </c>
      <c r="H216" s="11" t="s">
        <v>33</v>
      </c>
      <c r="I216" s="16">
        <v>1.2800000000000002</v>
      </c>
      <c r="J216" s="11" t="s">
        <v>507</v>
      </c>
      <c r="K216" s="11" t="s">
        <v>61</v>
      </c>
      <c r="L216" s="11" t="s">
        <v>48</v>
      </c>
      <c r="M216" s="11" t="s">
        <v>28</v>
      </c>
      <c r="N216" s="11" t="s">
        <v>56</v>
      </c>
      <c r="O216" s="11" t="s">
        <v>508</v>
      </c>
      <c r="P216" s="11" t="s">
        <v>58</v>
      </c>
      <c r="Q216" s="20">
        <v>39845.0</v>
      </c>
      <c r="R216" s="17">
        <f t="shared" si="2"/>
        <v>3.081493671</v>
      </c>
      <c r="S216" s="9"/>
      <c r="T216" s="9"/>
      <c r="U216" s="9"/>
      <c r="V216" s="9"/>
      <c r="W216" s="9"/>
      <c r="X216" s="9"/>
      <c r="Y216" s="9"/>
      <c r="Z216" s="9"/>
      <c r="AA216" s="9"/>
      <c r="AB216" s="9" t="str">
        <f>IFERROR(__xludf.DUMMYFUNCTION("""COMPUTED_VALUE"""),"John Huston")</f>
        <v>John Huston</v>
      </c>
      <c r="AC216" s="9"/>
      <c r="AD216" s="9"/>
      <c r="AE216" s="9">
        <f t="shared" si="8"/>
        <v>4</v>
      </c>
      <c r="AF216" s="19">
        <f t="shared" si="13"/>
        <v>4</v>
      </c>
      <c r="AG216" s="9"/>
      <c r="AH216" s="9"/>
      <c r="AI216" s="9"/>
    </row>
    <row r="217" ht="15.0" customHeight="1">
      <c r="A217" s="11">
        <v>216.0</v>
      </c>
      <c r="B217" s="12">
        <f t="shared" si="41"/>
        <v>39844</v>
      </c>
      <c r="C217" s="13">
        <v>2009.0</v>
      </c>
      <c r="D217" s="11" t="s">
        <v>39</v>
      </c>
      <c r="E217" s="11">
        <v>6.0</v>
      </c>
      <c r="F217" s="21" t="s">
        <v>509</v>
      </c>
      <c r="G217" s="15">
        <v>0.09657185628742516</v>
      </c>
      <c r="H217" s="11" t="s">
        <v>33</v>
      </c>
      <c r="I217" s="16">
        <v>11.192</v>
      </c>
      <c r="J217" s="11" t="s">
        <v>510</v>
      </c>
      <c r="K217" s="11" t="s">
        <v>35</v>
      </c>
      <c r="L217" s="11" t="s">
        <v>27</v>
      </c>
      <c r="M217" s="11" t="s">
        <v>28</v>
      </c>
      <c r="N217" s="11" t="s">
        <v>197</v>
      </c>
      <c r="O217" s="11" t="s">
        <v>511</v>
      </c>
      <c r="P217" s="11" t="s">
        <v>75</v>
      </c>
      <c r="Q217" s="20">
        <v>39846.0</v>
      </c>
      <c r="R217" s="17">
        <f t="shared" si="2"/>
        <v>46.62411964</v>
      </c>
      <c r="S217" s="9"/>
      <c r="T217" s="9"/>
      <c r="U217" s="9"/>
      <c r="V217" s="9"/>
      <c r="W217" s="9"/>
      <c r="X217" s="9"/>
      <c r="Y217" s="9"/>
      <c r="Z217" s="9"/>
      <c r="AA217" s="9"/>
      <c r="AB217" s="9" t="str">
        <f>IFERROR(__xludf.DUMMYFUNCTION("""COMPUTED_VALUE"""),"Richard Bierner")</f>
        <v>Richard Bierner</v>
      </c>
      <c r="AC217" s="9"/>
      <c r="AD217" s="9"/>
      <c r="AE217" s="9">
        <f t="shared" si="8"/>
        <v>1</v>
      </c>
      <c r="AF217" s="19">
        <f t="shared" si="13"/>
        <v>2</v>
      </c>
      <c r="AG217" s="9"/>
      <c r="AH217" s="9"/>
      <c r="AI217" s="9"/>
    </row>
    <row r="218" ht="15.0" customHeight="1">
      <c r="A218" s="11">
        <v>217.0</v>
      </c>
      <c r="B218" s="12">
        <f t="shared" si="41"/>
        <v>39844</v>
      </c>
      <c r="C218" s="13">
        <v>2009.0</v>
      </c>
      <c r="D218" s="11" t="s">
        <v>39</v>
      </c>
      <c r="E218" s="11">
        <v>16.0</v>
      </c>
      <c r="F218" s="21" t="s">
        <v>218</v>
      </c>
      <c r="G218" s="15">
        <v>0.03703069236259806</v>
      </c>
      <c r="H218" s="11" t="s">
        <v>33</v>
      </c>
      <c r="I218" s="16">
        <v>2.112</v>
      </c>
      <c r="J218" s="11" t="s">
        <v>510</v>
      </c>
      <c r="K218" s="11" t="s">
        <v>35</v>
      </c>
      <c r="L218" s="11" t="s">
        <v>27</v>
      </c>
      <c r="M218" s="11" t="s">
        <v>28</v>
      </c>
      <c r="N218" s="11" t="s">
        <v>442</v>
      </c>
      <c r="O218" s="11" t="s">
        <v>512</v>
      </c>
      <c r="P218" s="11" t="s">
        <v>99</v>
      </c>
      <c r="Q218" s="20">
        <v>39846.0</v>
      </c>
      <c r="R218" s="17">
        <f t="shared" si="2"/>
        <v>4.995884768</v>
      </c>
      <c r="S218" s="9"/>
      <c r="T218" s="9"/>
      <c r="U218" s="9"/>
      <c r="V218" s="9"/>
      <c r="W218" s="9"/>
      <c r="X218" s="9"/>
      <c r="Y218" s="9"/>
      <c r="Z218" s="9"/>
      <c r="AA218" s="9"/>
      <c r="AB218" s="9" t="str">
        <f>IFERROR(__xludf.DUMMYFUNCTION("""COMPUTED_VALUE"""),"Dorothy Badders")</f>
        <v>Dorothy Badders</v>
      </c>
      <c r="AC218" s="9"/>
      <c r="AD218" s="9"/>
      <c r="AE218" s="9">
        <f t="shared" si="8"/>
        <v>1</v>
      </c>
      <c r="AF218" s="19">
        <f t="shared" si="13"/>
        <v>2</v>
      </c>
      <c r="AG218" s="9"/>
      <c r="AH218" s="9"/>
      <c r="AI218" s="9"/>
    </row>
    <row r="219" ht="15.0" customHeight="1">
      <c r="A219" s="11">
        <v>218.0</v>
      </c>
      <c r="B219" s="12">
        <f t="shared" si="41"/>
        <v>39844</v>
      </c>
      <c r="C219" s="13">
        <v>2009.0</v>
      </c>
      <c r="D219" s="11" t="s">
        <v>44</v>
      </c>
      <c r="E219" s="11">
        <v>42.0</v>
      </c>
      <c r="F219" s="21" t="s">
        <v>513</v>
      </c>
      <c r="G219" s="15">
        <v>0.08382529754265566</v>
      </c>
      <c r="H219" s="11" t="s">
        <v>45</v>
      </c>
      <c r="I219" s="16">
        <v>24.0</v>
      </c>
      <c r="J219" s="11" t="s">
        <v>514</v>
      </c>
      <c r="K219" s="11" t="s">
        <v>61</v>
      </c>
      <c r="L219" s="11" t="s">
        <v>27</v>
      </c>
      <c r="M219" s="11" t="s">
        <v>49</v>
      </c>
      <c r="N219" s="11" t="s">
        <v>50</v>
      </c>
      <c r="O219" s="11" t="s">
        <v>515</v>
      </c>
      <c r="P219" s="11" t="s">
        <v>52</v>
      </c>
      <c r="Q219" s="20">
        <v>39846.0</v>
      </c>
      <c r="R219" s="17">
        <f t="shared" si="2"/>
        <v>568.4864029</v>
      </c>
      <c r="S219" s="9"/>
      <c r="T219" s="9"/>
      <c r="U219" s="9"/>
      <c r="V219" s="9"/>
      <c r="W219" s="9"/>
      <c r="X219" s="9"/>
      <c r="Y219" s="9"/>
      <c r="Z219" s="9"/>
      <c r="AA219" s="9"/>
      <c r="AB219" s="9" t="str">
        <f>IFERROR(__xludf.DUMMYFUNCTION("""COMPUTED_VALUE"""),"Maxwell Schwartz")</f>
        <v>Maxwell Schwartz</v>
      </c>
      <c r="AC219" s="9"/>
      <c r="AD219" s="9"/>
      <c r="AE219" s="9">
        <f t="shared" si="8"/>
        <v>1</v>
      </c>
      <c r="AF219" s="19">
        <f t="shared" si="13"/>
        <v>4</v>
      </c>
      <c r="AG219" s="9"/>
      <c r="AH219" s="9"/>
      <c r="AI219" s="9"/>
    </row>
    <row r="220" ht="15.0" customHeight="1">
      <c r="A220" s="11">
        <v>219.0</v>
      </c>
      <c r="B220" s="12">
        <f t="shared" si="41"/>
        <v>39844</v>
      </c>
      <c r="C220" s="13">
        <v>2009.0</v>
      </c>
      <c r="D220" s="11" t="s">
        <v>44</v>
      </c>
      <c r="E220" s="11">
        <v>41.0</v>
      </c>
      <c r="F220" s="21" t="s">
        <v>314</v>
      </c>
      <c r="G220" s="15">
        <v>0.08262411347517734</v>
      </c>
      <c r="H220" s="11" t="s">
        <v>33</v>
      </c>
      <c r="I220" s="16">
        <v>0.4</v>
      </c>
      <c r="J220" s="11" t="s">
        <v>514</v>
      </c>
      <c r="K220" s="11" t="s">
        <v>61</v>
      </c>
      <c r="L220" s="11" t="s">
        <v>27</v>
      </c>
      <c r="M220" s="11" t="s">
        <v>28</v>
      </c>
      <c r="N220" s="11" t="s">
        <v>188</v>
      </c>
      <c r="O220" s="11" t="s">
        <v>516</v>
      </c>
      <c r="P220" s="11" t="s">
        <v>38</v>
      </c>
      <c r="Q220" s="20">
        <v>39846.0</v>
      </c>
      <c r="R220" s="17">
        <f t="shared" si="2"/>
        <v>21.37485816</v>
      </c>
      <c r="S220" s="9"/>
      <c r="T220" s="9"/>
      <c r="U220" s="9"/>
      <c r="V220" s="9"/>
      <c r="W220" s="9"/>
      <c r="X220" s="9"/>
      <c r="Y220" s="9"/>
      <c r="Z220" s="9"/>
      <c r="AA220" s="9"/>
      <c r="AB220" s="9" t="str">
        <f>IFERROR(__xludf.DUMMYFUNCTION("""COMPUTED_VALUE"""),"Karen Bern")</f>
        <v>Karen Bern</v>
      </c>
      <c r="AC220" s="9"/>
      <c r="AD220" s="9"/>
      <c r="AE220" s="9">
        <f t="shared" si="8"/>
        <v>1</v>
      </c>
      <c r="AF220" s="19">
        <f t="shared" si="13"/>
        <v>4</v>
      </c>
      <c r="AG220" s="9"/>
      <c r="AH220" s="9"/>
      <c r="AI220" s="9"/>
    </row>
    <row r="221" ht="15.0" customHeight="1">
      <c r="A221" s="11">
        <v>220.0</v>
      </c>
      <c r="B221" s="12">
        <f t="shared" si="41"/>
        <v>39844</v>
      </c>
      <c r="C221" s="13">
        <v>2009.0</v>
      </c>
      <c r="D221" s="11" t="s">
        <v>44</v>
      </c>
      <c r="E221" s="11">
        <v>30.0</v>
      </c>
      <c r="F221" s="21" t="s">
        <v>126</v>
      </c>
      <c r="G221" s="15">
        <v>0.017043941411451415</v>
      </c>
      <c r="H221" s="11" t="s">
        <v>33</v>
      </c>
      <c r="I221" s="16">
        <v>0.6400000000000001</v>
      </c>
      <c r="J221" s="11" t="s">
        <v>514</v>
      </c>
      <c r="K221" s="11" t="s">
        <v>61</v>
      </c>
      <c r="L221" s="11" t="s">
        <v>27</v>
      </c>
      <c r="M221" s="11" t="s">
        <v>28</v>
      </c>
      <c r="N221" s="11" t="s">
        <v>56</v>
      </c>
      <c r="O221" s="11" t="s">
        <v>517</v>
      </c>
      <c r="P221" s="11" t="s">
        <v>58</v>
      </c>
      <c r="Q221" s="20">
        <v>39846.0</v>
      </c>
      <c r="R221" s="17">
        <f t="shared" si="2"/>
        <v>2.51636751</v>
      </c>
      <c r="S221" s="9"/>
      <c r="T221" s="9"/>
      <c r="U221" s="9"/>
      <c r="V221" s="9"/>
      <c r="W221" s="9"/>
      <c r="X221" s="9"/>
      <c r="Y221" s="9"/>
      <c r="Z221" s="9"/>
      <c r="AA221" s="9"/>
      <c r="AB221" s="9" t="str">
        <f>IFERROR(__xludf.DUMMYFUNCTION("""COMPUTED_VALUE"""),"Nora Price")</f>
        <v>Nora Price</v>
      </c>
      <c r="AC221" s="9"/>
      <c r="AD221" s="9"/>
      <c r="AE221" s="9">
        <f t="shared" si="8"/>
        <v>1</v>
      </c>
      <c r="AF221" s="19">
        <f t="shared" si="13"/>
        <v>4</v>
      </c>
      <c r="AG221" s="9"/>
      <c r="AH221" s="9"/>
      <c r="AI221" s="9"/>
    </row>
    <row r="222" ht="15.0" customHeight="1">
      <c r="A222" s="11">
        <v>221.0</v>
      </c>
      <c r="B222" s="12">
        <f t="shared" si="41"/>
        <v>39844</v>
      </c>
      <c r="C222" s="13">
        <v>2009.0</v>
      </c>
      <c r="D222" s="11" t="s">
        <v>44</v>
      </c>
      <c r="E222" s="11">
        <v>46.0</v>
      </c>
      <c r="F222" s="21" t="s">
        <v>518</v>
      </c>
      <c r="G222" s="15">
        <v>0.09406913851218932</v>
      </c>
      <c r="H222" s="11" t="s">
        <v>24</v>
      </c>
      <c r="I222" s="16">
        <v>15.991999999999999</v>
      </c>
      <c r="J222" s="11" t="s">
        <v>357</v>
      </c>
      <c r="K222" s="11" t="s">
        <v>65</v>
      </c>
      <c r="L222" s="11" t="s">
        <v>48</v>
      </c>
      <c r="M222" s="11" t="s">
        <v>66</v>
      </c>
      <c r="N222" s="11" t="s">
        <v>67</v>
      </c>
      <c r="O222" s="11" t="s">
        <v>519</v>
      </c>
      <c r="P222" s="11" t="s">
        <v>38</v>
      </c>
      <c r="Q222" s="20">
        <v>39847.0</v>
      </c>
      <c r="R222" s="17">
        <f t="shared" si="2"/>
        <v>217.4306542</v>
      </c>
      <c r="S222" s="9"/>
      <c r="T222" s="9"/>
      <c r="U222" s="9"/>
      <c r="V222" s="9"/>
      <c r="W222" s="9"/>
      <c r="X222" s="9"/>
      <c r="Y222" s="9"/>
      <c r="Z222" s="9"/>
      <c r="AA222" s="9"/>
      <c r="AB222" s="9" t="str">
        <f>IFERROR(__xludf.DUMMYFUNCTION("""COMPUTED_VALUE"""),"Thomas Brumley")</f>
        <v>Thomas Brumley</v>
      </c>
      <c r="AC222" s="9"/>
      <c r="AD222" s="9"/>
      <c r="AE222" s="9">
        <f t="shared" si="8"/>
        <v>4</v>
      </c>
      <c r="AF222" s="19">
        <f t="shared" si="13"/>
        <v>5</v>
      </c>
      <c r="AG222" s="9"/>
      <c r="AH222" s="9"/>
      <c r="AI222" s="9"/>
    </row>
    <row r="223" ht="15.0" customHeight="1">
      <c r="A223" s="11">
        <v>222.0</v>
      </c>
      <c r="B223" s="12">
        <f t="shared" si="41"/>
        <v>39844</v>
      </c>
      <c r="C223" s="13">
        <v>2009.0</v>
      </c>
      <c r="D223" s="11" t="s">
        <v>23</v>
      </c>
      <c r="E223" s="11">
        <v>6.0</v>
      </c>
      <c r="F223" s="21" t="s">
        <v>93</v>
      </c>
      <c r="G223" s="15">
        <v>0.07261992619926212</v>
      </c>
      <c r="H223" s="11" t="s">
        <v>33</v>
      </c>
      <c r="I223" s="16">
        <v>4.664000000000001</v>
      </c>
      <c r="J223" s="11" t="s">
        <v>520</v>
      </c>
      <c r="K223" s="11" t="s">
        <v>35</v>
      </c>
      <c r="L223" s="11" t="s">
        <v>48</v>
      </c>
      <c r="M223" s="11" t="s">
        <v>28</v>
      </c>
      <c r="N223" s="11" t="s">
        <v>56</v>
      </c>
      <c r="O223" s="11" t="s">
        <v>95</v>
      </c>
      <c r="P223" s="11" t="s">
        <v>58</v>
      </c>
      <c r="Q223" s="20">
        <v>39847.0</v>
      </c>
      <c r="R223" s="17">
        <f t="shared" si="2"/>
        <v>3.65016797</v>
      </c>
      <c r="S223" s="9"/>
      <c r="T223" s="9"/>
      <c r="U223" s="9"/>
      <c r="V223" s="9"/>
      <c r="W223" s="9"/>
      <c r="X223" s="9"/>
      <c r="Y223" s="9"/>
      <c r="Z223" s="9"/>
      <c r="AA223" s="9"/>
      <c r="AB223" s="9" t="str">
        <f>IFERROR(__xludf.DUMMYFUNCTION("""COMPUTED_VALUE"""),"Craig Carroll")</f>
        <v>Craig Carroll</v>
      </c>
      <c r="AC223" s="9"/>
      <c r="AD223" s="9"/>
      <c r="AE223" s="9">
        <f t="shared" si="8"/>
        <v>4</v>
      </c>
      <c r="AF223" s="19">
        <f t="shared" si="13"/>
        <v>2</v>
      </c>
      <c r="AG223" s="9"/>
      <c r="AH223" s="9"/>
      <c r="AI223" s="9"/>
    </row>
    <row r="224" ht="15.0" customHeight="1">
      <c r="A224" s="11">
        <v>223.0</v>
      </c>
      <c r="B224" s="12">
        <f t="shared" si="41"/>
        <v>39844</v>
      </c>
      <c r="C224" s="13">
        <v>2009.0</v>
      </c>
      <c r="D224" s="11" t="s">
        <v>23</v>
      </c>
      <c r="E224" s="11">
        <v>40.0</v>
      </c>
      <c r="F224" s="21" t="s">
        <v>521</v>
      </c>
      <c r="G224" s="15">
        <v>0.04019536871484018</v>
      </c>
      <c r="H224" s="11" t="s">
        <v>45</v>
      </c>
      <c r="I224" s="16">
        <v>55.712</v>
      </c>
      <c r="J224" s="11" t="s">
        <v>520</v>
      </c>
      <c r="K224" s="11" t="s">
        <v>35</v>
      </c>
      <c r="L224" s="11" t="s">
        <v>48</v>
      </c>
      <c r="M224" s="11" t="s">
        <v>49</v>
      </c>
      <c r="N224" s="11" t="s">
        <v>85</v>
      </c>
      <c r="O224" s="11" t="s">
        <v>522</v>
      </c>
      <c r="P224" s="11" t="s">
        <v>87</v>
      </c>
      <c r="Q224" s="20">
        <v>39847.0</v>
      </c>
      <c r="R224" s="17">
        <f t="shared" si="2"/>
        <v>353.8684499</v>
      </c>
      <c r="S224" s="9"/>
      <c r="T224" s="9"/>
      <c r="U224" s="9"/>
      <c r="V224" s="9"/>
      <c r="W224" s="9"/>
      <c r="X224" s="9"/>
      <c r="Y224" s="9"/>
      <c r="Z224" s="9"/>
      <c r="AA224" s="9"/>
      <c r="AB224" s="9" t="str">
        <f>IFERROR(__xludf.DUMMYFUNCTION("""COMPUTED_VALUE"""),"Heather Kirkland")</f>
        <v>Heather Kirkland</v>
      </c>
      <c r="AC224" s="9"/>
      <c r="AD224" s="9"/>
      <c r="AE224" s="9">
        <f t="shared" si="8"/>
        <v>4</v>
      </c>
      <c r="AF224" s="19">
        <f t="shared" si="13"/>
        <v>2</v>
      </c>
      <c r="AG224" s="9"/>
      <c r="AH224" s="9"/>
      <c r="AI224" s="9"/>
    </row>
    <row r="225" ht="15.0" customHeight="1">
      <c r="A225" s="11">
        <v>224.0</v>
      </c>
      <c r="B225" s="12">
        <f t="shared" ref="B225:B227" si="42">DATE(2012,12,31)-1429</f>
        <v>39845</v>
      </c>
      <c r="C225" s="13">
        <v>2009.0</v>
      </c>
      <c r="D225" s="11" t="s">
        <v>44</v>
      </c>
      <c r="E225" s="11">
        <v>17.0</v>
      </c>
      <c r="F225" s="21" t="s">
        <v>523</v>
      </c>
      <c r="G225" s="15">
        <v>0.03564727954971855</v>
      </c>
      <c r="H225" s="11" t="s">
        <v>33</v>
      </c>
      <c r="I225" s="16">
        <v>0.4</v>
      </c>
      <c r="J225" s="11" t="s">
        <v>373</v>
      </c>
      <c r="K225" s="11" t="s">
        <v>83</v>
      </c>
      <c r="L225" s="11" t="s">
        <v>48</v>
      </c>
      <c r="M225" s="11" t="s">
        <v>28</v>
      </c>
      <c r="N225" s="11" t="s">
        <v>188</v>
      </c>
      <c r="O225" s="11" t="s">
        <v>524</v>
      </c>
      <c r="P225" s="11" t="s">
        <v>38</v>
      </c>
      <c r="Q225" s="20">
        <v>39848.0</v>
      </c>
      <c r="R225" s="17">
        <f t="shared" si="2"/>
        <v>1.832270169</v>
      </c>
      <c r="S225" s="9"/>
      <c r="T225" s="9"/>
      <c r="U225" s="9"/>
      <c r="V225" s="9"/>
      <c r="W225" s="9"/>
      <c r="X225" s="9"/>
      <c r="Y225" s="9"/>
      <c r="Z225" s="9"/>
      <c r="AA225" s="9"/>
      <c r="AB225" s="9" t="str">
        <f>IFERROR(__xludf.DUMMYFUNCTION("""COMPUTED_VALUE"""),"Lindsay Castell")</f>
        <v>Lindsay Castell</v>
      </c>
      <c r="AC225" s="9"/>
      <c r="AD225" s="9"/>
      <c r="AE225" s="9">
        <f t="shared" si="8"/>
        <v>4</v>
      </c>
      <c r="AF225" s="19" t="b">
        <f t="shared" si="13"/>
        <v>0</v>
      </c>
      <c r="AG225" s="9"/>
      <c r="AH225" s="9"/>
      <c r="AI225" s="9"/>
    </row>
    <row r="226" ht="15.0" customHeight="1">
      <c r="A226" s="11">
        <v>225.0</v>
      </c>
      <c r="B226" s="12">
        <f t="shared" si="42"/>
        <v>39845</v>
      </c>
      <c r="C226" s="13">
        <v>2009.0</v>
      </c>
      <c r="D226" s="11" t="s">
        <v>39</v>
      </c>
      <c r="E226" s="11">
        <v>41.0</v>
      </c>
      <c r="F226" s="21" t="s">
        <v>422</v>
      </c>
      <c r="G226" s="15">
        <v>0.05928259952173296</v>
      </c>
      <c r="H226" s="11" t="s">
        <v>45</v>
      </c>
      <c r="I226" s="16">
        <v>26.880000000000003</v>
      </c>
      <c r="J226" s="11" t="s">
        <v>525</v>
      </c>
      <c r="K226" s="11" t="s">
        <v>65</v>
      </c>
      <c r="L226" s="11" t="s">
        <v>41</v>
      </c>
      <c r="M226" s="11" t="s">
        <v>66</v>
      </c>
      <c r="N226" s="11" t="s">
        <v>69</v>
      </c>
      <c r="O226" s="11" t="s">
        <v>526</v>
      </c>
      <c r="P226" s="11" t="s">
        <v>52</v>
      </c>
      <c r="Q226" s="20">
        <v>39848.0</v>
      </c>
      <c r="R226" s="17">
        <f t="shared" si="2"/>
        <v>198.2279706</v>
      </c>
      <c r="S226" s="9"/>
      <c r="T226" s="9"/>
      <c r="U226" s="9"/>
      <c r="V226" s="9"/>
      <c r="W226" s="9"/>
      <c r="X226" s="9"/>
      <c r="Y226" s="9"/>
      <c r="Z226" s="9"/>
      <c r="AA226" s="9"/>
      <c r="AB226" s="9" t="str">
        <f>IFERROR(__xludf.DUMMYFUNCTION("""COMPUTED_VALUE"""),"Resi Polking")</f>
        <v>Resi Polking</v>
      </c>
      <c r="AC226" s="9"/>
      <c r="AD226" s="9"/>
      <c r="AE226" s="9">
        <f t="shared" si="8"/>
        <v>3</v>
      </c>
      <c r="AF226" s="19">
        <f t="shared" si="13"/>
        <v>5</v>
      </c>
      <c r="AG226" s="9"/>
      <c r="AH226" s="9"/>
      <c r="AI226" s="9"/>
    </row>
    <row r="227" ht="15.0" customHeight="1">
      <c r="A227" s="11">
        <v>226.0</v>
      </c>
      <c r="B227" s="12">
        <f t="shared" si="42"/>
        <v>39845</v>
      </c>
      <c r="C227" s="13">
        <v>2009.0</v>
      </c>
      <c r="D227" s="11" t="s">
        <v>39</v>
      </c>
      <c r="E227" s="11">
        <v>37.0</v>
      </c>
      <c r="F227" s="21" t="s">
        <v>527</v>
      </c>
      <c r="G227" s="15">
        <v>0.05867222723174027</v>
      </c>
      <c r="H227" s="11" t="s">
        <v>33</v>
      </c>
      <c r="I227" s="16">
        <v>1.592</v>
      </c>
      <c r="J227" s="11" t="s">
        <v>528</v>
      </c>
      <c r="K227" s="11" t="s">
        <v>83</v>
      </c>
      <c r="L227" s="11" t="s">
        <v>48</v>
      </c>
      <c r="M227" s="11" t="s">
        <v>66</v>
      </c>
      <c r="N227" s="11" t="s">
        <v>67</v>
      </c>
      <c r="O227" s="11" t="s">
        <v>529</v>
      </c>
      <c r="P227" s="11" t="s">
        <v>99</v>
      </c>
      <c r="Q227" s="20">
        <v>39848.0</v>
      </c>
      <c r="R227" s="17">
        <f t="shared" si="2"/>
        <v>97.99975177</v>
      </c>
      <c r="S227" s="9"/>
      <c r="T227" s="9"/>
      <c r="U227" s="9"/>
      <c r="V227" s="9"/>
      <c r="W227" s="9"/>
      <c r="X227" s="9"/>
      <c r="Y227" s="9"/>
      <c r="Z227" s="9"/>
      <c r="AA227" s="9"/>
      <c r="AB227" s="9" t="str">
        <f>IFERROR(__xludf.DUMMYFUNCTION("""COMPUTED_VALUE"""),"Rob Beeghly")</f>
        <v>Rob Beeghly</v>
      </c>
      <c r="AC227" s="9"/>
      <c r="AD227" s="9"/>
      <c r="AE227" s="9">
        <f t="shared" si="8"/>
        <v>4</v>
      </c>
      <c r="AF227" s="19" t="b">
        <f t="shared" si="13"/>
        <v>0</v>
      </c>
      <c r="AG227" s="9"/>
      <c r="AH227" s="9"/>
      <c r="AI227" s="9"/>
    </row>
    <row r="228" ht="15.0" customHeight="1">
      <c r="A228" s="11">
        <v>227.0</v>
      </c>
      <c r="B228" s="12">
        <f t="shared" ref="B228:B233" si="43">DATE(2012,12,31)-1428</f>
        <v>39846</v>
      </c>
      <c r="C228" s="13">
        <v>2009.0</v>
      </c>
      <c r="D228" s="11" t="s">
        <v>23</v>
      </c>
      <c r="E228" s="11">
        <v>38.0</v>
      </c>
      <c r="F228" s="21" t="s">
        <v>530</v>
      </c>
      <c r="G228" s="15">
        <v>0.03880865548261621</v>
      </c>
      <c r="H228" s="11" t="s">
        <v>33</v>
      </c>
      <c r="I228" s="16">
        <v>4.904</v>
      </c>
      <c r="J228" s="11" t="s">
        <v>373</v>
      </c>
      <c r="K228" s="11" t="s">
        <v>83</v>
      </c>
      <c r="L228" s="11" t="s">
        <v>48</v>
      </c>
      <c r="M228" s="11" t="s">
        <v>66</v>
      </c>
      <c r="N228" s="11" t="s">
        <v>67</v>
      </c>
      <c r="O228" s="11" t="s">
        <v>531</v>
      </c>
      <c r="P228" s="11" t="s">
        <v>38</v>
      </c>
      <c r="Q228" s="20">
        <v>39848.0</v>
      </c>
      <c r="R228" s="17">
        <f t="shared" si="2"/>
        <v>122.7402899</v>
      </c>
      <c r="S228" s="9"/>
      <c r="T228" s="9"/>
      <c r="U228" s="9"/>
      <c r="V228" s="9"/>
      <c r="W228" s="9"/>
      <c r="X228" s="9"/>
      <c r="Y228" s="9"/>
      <c r="Z228" s="9"/>
      <c r="AA228" s="9"/>
      <c r="AB228" s="9" t="str">
        <f>IFERROR(__xludf.DUMMYFUNCTION("""COMPUTED_VALUE"""),"Dennis Kane")</f>
        <v>Dennis Kane</v>
      </c>
      <c r="AC228" s="9"/>
      <c r="AD228" s="9"/>
      <c r="AE228" s="9">
        <f t="shared" si="8"/>
        <v>4</v>
      </c>
      <c r="AF228" s="19" t="b">
        <f t="shared" si="13"/>
        <v>0</v>
      </c>
      <c r="AG228" s="9"/>
      <c r="AH228" s="9"/>
      <c r="AI228" s="9"/>
    </row>
    <row r="229" ht="15.0" customHeight="1">
      <c r="A229" s="11">
        <v>228.0</v>
      </c>
      <c r="B229" s="12">
        <f t="shared" si="43"/>
        <v>39846</v>
      </c>
      <c r="C229" s="13">
        <v>2009.0</v>
      </c>
      <c r="D229" s="11" t="s">
        <v>23</v>
      </c>
      <c r="E229" s="11">
        <v>42.0</v>
      </c>
      <c r="F229" s="21" t="s">
        <v>461</v>
      </c>
      <c r="G229" s="15">
        <v>0.0689227950924385</v>
      </c>
      <c r="H229" s="11" t="s">
        <v>33</v>
      </c>
      <c r="I229" s="16">
        <v>44.96000000000001</v>
      </c>
      <c r="J229" s="11" t="s">
        <v>373</v>
      </c>
      <c r="K229" s="11" t="s">
        <v>83</v>
      </c>
      <c r="L229" s="11" t="s">
        <v>48</v>
      </c>
      <c r="M229" s="11" t="s">
        <v>49</v>
      </c>
      <c r="N229" s="11" t="s">
        <v>73</v>
      </c>
      <c r="O229" s="11" t="s">
        <v>463</v>
      </c>
      <c r="P229" s="11" t="s">
        <v>75</v>
      </c>
      <c r="Q229" s="20">
        <v>39848.0</v>
      </c>
      <c r="R229" s="17">
        <f t="shared" si="2"/>
        <v>266.232216</v>
      </c>
      <c r="S229" s="9"/>
      <c r="T229" s="9"/>
      <c r="U229" s="9"/>
      <c r="V229" s="9"/>
      <c r="W229" s="9"/>
      <c r="X229" s="9"/>
      <c r="Y229" s="9"/>
      <c r="Z229" s="9"/>
      <c r="AA229" s="9"/>
      <c r="AB229" s="9" t="str">
        <f>IFERROR(__xludf.DUMMYFUNCTION("""COMPUTED_VALUE"""),"Laura Armstrong")</f>
        <v>Laura Armstrong</v>
      </c>
      <c r="AC229" s="9"/>
      <c r="AD229" s="9"/>
      <c r="AE229" s="9">
        <f t="shared" si="8"/>
        <v>4</v>
      </c>
      <c r="AF229" s="19" t="b">
        <f t="shared" si="13"/>
        <v>0</v>
      </c>
      <c r="AG229" s="9"/>
      <c r="AH229" s="9"/>
      <c r="AI229" s="9"/>
    </row>
    <row r="230" ht="15.0" customHeight="1">
      <c r="A230" s="11">
        <v>229.0</v>
      </c>
      <c r="B230" s="12">
        <f t="shared" si="43"/>
        <v>39846</v>
      </c>
      <c r="C230" s="13">
        <v>2009.0</v>
      </c>
      <c r="D230" s="11" t="s">
        <v>39</v>
      </c>
      <c r="E230" s="11">
        <v>31.0</v>
      </c>
      <c r="F230" s="21" t="s">
        <v>532</v>
      </c>
      <c r="G230" s="15">
        <v>0.09366618526923881</v>
      </c>
      <c r="H230" s="11" t="s">
        <v>33</v>
      </c>
      <c r="I230" s="16">
        <v>55.2</v>
      </c>
      <c r="J230" s="11" t="s">
        <v>533</v>
      </c>
      <c r="K230" s="11" t="s">
        <v>35</v>
      </c>
      <c r="L230" s="11" t="s">
        <v>48</v>
      </c>
      <c r="M230" s="11" t="s">
        <v>49</v>
      </c>
      <c r="N230" s="11" t="s">
        <v>85</v>
      </c>
      <c r="O230" s="11" t="s">
        <v>534</v>
      </c>
      <c r="P230" s="11" t="s">
        <v>31</v>
      </c>
      <c r="Q230" s="20">
        <v>39849.0</v>
      </c>
      <c r="R230" s="17">
        <f t="shared" si="2"/>
        <v>452.6231071</v>
      </c>
      <c r="S230" s="9"/>
      <c r="T230" s="9"/>
      <c r="U230" s="9"/>
      <c r="V230" s="9"/>
      <c r="W230" s="9"/>
      <c r="X230" s="9"/>
      <c r="Y230" s="9"/>
      <c r="Z230" s="9"/>
      <c r="AA230" s="9"/>
      <c r="AB230" s="9" t="str">
        <f>IFERROR(__xludf.DUMMYFUNCTION("""COMPUTED_VALUE"""),"Carol Adams")</f>
        <v>Carol Adams</v>
      </c>
      <c r="AC230" s="9"/>
      <c r="AD230" s="9"/>
      <c r="AE230" s="9">
        <f t="shared" si="8"/>
        <v>4</v>
      </c>
      <c r="AF230" s="19">
        <f t="shared" si="13"/>
        <v>2</v>
      </c>
      <c r="AG230" s="9"/>
      <c r="AH230" s="9"/>
      <c r="AI230" s="9"/>
    </row>
    <row r="231" ht="15.0" customHeight="1">
      <c r="A231" s="11">
        <v>230.0</v>
      </c>
      <c r="B231" s="12">
        <f t="shared" si="43"/>
        <v>39846</v>
      </c>
      <c r="C231" s="13">
        <v>2009.0</v>
      </c>
      <c r="D231" s="11" t="s">
        <v>44</v>
      </c>
      <c r="E231" s="11">
        <v>38.0</v>
      </c>
      <c r="F231" s="21" t="s">
        <v>483</v>
      </c>
      <c r="G231" s="15">
        <v>0.05657015590200428</v>
      </c>
      <c r="H231" s="11" t="s">
        <v>33</v>
      </c>
      <c r="I231" s="16">
        <v>0.5599999999999999</v>
      </c>
      <c r="J231" s="11" t="s">
        <v>219</v>
      </c>
      <c r="K231" s="11" t="s">
        <v>61</v>
      </c>
      <c r="L231" s="11" t="s">
        <v>48</v>
      </c>
      <c r="M231" s="11" t="s">
        <v>28</v>
      </c>
      <c r="N231" s="11" t="s">
        <v>216</v>
      </c>
      <c r="O231" s="11" t="s">
        <v>484</v>
      </c>
      <c r="P231" s="11" t="s">
        <v>58</v>
      </c>
      <c r="Q231" s="20">
        <v>39849.0</v>
      </c>
      <c r="R231" s="17">
        <f t="shared" si="2"/>
        <v>2.396311804</v>
      </c>
      <c r="S231" s="9"/>
      <c r="T231" s="9"/>
      <c r="U231" s="9"/>
      <c r="V231" s="9"/>
      <c r="W231" s="9"/>
      <c r="X231" s="9"/>
      <c r="Y231" s="9"/>
      <c r="Z231" s="9"/>
      <c r="AA231" s="9"/>
      <c r="AB231" s="9" t="str">
        <f>IFERROR(__xludf.DUMMYFUNCTION("""COMPUTED_VALUE"""),"Denny Blanton")</f>
        <v>Denny Blanton</v>
      </c>
      <c r="AC231" s="9"/>
      <c r="AD231" s="9"/>
      <c r="AE231" s="9">
        <f t="shared" si="8"/>
        <v>4</v>
      </c>
      <c r="AF231" s="19">
        <f t="shared" si="13"/>
        <v>4</v>
      </c>
      <c r="AG231" s="9"/>
      <c r="AH231" s="9"/>
      <c r="AI231" s="9"/>
    </row>
    <row r="232" ht="15.0" customHeight="1">
      <c r="A232" s="11">
        <v>231.0</v>
      </c>
      <c r="B232" s="12">
        <f t="shared" si="43"/>
        <v>39846</v>
      </c>
      <c r="C232" s="13">
        <v>2009.0</v>
      </c>
      <c r="D232" s="11" t="s">
        <v>23</v>
      </c>
      <c r="E232" s="11">
        <v>44.0</v>
      </c>
      <c r="F232" s="21" t="s">
        <v>316</v>
      </c>
      <c r="G232" s="15">
        <v>0.015201978565539936</v>
      </c>
      <c r="H232" s="11" t="s">
        <v>33</v>
      </c>
      <c r="I232" s="16">
        <v>6.368</v>
      </c>
      <c r="J232" s="11" t="s">
        <v>535</v>
      </c>
      <c r="K232" s="11" t="s">
        <v>35</v>
      </c>
      <c r="L232" s="11" t="s">
        <v>41</v>
      </c>
      <c r="M232" s="11" t="s">
        <v>49</v>
      </c>
      <c r="N232" s="11" t="s">
        <v>73</v>
      </c>
      <c r="O232" s="11" t="s">
        <v>318</v>
      </c>
      <c r="P232" s="11" t="s">
        <v>38</v>
      </c>
      <c r="Q232" s="20">
        <v>39849.0</v>
      </c>
      <c r="R232" s="17">
        <f t="shared" si="2"/>
        <v>5.447902655</v>
      </c>
      <c r="S232" s="9"/>
      <c r="T232" s="9"/>
      <c r="U232" s="9"/>
      <c r="V232" s="9"/>
      <c r="W232" s="9"/>
      <c r="X232" s="9"/>
      <c r="Y232" s="9"/>
      <c r="Z232" s="9"/>
      <c r="AA232" s="9"/>
      <c r="AB232" s="9" t="str">
        <f>IFERROR(__xludf.DUMMYFUNCTION("""COMPUTED_VALUE"""),"Carlos Daly")</f>
        <v>Carlos Daly</v>
      </c>
      <c r="AC232" s="9"/>
      <c r="AD232" s="9"/>
      <c r="AE232" s="9">
        <f t="shared" si="8"/>
        <v>3</v>
      </c>
      <c r="AF232" s="19">
        <f t="shared" si="13"/>
        <v>2</v>
      </c>
      <c r="AG232" s="9"/>
      <c r="AH232" s="9"/>
      <c r="AI232" s="9"/>
    </row>
    <row r="233" ht="15.0" customHeight="1">
      <c r="A233" s="11">
        <v>232.0</v>
      </c>
      <c r="B233" s="12">
        <f t="shared" si="43"/>
        <v>39846</v>
      </c>
      <c r="C233" s="13">
        <v>2009.0</v>
      </c>
      <c r="D233" s="11" t="s">
        <v>32</v>
      </c>
      <c r="E233" s="11">
        <v>49.0</v>
      </c>
      <c r="F233" s="21" t="s">
        <v>536</v>
      </c>
      <c r="G233" s="15">
        <v>0.08534324495139486</v>
      </c>
      <c r="H233" s="11" t="s">
        <v>45</v>
      </c>
      <c r="I233" s="16">
        <v>56.160000000000004</v>
      </c>
      <c r="J233" s="11" t="s">
        <v>46</v>
      </c>
      <c r="K233" s="11" t="s">
        <v>47</v>
      </c>
      <c r="L233" s="11" t="s">
        <v>48</v>
      </c>
      <c r="M233" s="11" t="s">
        <v>49</v>
      </c>
      <c r="N233" s="11" t="s">
        <v>50</v>
      </c>
      <c r="O233" s="11" t="s">
        <v>537</v>
      </c>
      <c r="P233" s="11" t="s">
        <v>52</v>
      </c>
      <c r="Q233" s="20">
        <v>39849.0</v>
      </c>
      <c r="R233" s="17">
        <f t="shared" si="2"/>
        <v>518.7384321</v>
      </c>
      <c r="S233" s="9"/>
      <c r="T233" s="9"/>
      <c r="U233" s="9"/>
      <c r="V233" s="9"/>
      <c r="W233" s="9"/>
      <c r="X233" s="9"/>
      <c r="Y233" s="9"/>
      <c r="Z233" s="9"/>
      <c r="AA233" s="9"/>
      <c r="AB233" s="9" t="str">
        <f>IFERROR(__xludf.DUMMYFUNCTION("""COMPUTED_VALUE"""),"Beth Fritzler")</f>
        <v>Beth Fritzler</v>
      </c>
      <c r="AC233" s="9"/>
      <c r="AD233" s="9"/>
      <c r="AE233" s="9">
        <f t="shared" si="8"/>
        <v>4</v>
      </c>
      <c r="AF233" s="19">
        <f t="shared" si="13"/>
        <v>3</v>
      </c>
      <c r="AG233" s="9"/>
      <c r="AH233" s="9"/>
      <c r="AI233" s="9"/>
    </row>
    <row r="234" ht="15.0" customHeight="1">
      <c r="A234" s="11">
        <v>233.0</v>
      </c>
      <c r="B234" s="12">
        <f t="shared" ref="B234:B235" si="44">DATE(2012,12,31)-1427</f>
        <v>39847</v>
      </c>
      <c r="C234" s="13">
        <v>2009.0</v>
      </c>
      <c r="D234" s="11" t="s">
        <v>23</v>
      </c>
      <c r="E234" s="11">
        <v>36.0</v>
      </c>
      <c r="F234" s="21" t="s">
        <v>238</v>
      </c>
      <c r="G234" s="15">
        <v>0.10822038030229156</v>
      </c>
      <c r="H234" s="11" t="s">
        <v>33</v>
      </c>
      <c r="I234" s="16">
        <v>2.904</v>
      </c>
      <c r="J234" s="11" t="s">
        <v>538</v>
      </c>
      <c r="K234" s="11" t="s">
        <v>61</v>
      </c>
      <c r="L234" s="11" t="s">
        <v>27</v>
      </c>
      <c r="M234" s="11" t="s">
        <v>49</v>
      </c>
      <c r="N234" s="11" t="s">
        <v>73</v>
      </c>
      <c r="O234" s="11" t="s">
        <v>539</v>
      </c>
      <c r="P234" s="11" t="s">
        <v>58</v>
      </c>
      <c r="Q234" s="20">
        <v>39849.0</v>
      </c>
      <c r="R234" s="17">
        <f t="shared" si="2"/>
        <v>19.79394044</v>
      </c>
      <c r="S234" s="9"/>
      <c r="T234" s="9"/>
      <c r="U234" s="9"/>
      <c r="V234" s="9"/>
      <c r="W234" s="9"/>
      <c r="X234" s="9"/>
      <c r="Y234" s="9"/>
      <c r="Z234" s="9"/>
      <c r="AA234" s="9"/>
      <c r="AB234" s="9" t="str">
        <f>IFERROR(__xludf.DUMMYFUNCTION("""COMPUTED_VALUE"""),"Carol Triggs")</f>
        <v>Carol Triggs</v>
      </c>
      <c r="AC234" s="9"/>
      <c r="AD234" s="9"/>
      <c r="AE234" s="9">
        <f t="shared" si="8"/>
        <v>1</v>
      </c>
      <c r="AF234" s="19">
        <f t="shared" si="13"/>
        <v>4</v>
      </c>
      <c r="AG234" s="9"/>
      <c r="AH234" s="9"/>
      <c r="AI234" s="9"/>
    </row>
    <row r="235" ht="15.0" customHeight="1">
      <c r="A235" s="11">
        <v>234.0</v>
      </c>
      <c r="B235" s="12">
        <f t="shared" si="44"/>
        <v>39847</v>
      </c>
      <c r="C235" s="13">
        <v>2009.0</v>
      </c>
      <c r="D235" s="11" t="s">
        <v>23</v>
      </c>
      <c r="E235" s="11">
        <v>26.0</v>
      </c>
      <c r="F235" s="21" t="s">
        <v>142</v>
      </c>
      <c r="G235" s="15">
        <v>0.02303282959874937</v>
      </c>
      <c r="H235" s="11" t="s">
        <v>33</v>
      </c>
      <c r="I235" s="16">
        <v>4.0</v>
      </c>
      <c r="J235" s="11" t="s">
        <v>538</v>
      </c>
      <c r="K235" s="11" t="s">
        <v>61</v>
      </c>
      <c r="L235" s="11" t="s">
        <v>27</v>
      </c>
      <c r="M235" s="11" t="s">
        <v>66</v>
      </c>
      <c r="N235" s="11" t="s">
        <v>80</v>
      </c>
      <c r="O235" s="11" t="s">
        <v>540</v>
      </c>
      <c r="P235" s="11" t="s">
        <v>38</v>
      </c>
      <c r="Q235" s="20">
        <v>39849.0</v>
      </c>
      <c r="R235" s="17">
        <f t="shared" si="2"/>
        <v>21.59097447</v>
      </c>
      <c r="S235" s="9"/>
      <c r="T235" s="9"/>
      <c r="U235" s="9"/>
      <c r="V235" s="9"/>
      <c r="W235" s="9"/>
      <c r="X235" s="9"/>
      <c r="Y235" s="9"/>
      <c r="Z235" s="9"/>
      <c r="AA235" s="9"/>
      <c r="AB235" s="9" t="str">
        <f>IFERROR(__xludf.DUMMYFUNCTION("""COMPUTED_VALUE"""),"Chuck Sachs")</f>
        <v>Chuck Sachs</v>
      </c>
      <c r="AC235" s="9"/>
      <c r="AD235" s="9"/>
      <c r="AE235" s="9">
        <f t="shared" si="8"/>
        <v>1</v>
      </c>
      <c r="AF235" s="19">
        <f t="shared" si="13"/>
        <v>4</v>
      </c>
      <c r="AG235" s="9"/>
      <c r="AH235" s="9"/>
      <c r="AI235" s="9"/>
    </row>
    <row r="236" ht="15.0" customHeight="1">
      <c r="A236" s="11">
        <v>235.0</v>
      </c>
      <c r="B236" s="12">
        <f t="shared" ref="B236:B251" si="45">DATE(2012,12,31)-1426</f>
        <v>39848</v>
      </c>
      <c r="C236" s="13">
        <v>2009.0</v>
      </c>
      <c r="D236" s="11" t="s">
        <v>102</v>
      </c>
      <c r="E236" s="11">
        <v>32.0</v>
      </c>
      <c r="F236" s="21" t="s">
        <v>144</v>
      </c>
      <c r="G236" s="15">
        <v>0.08694550063371355</v>
      </c>
      <c r="H236" s="11" t="s">
        <v>33</v>
      </c>
      <c r="I236" s="16">
        <v>4.84</v>
      </c>
      <c r="J236" s="11" t="s">
        <v>541</v>
      </c>
      <c r="K236" s="11" t="s">
        <v>65</v>
      </c>
      <c r="L236" s="11" t="s">
        <v>27</v>
      </c>
      <c r="M236" s="11" t="s">
        <v>28</v>
      </c>
      <c r="N236" s="11" t="s">
        <v>42</v>
      </c>
      <c r="O236" s="11" t="s">
        <v>542</v>
      </c>
      <c r="P236" s="11" t="s">
        <v>38</v>
      </c>
      <c r="Q236" s="20">
        <v>39849.0</v>
      </c>
      <c r="R236" s="17">
        <f t="shared" si="2"/>
        <v>6.263553866</v>
      </c>
      <c r="S236" s="9"/>
      <c r="T236" s="9"/>
      <c r="U236" s="9"/>
      <c r="V236" s="9"/>
      <c r="W236" s="9"/>
      <c r="X236" s="9"/>
      <c r="Y236" s="9"/>
      <c r="Z236" s="9"/>
      <c r="AA236" s="9"/>
      <c r="AB236" s="9" t="str">
        <f>IFERROR(__xludf.DUMMYFUNCTION("""COMPUTED_VALUE"""),"Naresj Patel")</f>
        <v>Naresj Patel</v>
      </c>
      <c r="AC236" s="9"/>
      <c r="AD236" s="9"/>
      <c r="AE236" s="9">
        <f t="shared" si="8"/>
        <v>1</v>
      </c>
      <c r="AF236" s="19">
        <f t="shared" si="13"/>
        <v>5</v>
      </c>
      <c r="AG236" s="9"/>
      <c r="AH236" s="9"/>
      <c r="AI236" s="9"/>
    </row>
    <row r="237" ht="15.0" customHeight="1">
      <c r="A237" s="11">
        <v>236.0</v>
      </c>
      <c r="B237" s="12">
        <f t="shared" si="45"/>
        <v>39848</v>
      </c>
      <c r="C237" s="13">
        <v>2009.0</v>
      </c>
      <c r="D237" s="11" t="s">
        <v>102</v>
      </c>
      <c r="E237" s="11">
        <v>35.0</v>
      </c>
      <c r="F237" s="21" t="s">
        <v>158</v>
      </c>
      <c r="G237" s="15">
        <v>0.04625623960066558</v>
      </c>
      <c r="H237" s="11" t="s">
        <v>33</v>
      </c>
      <c r="I237" s="16">
        <v>5.28</v>
      </c>
      <c r="J237" s="11" t="s">
        <v>541</v>
      </c>
      <c r="K237" s="11" t="s">
        <v>65</v>
      </c>
      <c r="L237" s="11" t="s">
        <v>27</v>
      </c>
      <c r="M237" s="11" t="s">
        <v>28</v>
      </c>
      <c r="N237" s="11" t="s">
        <v>56</v>
      </c>
      <c r="O237" s="11" t="s">
        <v>543</v>
      </c>
      <c r="P237" s="11" t="s">
        <v>38</v>
      </c>
      <c r="Q237" s="20">
        <v>39849.0</v>
      </c>
      <c r="R237" s="17">
        <f t="shared" si="2"/>
        <v>10.60563062</v>
      </c>
      <c r="S237" s="9"/>
      <c r="T237" s="9"/>
      <c r="U237" s="9"/>
      <c r="V237" s="9"/>
      <c r="W237" s="9"/>
      <c r="X237" s="9"/>
      <c r="Y237" s="9"/>
      <c r="Z237" s="9"/>
      <c r="AA237" s="9"/>
      <c r="AB237" s="9" t="str">
        <f>IFERROR(__xludf.DUMMYFUNCTION("""COMPUTED_VALUE"""),"Mike Kennedy")</f>
        <v>Mike Kennedy</v>
      </c>
      <c r="AC237" s="9"/>
      <c r="AD237" s="9"/>
      <c r="AE237" s="9">
        <f t="shared" si="8"/>
        <v>1</v>
      </c>
      <c r="AF237" s="19">
        <f t="shared" si="13"/>
        <v>5</v>
      </c>
      <c r="AG237" s="9"/>
      <c r="AH237" s="9"/>
      <c r="AI237" s="9"/>
    </row>
    <row r="238" ht="15.0" customHeight="1">
      <c r="A238" s="11">
        <v>237.0</v>
      </c>
      <c r="B238" s="12">
        <f t="shared" si="45"/>
        <v>39848</v>
      </c>
      <c r="C238" s="13">
        <v>2009.0</v>
      </c>
      <c r="D238" s="11" t="s">
        <v>102</v>
      </c>
      <c r="E238" s="11">
        <v>43.0</v>
      </c>
      <c r="F238" s="21" t="s">
        <v>544</v>
      </c>
      <c r="G238" s="15">
        <v>0.07671165072571377</v>
      </c>
      <c r="H238" s="11" t="s">
        <v>45</v>
      </c>
      <c r="I238" s="16">
        <v>64.16000000000001</v>
      </c>
      <c r="J238" s="11" t="s">
        <v>541</v>
      </c>
      <c r="K238" s="11" t="s">
        <v>65</v>
      </c>
      <c r="L238" s="11" t="s">
        <v>27</v>
      </c>
      <c r="M238" s="11" t="s">
        <v>49</v>
      </c>
      <c r="N238" s="11" t="s">
        <v>85</v>
      </c>
      <c r="O238" s="11" t="s">
        <v>545</v>
      </c>
      <c r="P238" s="11" t="s">
        <v>87</v>
      </c>
      <c r="Q238" s="20">
        <v>39849.0</v>
      </c>
      <c r="R238" s="17">
        <f t="shared" si="2"/>
        <v>486.5175628</v>
      </c>
      <c r="S238" s="9"/>
      <c r="T238" s="9"/>
      <c r="U238" s="9"/>
      <c r="V238" s="9"/>
      <c r="W238" s="9"/>
      <c r="X238" s="9"/>
      <c r="Y238" s="9"/>
      <c r="Z238" s="9"/>
      <c r="AA238" s="9"/>
      <c r="AB238" s="9" t="str">
        <f>IFERROR(__xludf.DUMMYFUNCTION("""COMPUTED_VALUE"""),"Daniel Byrd")</f>
        <v>Daniel Byrd</v>
      </c>
      <c r="AC238" s="9"/>
      <c r="AD238" s="9"/>
      <c r="AE238" s="9">
        <f t="shared" si="8"/>
        <v>1</v>
      </c>
      <c r="AF238" s="19">
        <f t="shared" si="13"/>
        <v>5</v>
      </c>
      <c r="AG238" s="9"/>
      <c r="AH238" s="9"/>
      <c r="AI238" s="9"/>
    </row>
    <row r="239" ht="15.0" customHeight="1">
      <c r="A239" s="11">
        <v>238.0</v>
      </c>
      <c r="B239" s="12">
        <f t="shared" si="45"/>
        <v>39848</v>
      </c>
      <c r="C239" s="13">
        <v>2009.0</v>
      </c>
      <c r="D239" s="11" t="s">
        <v>102</v>
      </c>
      <c r="E239" s="11">
        <v>47.0</v>
      </c>
      <c r="F239" s="21" t="s">
        <v>256</v>
      </c>
      <c r="G239" s="15">
        <v>0.07227860155080934</v>
      </c>
      <c r="H239" s="11" t="s">
        <v>33</v>
      </c>
      <c r="I239" s="16">
        <v>5.168</v>
      </c>
      <c r="J239" s="11" t="s">
        <v>546</v>
      </c>
      <c r="K239" s="11" t="s">
        <v>61</v>
      </c>
      <c r="L239" s="11" t="s">
        <v>36</v>
      </c>
      <c r="M239" s="11" t="s">
        <v>28</v>
      </c>
      <c r="N239" s="11" t="s">
        <v>42</v>
      </c>
      <c r="O239" s="11" t="s">
        <v>547</v>
      </c>
      <c r="P239" s="11" t="s">
        <v>38</v>
      </c>
      <c r="Q239" s="20">
        <v>39849.0</v>
      </c>
      <c r="R239" s="17">
        <f t="shared" si="2"/>
        <v>49.29169334</v>
      </c>
      <c r="S239" s="9"/>
      <c r="T239" s="9"/>
      <c r="U239" s="9"/>
      <c r="V239" s="9"/>
      <c r="W239" s="9"/>
      <c r="X239" s="9"/>
      <c r="Y239" s="9"/>
      <c r="Z239" s="9"/>
      <c r="AA239" s="9"/>
      <c r="AB239" s="9" t="str">
        <f>IFERROR(__xludf.DUMMYFUNCTION("""COMPUTED_VALUE"""),"John Dryer")</f>
        <v>John Dryer</v>
      </c>
      <c r="AC239" s="9"/>
      <c r="AD239" s="9"/>
      <c r="AE239" s="9">
        <f t="shared" si="8"/>
        <v>2</v>
      </c>
      <c r="AF239" s="19">
        <f t="shared" si="13"/>
        <v>4</v>
      </c>
      <c r="AG239" s="9"/>
      <c r="AH239" s="9"/>
      <c r="AI239" s="9"/>
    </row>
    <row r="240" ht="15.0" customHeight="1">
      <c r="A240" s="11">
        <v>239.0</v>
      </c>
      <c r="B240" s="12">
        <f t="shared" si="45"/>
        <v>39848</v>
      </c>
      <c r="C240" s="13">
        <v>2009.0</v>
      </c>
      <c r="D240" s="11" t="s">
        <v>44</v>
      </c>
      <c r="E240" s="11">
        <v>2.0</v>
      </c>
      <c r="F240" s="21" t="s">
        <v>333</v>
      </c>
      <c r="G240" s="15">
        <v>0.06171428571428577</v>
      </c>
      <c r="H240" s="11" t="s">
        <v>33</v>
      </c>
      <c r="I240" s="16">
        <v>0.768</v>
      </c>
      <c r="J240" s="11" t="s">
        <v>548</v>
      </c>
      <c r="K240" s="11" t="s">
        <v>47</v>
      </c>
      <c r="L240" s="11" t="s">
        <v>27</v>
      </c>
      <c r="M240" s="11" t="s">
        <v>28</v>
      </c>
      <c r="N240" s="11" t="s">
        <v>62</v>
      </c>
      <c r="O240" s="11" t="s">
        <v>549</v>
      </c>
      <c r="P240" s="11" t="s">
        <v>58</v>
      </c>
      <c r="Q240" s="20">
        <v>39849.0</v>
      </c>
      <c r="R240" s="17">
        <f t="shared" si="2"/>
        <v>0.4053394286</v>
      </c>
      <c r="S240" s="9"/>
      <c r="T240" s="9"/>
      <c r="U240" s="9"/>
      <c r="V240" s="9"/>
      <c r="W240" s="9"/>
      <c r="X240" s="9"/>
      <c r="Y240" s="9"/>
      <c r="Z240" s="9"/>
      <c r="AA240" s="9"/>
      <c r="AB240" s="9" t="str">
        <f>IFERROR(__xludf.DUMMYFUNCTION("""COMPUTED_VALUE"""),"Daniel Raglin")</f>
        <v>Daniel Raglin</v>
      </c>
      <c r="AC240" s="9"/>
      <c r="AD240" s="9"/>
      <c r="AE240" s="9">
        <f t="shared" si="8"/>
        <v>1</v>
      </c>
      <c r="AF240" s="19">
        <f t="shared" si="13"/>
        <v>3</v>
      </c>
      <c r="AG240" s="9"/>
      <c r="AH240" s="9"/>
      <c r="AI240" s="9"/>
    </row>
    <row r="241" ht="15.0" customHeight="1">
      <c r="A241" s="11">
        <v>240.0</v>
      </c>
      <c r="B241" s="12">
        <f t="shared" si="45"/>
        <v>39848</v>
      </c>
      <c r="C241" s="13">
        <v>2009.0</v>
      </c>
      <c r="D241" s="11" t="s">
        <v>102</v>
      </c>
      <c r="E241" s="11">
        <v>46.0</v>
      </c>
      <c r="F241" s="21" t="s">
        <v>126</v>
      </c>
      <c r="G241" s="15">
        <v>0.035951165675079576</v>
      </c>
      <c r="H241" s="11" t="s">
        <v>33</v>
      </c>
      <c r="I241" s="16">
        <v>0.4</v>
      </c>
      <c r="J241" s="11" t="s">
        <v>550</v>
      </c>
      <c r="K241" s="11" t="s">
        <v>65</v>
      </c>
      <c r="L241" s="11" t="s">
        <v>48</v>
      </c>
      <c r="M241" s="11" t="s">
        <v>28</v>
      </c>
      <c r="N241" s="11" t="s">
        <v>188</v>
      </c>
      <c r="O241" s="11" t="s">
        <v>551</v>
      </c>
      <c r="P241" s="11" t="s">
        <v>38</v>
      </c>
      <c r="Q241" s="20">
        <v>39850.0</v>
      </c>
      <c r="R241" s="17">
        <f t="shared" si="2"/>
        <v>8.117773209</v>
      </c>
      <c r="S241" s="9"/>
      <c r="T241" s="9"/>
      <c r="U241" s="9"/>
      <c r="V241" s="9"/>
      <c r="W241" s="9"/>
      <c r="X241" s="9"/>
      <c r="Y241" s="9"/>
      <c r="Z241" s="9"/>
      <c r="AA241" s="9"/>
      <c r="AB241" s="9" t="str">
        <f>IFERROR(__xludf.DUMMYFUNCTION("""COMPUTED_VALUE"""),"Michael Stewart")</f>
        <v>Michael Stewart</v>
      </c>
      <c r="AC241" s="9"/>
      <c r="AD241" s="9"/>
      <c r="AE241" s="9">
        <f t="shared" si="8"/>
        <v>4</v>
      </c>
      <c r="AF241" s="19">
        <f t="shared" si="13"/>
        <v>5</v>
      </c>
      <c r="AG241" s="9"/>
      <c r="AH241" s="9"/>
      <c r="AI241" s="9"/>
    </row>
    <row r="242" ht="15.0" customHeight="1">
      <c r="A242" s="11">
        <v>241.0</v>
      </c>
      <c r="B242" s="12">
        <f t="shared" si="45"/>
        <v>39848</v>
      </c>
      <c r="C242" s="13">
        <v>2009.0</v>
      </c>
      <c r="D242" s="11" t="s">
        <v>102</v>
      </c>
      <c r="E242" s="11">
        <v>22.0</v>
      </c>
      <c r="F242" s="21" t="s">
        <v>552</v>
      </c>
      <c r="G242" s="15">
        <v>0.03283236994219657</v>
      </c>
      <c r="H242" s="11" t="s">
        <v>33</v>
      </c>
      <c r="I242" s="16">
        <v>8.92</v>
      </c>
      <c r="J242" s="11" t="s">
        <v>550</v>
      </c>
      <c r="K242" s="11" t="s">
        <v>65</v>
      </c>
      <c r="L242" s="11" t="s">
        <v>48</v>
      </c>
      <c r="M242" s="11" t="s">
        <v>28</v>
      </c>
      <c r="N242" s="11" t="s">
        <v>56</v>
      </c>
      <c r="O242" s="11" t="s">
        <v>553</v>
      </c>
      <c r="P242" s="11" t="s">
        <v>38</v>
      </c>
      <c r="Q242" s="20">
        <v>39850.0</v>
      </c>
      <c r="R242" s="17">
        <f t="shared" si="2"/>
        <v>5.493512139</v>
      </c>
      <c r="S242" s="9"/>
      <c r="T242" s="9"/>
      <c r="U242" s="9"/>
      <c r="V242" s="9"/>
      <c r="W242" s="9"/>
      <c r="X242" s="9"/>
      <c r="Y242" s="9"/>
      <c r="Z242" s="9"/>
      <c r="AA242" s="9"/>
      <c r="AB242" s="9" t="str">
        <f>IFERROR(__xludf.DUMMYFUNCTION("""COMPUTED_VALUE"""),"Julie Prescott")</f>
        <v>Julie Prescott</v>
      </c>
      <c r="AC242" s="9"/>
      <c r="AD242" s="9"/>
      <c r="AE242" s="9">
        <f t="shared" si="8"/>
        <v>4</v>
      </c>
      <c r="AF242" s="19">
        <f t="shared" si="13"/>
        <v>5</v>
      </c>
      <c r="AG242" s="9"/>
      <c r="AH242" s="9"/>
      <c r="AI242" s="9"/>
    </row>
    <row r="243" ht="15.0" customHeight="1">
      <c r="A243" s="11">
        <v>242.0</v>
      </c>
      <c r="B243" s="12">
        <f t="shared" si="45"/>
        <v>39848</v>
      </c>
      <c r="C243" s="13">
        <v>2009.0</v>
      </c>
      <c r="D243" s="11" t="s">
        <v>102</v>
      </c>
      <c r="E243" s="11">
        <v>10.0</v>
      </c>
      <c r="F243" s="21" t="s">
        <v>135</v>
      </c>
      <c r="G243" s="15">
        <v>0.11782983970406903</v>
      </c>
      <c r="H243" s="11" t="s">
        <v>33</v>
      </c>
      <c r="I243" s="16">
        <v>5.5440000000000005</v>
      </c>
      <c r="J243" s="11" t="s">
        <v>550</v>
      </c>
      <c r="K243" s="11" t="s">
        <v>65</v>
      </c>
      <c r="L243" s="11" t="s">
        <v>48</v>
      </c>
      <c r="M243" s="11" t="s">
        <v>28</v>
      </c>
      <c r="N243" s="11" t="s">
        <v>56</v>
      </c>
      <c r="O243" s="11" t="s">
        <v>554</v>
      </c>
      <c r="P243" s="11" t="s">
        <v>38</v>
      </c>
      <c r="Q243" s="20">
        <v>39850.0</v>
      </c>
      <c r="R243" s="17">
        <f t="shared" si="2"/>
        <v>8.430018052</v>
      </c>
      <c r="S243" s="9"/>
      <c r="T243" s="9"/>
      <c r="U243" s="9"/>
      <c r="V243" s="9"/>
      <c r="W243" s="9"/>
      <c r="X243" s="9"/>
      <c r="Y243" s="9"/>
      <c r="Z243" s="9"/>
      <c r="AA243" s="9"/>
      <c r="AB243" s="9" t="str">
        <f>IFERROR(__xludf.DUMMYFUNCTION("""COMPUTED_VALUE"""),"Sean Christensen")</f>
        <v>Sean Christensen</v>
      </c>
      <c r="AC243" s="9"/>
      <c r="AD243" s="9"/>
      <c r="AE243" s="9">
        <f t="shared" si="8"/>
        <v>4</v>
      </c>
      <c r="AF243" s="19">
        <f t="shared" si="13"/>
        <v>5</v>
      </c>
      <c r="AG243" s="9"/>
      <c r="AH243" s="9"/>
      <c r="AI243" s="9"/>
    </row>
    <row r="244" ht="15.0" customHeight="1">
      <c r="A244" s="11">
        <v>243.0</v>
      </c>
      <c r="B244" s="12">
        <f t="shared" si="45"/>
        <v>39848</v>
      </c>
      <c r="C244" s="13">
        <v>2009.0</v>
      </c>
      <c r="D244" s="11" t="s">
        <v>102</v>
      </c>
      <c r="E244" s="11">
        <v>9.0</v>
      </c>
      <c r="F244" s="21" t="s">
        <v>254</v>
      </c>
      <c r="G244" s="15">
        <v>0.054858984689766264</v>
      </c>
      <c r="H244" s="11" t="s">
        <v>33</v>
      </c>
      <c r="I244" s="16">
        <v>1.192</v>
      </c>
      <c r="J244" s="11" t="s">
        <v>555</v>
      </c>
      <c r="K244" s="11" t="s">
        <v>65</v>
      </c>
      <c r="L244" s="11" t="s">
        <v>41</v>
      </c>
      <c r="M244" s="11" t="s">
        <v>28</v>
      </c>
      <c r="N244" s="11" t="s">
        <v>42</v>
      </c>
      <c r="O244" s="11" t="s">
        <v>556</v>
      </c>
      <c r="P244" s="11" t="s">
        <v>38</v>
      </c>
      <c r="Q244" s="20">
        <v>39850.0</v>
      </c>
      <c r="R244" s="17">
        <f t="shared" si="2"/>
        <v>6.434520032</v>
      </c>
      <c r="S244" s="9"/>
      <c r="T244" s="9"/>
      <c r="U244" s="9"/>
      <c r="V244" s="9"/>
      <c r="W244" s="9"/>
      <c r="X244" s="9"/>
      <c r="Y244" s="9"/>
      <c r="Z244" s="9"/>
      <c r="AA244" s="9"/>
      <c r="AB244" s="9" t="str">
        <f>IFERROR(__xludf.DUMMYFUNCTION("""COMPUTED_VALUE"""),"Eric Barreto")</f>
        <v>Eric Barreto</v>
      </c>
      <c r="AC244" s="9"/>
      <c r="AD244" s="9"/>
      <c r="AE244" s="9">
        <f t="shared" si="8"/>
        <v>3</v>
      </c>
      <c r="AF244" s="19">
        <f t="shared" si="13"/>
        <v>5</v>
      </c>
      <c r="AG244" s="9"/>
      <c r="AH244" s="9"/>
      <c r="AI244" s="9"/>
    </row>
    <row r="245" ht="15.0" customHeight="1">
      <c r="A245" s="11">
        <v>244.0</v>
      </c>
      <c r="B245" s="12">
        <f t="shared" si="45"/>
        <v>39848</v>
      </c>
      <c r="C245" s="13">
        <v>2009.0</v>
      </c>
      <c r="D245" s="11" t="s">
        <v>102</v>
      </c>
      <c r="E245" s="11">
        <v>36.0</v>
      </c>
      <c r="F245" s="21" t="s">
        <v>336</v>
      </c>
      <c r="G245" s="15">
        <v>0.06085257548845474</v>
      </c>
      <c r="H245" s="11" t="s">
        <v>33</v>
      </c>
      <c r="I245" s="16">
        <v>2.696</v>
      </c>
      <c r="J245" s="11" t="s">
        <v>555</v>
      </c>
      <c r="K245" s="11" t="s">
        <v>65</v>
      </c>
      <c r="L245" s="11" t="s">
        <v>41</v>
      </c>
      <c r="M245" s="11" t="s">
        <v>28</v>
      </c>
      <c r="N245" s="11" t="s">
        <v>216</v>
      </c>
      <c r="O245" s="11" t="s">
        <v>557</v>
      </c>
      <c r="P245" s="11" t="s">
        <v>58</v>
      </c>
      <c r="Q245" s="20">
        <v>39850.0</v>
      </c>
      <c r="R245" s="17">
        <f t="shared" si="2"/>
        <v>12.87007631</v>
      </c>
      <c r="S245" s="9"/>
      <c r="T245" s="9"/>
      <c r="U245" s="9"/>
      <c r="V245" s="9"/>
      <c r="W245" s="9"/>
      <c r="X245" s="9"/>
      <c r="Y245" s="9"/>
      <c r="Z245" s="9"/>
      <c r="AA245" s="9"/>
      <c r="AB245" s="9" t="str">
        <f>IFERROR(__xludf.DUMMYFUNCTION("""COMPUTED_VALUE"""),"Thomas Boland")</f>
        <v>Thomas Boland</v>
      </c>
      <c r="AC245" s="9"/>
      <c r="AD245" s="9"/>
      <c r="AE245" s="9">
        <f t="shared" si="8"/>
        <v>3</v>
      </c>
      <c r="AF245" s="19">
        <f t="shared" si="13"/>
        <v>5</v>
      </c>
      <c r="AG245" s="9"/>
      <c r="AH245" s="9"/>
      <c r="AI245" s="9"/>
    </row>
    <row r="246" ht="15.0" customHeight="1">
      <c r="A246" s="11">
        <v>245.0</v>
      </c>
      <c r="B246" s="12">
        <f t="shared" si="45"/>
        <v>39848</v>
      </c>
      <c r="C246" s="13">
        <v>2009.0</v>
      </c>
      <c r="D246" s="11" t="s">
        <v>44</v>
      </c>
      <c r="E246" s="11">
        <v>33.0</v>
      </c>
      <c r="F246" s="21" t="s">
        <v>110</v>
      </c>
      <c r="G246" s="15">
        <v>0.07507447483231165</v>
      </c>
      <c r="H246" s="11" t="s">
        <v>45</v>
      </c>
      <c r="I246" s="16">
        <v>14.280000000000001</v>
      </c>
      <c r="J246" s="11" t="s">
        <v>514</v>
      </c>
      <c r="K246" s="11" t="s">
        <v>61</v>
      </c>
      <c r="L246" s="11" t="s">
        <v>27</v>
      </c>
      <c r="M246" s="11" t="s">
        <v>66</v>
      </c>
      <c r="N246" s="11" t="s">
        <v>69</v>
      </c>
      <c r="O246" s="11" t="s">
        <v>111</v>
      </c>
      <c r="P246" s="11" t="s">
        <v>52</v>
      </c>
      <c r="Q246" s="20">
        <v>39850.0</v>
      </c>
      <c r="R246" s="17">
        <f t="shared" si="2"/>
        <v>361.2944086</v>
      </c>
      <c r="S246" s="9"/>
      <c r="T246" s="9"/>
      <c r="U246" s="9"/>
      <c r="V246" s="9"/>
      <c r="W246" s="9"/>
      <c r="X246" s="9"/>
      <c r="Y246" s="9"/>
      <c r="Z246" s="9"/>
      <c r="AA246" s="9"/>
      <c r="AB246" s="9" t="str">
        <f>IFERROR(__xludf.DUMMYFUNCTION("""COMPUTED_VALUE"""),"Brendan Murry")</f>
        <v>Brendan Murry</v>
      </c>
      <c r="AC246" s="9"/>
      <c r="AD246" s="9"/>
      <c r="AE246" s="9">
        <f t="shared" si="8"/>
        <v>1</v>
      </c>
      <c r="AF246" s="19">
        <f t="shared" si="13"/>
        <v>4</v>
      </c>
      <c r="AG246" s="9"/>
      <c r="AH246" s="9"/>
      <c r="AI246" s="9"/>
    </row>
    <row r="247" ht="15.0" customHeight="1">
      <c r="A247" s="11">
        <v>246.0</v>
      </c>
      <c r="B247" s="12">
        <f t="shared" si="45"/>
        <v>39848</v>
      </c>
      <c r="C247" s="13">
        <v>2009.0</v>
      </c>
      <c r="D247" s="11" t="s">
        <v>44</v>
      </c>
      <c r="E247" s="11">
        <v>18.0</v>
      </c>
      <c r="F247" s="21" t="s">
        <v>231</v>
      </c>
      <c r="G247" s="15">
        <v>0.07215663008009512</v>
      </c>
      <c r="H247" s="11" t="s">
        <v>45</v>
      </c>
      <c r="I247" s="16">
        <v>15.352000000000002</v>
      </c>
      <c r="J247" s="11" t="s">
        <v>514</v>
      </c>
      <c r="K247" s="11" t="s">
        <v>61</v>
      </c>
      <c r="L247" s="11" t="s">
        <v>27</v>
      </c>
      <c r="M247" s="11" t="s">
        <v>49</v>
      </c>
      <c r="N247" s="11" t="s">
        <v>50</v>
      </c>
      <c r="O247" s="11" t="s">
        <v>121</v>
      </c>
      <c r="P247" s="11" t="s">
        <v>52</v>
      </c>
      <c r="Q247" s="20">
        <v>39850.0</v>
      </c>
      <c r="R247" s="17">
        <f t="shared" si="2"/>
        <v>45.13772426</v>
      </c>
      <c r="S247" s="9"/>
      <c r="T247" s="9"/>
      <c r="U247" s="9"/>
      <c r="V247" s="9"/>
      <c r="W247" s="9"/>
      <c r="X247" s="9"/>
      <c r="Y247" s="9"/>
      <c r="Z247" s="9"/>
      <c r="AA247" s="9"/>
      <c r="AB247" s="9" t="str">
        <f>IFERROR(__xludf.DUMMYFUNCTION("""COMPUTED_VALUE"""),"Kimberly Carter")</f>
        <v>Kimberly Carter</v>
      </c>
      <c r="AC247" s="9"/>
      <c r="AD247" s="9"/>
      <c r="AE247" s="9">
        <f t="shared" si="8"/>
        <v>1</v>
      </c>
      <c r="AF247" s="19">
        <f t="shared" si="13"/>
        <v>4</v>
      </c>
      <c r="AG247" s="9"/>
      <c r="AH247" s="9"/>
      <c r="AI247" s="9"/>
    </row>
    <row r="248" ht="15.0" customHeight="1">
      <c r="A248" s="11">
        <v>247.0</v>
      </c>
      <c r="B248" s="12">
        <f t="shared" si="45"/>
        <v>39848</v>
      </c>
      <c r="C248" s="13">
        <v>2009.0</v>
      </c>
      <c r="D248" s="11" t="s">
        <v>44</v>
      </c>
      <c r="E248" s="11">
        <v>14.0</v>
      </c>
      <c r="F248" s="21" t="s">
        <v>344</v>
      </c>
      <c r="G248" s="15">
        <v>0.09774436090225569</v>
      </c>
      <c r="H248" s="11" t="s">
        <v>33</v>
      </c>
      <c r="I248" s="16">
        <v>4.4</v>
      </c>
      <c r="J248" s="11" t="s">
        <v>514</v>
      </c>
      <c r="K248" s="11" t="s">
        <v>61</v>
      </c>
      <c r="L248" s="11" t="s">
        <v>27</v>
      </c>
      <c r="M248" s="11" t="s">
        <v>28</v>
      </c>
      <c r="N248" s="11" t="s">
        <v>29</v>
      </c>
      <c r="O248" s="11" t="s">
        <v>346</v>
      </c>
      <c r="P248" s="11" t="s">
        <v>38</v>
      </c>
      <c r="Q248" s="20">
        <v>39850.0</v>
      </c>
      <c r="R248" s="17">
        <f t="shared" si="2"/>
        <v>18.76691729</v>
      </c>
      <c r="S248" s="9"/>
      <c r="T248" s="9"/>
      <c r="U248" s="9"/>
      <c r="V248" s="9"/>
      <c r="W248" s="9"/>
      <c r="X248" s="9"/>
      <c r="Y248" s="9"/>
      <c r="Z248" s="9"/>
      <c r="AA248" s="9"/>
      <c r="AB248" s="9" t="str">
        <f>IFERROR(__xludf.DUMMYFUNCTION("""COMPUTED_VALUE"""),"Marc Harrigan")</f>
        <v>Marc Harrigan</v>
      </c>
      <c r="AC248" s="9"/>
      <c r="AD248" s="9"/>
      <c r="AE248" s="9">
        <f t="shared" si="8"/>
        <v>1</v>
      </c>
      <c r="AF248" s="19">
        <f t="shared" si="13"/>
        <v>4</v>
      </c>
      <c r="AG248" s="9"/>
      <c r="AH248" s="9"/>
      <c r="AI248" s="9"/>
    </row>
    <row r="249" ht="15.0" customHeight="1">
      <c r="A249" s="11">
        <v>248.0</v>
      </c>
      <c r="B249" s="12">
        <f t="shared" si="45"/>
        <v>39848</v>
      </c>
      <c r="C249" s="13">
        <v>2009.0</v>
      </c>
      <c r="D249" s="11" t="s">
        <v>44</v>
      </c>
      <c r="E249" s="11">
        <v>50.0</v>
      </c>
      <c r="F249" s="21" t="s">
        <v>558</v>
      </c>
      <c r="G249" s="15">
        <v>0.06845365975518358</v>
      </c>
      <c r="H249" s="11" t="s">
        <v>24</v>
      </c>
      <c r="I249" s="16">
        <v>1.592</v>
      </c>
      <c r="J249" s="11" t="s">
        <v>373</v>
      </c>
      <c r="K249" s="11" t="s">
        <v>83</v>
      </c>
      <c r="L249" s="11" t="s">
        <v>48</v>
      </c>
      <c r="M249" s="11" t="s">
        <v>66</v>
      </c>
      <c r="N249" s="11" t="s">
        <v>67</v>
      </c>
      <c r="O249" s="11" t="s">
        <v>559</v>
      </c>
      <c r="P249" s="11" t="s">
        <v>99</v>
      </c>
      <c r="Q249" s="20">
        <v>39851.0</v>
      </c>
      <c r="R249" s="17">
        <f t="shared" si="2"/>
        <v>102.1049313</v>
      </c>
      <c r="S249" s="9"/>
      <c r="T249" s="9"/>
      <c r="U249" s="9"/>
      <c r="V249" s="9"/>
      <c r="W249" s="9"/>
      <c r="X249" s="9"/>
      <c r="Y249" s="9"/>
      <c r="Z249" s="9"/>
      <c r="AA249" s="9"/>
      <c r="AB249" s="9" t="str">
        <f>IFERROR(__xludf.DUMMYFUNCTION("""COMPUTED_VALUE"""),"Anna Chung")</f>
        <v>Anna Chung</v>
      </c>
      <c r="AC249" s="9"/>
      <c r="AD249" s="9"/>
      <c r="AE249" s="9">
        <f t="shared" si="8"/>
        <v>4</v>
      </c>
      <c r="AF249" s="19" t="b">
        <f t="shared" si="13"/>
        <v>0</v>
      </c>
      <c r="AG249" s="9"/>
      <c r="AH249" s="9"/>
      <c r="AI249" s="9"/>
    </row>
    <row r="250" ht="15.0" customHeight="1">
      <c r="A250" s="11">
        <v>249.0</v>
      </c>
      <c r="B250" s="12">
        <f t="shared" si="45"/>
        <v>39848</v>
      </c>
      <c r="C250" s="13">
        <v>2009.0</v>
      </c>
      <c r="D250" s="11" t="s">
        <v>44</v>
      </c>
      <c r="E250" s="11">
        <v>20.0</v>
      </c>
      <c r="F250" s="21" t="s">
        <v>218</v>
      </c>
      <c r="G250" s="15">
        <v>0.03873231465761174</v>
      </c>
      <c r="H250" s="11" t="s">
        <v>33</v>
      </c>
      <c r="I250" s="16">
        <v>3.8560000000000003</v>
      </c>
      <c r="J250" s="11" t="s">
        <v>373</v>
      </c>
      <c r="K250" s="11" t="s">
        <v>83</v>
      </c>
      <c r="L250" s="11" t="s">
        <v>48</v>
      </c>
      <c r="M250" s="11" t="s">
        <v>28</v>
      </c>
      <c r="N250" s="11" t="s">
        <v>56</v>
      </c>
      <c r="O250" s="11" t="s">
        <v>560</v>
      </c>
      <c r="P250" s="11" t="s">
        <v>38</v>
      </c>
      <c r="Q250" s="20">
        <v>39851.0</v>
      </c>
      <c r="R250" s="17">
        <f t="shared" si="2"/>
        <v>6.578916038</v>
      </c>
      <c r="S250" s="9"/>
      <c r="T250" s="9"/>
      <c r="U250" s="9"/>
      <c r="V250" s="9"/>
      <c r="W250" s="9"/>
      <c r="X250" s="9"/>
      <c r="Y250" s="9"/>
      <c r="Z250" s="9"/>
      <c r="AA250" s="9"/>
      <c r="AB250" s="9" t="str">
        <f>IFERROR(__xludf.DUMMYFUNCTION("""COMPUTED_VALUE"""),"Beth Thompson")</f>
        <v>Beth Thompson</v>
      </c>
      <c r="AC250" s="9"/>
      <c r="AD250" s="9"/>
      <c r="AE250" s="9">
        <f t="shared" si="8"/>
        <v>4</v>
      </c>
      <c r="AF250" s="19" t="b">
        <f t="shared" si="13"/>
        <v>0</v>
      </c>
      <c r="AG250" s="9"/>
      <c r="AH250" s="9"/>
      <c r="AI250" s="9"/>
    </row>
    <row r="251" ht="15.0" customHeight="1">
      <c r="A251" s="11">
        <v>250.0</v>
      </c>
      <c r="B251" s="12">
        <f t="shared" si="45"/>
        <v>39848</v>
      </c>
      <c r="C251" s="13">
        <v>2009.0</v>
      </c>
      <c r="D251" s="11" t="s">
        <v>102</v>
      </c>
      <c r="E251" s="11">
        <v>40.0</v>
      </c>
      <c r="F251" s="21" t="s">
        <v>147</v>
      </c>
      <c r="G251" s="15">
        <v>0.06962566844919785</v>
      </c>
      <c r="H251" s="11" t="s">
        <v>33</v>
      </c>
      <c r="I251" s="16">
        <v>1.592</v>
      </c>
      <c r="J251" s="11" t="s">
        <v>561</v>
      </c>
      <c r="K251" s="11" t="s">
        <v>65</v>
      </c>
      <c r="L251" s="11" t="s">
        <v>36</v>
      </c>
      <c r="M251" s="11" t="s">
        <v>66</v>
      </c>
      <c r="N251" s="11" t="s">
        <v>67</v>
      </c>
      <c r="O251" s="11" t="s">
        <v>149</v>
      </c>
      <c r="P251" s="11" t="s">
        <v>99</v>
      </c>
      <c r="Q251" s="20">
        <v>39851.0</v>
      </c>
      <c r="R251" s="17">
        <f t="shared" si="2"/>
        <v>4.845389519</v>
      </c>
      <c r="S251" s="9"/>
      <c r="T251" s="9"/>
      <c r="U251" s="9"/>
      <c r="V251" s="9"/>
      <c r="W251" s="9"/>
      <c r="X251" s="9"/>
      <c r="Y251" s="9"/>
      <c r="Z251" s="9"/>
      <c r="AA251" s="9"/>
      <c r="AB251" s="9" t="str">
        <f>IFERROR(__xludf.DUMMYFUNCTION("""COMPUTED_VALUE"""),"Noah Childs")</f>
        <v>Noah Childs</v>
      </c>
      <c r="AC251" s="9"/>
      <c r="AD251" s="9"/>
      <c r="AE251" s="9">
        <f t="shared" si="8"/>
        <v>2</v>
      </c>
      <c r="AF251" s="19">
        <f t="shared" si="13"/>
        <v>5</v>
      </c>
      <c r="AG251" s="9"/>
      <c r="AH251" s="9"/>
      <c r="AI251" s="9"/>
    </row>
    <row r="252" ht="15.0" customHeight="1">
      <c r="A252" s="11">
        <v>251.0</v>
      </c>
      <c r="B252" s="12">
        <f t="shared" ref="B252:B258" si="46">DATE(2012,12,31)-1425</f>
        <v>39849</v>
      </c>
      <c r="C252" s="13">
        <v>2009.0</v>
      </c>
      <c r="D252" s="11" t="s">
        <v>102</v>
      </c>
      <c r="E252" s="11">
        <v>39.0</v>
      </c>
      <c r="F252" s="21" t="s">
        <v>562</v>
      </c>
      <c r="G252" s="15">
        <v>0.06583817348108534</v>
      </c>
      <c r="H252" s="11" t="s">
        <v>45</v>
      </c>
      <c r="I252" s="16">
        <v>22.512</v>
      </c>
      <c r="J252" s="11" t="s">
        <v>563</v>
      </c>
      <c r="K252" s="11" t="s">
        <v>83</v>
      </c>
      <c r="L252" s="11" t="s">
        <v>36</v>
      </c>
      <c r="M252" s="11" t="s">
        <v>66</v>
      </c>
      <c r="N252" s="11" t="s">
        <v>69</v>
      </c>
      <c r="O252" s="11" t="s">
        <v>564</v>
      </c>
      <c r="P252" s="11" t="s">
        <v>52</v>
      </c>
      <c r="Q252" s="20">
        <v>39851.0</v>
      </c>
      <c r="R252" s="17">
        <f t="shared" si="2"/>
        <v>1287.637452</v>
      </c>
      <c r="S252" s="9"/>
      <c r="T252" s="9"/>
      <c r="U252" s="9"/>
      <c r="V252" s="9"/>
      <c r="W252" s="9"/>
      <c r="X252" s="9"/>
      <c r="Y252" s="9"/>
      <c r="Z252" s="9"/>
      <c r="AA252" s="9"/>
      <c r="AB252" s="9" t="str">
        <f>IFERROR(__xludf.DUMMYFUNCTION("""COMPUTED_VALUE"""),"Barry Weirich")</f>
        <v>Barry Weirich</v>
      </c>
      <c r="AC252" s="9"/>
      <c r="AD252" s="9"/>
      <c r="AE252" s="9">
        <f t="shared" si="8"/>
        <v>2</v>
      </c>
      <c r="AF252" s="19" t="b">
        <f t="shared" si="13"/>
        <v>0</v>
      </c>
      <c r="AG252" s="9"/>
      <c r="AH252" s="9"/>
      <c r="AI252" s="9"/>
    </row>
    <row r="253" ht="15.0" customHeight="1">
      <c r="A253" s="11">
        <v>252.0</v>
      </c>
      <c r="B253" s="12">
        <f t="shared" si="46"/>
        <v>39849</v>
      </c>
      <c r="C253" s="13">
        <v>2009.0</v>
      </c>
      <c r="D253" s="11" t="s">
        <v>102</v>
      </c>
      <c r="E253" s="11">
        <v>3.0</v>
      </c>
      <c r="F253" s="21" t="s">
        <v>565</v>
      </c>
      <c r="G253" s="15">
        <v>0.09773776395482071</v>
      </c>
      <c r="H253" s="11" t="s">
        <v>33</v>
      </c>
      <c r="I253" s="16">
        <v>15.991999999999999</v>
      </c>
      <c r="J253" s="11" t="s">
        <v>563</v>
      </c>
      <c r="K253" s="11" t="s">
        <v>83</v>
      </c>
      <c r="L253" s="11" t="s">
        <v>36</v>
      </c>
      <c r="M253" s="11" t="s">
        <v>28</v>
      </c>
      <c r="N253" s="11" t="s">
        <v>29</v>
      </c>
      <c r="O253" s="11" t="s">
        <v>566</v>
      </c>
      <c r="P253" s="11" t="s">
        <v>38</v>
      </c>
      <c r="Q253" s="20">
        <v>39851.0</v>
      </c>
      <c r="R253" s="17">
        <f t="shared" si="2"/>
        <v>53.87227359</v>
      </c>
      <c r="S253" s="9"/>
      <c r="T253" s="9"/>
      <c r="U253" s="9"/>
      <c r="V253" s="9"/>
      <c r="W253" s="9"/>
      <c r="X253" s="9"/>
      <c r="Y253" s="9"/>
      <c r="Z253" s="9"/>
      <c r="AA253" s="9"/>
      <c r="AB253" s="9" t="str">
        <f>IFERROR(__xludf.DUMMYFUNCTION("""COMPUTED_VALUE"""),"Victoria Wilson")</f>
        <v>Victoria Wilson</v>
      </c>
      <c r="AC253" s="9"/>
      <c r="AD253" s="9"/>
      <c r="AE253" s="9">
        <f t="shared" si="8"/>
        <v>2</v>
      </c>
      <c r="AF253" s="19" t="b">
        <f t="shared" si="13"/>
        <v>0</v>
      </c>
      <c r="AG253" s="9"/>
      <c r="AH253" s="9"/>
      <c r="AI253" s="9"/>
    </row>
    <row r="254" ht="15.0" customHeight="1">
      <c r="A254" s="11">
        <v>253.0</v>
      </c>
      <c r="B254" s="12">
        <f t="shared" si="46"/>
        <v>39849</v>
      </c>
      <c r="C254" s="13">
        <v>2009.0</v>
      </c>
      <c r="D254" s="11" t="s">
        <v>44</v>
      </c>
      <c r="E254" s="11">
        <v>48.0</v>
      </c>
      <c r="F254" s="21" t="s">
        <v>319</v>
      </c>
      <c r="G254" s="15">
        <v>0.09195433176628634</v>
      </c>
      <c r="H254" s="11" t="s">
        <v>33</v>
      </c>
      <c r="I254" s="16">
        <v>0.808</v>
      </c>
      <c r="J254" s="11" t="s">
        <v>567</v>
      </c>
      <c r="K254" s="11" t="s">
        <v>61</v>
      </c>
      <c r="L254" s="11" t="s">
        <v>36</v>
      </c>
      <c r="M254" s="11" t="s">
        <v>28</v>
      </c>
      <c r="N254" s="11" t="s">
        <v>62</v>
      </c>
      <c r="O254" s="11" t="s">
        <v>568</v>
      </c>
      <c r="P254" s="11" t="s">
        <v>58</v>
      </c>
      <c r="Q254" s="20">
        <v>39851.0</v>
      </c>
      <c r="R254" s="17">
        <f t="shared" si="2"/>
        <v>12.43296129</v>
      </c>
      <c r="S254" s="9"/>
      <c r="T254" s="9"/>
      <c r="U254" s="9"/>
      <c r="V254" s="9"/>
      <c r="W254" s="9"/>
      <c r="X254" s="9"/>
      <c r="Y254" s="9"/>
      <c r="Z254" s="9"/>
      <c r="AA254" s="9"/>
      <c r="AB254" s="9" t="str">
        <f>IFERROR(__xludf.DUMMYFUNCTION("""COMPUTED_VALUE"""),"Tony Sayre")</f>
        <v>Tony Sayre</v>
      </c>
      <c r="AC254" s="9"/>
      <c r="AD254" s="9"/>
      <c r="AE254" s="9">
        <f t="shared" si="8"/>
        <v>2</v>
      </c>
      <c r="AF254" s="19">
        <f t="shared" si="13"/>
        <v>4</v>
      </c>
      <c r="AG254" s="9"/>
      <c r="AH254" s="9"/>
      <c r="AI254" s="9"/>
    </row>
    <row r="255" ht="15.0" customHeight="1">
      <c r="A255" s="11">
        <v>254.0</v>
      </c>
      <c r="B255" s="12">
        <f t="shared" si="46"/>
        <v>39849</v>
      </c>
      <c r="C255" s="13">
        <v>2009.0</v>
      </c>
      <c r="D255" s="11" t="s">
        <v>44</v>
      </c>
      <c r="E255" s="11">
        <v>6.0</v>
      </c>
      <c r="F255" s="21" t="s">
        <v>569</v>
      </c>
      <c r="G255" s="15">
        <v>0.09192387703212881</v>
      </c>
      <c r="H255" s="11" t="s">
        <v>33</v>
      </c>
      <c r="I255" s="16">
        <v>3.192</v>
      </c>
      <c r="J255" s="11" t="s">
        <v>567</v>
      </c>
      <c r="K255" s="11" t="s">
        <v>61</v>
      </c>
      <c r="L255" s="11" t="s">
        <v>36</v>
      </c>
      <c r="M255" s="11" t="s">
        <v>66</v>
      </c>
      <c r="N255" s="11" t="s">
        <v>80</v>
      </c>
      <c r="O255" s="11" t="s">
        <v>570</v>
      </c>
      <c r="P255" s="11" t="s">
        <v>38</v>
      </c>
      <c r="Q255" s="20">
        <v>39851.0</v>
      </c>
      <c r="R255" s="17">
        <f t="shared" si="2"/>
        <v>108.3407461</v>
      </c>
      <c r="S255" s="9"/>
      <c r="T255" s="9"/>
      <c r="U255" s="9"/>
      <c r="V255" s="9"/>
      <c r="W255" s="9"/>
      <c r="X255" s="9"/>
      <c r="Y255" s="9"/>
      <c r="Z255" s="9"/>
      <c r="AA255" s="9"/>
      <c r="AB255" s="9" t="str">
        <f>IFERROR(__xludf.DUMMYFUNCTION("""COMPUTED_VALUE"""),"Christopher Conant")</f>
        <v>Christopher Conant</v>
      </c>
      <c r="AC255" s="9"/>
      <c r="AD255" s="9"/>
      <c r="AE255" s="9">
        <f t="shared" si="8"/>
        <v>2</v>
      </c>
      <c r="AF255" s="19">
        <f t="shared" si="13"/>
        <v>4</v>
      </c>
      <c r="AG255" s="9"/>
      <c r="AH255" s="9"/>
      <c r="AI255" s="9"/>
    </row>
    <row r="256" ht="15.0" customHeight="1">
      <c r="A256" s="11">
        <v>255.0</v>
      </c>
      <c r="B256" s="12">
        <f t="shared" si="46"/>
        <v>39849</v>
      </c>
      <c r="C256" s="13">
        <v>2009.0</v>
      </c>
      <c r="D256" s="11" t="s">
        <v>39</v>
      </c>
      <c r="E256" s="11">
        <v>29.0</v>
      </c>
      <c r="F256" s="21" t="s">
        <v>552</v>
      </c>
      <c r="G256" s="15">
        <v>0.012142857142857157</v>
      </c>
      <c r="H256" s="11" t="s">
        <v>33</v>
      </c>
      <c r="I256" s="16">
        <v>1.4160000000000001</v>
      </c>
      <c r="J256" s="11" t="s">
        <v>571</v>
      </c>
      <c r="K256" s="11" t="s">
        <v>65</v>
      </c>
      <c r="L256" s="11" t="s">
        <v>27</v>
      </c>
      <c r="M256" s="11" t="s">
        <v>28</v>
      </c>
      <c r="N256" s="11" t="s">
        <v>56</v>
      </c>
      <c r="O256" s="11" t="s">
        <v>572</v>
      </c>
      <c r="P256" s="11" t="s">
        <v>58</v>
      </c>
      <c r="Q256" s="20">
        <v>39852.0</v>
      </c>
      <c r="R256" s="17">
        <f t="shared" si="2"/>
        <v>2.552622857</v>
      </c>
      <c r="S256" s="9"/>
      <c r="T256" s="9"/>
      <c r="U256" s="9"/>
      <c r="V256" s="9"/>
      <c r="W256" s="9"/>
      <c r="X256" s="9"/>
      <c r="Y256" s="9"/>
      <c r="Z256" s="9"/>
      <c r="AA256" s="9"/>
      <c r="AB256" s="9" t="str">
        <f>IFERROR(__xludf.DUMMYFUNCTION("""COMPUTED_VALUE"""),"Emily Phan")</f>
        <v>Emily Phan</v>
      </c>
      <c r="AC256" s="9"/>
      <c r="AD256" s="9"/>
      <c r="AE256" s="9">
        <f t="shared" si="8"/>
        <v>1</v>
      </c>
      <c r="AF256" s="19">
        <f t="shared" si="13"/>
        <v>5</v>
      </c>
      <c r="AG256" s="9"/>
      <c r="AH256" s="9"/>
      <c r="AI256" s="9"/>
    </row>
    <row r="257" ht="15.0" customHeight="1">
      <c r="A257" s="11">
        <v>256.0</v>
      </c>
      <c r="B257" s="12">
        <f t="shared" si="46"/>
        <v>39849</v>
      </c>
      <c r="C257" s="13">
        <v>2009.0</v>
      </c>
      <c r="D257" s="11" t="s">
        <v>102</v>
      </c>
      <c r="E257" s="11">
        <v>15.0</v>
      </c>
      <c r="F257" s="21" t="s">
        <v>573</v>
      </c>
      <c r="G257" s="15">
        <v>0.09471159337521419</v>
      </c>
      <c r="H257" s="11" t="s">
        <v>33</v>
      </c>
      <c r="I257" s="16">
        <v>10.016</v>
      </c>
      <c r="J257" s="11" t="s">
        <v>574</v>
      </c>
      <c r="K257" s="11" t="s">
        <v>61</v>
      </c>
      <c r="L257" s="11" t="s">
        <v>48</v>
      </c>
      <c r="M257" s="11" t="s">
        <v>49</v>
      </c>
      <c r="N257" s="11" t="s">
        <v>73</v>
      </c>
      <c r="O257" s="11" t="s">
        <v>575</v>
      </c>
      <c r="P257" s="11" t="s">
        <v>38</v>
      </c>
      <c r="Q257" s="20">
        <v>39852.0</v>
      </c>
      <c r="R257" s="17">
        <f t="shared" si="2"/>
        <v>15.01330294</v>
      </c>
      <c r="S257" s="9"/>
      <c r="T257" s="9"/>
      <c r="U257" s="9"/>
      <c r="V257" s="9"/>
      <c r="W257" s="9"/>
      <c r="X257" s="9"/>
      <c r="Y257" s="9"/>
      <c r="Z257" s="9"/>
      <c r="AA257" s="9"/>
      <c r="AB257" s="9" t="str">
        <f>IFERROR(__xludf.DUMMYFUNCTION("""COMPUTED_VALUE"""),"Tonja Turnell")</f>
        <v>Tonja Turnell</v>
      </c>
      <c r="AC257" s="9"/>
      <c r="AD257" s="9"/>
      <c r="AE257" s="9">
        <f t="shared" si="8"/>
        <v>4</v>
      </c>
      <c r="AF257" s="19">
        <f t="shared" si="13"/>
        <v>4</v>
      </c>
      <c r="AG257" s="9"/>
      <c r="AH257" s="9"/>
      <c r="AI257" s="9"/>
    </row>
    <row r="258" ht="15.0" customHeight="1">
      <c r="A258" s="11">
        <v>257.0</v>
      </c>
      <c r="B258" s="12">
        <f t="shared" si="46"/>
        <v>39849</v>
      </c>
      <c r="C258" s="13">
        <v>2009.0</v>
      </c>
      <c r="D258" s="11" t="s">
        <v>39</v>
      </c>
      <c r="E258" s="11">
        <v>23.0</v>
      </c>
      <c r="F258" s="21" t="s">
        <v>408</v>
      </c>
      <c r="G258" s="15">
        <v>0.05730803499700567</v>
      </c>
      <c r="H258" s="11" t="s">
        <v>45</v>
      </c>
      <c r="I258" s="16">
        <v>18.552000000000003</v>
      </c>
      <c r="J258" s="11" t="s">
        <v>576</v>
      </c>
      <c r="K258" s="11" t="s">
        <v>117</v>
      </c>
      <c r="L258" s="11" t="s">
        <v>36</v>
      </c>
      <c r="M258" s="11" t="s">
        <v>28</v>
      </c>
      <c r="N258" s="11" t="s">
        <v>197</v>
      </c>
      <c r="O258" s="11" t="s">
        <v>409</v>
      </c>
      <c r="P258" s="11" t="s">
        <v>52</v>
      </c>
      <c r="Q258" s="20">
        <v>39852.0</v>
      </c>
      <c r="R258" s="17">
        <f t="shared" si="2"/>
        <v>369.8633071</v>
      </c>
      <c r="S258" s="9"/>
      <c r="T258" s="9"/>
      <c r="U258" s="9"/>
      <c r="V258" s="9"/>
      <c r="W258" s="9"/>
      <c r="X258" s="9"/>
      <c r="Y258" s="9"/>
      <c r="Z258" s="9"/>
      <c r="AA258" s="9"/>
      <c r="AB258" s="9" t="str">
        <f>IFERROR(__xludf.DUMMYFUNCTION("""COMPUTED_VALUE"""),"Lena Cacioppo")</f>
        <v>Lena Cacioppo</v>
      </c>
      <c r="AC258" s="9"/>
      <c r="AD258" s="9"/>
      <c r="AE258" s="9">
        <f t="shared" si="8"/>
        <v>2</v>
      </c>
      <c r="AF258" s="19" t="b">
        <f t="shared" si="13"/>
        <v>0</v>
      </c>
      <c r="AG258" s="9"/>
      <c r="AH258" s="9"/>
      <c r="AI258" s="9"/>
    </row>
    <row r="259" ht="15.0" customHeight="1">
      <c r="A259" s="11">
        <v>258.0</v>
      </c>
      <c r="B259" s="12">
        <f t="shared" ref="B259:B264" si="47">DATE(2012,12,31)-1424</f>
        <v>39850</v>
      </c>
      <c r="C259" s="13">
        <v>2009.0</v>
      </c>
      <c r="D259" s="11" t="s">
        <v>32</v>
      </c>
      <c r="E259" s="11">
        <v>30.0</v>
      </c>
      <c r="F259" s="21" t="s">
        <v>577</v>
      </c>
      <c r="G259" s="15">
        <v>0.02130528627216131</v>
      </c>
      <c r="H259" s="11" t="s">
        <v>45</v>
      </c>
      <c r="I259" s="16">
        <v>53.336000000000006</v>
      </c>
      <c r="J259" s="11" t="s">
        <v>578</v>
      </c>
      <c r="K259" s="11" t="s">
        <v>65</v>
      </c>
      <c r="L259" s="11" t="s">
        <v>27</v>
      </c>
      <c r="M259" s="11" t="s">
        <v>49</v>
      </c>
      <c r="N259" s="11" t="s">
        <v>85</v>
      </c>
      <c r="O259" s="11" t="s">
        <v>579</v>
      </c>
      <c r="P259" s="11" t="s">
        <v>87</v>
      </c>
      <c r="Q259" s="20">
        <v>39852.0</v>
      </c>
      <c r="R259" s="17">
        <f t="shared" si="2"/>
        <v>167.1258241</v>
      </c>
      <c r="S259" s="9"/>
      <c r="T259" s="9"/>
      <c r="U259" s="9"/>
      <c r="V259" s="9"/>
      <c r="W259" s="9"/>
      <c r="X259" s="9"/>
      <c r="Y259" s="9"/>
      <c r="Z259" s="9"/>
      <c r="AA259" s="9"/>
      <c r="AB259" s="9" t="str">
        <f>IFERROR(__xludf.DUMMYFUNCTION("""COMPUTED_VALUE"""),"Pamela Stobb")</f>
        <v>Pamela Stobb</v>
      </c>
      <c r="AC259" s="9"/>
      <c r="AD259" s="9"/>
      <c r="AE259" s="9">
        <f t="shared" si="8"/>
        <v>1</v>
      </c>
      <c r="AF259" s="19">
        <f t="shared" si="13"/>
        <v>5</v>
      </c>
      <c r="AG259" s="9"/>
      <c r="AH259" s="9"/>
      <c r="AI259" s="9"/>
    </row>
    <row r="260" ht="15.0" customHeight="1">
      <c r="A260" s="11">
        <v>259.0</v>
      </c>
      <c r="B260" s="12">
        <f t="shared" si="47"/>
        <v>39850</v>
      </c>
      <c r="C260" s="13">
        <v>2009.0</v>
      </c>
      <c r="D260" s="11" t="s">
        <v>39</v>
      </c>
      <c r="E260" s="11">
        <v>2.0</v>
      </c>
      <c r="F260" s="21" t="s">
        <v>580</v>
      </c>
      <c r="G260" s="15">
        <v>0.08391399416909615</v>
      </c>
      <c r="H260" s="11" t="s">
        <v>33</v>
      </c>
      <c r="I260" s="16">
        <v>11.192</v>
      </c>
      <c r="J260" s="11" t="s">
        <v>581</v>
      </c>
      <c r="K260" s="11" t="s">
        <v>47</v>
      </c>
      <c r="L260" s="11" t="s">
        <v>36</v>
      </c>
      <c r="M260" s="11" t="s">
        <v>66</v>
      </c>
      <c r="N260" s="11" t="s">
        <v>69</v>
      </c>
      <c r="O260" s="11" t="s">
        <v>582</v>
      </c>
      <c r="P260" s="11" t="s">
        <v>75</v>
      </c>
      <c r="Q260" s="20">
        <v>39852.0</v>
      </c>
      <c r="R260" s="17">
        <f t="shared" si="2"/>
        <v>168.750371</v>
      </c>
      <c r="S260" s="9"/>
      <c r="T260" s="9"/>
      <c r="U260" s="9"/>
      <c r="V260" s="9"/>
      <c r="W260" s="9"/>
      <c r="X260" s="9"/>
      <c r="Y260" s="9"/>
      <c r="Z260" s="9"/>
      <c r="AA260" s="9"/>
      <c r="AB260" s="9" t="str">
        <f>IFERROR(__xludf.DUMMYFUNCTION("""COMPUTED_VALUE"""),"Kelly Williams")</f>
        <v>Kelly Williams</v>
      </c>
      <c r="AC260" s="9"/>
      <c r="AD260" s="9"/>
      <c r="AE260" s="9">
        <f t="shared" si="8"/>
        <v>2</v>
      </c>
      <c r="AF260" s="19">
        <f t="shared" si="13"/>
        <v>3</v>
      </c>
      <c r="AG260" s="9"/>
      <c r="AH260" s="9"/>
      <c r="AI260" s="9"/>
    </row>
    <row r="261" ht="15.0" customHeight="1">
      <c r="A261" s="11">
        <v>260.0</v>
      </c>
      <c r="B261" s="12">
        <f t="shared" si="47"/>
        <v>39850</v>
      </c>
      <c r="C261" s="13">
        <v>2009.0</v>
      </c>
      <c r="D261" s="11" t="s">
        <v>32</v>
      </c>
      <c r="E261" s="11">
        <v>16.0</v>
      </c>
      <c r="F261" s="21" t="s">
        <v>583</v>
      </c>
      <c r="G261" s="15">
        <v>0.03165735567970198</v>
      </c>
      <c r="H261" s="11" t="s">
        <v>33</v>
      </c>
      <c r="I261" s="16">
        <v>55.2</v>
      </c>
      <c r="J261" s="11" t="s">
        <v>584</v>
      </c>
      <c r="K261" s="11" t="s">
        <v>65</v>
      </c>
      <c r="L261" s="11" t="s">
        <v>36</v>
      </c>
      <c r="M261" s="11" t="s">
        <v>49</v>
      </c>
      <c r="N261" s="11" t="s">
        <v>85</v>
      </c>
      <c r="O261" s="11" t="s">
        <v>585</v>
      </c>
      <c r="P261" s="11" t="s">
        <v>31</v>
      </c>
      <c r="Q261" s="20">
        <v>39852.0</v>
      </c>
      <c r="R261" s="17">
        <f t="shared" si="2"/>
        <v>37.86219739</v>
      </c>
      <c r="S261" s="9"/>
      <c r="T261" s="9"/>
      <c r="U261" s="9"/>
      <c r="V261" s="9"/>
      <c r="W261" s="9"/>
      <c r="X261" s="9"/>
      <c r="Y261" s="9"/>
      <c r="Z261" s="9"/>
      <c r="AA261" s="9"/>
      <c r="AB261" s="9" t="str">
        <f>IFERROR(__xludf.DUMMYFUNCTION("""COMPUTED_VALUE"""),"Jack O'Briant")</f>
        <v>Jack O'Briant</v>
      </c>
      <c r="AC261" s="9"/>
      <c r="AD261" s="9"/>
      <c r="AE261" s="9">
        <f t="shared" si="8"/>
        <v>2</v>
      </c>
      <c r="AF261" s="19">
        <f t="shared" si="13"/>
        <v>5</v>
      </c>
      <c r="AG261" s="9"/>
      <c r="AH261" s="9"/>
      <c r="AI261" s="9"/>
    </row>
    <row r="262" ht="15.0" customHeight="1">
      <c r="A262" s="11">
        <v>261.0</v>
      </c>
      <c r="B262" s="12">
        <f t="shared" si="47"/>
        <v>39850</v>
      </c>
      <c r="C262" s="13">
        <v>2009.0</v>
      </c>
      <c r="D262" s="11" t="s">
        <v>32</v>
      </c>
      <c r="E262" s="11">
        <v>4.0</v>
      </c>
      <c r="F262" s="21" t="s">
        <v>100</v>
      </c>
      <c r="G262" s="15">
        <v>0.0315980883552861</v>
      </c>
      <c r="H262" s="11" t="s">
        <v>24</v>
      </c>
      <c r="I262" s="16">
        <v>7.192</v>
      </c>
      <c r="J262" s="11" t="s">
        <v>584</v>
      </c>
      <c r="K262" s="11" t="s">
        <v>65</v>
      </c>
      <c r="L262" s="11" t="s">
        <v>36</v>
      </c>
      <c r="M262" s="11" t="s">
        <v>66</v>
      </c>
      <c r="N262" s="11" t="s">
        <v>80</v>
      </c>
      <c r="O262" s="11" t="s">
        <v>586</v>
      </c>
      <c r="P262" s="11" t="s">
        <v>38</v>
      </c>
      <c r="Q262" s="20">
        <v>39852.0</v>
      </c>
      <c r="R262" s="17">
        <f t="shared" si="2"/>
        <v>26.25143902</v>
      </c>
      <c r="S262" s="9"/>
      <c r="T262" s="9"/>
      <c r="U262" s="9"/>
      <c r="V262" s="9"/>
      <c r="W262" s="9"/>
      <c r="X262" s="9"/>
      <c r="Y262" s="9"/>
      <c r="Z262" s="9"/>
      <c r="AA262" s="9"/>
      <c r="AB262" s="9" t="str">
        <f>IFERROR(__xludf.DUMMYFUNCTION("""COMPUTED_VALUE"""),"Dean Braden")</f>
        <v>Dean Braden</v>
      </c>
      <c r="AC262" s="9"/>
      <c r="AD262" s="9"/>
      <c r="AE262" s="9">
        <f t="shared" si="8"/>
        <v>2</v>
      </c>
      <c r="AF262" s="19">
        <f t="shared" si="13"/>
        <v>5</v>
      </c>
      <c r="AG262" s="9"/>
      <c r="AH262" s="9"/>
      <c r="AI262" s="9"/>
    </row>
    <row r="263" ht="15.0" customHeight="1">
      <c r="A263" s="11">
        <v>262.0</v>
      </c>
      <c r="B263" s="12">
        <f t="shared" si="47"/>
        <v>39850</v>
      </c>
      <c r="C263" s="13">
        <v>2009.0</v>
      </c>
      <c r="D263" s="11" t="s">
        <v>44</v>
      </c>
      <c r="E263" s="11">
        <v>45.0</v>
      </c>
      <c r="F263" s="21" t="s">
        <v>513</v>
      </c>
      <c r="G263" s="15">
        <v>0.030404548669967855</v>
      </c>
      <c r="H263" s="11" t="s">
        <v>45</v>
      </c>
      <c r="I263" s="16">
        <v>24.0</v>
      </c>
      <c r="J263" s="11" t="s">
        <v>78</v>
      </c>
      <c r="K263" s="11" t="s">
        <v>35</v>
      </c>
      <c r="L263" s="11" t="s">
        <v>48</v>
      </c>
      <c r="M263" s="11" t="s">
        <v>49</v>
      </c>
      <c r="N263" s="11" t="s">
        <v>50</v>
      </c>
      <c r="O263" s="11" t="s">
        <v>515</v>
      </c>
      <c r="P263" s="11" t="s">
        <v>52</v>
      </c>
      <c r="Q263" s="20">
        <v>39853.0</v>
      </c>
      <c r="R263" s="17">
        <f t="shared" si="2"/>
        <v>220.8738438</v>
      </c>
      <c r="S263" s="9"/>
      <c r="T263" s="9"/>
      <c r="U263" s="9"/>
      <c r="V263" s="9"/>
      <c r="W263" s="9"/>
      <c r="X263" s="9"/>
      <c r="Y263" s="9"/>
      <c r="Z263" s="9"/>
      <c r="AA263" s="9"/>
      <c r="AB263" s="9" t="str">
        <f>IFERROR(__xludf.DUMMYFUNCTION("""COMPUTED_VALUE"""),"William Brown")</f>
        <v>William Brown</v>
      </c>
      <c r="AC263" s="9"/>
      <c r="AD263" s="9"/>
      <c r="AE263" s="9">
        <f t="shared" si="8"/>
        <v>4</v>
      </c>
      <c r="AF263" s="19">
        <f t="shared" si="13"/>
        <v>2</v>
      </c>
      <c r="AG263" s="9"/>
      <c r="AH263" s="9"/>
      <c r="AI263" s="9"/>
    </row>
    <row r="264" ht="15.0" customHeight="1">
      <c r="A264" s="11">
        <v>263.0</v>
      </c>
      <c r="B264" s="12">
        <f t="shared" si="47"/>
        <v>39850</v>
      </c>
      <c r="C264" s="13">
        <v>2009.0</v>
      </c>
      <c r="D264" s="11" t="s">
        <v>44</v>
      </c>
      <c r="E264" s="11">
        <v>24.0</v>
      </c>
      <c r="F264" s="21" t="s">
        <v>178</v>
      </c>
      <c r="G264" s="15">
        <v>0.030886075949366973</v>
      </c>
      <c r="H264" s="11" t="s">
        <v>33</v>
      </c>
      <c r="I264" s="16">
        <v>3.192</v>
      </c>
      <c r="J264" s="11" t="s">
        <v>78</v>
      </c>
      <c r="K264" s="11" t="s">
        <v>35</v>
      </c>
      <c r="L264" s="11" t="s">
        <v>48</v>
      </c>
      <c r="M264" s="11" t="s">
        <v>66</v>
      </c>
      <c r="N264" s="11" t="s">
        <v>80</v>
      </c>
      <c r="O264" s="11" t="s">
        <v>587</v>
      </c>
      <c r="P264" s="11" t="s">
        <v>38</v>
      </c>
      <c r="Q264" s="20">
        <v>39853.0</v>
      </c>
      <c r="R264" s="17">
        <f t="shared" si="2"/>
        <v>48.94800608</v>
      </c>
      <c r="S264" s="9"/>
      <c r="T264" s="9"/>
      <c r="U264" s="9"/>
      <c r="V264" s="9"/>
      <c r="W264" s="9"/>
      <c r="X264" s="9"/>
      <c r="Y264" s="9"/>
      <c r="Z264" s="9"/>
      <c r="AA264" s="9"/>
      <c r="AB264" s="9" t="str">
        <f>IFERROR(__xludf.DUMMYFUNCTION("""COMPUTED_VALUE"""),"Nat Carroll")</f>
        <v>Nat Carroll</v>
      </c>
      <c r="AC264" s="9"/>
      <c r="AD264" s="9"/>
      <c r="AE264" s="9">
        <f t="shared" si="8"/>
        <v>4</v>
      </c>
      <c r="AF264" s="19">
        <f t="shared" si="13"/>
        <v>2</v>
      </c>
      <c r="AG264" s="9"/>
      <c r="AH264" s="9"/>
      <c r="AI264" s="9"/>
    </row>
    <row r="265" ht="15.0" customHeight="1">
      <c r="A265" s="11">
        <v>264.0</v>
      </c>
      <c r="B265" s="12">
        <f t="shared" ref="B265:B269" si="48">DATE(2012,12,31)-1423</f>
        <v>39851</v>
      </c>
      <c r="C265" s="13">
        <v>2009.0</v>
      </c>
      <c r="D265" s="11" t="s">
        <v>44</v>
      </c>
      <c r="E265" s="11">
        <v>30.0</v>
      </c>
      <c r="F265" s="21" t="s">
        <v>306</v>
      </c>
      <c r="G265" s="15">
        <v>0.04499683744465531</v>
      </c>
      <c r="H265" s="11" t="s">
        <v>33</v>
      </c>
      <c r="I265" s="16">
        <v>6.944</v>
      </c>
      <c r="J265" s="11" t="s">
        <v>588</v>
      </c>
      <c r="K265" s="11" t="s">
        <v>47</v>
      </c>
      <c r="L265" s="11" t="s">
        <v>41</v>
      </c>
      <c r="M265" s="11" t="s">
        <v>28</v>
      </c>
      <c r="N265" s="11" t="s">
        <v>56</v>
      </c>
      <c r="O265" s="11" t="s">
        <v>401</v>
      </c>
      <c r="P265" s="11" t="s">
        <v>38</v>
      </c>
      <c r="Q265" s="20">
        <v>39853.0</v>
      </c>
      <c r="R265" s="17">
        <f t="shared" si="2"/>
        <v>27.17556999</v>
      </c>
      <c r="S265" s="9"/>
      <c r="T265" s="9"/>
      <c r="U265" s="9"/>
      <c r="V265" s="9"/>
      <c r="W265" s="9"/>
      <c r="X265" s="9"/>
      <c r="Y265" s="9"/>
      <c r="Z265" s="9"/>
      <c r="AA265" s="9"/>
      <c r="AB265" s="9" t="str">
        <f>IFERROR(__xludf.DUMMYFUNCTION("""COMPUTED_VALUE"""),"Michael Oakman")</f>
        <v>Michael Oakman</v>
      </c>
      <c r="AC265" s="9"/>
      <c r="AD265" s="9"/>
      <c r="AE265" s="9">
        <f t="shared" si="8"/>
        <v>3</v>
      </c>
      <c r="AF265" s="19">
        <f t="shared" si="13"/>
        <v>3</v>
      </c>
      <c r="AG265" s="9"/>
      <c r="AH265" s="9"/>
      <c r="AI265" s="9"/>
    </row>
    <row r="266" ht="15.0" customHeight="1">
      <c r="A266" s="11">
        <v>265.0</v>
      </c>
      <c r="B266" s="12">
        <f t="shared" si="48"/>
        <v>39851</v>
      </c>
      <c r="C266" s="13">
        <v>2009.0</v>
      </c>
      <c r="D266" s="11" t="s">
        <v>44</v>
      </c>
      <c r="E266" s="11">
        <v>28.0</v>
      </c>
      <c r="F266" s="21" t="s">
        <v>128</v>
      </c>
      <c r="G266" s="15">
        <v>0.0751264993976218</v>
      </c>
      <c r="H266" s="11" t="s">
        <v>33</v>
      </c>
      <c r="I266" s="16">
        <v>6.152000000000001</v>
      </c>
      <c r="J266" s="11" t="s">
        <v>588</v>
      </c>
      <c r="K266" s="11" t="s">
        <v>47</v>
      </c>
      <c r="L266" s="11" t="s">
        <v>41</v>
      </c>
      <c r="M266" s="11" t="s">
        <v>66</v>
      </c>
      <c r="N266" s="11" t="s">
        <v>80</v>
      </c>
      <c r="O266" s="11" t="s">
        <v>589</v>
      </c>
      <c r="P266" s="11" t="s">
        <v>38</v>
      </c>
      <c r="Q266" s="20">
        <v>39853.0</v>
      </c>
      <c r="R266" s="17">
        <f t="shared" si="2"/>
        <v>265.2981139</v>
      </c>
      <c r="S266" s="9"/>
      <c r="T266" s="9"/>
      <c r="U266" s="9"/>
      <c r="V266" s="9"/>
      <c r="W266" s="9"/>
      <c r="X266" s="9"/>
      <c r="Y266" s="9"/>
      <c r="Z266" s="9"/>
      <c r="AA266" s="9"/>
      <c r="AB266" s="9" t="str">
        <f>IFERROR(__xludf.DUMMYFUNCTION("""COMPUTED_VALUE"""),"Troy Staebel")</f>
        <v>Troy Staebel</v>
      </c>
      <c r="AC266" s="9"/>
      <c r="AD266" s="9"/>
      <c r="AE266" s="9">
        <f t="shared" si="8"/>
        <v>3</v>
      </c>
      <c r="AF266" s="19">
        <f t="shared" si="13"/>
        <v>3</v>
      </c>
      <c r="AG266" s="9"/>
      <c r="AH266" s="9"/>
      <c r="AI266" s="9"/>
    </row>
    <row r="267" ht="15.0" customHeight="1">
      <c r="A267" s="11">
        <v>266.0</v>
      </c>
      <c r="B267" s="12">
        <f t="shared" si="48"/>
        <v>39851</v>
      </c>
      <c r="C267" s="13">
        <v>2009.0</v>
      </c>
      <c r="D267" s="11" t="s">
        <v>102</v>
      </c>
      <c r="E267" s="11">
        <v>46.0</v>
      </c>
      <c r="F267" s="21" t="s">
        <v>135</v>
      </c>
      <c r="G267" s="15">
        <v>0.06201522070015225</v>
      </c>
      <c r="H267" s="11" t="s">
        <v>33</v>
      </c>
      <c r="I267" s="16">
        <v>4.5280000000000005</v>
      </c>
      <c r="J267" s="11" t="s">
        <v>357</v>
      </c>
      <c r="K267" s="11" t="s">
        <v>65</v>
      </c>
      <c r="L267" s="11" t="s">
        <v>48</v>
      </c>
      <c r="M267" s="11" t="s">
        <v>28</v>
      </c>
      <c r="N267" s="11" t="s">
        <v>56</v>
      </c>
      <c r="O267" s="11" t="s">
        <v>590</v>
      </c>
      <c r="P267" s="11" t="s">
        <v>38</v>
      </c>
      <c r="Q267" s="20">
        <v>39853.0</v>
      </c>
      <c r="R267" s="17">
        <f t="shared" si="2"/>
        <v>19.10862592</v>
      </c>
      <c r="S267" s="9"/>
      <c r="T267" s="9"/>
      <c r="U267" s="9"/>
      <c r="V267" s="9"/>
      <c r="W267" s="9"/>
      <c r="X267" s="9"/>
      <c r="Y267" s="9"/>
      <c r="Z267" s="9"/>
      <c r="AA267" s="9"/>
      <c r="AB267" s="9" t="str">
        <f>IFERROR(__xludf.DUMMYFUNCTION("""COMPUTED_VALUE"""),"Tamara Chand")</f>
        <v>Tamara Chand</v>
      </c>
      <c r="AC267" s="9"/>
      <c r="AD267" s="9"/>
      <c r="AE267" s="9">
        <f t="shared" si="8"/>
        <v>4</v>
      </c>
      <c r="AF267" s="19">
        <f t="shared" si="13"/>
        <v>5</v>
      </c>
      <c r="AG267" s="9"/>
      <c r="AH267" s="9"/>
      <c r="AI267" s="9"/>
    </row>
    <row r="268" ht="15.0" customHeight="1">
      <c r="A268" s="11">
        <v>267.0</v>
      </c>
      <c r="B268" s="12">
        <f t="shared" si="48"/>
        <v>39851</v>
      </c>
      <c r="C268" s="13">
        <v>2009.0</v>
      </c>
      <c r="D268" s="11" t="s">
        <v>102</v>
      </c>
      <c r="E268" s="11">
        <v>14.0</v>
      </c>
      <c r="F268" s="21" t="s">
        <v>591</v>
      </c>
      <c r="G268" s="15">
        <v>0.03595318988297471</v>
      </c>
      <c r="H268" s="11" t="s">
        <v>33</v>
      </c>
      <c r="I268" s="16">
        <v>7.5760000000000005</v>
      </c>
      <c r="J268" s="11" t="s">
        <v>357</v>
      </c>
      <c r="K268" s="11" t="s">
        <v>65</v>
      </c>
      <c r="L268" s="11" t="s">
        <v>48</v>
      </c>
      <c r="M268" s="11" t="s">
        <v>28</v>
      </c>
      <c r="N268" s="11" t="s">
        <v>29</v>
      </c>
      <c r="O268" s="11" t="s">
        <v>592</v>
      </c>
      <c r="P268" s="11" t="s">
        <v>38</v>
      </c>
      <c r="Q268" s="20">
        <v>39854.0</v>
      </c>
      <c r="R268" s="17">
        <f t="shared" si="2"/>
        <v>9.18158182</v>
      </c>
      <c r="S268" s="9"/>
      <c r="T268" s="9"/>
      <c r="U268" s="9"/>
      <c r="V268" s="9"/>
      <c r="W268" s="9"/>
      <c r="X268" s="9"/>
      <c r="Y268" s="9"/>
      <c r="Z268" s="9"/>
      <c r="AA268" s="9"/>
      <c r="AB268" s="9" t="str">
        <f>IFERROR(__xludf.DUMMYFUNCTION("""COMPUTED_VALUE"""),"Dionis Lloyd")</f>
        <v>Dionis Lloyd</v>
      </c>
      <c r="AC268" s="9"/>
      <c r="AD268" s="9"/>
      <c r="AE268" s="9">
        <f t="shared" si="8"/>
        <v>4</v>
      </c>
      <c r="AF268" s="19">
        <f t="shared" si="13"/>
        <v>5</v>
      </c>
      <c r="AG268" s="9"/>
      <c r="AH268" s="9"/>
      <c r="AI268" s="9"/>
    </row>
    <row r="269" ht="15.0" customHeight="1">
      <c r="A269" s="11">
        <v>268.0</v>
      </c>
      <c r="B269" s="12">
        <f t="shared" si="48"/>
        <v>39851</v>
      </c>
      <c r="C269" s="13">
        <v>2009.0</v>
      </c>
      <c r="D269" s="11" t="s">
        <v>102</v>
      </c>
      <c r="E269" s="11">
        <v>46.0</v>
      </c>
      <c r="F269" s="21" t="s">
        <v>352</v>
      </c>
      <c r="G269" s="15">
        <v>0.06760963311882168</v>
      </c>
      <c r="H269" s="11" t="s">
        <v>33</v>
      </c>
      <c r="I269" s="16">
        <v>2.3920000000000003</v>
      </c>
      <c r="J269" s="11" t="s">
        <v>593</v>
      </c>
      <c r="K269" s="11" t="s">
        <v>65</v>
      </c>
      <c r="L269" s="11" t="s">
        <v>48</v>
      </c>
      <c r="M269" s="11" t="s">
        <v>28</v>
      </c>
      <c r="N269" s="11" t="s">
        <v>42</v>
      </c>
      <c r="O269" s="11" t="s">
        <v>594</v>
      </c>
      <c r="P269" s="11" t="s">
        <v>38</v>
      </c>
      <c r="Q269" s="20">
        <v>39854.0</v>
      </c>
      <c r="R269" s="17">
        <f t="shared" si="2"/>
        <v>95.01803751</v>
      </c>
      <c r="S269" s="9"/>
      <c r="T269" s="9"/>
      <c r="U269" s="9"/>
      <c r="V269" s="9"/>
      <c r="W269" s="9"/>
      <c r="X269" s="9"/>
      <c r="Y269" s="9"/>
      <c r="Z269" s="9"/>
      <c r="AA269" s="9"/>
      <c r="AB269" s="9" t="str">
        <f>IFERROR(__xludf.DUMMYFUNCTION("""COMPUTED_VALUE"""),"Dario Medina")</f>
        <v>Dario Medina</v>
      </c>
      <c r="AC269" s="9"/>
      <c r="AD269" s="9"/>
      <c r="AE269" s="9">
        <f t="shared" si="8"/>
        <v>4</v>
      </c>
      <c r="AF269" s="19">
        <f t="shared" si="13"/>
        <v>5</v>
      </c>
      <c r="AG269" s="9"/>
      <c r="AH269" s="9"/>
      <c r="AI269" s="9"/>
    </row>
    <row r="270" ht="15.0" customHeight="1">
      <c r="A270" s="11">
        <v>269.0</v>
      </c>
      <c r="B270" s="12">
        <f t="shared" ref="B270:B273" si="49">DATE(2012,12,31)-1422</f>
        <v>39852</v>
      </c>
      <c r="C270" s="13">
        <v>2009.0</v>
      </c>
      <c r="D270" s="11" t="s">
        <v>23</v>
      </c>
      <c r="E270" s="11">
        <v>4.0</v>
      </c>
      <c r="F270" s="21" t="s">
        <v>431</v>
      </c>
      <c r="G270" s="15">
        <v>0.07087027914614129</v>
      </c>
      <c r="H270" s="11" t="s">
        <v>24</v>
      </c>
      <c r="I270" s="16">
        <v>15.991999999999999</v>
      </c>
      <c r="J270" s="11" t="s">
        <v>595</v>
      </c>
      <c r="K270" s="11" t="s">
        <v>26</v>
      </c>
      <c r="L270" s="11" t="s">
        <v>41</v>
      </c>
      <c r="M270" s="11" t="s">
        <v>66</v>
      </c>
      <c r="N270" s="11" t="s">
        <v>67</v>
      </c>
      <c r="O270" s="11" t="s">
        <v>432</v>
      </c>
      <c r="P270" s="11" t="s">
        <v>38</v>
      </c>
      <c r="Q270" s="20">
        <v>39854.0</v>
      </c>
      <c r="R270" s="17">
        <f t="shared" si="2"/>
        <v>52.13161038</v>
      </c>
      <c r="S270" s="9"/>
      <c r="T270" s="9"/>
      <c r="U270" s="9"/>
      <c r="V270" s="9"/>
      <c r="W270" s="9"/>
      <c r="X270" s="9"/>
      <c r="Y270" s="9"/>
      <c r="Z270" s="9"/>
      <c r="AA270" s="9"/>
      <c r="AB270" s="9" t="str">
        <f>IFERROR(__xludf.DUMMYFUNCTION("""COMPUTED_VALUE"""),"Joe Kamberova")</f>
        <v>Joe Kamberova</v>
      </c>
      <c r="AC270" s="9"/>
      <c r="AD270" s="9"/>
      <c r="AE270" s="9">
        <f t="shared" si="8"/>
        <v>3</v>
      </c>
      <c r="AF270" s="19">
        <f t="shared" si="13"/>
        <v>1</v>
      </c>
      <c r="AG270" s="9"/>
      <c r="AH270" s="9"/>
      <c r="AI270" s="9"/>
    </row>
    <row r="271" ht="15.0" customHeight="1">
      <c r="A271" s="11">
        <v>270.0</v>
      </c>
      <c r="B271" s="12">
        <f t="shared" si="49"/>
        <v>39852</v>
      </c>
      <c r="C271" s="13">
        <v>2009.0</v>
      </c>
      <c r="D271" s="11" t="s">
        <v>102</v>
      </c>
      <c r="E271" s="11">
        <v>38.0</v>
      </c>
      <c r="F271" s="21" t="s">
        <v>596</v>
      </c>
      <c r="G271" s="15">
        <v>0.03781901790113323</v>
      </c>
      <c r="H271" s="11" t="s">
        <v>33</v>
      </c>
      <c r="I271" s="16">
        <v>12.072000000000001</v>
      </c>
      <c r="J271" s="11" t="s">
        <v>597</v>
      </c>
      <c r="K271" s="11" t="s">
        <v>26</v>
      </c>
      <c r="L271" s="11" t="s">
        <v>27</v>
      </c>
      <c r="M271" s="11" t="s">
        <v>28</v>
      </c>
      <c r="N271" s="11" t="s">
        <v>42</v>
      </c>
      <c r="O271" s="11" t="s">
        <v>598</v>
      </c>
      <c r="P271" s="11" t="s">
        <v>38</v>
      </c>
      <c r="Q271" s="20">
        <v>39855.0</v>
      </c>
      <c r="R271" s="17">
        <f t="shared" si="2"/>
        <v>22.15710366</v>
      </c>
      <c r="S271" s="9"/>
      <c r="T271" s="9"/>
      <c r="U271" s="9"/>
      <c r="V271" s="9"/>
      <c r="W271" s="9"/>
      <c r="X271" s="9"/>
      <c r="Y271" s="9"/>
      <c r="Z271" s="9"/>
      <c r="AA271" s="9"/>
      <c r="AB271" s="9" t="str">
        <f>IFERROR(__xludf.DUMMYFUNCTION("""COMPUTED_VALUE"""),"Christopher Martinez")</f>
        <v>Christopher Martinez</v>
      </c>
      <c r="AC271" s="9"/>
      <c r="AD271" s="9"/>
      <c r="AE271" s="9">
        <f t="shared" si="8"/>
        <v>1</v>
      </c>
      <c r="AF271" s="19">
        <f t="shared" si="13"/>
        <v>1</v>
      </c>
      <c r="AG271" s="9"/>
      <c r="AH271" s="9"/>
      <c r="AI271" s="9"/>
    </row>
    <row r="272" ht="15.0" customHeight="1">
      <c r="A272" s="11">
        <v>271.0</v>
      </c>
      <c r="B272" s="12">
        <f t="shared" si="49"/>
        <v>39852</v>
      </c>
      <c r="C272" s="13">
        <v>2009.0</v>
      </c>
      <c r="D272" s="11" t="s">
        <v>32</v>
      </c>
      <c r="E272" s="11">
        <v>20.0</v>
      </c>
      <c r="F272" s="21" t="s">
        <v>599</v>
      </c>
      <c r="G272" s="15">
        <v>0.09276407175422902</v>
      </c>
      <c r="H272" s="11" t="s">
        <v>24</v>
      </c>
      <c r="I272" s="16">
        <v>11.192</v>
      </c>
      <c r="J272" s="11" t="s">
        <v>600</v>
      </c>
      <c r="K272" s="11" t="s">
        <v>35</v>
      </c>
      <c r="L272" s="11" t="s">
        <v>41</v>
      </c>
      <c r="M272" s="11" t="s">
        <v>49</v>
      </c>
      <c r="N272" s="11" t="s">
        <v>73</v>
      </c>
      <c r="O272" s="11" t="s">
        <v>601</v>
      </c>
      <c r="P272" s="11" t="s">
        <v>75</v>
      </c>
      <c r="Q272" s="20">
        <v>39855.0</v>
      </c>
      <c r="R272" s="17">
        <f t="shared" si="2"/>
        <v>197.5125195</v>
      </c>
      <c r="S272" s="9"/>
      <c r="T272" s="9"/>
      <c r="U272" s="9"/>
      <c r="V272" s="9"/>
      <c r="W272" s="9"/>
      <c r="X272" s="9"/>
      <c r="Y272" s="9"/>
      <c r="Z272" s="9"/>
      <c r="AA272" s="9"/>
      <c r="AB272" s="9" t="str">
        <f>IFERROR(__xludf.DUMMYFUNCTION("""COMPUTED_VALUE"""),"Lynn Smith")</f>
        <v>Lynn Smith</v>
      </c>
      <c r="AC272" s="9"/>
      <c r="AD272" s="9"/>
      <c r="AE272" s="9">
        <f t="shared" si="8"/>
        <v>3</v>
      </c>
      <c r="AF272" s="19">
        <f t="shared" si="13"/>
        <v>2</v>
      </c>
      <c r="AG272" s="9"/>
      <c r="AH272" s="9"/>
      <c r="AI272" s="9"/>
    </row>
    <row r="273" ht="15.0" customHeight="1">
      <c r="A273" s="11">
        <v>272.0</v>
      </c>
      <c r="B273" s="12">
        <f t="shared" si="49"/>
        <v>39852</v>
      </c>
      <c r="C273" s="13">
        <v>2009.0</v>
      </c>
      <c r="D273" s="11" t="s">
        <v>102</v>
      </c>
      <c r="E273" s="11">
        <v>47.0</v>
      </c>
      <c r="F273" s="21" t="s">
        <v>183</v>
      </c>
      <c r="G273" s="15">
        <v>0.07219380226266597</v>
      </c>
      <c r="H273" s="11" t="s">
        <v>33</v>
      </c>
      <c r="I273" s="16">
        <v>7.192</v>
      </c>
      <c r="J273" s="11" t="s">
        <v>602</v>
      </c>
      <c r="K273" s="11" t="s">
        <v>26</v>
      </c>
      <c r="L273" s="11" t="s">
        <v>48</v>
      </c>
      <c r="M273" s="11" t="s">
        <v>66</v>
      </c>
      <c r="N273" s="11" t="s">
        <v>67</v>
      </c>
      <c r="O273" s="11" t="s">
        <v>505</v>
      </c>
      <c r="P273" s="11" t="s">
        <v>99</v>
      </c>
      <c r="Q273" s="20">
        <v>39855.0</v>
      </c>
      <c r="R273" s="17">
        <f t="shared" si="2"/>
        <v>54.46964626</v>
      </c>
      <c r="S273" s="9"/>
      <c r="T273" s="9"/>
      <c r="U273" s="9"/>
      <c r="V273" s="9"/>
      <c r="W273" s="9"/>
      <c r="X273" s="9"/>
      <c r="Y273" s="9"/>
      <c r="Z273" s="9"/>
      <c r="AA273" s="9"/>
      <c r="AB273" s="9" t="str">
        <f>IFERROR(__xludf.DUMMYFUNCTION("""COMPUTED_VALUE"""),"Rick Huthwaite")</f>
        <v>Rick Huthwaite</v>
      </c>
      <c r="AC273" s="9"/>
      <c r="AD273" s="9"/>
      <c r="AE273" s="9">
        <f t="shared" si="8"/>
        <v>4</v>
      </c>
      <c r="AF273" s="19">
        <f t="shared" si="13"/>
        <v>1</v>
      </c>
      <c r="AG273" s="9"/>
      <c r="AH273" s="9"/>
      <c r="AI273" s="9"/>
    </row>
    <row r="274" ht="15.0" customHeight="1">
      <c r="A274" s="11">
        <v>273.0</v>
      </c>
      <c r="B274" s="12">
        <f>DATE(2012,12,31)-1421</f>
        <v>39853</v>
      </c>
      <c r="C274" s="13">
        <v>2009.0</v>
      </c>
      <c r="D274" s="11" t="s">
        <v>44</v>
      </c>
      <c r="E274" s="11">
        <v>43.0</v>
      </c>
      <c r="F274" s="21" t="s">
        <v>496</v>
      </c>
      <c r="G274" s="15">
        <v>0.01136560110198066</v>
      </c>
      <c r="H274" s="11" t="s">
        <v>45</v>
      </c>
      <c r="I274" s="16">
        <v>48.160000000000004</v>
      </c>
      <c r="J274" s="11" t="s">
        <v>603</v>
      </c>
      <c r="K274" s="11" t="s">
        <v>61</v>
      </c>
      <c r="L274" s="11" t="s">
        <v>48</v>
      </c>
      <c r="M274" s="11" t="s">
        <v>49</v>
      </c>
      <c r="N274" s="11" t="s">
        <v>156</v>
      </c>
      <c r="O274" s="11" t="s">
        <v>497</v>
      </c>
      <c r="P274" s="11" t="s">
        <v>87</v>
      </c>
      <c r="Q274" s="20">
        <v>39855.0</v>
      </c>
      <c r="R274" s="17">
        <f t="shared" si="2"/>
        <v>118.2802195</v>
      </c>
      <c r="S274" s="9"/>
      <c r="T274" s="9"/>
      <c r="U274" s="9"/>
      <c r="V274" s="9"/>
      <c r="W274" s="9"/>
      <c r="X274" s="9"/>
      <c r="Y274" s="9"/>
      <c r="Z274" s="9"/>
      <c r="AA274" s="9"/>
      <c r="AB274" s="9" t="str">
        <f>IFERROR(__xludf.DUMMYFUNCTION("""COMPUTED_VALUE"""),"Liz Pelletier")</f>
        <v>Liz Pelletier</v>
      </c>
      <c r="AC274" s="9"/>
      <c r="AD274" s="9"/>
      <c r="AE274" s="9">
        <f t="shared" si="8"/>
        <v>4</v>
      </c>
      <c r="AF274" s="19">
        <f t="shared" si="13"/>
        <v>4</v>
      </c>
      <c r="AG274" s="9"/>
      <c r="AH274" s="9"/>
      <c r="AI274" s="9"/>
    </row>
    <row r="275" ht="15.0" customHeight="1">
      <c r="A275" s="11">
        <v>274.0</v>
      </c>
      <c r="B275" s="12">
        <f t="shared" ref="B275:B279" si="50">DATE(2012,12,31)-1420</f>
        <v>39854</v>
      </c>
      <c r="C275" s="13">
        <v>2009.0</v>
      </c>
      <c r="D275" s="11" t="s">
        <v>32</v>
      </c>
      <c r="E275" s="11">
        <v>41.0</v>
      </c>
      <c r="F275" s="21" t="s">
        <v>259</v>
      </c>
      <c r="G275" s="15">
        <v>0.0437732760384694</v>
      </c>
      <c r="H275" s="11" t="s">
        <v>33</v>
      </c>
      <c r="I275" s="16">
        <v>4.008</v>
      </c>
      <c r="J275" s="11" t="s">
        <v>604</v>
      </c>
      <c r="K275" s="11" t="s">
        <v>83</v>
      </c>
      <c r="L275" s="11" t="s">
        <v>27</v>
      </c>
      <c r="M275" s="11" t="s">
        <v>28</v>
      </c>
      <c r="N275" s="11" t="s">
        <v>56</v>
      </c>
      <c r="O275" s="11" t="s">
        <v>260</v>
      </c>
      <c r="P275" s="11" t="s">
        <v>38</v>
      </c>
      <c r="Q275" s="20">
        <v>39856.0</v>
      </c>
      <c r="R275" s="17">
        <f t="shared" si="2"/>
        <v>20.45560208</v>
      </c>
      <c r="S275" s="9"/>
      <c r="T275" s="9"/>
      <c r="U275" s="9"/>
      <c r="V275" s="9"/>
      <c r="W275" s="9"/>
      <c r="X275" s="9"/>
      <c r="Y275" s="9"/>
      <c r="Z275" s="9"/>
      <c r="AA275" s="9"/>
      <c r="AB275" s="9" t="str">
        <f>IFERROR(__xludf.DUMMYFUNCTION("""COMPUTED_VALUE"""),"Jennifer Ferguson")</f>
        <v>Jennifer Ferguson</v>
      </c>
      <c r="AC275" s="9"/>
      <c r="AD275" s="9"/>
      <c r="AE275" s="9">
        <f t="shared" si="8"/>
        <v>1</v>
      </c>
      <c r="AF275" s="19" t="b">
        <f t="shared" si="13"/>
        <v>0</v>
      </c>
      <c r="AG275" s="9"/>
      <c r="AH275" s="9"/>
      <c r="AI275" s="9"/>
    </row>
    <row r="276" ht="15.0" customHeight="1">
      <c r="A276" s="11">
        <v>275.0</v>
      </c>
      <c r="B276" s="12">
        <f t="shared" si="50"/>
        <v>39854</v>
      </c>
      <c r="C276" s="13">
        <v>2009.0</v>
      </c>
      <c r="D276" s="11" t="s">
        <v>39</v>
      </c>
      <c r="E276" s="11">
        <v>7.0</v>
      </c>
      <c r="F276" s="21" t="s">
        <v>605</v>
      </c>
      <c r="G276" s="15">
        <v>0.02906015037593997</v>
      </c>
      <c r="H276" s="11" t="s">
        <v>33</v>
      </c>
      <c r="I276" s="16">
        <v>6.008</v>
      </c>
      <c r="J276" s="11" t="s">
        <v>606</v>
      </c>
      <c r="K276" s="11" t="s">
        <v>65</v>
      </c>
      <c r="L276" s="11" t="s">
        <v>48</v>
      </c>
      <c r="M276" s="11" t="s">
        <v>66</v>
      </c>
      <c r="N276" s="11" t="s">
        <v>69</v>
      </c>
      <c r="O276" s="11" t="s">
        <v>607</v>
      </c>
      <c r="P276" s="11" t="s">
        <v>75</v>
      </c>
      <c r="Q276" s="20">
        <v>39856.0</v>
      </c>
      <c r="R276" s="17">
        <f t="shared" si="2"/>
        <v>3.002146015</v>
      </c>
      <c r="S276" s="9"/>
      <c r="T276" s="9"/>
      <c r="U276" s="9"/>
      <c r="V276" s="9"/>
      <c r="W276" s="9"/>
      <c r="X276" s="9"/>
      <c r="Y276" s="9"/>
      <c r="Z276" s="9"/>
      <c r="AA276" s="9"/>
      <c r="AB276" s="9" t="str">
        <f>IFERROR(__xludf.DUMMYFUNCTION("""COMPUTED_VALUE"""),"Dave Kipp")</f>
        <v>Dave Kipp</v>
      </c>
      <c r="AC276" s="9"/>
      <c r="AD276" s="9"/>
      <c r="AE276" s="9">
        <f t="shared" si="8"/>
        <v>4</v>
      </c>
      <c r="AF276" s="19">
        <f t="shared" si="13"/>
        <v>5</v>
      </c>
      <c r="AG276" s="9"/>
      <c r="AH276" s="9"/>
      <c r="AI276" s="9"/>
    </row>
    <row r="277" ht="15.0" customHeight="1">
      <c r="A277" s="11">
        <v>276.0</v>
      </c>
      <c r="B277" s="12">
        <f t="shared" si="50"/>
        <v>39854</v>
      </c>
      <c r="C277" s="13">
        <v>2009.0</v>
      </c>
      <c r="D277" s="11" t="s">
        <v>102</v>
      </c>
      <c r="E277" s="11">
        <v>22.0</v>
      </c>
      <c r="F277" s="21" t="s">
        <v>314</v>
      </c>
      <c r="G277" s="15">
        <v>0.07303896103896117</v>
      </c>
      <c r="H277" s="11" t="s">
        <v>33</v>
      </c>
      <c r="I277" s="16">
        <v>4.152</v>
      </c>
      <c r="J277" s="11" t="s">
        <v>608</v>
      </c>
      <c r="K277" s="11" t="s">
        <v>35</v>
      </c>
      <c r="L277" s="11" t="s">
        <v>48</v>
      </c>
      <c r="M277" s="11" t="s">
        <v>28</v>
      </c>
      <c r="N277" s="11" t="s">
        <v>42</v>
      </c>
      <c r="O277" s="11" t="s">
        <v>609</v>
      </c>
      <c r="P277" s="11" t="s">
        <v>38</v>
      </c>
      <c r="Q277" s="20">
        <v>39856.0</v>
      </c>
      <c r="R277" s="17">
        <f t="shared" si="2"/>
        <v>10.42645777</v>
      </c>
      <c r="S277" s="9"/>
      <c r="T277" s="9"/>
      <c r="U277" s="9"/>
      <c r="V277" s="9"/>
      <c r="W277" s="9"/>
      <c r="X277" s="9"/>
      <c r="Y277" s="9"/>
      <c r="Z277" s="9"/>
      <c r="AA277" s="9"/>
      <c r="AB277" s="9" t="str">
        <f>IFERROR(__xludf.DUMMYFUNCTION("""COMPUTED_VALUE"""),"Christopher Schild")</f>
        <v>Christopher Schild</v>
      </c>
      <c r="AC277" s="9"/>
      <c r="AD277" s="9"/>
      <c r="AE277" s="9">
        <f t="shared" si="8"/>
        <v>4</v>
      </c>
      <c r="AF277" s="19">
        <f t="shared" si="13"/>
        <v>2</v>
      </c>
      <c r="AG277" s="9"/>
      <c r="AH277" s="9"/>
      <c r="AI277" s="9"/>
    </row>
    <row r="278" ht="15.0" customHeight="1">
      <c r="A278" s="11">
        <v>277.0</v>
      </c>
      <c r="B278" s="12">
        <f t="shared" si="50"/>
        <v>39854</v>
      </c>
      <c r="C278" s="13">
        <v>2009.0</v>
      </c>
      <c r="D278" s="11" t="s">
        <v>102</v>
      </c>
      <c r="E278" s="11">
        <v>44.0</v>
      </c>
      <c r="F278" s="21" t="s">
        <v>425</v>
      </c>
      <c r="G278" s="15">
        <v>0.007045329215837815</v>
      </c>
      <c r="H278" s="11" t="s">
        <v>33</v>
      </c>
      <c r="I278" s="16">
        <v>11.512</v>
      </c>
      <c r="J278" s="11" t="s">
        <v>159</v>
      </c>
      <c r="K278" s="11" t="s">
        <v>83</v>
      </c>
      <c r="L278" s="11" t="s">
        <v>48</v>
      </c>
      <c r="M278" s="11" t="s">
        <v>49</v>
      </c>
      <c r="N278" s="11" t="s">
        <v>73</v>
      </c>
      <c r="O278" s="11" t="s">
        <v>427</v>
      </c>
      <c r="P278" s="11" t="s">
        <v>38</v>
      </c>
      <c r="Q278" s="20">
        <v>39856.0</v>
      </c>
      <c r="R278" s="17">
        <f t="shared" si="2"/>
        <v>6.342994437</v>
      </c>
      <c r="S278" s="9"/>
      <c r="T278" s="9"/>
      <c r="U278" s="9"/>
      <c r="V278" s="9"/>
      <c r="W278" s="9"/>
      <c r="X278" s="9"/>
      <c r="Y278" s="9"/>
      <c r="Z278" s="9"/>
      <c r="AA278" s="9"/>
      <c r="AB278" s="9" t="str">
        <f>IFERROR(__xludf.DUMMYFUNCTION("""COMPUTED_VALUE"""),"Don Weiss")</f>
        <v>Don Weiss</v>
      </c>
      <c r="AC278" s="9"/>
      <c r="AD278" s="9"/>
      <c r="AE278" s="9">
        <f t="shared" si="8"/>
        <v>4</v>
      </c>
      <c r="AF278" s="19" t="b">
        <f t="shared" si="13"/>
        <v>0</v>
      </c>
      <c r="AG278" s="9"/>
      <c r="AH278" s="9"/>
      <c r="AI278" s="9"/>
    </row>
    <row r="279" ht="15.0" customHeight="1">
      <c r="A279" s="11">
        <v>278.0</v>
      </c>
      <c r="B279" s="12">
        <f t="shared" si="50"/>
        <v>39854</v>
      </c>
      <c r="C279" s="13">
        <v>2009.0</v>
      </c>
      <c r="D279" s="11" t="s">
        <v>44</v>
      </c>
      <c r="E279" s="11">
        <v>5.0</v>
      </c>
      <c r="F279" s="21" t="s">
        <v>610</v>
      </c>
      <c r="G279" s="15">
        <v>0.04842105263157893</v>
      </c>
      <c r="H279" s="11" t="s">
        <v>33</v>
      </c>
      <c r="I279" s="16">
        <v>2.2800000000000002</v>
      </c>
      <c r="J279" s="11" t="s">
        <v>611</v>
      </c>
      <c r="K279" s="11" t="s">
        <v>65</v>
      </c>
      <c r="L279" s="11" t="s">
        <v>36</v>
      </c>
      <c r="M279" s="11" t="s">
        <v>49</v>
      </c>
      <c r="N279" s="11" t="s">
        <v>73</v>
      </c>
      <c r="O279" s="11" t="s">
        <v>612</v>
      </c>
      <c r="P279" s="11" t="s">
        <v>99</v>
      </c>
      <c r="Q279" s="20">
        <v>39856.0</v>
      </c>
      <c r="R279" s="17">
        <f t="shared" si="2"/>
        <v>3.064084211</v>
      </c>
      <c r="S279" s="9"/>
      <c r="T279" s="9"/>
      <c r="U279" s="9"/>
      <c r="V279" s="9"/>
      <c r="W279" s="9"/>
      <c r="X279" s="9"/>
      <c r="Y279" s="9"/>
      <c r="Z279" s="9"/>
      <c r="AA279" s="9"/>
      <c r="AB279" s="9" t="str">
        <f>IFERROR(__xludf.DUMMYFUNCTION("""COMPUTED_VALUE"""),"Heather Jas")</f>
        <v>Heather Jas</v>
      </c>
      <c r="AC279" s="9"/>
      <c r="AD279" s="9"/>
      <c r="AE279" s="9">
        <f t="shared" si="8"/>
        <v>2</v>
      </c>
      <c r="AF279" s="19">
        <f t="shared" si="13"/>
        <v>5</v>
      </c>
      <c r="AG279" s="9"/>
      <c r="AH279" s="9"/>
      <c r="AI279" s="9"/>
    </row>
    <row r="280" ht="15.0" customHeight="1">
      <c r="A280" s="11">
        <v>279.0</v>
      </c>
      <c r="B280" s="12">
        <f t="shared" ref="B280:B284" si="51">DATE(2012,12,31)-1419</f>
        <v>39855</v>
      </c>
      <c r="C280" s="13">
        <v>2009.0</v>
      </c>
      <c r="D280" s="11" t="s">
        <v>32</v>
      </c>
      <c r="E280" s="11">
        <v>48.0</v>
      </c>
      <c r="F280" s="21" t="s">
        <v>100</v>
      </c>
      <c r="G280" s="15">
        <v>0.04820455573412369</v>
      </c>
      <c r="H280" s="11" t="s">
        <v>24</v>
      </c>
      <c r="I280" s="16">
        <v>7.192</v>
      </c>
      <c r="J280" s="11" t="s">
        <v>613</v>
      </c>
      <c r="K280" s="11" t="s">
        <v>65</v>
      </c>
      <c r="L280" s="11" t="s">
        <v>41</v>
      </c>
      <c r="M280" s="11" t="s">
        <v>66</v>
      </c>
      <c r="N280" s="11" t="s">
        <v>80</v>
      </c>
      <c r="O280" s="11" t="s">
        <v>614</v>
      </c>
      <c r="P280" s="11" t="s">
        <v>38</v>
      </c>
      <c r="Q280" s="20">
        <v>39856.0</v>
      </c>
      <c r="R280" s="17">
        <f t="shared" si="2"/>
        <v>476.7619524</v>
      </c>
      <c r="S280" s="9"/>
      <c r="T280" s="9"/>
      <c r="U280" s="9"/>
      <c r="V280" s="9"/>
      <c r="W280" s="9"/>
      <c r="X280" s="9"/>
      <c r="Y280" s="9"/>
      <c r="Z280" s="9"/>
      <c r="AA280" s="9"/>
      <c r="AB280" s="9" t="str">
        <f>IFERROR(__xludf.DUMMYFUNCTION("""COMPUTED_VALUE"""),"Jonathan Doherty")</f>
        <v>Jonathan Doherty</v>
      </c>
      <c r="AC280" s="9"/>
      <c r="AD280" s="9"/>
      <c r="AE280" s="9">
        <f t="shared" si="8"/>
        <v>3</v>
      </c>
      <c r="AF280" s="19">
        <f t="shared" si="13"/>
        <v>5</v>
      </c>
      <c r="AG280" s="9"/>
      <c r="AH280" s="9"/>
      <c r="AI280" s="9"/>
    </row>
    <row r="281" ht="15.0" customHeight="1">
      <c r="A281" s="11">
        <v>280.0</v>
      </c>
      <c r="B281" s="12">
        <f t="shared" si="51"/>
        <v>39855</v>
      </c>
      <c r="C281" s="13">
        <v>2009.0</v>
      </c>
      <c r="D281" s="11" t="s">
        <v>32</v>
      </c>
      <c r="E281" s="11">
        <v>18.0</v>
      </c>
      <c r="F281" s="21" t="s">
        <v>100</v>
      </c>
      <c r="G281" s="15">
        <v>0.07491293191499954</v>
      </c>
      <c r="H281" s="11" t="s">
        <v>33</v>
      </c>
      <c r="I281" s="16">
        <v>7.192</v>
      </c>
      <c r="J281" s="11" t="s">
        <v>613</v>
      </c>
      <c r="K281" s="11" t="s">
        <v>65</v>
      </c>
      <c r="L281" s="11" t="s">
        <v>41</v>
      </c>
      <c r="M281" s="11" t="s">
        <v>66</v>
      </c>
      <c r="N281" s="11" t="s">
        <v>80</v>
      </c>
      <c r="O281" s="11" t="s">
        <v>615</v>
      </c>
      <c r="P281" s="11" t="s">
        <v>38</v>
      </c>
      <c r="Q281" s="20">
        <v>39856.0</v>
      </c>
      <c r="R281" s="17">
        <f t="shared" si="2"/>
        <v>278.1810821</v>
      </c>
      <c r="S281" s="9"/>
      <c r="T281" s="9"/>
      <c r="U281" s="9"/>
      <c r="V281" s="9"/>
      <c r="W281" s="9"/>
      <c r="X281" s="9"/>
      <c r="Y281" s="9"/>
      <c r="Z281" s="9"/>
      <c r="AA281" s="9"/>
      <c r="AB281" s="9" t="str">
        <f>IFERROR(__xludf.DUMMYFUNCTION("""COMPUTED_VALUE"""),"Ryan Crowe")</f>
        <v>Ryan Crowe</v>
      </c>
      <c r="AC281" s="9"/>
      <c r="AD281" s="9"/>
      <c r="AE281" s="9">
        <f t="shared" si="8"/>
        <v>3</v>
      </c>
      <c r="AF281" s="19">
        <f t="shared" si="13"/>
        <v>5</v>
      </c>
      <c r="AG281" s="9"/>
      <c r="AH281" s="9"/>
      <c r="AI281" s="9"/>
    </row>
    <row r="282" ht="15.0" customHeight="1">
      <c r="A282" s="11">
        <v>281.0</v>
      </c>
      <c r="B282" s="12">
        <f t="shared" si="51"/>
        <v>39855</v>
      </c>
      <c r="C282" s="13">
        <v>2009.0</v>
      </c>
      <c r="D282" s="11" t="s">
        <v>32</v>
      </c>
      <c r="E282" s="11">
        <v>7.0</v>
      </c>
      <c r="F282" s="21" t="s">
        <v>616</v>
      </c>
      <c r="G282" s="15">
        <v>0.01013966848682061</v>
      </c>
      <c r="H282" s="11" t="s">
        <v>45</v>
      </c>
      <c r="I282" s="16">
        <v>11.76</v>
      </c>
      <c r="J282" s="11" t="s">
        <v>617</v>
      </c>
      <c r="K282" s="11" t="s">
        <v>61</v>
      </c>
      <c r="L282" s="11" t="s">
        <v>41</v>
      </c>
      <c r="M282" s="11" t="s">
        <v>66</v>
      </c>
      <c r="N282" s="11" t="s">
        <v>69</v>
      </c>
      <c r="O282" s="11" t="s">
        <v>618</v>
      </c>
      <c r="P282" s="11" t="s">
        <v>52</v>
      </c>
      <c r="Q282" s="20">
        <v>39857.0</v>
      </c>
      <c r="R282" s="17">
        <f t="shared" si="2"/>
        <v>144.6581888</v>
      </c>
      <c r="S282" s="9"/>
      <c r="T282" s="9"/>
      <c r="U282" s="9"/>
      <c r="V282" s="9"/>
      <c r="W282" s="9"/>
      <c r="X282" s="9"/>
      <c r="Y282" s="9"/>
      <c r="Z282" s="9"/>
      <c r="AA282" s="9"/>
      <c r="AB282" s="9" t="str">
        <f>IFERROR(__xludf.DUMMYFUNCTION("""COMPUTED_VALUE"""),"Philip Brown")</f>
        <v>Philip Brown</v>
      </c>
      <c r="AC282" s="9"/>
      <c r="AD282" s="9"/>
      <c r="AE282" s="9">
        <f t="shared" si="8"/>
        <v>3</v>
      </c>
      <c r="AF282" s="19">
        <f t="shared" si="13"/>
        <v>4</v>
      </c>
      <c r="AG282" s="9"/>
      <c r="AH282" s="9"/>
      <c r="AI282" s="9"/>
    </row>
    <row r="283" ht="15.0" customHeight="1">
      <c r="A283" s="11">
        <v>282.0</v>
      </c>
      <c r="B283" s="12">
        <f t="shared" si="51"/>
        <v>39855</v>
      </c>
      <c r="C283" s="13">
        <v>2009.0</v>
      </c>
      <c r="D283" s="11" t="s">
        <v>39</v>
      </c>
      <c r="E283" s="11">
        <v>17.0</v>
      </c>
      <c r="F283" s="21" t="s">
        <v>619</v>
      </c>
      <c r="G283" s="15">
        <v>0.08358208955223881</v>
      </c>
      <c r="H283" s="11" t="s">
        <v>33</v>
      </c>
      <c r="I283" s="16">
        <v>39.2</v>
      </c>
      <c r="J283" s="11" t="s">
        <v>174</v>
      </c>
      <c r="K283" s="11" t="s">
        <v>35</v>
      </c>
      <c r="L283" s="11" t="s">
        <v>41</v>
      </c>
      <c r="M283" s="11" t="s">
        <v>28</v>
      </c>
      <c r="N283" s="11" t="s">
        <v>197</v>
      </c>
      <c r="O283" s="11" t="s">
        <v>620</v>
      </c>
      <c r="P283" s="11" t="s">
        <v>31</v>
      </c>
      <c r="Q283" s="20">
        <v>39857.0</v>
      </c>
      <c r="R283" s="17">
        <f t="shared" si="2"/>
        <v>89.80895522</v>
      </c>
      <c r="S283" s="9"/>
      <c r="T283" s="9"/>
      <c r="U283" s="9"/>
      <c r="V283" s="9"/>
      <c r="W283" s="9"/>
      <c r="X283" s="9"/>
      <c r="Y283" s="9"/>
      <c r="Z283" s="9"/>
      <c r="AA283" s="9"/>
      <c r="AB283" s="9" t="str">
        <f>IFERROR(__xludf.DUMMYFUNCTION("""COMPUTED_VALUE"""),"Eileen Kiefer")</f>
        <v>Eileen Kiefer</v>
      </c>
      <c r="AC283" s="9"/>
      <c r="AD283" s="9"/>
      <c r="AE283" s="9">
        <f t="shared" si="8"/>
        <v>3</v>
      </c>
      <c r="AF283" s="19">
        <f t="shared" si="13"/>
        <v>2</v>
      </c>
      <c r="AG283" s="9"/>
      <c r="AH283" s="9"/>
      <c r="AI283" s="9"/>
    </row>
    <row r="284" ht="15.0" customHeight="1">
      <c r="A284" s="11">
        <v>283.0</v>
      </c>
      <c r="B284" s="12">
        <f t="shared" si="51"/>
        <v>39855</v>
      </c>
      <c r="C284" s="13">
        <v>2009.0</v>
      </c>
      <c r="D284" s="11" t="s">
        <v>39</v>
      </c>
      <c r="E284" s="11">
        <v>36.0</v>
      </c>
      <c r="F284" s="21" t="s">
        <v>621</v>
      </c>
      <c r="G284" s="15">
        <v>0.06664379122345503</v>
      </c>
      <c r="H284" s="11" t="s">
        <v>45</v>
      </c>
      <c r="I284" s="16">
        <v>40.0</v>
      </c>
      <c r="J284" s="11" t="s">
        <v>622</v>
      </c>
      <c r="K284" s="11" t="s">
        <v>65</v>
      </c>
      <c r="L284" s="11" t="s">
        <v>48</v>
      </c>
      <c r="M284" s="11" t="s">
        <v>49</v>
      </c>
      <c r="N284" s="11" t="s">
        <v>50</v>
      </c>
      <c r="O284" s="11" t="s">
        <v>623</v>
      </c>
      <c r="P284" s="11" t="s">
        <v>52</v>
      </c>
      <c r="Q284" s="20">
        <v>39857.0</v>
      </c>
      <c r="R284" s="17">
        <f t="shared" si="2"/>
        <v>652.6026612</v>
      </c>
      <c r="S284" s="9"/>
      <c r="T284" s="9"/>
      <c r="U284" s="9"/>
      <c r="V284" s="9"/>
      <c r="W284" s="9"/>
      <c r="X284" s="9"/>
      <c r="Y284" s="9"/>
      <c r="Z284" s="9"/>
      <c r="AA284" s="9"/>
      <c r="AB284" s="9" t="str">
        <f>IFERROR(__xludf.DUMMYFUNCTION("""COMPUTED_VALUE"""),"Nora Paige")</f>
        <v>Nora Paige</v>
      </c>
      <c r="AC284" s="9"/>
      <c r="AD284" s="9"/>
      <c r="AE284" s="9">
        <f t="shared" si="8"/>
        <v>4</v>
      </c>
      <c r="AF284" s="19">
        <f t="shared" si="13"/>
        <v>5</v>
      </c>
      <c r="AG284" s="9"/>
      <c r="AH284" s="9"/>
      <c r="AI284" s="9"/>
    </row>
    <row r="285" ht="15.0" customHeight="1">
      <c r="A285" s="11">
        <v>284.0</v>
      </c>
      <c r="B285" s="12">
        <f t="shared" ref="B285:B296" si="52">DATE(2012,12,31)-1418</f>
        <v>39856</v>
      </c>
      <c r="C285" s="13">
        <v>2009.0</v>
      </c>
      <c r="D285" s="11" t="s">
        <v>102</v>
      </c>
      <c r="E285" s="11">
        <v>1.0</v>
      </c>
      <c r="F285" s="21" t="s">
        <v>624</v>
      </c>
      <c r="G285" s="15">
        <v>0.09722772277227716</v>
      </c>
      <c r="H285" s="11" t="s">
        <v>33</v>
      </c>
      <c r="I285" s="16">
        <v>5.736000000000001</v>
      </c>
      <c r="J285" s="11" t="s">
        <v>211</v>
      </c>
      <c r="K285" s="11" t="s">
        <v>35</v>
      </c>
      <c r="L285" s="11" t="s">
        <v>27</v>
      </c>
      <c r="M285" s="11" t="s">
        <v>28</v>
      </c>
      <c r="N285" s="11" t="s">
        <v>42</v>
      </c>
      <c r="O285" s="11" t="s">
        <v>625</v>
      </c>
      <c r="P285" s="11" t="s">
        <v>38</v>
      </c>
      <c r="Q285" s="20">
        <v>39857.0</v>
      </c>
      <c r="R285" s="17">
        <f t="shared" si="2"/>
        <v>1.773044752</v>
      </c>
      <c r="S285" s="9"/>
      <c r="T285" s="9"/>
      <c r="U285" s="9"/>
      <c r="V285" s="9"/>
      <c r="W285" s="9"/>
      <c r="X285" s="9"/>
      <c r="Y285" s="9"/>
      <c r="Z285" s="9"/>
      <c r="AA285" s="9"/>
      <c r="AB285" s="9" t="str">
        <f>IFERROR(__xludf.DUMMYFUNCTION("""COMPUTED_VALUE"""),"Grant Carroll")</f>
        <v>Grant Carroll</v>
      </c>
      <c r="AC285" s="9"/>
      <c r="AD285" s="9"/>
      <c r="AE285" s="9">
        <f t="shared" si="8"/>
        <v>1</v>
      </c>
      <c r="AF285" s="19">
        <f t="shared" si="13"/>
        <v>2</v>
      </c>
      <c r="AG285" s="9"/>
      <c r="AH285" s="9"/>
      <c r="AI285" s="9"/>
    </row>
    <row r="286" ht="15.0" customHeight="1">
      <c r="A286" s="11">
        <v>285.0</v>
      </c>
      <c r="B286" s="12">
        <f t="shared" si="52"/>
        <v>39856</v>
      </c>
      <c r="C286" s="13">
        <v>2009.0</v>
      </c>
      <c r="D286" s="11" t="s">
        <v>23</v>
      </c>
      <c r="E286" s="11">
        <v>22.0</v>
      </c>
      <c r="F286" s="21" t="s">
        <v>137</v>
      </c>
      <c r="G286" s="15">
        <v>0.03975554210268382</v>
      </c>
      <c r="H286" s="11" t="s">
        <v>33</v>
      </c>
      <c r="I286" s="16">
        <v>11.192</v>
      </c>
      <c r="J286" s="11" t="s">
        <v>626</v>
      </c>
      <c r="K286" s="11" t="s">
        <v>61</v>
      </c>
      <c r="L286" s="11" t="s">
        <v>27</v>
      </c>
      <c r="M286" s="11" t="s">
        <v>66</v>
      </c>
      <c r="N286" s="11" t="s">
        <v>69</v>
      </c>
      <c r="O286" s="11" t="s">
        <v>468</v>
      </c>
      <c r="P286" s="11" t="s">
        <v>75</v>
      </c>
      <c r="Q286" s="20">
        <v>39857.0</v>
      </c>
      <c r="R286" s="17">
        <f t="shared" si="2"/>
        <v>132.4253927</v>
      </c>
      <c r="S286" s="9"/>
      <c r="T286" s="9"/>
      <c r="U286" s="9"/>
      <c r="V286" s="9"/>
      <c r="W286" s="9"/>
      <c r="X286" s="9"/>
      <c r="Y286" s="9"/>
      <c r="Z286" s="9"/>
      <c r="AA286" s="9"/>
      <c r="AB286" s="9" t="str">
        <f>IFERROR(__xludf.DUMMYFUNCTION("""COMPUTED_VALUE"""),"Tim Brockman")</f>
        <v>Tim Brockman</v>
      </c>
      <c r="AC286" s="9"/>
      <c r="AD286" s="9"/>
      <c r="AE286" s="9">
        <f t="shared" si="8"/>
        <v>1</v>
      </c>
      <c r="AF286" s="19">
        <f t="shared" si="13"/>
        <v>4</v>
      </c>
      <c r="AG286" s="9"/>
      <c r="AH286" s="9"/>
      <c r="AI286" s="9"/>
    </row>
    <row r="287" ht="15.0" customHeight="1">
      <c r="A287" s="11">
        <v>286.0</v>
      </c>
      <c r="B287" s="12">
        <f t="shared" si="52"/>
        <v>39856</v>
      </c>
      <c r="C287" s="13">
        <v>2009.0</v>
      </c>
      <c r="D287" s="11" t="s">
        <v>23</v>
      </c>
      <c r="E287" s="11">
        <v>14.0</v>
      </c>
      <c r="F287" s="21" t="s">
        <v>627</v>
      </c>
      <c r="G287" s="15">
        <v>0.039844816883922926</v>
      </c>
      <c r="H287" s="11" t="s">
        <v>33</v>
      </c>
      <c r="I287" s="16">
        <v>9.496</v>
      </c>
      <c r="J287" s="11" t="s">
        <v>626</v>
      </c>
      <c r="K287" s="11" t="s">
        <v>61</v>
      </c>
      <c r="L287" s="11" t="s">
        <v>27</v>
      </c>
      <c r="M287" s="11" t="s">
        <v>28</v>
      </c>
      <c r="N287" s="11" t="s">
        <v>29</v>
      </c>
      <c r="O287" s="11" t="s">
        <v>628</v>
      </c>
      <c r="P287" s="11" t="s">
        <v>38</v>
      </c>
      <c r="Q287" s="20">
        <v>39857.0</v>
      </c>
      <c r="R287" s="17">
        <f t="shared" si="2"/>
        <v>98.61177793</v>
      </c>
      <c r="S287" s="9"/>
      <c r="T287" s="9"/>
      <c r="U287" s="9"/>
      <c r="V287" s="9"/>
      <c r="W287" s="9"/>
      <c r="X287" s="9"/>
      <c r="Y287" s="9"/>
      <c r="Z287" s="9"/>
      <c r="AA287" s="9"/>
      <c r="AB287" s="9" t="str">
        <f>IFERROR(__xludf.DUMMYFUNCTION("""COMPUTED_VALUE"""),"Ashley Jarboe")</f>
        <v>Ashley Jarboe</v>
      </c>
      <c r="AC287" s="9"/>
      <c r="AD287" s="9"/>
      <c r="AE287" s="9">
        <f t="shared" si="8"/>
        <v>1</v>
      </c>
      <c r="AF287" s="19">
        <f t="shared" si="13"/>
        <v>4</v>
      </c>
      <c r="AG287" s="9"/>
      <c r="AH287" s="9"/>
      <c r="AI287" s="9"/>
    </row>
    <row r="288" ht="15.0" customHeight="1">
      <c r="A288" s="11">
        <v>287.0</v>
      </c>
      <c r="B288" s="12">
        <f t="shared" si="52"/>
        <v>39856</v>
      </c>
      <c r="C288" s="13">
        <v>2009.0</v>
      </c>
      <c r="D288" s="11" t="s">
        <v>44</v>
      </c>
      <c r="E288" s="11">
        <v>15.0</v>
      </c>
      <c r="F288" s="21" t="s">
        <v>629</v>
      </c>
      <c r="G288" s="15">
        <v>0.0925516102394715</v>
      </c>
      <c r="H288" s="11" t="s">
        <v>33</v>
      </c>
      <c r="I288" s="16">
        <v>0.392</v>
      </c>
      <c r="J288" s="11" t="s">
        <v>630</v>
      </c>
      <c r="K288" s="11" t="s">
        <v>35</v>
      </c>
      <c r="L288" s="11" t="s">
        <v>36</v>
      </c>
      <c r="M288" s="11" t="s">
        <v>28</v>
      </c>
      <c r="N288" s="11" t="s">
        <v>188</v>
      </c>
      <c r="O288" s="11" t="s">
        <v>631</v>
      </c>
      <c r="P288" s="11" t="s">
        <v>38</v>
      </c>
      <c r="Q288" s="20">
        <v>39858.0</v>
      </c>
      <c r="R288" s="17">
        <f t="shared" si="2"/>
        <v>10.17068155</v>
      </c>
      <c r="S288" s="9"/>
      <c r="T288" s="9"/>
      <c r="U288" s="9"/>
      <c r="V288" s="9"/>
      <c r="W288" s="9"/>
      <c r="X288" s="9"/>
      <c r="Y288" s="9"/>
      <c r="Z288" s="9"/>
      <c r="AA288" s="9"/>
      <c r="AB288" s="9" t="str">
        <f>IFERROR(__xludf.DUMMYFUNCTION("""COMPUTED_VALUE"""),"Fred Harton")</f>
        <v>Fred Harton</v>
      </c>
      <c r="AC288" s="9"/>
      <c r="AD288" s="9"/>
      <c r="AE288" s="9">
        <f t="shared" si="8"/>
        <v>2</v>
      </c>
      <c r="AF288" s="19">
        <f t="shared" si="13"/>
        <v>2</v>
      </c>
      <c r="AG288" s="9"/>
      <c r="AH288" s="9"/>
      <c r="AI288" s="9"/>
    </row>
    <row r="289" ht="15.0" customHeight="1">
      <c r="A289" s="11">
        <v>288.0</v>
      </c>
      <c r="B289" s="12">
        <f t="shared" si="52"/>
        <v>39856</v>
      </c>
      <c r="C289" s="13">
        <v>2009.0</v>
      </c>
      <c r="D289" s="11" t="s">
        <v>44</v>
      </c>
      <c r="E289" s="11">
        <v>20.0</v>
      </c>
      <c r="F289" s="21" t="s">
        <v>632</v>
      </c>
      <c r="G289" s="15">
        <v>0.07617486338797824</v>
      </c>
      <c r="H289" s="11" t="s">
        <v>33</v>
      </c>
      <c r="I289" s="16">
        <v>1.2480000000000002</v>
      </c>
      <c r="J289" s="11" t="s">
        <v>630</v>
      </c>
      <c r="K289" s="11" t="s">
        <v>35</v>
      </c>
      <c r="L289" s="11" t="s">
        <v>36</v>
      </c>
      <c r="M289" s="11" t="s">
        <v>28</v>
      </c>
      <c r="N289" s="11" t="s">
        <v>62</v>
      </c>
      <c r="O289" s="11" t="s">
        <v>633</v>
      </c>
      <c r="P289" s="11" t="s">
        <v>58</v>
      </c>
      <c r="Q289" s="20">
        <v>39858.0</v>
      </c>
      <c r="R289" s="17">
        <f t="shared" si="2"/>
        <v>10.30249792</v>
      </c>
      <c r="S289" s="9"/>
      <c r="T289" s="9"/>
      <c r="U289" s="9"/>
      <c r="V289" s="9"/>
      <c r="W289" s="9"/>
      <c r="X289" s="9"/>
      <c r="Y289" s="9"/>
      <c r="Z289" s="9"/>
      <c r="AA289" s="9"/>
      <c r="AB289" s="9" t="str">
        <f>IFERROR(__xludf.DUMMYFUNCTION("""COMPUTED_VALUE"""),"Tom Stivers")</f>
        <v>Tom Stivers</v>
      </c>
      <c r="AC289" s="9"/>
      <c r="AD289" s="9"/>
      <c r="AE289" s="9">
        <f t="shared" si="8"/>
        <v>2</v>
      </c>
      <c r="AF289" s="19">
        <f t="shared" si="13"/>
        <v>2</v>
      </c>
      <c r="AG289" s="9"/>
      <c r="AH289" s="9"/>
      <c r="AI289" s="9"/>
    </row>
    <row r="290" ht="15.0" customHeight="1">
      <c r="A290" s="11">
        <v>289.0</v>
      </c>
      <c r="B290" s="12">
        <f t="shared" si="52"/>
        <v>39856</v>
      </c>
      <c r="C290" s="13">
        <v>2009.0</v>
      </c>
      <c r="D290" s="11" t="s">
        <v>39</v>
      </c>
      <c r="E290" s="11">
        <v>31.0</v>
      </c>
      <c r="F290" s="21" t="s">
        <v>158</v>
      </c>
      <c r="G290" s="15">
        <v>0.03985095482067994</v>
      </c>
      <c r="H290" s="11" t="s">
        <v>33</v>
      </c>
      <c r="I290" s="16">
        <v>7.744</v>
      </c>
      <c r="J290" s="11" t="s">
        <v>634</v>
      </c>
      <c r="K290" s="11" t="s">
        <v>61</v>
      </c>
      <c r="L290" s="11" t="s">
        <v>41</v>
      </c>
      <c r="M290" s="11" t="s">
        <v>28</v>
      </c>
      <c r="N290" s="11" t="s">
        <v>56</v>
      </c>
      <c r="O290" s="11" t="s">
        <v>635</v>
      </c>
      <c r="P290" s="11" t="s">
        <v>38</v>
      </c>
      <c r="Q290" s="20">
        <v>39858.0</v>
      </c>
      <c r="R290" s="17">
        <f t="shared" si="2"/>
        <v>8.215035231</v>
      </c>
      <c r="S290" s="9"/>
      <c r="T290" s="9"/>
      <c r="U290" s="9"/>
      <c r="V290" s="9"/>
      <c r="W290" s="9"/>
      <c r="X290" s="9"/>
      <c r="Y290" s="9"/>
      <c r="Z290" s="9"/>
      <c r="AA290" s="9"/>
      <c r="AB290" s="9" t="str">
        <f>IFERROR(__xludf.DUMMYFUNCTION("""COMPUTED_VALUE"""),"Dorothy Wardle")</f>
        <v>Dorothy Wardle</v>
      </c>
      <c r="AC290" s="9"/>
      <c r="AD290" s="9"/>
      <c r="AE290" s="9">
        <f t="shared" si="8"/>
        <v>3</v>
      </c>
      <c r="AF290" s="19">
        <f t="shared" si="13"/>
        <v>4</v>
      </c>
      <c r="AG290" s="9"/>
      <c r="AH290" s="9"/>
      <c r="AI290" s="9"/>
    </row>
    <row r="291" ht="15.0" customHeight="1">
      <c r="A291" s="11">
        <v>290.0</v>
      </c>
      <c r="B291" s="12">
        <f t="shared" si="52"/>
        <v>39856</v>
      </c>
      <c r="C291" s="13">
        <v>2009.0</v>
      </c>
      <c r="D291" s="11" t="s">
        <v>102</v>
      </c>
      <c r="E291" s="11">
        <v>37.0</v>
      </c>
      <c r="F291" s="21" t="s">
        <v>158</v>
      </c>
      <c r="G291" s="15">
        <v>0.06510948905109491</v>
      </c>
      <c r="H291" s="11" t="s">
        <v>33</v>
      </c>
      <c r="I291" s="16">
        <v>6.552</v>
      </c>
      <c r="J291" s="11" t="s">
        <v>636</v>
      </c>
      <c r="K291" s="11" t="s">
        <v>61</v>
      </c>
      <c r="L291" s="11" t="s">
        <v>41</v>
      </c>
      <c r="M291" s="11" t="s">
        <v>28</v>
      </c>
      <c r="N291" s="11" t="s">
        <v>56</v>
      </c>
      <c r="O291" s="11" t="s">
        <v>637</v>
      </c>
      <c r="P291" s="11" t="s">
        <v>38</v>
      </c>
      <c r="Q291" s="20">
        <v>39858.0</v>
      </c>
      <c r="R291" s="17">
        <f t="shared" si="2"/>
        <v>15.84452438</v>
      </c>
      <c r="S291" s="9"/>
      <c r="T291" s="9"/>
      <c r="U291" s="9"/>
      <c r="V291" s="9"/>
      <c r="W291" s="9"/>
      <c r="X291" s="9"/>
      <c r="Y291" s="9"/>
      <c r="Z291" s="9"/>
      <c r="AA291" s="9"/>
      <c r="AB291" s="9" t="str">
        <f>IFERROR(__xludf.DUMMYFUNCTION("""COMPUTED_VALUE"""),"Karen Seio")</f>
        <v>Karen Seio</v>
      </c>
      <c r="AC291" s="9"/>
      <c r="AD291" s="9"/>
      <c r="AE291" s="9">
        <f t="shared" si="8"/>
        <v>3</v>
      </c>
      <c r="AF291" s="19">
        <f t="shared" si="13"/>
        <v>4</v>
      </c>
      <c r="AG291" s="9"/>
      <c r="AH291" s="9"/>
      <c r="AI291" s="9"/>
    </row>
    <row r="292" ht="15.0" customHeight="1">
      <c r="A292" s="11">
        <v>291.0</v>
      </c>
      <c r="B292" s="12">
        <f t="shared" si="52"/>
        <v>39856</v>
      </c>
      <c r="C292" s="13">
        <v>2009.0</v>
      </c>
      <c r="D292" s="11" t="s">
        <v>102</v>
      </c>
      <c r="E292" s="11">
        <v>17.0</v>
      </c>
      <c r="F292" s="21" t="s">
        <v>638</v>
      </c>
      <c r="G292" s="15">
        <v>0.06522710349962783</v>
      </c>
      <c r="H292" s="11" t="s">
        <v>33</v>
      </c>
      <c r="I292" s="16">
        <v>4.84</v>
      </c>
      <c r="J292" s="11" t="s">
        <v>639</v>
      </c>
      <c r="K292" s="11" t="s">
        <v>35</v>
      </c>
      <c r="L292" s="11" t="s">
        <v>27</v>
      </c>
      <c r="M292" s="11" t="s">
        <v>28</v>
      </c>
      <c r="N292" s="11" t="s">
        <v>42</v>
      </c>
      <c r="O292" s="11" t="s">
        <v>640</v>
      </c>
      <c r="P292" s="11" t="s">
        <v>38</v>
      </c>
      <c r="Q292" s="20">
        <v>39859.0</v>
      </c>
      <c r="R292" s="17">
        <f t="shared" si="2"/>
        <v>8.188610573</v>
      </c>
      <c r="S292" s="9"/>
      <c r="T292" s="9"/>
      <c r="U292" s="9"/>
      <c r="V292" s="9"/>
      <c r="W292" s="9"/>
      <c r="X292" s="9"/>
      <c r="Y292" s="9"/>
      <c r="Z292" s="9"/>
      <c r="AA292" s="9"/>
      <c r="AB292" s="9" t="str">
        <f>IFERROR(__xludf.DUMMYFUNCTION("""COMPUTED_VALUE"""),"Anthony Garverick")</f>
        <v>Anthony Garverick</v>
      </c>
      <c r="AC292" s="9"/>
      <c r="AD292" s="9"/>
      <c r="AE292" s="9">
        <f t="shared" si="8"/>
        <v>1</v>
      </c>
      <c r="AF292" s="19">
        <f t="shared" si="13"/>
        <v>2</v>
      </c>
      <c r="AG292" s="9"/>
      <c r="AH292" s="9"/>
      <c r="AI292" s="9"/>
    </row>
    <row r="293" ht="15.0" customHeight="1">
      <c r="A293" s="11">
        <v>292.0</v>
      </c>
      <c r="B293" s="12">
        <f t="shared" si="52"/>
        <v>39856</v>
      </c>
      <c r="C293" s="13">
        <v>2009.0</v>
      </c>
      <c r="D293" s="11" t="s">
        <v>102</v>
      </c>
      <c r="E293" s="11">
        <v>31.0</v>
      </c>
      <c r="F293" s="21" t="s">
        <v>204</v>
      </c>
      <c r="G293" s="15">
        <v>0.048693693693693675</v>
      </c>
      <c r="H293" s="11" t="s">
        <v>33</v>
      </c>
      <c r="I293" s="16">
        <v>0.776</v>
      </c>
      <c r="J293" s="11" t="s">
        <v>639</v>
      </c>
      <c r="K293" s="11" t="s">
        <v>35</v>
      </c>
      <c r="L293" s="11" t="s">
        <v>27</v>
      </c>
      <c r="M293" s="11" t="s">
        <v>28</v>
      </c>
      <c r="N293" s="11" t="s">
        <v>62</v>
      </c>
      <c r="O293" s="11" t="s">
        <v>206</v>
      </c>
      <c r="P293" s="11" t="s">
        <v>58</v>
      </c>
      <c r="Q293" s="20">
        <v>39859.0</v>
      </c>
      <c r="R293" s="17">
        <f t="shared" si="2"/>
        <v>4.113448468</v>
      </c>
      <c r="S293" s="9"/>
      <c r="T293" s="9"/>
      <c r="U293" s="9"/>
      <c r="V293" s="9"/>
      <c r="W293" s="9"/>
      <c r="X293" s="9"/>
      <c r="Y293" s="9"/>
      <c r="Z293" s="9"/>
      <c r="AA293" s="9"/>
      <c r="AB293" s="9" t="str">
        <f>IFERROR(__xludf.DUMMYFUNCTION("""COMPUTED_VALUE"""),"Scot Coram")</f>
        <v>Scot Coram</v>
      </c>
      <c r="AC293" s="9"/>
      <c r="AD293" s="9"/>
      <c r="AE293" s="9">
        <f t="shared" si="8"/>
        <v>1</v>
      </c>
      <c r="AF293" s="19">
        <f t="shared" si="13"/>
        <v>2</v>
      </c>
      <c r="AG293" s="9"/>
      <c r="AH293" s="9"/>
      <c r="AI293" s="9"/>
    </row>
    <row r="294" ht="15.0" customHeight="1">
      <c r="A294" s="11">
        <v>293.0</v>
      </c>
      <c r="B294" s="12">
        <f t="shared" si="52"/>
        <v>39856</v>
      </c>
      <c r="C294" s="13">
        <v>2009.0</v>
      </c>
      <c r="D294" s="11" t="s">
        <v>32</v>
      </c>
      <c r="E294" s="11">
        <v>13.0</v>
      </c>
      <c r="F294" s="21" t="s">
        <v>641</v>
      </c>
      <c r="G294" s="15">
        <v>0.08541786743515847</v>
      </c>
      <c r="H294" s="11" t="s">
        <v>24</v>
      </c>
      <c r="I294" s="16">
        <v>5.816</v>
      </c>
      <c r="J294" s="11" t="s">
        <v>407</v>
      </c>
      <c r="K294" s="11" t="s">
        <v>26</v>
      </c>
      <c r="L294" s="11" t="s">
        <v>36</v>
      </c>
      <c r="M294" s="11" t="s">
        <v>28</v>
      </c>
      <c r="N294" s="11" t="s">
        <v>42</v>
      </c>
      <c r="O294" s="11" t="s">
        <v>642</v>
      </c>
      <c r="P294" s="11" t="s">
        <v>38</v>
      </c>
      <c r="Q294" s="20">
        <v>39859.0</v>
      </c>
      <c r="R294" s="17">
        <f t="shared" si="2"/>
        <v>16.26492865</v>
      </c>
      <c r="S294" s="9"/>
      <c r="T294" s="9"/>
      <c r="U294" s="9"/>
      <c r="V294" s="9"/>
      <c r="W294" s="9"/>
      <c r="X294" s="9"/>
      <c r="Y294" s="9"/>
      <c r="Z294" s="9"/>
      <c r="AA294" s="9"/>
      <c r="AB294" s="9" t="str">
        <f>IFERROR(__xludf.DUMMYFUNCTION("""COMPUTED_VALUE"""),"Odella Nelson")</f>
        <v>Odella Nelson</v>
      </c>
      <c r="AC294" s="9"/>
      <c r="AD294" s="9"/>
      <c r="AE294" s="9">
        <f t="shared" si="8"/>
        <v>2</v>
      </c>
      <c r="AF294" s="19">
        <f t="shared" si="13"/>
        <v>1</v>
      </c>
      <c r="AG294" s="9"/>
      <c r="AH294" s="9"/>
      <c r="AI294" s="9"/>
    </row>
    <row r="295" ht="15.0" customHeight="1">
      <c r="A295" s="11">
        <v>294.0</v>
      </c>
      <c r="B295" s="12">
        <f t="shared" si="52"/>
        <v>39856</v>
      </c>
      <c r="C295" s="13">
        <v>2009.0</v>
      </c>
      <c r="D295" s="11" t="s">
        <v>32</v>
      </c>
      <c r="E295" s="11">
        <v>22.0</v>
      </c>
      <c r="F295" s="21" t="s">
        <v>333</v>
      </c>
      <c r="G295" s="15">
        <v>0.06785100286532958</v>
      </c>
      <c r="H295" s="11" t="s">
        <v>33</v>
      </c>
      <c r="I295" s="16">
        <v>1.2640000000000002</v>
      </c>
      <c r="J295" s="11" t="s">
        <v>407</v>
      </c>
      <c r="K295" s="11" t="s">
        <v>26</v>
      </c>
      <c r="L295" s="11" t="s">
        <v>36</v>
      </c>
      <c r="M295" s="11" t="s">
        <v>28</v>
      </c>
      <c r="N295" s="11" t="s">
        <v>216</v>
      </c>
      <c r="O295" s="11" t="s">
        <v>643</v>
      </c>
      <c r="P295" s="11" t="s">
        <v>58</v>
      </c>
      <c r="Q295" s="20">
        <v>39859.0</v>
      </c>
      <c r="R295" s="17">
        <f t="shared" si="2"/>
        <v>4.41465765</v>
      </c>
      <c r="S295" s="9"/>
      <c r="T295" s="9"/>
      <c r="U295" s="9"/>
      <c r="V295" s="9"/>
      <c r="W295" s="9"/>
      <c r="X295" s="9"/>
      <c r="Y295" s="9"/>
      <c r="Z295" s="9"/>
      <c r="AA295" s="9"/>
      <c r="AB295" s="9" t="str">
        <f>IFERROR(__xludf.DUMMYFUNCTION("""COMPUTED_VALUE"""),"Scot Wooten")</f>
        <v>Scot Wooten</v>
      </c>
      <c r="AC295" s="9"/>
      <c r="AD295" s="9"/>
      <c r="AE295" s="9">
        <f t="shared" si="8"/>
        <v>2</v>
      </c>
      <c r="AF295" s="19">
        <f t="shared" si="13"/>
        <v>1</v>
      </c>
      <c r="AG295" s="9"/>
      <c r="AH295" s="9"/>
      <c r="AI295" s="9"/>
    </row>
    <row r="296" ht="15.0" customHeight="1">
      <c r="A296" s="11">
        <v>295.0</v>
      </c>
      <c r="B296" s="12">
        <f t="shared" si="52"/>
        <v>39856</v>
      </c>
      <c r="C296" s="13">
        <v>2009.0</v>
      </c>
      <c r="D296" s="11" t="s">
        <v>32</v>
      </c>
      <c r="E296" s="11">
        <v>38.0</v>
      </c>
      <c r="F296" s="21" t="s">
        <v>287</v>
      </c>
      <c r="G296" s="15">
        <v>0.04846024273312325</v>
      </c>
      <c r="H296" s="11" t="s">
        <v>33</v>
      </c>
      <c r="I296" s="16">
        <v>2.0</v>
      </c>
      <c r="J296" s="11" t="s">
        <v>407</v>
      </c>
      <c r="K296" s="11" t="s">
        <v>26</v>
      </c>
      <c r="L296" s="11" t="s">
        <v>36</v>
      </c>
      <c r="M296" s="11" t="s">
        <v>66</v>
      </c>
      <c r="N296" s="11" t="s">
        <v>80</v>
      </c>
      <c r="O296" s="11" t="s">
        <v>644</v>
      </c>
      <c r="P296" s="11" t="s">
        <v>38</v>
      </c>
      <c r="Q296" s="20">
        <v>39859.0</v>
      </c>
      <c r="R296" s="17">
        <f t="shared" si="2"/>
        <v>213.5255215</v>
      </c>
      <c r="S296" s="9"/>
      <c r="T296" s="9"/>
      <c r="U296" s="9"/>
      <c r="V296" s="9"/>
      <c r="W296" s="9"/>
      <c r="X296" s="9"/>
      <c r="Y296" s="9"/>
      <c r="Z296" s="9"/>
      <c r="AA296" s="9"/>
      <c r="AB296" s="9" t="str">
        <f>IFERROR(__xludf.DUMMYFUNCTION("""COMPUTED_VALUE"""),"Eudokia Martin")</f>
        <v>Eudokia Martin</v>
      </c>
      <c r="AC296" s="9"/>
      <c r="AD296" s="9"/>
      <c r="AE296" s="9">
        <f t="shared" si="8"/>
        <v>2</v>
      </c>
      <c r="AF296" s="19">
        <f t="shared" si="13"/>
        <v>1</v>
      </c>
      <c r="AG296" s="9"/>
      <c r="AH296" s="9"/>
      <c r="AI296" s="9"/>
    </row>
    <row r="297" ht="15.0" customHeight="1">
      <c r="A297" s="11">
        <v>296.0</v>
      </c>
      <c r="B297" s="12">
        <f t="shared" ref="B297:B301" si="53">DATE(2012,12,31)-1417</f>
        <v>39857</v>
      </c>
      <c r="C297" s="13">
        <v>2009.0</v>
      </c>
      <c r="D297" s="11" t="s">
        <v>32</v>
      </c>
      <c r="E297" s="11">
        <v>45.0</v>
      </c>
      <c r="F297" s="21" t="s">
        <v>422</v>
      </c>
      <c r="G297" s="15">
        <v>0.04997070489720776</v>
      </c>
      <c r="H297" s="11" t="s">
        <v>45</v>
      </c>
      <c r="I297" s="16">
        <v>24.048000000000002</v>
      </c>
      <c r="J297" s="11" t="s">
        <v>421</v>
      </c>
      <c r="K297" s="11" t="s">
        <v>83</v>
      </c>
      <c r="L297" s="11" t="s">
        <v>27</v>
      </c>
      <c r="M297" s="11" t="s">
        <v>66</v>
      </c>
      <c r="N297" s="11" t="s">
        <v>69</v>
      </c>
      <c r="O297" s="11" t="s">
        <v>645</v>
      </c>
      <c r="P297" s="11" t="s">
        <v>87</v>
      </c>
      <c r="Q297" s="20">
        <v>39859.0</v>
      </c>
      <c r="R297" s="17">
        <f t="shared" si="2"/>
        <v>183.1200467</v>
      </c>
      <c r="S297" s="9"/>
      <c r="T297" s="9"/>
      <c r="U297" s="9"/>
      <c r="V297" s="9"/>
      <c r="W297" s="9"/>
      <c r="X297" s="9"/>
      <c r="Y297" s="9"/>
      <c r="Z297" s="9"/>
      <c r="AA297" s="9"/>
      <c r="AB297" s="9" t="str">
        <f>IFERROR(__xludf.DUMMYFUNCTION("""COMPUTED_VALUE"""),"Harold Dahlen")</f>
        <v>Harold Dahlen</v>
      </c>
      <c r="AC297" s="9"/>
      <c r="AD297" s="9"/>
      <c r="AE297" s="9">
        <f t="shared" si="8"/>
        <v>1</v>
      </c>
      <c r="AF297" s="19" t="b">
        <f t="shared" si="13"/>
        <v>0</v>
      </c>
      <c r="AG297" s="9"/>
      <c r="AH297" s="9"/>
      <c r="AI297" s="9"/>
    </row>
    <row r="298" ht="15.0" customHeight="1">
      <c r="A298" s="11">
        <v>297.0</v>
      </c>
      <c r="B298" s="12">
        <f t="shared" si="53"/>
        <v>39857</v>
      </c>
      <c r="C298" s="13">
        <v>2009.0</v>
      </c>
      <c r="D298" s="11" t="s">
        <v>32</v>
      </c>
      <c r="E298" s="11">
        <v>6.0</v>
      </c>
      <c r="F298" s="21" t="s">
        <v>158</v>
      </c>
      <c r="G298" s="15">
        <v>0.050306748466257545</v>
      </c>
      <c r="H298" s="11" t="s">
        <v>33</v>
      </c>
      <c r="I298" s="16">
        <v>8.040000000000001</v>
      </c>
      <c r="J298" s="11" t="s">
        <v>421</v>
      </c>
      <c r="K298" s="11" t="s">
        <v>83</v>
      </c>
      <c r="L298" s="11" t="s">
        <v>27</v>
      </c>
      <c r="M298" s="11" t="s">
        <v>28</v>
      </c>
      <c r="N298" s="11" t="s">
        <v>56</v>
      </c>
      <c r="O298" s="11" t="s">
        <v>646</v>
      </c>
      <c r="P298" s="11" t="s">
        <v>38</v>
      </c>
      <c r="Q298" s="20">
        <v>39859.0</v>
      </c>
      <c r="R298" s="17">
        <f t="shared" si="2"/>
        <v>2.336245399</v>
      </c>
      <c r="S298" s="9"/>
      <c r="T298" s="9"/>
      <c r="U298" s="9"/>
      <c r="V298" s="9"/>
      <c r="W298" s="9"/>
      <c r="X298" s="9"/>
      <c r="Y298" s="9"/>
      <c r="Z298" s="9"/>
      <c r="AA298" s="9"/>
      <c r="AB298" s="9" t="str">
        <f>IFERROR(__xludf.DUMMYFUNCTION("""COMPUTED_VALUE"""),"Maurice Satty")</f>
        <v>Maurice Satty</v>
      </c>
      <c r="AC298" s="9"/>
      <c r="AD298" s="9"/>
      <c r="AE298" s="9">
        <f t="shared" si="8"/>
        <v>1</v>
      </c>
      <c r="AF298" s="19" t="b">
        <f t="shared" si="13"/>
        <v>0</v>
      </c>
      <c r="AG298" s="9"/>
      <c r="AH298" s="9"/>
      <c r="AI298" s="9"/>
    </row>
    <row r="299" ht="15.0" customHeight="1">
      <c r="A299" s="11">
        <v>298.0</v>
      </c>
      <c r="B299" s="12">
        <f t="shared" si="53"/>
        <v>39857</v>
      </c>
      <c r="C299" s="13">
        <v>2009.0</v>
      </c>
      <c r="D299" s="11" t="s">
        <v>39</v>
      </c>
      <c r="E299" s="11">
        <v>42.0</v>
      </c>
      <c r="F299" s="21" t="s">
        <v>105</v>
      </c>
      <c r="G299" s="15">
        <v>0.02939992634217611</v>
      </c>
      <c r="H299" s="11" t="s">
        <v>33</v>
      </c>
      <c r="I299" s="16">
        <v>9.232</v>
      </c>
      <c r="J299" s="11" t="s">
        <v>647</v>
      </c>
      <c r="K299" s="11" t="s">
        <v>61</v>
      </c>
      <c r="L299" s="11" t="s">
        <v>27</v>
      </c>
      <c r="M299" s="11" t="s">
        <v>49</v>
      </c>
      <c r="N299" s="11" t="s">
        <v>73</v>
      </c>
      <c r="O299" s="11" t="s">
        <v>107</v>
      </c>
      <c r="P299" s="11" t="s">
        <v>31</v>
      </c>
      <c r="Q299" s="20">
        <v>39859.0</v>
      </c>
      <c r="R299" s="17">
        <f t="shared" si="2"/>
        <v>240.192459</v>
      </c>
      <c r="S299" s="9"/>
      <c r="T299" s="9"/>
      <c r="U299" s="9"/>
      <c r="V299" s="9"/>
      <c r="W299" s="9"/>
      <c r="X299" s="9"/>
      <c r="Y299" s="9"/>
      <c r="Z299" s="9"/>
      <c r="AA299" s="9"/>
      <c r="AB299" s="9" t="str">
        <f>IFERROR(__xludf.DUMMYFUNCTION("""COMPUTED_VALUE"""),"Jenna Caffey")</f>
        <v>Jenna Caffey</v>
      </c>
      <c r="AC299" s="9"/>
      <c r="AD299" s="9"/>
      <c r="AE299" s="9">
        <f t="shared" si="8"/>
        <v>1</v>
      </c>
      <c r="AF299" s="19">
        <f t="shared" si="13"/>
        <v>4</v>
      </c>
      <c r="AG299" s="9"/>
      <c r="AH299" s="9"/>
      <c r="AI299" s="9"/>
    </row>
    <row r="300" ht="15.0" customHeight="1">
      <c r="A300" s="11">
        <v>299.0</v>
      </c>
      <c r="B300" s="12">
        <f t="shared" si="53"/>
        <v>39857</v>
      </c>
      <c r="C300" s="13">
        <v>2009.0</v>
      </c>
      <c r="D300" s="11" t="s">
        <v>39</v>
      </c>
      <c r="E300" s="11">
        <v>44.0</v>
      </c>
      <c r="F300" s="21" t="s">
        <v>115</v>
      </c>
      <c r="G300" s="15">
        <v>0.022368608019237343</v>
      </c>
      <c r="H300" s="11" t="s">
        <v>45</v>
      </c>
      <c r="I300" s="16">
        <v>46.912000000000006</v>
      </c>
      <c r="J300" s="11" t="s">
        <v>648</v>
      </c>
      <c r="K300" s="11" t="s">
        <v>35</v>
      </c>
      <c r="L300" s="11" t="s">
        <v>27</v>
      </c>
      <c r="M300" s="11" t="s">
        <v>49</v>
      </c>
      <c r="N300" s="11" t="s">
        <v>156</v>
      </c>
      <c r="O300" s="11" t="s">
        <v>649</v>
      </c>
      <c r="P300" s="11" t="s">
        <v>87</v>
      </c>
      <c r="Q300" s="20">
        <v>39859.0</v>
      </c>
      <c r="R300" s="17">
        <f t="shared" si="2"/>
        <v>120.0414034</v>
      </c>
      <c r="S300" s="9"/>
      <c r="T300" s="9"/>
      <c r="U300" s="9"/>
      <c r="V300" s="9"/>
      <c r="W300" s="9"/>
      <c r="X300" s="9"/>
      <c r="Y300" s="9"/>
      <c r="Z300" s="9"/>
      <c r="AA300" s="9"/>
      <c r="AB300" s="9" t="str">
        <f>IFERROR(__xludf.DUMMYFUNCTION("""COMPUTED_VALUE"""),"Dave Poirier")</f>
        <v>Dave Poirier</v>
      </c>
      <c r="AC300" s="9"/>
      <c r="AD300" s="9"/>
      <c r="AE300" s="9">
        <f t="shared" si="8"/>
        <v>1</v>
      </c>
      <c r="AF300" s="19">
        <f t="shared" si="13"/>
        <v>2</v>
      </c>
      <c r="AG300" s="9"/>
      <c r="AH300" s="9"/>
      <c r="AI300" s="9"/>
    </row>
    <row r="301" ht="15.0" customHeight="1">
      <c r="A301" s="11">
        <v>300.0</v>
      </c>
      <c r="B301" s="12">
        <f t="shared" si="53"/>
        <v>39857</v>
      </c>
      <c r="C301" s="13">
        <v>2009.0</v>
      </c>
      <c r="D301" s="11" t="s">
        <v>102</v>
      </c>
      <c r="E301" s="11">
        <v>48.0</v>
      </c>
      <c r="F301" s="21" t="s">
        <v>552</v>
      </c>
      <c r="G301" s="15">
        <v>0.10354508196721307</v>
      </c>
      <c r="H301" s="11" t="s">
        <v>33</v>
      </c>
      <c r="I301" s="16">
        <v>4.376</v>
      </c>
      <c r="J301" s="11" t="s">
        <v>611</v>
      </c>
      <c r="K301" s="11" t="s">
        <v>65</v>
      </c>
      <c r="L301" s="11" t="s">
        <v>48</v>
      </c>
      <c r="M301" s="11" t="s">
        <v>28</v>
      </c>
      <c r="N301" s="11" t="s">
        <v>56</v>
      </c>
      <c r="O301" s="11" t="s">
        <v>650</v>
      </c>
      <c r="P301" s="11" t="s">
        <v>38</v>
      </c>
      <c r="Q301" s="20">
        <v>39860.0</v>
      </c>
      <c r="R301" s="17">
        <f t="shared" si="2"/>
        <v>36.23829361</v>
      </c>
      <c r="S301" s="9"/>
      <c r="T301" s="9"/>
      <c r="U301" s="9"/>
      <c r="V301" s="9"/>
      <c r="W301" s="9"/>
      <c r="X301" s="9"/>
      <c r="Y301" s="9"/>
      <c r="Z301" s="9"/>
      <c r="AA301" s="9"/>
      <c r="AB301" s="9" t="str">
        <f>IFERROR(__xludf.DUMMYFUNCTION("""COMPUTED_VALUE"""),"Tracy Blumstein")</f>
        <v>Tracy Blumstein</v>
      </c>
      <c r="AC301" s="9"/>
      <c r="AD301" s="9"/>
      <c r="AE301" s="9">
        <f t="shared" si="8"/>
        <v>4</v>
      </c>
      <c r="AF301" s="19">
        <f t="shared" si="13"/>
        <v>5</v>
      </c>
      <c r="AG301" s="9"/>
      <c r="AH301" s="9"/>
      <c r="AI301" s="9"/>
    </row>
    <row r="302" ht="15.0" customHeight="1">
      <c r="A302" s="11">
        <v>301.0</v>
      </c>
      <c r="B302" s="12">
        <f t="shared" ref="B302:B305" si="54">DATE(2012,12,31)-1416</f>
        <v>39858</v>
      </c>
      <c r="C302" s="13">
        <v>2009.0</v>
      </c>
      <c r="D302" s="11" t="s">
        <v>44</v>
      </c>
      <c r="E302" s="11">
        <v>4.0</v>
      </c>
      <c r="F302" s="21" t="s">
        <v>651</v>
      </c>
      <c r="G302" s="15">
        <v>0.048362264150943406</v>
      </c>
      <c r="H302" s="11" t="s">
        <v>33</v>
      </c>
      <c r="I302" s="16">
        <v>9.784</v>
      </c>
      <c r="J302" s="11" t="s">
        <v>202</v>
      </c>
      <c r="K302" s="11" t="s">
        <v>35</v>
      </c>
      <c r="L302" s="11" t="s">
        <v>27</v>
      </c>
      <c r="M302" s="11" t="s">
        <v>49</v>
      </c>
      <c r="N302" s="11" t="s">
        <v>73</v>
      </c>
      <c r="O302" s="11" t="s">
        <v>652</v>
      </c>
      <c r="P302" s="11" t="s">
        <v>75</v>
      </c>
      <c r="Q302" s="20">
        <v>39860.0</v>
      </c>
      <c r="R302" s="17">
        <f t="shared" si="2"/>
        <v>12.19618922</v>
      </c>
      <c r="S302" s="9"/>
      <c r="T302" s="9"/>
      <c r="U302" s="9"/>
      <c r="V302" s="9"/>
      <c r="W302" s="9"/>
      <c r="X302" s="9"/>
      <c r="Y302" s="9"/>
      <c r="Z302" s="9"/>
      <c r="AA302" s="9"/>
      <c r="AB302" s="9" t="str">
        <f>IFERROR(__xludf.DUMMYFUNCTION("""COMPUTED_VALUE"""),"Corey Lock")</f>
        <v>Corey Lock</v>
      </c>
      <c r="AC302" s="9"/>
      <c r="AD302" s="9"/>
      <c r="AE302" s="9">
        <f t="shared" si="8"/>
        <v>1</v>
      </c>
      <c r="AF302" s="19">
        <f t="shared" si="13"/>
        <v>2</v>
      </c>
      <c r="AG302" s="9"/>
      <c r="AH302" s="9"/>
      <c r="AI302" s="9"/>
    </row>
    <row r="303" ht="15.0" customHeight="1">
      <c r="A303" s="11">
        <v>302.0</v>
      </c>
      <c r="B303" s="12">
        <f t="shared" si="54"/>
        <v>39858</v>
      </c>
      <c r="C303" s="13">
        <v>2009.0</v>
      </c>
      <c r="D303" s="11" t="s">
        <v>32</v>
      </c>
      <c r="E303" s="11">
        <v>47.0</v>
      </c>
      <c r="F303" s="21" t="s">
        <v>306</v>
      </c>
      <c r="G303" s="15">
        <v>0.015624738821563029</v>
      </c>
      <c r="H303" s="11" t="s">
        <v>33</v>
      </c>
      <c r="I303" s="16">
        <v>6.944</v>
      </c>
      <c r="J303" s="11" t="s">
        <v>653</v>
      </c>
      <c r="K303" s="11" t="s">
        <v>65</v>
      </c>
      <c r="L303" s="11" t="s">
        <v>41</v>
      </c>
      <c r="M303" s="11" t="s">
        <v>28</v>
      </c>
      <c r="N303" s="11" t="s">
        <v>56</v>
      </c>
      <c r="O303" s="11" t="s">
        <v>401</v>
      </c>
      <c r="P303" s="11" t="s">
        <v>38</v>
      </c>
      <c r="Q303" s="20">
        <v>39860.0</v>
      </c>
      <c r="R303" s="17">
        <f t="shared" si="2"/>
        <v>14.72231641</v>
      </c>
      <c r="S303" s="9"/>
      <c r="T303" s="9"/>
      <c r="U303" s="9"/>
      <c r="V303" s="9"/>
      <c r="W303" s="9"/>
      <c r="X303" s="9"/>
      <c r="Y303" s="9"/>
      <c r="Z303" s="9"/>
      <c r="AA303" s="9"/>
      <c r="AB303" s="9" t="str">
        <f>IFERROR(__xludf.DUMMYFUNCTION("""COMPUTED_VALUE"""),"Michelle Ellison")</f>
        <v>Michelle Ellison</v>
      </c>
      <c r="AC303" s="9"/>
      <c r="AD303" s="9"/>
      <c r="AE303" s="9">
        <f t="shared" si="8"/>
        <v>3</v>
      </c>
      <c r="AF303" s="19">
        <f t="shared" si="13"/>
        <v>5</v>
      </c>
      <c r="AG303" s="9"/>
      <c r="AH303" s="9"/>
      <c r="AI303" s="9"/>
    </row>
    <row r="304" ht="15.0" customHeight="1">
      <c r="A304" s="11">
        <v>303.0</v>
      </c>
      <c r="B304" s="12">
        <f t="shared" si="54"/>
        <v>39858</v>
      </c>
      <c r="C304" s="13">
        <v>2009.0</v>
      </c>
      <c r="D304" s="11" t="s">
        <v>39</v>
      </c>
      <c r="E304" s="11">
        <v>8.0</v>
      </c>
      <c r="F304" s="21" t="s">
        <v>654</v>
      </c>
      <c r="G304" s="15">
        <v>0.08517515665075807</v>
      </c>
      <c r="H304" s="11" t="s">
        <v>45</v>
      </c>
      <c r="I304" s="16">
        <v>32.152</v>
      </c>
      <c r="J304" s="11" t="s">
        <v>617</v>
      </c>
      <c r="K304" s="11" t="s">
        <v>61</v>
      </c>
      <c r="L304" s="11" t="s">
        <v>27</v>
      </c>
      <c r="M304" s="11" t="s">
        <v>49</v>
      </c>
      <c r="N304" s="11" t="s">
        <v>85</v>
      </c>
      <c r="O304" s="11" t="s">
        <v>655</v>
      </c>
      <c r="P304" s="11" t="s">
        <v>87</v>
      </c>
      <c r="Q304" s="20">
        <v>39860.0</v>
      </c>
      <c r="R304" s="17">
        <f t="shared" si="2"/>
        <v>240.002468</v>
      </c>
      <c r="S304" s="9"/>
      <c r="T304" s="9"/>
      <c r="U304" s="9"/>
      <c r="V304" s="9"/>
      <c r="W304" s="9"/>
      <c r="X304" s="9"/>
      <c r="Y304" s="9"/>
      <c r="Z304" s="9"/>
      <c r="AA304" s="9"/>
      <c r="AB304" s="9" t="str">
        <f>IFERROR(__xludf.DUMMYFUNCTION("""COMPUTED_VALUE"""),"Alex Grayson")</f>
        <v>Alex Grayson</v>
      </c>
      <c r="AC304" s="9"/>
      <c r="AD304" s="9"/>
      <c r="AE304" s="9">
        <f t="shared" si="8"/>
        <v>1</v>
      </c>
      <c r="AF304" s="19">
        <f t="shared" si="13"/>
        <v>4</v>
      </c>
      <c r="AG304" s="9"/>
      <c r="AH304" s="9"/>
      <c r="AI304" s="9"/>
    </row>
    <row r="305" ht="15.0" customHeight="1">
      <c r="A305" s="11">
        <v>304.0</v>
      </c>
      <c r="B305" s="12">
        <f t="shared" si="54"/>
        <v>39858</v>
      </c>
      <c r="C305" s="13">
        <v>2009.0</v>
      </c>
      <c r="D305" s="11" t="s">
        <v>23</v>
      </c>
      <c r="E305" s="11">
        <v>34.0</v>
      </c>
      <c r="F305" s="21" t="s">
        <v>656</v>
      </c>
      <c r="G305" s="15">
        <v>0.03550779993064502</v>
      </c>
      <c r="H305" s="11" t="s">
        <v>45</v>
      </c>
      <c r="I305" s="16">
        <v>47.392</v>
      </c>
      <c r="J305" s="11" t="s">
        <v>657</v>
      </c>
      <c r="K305" s="11" t="s">
        <v>61</v>
      </c>
      <c r="L305" s="11" t="s">
        <v>41</v>
      </c>
      <c r="M305" s="11" t="s">
        <v>49</v>
      </c>
      <c r="N305" s="11" t="s">
        <v>85</v>
      </c>
      <c r="O305" s="11" t="s">
        <v>658</v>
      </c>
      <c r="P305" s="11" t="s">
        <v>87</v>
      </c>
      <c r="Q305" s="20">
        <v>39860.0</v>
      </c>
      <c r="R305" s="17">
        <f t="shared" si="2"/>
        <v>287.683911</v>
      </c>
      <c r="S305" s="9"/>
      <c r="T305" s="9"/>
      <c r="U305" s="9"/>
      <c r="V305" s="9"/>
      <c r="W305" s="9"/>
      <c r="X305" s="9"/>
      <c r="Y305" s="9"/>
      <c r="Z305" s="9"/>
      <c r="AA305" s="9"/>
      <c r="AB305" s="9" t="str">
        <f>IFERROR(__xludf.DUMMYFUNCTION("""COMPUTED_VALUE"""),"Christine Kargatis")</f>
        <v>Christine Kargatis</v>
      </c>
      <c r="AC305" s="9"/>
      <c r="AD305" s="9"/>
      <c r="AE305" s="9">
        <f t="shared" si="8"/>
        <v>3</v>
      </c>
      <c r="AF305" s="19">
        <f t="shared" si="13"/>
        <v>4</v>
      </c>
      <c r="AG305" s="9"/>
      <c r="AH305" s="9"/>
      <c r="AI305" s="9"/>
    </row>
    <row r="306" ht="15.0" customHeight="1">
      <c r="A306" s="11">
        <v>305.0</v>
      </c>
      <c r="B306" s="12">
        <f t="shared" ref="B306:B313" si="55">DATE(2012,12,31)-1415</f>
        <v>39859</v>
      </c>
      <c r="C306" s="13">
        <v>2009.0</v>
      </c>
      <c r="D306" s="11" t="s">
        <v>44</v>
      </c>
      <c r="E306" s="11">
        <v>13.0</v>
      </c>
      <c r="F306" s="21" t="s">
        <v>413</v>
      </c>
      <c r="G306" s="15">
        <v>0.07884217780840798</v>
      </c>
      <c r="H306" s="11" t="s">
        <v>33</v>
      </c>
      <c r="I306" s="16">
        <v>7.56</v>
      </c>
      <c r="J306" s="11" t="s">
        <v>659</v>
      </c>
      <c r="K306" s="11" t="s">
        <v>26</v>
      </c>
      <c r="L306" s="11" t="s">
        <v>48</v>
      </c>
      <c r="M306" s="11" t="s">
        <v>28</v>
      </c>
      <c r="N306" s="11" t="s">
        <v>29</v>
      </c>
      <c r="O306" s="11" t="s">
        <v>660</v>
      </c>
      <c r="P306" s="11" t="s">
        <v>38</v>
      </c>
      <c r="Q306" s="20">
        <v>39860.0</v>
      </c>
      <c r="R306" s="17">
        <f t="shared" si="2"/>
        <v>10.53804549</v>
      </c>
      <c r="S306" s="9"/>
      <c r="T306" s="9"/>
      <c r="U306" s="9"/>
      <c r="V306" s="9"/>
      <c r="W306" s="9"/>
      <c r="X306" s="9"/>
      <c r="Y306" s="9"/>
      <c r="Z306" s="9"/>
      <c r="AA306" s="9"/>
      <c r="AB306" s="9" t="str">
        <f>IFERROR(__xludf.DUMMYFUNCTION("""COMPUTED_VALUE"""),"Grant Thornton")</f>
        <v>Grant Thornton</v>
      </c>
      <c r="AC306" s="9"/>
      <c r="AD306" s="9"/>
      <c r="AE306" s="9">
        <f t="shared" si="8"/>
        <v>4</v>
      </c>
      <c r="AF306" s="19">
        <f t="shared" si="13"/>
        <v>1</v>
      </c>
      <c r="AG306" s="9"/>
      <c r="AH306" s="9"/>
      <c r="AI306" s="9"/>
    </row>
    <row r="307" ht="15.0" customHeight="1">
      <c r="A307" s="11">
        <v>306.0</v>
      </c>
      <c r="B307" s="12">
        <f t="shared" si="55"/>
        <v>39859</v>
      </c>
      <c r="C307" s="13">
        <v>2009.0</v>
      </c>
      <c r="D307" s="11" t="s">
        <v>23</v>
      </c>
      <c r="E307" s="11">
        <v>30.0</v>
      </c>
      <c r="F307" s="21" t="s">
        <v>661</v>
      </c>
      <c r="G307" s="15">
        <v>0.010673370147531563</v>
      </c>
      <c r="H307" s="11" t="s">
        <v>33</v>
      </c>
      <c r="I307" s="16">
        <v>4.4</v>
      </c>
      <c r="J307" s="11" t="s">
        <v>662</v>
      </c>
      <c r="K307" s="11" t="s">
        <v>61</v>
      </c>
      <c r="L307" s="11" t="s">
        <v>41</v>
      </c>
      <c r="M307" s="11" t="s">
        <v>66</v>
      </c>
      <c r="N307" s="11" t="s">
        <v>67</v>
      </c>
      <c r="O307" s="11" t="s">
        <v>663</v>
      </c>
      <c r="P307" s="11" t="s">
        <v>38</v>
      </c>
      <c r="Q307" s="20">
        <v>39861.0</v>
      </c>
      <c r="R307" s="17">
        <f t="shared" si="2"/>
        <v>51.24711943</v>
      </c>
      <c r="S307" s="9"/>
      <c r="T307" s="9"/>
      <c r="U307" s="9"/>
      <c r="V307" s="9"/>
      <c r="W307" s="9"/>
      <c r="X307" s="9"/>
      <c r="Y307" s="9"/>
      <c r="Z307" s="9"/>
      <c r="AA307" s="9"/>
      <c r="AB307" s="9" t="str">
        <f>IFERROR(__xludf.DUMMYFUNCTION("""COMPUTED_VALUE"""),"Nora Pelletier")</f>
        <v>Nora Pelletier</v>
      </c>
      <c r="AC307" s="9"/>
      <c r="AD307" s="9"/>
      <c r="AE307" s="9">
        <f t="shared" si="8"/>
        <v>3</v>
      </c>
      <c r="AF307" s="19">
        <f t="shared" si="13"/>
        <v>4</v>
      </c>
      <c r="AG307" s="9"/>
      <c r="AH307" s="9"/>
      <c r="AI307" s="9"/>
    </row>
    <row r="308" ht="15.0" customHeight="1">
      <c r="A308" s="11">
        <v>307.0</v>
      </c>
      <c r="B308" s="12">
        <f t="shared" si="55"/>
        <v>39859</v>
      </c>
      <c r="C308" s="13">
        <v>2009.0</v>
      </c>
      <c r="D308" s="11" t="s">
        <v>23</v>
      </c>
      <c r="E308" s="11">
        <v>34.0</v>
      </c>
      <c r="F308" s="21" t="s">
        <v>509</v>
      </c>
      <c r="G308" s="15">
        <v>0.09326048096057211</v>
      </c>
      <c r="H308" s="11" t="s">
        <v>33</v>
      </c>
      <c r="I308" s="16">
        <v>15.991999999999999</v>
      </c>
      <c r="J308" s="11" t="s">
        <v>662</v>
      </c>
      <c r="K308" s="11" t="s">
        <v>61</v>
      </c>
      <c r="L308" s="11" t="s">
        <v>41</v>
      </c>
      <c r="M308" s="11" t="s">
        <v>49</v>
      </c>
      <c r="N308" s="11" t="s">
        <v>73</v>
      </c>
      <c r="O308" s="11" t="s">
        <v>664</v>
      </c>
      <c r="P308" s="11" t="s">
        <v>38</v>
      </c>
      <c r="Q308" s="20">
        <v>39861.0</v>
      </c>
      <c r="R308" s="17">
        <f t="shared" si="2"/>
        <v>250.7207309</v>
      </c>
      <c r="S308" s="9"/>
      <c r="T308" s="9"/>
      <c r="U308" s="9"/>
      <c r="V308" s="9"/>
      <c r="W308" s="9"/>
      <c r="X308" s="9"/>
      <c r="Y308" s="9"/>
      <c r="Z308" s="9"/>
      <c r="AA308" s="9"/>
      <c r="AB308" s="9" t="str">
        <f>IFERROR(__xludf.DUMMYFUNCTION("""COMPUTED_VALUE"""),"Jay Fine")</f>
        <v>Jay Fine</v>
      </c>
      <c r="AC308" s="9"/>
      <c r="AD308" s="9"/>
      <c r="AE308" s="9">
        <f t="shared" si="8"/>
        <v>3</v>
      </c>
      <c r="AF308" s="19">
        <f t="shared" si="13"/>
        <v>4</v>
      </c>
      <c r="AG308" s="9"/>
      <c r="AH308" s="9"/>
      <c r="AI308" s="9"/>
    </row>
    <row r="309" ht="15.0" customHeight="1">
      <c r="A309" s="11">
        <v>308.0</v>
      </c>
      <c r="B309" s="12">
        <f t="shared" si="55"/>
        <v>39859</v>
      </c>
      <c r="C309" s="13">
        <v>2009.0</v>
      </c>
      <c r="D309" s="11" t="s">
        <v>44</v>
      </c>
      <c r="E309" s="11">
        <v>4.0</v>
      </c>
      <c r="F309" s="21" t="s">
        <v>264</v>
      </c>
      <c r="G309" s="15">
        <v>0.09313131313131319</v>
      </c>
      <c r="H309" s="11" t="s">
        <v>24</v>
      </c>
      <c r="I309" s="16">
        <v>1.1119999999999999</v>
      </c>
      <c r="J309" s="11" t="s">
        <v>665</v>
      </c>
      <c r="K309" s="11" t="s">
        <v>65</v>
      </c>
      <c r="L309" s="11" t="s">
        <v>36</v>
      </c>
      <c r="M309" s="11" t="s">
        <v>28</v>
      </c>
      <c r="N309" s="11" t="s">
        <v>236</v>
      </c>
      <c r="O309" s="11" t="s">
        <v>265</v>
      </c>
      <c r="P309" s="11" t="s">
        <v>38</v>
      </c>
      <c r="Q309" s="20">
        <v>39861.0</v>
      </c>
      <c r="R309" s="17">
        <f t="shared" si="2"/>
        <v>3.344531717</v>
      </c>
      <c r="S309" s="9"/>
      <c r="T309" s="9"/>
      <c r="U309" s="9"/>
      <c r="V309" s="9"/>
      <c r="W309" s="9"/>
      <c r="X309" s="9"/>
      <c r="Y309" s="9"/>
      <c r="Z309" s="9"/>
      <c r="AA309" s="9"/>
      <c r="AB309" s="9" t="str">
        <f>IFERROR(__xludf.DUMMYFUNCTION("""COMPUTED_VALUE"""),"Kelly Lampkin")</f>
        <v>Kelly Lampkin</v>
      </c>
      <c r="AC309" s="9"/>
      <c r="AD309" s="9"/>
      <c r="AE309" s="9">
        <f t="shared" si="8"/>
        <v>2</v>
      </c>
      <c r="AF309" s="19">
        <f t="shared" si="13"/>
        <v>5</v>
      </c>
      <c r="AG309" s="9"/>
      <c r="AH309" s="9"/>
      <c r="AI309" s="9"/>
    </row>
    <row r="310" ht="15.0" customHeight="1">
      <c r="A310" s="11">
        <v>309.0</v>
      </c>
      <c r="B310" s="12">
        <f t="shared" si="55"/>
        <v>39859</v>
      </c>
      <c r="C310" s="13">
        <v>2009.0</v>
      </c>
      <c r="D310" s="11" t="s">
        <v>44</v>
      </c>
      <c r="E310" s="11">
        <v>3.0</v>
      </c>
      <c r="F310" s="21" t="s">
        <v>304</v>
      </c>
      <c r="G310" s="15">
        <v>0.1096935933147633</v>
      </c>
      <c r="H310" s="11" t="s">
        <v>33</v>
      </c>
      <c r="I310" s="16">
        <v>7.224</v>
      </c>
      <c r="J310" s="11" t="s">
        <v>665</v>
      </c>
      <c r="K310" s="11" t="s">
        <v>65</v>
      </c>
      <c r="L310" s="11" t="s">
        <v>36</v>
      </c>
      <c r="M310" s="11" t="s">
        <v>28</v>
      </c>
      <c r="N310" s="11" t="s">
        <v>56</v>
      </c>
      <c r="O310" s="11" t="s">
        <v>388</v>
      </c>
      <c r="P310" s="11" t="s">
        <v>38</v>
      </c>
      <c r="Q310" s="20">
        <v>39861.0</v>
      </c>
      <c r="R310" s="17">
        <f t="shared" si="2"/>
        <v>7.012053259</v>
      </c>
      <c r="S310" s="9"/>
      <c r="T310" s="9"/>
      <c r="U310" s="9"/>
      <c r="V310" s="9"/>
      <c r="W310" s="9"/>
      <c r="X310" s="9"/>
      <c r="Y310" s="9"/>
      <c r="Z310" s="9"/>
      <c r="AA310" s="9"/>
      <c r="AB310" s="9" t="str">
        <f>IFERROR(__xludf.DUMMYFUNCTION("""COMPUTED_VALUE"""),"Stuart Van")</f>
        <v>Stuart Van</v>
      </c>
      <c r="AC310" s="9"/>
      <c r="AD310" s="9"/>
      <c r="AE310" s="9">
        <f t="shared" si="8"/>
        <v>2</v>
      </c>
      <c r="AF310" s="19">
        <f t="shared" si="13"/>
        <v>5</v>
      </c>
      <c r="AG310" s="9"/>
      <c r="AH310" s="9"/>
      <c r="AI310" s="9"/>
    </row>
    <row r="311" ht="15.0" customHeight="1">
      <c r="A311" s="11">
        <v>310.0</v>
      </c>
      <c r="B311" s="12">
        <f t="shared" si="55"/>
        <v>39859</v>
      </c>
      <c r="C311" s="13">
        <v>2009.0</v>
      </c>
      <c r="D311" s="11" t="s">
        <v>39</v>
      </c>
      <c r="E311" s="11">
        <v>23.0</v>
      </c>
      <c r="F311" s="21" t="s">
        <v>666</v>
      </c>
      <c r="G311" s="15">
        <v>0.03178142076502749</v>
      </c>
      <c r="H311" s="11" t="s">
        <v>33</v>
      </c>
      <c r="I311" s="16">
        <v>1.192</v>
      </c>
      <c r="J311" s="11" t="s">
        <v>353</v>
      </c>
      <c r="K311" s="11" t="s">
        <v>83</v>
      </c>
      <c r="L311" s="11" t="s">
        <v>41</v>
      </c>
      <c r="M311" s="11" t="s">
        <v>28</v>
      </c>
      <c r="N311" s="11" t="s">
        <v>42</v>
      </c>
      <c r="O311" s="11" t="s">
        <v>667</v>
      </c>
      <c r="P311" s="11" t="s">
        <v>38</v>
      </c>
      <c r="Q311" s="20">
        <v>39861.0</v>
      </c>
      <c r="R311" s="17">
        <f t="shared" si="2"/>
        <v>2.815579628</v>
      </c>
      <c r="S311" s="9"/>
      <c r="T311" s="9"/>
      <c r="U311" s="9"/>
      <c r="V311" s="9"/>
      <c r="W311" s="9"/>
      <c r="X311" s="9"/>
      <c r="Y311" s="9"/>
      <c r="Z311" s="9"/>
      <c r="AA311" s="9"/>
      <c r="AB311" s="9" t="str">
        <f>IFERROR(__xludf.DUMMYFUNCTION("""COMPUTED_VALUE"""),"Parhena Norris")</f>
        <v>Parhena Norris</v>
      </c>
      <c r="AC311" s="9"/>
      <c r="AD311" s="9"/>
      <c r="AE311" s="9">
        <f t="shared" si="8"/>
        <v>3</v>
      </c>
      <c r="AF311" s="19" t="b">
        <f t="shared" si="13"/>
        <v>0</v>
      </c>
      <c r="AG311" s="9"/>
      <c r="AH311" s="9"/>
      <c r="AI311" s="9"/>
    </row>
    <row r="312" ht="15.0" customHeight="1">
      <c r="A312" s="11">
        <v>311.0</v>
      </c>
      <c r="B312" s="12">
        <f t="shared" si="55"/>
        <v>39859</v>
      </c>
      <c r="C312" s="13">
        <v>2009.0</v>
      </c>
      <c r="D312" s="11" t="s">
        <v>39</v>
      </c>
      <c r="E312" s="11">
        <v>20.0</v>
      </c>
      <c r="F312" s="21" t="s">
        <v>668</v>
      </c>
      <c r="G312" s="15">
        <v>0.07611853573503774</v>
      </c>
      <c r="H312" s="11" t="s">
        <v>33</v>
      </c>
      <c r="I312" s="16">
        <v>1.0</v>
      </c>
      <c r="J312" s="11" t="s">
        <v>353</v>
      </c>
      <c r="K312" s="11" t="s">
        <v>83</v>
      </c>
      <c r="L312" s="11" t="s">
        <v>41</v>
      </c>
      <c r="M312" s="11" t="s">
        <v>28</v>
      </c>
      <c r="N312" s="11" t="s">
        <v>56</v>
      </c>
      <c r="O312" s="11" t="s">
        <v>669</v>
      </c>
      <c r="P312" s="11" t="s">
        <v>58</v>
      </c>
      <c r="Q312" s="20">
        <v>39862.0</v>
      </c>
      <c r="R312" s="17">
        <f t="shared" si="2"/>
        <v>12.10284718</v>
      </c>
      <c r="S312" s="9"/>
      <c r="T312" s="9"/>
      <c r="U312" s="9"/>
      <c r="V312" s="9"/>
      <c r="W312" s="9"/>
      <c r="X312" s="9"/>
      <c r="Y312" s="9"/>
      <c r="Z312" s="9"/>
      <c r="AA312" s="9"/>
      <c r="AB312" s="9" t="str">
        <f>IFERROR(__xludf.DUMMYFUNCTION("""COMPUTED_VALUE"""),"Emily Ducich")</f>
        <v>Emily Ducich</v>
      </c>
      <c r="AC312" s="9"/>
      <c r="AD312" s="9"/>
      <c r="AE312" s="9">
        <f t="shared" si="8"/>
        <v>3</v>
      </c>
      <c r="AF312" s="19" t="b">
        <f t="shared" si="13"/>
        <v>0</v>
      </c>
      <c r="AG312" s="9"/>
      <c r="AH312" s="9"/>
      <c r="AI312" s="9"/>
    </row>
    <row r="313" ht="15.0" customHeight="1">
      <c r="A313" s="11">
        <v>312.0</v>
      </c>
      <c r="B313" s="12">
        <f t="shared" si="55"/>
        <v>39859</v>
      </c>
      <c r="C313" s="13">
        <v>2009.0</v>
      </c>
      <c r="D313" s="11" t="s">
        <v>39</v>
      </c>
      <c r="E313" s="11">
        <v>46.0</v>
      </c>
      <c r="F313" s="21" t="s">
        <v>670</v>
      </c>
      <c r="G313" s="15">
        <v>0.066148975267759</v>
      </c>
      <c r="H313" s="11" t="s">
        <v>45</v>
      </c>
      <c r="I313" s="16">
        <v>60.184000000000005</v>
      </c>
      <c r="J313" s="11" t="s">
        <v>353</v>
      </c>
      <c r="K313" s="11" t="s">
        <v>83</v>
      </c>
      <c r="L313" s="11" t="s">
        <v>41</v>
      </c>
      <c r="M313" s="11" t="s">
        <v>49</v>
      </c>
      <c r="N313" s="11" t="s">
        <v>85</v>
      </c>
      <c r="O313" s="11" t="s">
        <v>671</v>
      </c>
      <c r="P313" s="11" t="s">
        <v>87</v>
      </c>
      <c r="Q313" s="20">
        <v>39862.0</v>
      </c>
      <c r="R313" s="17">
        <f t="shared" si="2"/>
        <v>1274.067895</v>
      </c>
      <c r="S313" s="9"/>
      <c r="T313" s="9"/>
      <c r="U313" s="9"/>
      <c r="V313" s="9"/>
      <c r="W313" s="9"/>
      <c r="X313" s="9"/>
      <c r="Y313" s="9"/>
      <c r="Z313" s="9"/>
      <c r="AA313" s="9"/>
      <c r="AB313" s="9" t="str">
        <f>IFERROR(__xludf.DUMMYFUNCTION("""COMPUTED_VALUE"""),"Evan Henry")</f>
        <v>Evan Henry</v>
      </c>
      <c r="AC313" s="9"/>
      <c r="AD313" s="9"/>
      <c r="AE313" s="9">
        <f t="shared" si="8"/>
        <v>3</v>
      </c>
      <c r="AF313" s="19" t="b">
        <f t="shared" si="13"/>
        <v>0</v>
      </c>
      <c r="AG313" s="9"/>
      <c r="AH313" s="9"/>
      <c r="AI313" s="9"/>
    </row>
    <row r="314" ht="15.0" customHeight="1">
      <c r="A314" s="11">
        <v>313.0</v>
      </c>
      <c r="B314" s="12">
        <f t="shared" ref="B314:B319" si="56">DATE(2012,12,31)-1414</f>
        <v>39860</v>
      </c>
      <c r="C314" s="13">
        <v>2009.0</v>
      </c>
      <c r="D314" s="11" t="s">
        <v>44</v>
      </c>
      <c r="E314" s="11">
        <v>37.0</v>
      </c>
      <c r="F314" s="21" t="s">
        <v>322</v>
      </c>
      <c r="G314" s="15">
        <v>0.04194485621108812</v>
      </c>
      <c r="H314" s="11" t="s">
        <v>33</v>
      </c>
      <c r="I314" s="16">
        <v>4.952000000000001</v>
      </c>
      <c r="J314" s="11" t="s">
        <v>608</v>
      </c>
      <c r="K314" s="11" t="s">
        <v>35</v>
      </c>
      <c r="L314" s="11" t="s">
        <v>27</v>
      </c>
      <c r="M314" s="11" t="s">
        <v>28</v>
      </c>
      <c r="N314" s="11" t="s">
        <v>42</v>
      </c>
      <c r="O314" s="11" t="s">
        <v>324</v>
      </c>
      <c r="P314" s="11" t="s">
        <v>38</v>
      </c>
      <c r="Q314" s="20">
        <v>39862.0</v>
      </c>
      <c r="R314" s="17">
        <f t="shared" si="2"/>
        <v>13.55456417</v>
      </c>
      <c r="S314" s="9"/>
      <c r="T314" s="9"/>
      <c r="U314" s="9"/>
      <c r="V314" s="9"/>
      <c r="W314" s="9"/>
      <c r="X314" s="9"/>
      <c r="Y314" s="9"/>
      <c r="Z314" s="9"/>
      <c r="AA314" s="9"/>
      <c r="AB314" s="9" t="str">
        <f>IFERROR(__xludf.DUMMYFUNCTION("""COMPUTED_VALUE"""),"Roy Collins")</f>
        <v>Roy Collins</v>
      </c>
      <c r="AC314" s="9"/>
      <c r="AD314" s="9"/>
      <c r="AE314" s="9">
        <f t="shared" si="8"/>
        <v>1</v>
      </c>
      <c r="AF314" s="19">
        <f t="shared" si="13"/>
        <v>2</v>
      </c>
      <c r="AG314" s="9"/>
      <c r="AH314" s="9"/>
      <c r="AI314" s="9"/>
    </row>
    <row r="315" ht="15.0" customHeight="1">
      <c r="A315" s="11">
        <v>314.0</v>
      </c>
      <c r="B315" s="12">
        <f t="shared" si="56"/>
        <v>39860</v>
      </c>
      <c r="C315" s="13">
        <v>2009.0</v>
      </c>
      <c r="D315" s="11" t="s">
        <v>44</v>
      </c>
      <c r="E315" s="11">
        <v>15.0</v>
      </c>
      <c r="F315" s="21" t="s">
        <v>169</v>
      </c>
      <c r="G315" s="15">
        <v>0.06597176094485387</v>
      </c>
      <c r="H315" s="11" t="s">
        <v>33</v>
      </c>
      <c r="I315" s="16">
        <v>19.592</v>
      </c>
      <c r="J315" s="11" t="s">
        <v>608</v>
      </c>
      <c r="K315" s="11" t="s">
        <v>35</v>
      </c>
      <c r="L315" s="11" t="s">
        <v>27</v>
      </c>
      <c r="M315" s="11" t="s">
        <v>66</v>
      </c>
      <c r="N315" s="11" t="s">
        <v>170</v>
      </c>
      <c r="O315" s="11" t="s">
        <v>672</v>
      </c>
      <c r="P315" s="11" t="s">
        <v>31</v>
      </c>
      <c r="Q315" s="20">
        <v>39862.0</v>
      </c>
      <c r="R315" s="17">
        <f t="shared" si="2"/>
        <v>693.897051</v>
      </c>
      <c r="S315" s="9"/>
      <c r="T315" s="9"/>
      <c r="U315" s="9"/>
      <c r="V315" s="9"/>
      <c r="W315" s="9"/>
      <c r="X315" s="9"/>
      <c r="Y315" s="9"/>
      <c r="Z315" s="9"/>
      <c r="AA315" s="9"/>
      <c r="AB315" s="9" t="str">
        <f>IFERROR(__xludf.DUMMYFUNCTION("""COMPUTED_VALUE"""),"Roy French")</f>
        <v>Roy French</v>
      </c>
      <c r="AC315" s="9"/>
      <c r="AD315" s="9"/>
      <c r="AE315" s="9">
        <f t="shared" si="8"/>
        <v>1</v>
      </c>
      <c r="AF315" s="19">
        <f t="shared" si="13"/>
        <v>2</v>
      </c>
      <c r="AG315" s="9"/>
      <c r="AH315" s="9"/>
      <c r="AI315" s="9"/>
    </row>
    <row r="316" ht="15.0" customHeight="1">
      <c r="A316" s="11">
        <v>315.0</v>
      </c>
      <c r="B316" s="12">
        <f t="shared" si="56"/>
        <v>39860</v>
      </c>
      <c r="C316" s="13">
        <v>2009.0</v>
      </c>
      <c r="D316" s="11" t="s">
        <v>44</v>
      </c>
      <c r="E316" s="11">
        <v>15.0</v>
      </c>
      <c r="F316" s="21" t="s">
        <v>245</v>
      </c>
      <c r="G316" s="15">
        <v>0.05177848775292874</v>
      </c>
      <c r="H316" s="11" t="s">
        <v>33</v>
      </c>
      <c r="I316" s="16">
        <v>5.5760000000000005</v>
      </c>
      <c r="J316" s="11" t="s">
        <v>673</v>
      </c>
      <c r="K316" s="11" t="s">
        <v>61</v>
      </c>
      <c r="L316" s="11" t="s">
        <v>27</v>
      </c>
      <c r="M316" s="11" t="s">
        <v>28</v>
      </c>
      <c r="N316" s="11" t="s">
        <v>236</v>
      </c>
      <c r="O316" s="11" t="s">
        <v>376</v>
      </c>
      <c r="P316" s="11" t="s">
        <v>38</v>
      </c>
      <c r="Q316" s="20">
        <v>39863.0</v>
      </c>
      <c r="R316" s="17">
        <f t="shared" si="2"/>
        <v>9.220505985</v>
      </c>
      <c r="S316" s="9"/>
      <c r="T316" s="9"/>
      <c r="U316" s="9"/>
      <c r="V316" s="9"/>
      <c r="W316" s="9"/>
      <c r="X316" s="9"/>
      <c r="Y316" s="9"/>
      <c r="Z316" s="9"/>
      <c r="AA316" s="9"/>
      <c r="AB316" s="9" t="str">
        <f>IFERROR(__xludf.DUMMYFUNCTION("""COMPUTED_VALUE"""),"Brad Thomas")</f>
        <v>Brad Thomas</v>
      </c>
      <c r="AC316" s="9"/>
      <c r="AD316" s="9"/>
      <c r="AE316" s="9">
        <f t="shared" si="8"/>
        <v>1</v>
      </c>
      <c r="AF316" s="19">
        <f t="shared" si="13"/>
        <v>4</v>
      </c>
      <c r="AG316" s="9"/>
      <c r="AH316" s="9"/>
      <c r="AI316" s="9"/>
    </row>
    <row r="317" ht="15.0" customHeight="1">
      <c r="A317" s="11">
        <v>316.0</v>
      </c>
      <c r="B317" s="12">
        <f t="shared" si="56"/>
        <v>39860</v>
      </c>
      <c r="C317" s="13">
        <v>2009.0</v>
      </c>
      <c r="D317" s="11" t="s">
        <v>102</v>
      </c>
      <c r="E317" s="11">
        <v>28.0</v>
      </c>
      <c r="F317" s="21" t="s">
        <v>638</v>
      </c>
      <c r="G317" s="15">
        <v>0.005664062500000122</v>
      </c>
      <c r="H317" s="11" t="s">
        <v>33</v>
      </c>
      <c r="I317" s="16">
        <v>4.84</v>
      </c>
      <c r="J317" s="11" t="s">
        <v>674</v>
      </c>
      <c r="K317" s="11" t="s">
        <v>61</v>
      </c>
      <c r="L317" s="11" t="s">
        <v>36</v>
      </c>
      <c r="M317" s="11" t="s">
        <v>28</v>
      </c>
      <c r="N317" s="11" t="s">
        <v>42</v>
      </c>
      <c r="O317" s="11" t="s">
        <v>640</v>
      </c>
      <c r="P317" s="11" t="s">
        <v>38</v>
      </c>
      <c r="Q317" s="20">
        <v>39863.0</v>
      </c>
      <c r="R317" s="17">
        <f t="shared" si="2"/>
        <v>1.153429688</v>
      </c>
      <c r="S317" s="9"/>
      <c r="T317" s="9"/>
      <c r="U317" s="9"/>
      <c r="V317" s="9"/>
      <c r="W317" s="9"/>
      <c r="X317" s="9"/>
      <c r="Y317" s="9"/>
      <c r="Z317" s="9"/>
      <c r="AA317" s="9"/>
      <c r="AB317" s="9" t="str">
        <f>IFERROR(__xludf.DUMMYFUNCTION("""COMPUTED_VALUE"""),"Shahid Shariari")</f>
        <v>Shahid Shariari</v>
      </c>
      <c r="AC317" s="9"/>
      <c r="AD317" s="9"/>
      <c r="AE317" s="9">
        <f t="shared" si="8"/>
        <v>2</v>
      </c>
      <c r="AF317" s="19">
        <f t="shared" si="13"/>
        <v>4</v>
      </c>
      <c r="AG317" s="9"/>
      <c r="AH317" s="9"/>
      <c r="AI317" s="9"/>
    </row>
    <row r="318" ht="15.0" customHeight="1">
      <c r="A318" s="11">
        <v>317.0</v>
      </c>
      <c r="B318" s="12">
        <f t="shared" si="56"/>
        <v>39860</v>
      </c>
      <c r="C318" s="13">
        <v>2009.0</v>
      </c>
      <c r="D318" s="11" t="s">
        <v>102</v>
      </c>
      <c r="E318" s="11">
        <v>41.0</v>
      </c>
      <c r="F318" s="21" t="s">
        <v>126</v>
      </c>
      <c r="G318" s="15">
        <v>0.0294307400379507</v>
      </c>
      <c r="H318" s="11" t="s">
        <v>24</v>
      </c>
      <c r="I318" s="16">
        <v>3.696</v>
      </c>
      <c r="J318" s="11" t="s">
        <v>674</v>
      </c>
      <c r="K318" s="11" t="s">
        <v>61</v>
      </c>
      <c r="L318" s="11" t="s">
        <v>36</v>
      </c>
      <c r="M318" s="11" t="s">
        <v>66</v>
      </c>
      <c r="N318" s="11" t="s">
        <v>67</v>
      </c>
      <c r="O318" s="11" t="s">
        <v>675</v>
      </c>
      <c r="P318" s="11" t="s">
        <v>99</v>
      </c>
      <c r="Q318" s="20">
        <v>39863.0</v>
      </c>
      <c r="R318" s="17">
        <f t="shared" si="2"/>
        <v>6.021411689</v>
      </c>
      <c r="S318" s="9"/>
      <c r="T318" s="9"/>
      <c r="U318" s="9"/>
      <c r="V318" s="9"/>
      <c r="W318" s="9"/>
      <c r="X318" s="9"/>
      <c r="Y318" s="9"/>
      <c r="Z318" s="9"/>
      <c r="AA318" s="9"/>
      <c r="AB318" s="9" t="str">
        <f>IFERROR(__xludf.DUMMYFUNCTION("""COMPUTED_VALUE"""),"Duane Benoit")</f>
        <v>Duane Benoit</v>
      </c>
      <c r="AC318" s="9"/>
      <c r="AD318" s="9"/>
      <c r="AE318" s="9">
        <f t="shared" si="8"/>
        <v>2</v>
      </c>
      <c r="AF318" s="19">
        <f t="shared" si="13"/>
        <v>4</v>
      </c>
      <c r="AG318" s="9"/>
      <c r="AH318" s="9"/>
      <c r="AI318" s="9"/>
    </row>
    <row r="319" ht="15.0" customHeight="1">
      <c r="A319" s="11">
        <v>318.0</v>
      </c>
      <c r="B319" s="12">
        <f t="shared" si="56"/>
        <v>39860</v>
      </c>
      <c r="C319" s="13">
        <v>2009.0</v>
      </c>
      <c r="D319" s="11" t="s">
        <v>102</v>
      </c>
      <c r="E319" s="11">
        <v>24.0</v>
      </c>
      <c r="F319" s="21" t="s">
        <v>676</v>
      </c>
      <c r="G319" s="15">
        <v>0.07119945167923258</v>
      </c>
      <c r="H319" s="11" t="s">
        <v>33</v>
      </c>
      <c r="I319" s="16">
        <v>1.1119999999999999</v>
      </c>
      <c r="J319" s="11" t="s">
        <v>674</v>
      </c>
      <c r="K319" s="11" t="s">
        <v>61</v>
      </c>
      <c r="L319" s="11" t="s">
        <v>36</v>
      </c>
      <c r="M319" s="11" t="s">
        <v>28</v>
      </c>
      <c r="N319" s="11" t="s">
        <v>236</v>
      </c>
      <c r="O319" s="11" t="s">
        <v>677</v>
      </c>
      <c r="P319" s="11" t="s">
        <v>38</v>
      </c>
      <c r="Q319" s="20">
        <v>39863.0</v>
      </c>
      <c r="R319" s="17">
        <f t="shared" si="2"/>
        <v>9.648380096</v>
      </c>
      <c r="S319" s="9"/>
      <c r="T319" s="9"/>
      <c r="U319" s="9"/>
      <c r="V319" s="9"/>
      <c r="W319" s="9"/>
      <c r="X319" s="9"/>
      <c r="Y319" s="9"/>
      <c r="Z319" s="9"/>
      <c r="AA319" s="9"/>
      <c r="AB319" s="9" t="str">
        <f>IFERROR(__xludf.DUMMYFUNCTION("""COMPUTED_VALUE"""),"David Kendrick")</f>
        <v>David Kendrick</v>
      </c>
      <c r="AC319" s="9"/>
      <c r="AD319" s="9"/>
      <c r="AE319" s="9">
        <f t="shared" si="8"/>
        <v>2</v>
      </c>
      <c r="AF319" s="19">
        <f t="shared" si="13"/>
        <v>4</v>
      </c>
      <c r="AG319" s="9"/>
      <c r="AH319" s="9"/>
      <c r="AI319" s="9"/>
    </row>
    <row r="320" ht="15.0" customHeight="1">
      <c r="A320" s="11">
        <v>319.0</v>
      </c>
      <c r="B320" s="12">
        <f t="shared" ref="B320:B324" si="57">DATE(2012,12,31)-1413</f>
        <v>39861</v>
      </c>
      <c r="C320" s="13">
        <v>2009.0</v>
      </c>
      <c r="D320" s="11" t="s">
        <v>39</v>
      </c>
      <c r="E320" s="11">
        <v>2.0</v>
      </c>
      <c r="F320" s="21" t="s">
        <v>678</v>
      </c>
      <c r="G320" s="15">
        <v>0.07973154362416111</v>
      </c>
      <c r="H320" s="11" t="s">
        <v>24</v>
      </c>
      <c r="I320" s="16">
        <v>1.7120000000000002</v>
      </c>
      <c r="J320" s="11" t="s">
        <v>679</v>
      </c>
      <c r="K320" s="11" t="s">
        <v>61</v>
      </c>
      <c r="L320" s="11" t="s">
        <v>48</v>
      </c>
      <c r="M320" s="11" t="s">
        <v>28</v>
      </c>
      <c r="N320" s="11" t="s">
        <v>56</v>
      </c>
      <c r="O320" s="11" t="s">
        <v>680</v>
      </c>
      <c r="P320" s="11" t="s">
        <v>58</v>
      </c>
      <c r="Q320" s="20">
        <v>39863.0</v>
      </c>
      <c r="R320" s="17">
        <f t="shared" si="2"/>
        <v>1.093278926</v>
      </c>
      <c r="S320" s="9"/>
      <c r="T320" s="9"/>
      <c r="U320" s="9"/>
      <c r="V320" s="9"/>
      <c r="W320" s="9"/>
      <c r="X320" s="9"/>
      <c r="Y320" s="9"/>
      <c r="Z320" s="9"/>
      <c r="AA320" s="9"/>
      <c r="AB320" s="9" t="str">
        <f>IFERROR(__xludf.DUMMYFUNCTION("""COMPUTED_VALUE"""),"Ellis Ballard")</f>
        <v>Ellis Ballard</v>
      </c>
      <c r="AC320" s="9"/>
      <c r="AD320" s="9"/>
      <c r="AE320" s="9">
        <f t="shared" si="8"/>
        <v>4</v>
      </c>
      <c r="AF320" s="19">
        <f t="shared" si="13"/>
        <v>4</v>
      </c>
      <c r="AG320" s="9"/>
      <c r="AH320" s="9"/>
      <c r="AI320" s="9"/>
    </row>
    <row r="321" ht="15.0" customHeight="1">
      <c r="A321" s="11">
        <v>320.0</v>
      </c>
      <c r="B321" s="12">
        <f t="shared" si="57"/>
        <v>39861</v>
      </c>
      <c r="C321" s="13">
        <v>2009.0</v>
      </c>
      <c r="D321" s="11" t="s">
        <v>32</v>
      </c>
      <c r="E321" s="11">
        <v>44.0</v>
      </c>
      <c r="F321" s="21" t="s">
        <v>207</v>
      </c>
      <c r="G321" s="15">
        <v>0.029287185826122802</v>
      </c>
      <c r="H321" s="11" t="s">
        <v>33</v>
      </c>
      <c r="I321" s="16">
        <v>2.3920000000000003</v>
      </c>
      <c r="J321" s="11" t="s">
        <v>681</v>
      </c>
      <c r="K321" s="11" t="s">
        <v>61</v>
      </c>
      <c r="L321" s="11" t="s">
        <v>41</v>
      </c>
      <c r="M321" s="11" t="s">
        <v>28</v>
      </c>
      <c r="N321" s="11" t="s">
        <v>42</v>
      </c>
      <c r="O321" s="11" t="s">
        <v>682</v>
      </c>
      <c r="P321" s="11" t="s">
        <v>38</v>
      </c>
      <c r="Q321" s="20">
        <v>39864.0</v>
      </c>
      <c r="R321" s="17">
        <f t="shared" si="2"/>
        <v>6.899826683</v>
      </c>
      <c r="S321" s="9"/>
      <c r="T321" s="9"/>
      <c r="U321" s="9"/>
      <c r="V321" s="9"/>
      <c r="W321" s="9"/>
      <c r="X321" s="9"/>
      <c r="Y321" s="9"/>
      <c r="Z321" s="9"/>
      <c r="AA321" s="9"/>
      <c r="AB321" s="9" t="str">
        <f>IFERROR(__xludf.DUMMYFUNCTION("""COMPUTED_VALUE"""),"Brad Eason")</f>
        <v>Brad Eason</v>
      </c>
      <c r="AC321" s="9"/>
      <c r="AD321" s="9"/>
      <c r="AE321" s="9">
        <f t="shared" si="8"/>
        <v>3</v>
      </c>
      <c r="AF321" s="19">
        <f t="shared" si="13"/>
        <v>4</v>
      </c>
      <c r="AG321" s="9"/>
      <c r="AH321" s="9"/>
      <c r="AI321" s="9"/>
    </row>
    <row r="322" ht="15.0" customHeight="1">
      <c r="A322" s="11">
        <v>321.0</v>
      </c>
      <c r="B322" s="12">
        <f t="shared" si="57"/>
        <v>39861</v>
      </c>
      <c r="C322" s="13">
        <v>2009.0</v>
      </c>
      <c r="D322" s="11" t="s">
        <v>32</v>
      </c>
      <c r="E322" s="11">
        <v>10.0</v>
      </c>
      <c r="F322" s="21" t="s">
        <v>683</v>
      </c>
      <c r="G322" s="15">
        <v>0.04290621675026592</v>
      </c>
      <c r="H322" s="11" t="s">
        <v>33</v>
      </c>
      <c r="I322" s="16">
        <v>8.672</v>
      </c>
      <c r="J322" s="11" t="s">
        <v>681</v>
      </c>
      <c r="K322" s="11" t="s">
        <v>61</v>
      </c>
      <c r="L322" s="11" t="s">
        <v>41</v>
      </c>
      <c r="M322" s="11" t="s">
        <v>49</v>
      </c>
      <c r="N322" s="11" t="s">
        <v>73</v>
      </c>
      <c r="O322" s="11" t="s">
        <v>684</v>
      </c>
      <c r="P322" s="11" t="s">
        <v>75</v>
      </c>
      <c r="Q322" s="20">
        <v>39864.0</v>
      </c>
      <c r="R322" s="17">
        <f t="shared" si="2"/>
        <v>27.01684331</v>
      </c>
      <c r="S322" s="9"/>
      <c r="T322" s="9"/>
      <c r="U322" s="9"/>
      <c r="V322" s="9"/>
      <c r="W322" s="9"/>
      <c r="X322" s="9"/>
      <c r="Y322" s="9"/>
      <c r="Z322" s="9"/>
      <c r="AA322" s="9"/>
      <c r="AB322" s="9" t="str">
        <f>IFERROR(__xludf.DUMMYFUNCTION("""COMPUTED_VALUE"""),"Roy Skaria")</f>
        <v>Roy Skaria</v>
      </c>
      <c r="AC322" s="9"/>
      <c r="AD322" s="9"/>
      <c r="AE322" s="9">
        <f t="shared" si="8"/>
        <v>3</v>
      </c>
      <c r="AF322" s="19">
        <f t="shared" si="13"/>
        <v>4</v>
      </c>
      <c r="AG322" s="9"/>
      <c r="AH322" s="9"/>
      <c r="AI322" s="9"/>
    </row>
    <row r="323" ht="15.0" customHeight="1">
      <c r="A323" s="11">
        <v>322.0</v>
      </c>
      <c r="B323" s="12">
        <f t="shared" si="57"/>
        <v>39861</v>
      </c>
      <c r="C323" s="13">
        <v>2009.0</v>
      </c>
      <c r="D323" s="11" t="s">
        <v>32</v>
      </c>
      <c r="E323" s="11">
        <v>22.0</v>
      </c>
      <c r="F323" s="21" t="s">
        <v>685</v>
      </c>
      <c r="G323" s="15">
        <v>0.03768591650425686</v>
      </c>
      <c r="H323" s="11" t="s">
        <v>33</v>
      </c>
      <c r="I323" s="16">
        <v>27.360000000000003</v>
      </c>
      <c r="J323" s="11" t="s">
        <v>681</v>
      </c>
      <c r="K323" s="11" t="s">
        <v>61</v>
      </c>
      <c r="L323" s="11" t="s">
        <v>41</v>
      </c>
      <c r="M323" s="11" t="s">
        <v>49</v>
      </c>
      <c r="N323" s="11" t="s">
        <v>73</v>
      </c>
      <c r="O323" s="11" t="s">
        <v>686</v>
      </c>
      <c r="P323" s="11" t="s">
        <v>58</v>
      </c>
      <c r="Q323" s="20">
        <v>39864.0</v>
      </c>
      <c r="R323" s="17">
        <f t="shared" si="2"/>
        <v>35.35541943</v>
      </c>
      <c r="S323" s="9"/>
      <c r="T323" s="9"/>
      <c r="U323" s="9"/>
      <c r="V323" s="9"/>
      <c r="W323" s="9"/>
      <c r="X323" s="9"/>
      <c r="Y323" s="9"/>
      <c r="Z323" s="9"/>
      <c r="AA323" s="9"/>
      <c r="AB323" s="9" t="str">
        <f>IFERROR(__xludf.DUMMYFUNCTION("""COMPUTED_VALUE"""),"Raymond Fair")</f>
        <v>Raymond Fair</v>
      </c>
      <c r="AC323" s="9"/>
      <c r="AD323" s="9"/>
      <c r="AE323" s="9">
        <f t="shared" si="8"/>
        <v>3</v>
      </c>
      <c r="AF323" s="19">
        <f t="shared" si="13"/>
        <v>4</v>
      </c>
      <c r="AG323" s="9"/>
      <c r="AH323" s="9"/>
      <c r="AI323" s="9"/>
    </row>
    <row r="324" ht="15.0" customHeight="1">
      <c r="A324" s="11">
        <v>323.0</v>
      </c>
      <c r="B324" s="12">
        <f t="shared" si="57"/>
        <v>39861</v>
      </c>
      <c r="C324" s="13">
        <v>2009.0</v>
      </c>
      <c r="D324" s="11" t="s">
        <v>32</v>
      </c>
      <c r="E324" s="11">
        <v>5.0</v>
      </c>
      <c r="F324" s="21" t="s">
        <v>687</v>
      </c>
      <c r="G324" s="15">
        <v>0.03874358415409936</v>
      </c>
      <c r="H324" s="11" t="s">
        <v>33</v>
      </c>
      <c r="I324" s="16">
        <v>11.192</v>
      </c>
      <c r="J324" s="11" t="s">
        <v>681</v>
      </c>
      <c r="K324" s="11" t="s">
        <v>61</v>
      </c>
      <c r="L324" s="11" t="s">
        <v>41</v>
      </c>
      <c r="M324" s="11" t="s">
        <v>66</v>
      </c>
      <c r="N324" s="11" t="s">
        <v>69</v>
      </c>
      <c r="O324" s="11" t="s">
        <v>688</v>
      </c>
      <c r="P324" s="11" t="s">
        <v>75</v>
      </c>
      <c r="Q324" s="20">
        <v>39864.0</v>
      </c>
      <c r="R324" s="17">
        <f t="shared" si="2"/>
        <v>375.8589486</v>
      </c>
      <c r="S324" s="9"/>
      <c r="T324" s="9"/>
      <c r="U324" s="9"/>
      <c r="V324" s="9"/>
      <c r="W324" s="9"/>
      <c r="X324" s="9"/>
      <c r="Y324" s="9"/>
      <c r="Z324" s="9"/>
      <c r="AA324" s="9"/>
      <c r="AB324" s="9" t="str">
        <f>IFERROR(__xludf.DUMMYFUNCTION("""COMPUTED_VALUE"""),"Becky Martin")</f>
        <v>Becky Martin</v>
      </c>
      <c r="AC324" s="9"/>
      <c r="AD324" s="9"/>
      <c r="AE324" s="9">
        <f t="shared" si="8"/>
        <v>3</v>
      </c>
      <c r="AF324" s="19">
        <f t="shared" si="13"/>
        <v>4</v>
      </c>
      <c r="AG324" s="9"/>
      <c r="AH324" s="9"/>
      <c r="AI324" s="9"/>
    </row>
    <row r="325" ht="15.0" customHeight="1">
      <c r="A325" s="11">
        <v>324.0</v>
      </c>
      <c r="B325" s="12">
        <f t="shared" ref="B325:B326" si="58">DATE(2012,12,31)-1412</f>
        <v>39862</v>
      </c>
      <c r="C325" s="13">
        <v>2009.0</v>
      </c>
      <c r="D325" s="11" t="s">
        <v>23</v>
      </c>
      <c r="E325" s="11">
        <v>30.0</v>
      </c>
      <c r="F325" s="21" t="s">
        <v>400</v>
      </c>
      <c r="G325" s="15">
        <v>0.08377523558912234</v>
      </c>
      <c r="H325" s="11" t="s">
        <v>45</v>
      </c>
      <c r="I325" s="16">
        <v>47.136</v>
      </c>
      <c r="J325" s="11" t="s">
        <v>689</v>
      </c>
      <c r="K325" s="11" t="s">
        <v>117</v>
      </c>
      <c r="L325" s="11" t="s">
        <v>48</v>
      </c>
      <c r="M325" s="11" t="s">
        <v>49</v>
      </c>
      <c r="N325" s="11" t="s">
        <v>50</v>
      </c>
      <c r="O325" s="11" t="s">
        <v>123</v>
      </c>
      <c r="P325" s="11" t="s">
        <v>52</v>
      </c>
      <c r="Q325" s="20">
        <v>39864.0</v>
      </c>
      <c r="R325" s="17">
        <f t="shared" si="2"/>
        <v>898.4170199</v>
      </c>
      <c r="S325" s="9"/>
      <c r="T325" s="9"/>
      <c r="U325" s="9"/>
      <c r="V325" s="9"/>
      <c r="W325" s="9"/>
      <c r="X325" s="9"/>
      <c r="Y325" s="9"/>
      <c r="Z325" s="9"/>
      <c r="AA325" s="9"/>
      <c r="AB325" s="9" t="str">
        <f>IFERROR(__xludf.DUMMYFUNCTION("""COMPUTED_VALUE"""),"David Flashing")</f>
        <v>David Flashing</v>
      </c>
      <c r="AC325" s="9"/>
      <c r="AD325" s="9"/>
      <c r="AE325" s="9">
        <f t="shared" si="8"/>
        <v>4</v>
      </c>
      <c r="AF325" s="19" t="b">
        <f t="shared" si="13"/>
        <v>0</v>
      </c>
      <c r="AG325" s="9"/>
      <c r="AH325" s="9"/>
      <c r="AI325" s="9"/>
    </row>
    <row r="326" ht="15.0" customHeight="1">
      <c r="A326" s="11">
        <v>325.0</v>
      </c>
      <c r="B326" s="12">
        <f t="shared" si="58"/>
        <v>39862</v>
      </c>
      <c r="C326" s="13">
        <v>2009.0</v>
      </c>
      <c r="D326" s="11" t="s">
        <v>23</v>
      </c>
      <c r="E326" s="11">
        <v>8.0</v>
      </c>
      <c r="F326" s="21" t="s">
        <v>521</v>
      </c>
      <c r="G326" s="15">
        <v>0.04601986894948224</v>
      </c>
      <c r="H326" s="11" t="s">
        <v>45</v>
      </c>
      <c r="I326" s="16">
        <v>55.712</v>
      </c>
      <c r="J326" s="11" t="s">
        <v>689</v>
      </c>
      <c r="K326" s="11" t="s">
        <v>117</v>
      </c>
      <c r="L326" s="11" t="s">
        <v>48</v>
      </c>
      <c r="M326" s="11" t="s">
        <v>49</v>
      </c>
      <c r="N326" s="11" t="s">
        <v>85</v>
      </c>
      <c r="O326" s="11" t="s">
        <v>522</v>
      </c>
      <c r="P326" s="11" t="s">
        <v>87</v>
      </c>
      <c r="Q326" s="20">
        <v>39864.0</v>
      </c>
      <c r="R326" s="17">
        <f t="shared" si="2"/>
        <v>83.08022165</v>
      </c>
      <c r="S326" s="9"/>
      <c r="T326" s="9"/>
      <c r="U326" s="9"/>
      <c r="V326" s="9"/>
      <c r="W326" s="9"/>
      <c r="X326" s="9"/>
      <c r="Y326" s="9"/>
      <c r="Z326" s="9"/>
      <c r="AA326" s="9"/>
      <c r="AB326" s="9" t="str">
        <f>IFERROR(__xludf.DUMMYFUNCTION("""COMPUTED_VALUE"""),"James Galang")</f>
        <v>James Galang</v>
      </c>
      <c r="AC326" s="9"/>
      <c r="AD326" s="9"/>
      <c r="AE326" s="9">
        <f t="shared" si="8"/>
        <v>4</v>
      </c>
      <c r="AF326" s="19" t="b">
        <f t="shared" si="13"/>
        <v>0</v>
      </c>
      <c r="AG326" s="9"/>
      <c r="AH326" s="9"/>
      <c r="AI326" s="9"/>
    </row>
    <row r="327" ht="15.0" customHeight="1">
      <c r="A327" s="11">
        <v>326.0</v>
      </c>
      <c r="B327" s="12">
        <f t="shared" ref="B327:B332" si="59">DATE(2012,12,31)-1411</f>
        <v>39863</v>
      </c>
      <c r="C327" s="13">
        <v>2009.0</v>
      </c>
      <c r="D327" s="11" t="s">
        <v>23</v>
      </c>
      <c r="E327" s="11">
        <v>37.0</v>
      </c>
      <c r="F327" s="21" t="s">
        <v>103</v>
      </c>
      <c r="G327" s="15">
        <v>0.014095409540953991</v>
      </c>
      <c r="H327" s="11" t="s">
        <v>33</v>
      </c>
      <c r="I327" s="16">
        <v>0.768</v>
      </c>
      <c r="J327" s="11" t="s">
        <v>690</v>
      </c>
      <c r="K327" s="11" t="s">
        <v>61</v>
      </c>
      <c r="L327" s="11" t="s">
        <v>48</v>
      </c>
      <c r="M327" s="11" t="s">
        <v>28</v>
      </c>
      <c r="N327" s="11" t="s">
        <v>62</v>
      </c>
      <c r="O327" s="11" t="s">
        <v>691</v>
      </c>
      <c r="P327" s="11" t="s">
        <v>58</v>
      </c>
      <c r="Q327" s="20">
        <v>39864.0</v>
      </c>
      <c r="R327" s="17">
        <f t="shared" si="2"/>
        <v>3.087853177</v>
      </c>
      <c r="S327" s="9"/>
      <c r="T327" s="9"/>
      <c r="U327" s="9"/>
      <c r="V327" s="9"/>
      <c r="W327" s="9"/>
      <c r="X327" s="9"/>
      <c r="Y327" s="9"/>
      <c r="Z327" s="9"/>
      <c r="AA327" s="9"/>
      <c r="AB327" s="9" t="str">
        <f>IFERROR(__xludf.DUMMYFUNCTION("""COMPUTED_VALUE"""),"Denny Ordway")</f>
        <v>Denny Ordway</v>
      </c>
      <c r="AC327" s="9"/>
      <c r="AD327" s="9"/>
      <c r="AE327" s="9">
        <f t="shared" si="8"/>
        <v>4</v>
      </c>
      <c r="AF327" s="19">
        <f t="shared" si="13"/>
        <v>4</v>
      </c>
      <c r="AG327" s="9"/>
      <c r="AH327" s="9"/>
      <c r="AI327" s="9"/>
    </row>
    <row r="328" ht="15.0" customHeight="1">
      <c r="A328" s="11">
        <v>327.0</v>
      </c>
      <c r="B328" s="12">
        <f t="shared" si="59"/>
        <v>39863</v>
      </c>
      <c r="C328" s="13">
        <v>2009.0</v>
      </c>
      <c r="D328" s="11" t="s">
        <v>23</v>
      </c>
      <c r="E328" s="11">
        <v>4.0</v>
      </c>
      <c r="F328" s="21" t="s">
        <v>284</v>
      </c>
      <c r="G328" s="15">
        <v>0.08654545454545454</v>
      </c>
      <c r="H328" s="11" t="s">
        <v>33</v>
      </c>
      <c r="I328" s="16">
        <v>2.048</v>
      </c>
      <c r="J328" s="11" t="s">
        <v>690</v>
      </c>
      <c r="K328" s="11" t="s">
        <v>61</v>
      </c>
      <c r="L328" s="11" t="s">
        <v>48</v>
      </c>
      <c r="M328" s="11" t="s">
        <v>28</v>
      </c>
      <c r="N328" s="11" t="s">
        <v>442</v>
      </c>
      <c r="O328" s="11" t="s">
        <v>692</v>
      </c>
      <c r="P328" s="11" t="s">
        <v>99</v>
      </c>
      <c r="Q328" s="20">
        <v>39865.0</v>
      </c>
      <c r="R328" s="17">
        <f t="shared" si="2"/>
        <v>0.8696087273</v>
      </c>
      <c r="S328" s="9"/>
      <c r="T328" s="9"/>
      <c r="U328" s="9"/>
      <c r="V328" s="9"/>
      <c r="W328" s="9"/>
      <c r="X328" s="9"/>
      <c r="Y328" s="9"/>
      <c r="Z328" s="9"/>
      <c r="AA328" s="9"/>
      <c r="AB328" s="9" t="str">
        <f>IFERROR(__xludf.DUMMYFUNCTION("""COMPUTED_VALUE"""),"Patrick Ryan")</f>
        <v>Patrick Ryan</v>
      </c>
      <c r="AC328" s="9"/>
      <c r="AD328" s="9"/>
      <c r="AE328" s="9">
        <f t="shared" si="8"/>
        <v>4</v>
      </c>
      <c r="AF328" s="19">
        <f t="shared" si="13"/>
        <v>4</v>
      </c>
      <c r="AG328" s="9"/>
      <c r="AH328" s="9"/>
      <c r="AI328" s="9"/>
    </row>
    <row r="329" ht="15.0" customHeight="1">
      <c r="A329" s="11">
        <v>328.0</v>
      </c>
      <c r="B329" s="12">
        <f t="shared" si="59"/>
        <v>39863</v>
      </c>
      <c r="C329" s="13">
        <v>2009.0</v>
      </c>
      <c r="D329" s="11" t="s">
        <v>23</v>
      </c>
      <c r="E329" s="11">
        <v>29.0</v>
      </c>
      <c r="F329" s="21" t="s">
        <v>103</v>
      </c>
      <c r="G329" s="15">
        <v>0.038004385964912214</v>
      </c>
      <c r="H329" s="11" t="s">
        <v>33</v>
      </c>
      <c r="I329" s="16">
        <v>4.368</v>
      </c>
      <c r="J329" s="11" t="s">
        <v>690</v>
      </c>
      <c r="K329" s="11" t="s">
        <v>61</v>
      </c>
      <c r="L329" s="11" t="s">
        <v>48</v>
      </c>
      <c r="M329" s="11" t="s">
        <v>28</v>
      </c>
      <c r="N329" s="11" t="s">
        <v>56</v>
      </c>
      <c r="O329" s="11" t="s">
        <v>693</v>
      </c>
      <c r="P329" s="11" t="s">
        <v>38</v>
      </c>
      <c r="Q329" s="20">
        <v>39865.0</v>
      </c>
      <c r="R329" s="17">
        <f t="shared" si="2"/>
        <v>6.668553596</v>
      </c>
      <c r="S329" s="9"/>
      <c r="T329" s="9"/>
      <c r="U329" s="9"/>
      <c r="V329" s="9"/>
      <c r="W329" s="9"/>
      <c r="X329" s="9"/>
      <c r="Y329" s="9"/>
      <c r="Z329" s="9"/>
      <c r="AA329" s="9"/>
      <c r="AB329" s="9" t="str">
        <f>IFERROR(__xludf.DUMMYFUNCTION("""COMPUTED_VALUE"""),"Peter Fuller")</f>
        <v>Peter Fuller</v>
      </c>
      <c r="AC329" s="9"/>
      <c r="AD329" s="9"/>
      <c r="AE329" s="9">
        <f t="shared" si="8"/>
        <v>4</v>
      </c>
      <c r="AF329" s="19">
        <f t="shared" si="13"/>
        <v>4</v>
      </c>
      <c r="AG329" s="9"/>
      <c r="AH329" s="9"/>
      <c r="AI329" s="9"/>
    </row>
    <row r="330" ht="15.0" customHeight="1">
      <c r="A330" s="11">
        <v>329.0</v>
      </c>
      <c r="B330" s="12">
        <f t="shared" si="59"/>
        <v>39863</v>
      </c>
      <c r="C330" s="13">
        <v>2009.0</v>
      </c>
      <c r="D330" s="11" t="s">
        <v>32</v>
      </c>
      <c r="E330" s="11">
        <v>48.0</v>
      </c>
      <c r="F330" s="21" t="s">
        <v>694</v>
      </c>
      <c r="G330" s="15">
        <v>0.031274886125185614</v>
      </c>
      <c r="H330" s="11" t="s">
        <v>33</v>
      </c>
      <c r="I330" s="16">
        <v>1.592</v>
      </c>
      <c r="J330" s="11" t="s">
        <v>681</v>
      </c>
      <c r="K330" s="11" t="s">
        <v>61</v>
      </c>
      <c r="L330" s="11" t="s">
        <v>41</v>
      </c>
      <c r="M330" s="11" t="s">
        <v>66</v>
      </c>
      <c r="N330" s="11" t="s">
        <v>67</v>
      </c>
      <c r="O330" s="11" t="s">
        <v>695</v>
      </c>
      <c r="P330" s="11" t="s">
        <v>99</v>
      </c>
      <c r="Q330" s="20">
        <v>39865.0</v>
      </c>
      <c r="R330" s="17">
        <f t="shared" si="2"/>
        <v>59.19685426</v>
      </c>
      <c r="S330" s="9"/>
      <c r="T330" s="9"/>
      <c r="U330" s="9"/>
      <c r="V330" s="9"/>
      <c r="W330" s="9"/>
      <c r="X330" s="9"/>
      <c r="Y330" s="9"/>
      <c r="Z330" s="9"/>
      <c r="AA330" s="9"/>
      <c r="AB330" s="9" t="str">
        <f>IFERROR(__xludf.DUMMYFUNCTION("""COMPUTED_VALUE"""),"Matt Connell")</f>
        <v>Matt Connell</v>
      </c>
      <c r="AC330" s="9"/>
      <c r="AD330" s="9"/>
      <c r="AE330" s="9">
        <f t="shared" si="8"/>
        <v>3</v>
      </c>
      <c r="AF330" s="19">
        <f t="shared" si="13"/>
        <v>4</v>
      </c>
      <c r="AG330" s="9"/>
      <c r="AH330" s="9"/>
      <c r="AI330" s="9"/>
    </row>
    <row r="331" ht="15.0" customHeight="1">
      <c r="A331" s="11">
        <v>330.0</v>
      </c>
      <c r="B331" s="12">
        <f t="shared" si="59"/>
        <v>39863</v>
      </c>
      <c r="C331" s="13">
        <v>2009.0</v>
      </c>
      <c r="D331" s="11" t="s">
        <v>32</v>
      </c>
      <c r="E331" s="11">
        <v>33.0</v>
      </c>
      <c r="F331" s="21" t="s">
        <v>696</v>
      </c>
      <c r="G331" s="15">
        <v>0.057457114026236156</v>
      </c>
      <c r="H331" s="11" t="s">
        <v>33</v>
      </c>
      <c r="I331" s="16">
        <v>4.024</v>
      </c>
      <c r="J331" s="11" t="s">
        <v>697</v>
      </c>
      <c r="K331" s="11" t="s">
        <v>61</v>
      </c>
      <c r="L331" s="11" t="s">
        <v>48</v>
      </c>
      <c r="M331" s="11" t="s">
        <v>28</v>
      </c>
      <c r="N331" s="11" t="s">
        <v>29</v>
      </c>
      <c r="O331" s="11" t="s">
        <v>698</v>
      </c>
      <c r="P331" s="11" t="s">
        <v>38</v>
      </c>
      <c r="Q331" s="20">
        <v>39865.0</v>
      </c>
      <c r="R331" s="17">
        <f t="shared" si="2"/>
        <v>21.46735677</v>
      </c>
      <c r="S331" s="9"/>
      <c r="T331" s="9"/>
      <c r="U331" s="9"/>
      <c r="V331" s="9"/>
      <c r="W331" s="9"/>
      <c r="X331" s="9"/>
      <c r="Y331" s="9"/>
      <c r="Z331" s="9"/>
      <c r="AA331" s="9"/>
      <c r="AB331" s="9" t="str">
        <f>IFERROR(__xludf.DUMMYFUNCTION("""COMPUTED_VALUE"""),"Anthony Rawles")</f>
        <v>Anthony Rawles</v>
      </c>
      <c r="AC331" s="9"/>
      <c r="AD331" s="9"/>
      <c r="AE331" s="9">
        <f t="shared" si="8"/>
        <v>4</v>
      </c>
      <c r="AF331" s="19">
        <f t="shared" si="13"/>
        <v>4</v>
      </c>
      <c r="AG331" s="9"/>
      <c r="AH331" s="9"/>
      <c r="AI331" s="9"/>
    </row>
    <row r="332" ht="15.0" customHeight="1">
      <c r="A332" s="11">
        <v>331.0</v>
      </c>
      <c r="B332" s="12">
        <f t="shared" si="59"/>
        <v>39863</v>
      </c>
      <c r="C332" s="13">
        <v>2009.0</v>
      </c>
      <c r="D332" s="11" t="s">
        <v>32</v>
      </c>
      <c r="E332" s="11">
        <v>37.0</v>
      </c>
      <c r="F332" s="21" t="s">
        <v>290</v>
      </c>
      <c r="G332" s="15">
        <v>0.07084449621432724</v>
      </c>
      <c r="H332" s="11" t="s">
        <v>33</v>
      </c>
      <c r="I332" s="16">
        <v>4.136</v>
      </c>
      <c r="J332" s="11" t="s">
        <v>453</v>
      </c>
      <c r="K332" s="11" t="s">
        <v>61</v>
      </c>
      <c r="L332" s="11" t="s">
        <v>36</v>
      </c>
      <c r="M332" s="11" t="s">
        <v>28</v>
      </c>
      <c r="N332" s="11" t="s">
        <v>56</v>
      </c>
      <c r="O332" s="11" t="s">
        <v>699</v>
      </c>
      <c r="P332" s="11" t="s">
        <v>38</v>
      </c>
      <c r="Q332" s="20">
        <v>39865.0</v>
      </c>
      <c r="R332" s="17">
        <f t="shared" si="2"/>
        <v>11.30224755</v>
      </c>
      <c r="S332" s="9"/>
      <c r="T332" s="9"/>
      <c r="U332" s="9"/>
      <c r="V332" s="9"/>
      <c r="W332" s="9"/>
      <c r="X332" s="9"/>
      <c r="Y332" s="9"/>
      <c r="Z332" s="9"/>
      <c r="AA332" s="9"/>
      <c r="AB332" s="9" t="str">
        <f>IFERROR(__xludf.DUMMYFUNCTION("""COMPUTED_VALUE"""),"Eugene Moren")</f>
        <v>Eugene Moren</v>
      </c>
      <c r="AC332" s="9"/>
      <c r="AD332" s="9"/>
      <c r="AE332" s="9">
        <f t="shared" si="8"/>
        <v>2</v>
      </c>
      <c r="AF332" s="19">
        <f t="shared" si="13"/>
        <v>4</v>
      </c>
      <c r="AG332" s="9"/>
      <c r="AH332" s="9"/>
      <c r="AI332" s="9"/>
    </row>
    <row r="333" ht="15.0" customHeight="1">
      <c r="A333" s="11">
        <v>332.0</v>
      </c>
      <c r="B333" s="12">
        <f t="shared" ref="B333:B338" si="60">DATE(2012,12,31)-1410</f>
        <v>39864</v>
      </c>
      <c r="C333" s="13">
        <v>2009.0</v>
      </c>
      <c r="D333" s="11" t="s">
        <v>102</v>
      </c>
      <c r="E333" s="11">
        <v>41.0</v>
      </c>
      <c r="F333" s="21" t="s">
        <v>336</v>
      </c>
      <c r="G333" s="15">
        <v>0.07316407730200832</v>
      </c>
      <c r="H333" s="11" t="s">
        <v>33</v>
      </c>
      <c r="I333" s="16">
        <v>6.792000000000001</v>
      </c>
      <c r="J333" s="11" t="s">
        <v>576</v>
      </c>
      <c r="K333" s="11" t="s">
        <v>117</v>
      </c>
      <c r="L333" s="11" t="s">
        <v>36</v>
      </c>
      <c r="M333" s="11" t="s">
        <v>28</v>
      </c>
      <c r="N333" s="11" t="s">
        <v>42</v>
      </c>
      <c r="O333" s="11" t="s">
        <v>338</v>
      </c>
      <c r="P333" s="11" t="s">
        <v>38</v>
      </c>
      <c r="Q333" s="20">
        <v>39865.0</v>
      </c>
      <c r="R333" s="17">
        <f t="shared" si="2"/>
        <v>17.895348</v>
      </c>
      <c r="S333" s="9"/>
      <c r="T333" s="9"/>
      <c r="U333" s="9"/>
      <c r="V333" s="9"/>
      <c r="W333" s="9"/>
      <c r="X333" s="9"/>
      <c r="Y333" s="9"/>
      <c r="Z333" s="9"/>
      <c r="AA333" s="9"/>
      <c r="AB333" s="9" t="str">
        <f>IFERROR(__xludf.DUMMYFUNCTION("""COMPUTED_VALUE"""),"Scott Cohen")</f>
        <v>Scott Cohen</v>
      </c>
      <c r="AC333" s="9"/>
      <c r="AD333" s="9"/>
      <c r="AE333" s="9">
        <f t="shared" si="8"/>
        <v>2</v>
      </c>
      <c r="AF333" s="19" t="b">
        <f t="shared" si="13"/>
        <v>0</v>
      </c>
      <c r="AG333" s="9"/>
      <c r="AH333" s="9"/>
      <c r="AI333" s="9"/>
    </row>
    <row r="334" ht="15.0" customHeight="1">
      <c r="A334" s="11">
        <v>333.0</v>
      </c>
      <c r="B334" s="12">
        <f t="shared" si="60"/>
        <v>39864</v>
      </c>
      <c r="C334" s="13">
        <v>2009.0</v>
      </c>
      <c r="D334" s="11" t="s">
        <v>102</v>
      </c>
      <c r="E334" s="11">
        <v>49.0</v>
      </c>
      <c r="F334" s="21" t="s">
        <v>700</v>
      </c>
      <c r="G334" s="15">
        <v>0.045812926535527924</v>
      </c>
      <c r="H334" s="11" t="s">
        <v>33</v>
      </c>
      <c r="I334" s="16">
        <v>4.976</v>
      </c>
      <c r="J334" s="11" t="s">
        <v>576</v>
      </c>
      <c r="K334" s="11" t="s">
        <v>117</v>
      </c>
      <c r="L334" s="11" t="s">
        <v>36</v>
      </c>
      <c r="M334" s="11" t="s">
        <v>49</v>
      </c>
      <c r="N334" s="11" t="s">
        <v>73</v>
      </c>
      <c r="O334" s="11" t="s">
        <v>701</v>
      </c>
      <c r="P334" s="11" t="s">
        <v>38</v>
      </c>
      <c r="Q334" s="20">
        <v>39865.0</v>
      </c>
      <c r="R334" s="17">
        <f t="shared" si="2"/>
        <v>21.77836576</v>
      </c>
      <c r="S334" s="9"/>
      <c r="T334" s="9"/>
      <c r="U334" s="9"/>
      <c r="V334" s="9"/>
      <c r="W334" s="9"/>
      <c r="X334" s="9"/>
      <c r="Y334" s="9"/>
      <c r="Z334" s="9"/>
      <c r="AA334" s="9"/>
      <c r="AB334" s="9" t="str">
        <f>IFERROR(__xludf.DUMMYFUNCTION("""COMPUTED_VALUE"""),"Rick Duston")</f>
        <v>Rick Duston</v>
      </c>
      <c r="AC334" s="9"/>
      <c r="AD334" s="9"/>
      <c r="AE334" s="9">
        <f t="shared" si="8"/>
        <v>2</v>
      </c>
      <c r="AF334" s="19" t="b">
        <f t="shared" si="13"/>
        <v>0</v>
      </c>
      <c r="AG334" s="9"/>
      <c r="AH334" s="9"/>
      <c r="AI334" s="9"/>
    </row>
    <row r="335" ht="15.0" customHeight="1">
      <c r="A335" s="11">
        <v>334.0</v>
      </c>
      <c r="B335" s="12">
        <f t="shared" si="60"/>
        <v>39864</v>
      </c>
      <c r="C335" s="13">
        <v>2009.0</v>
      </c>
      <c r="D335" s="11" t="s">
        <v>32</v>
      </c>
      <c r="E335" s="11">
        <v>37.0</v>
      </c>
      <c r="F335" s="21" t="s">
        <v>702</v>
      </c>
      <c r="G335" s="15">
        <v>0.05122373300370835</v>
      </c>
      <c r="H335" s="11" t="s">
        <v>33</v>
      </c>
      <c r="I335" s="16">
        <v>5.5120000000000005</v>
      </c>
      <c r="J335" s="11" t="s">
        <v>703</v>
      </c>
      <c r="K335" s="11" t="s">
        <v>35</v>
      </c>
      <c r="L335" s="11" t="s">
        <v>41</v>
      </c>
      <c r="M335" s="11" t="s">
        <v>28</v>
      </c>
      <c r="N335" s="11" t="s">
        <v>197</v>
      </c>
      <c r="O335" s="11" t="s">
        <v>704</v>
      </c>
      <c r="P335" s="11" t="s">
        <v>38</v>
      </c>
      <c r="Q335" s="20">
        <v>39866.0</v>
      </c>
      <c r="R335" s="17">
        <f t="shared" si="2"/>
        <v>7.863457701</v>
      </c>
      <c r="S335" s="9"/>
      <c r="T335" s="9"/>
      <c r="U335" s="9"/>
      <c r="V335" s="9"/>
      <c r="W335" s="9"/>
      <c r="X335" s="9"/>
      <c r="Y335" s="9"/>
      <c r="Z335" s="9"/>
      <c r="AA335" s="9"/>
      <c r="AB335" s="9" t="str">
        <f>IFERROR(__xludf.DUMMYFUNCTION("""COMPUTED_VALUE"""),"Eugene Hildebrand")</f>
        <v>Eugene Hildebrand</v>
      </c>
      <c r="AC335" s="9"/>
      <c r="AD335" s="9"/>
      <c r="AE335" s="9">
        <f t="shared" si="8"/>
        <v>3</v>
      </c>
      <c r="AF335" s="19">
        <f t="shared" si="13"/>
        <v>2</v>
      </c>
      <c r="AG335" s="9"/>
      <c r="AH335" s="9"/>
      <c r="AI335" s="9"/>
    </row>
    <row r="336" ht="15.0" customHeight="1">
      <c r="A336" s="11">
        <v>335.0</v>
      </c>
      <c r="B336" s="12">
        <f t="shared" si="60"/>
        <v>39864</v>
      </c>
      <c r="C336" s="13">
        <v>2009.0</v>
      </c>
      <c r="D336" s="11" t="s">
        <v>32</v>
      </c>
      <c r="E336" s="11">
        <v>48.0</v>
      </c>
      <c r="F336" s="21" t="s">
        <v>705</v>
      </c>
      <c r="G336" s="15">
        <v>0.023587493143170504</v>
      </c>
      <c r="H336" s="11" t="s">
        <v>33</v>
      </c>
      <c r="I336" s="16">
        <v>0.4</v>
      </c>
      <c r="J336" s="11" t="s">
        <v>703</v>
      </c>
      <c r="K336" s="11" t="s">
        <v>35</v>
      </c>
      <c r="L336" s="11" t="s">
        <v>41</v>
      </c>
      <c r="M336" s="11" t="s">
        <v>28</v>
      </c>
      <c r="N336" s="11" t="s">
        <v>188</v>
      </c>
      <c r="O336" s="11" t="s">
        <v>706</v>
      </c>
      <c r="P336" s="11" t="s">
        <v>38</v>
      </c>
      <c r="Q336" s="20">
        <v>39866.0</v>
      </c>
      <c r="R336" s="17">
        <f t="shared" si="2"/>
        <v>4.198573779</v>
      </c>
      <c r="S336" s="9"/>
      <c r="T336" s="9"/>
      <c r="U336" s="9"/>
      <c r="V336" s="9"/>
      <c r="W336" s="9"/>
      <c r="X336" s="9"/>
      <c r="Y336" s="9"/>
      <c r="Z336" s="9"/>
      <c r="AA336" s="9"/>
      <c r="AB336" s="9" t="str">
        <f>IFERROR(__xludf.DUMMYFUNCTION("""COMPUTED_VALUE"""),"Christy Brittain")</f>
        <v>Christy Brittain</v>
      </c>
      <c r="AC336" s="9"/>
      <c r="AD336" s="9"/>
      <c r="AE336" s="9">
        <f t="shared" si="8"/>
        <v>3</v>
      </c>
      <c r="AF336" s="19">
        <f t="shared" si="13"/>
        <v>2</v>
      </c>
      <c r="AG336" s="9"/>
      <c r="AH336" s="9"/>
      <c r="AI336" s="9"/>
    </row>
    <row r="337" ht="15.0" customHeight="1">
      <c r="A337" s="11">
        <v>336.0</v>
      </c>
      <c r="B337" s="12">
        <f t="shared" si="60"/>
        <v>39864</v>
      </c>
      <c r="C337" s="13">
        <v>2009.0</v>
      </c>
      <c r="D337" s="11" t="s">
        <v>32</v>
      </c>
      <c r="E337" s="11">
        <v>31.0</v>
      </c>
      <c r="F337" s="21" t="s">
        <v>707</v>
      </c>
      <c r="G337" s="15">
        <v>0.03409686609686615</v>
      </c>
      <c r="H337" s="11" t="s">
        <v>33</v>
      </c>
      <c r="I337" s="16">
        <v>10.432</v>
      </c>
      <c r="J337" s="11" t="s">
        <v>703</v>
      </c>
      <c r="K337" s="11" t="s">
        <v>35</v>
      </c>
      <c r="L337" s="11" t="s">
        <v>41</v>
      </c>
      <c r="M337" s="11" t="s">
        <v>49</v>
      </c>
      <c r="N337" s="11" t="s">
        <v>73</v>
      </c>
      <c r="O337" s="11" t="s">
        <v>708</v>
      </c>
      <c r="P337" s="11" t="s">
        <v>31</v>
      </c>
      <c r="Q337" s="20">
        <v>39866.0</v>
      </c>
      <c r="R337" s="17">
        <f t="shared" si="2"/>
        <v>11.55992871</v>
      </c>
      <c r="S337" s="9"/>
      <c r="T337" s="9"/>
      <c r="U337" s="9"/>
      <c r="V337" s="9"/>
      <c r="W337" s="9"/>
      <c r="X337" s="9"/>
      <c r="Y337" s="9"/>
      <c r="Z337" s="9"/>
      <c r="AA337" s="9"/>
      <c r="AB337" s="9" t="str">
        <f>IFERROR(__xludf.DUMMYFUNCTION("""COMPUTED_VALUE"""),"Jim Epp")</f>
        <v>Jim Epp</v>
      </c>
      <c r="AC337" s="9"/>
      <c r="AD337" s="9"/>
      <c r="AE337" s="9">
        <f t="shared" si="8"/>
        <v>3</v>
      </c>
      <c r="AF337" s="19">
        <f t="shared" si="13"/>
        <v>2</v>
      </c>
      <c r="AG337" s="9"/>
      <c r="AH337" s="9"/>
      <c r="AI337" s="9"/>
    </row>
    <row r="338" ht="15.0" customHeight="1">
      <c r="A338" s="11">
        <v>337.0</v>
      </c>
      <c r="B338" s="12">
        <f t="shared" si="60"/>
        <v>39864</v>
      </c>
      <c r="C338" s="13">
        <v>2009.0</v>
      </c>
      <c r="D338" s="11" t="s">
        <v>32</v>
      </c>
      <c r="E338" s="11">
        <v>24.0</v>
      </c>
      <c r="F338" s="21" t="s">
        <v>709</v>
      </c>
      <c r="G338" s="15">
        <v>0.05148676171079436</v>
      </c>
      <c r="H338" s="11" t="s">
        <v>24</v>
      </c>
      <c r="I338" s="16">
        <v>4.920000000000001</v>
      </c>
      <c r="J338" s="11" t="s">
        <v>148</v>
      </c>
      <c r="K338" s="11" t="s">
        <v>65</v>
      </c>
      <c r="L338" s="11" t="s">
        <v>48</v>
      </c>
      <c r="M338" s="11" t="s">
        <v>49</v>
      </c>
      <c r="N338" s="11" t="s">
        <v>73</v>
      </c>
      <c r="O338" s="11" t="s">
        <v>710</v>
      </c>
      <c r="P338" s="11" t="s">
        <v>99</v>
      </c>
      <c r="Q338" s="20">
        <v>39866.0</v>
      </c>
      <c r="R338" s="17">
        <f t="shared" si="2"/>
        <v>23.97841466</v>
      </c>
      <c r="S338" s="9"/>
      <c r="T338" s="9"/>
      <c r="U338" s="9"/>
      <c r="V338" s="9"/>
      <c r="W338" s="9"/>
      <c r="X338" s="9"/>
      <c r="Y338" s="9"/>
      <c r="Z338" s="9"/>
      <c r="AA338" s="9"/>
      <c r="AB338" s="9" t="str">
        <f>IFERROR(__xludf.DUMMYFUNCTION("""COMPUTED_VALUE"""),"Mike Vittorini")</f>
        <v>Mike Vittorini</v>
      </c>
      <c r="AC338" s="9"/>
      <c r="AD338" s="9"/>
      <c r="AE338" s="9">
        <f t="shared" si="8"/>
        <v>4</v>
      </c>
      <c r="AF338" s="19">
        <f t="shared" si="13"/>
        <v>5</v>
      </c>
      <c r="AG338" s="9"/>
      <c r="AH338" s="9"/>
      <c r="AI338" s="9"/>
    </row>
    <row r="339" ht="15.0" customHeight="1">
      <c r="A339" s="11">
        <v>338.0</v>
      </c>
      <c r="B339" s="12">
        <f t="shared" ref="B339:B341" si="61">DATE(2012,12,31)-1409</f>
        <v>39865</v>
      </c>
      <c r="C339" s="13">
        <v>2009.0</v>
      </c>
      <c r="D339" s="11" t="s">
        <v>39</v>
      </c>
      <c r="E339" s="11">
        <v>18.0</v>
      </c>
      <c r="F339" s="21" t="s">
        <v>518</v>
      </c>
      <c r="G339" s="15">
        <v>0.025589426561500907</v>
      </c>
      <c r="H339" s="11" t="s">
        <v>33</v>
      </c>
      <c r="I339" s="16">
        <v>15.991999999999999</v>
      </c>
      <c r="J339" s="11" t="s">
        <v>711</v>
      </c>
      <c r="K339" s="11" t="s">
        <v>83</v>
      </c>
      <c r="L339" s="11" t="s">
        <v>36</v>
      </c>
      <c r="M339" s="11" t="s">
        <v>66</v>
      </c>
      <c r="N339" s="11" t="s">
        <v>67</v>
      </c>
      <c r="O339" s="11" t="s">
        <v>712</v>
      </c>
      <c r="P339" s="11" t="s">
        <v>38</v>
      </c>
      <c r="Q339" s="20">
        <v>39866.0</v>
      </c>
      <c r="R339" s="17">
        <f t="shared" si="2"/>
        <v>23.39364905</v>
      </c>
      <c r="S339" s="9"/>
      <c r="T339" s="9"/>
      <c r="U339" s="9"/>
      <c r="V339" s="9"/>
      <c r="W339" s="9"/>
      <c r="X339" s="9"/>
      <c r="Y339" s="9"/>
      <c r="Z339" s="9"/>
      <c r="AA339" s="9"/>
      <c r="AB339" s="9" t="str">
        <f>IFERROR(__xludf.DUMMYFUNCTION("""COMPUTED_VALUE"""),"Neil Knudson")</f>
        <v>Neil Knudson</v>
      </c>
      <c r="AC339" s="9"/>
      <c r="AD339" s="9"/>
      <c r="AE339" s="9">
        <f t="shared" si="8"/>
        <v>2</v>
      </c>
      <c r="AF339" s="19" t="b">
        <f t="shared" si="13"/>
        <v>0</v>
      </c>
      <c r="AG339" s="9"/>
      <c r="AH339" s="9"/>
      <c r="AI339" s="9"/>
    </row>
    <row r="340" ht="15.0" customHeight="1">
      <c r="A340" s="11">
        <v>339.0</v>
      </c>
      <c r="B340" s="12">
        <f t="shared" si="61"/>
        <v>39865</v>
      </c>
      <c r="C340" s="13">
        <v>2009.0</v>
      </c>
      <c r="D340" s="11" t="s">
        <v>44</v>
      </c>
      <c r="E340" s="11">
        <v>39.0</v>
      </c>
      <c r="F340" s="21" t="s">
        <v>126</v>
      </c>
      <c r="G340" s="15">
        <v>0.09284699194694442</v>
      </c>
      <c r="H340" s="11" t="s">
        <v>24</v>
      </c>
      <c r="I340" s="16">
        <v>0.4</v>
      </c>
      <c r="J340" s="11" t="s">
        <v>713</v>
      </c>
      <c r="K340" s="11" t="s">
        <v>714</v>
      </c>
      <c r="L340" s="11" t="s">
        <v>27</v>
      </c>
      <c r="M340" s="11" t="s">
        <v>28</v>
      </c>
      <c r="N340" s="11" t="s">
        <v>188</v>
      </c>
      <c r="O340" s="11" t="s">
        <v>551</v>
      </c>
      <c r="P340" s="11" t="s">
        <v>38</v>
      </c>
      <c r="Q340" s="20">
        <v>39866.0</v>
      </c>
      <c r="R340" s="17">
        <f t="shared" si="2"/>
        <v>17.78019896</v>
      </c>
      <c r="S340" s="9"/>
      <c r="T340" s="9"/>
      <c r="U340" s="9"/>
      <c r="V340" s="9"/>
      <c r="W340" s="9"/>
      <c r="X340" s="9"/>
      <c r="Y340" s="9"/>
      <c r="Z340" s="9"/>
      <c r="AA340" s="9"/>
      <c r="AB340" s="9" t="str">
        <f>IFERROR(__xludf.DUMMYFUNCTION("""COMPUTED_VALUE"""),"Deborah Brumfield")</f>
        <v>Deborah Brumfield</v>
      </c>
      <c r="AC340" s="9"/>
      <c r="AD340" s="9"/>
      <c r="AE340" s="9">
        <f t="shared" si="8"/>
        <v>1</v>
      </c>
      <c r="AF340" s="19" t="b">
        <f t="shared" si="13"/>
        <v>0</v>
      </c>
      <c r="AG340" s="9"/>
      <c r="AH340" s="9"/>
      <c r="AI340" s="9"/>
    </row>
    <row r="341" ht="15.0" customHeight="1">
      <c r="A341" s="11">
        <v>340.0</v>
      </c>
      <c r="B341" s="12">
        <f t="shared" si="61"/>
        <v>39865</v>
      </c>
      <c r="C341" s="13">
        <v>2009.0</v>
      </c>
      <c r="D341" s="11" t="s">
        <v>44</v>
      </c>
      <c r="E341" s="11">
        <v>11.0</v>
      </c>
      <c r="F341" s="21" t="s">
        <v>577</v>
      </c>
      <c r="G341" s="15">
        <v>0.08676102306606007</v>
      </c>
      <c r="H341" s="11" t="s">
        <v>45</v>
      </c>
      <c r="I341" s="16">
        <v>53.336000000000006</v>
      </c>
      <c r="J341" s="11" t="s">
        <v>713</v>
      </c>
      <c r="K341" s="11" t="s">
        <v>714</v>
      </c>
      <c r="L341" s="11" t="s">
        <v>27</v>
      </c>
      <c r="M341" s="11" t="s">
        <v>49</v>
      </c>
      <c r="N341" s="11" t="s">
        <v>85</v>
      </c>
      <c r="O341" s="11" t="s">
        <v>579</v>
      </c>
      <c r="P341" s="11" t="s">
        <v>87</v>
      </c>
      <c r="Q341" s="20">
        <v>39867.0</v>
      </c>
      <c r="R341" s="17">
        <f t="shared" si="2"/>
        <v>252.4777005</v>
      </c>
      <c r="S341" s="9"/>
      <c r="T341" s="9"/>
      <c r="U341" s="9"/>
      <c r="V341" s="9"/>
      <c r="W341" s="9"/>
      <c r="X341" s="9"/>
      <c r="Y341" s="9"/>
      <c r="Z341" s="9"/>
      <c r="AA341" s="9"/>
      <c r="AB341" s="9" t="str">
        <f>IFERROR(__xludf.DUMMYFUNCTION("""COMPUTED_VALUE"""),"Anna Gayman")</f>
        <v>Anna Gayman</v>
      </c>
      <c r="AC341" s="9"/>
      <c r="AD341" s="9"/>
      <c r="AE341" s="9">
        <f t="shared" si="8"/>
        <v>1</v>
      </c>
      <c r="AF341" s="19" t="b">
        <f t="shared" si="13"/>
        <v>0</v>
      </c>
      <c r="AG341" s="9"/>
      <c r="AH341" s="9"/>
      <c r="AI341" s="9"/>
    </row>
    <row r="342" ht="15.0" customHeight="1">
      <c r="A342" s="11">
        <v>341.0</v>
      </c>
      <c r="B342" s="12">
        <f t="shared" ref="B342:B345" si="62">DATE(2012,12,31)-1408</f>
        <v>39866</v>
      </c>
      <c r="C342" s="13">
        <v>2009.0</v>
      </c>
      <c r="D342" s="11" t="s">
        <v>23</v>
      </c>
      <c r="E342" s="11">
        <v>40.0</v>
      </c>
      <c r="F342" s="21" t="s">
        <v>715</v>
      </c>
      <c r="G342" s="15">
        <v>0.06025649282780523</v>
      </c>
      <c r="H342" s="11" t="s">
        <v>45</v>
      </c>
      <c r="I342" s="16">
        <v>11.76</v>
      </c>
      <c r="J342" s="11" t="s">
        <v>716</v>
      </c>
      <c r="K342" s="11" t="s">
        <v>61</v>
      </c>
      <c r="L342" s="11" t="s">
        <v>48</v>
      </c>
      <c r="M342" s="11" t="s">
        <v>66</v>
      </c>
      <c r="N342" s="11" t="s">
        <v>69</v>
      </c>
      <c r="O342" s="11" t="s">
        <v>717</v>
      </c>
      <c r="P342" s="11" t="s">
        <v>52</v>
      </c>
      <c r="Q342" s="20">
        <v>39867.0</v>
      </c>
      <c r="R342" s="17">
        <f t="shared" si="2"/>
        <v>1066.284436</v>
      </c>
      <c r="S342" s="9"/>
      <c r="T342" s="9"/>
      <c r="U342" s="9"/>
      <c r="V342" s="9"/>
      <c r="W342" s="9"/>
      <c r="X342" s="9"/>
      <c r="Y342" s="9"/>
      <c r="Z342" s="9"/>
      <c r="AA342" s="9"/>
      <c r="AB342" s="9" t="str">
        <f>IFERROR(__xludf.DUMMYFUNCTION("""COMPUTED_VALUE"""),"Fred Wasserman")</f>
        <v>Fred Wasserman</v>
      </c>
      <c r="AC342" s="9"/>
      <c r="AD342" s="9"/>
      <c r="AE342" s="9">
        <f t="shared" si="8"/>
        <v>4</v>
      </c>
      <c r="AF342" s="19">
        <f t="shared" si="13"/>
        <v>4</v>
      </c>
      <c r="AG342" s="9"/>
      <c r="AH342" s="9"/>
      <c r="AI342" s="9"/>
    </row>
    <row r="343" ht="15.0" customHeight="1">
      <c r="A343" s="11">
        <v>342.0</v>
      </c>
      <c r="B343" s="12">
        <f t="shared" si="62"/>
        <v>39866</v>
      </c>
      <c r="C343" s="13">
        <v>2009.0</v>
      </c>
      <c r="D343" s="11" t="s">
        <v>32</v>
      </c>
      <c r="E343" s="11">
        <v>50.0</v>
      </c>
      <c r="F343" s="21" t="s">
        <v>718</v>
      </c>
      <c r="G343" s="15">
        <v>0.07725576983876066</v>
      </c>
      <c r="H343" s="11" t="s">
        <v>33</v>
      </c>
      <c r="I343" s="16">
        <v>6.184000000000001</v>
      </c>
      <c r="J343" s="11" t="s">
        <v>719</v>
      </c>
      <c r="K343" s="11" t="s">
        <v>61</v>
      </c>
      <c r="L343" s="11" t="s">
        <v>48</v>
      </c>
      <c r="M343" s="11" t="s">
        <v>28</v>
      </c>
      <c r="N343" s="11" t="s">
        <v>62</v>
      </c>
      <c r="O343" s="11" t="s">
        <v>720</v>
      </c>
      <c r="P343" s="11" t="s">
        <v>38</v>
      </c>
      <c r="Q343" s="20">
        <v>39867.0</v>
      </c>
      <c r="R343" s="17">
        <f t="shared" si="2"/>
        <v>135.289068</v>
      </c>
      <c r="S343" s="9"/>
      <c r="T343" s="9"/>
      <c r="U343" s="9"/>
      <c r="V343" s="9"/>
      <c r="W343" s="9"/>
      <c r="X343" s="9"/>
      <c r="Y343" s="9"/>
      <c r="Z343" s="9"/>
      <c r="AA343" s="9"/>
      <c r="AB343" s="9" t="str">
        <f>IFERROR(__xludf.DUMMYFUNCTION("""COMPUTED_VALUE"""),"Sandra Glassco")</f>
        <v>Sandra Glassco</v>
      </c>
      <c r="AC343" s="9"/>
      <c r="AD343" s="9"/>
      <c r="AE343" s="9">
        <f t="shared" si="8"/>
        <v>4</v>
      </c>
      <c r="AF343" s="19">
        <f t="shared" si="13"/>
        <v>4</v>
      </c>
      <c r="AG343" s="9"/>
      <c r="AH343" s="9"/>
      <c r="AI343" s="9"/>
    </row>
    <row r="344" ht="15.0" customHeight="1">
      <c r="A344" s="11">
        <v>343.0</v>
      </c>
      <c r="B344" s="12">
        <f t="shared" si="62"/>
        <v>39866</v>
      </c>
      <c r="C344" s="13">
        <v>2009.0</v>
      </c>
      <c r="D344" s="11" t="s">
        <v>23</v>
      </c>
      <c r="E344" s="11">
        <v>27.0</v>
      </c>
      <c r="F344" s="21" t="s">
        <v>126</v>
      </c>
      <c r="G344" s="15">
        <v>0.06852054794520542</v>
      </c>
      <c r="H344" s="11" t="s">
        <v>33</v>
      </c>
      <c r="I344" s="16">
        <v>3.696</v>
      </c>
      <c r="J344" s="11" t="s">
        <v>721</v>
      </c>
      <c r="K344" s="11" t="s">
        <v>61</v>
      </c>
      <c r="L344" s="11" t="s">
        <v>41</v>
      </c>
      <c r="M344" s="11" t="s">
        <v>66</v>
      </c>
      <c r="N344" s="11" t="s">
        <v>67</v>
      </c>
      <c r="O344" s="11" t="s">
        <v>675</v>
      </c>
      <c r="P344" s="11" t="s">
        <v>99</v>
      </c>
      <c r="Q344" s="20">
        <v>39867.0</v>
      </c>
      <c r="R344" s="17">
        <f t="shared" si="2"/>
        <v>9.318520438</v>
      </c>
      <c r="S344" s="9"/>
      <c r="T344" s="9"/>
      <c r="U344" s="9"/>
      <c r="V344" s="9"/>
      <c r="W344" s="9"/>
      <c r="X344" s="9"/>
      <c r="Y344" s="9"/>
      <c r="Z344" s="9"/>
      <c r="AA344" s="9"/>
      <c r="AB344" s="9" t="str">
        <f>IFERROR(__xludf.DUMMYFUNCTION("""COMPUTED_VALUE"""),"Erica Hernandez")</f>
        <v>Erica Hernandez</v>
      </c>
      <c r="AC344" s="9"/>
      <c r="AD344" s="9"/>
      <c r="AE344" s="9">
        <f t="shared" si="8"/>
        <v>3</v>
      </c>
      <c r="AF344" s="19">
        <f t="shared" si="13"/>
        <v>4</v>
      </c>
      <c r="AG344" s="9"/>
      <c r="AH344" s="9"/>
      <c r="AI344" s="9"/>
    </row>
    <row r="345" ht="15.0" customHeight="1">
      <c r="A345" s="11">
        <v>344.0</v>
      </c>
      <c r="B345" s="12">
        <f t="shared" si="62"/>
        <v>39866</v>
      </c>
      <c r="C345" s="13">
        <v>2009.0</v>
      </c>
      <c r="D345" s="11" t="s">
        <v>23</v>
      </c>
      <c r="E345" s="11">
        <v>42.0</v>
      </c>
      <c r="F345" s="21" t="s">
        <v>722</v>
      </c>
      <c r="G345" s="15">
        <v>0.021124023105674367</v>
      </c>
      <c r="H345" s="11" t="s">
        <v>33</v>
      </c>
      <c r="I345" s="16">
        <v>4.016</v>
      </c>
      <c r="J345" s="11" t="s">
        <v>721</v>
      </c>
      <c r="K345" s="11" t="s">
        <v>61</v>
      </c>
      <c r="L345" s="11" t="s">
        <v>41</v>
      </c>
      <c r="M345" s="11" t="s">
        <v>49</v>
      </c>
      <c r="N345" s="11" t="s">
        <v>73</v>
      </c>
      <c r="O345" s="11" t="s">
        <v>723</v>
      </c>
      <c r="P345" s="11" t="s">
        <v>38</v>
      </c>
      <c r="Q345" s="20">
        <v>39868.0</v>
      </c>
      <c r="R345" s="17">
        <f t="shared" si="2"/>
        <v>30.42738087</v>
      </c>
      <c r="S345" s="9"/>
      <c r="T345" s="9"/>
      <c r="U345" s="9"/>
      <c r="V345" s="9"/>
      <c r="W345" s="9"/>
      <c r="X345" s="9"/>
      <c r="Y345" s="9"/>
      <c r="Z345" s="9"/>
      <c r="AA345" s="9"/>
      <c r="AB345" s="9" t="str">
        <f>IFERROR(__xludf.DUMMYFUNCTION("""COMPUTED_VALUE"""),"Yoseph Carroll")</f>
        <v>Yoseph Carroll</v>
      </c>
      <c r="AC345" s="9"/>
      <c r="AD345" s="9"/>
      <c r="AE345" s="9">
        <f t="shared" si="8"/>
        <v>3</v>
      </c>
      <c r="AF345" s="19">
        <f t="shared" si="13"/>
        <v>4</v>
      </c>
      <c r="AG345" s="9"/>
      <c r="AH345" s="9"/>
      <c r="AI345" s="9"/>
    </row>
    <row r="346" ht="15.0" customHeight="1">
      <c r="A346" s="11">
        <v>345.0</v>
      </c>
      <c r="B346" s="12">
        <f t="shared" ref="B346:B349" si="63">DATE(2012,12,31)-1407</f>
        <v>39867</v>
      </c>
      <c r="C346" s="13">
        <v>2009.0</v>
      </c>
      <c r="D346" s="11" t="s">
        <v>32</v>
      </c>
      <c r="E346" s="11">
        <v>19.0</v>
      </c>
      <c r="F346" s="21" t="s">
        <v>122</v>
      </c>
      <c r="G346" s="15">
        <v>0.036342907257180486</v>
      </c>
      <c r="H346" s="11" t="s">
        <v>45</v>
      </c>
      <c r="I346" s="16">
        <v>42.42400000000001</v>
      </c>
      <c r="J346" s="11" t="s">
        <v>724</v>
      </c>
      <c r="K346" s="11" t="s">
        <v>65</v>
      </c>
      <c r="L346" s="11" t="s">
        <v>48</v>
      </c>
      <c r="M346" s="11" t="s">
        <v>28</v>
      </c>
      <c r="N346" s="11" t="s">
        <v>29</v>
      </c>
      <c r="O346" s="11" t="s">
        <v>725</v>
      </c>
      <c r="P346" s="11" t="s">
        <v>52</v>
      </c>
      <c r="Q346" s="20">
        <v>39868.0</v>
      </c>
      <c r="R346" s="17">
        <f t="shared" si="2"/>
        <v>15.97357997</v>
      </c>
      <c r="S346" s="9"/>
      <c r="T346" s="9"/>
      <c r="U346" s="9"/>
      <c r="V346" s="9"/>
      <c r="W346" s="9"/>
      <c r="X346" s="9"/>
      <c r="Y346" s="9"/>
      <c r="Z346" s="9"/>
      <c r="AA346" s="9"/>
      <c r="AB346" s="9" t="str">
        <f>IFERROR(__xludf.DUMMYFUNCTION("""COMPUTED_VALUE"""),"Sally Knutson")</f>
        <v>Sally Knutson</v>
      </c>
      <c r="AC346" s="9"/>
      <c r="AD346" s="9"/>
      <c r="AE346" s="9">
        <f t="shared" si="8"/>
        <v>4</v>
      </c>
      <c r="AF346" s="19">
        <f t="shared" si="13"/>
        <v>5</v>
      </c>
      <c r="AG346" s="9"/>
      <c r="AH346" s="9"/>
      <c r="AI346" s="9"/>
    </row>
    <row r="347" ht="15.0" customHeight="1">
      <c r="A347" s="11">
        <v>346.0</v>
      </c>
      <c r="B347" s="12">
        <f t="shared" si="63"/>
        <v>39867</v>
      </c>
      <c r="C347" s="13">
        <v>2009.0</v>
      </c>
      <c r="D347" s="11" t="s">
        <v>39</v>
      </c>
      <c r="E347" s="11">
        <v>17.0</v>
      </c>
      <c r="F347" s="21" t="s">
        <v>726</v>
      </c>
      <c r="G347" s="15">
        <v>0.023110749185667818</v>
      </c>
      <c r="H347" s="11" t="s">
        <v>33</v>
      </c>
      <c r="I347" s="16">
        <v>7.024</v>
      </c>
      <c r="J347" s="11" t="s">
        <v>727</v>
      </c>
      <c r="K347" s="11" t="s">
        <v>35</v>
      </c>
      <c r="L347" s="11" t="s">
        <v>48</v>
      </c>
      <c r="M347" s="11" t="s">
        <v>49</v>
      </c>
      <c r="N347" s="11" t="s">
        <v>73</v>
      </c>
      <c r="O347" s="11" t="s">
        <v>728</v>
      </c>
      <c r="P347" s="11" t="s">
        <v>38</v>
      </c>
      <c r="Q347" s="20">
        <v>39868.0</v>
      </c>
      <c r="R347" s="17">
        <f t="shared" si="2"/>
        <v>5.544823388</v>
      </c>
      <c r="S347" s="9"/>
      <c r="T347" s="9"/>
      <c r="U347" s="9"/>
      <c r="V347" s="9"/>
      <c r="W347" s="9"/>
      <c r="X347" s="9"/>
      <c r="Y347" s="9"/>
      <c r="Z347" s="9"/>
      <c r="AA347" s="9"/>
      <c r="AB347" s="9" t="str">
        <f>IFERROR(__xludf.DUMMYFUNCTION("""COMPUTED_VALUE"""),"Janet Martin")</f>
        <v>Janet Martin</v>
      </c>
      <c r="AC347" s="9"/>
      <c r="AD347" s="9"/>
      <c r="AE347" s="9">
        <f t="shared" si="8"/>
        <v>4</v>
      </c>
      <c r="AF347" s="19">
        <f t="shared" si="13"/>
        <v>2</v>
      </c>
      <c r="AG347" s="9"/>
      <c r="AH347" s="9"/>
      <c r="AI347" s="9"/>
    </row>
    <row r="348" ht="15.0" customHeight="1">
      <c r="A348" s="11">
        <v>347.0</v>
      </c>
      <c r="B348" s="12">
        <f t="shared" si="63"/>
        <v>39867</v>
      </c>
      <c r="C348" s="13">
        <v>2009.0</v>
      </c>
      <c r="D348" s="11" t="s">
        <v>39</v>
      </c>
      <c r="E348" s="11">
        <v>30.0</v>
      </c>
      <c r="F348" s="21" t="s">
        <v>729</v>
      </c>
      <c r="G348" s="15">
        <v>0.04267252075975944</v>
      </c>
      <c r="H348" s="11" t="s">
        <v>33</v>
      </c>
      <c r="I348" s="16">
        <v>6.992000000000001</v>
      </c>
      <c r="J348" s="11" t="s">
        <v>727</v>
      </c>
      <c r="K348" s="11" t="s">
        <v>35</v>
      </c>
      <c r="L348" s="11" t="s">
        <v>48</v>
      </c>
      <c r="M348" s="11" t="s">
        <v>28</v>
      </c>
      <c r="N348" s="11" t="s">
        <v>29</v>
      </c>
      <c r="O348" s="11" t="s">
        <v>730</v>
      </c>
      <c r="P348" s="11" t="s">
        <v>38</v>
      </c>
      <c r="Q348" s="20">
        <v>39869.0</v>
      </c>
      <c r="R348" s="17">
        <f t="shared" si="2"/>
        <v>42.80019694</v>
      </c>
      <c r="S348" s="9"/>
      <c r="T348" s="9"/>
      <c r="U348" s="9"/>
      <c r="V348" s="9"/>
      <c r="W348" s="9"/>
      <c r="X348" s="9"/>
      <c r="Y348" s="9"/>
      <c r="Z348" s="9"/>
      <c r="AA348" s="9"/>
      <c r="AB348" s="9" t="str">
        <f>IFERROR(__xludf.DUMMYFUNCTION("""COMPUTED_VALUE"""),"Roger Barcio")</f>
        <v>Roger Barcio</v>
      </c>
      <c r="AC348" s="9"/>
      <c r="AD348" s="9"/>
      <c r="AE348" s="9">
        <f t="shared" si="8"/>
        <v>4</v>
      </c>
      <c r="AF348" s="19">
        <f t="shared" si="13"/>
        <v>2</v>
      </c>
      <c r="AG348" s="9"/>
      <c r="AH348" s="9"/>
      <c r="AI348" s="9"/>
    </row>
    <row r="349" ht="15.0" customHeight="1">
      <c r="A349" s="11">
        <v>348.0</v>
      </c>
      <c r="B349" s="12">
        <f t="shared" si="63"/>
        <v>39867</v>
      </c>
      <c r="C349" s="13">
        <v>2009.0</v>
      </c>
      <c r="D349" s="11" t="s">
        <v>39</v>
      </c>
      <c r="E349" s="11">
        <v>22.0</v>
      </c>
      <c r="F349" s="21" t="s">
        <v>731</v>
      </c>
      <c r="G349" s="15">
        <v>0.03358269075843001</v>
      </c>
      <c r="H349" s="11" t="s">
        <v>33</v>
      </c>
      <c r="I349" s="16">
        <v>10.32</v>
      </c>
      <c r="J349" s="11" t="s">
        <v>732</v>
      </c>
      <c r="K349" s="11" t="s">
        <v>61</v>
      </c>
      <c r="L349" s="11" t="s">
        <v>27</v>
      </c>
      <c r="M349" s="11" t="s">
        <v>28</v>
      </c>
      <c r="N349" s="11" t="s">
        <v>29</v>
      </c>
      <c r="O349" s="11" t="s">
        <v>733</v>
      </c>
      <c r="P349" s="11" t="s">
        <v>38</v>
      </c>
      <c r="Q349" s="20">
        <v>39869.0</v>
      </c>
      <c r="R349" s="17">
        <f t="shared" si="2"/>
        <v>28.20005708</v>
      </c>
      <c r="S349" s="9"/>
      <c r="T349" s="9"/>
      <c r="U349" s="9"/>
      <c r="V349" s="9"/>
      <c r="W349" s="9"/>
      <c r="X349" s="9"/>
      <c r="Y349" s="9"/>
      <c r="Z349" s="9"/>
      <c r="AA349" s="9"/>
      <c r="AB349" s="9" t="str">
        <f>IFERROR(__xludf.DUMMYFUNCTION("""COMPUTED_VALUE"""),"Georgia Rosenberg")</f>
        <v>Georgia Rosenberg</v>
      </c>
      <c r="AC349" s="9"/>
      <c r="AD349" s="9"/>
      <c r="AE349" s="9">
        <f t="shared" si="8"/>
        <v>1</v>
      </c>
      <c r="AF349" s="19">
        <f t="shared" si="13"/>
        <v>4</v>
      </c>
      <c r="AG349" s="9"/>
      <c r="AH349" s="9"/>
      <c r="AI349" s="9"/>
    </row>
    <row r="350" ht="15.0" customHeight="1">
      <c r="A350" s="11">
        <v>349.0</v>
      </c>
      <c r="B350" s="12">
        <f t="shared" ref="B350:B353" si="64">DATE(2012,12,31)-1406</f>
        <v>39868</v>
      </c>
      <c r="C350" s="13">
        <v>2009.0</v>
      </c>
      <c r="D350" s="11" t="s">
        <v>39</v>
      </c>
      <c r="E350" s="11">
        <v>17.0</v>
      </c>
      <c r="F350" s="21" t="s">
        <v>734</v>
      </c>
      <c r="G350" s="15">
        <v>0.013085742771684946</v>
      </c>
      <c r="H350" s="11" t="s">
        <v>33</v>
      </c>
      <c r="I350" s="16">
        <v>28.0</v>
      </c>
      <c r="J350" s="11" t="s">
        <v>735</v>
      </c>
      <c r="K350" s="11" t="s">
        <v>83</v>
      </c>
      <c r="L350" s="11" t="s">
        <v>36</v>
      </c>
      <c r="M350" s="11" t="s">
        <v>28</v>
      </c>
      <c r="N350" s="11" t="s">
        <v>29</v>
      </c>
      <c r="O350" s="11" t="s">
        <v>736</v>
      </c>
      <c r="P350" s="11" t="s">
        <v>31</v>
      </c>
      <c r="Q350" s="20">
        <v>39870.0</v>
      </c>
      <c r="R350" s="17">
        <f t="shared" si="2"/>
        <v>31.0877991</v>
      </c>
      <c r="S350" s="9"/>
      <c r="T350" s="9"/>
      <c r="U350" s="9"/>
      <c r="V350" s="9"/>
      <c r="W350" s="9"/>
      <c r="X350" s="9"/>
      <c r="Y350" s="9"/>
      <c r="Z350" s="9"/>
      <c r="AA350" s="9"/>
      <c r="AB350" s="9" t="str">
        <f>IFERROR(__xludf.DUMMYFUNCTION("""COMPUTED_VALUE"""),"Mitch Willingham")</f>
        <v>Mitch Willingham</v>
      </c>
      <c r="AC350" s="9"/>
      <c r="AD350" s="9"/>
      <c r="AE350" s="9">
        <f t="shared" si="8"/>
        <v>2</v>
      </c>
      <c r="AF350" s="19" t="b">
        <f t="shared" si="13"/>
        <v>0</v>
      </c>
      <c r="AG350" s="9"/>
      <c r="AH350" s="9"/>
      <c r="AI350" s="9"/>
    </row>
    <row r="351" ht="15.0" customHeight="1">
      <c r="A351" s="11">
        <v>350.0</v>
      </c>
      <c r="B351" s="12">
        <f t="shared" si="64"/>
        <v>39868</v>
      </c>
      <c r="C351" s="13">
        <v>2009.0</v>
      </c>
      <c r="D351" s="11" t="s">
        <v>39</v>
      </c>
      <c r="E351" s="11">
        <v>12.0</v>
      </c>
      <c r="F351" s="21" t="s">
        <v>737</v>
      </c>
      <c r="G351" s="15">
        <v>0.031940446650124056</v>
      </c>
      <c r="H351" s="11" t="s">
        <v>24</v>
      </c>
      <c r="I351" s="16">
        <v>3.192</v>
      </c>
      <c r="J351" s="11" t="s">
        <v>738</v>
      </c>
      <c r="K351" s="11" t="s">
        <v>65</v>
      </c>
      <c r="L351" s="11" t="s">
        <v>48</v>
      </c>
      <c r="M351" s="11" t="s">
        <v>28</v>
      </c>
      <c r="N351" s="11" t="s">
        <v>197</v>
      </c>
      <c r="O351" s="11" t="s">
        <v>739</v>
      </c>
      <c r="P351" s="11" t="s">
        <v>38</v>
      </c>
      <c r="Q351" s="20">
        <v>39870.0</v>
      </c>
      <c r="R351" s="17">
        <f t="shared" si="2"/>
        <v>18.69129386</v>
      </c>
      <c r="S351" s="9"/>
      <c r="T351" s="9"/>
      <c r="U351" s="9"/>
      <c r="V351" s="9"/>
      <c r="W351" s="9"/>
      <c r="X351" s="9"/>
      <c r="Y351" s="9"/>
      <c r="Z351" s="9"/>
      <c r="AA351" s="9"/>
      <c r="AB351" s="9" t="str">
        <f>IFERROR(__xludf.DUMMYFUNCTION("""COMPUTED_VALUE"""),"Stephanie Ulpright")</f>
        <v>Stephanie Ulpright</v>
      </c>
      <c r="AC351" s="9"/>
      <c r="AD351" s="9"/>
      <c r="AE351" s="9">
        <f t="shared" si="8"/>
        <v>4</v>
      </c>
      <c r="AF351" s="19">
        <f t="shared" si="13"/>
        <v>5</v>
      </c>
      <c r="AG351" s="9"/>
      <c r="AH351" s="9"/>
      <c r="AI351" s="9"/>
    </row>
    <row r="352" ht="15.0" customHeight="1">
      <c r="A352" s="11">
        <v>351.0</v>
      </c>
      <c r="B352" s="12">
        <f t="shared" si="64"/>
        <v>39868</v>
      </c>
      <c r="C352" s="13">
        <v>2009.0</v>
      </c>
      <c r="D352" s="11" t="s">
        <v>39</v>
      </c>
      <c r="E352" s="11">
        <v>46.0</v>
      </c>
      <c r="F352" s="21" t="s">
        <v>740</v>
      </c>
      <c r="G352" s="15">
        <v>0.025989842824308766</v>
      </c>
      <c r="H352" s="11" t="s">
        <v>45</v>
      </c>
      <c r="I352" s="16">
        <v>131.784</v>
      </c>
      <c r="J352" s="11" t="s">
        <v>741</v>
      </c>
      <c r="K352" s="11" t="s">
        <v>35</v>
      </c>
      <c r="L352" s="11" t="s">
        <v>27</v>
      </c>
      <c r="M352" s="11" t="s">
        <v>49</v>
      </c>
      <c r="N352" s="11" t="s">
        <v>50</v>
      </c>
      <c r="O352" s="11" t="s">
        <v>742</v>
      </c>
      <c r="P352" s="11" t="s">
        <v>52</v>
      </c>
      <c r="Q352" s="20">
        <v>39870.0</v>
      </c>
      <c r="R352" s="17">
        <f t="shared" si="2"/>
        <v>363.1608559</v>
      </c>
      <c r="S352" s="9"/>
      <c r="T352" s="9"/>
      <c r="U352" s="9"/>
      <c r="V352" s="9"/>
      <c r="W352" s="9"/>
      <c r="X352" s="9"/>
      <c r="Y352" s="9"/>
      <c r="Z352" s="9"/>
      <c r="AA352" s="9"/>
      <c r="AB352" s="9" t="str">
        <f>IFERROR(__xludf.DUMMYFUNCTION("""COMPUTED_VALUE"""),"Alyssa Tate")</f>
        <v>Alyssa Tate</v>
      </c>
      <c r="AC352" s="9"/>
      <c r="AD352" s="9"/>
      <c r="AE352" s="9">
        <f t="shared" si="8"/>
        <v>1</v>
      </c>
      <c r="AF352" s="19">
        <f t="shared" si="13"/>
        <v>2</v>
      </c>
      <c r="AG352" s="9"/>
      <c r="AH352" s="9"/>
      <c r="AI352" s="9"/>
    </row>
    <row r="353" ht="15.0" customHeight="1">
      <c r="A353" s="11">
        <v>352.0</v>
      </c>
      <c r="B353" s="12">
        <f t="shared" si="64"/>
        <v>39868</v>
      </c>
      <c r="C353" s="13">
        <v>2009.0</v>
      </c>
      <c r="D353" s="11" t="s">
        <v>39</v>
      </c>
      <c r="E353" s="11">
        <v>1.0</v>
      </c>
      <c r="F353" s="21" t="s">
        <v>333</v>
      </c>
      <c r="G353" s="15">
        <v>0.12666666666666668</v>
      </c>
      <c r="H353" s="11" t="s">
        <v>33</v>
      </c>
      <c r="I353" s="16">
        <v>0.768</v>
      </c>
      <c r="J353" s="11" t="s">
        <v>741</v>
      </c>
      <c r="K353" s="11" t="s">
        <v>35</v>
      </c>
      <c r="L353" s="11" t="s">
        <v>27</v>
      </c>
      <c r="M353" s="11" t="s">
        <v>28</v>
      </c>
      <c r="N353" s="11" t="s">
        <v>62</v>
      </c>
      <c r="O353" s="11" t="s">
        <v>549</v>
      </c>
      <c r="P353" s="11" t="s">
        <v>58</v>
      </c>
      <c r="Q353" s="20">
        <v>39870.0</v>
      </c>
      <c r="R353" s="17">
        <f t="shared" si="2"/>
        <v>0.4646133333</v>
      </c>
      <c r="S353" s="9"/>
      <c r="T353" s="9"/>
      <c r="U353" s="9"/>
      <c r="V353" s="9"/>
      <c r="W353" s="9"/>
      <c r="X353" s="9"/>
      <c r="Y353" s="9"/>
      <c r="Z353" s="9"/>
      <c r="AA353" s="9"/>
      <c r="AB353" s="9" t="str">
        <f>IFERROR(__xludf.DUMMYFUNCTION("""COMPUTED_VALUE"""),"Katharine Harms")</f>
        <v>Katharine Harms</v>
      </c>
      <c r="AC353" s="9"/>
      <c r="AD353" s="9"/>
      <c r="AE353" s="9">
        <f t="shared" si="8"/>
        <v>1</v>
      </c>
      <c r="AF353" s="19">
        <f t="shared" si="13"/>
        <v>2</v>
      </c>
      <c r="AG353" s="9"/>
      <c r="AH353" s="9"/>
      <c r="AI353" s="9"/>
    </row>
    <row r="354" ht="15.0" customHeight="1">
      <c r="A354" s="11">
        <v>353.0</v>
      </c>
      <c r="B354" s="12">
        <f t="shared" ref="B354:B358" si="65">DATE(2012,12,31)-1405</f>
        <v>39869</v>
      </c>
      <c r="C354" s="13">
        <v>2009.0</v>
      </c>
      <c r="D354" s="11" t="s">
        <v>44</v>
      </c>
      <c r="E354" s="11">
        <v>22.0</v>
      </c>
      <c r="F354" s="21" t="s">
        <v>743</v>
      </c>
      <c r="G354" s="15">
        <v>0.09578570860821878</v>
      </c>
      <c r="H354" s="11" t="s">
        <v>33</v>
      </c>
      <c r="I354" s="16">
        <v>17.791999999999998</v>
      </c>
      <c r="J354" s="11" t="s">
        <v>744</v>
      </c>
      <c r="K354" s="11" t="s">
        <v>61</v>
      </c>
      <c r="L354" s="11" t="s">
        <v>48</v>
      </c>
      <c r="M354" s="11" t="s">
        <v>49</v>
      </c>
      <c r="N354" s="11" t="s">
        <v>73</v>
      </c>
      <c r="O354" s="11" t="s">
        <v>745</v>
      </c>
      <c r="P354" s="11" t="s">
        <v>31</v>
      </c>
      <c r="Q354" s="20">
        <v>39870.0</v>
      </c>
      <c r="R354" s="17">
        <f t="shared" si="2"/>
        <v>108.9650558</v>
      </c>
      <c r="S354" s="9"/>
      <c r="T354" s="9"/>
      <c r="U354" s="9"/>
      <c r="V354" s="9"/>
      <c r="W354" s="9"/>
      <c r="X354" s="9"/>
      <c r="Y354" s="9"/>
      <c r="Z354" s="9"/>
      <c r="AA354" s="9"/>
      <c r="AB354" s="9" t="str">
        <f>IFERROR(__xludf.DUMMYFUNCTION("""COMPUTED_VALUE"""),"Jim Kriz")</f>
        <v>Jim Kriz</v>
      </c>
      <c r="AC354" s="9"/>
      <c r="AD354" s="9"/>
      <c r="AE354" s="9">
        <f t="shared" si="8"/>
        <v>4</v>
      </c>
      <c r="AF354" s="19">
        <f t="shared" si="13"/>
        <v>4</v>
      </c>
      <c r="AG354" s="9"/>
      <c r="AH354" s="9"/>
      <c r="AI354" s="9"/>
    </row>
    <row r="355" ht="15.0" customHeight="1">
      <c r="A355" s="11">
        <v>354.0</v>
      </c>
      <c r="B355" s="12">
        <f t="shared" si="65"/>
        <v>39869</v>
      </c>
      <c r="C355" s="13">
        <v>2009.0</v>
      </c>
      <c r="D355" s="11" t="s">
        <v>23</v>
      </c>
      <c r="E355" s="11">
        <v>39.0</v>
      </c>
      <c r="F355" s="21" t="s">
        <v>221</v>
      </c>
      <c r="G355" s="15">
        <v>0.04248574303924864</v>
      </c>
      <c r="H355" s="11" t="s">
        <v>24</v>
      </c>
      <c r="I355" s="16">
        <v>6.840000000000001</v>
      </c>
      <c r="J355" s="11" t="s">
        <v>746</v>
      </c>
      <c r="K355" s="11" t="s">
        <v>65</v>
      </c>
      <c r="L355" s="11" t="s">
        <v>48</v>
      </c>
      <c r="M355" s="11" t="s">
        <v>49</v>
      </c>
      <c r="N355" s="11" t="s">
        <v>73</v>
      </c>
      <c r="O355" s="11" t="s">
        <v>223</v>
      </c>
      <c r="P355" s="11" t="s">
        <v>38</v>
      </c>
      <c r="Q355" s="20">
        <v>39870.0</v>
      </c>
      <c r="R355" s="17">
        <f t="shared" si="2"/>
        <v>48.50767226</v>
      </c>
      <c r="S355" s="9"/>
      <c r="T355" s="9"/>
      <c r="U355" s="9"/>
      <c r="V355" s="9"/>
      <c r="W355" s="9"/>
      <c r="X355" s="9"/>
      <c r="Y355" s="9"/>
      <c r="Z355" s="9"/>
      <c r="AA355" s="9"/>
      <c r="AB355" s="9" t="str">
        <f>IFERROR(__xludf.DUMMYFUNCTION("""COMPUTED_VALUE"""),"Becky Pak")</f>
        <v>Becky Pak</v>
      </c>
      <c r="AC355" s="9"/>
      <c r="AD355" s="9"/>
      <c r="AE355" s="9">
        <f t="shared" si="8"/>
        <v>4</v>
      </c>
      <c r="AF355" s="19">
        <f t="shared" si="13"/>
        <v>5</v>
      </c>
      <c r="AG355" s="9"/>
      <c r="AH355" s="9"/>
      <c r="AI355" s="9"/>
    </row>
    <row r="356" ht="15.0" customHeight="1">
      <c r="A356" s="11">
        <v>355.0</v>
      </c>
      <c r="B356" s="12">
        <f t="shared" si="65"/>
        <v>39869</v>
      </c>
      <c r="C356" s="13">
        <v>2009.0</v>
      </c>
      <c r="D356" s="11" t="s">
        <v>23</v>
      </c>
      <c r="E356" s="11">
        <v>31.0</v>
      </c>
      <c r="F356" s="21" t="s">
        <v>422</v>
      </c>
      <c r="G356" s="15">
        <v>0.02704402477114683</v>
      </c>
      <c r="H356" s="11" t="s">
        <v>33</v>
      </c>
      <c r="I356" s="16">
        <v>28.0</v>
      </c>
      <c r="J356" s="11" t="s">
        <v>746</v>
      </c>
      <c r="K356" s="11" t="s">
        <v>65</v>
      </c>
      <c r="L356" s="11" t="s">
        <v>48</v>
      </c>
      <c r="M356" s="11" t="s">
        <v>28</v>
      </c>
      <c r="N356" s="11" t="s">
        <v>29</v>
      </c>
      <c r="O356" s="11" t="s">
        <v>424</v>
      </c>
      <c r="P356" s="11" t="s">
        <v>31</v>
      </c>
      <c r="Q356" s="20">
        <v>39871.0</v>
      </c>
      <c r="R356" s="17">
        <f t="shared" si="2"/>
        <v>68.58094242</v>
      </c>
      <c r="S356" s="9"/>
      <c r="T356" s="9"/>
      <c r="U356" s="9"/>
      <c r="V356" s="9"/>
      <c r="W356" s="9"/>
      <c r="X356" s="9"/>
      <c r="Y356" s="9"/>
      <c r="Z356" s="9"/>
      <c r="AA356" s="9"/>
      <c r="AB356" s="9" t="str">
        <f>IFERROR(__xludf.DUMMYFUNCTION("""COMPUTED_VALUE"""),"Bill Tyler")</f>
        <v>Bill Tyler</v>
      </c>
      <c r="AC356" s="9"/>
      <c r="AD356" s="9"/>
      <c r="AE356" s="9">
        <f t="shared" si="8"/>
        <v>4</v>
      </c>
      <c r="AF356" s="19">
        <f t="shared" si="13"/>
        <v>5</v>
      </c>
      <c r="AG356" s="9"/>
      <c r="AH356" s="9"/>
      <c r="AI356" s="9"/>
    </row>
    <row r="357" ht="15.0" customHeight="1">
      <c r="A357" s="11">
        <v>356.0</v>
      </c>
      <c r="B357" s="12">
        <f t="shared" si="65"/>
        <v>39869</v>
      </c>
      <c r="C357" s="13">
        <v>2009.0</v>
      </c>
      <c r="D357" s="11" t="s">
        <v>32</v>
      </c>
      <c r="E357" s="11">
        <v>31.0</v>
      </c>
      <c r="F357" s="21" t="s">
        <v>747</v>
      </c>
      <c r="G357" s="15">
        <v>0.09743306651945888</v>
      </c>
      <c r="H357" s="11" t="s">
        <v>33</v>
      </c>
      <c r="I357" s="16">
        <v>4.6000000000000005</v>
      </c>
      <c r="J357" s="11" t="s">
        <v>571</v>
      </c>
      <c r="K357" s="11" t="s">
        <v>65</v>
      </c>
      <c r="L357" s="11" t="s">
        <v>48</v>
      </c>
      <c r="M357" s="11" t="s">
        <v>28</v>
      </c>
      <c r="N357" s="11" t="s">
        <v>42</v>
      </c>
      <c r="O357" s="11" t="s">
        <v>748</v>
      </c>
      <c r="P357" s="11" t="s">
        <v>38</v>
      </c>
      <c r="Q357" s="20">
        <v>39871.0</v>
      </c>
      <c r="R357" s="17">
        <f t="shared" si="2"/>
        <v>31.86061275</v>
      </c>
      <c r="S357" s="9"/>
      <c r="T357" s="9"/>
      <c r="U357" s="9"/>
      <c r="V357" s="9"/>
      <c r="W357" s="9"/>
      <c r="X357" s="9"/>
      <c r="Y357" s="9"/>
      <c r="Z357" s="9"/>
      <c r="AA357" s="9"/>
      <c r="AB357" s="9" t="str">
        <f>IFERROR(__xludf.DUMMYFUNCTION("""COMPUTED_VALUE"""),"Noel Staavos")</f>
        <v>Noel Staavos</v>
      </c>
      <c r="AC357" s="9"/>
      <c r="AD357" s="9"/>
      <c r="AE357" s="9">
        <f t="shared" si="8"/>
        <v>4</v>
      </c>
      <c r="AF357" s="19">
        <f t="shared" si="13"/>
        <v>5</v>
      </c>
      <c r="AG357" s="9"/>
      <c r="AH357" s="9"/>
      <c r="AI357" s="9"/>
    </row>
    <row r="358" ht="15.0" customHeight="1">
      <c r="A358" s="11">
        <v>357.0</v>
      </c>
      <c r="B358" s="12">
        <f t="shared" si="65"/>
        <v>39869</v>
      </c>
      <c r="C358" s="13">
        <v>2009.0</v>
      </c>
      <c r="D358" s="11" t="s">
        <v>32</v>
      </c>
      <c r="E358" s="11">
        <v>3.0</v>
      </c>
      <c r="F358" s="21" t="s">
        <v>218</v>
      </c>
      <c r="G358" s="15">
        <v>0.07045614035087716</v>
      </c>
      <c r="H358" s="11" t="s">
        <v>33</v>
      </c>
      <c r="I358" s="16">
        <v>1.592</v>
      </c>
      <c r="J358" s="11" t="s">
        <v>571</v>
      </c>
      <c r="K358" s="11" t="s">
        <v>65</v>
      </c>
      <c r="L358" s="11" t="s">
        <v>48</v>
      </c>
      <c r="M358" s="11" t="s">
        <v>66</v>
      </c>
      <c r="N358" s="11" t="s">
        <v>67</v>
      </c>
      <c r="O358" s="11" t="s">
        <v>749</v>
      </c>
      <c r="P358" s="11" t="s">
        <v>99</v>
      </c>
      <c r="Q358" s="20">
        <v>39871.0</v>
      </c>
      <c r="R358" s="17">
        <f t="shared" si="2"/>
        <v>1.86652407</v>
      </c>
      <c r="S358" s="9"/>
      <c r="T358" s="9"/>
      <c r="U358" s="9"/>
      <c r="V358" s="9"/>
      <c r="W358" s="9"/>
      <c r="X358" s="9"/>
      <c r="Y358" s="9"/>
      <c r="Z358" s="9"/>
      <c r="AA358" s="9"/>
      <c r="AB358" s="9" t="str">
        <f>IFERROR(__xludf.DUMMYFUNCTION("""COMPUTED_VALUE"""),"Melanie Page")</f>
        <v>Melanie Page</v>
      </c>
      <c r="AC358" s="9"/>
      <c r="AD358" s="9"/>
      <c r="AE358" s="9">
        <f t="shared" si="8"/>
        <v>4</v>
      </c>
      <c r="AF358" s="19">
        <f t="shared" si="13"/>
        <v>5</v>
      </c>
      <c r="AG358" s="9"/>
      <c r="AH358" s="9"/>
      <c r="AI358" s="9"/>
    </row>
    <row r="359" ht="15.0" customHeight="1">
      <c r="A359" s="11">
        <v>358.0</v>
      </c>
      <c r="B359" s="12">
        <f t="shared" ref="B359:B367" si="66">DATE(2012,12,31)-1404</f>
        <v>39870</v>
      </c>
      <c r="C359" s="13">
        <v>2009.0</v>
      </c>
      <c r="D359" s="11" t="s">
        <v>39</v>
      </c>
      <c r="E359" s="11">
        <v>22.0</v>
      </c>
      <c r="F359" s="21" t="s">
        <v>207</v>
      </c>
      <c r="G359" s="15">
        <v>0.03100977198697074</v>
      </c>
      <c r="H359" s="11" t="s">
        <v>33</v>
      </c>
      <c r="I359" s="16">
        <v>2.3920000000000003</v>
      </c>
      <c r="J359" s="11" t="s">
        <v>479</v>
      </c>
      <c r="K359" s="11" t="s">
        <v>35</v>
      </c>
      <c r="L359" s="11" t="s">
        <v>48</v>
      </c>
      <c r="M359" s="11" t="s">
        <v>28</v>
      </c>
      <c r="N359" s="11" t="s">
        <v>42</v>
      </c>
      <c r="O359" s="11" t="s">
        <v>682</v>
      </c>
      <c r="P359" s="11" t="s">
        <v>38</v>
      </c>
      <c r="Q359" s="20">
        <v>39871.0</v>
      </c>
      <c r="R359" s="17">
        <f t="shared" si="2"/>
        <v>3.689914788</v>
      </c>
      <c r="S359" s="9"/>
      <c r="T359" s="9"/>
      <c r="U359" s="9"/>
      <c r="V359" s="9"/>
      <c r="W359" s="9"/>
      <c r="X359" s="9"/>
      <c r="Y359" s="9"/>
      <c r="Z359" s="9"/>
      <c r="AA359" s="9"/>
      <c r="AB359" s="9" t="str">
        <f>IFERROR(__xludf.DUMMYFUNCTION("""COMPUTED_VALUE"""),"Greg Guthrie")</f>
        <v>Greg Guthrie</v>
      </c>
      <c r="AC359" s="9"/>
      <c r="AD359" s="9"/>
      <c r="AE359" s="9">
        <f t="shared" si="8"/>
        <v>4</v>
      </c>
      <c r="AF359" s="19">
        <f t="shared" si="13"/>
        <v>2</v>
      </c>
      <c r="AG359" s="9"/>
      <c r="AH359" s="9"/>
      <c r="AI359" s="9"/>
    </row>
    <row r="360" ht="15.0" customHeight="1">
      <c r="A360" s="11">
        <v>359.0</v>
      </c>
      <c r="B360" s="12">
        <f t="shared" si="66"/>
        <v>39870</v>
      </c>
      <c r="C360" s="13">
        <v>2009.0</v>
      </c>
      <c r="D360" s="11" t="s">
        <v>39</v>
      </c>
      <c r="E360" s="11">
        <v>24.0</v>
      </c>
      <c r="F360" s="21" t="s">
        <v>270</v>
      </c>
      <c r="G360" s="15">
        <v>0.03245223865974345</v>
      </c>
      <c r="H360" s="11" t="s">
        <v>33</v>
      </c>
      <c r="I360" s="16">
        <v>5.976</v>
      </c>
      <c r="J360" s="11" t="s">
        <v>479</v>
      </c>
      <c r="K360" s="11" t="s">
        <v>35</v>
      </c>
      <c r="L360" s="11" t="s">
        <v>48</v>
      </c>
      <c r="M360" s="11" t="s">
        <v>28</v>
      </c>
      <c r="N360" s="11" t="s">
        <v>42</v>
      </c>
      <c r="O360" s="11" t="s">
        <v>750</v>
      </c>
      <c r="P360" s="11" t="s">
        <v>38</v>
      </c>
      <c r="Q360" s="20">
        <v>39871.0</v>
      </c>
      <c r="R360" s="17">
        <f t="shared" si="2"/>
        <v>32.04905205</v>
      </c>
      <c r="S360" s="9"/>
      <c r="T360" s="9"/>
      <c r="U360" s="9"/>
      <c r="V360" s="9"/>
      <c r="W360" s="9"/>
      <c r="X360" s="9"/>
      <c r="Y360" s="9"/>
      <c r="Z360" s="9"/>
      <c r="AA360" s="9"/>
      <c r="AB360" s="9" t="str">
        <f>IFERROR(__xludf.DUMMYFUNCTION("""COMPUTED_VALUE"""),"John Lucas")</f>
        <v>John Lucas</v>
      </c>
      <c r="AC360" s="9"/>
      <c r="AD360" s="9"/>
      <c r="AE360" s="9">
        <f t="shared" si="8"/>
        <v>4</v>
      </c>
      <c r="AF360" s="19">
        <f t="shared" si="13"/>
        <v>2</v>
      </c>
      <c r="AG360" s="9"/>
      <c r="AH360" s="9"/>
      <c r="AI360" s="9"/>
    </row>
    <row r="361" ht="15.0" customHeight="1">
      <c r="A361" s="11">
        <v>360.0</v>
      </c>
      <c r="B361" s="12">
        <f t="shared" si="66"/>
        <v>39870</v>
      </c>
      <c r="C361" s="13">
        <v>2009.0</v>
      </c>
      <c r="D361" s="11" t="s">
        <v>102</v>
      </c>
      <c r="E361" s="11">
        <v>22.0</v>
      </c>
      <c r="F361" s="21" t="s">
        <v>218</v>
      </c>
      <c r="G361" s="15">
        <v>0.07067608476286556</v>
      </c>
      <c r="H361" s="11" t="s">
        <v>33</v>
      </c>
      <c r="I361" s="16">
        <v>1.592</v>
      </c>
      <c r="J361" s="11" t="s">
        <v>751</v>
      </c>
      <c r="K361" s="11" t="s">
        <v>61</v>
      </c>
      <c r="L361" s="11" t="s">
        <v>41</v>
      </c>
      <c r="M361" s="11" t="s">
        <v>66</v>
      </c>
      <c r="N361" s="11" t="s">
        <v>67</v>
      </c>
      <c r="O361" s="11" t="s">
        <v>749</v>
      </c>
      <c r="P361" s="11" t="s">
        <v>99</v>
      </c>
      <c r="Q361" s="20">
        <v>39871.0</v>
      </c>
      <c r="R361" s="17">
        <f t="shared" si="2"/>
        <v>13.0179694</v>
      </c>
      <c r="S361" s="9"/>
      <c r="T361" s="9"/>
      <c r="U361" s="9"/>
      <c r="V361" s="9"/>
      <c r="W361" s="9"/>
      <c r="X361" s="9"/>
      <c r="Y361" s="9"/>
      <c r="Z361" s="9"/>
      <c r="AA361" s="9"/>
      <c r="AB361" s="9" t="str">
        <f>IFERROR(__xludf.DUMMYFUNCTION("""COMPUTED_VALUE"""),"Valerie Takahito")</f>
        <v>Valerie Takahito</v>
      </c>
      <c r="AC361" s="9"/>
      <c r="AD361" s="9"/>
      <c r="AE361" s="9">
        <f t="shared" si="8"/>
        <v>3</v>
      </c>
      <c r="AF361" s="19">
        <f t="shared" si="13"/>
        <v>4</v>
      </c>
      <c r="AG361" s="9"/>
      <c r="AH361" s="9"/>
      <c r="AI361" s="9"/>
    </row>
    <row r="362" ht="15.0" customHeight="1">
      <c r="A362" s="11">
        <v>361.0</v>
      </c>
      <c r="B362" s="12">
        <f t="shared" si="66"/>
        <v>39870</v>
      </c>
      <c r="C362" s="13">
        <v>2009.0</v>
      </c>
      <c r="D362" s="11" t="s">
        <v>102</v>
      </c>
      <c r="E362" s="11">
        <v>20.0</v>
      </c>
      <c r="F362" s="21" t="s">
        <v>752</v>
      </c>
      <c r="G362" s="15">
        <v>0.029773171912832876</v>
      </c>
      <c r="H362" s="11" t="s">
        <v>33</v>
      </c>
      <c r="I362" s="16">
        <v>19.592</v>
      </c>
      <c r="J362" s="11" t="s">
        <v>751</v>
      </c>
      <c r="K362" s="11" t="s">
        <v>61</v>
      </c>
      <c r="L362" s="11" t="s">
        <v>41</v>
      </c>
      <c r="M362" s="11" t="s">
        <v>66</v>
      </c>
      <c r="N362" s="11" t="s">
        <v>170</v>
      </c>
      <c r="O362" s="11" t="s">
        <v>753</v>
      </c>
      <c r="P362" s="11" t="s">
        <v>31</v>
      </c>
      <c r="Q362" s="20">
        <v>39871.0</v>
      </c>
      <c r="R362" s="17">
        <f t="shared" si="2"/>
        <v>298.2554888</v>
      </c>
      <c r="S362" s="9"/>
      <c r="T362" s="9"/>
      <c r="U362" s="9"/>
      <c r="V362" s="9"/>
      <c r="W362" s="9"/>
      <c r="X362" s="9"/>
      <c r="Y362" s="9"/>
      <c r="Z362" s="9"/>
      <c r="AA362" s="9"/>
      <c r="AB362" s="9" t="str">
        <f>IFERROR(__xludf.DUMMYFUNCTION("""COMPUTED_VALUE"""),"Steve Nguyen")</f>
        <v>Steve Nguyen</v>
      </c>
      <c r="AC362" s="9"/>
      <c r="AD362" s="9"/>
      <c r="AE362" s="9">
        <f t="shared" si="8"/>
        <v>3</v>
      </c>
      <c r="AF362" s="19">
        <f t="shared" si="13"/>
        <v>4</v>
      </c>
      <c r="AG362" s="9"/>
      <c r="AH362" s="9"/>
      <c r="AI362" s="9"/>
    </row>
    <row r="363" ht="15.0" customHeight="1">
      <c r="A363" s="11">
        <v>362.0</v>
      </c>
      <c r="B363" s="12">
        <f t="shared" si="66"/>
        <v>39870</v>
      </c>
      <c r="C363" s="13">
        <v>2009.0</v>
      </c>
      <c r="D363" s="11" t="s">
        <v>102</v>
      </c>
      <c r="E363" s="11">
        <v>23.0</v>
      </c>
      <c r="F363" s="21" t="s">
        <v>569</v>
      </c>
      <c r="G363" s="15">
        <v>0.057398750966017084</v>
      </c>
      <c r="H363" s="11" t="s">
        <v>33</v>
      </c>
      <c r="I363" s="16">
        <v>7.192</v>
      </c>
      <c r="J363" s="11" t="s">
        <v>754</v>
      </c>
      <c r="K363" s="11" t="s">
        <v>83</v>
      </c>
      <c r="L363" s="11" t="s">
        <v>27</v>
      </c>
      <c r="M363" s="11" t="s">
        <v>66</v>
      </c>
      <c r="N363" s="11" t="s">
        <v>80</v>
      </c>
      <c r="O363" s="11" t="s">
        <v>755</v>
      </c>
      <c r="P363" s="11" t="s">
        <v>38</v>
      </c>
      <c r="Q363" s="20">
        <v>39871.0</v>
      </c>
      <c r="R363" s="17">
        <f t="shared" si="2"/>
        <v>259.034364</v>
      </c>
      <c r="S363" s="9"/>
      <c r="T363" s="9"/>
      <c r="U363" s="9"/>
      <c r="V363" s="9"/>
      <c r="W363" s="9"/>
      <c r="X363" s="9"/>
      <c r="Y363" s="9"/>
      <c r="Z363" s="9"/>
      <c r="AA363" s="9"/>
      <c r="AB363" s="9" t="str">
        <f>IFERROR(__xludf.DUMMYFUNCTION("""COMPUTED_VALUE"""),"Mary Zewe")</f>
        <v>Mary Zewe</v>
      </c>
      <c r="AC363" s="9"/>
      <c r="AD363" s="9"/>
      <c r="AE363" s="9">
        <f t="shared" si="8"/>
        <v>1</v>
      </c>
      <c r="AF363" s="19" t="b">
        <f t="shared" si="13"/>
        <v>0</v>
      </c>
      <c r="AG363" s="9"/>
      <c r="AH363" s="9"/>
      <c r="AI363" s="9"/>
    </row>
    <row r="364" ht="15.0" customHeight="1">
      <c r="A364" s="11">
        <v>363.0</v>
      </c>
      <c r="B364" s="12">
        <f t="shared" si="66"/>
        <v>39870</v>
      </c>
      <c r="C364" s="13">
        <v>2009.0</v>
      </c>
      <c r="D364" s="11" t="s">
        <v>102</v>
      </c>
      <c r="E364" s="11">
        <v>20.0</v>
      </c>
      <c r="F364" s="21" t="s">
        <v>440</v>
      </c>
      <c r="G364" s="15">
        <v>0.10358306188925086</v>
      </c>
      <c r="H364" s="11" t="s">
        <v>33</v>
      </c>
      <c r="I364" s="16">
        <v>1.6</v>
      </c>
      <c r="J364" s="11" t="s">
        <v>754</v>
      </c>
      <c r="K364" s="11" t="s">
        <v>83</v>
      </c>
      <c r="L364" s="11" t="s">
        <v>27</v>
      </c>
      <c r="M364" s="11" t="s">
        <v>28</v>
      </c>
      <c r="N364" s="11" t="s">
        <v>56</v>
      </c>
      <c r="O364" s="11" t="s">
        <v>489</v>
      </c>
      <c r="P364" s="11" t="s">
        <v>58</v>
      </c>
      <c r="Q364" s="20">
        <v>39871.0</v>
      </c>
      <c r="R364" s="17">
        <f t="shared" si="2"/>
        <v>14.25302932</v>
      </c>
      <c r="S364" s="9"/>
      <c r="T364" s="9"/>
      <c r="U364" s="9"/>
      <c r="V364" s="9"/>
      <c r="W364" s="9"/>
      <c r="X364" s="9"/>
      <c r="Y364" s="9"/>
      <c r="Z364" s="9"/>
      <c r="AA364" s="9"/>
      <c r="AB364" s="9" t="str">
        <f>IFERROR(__xludf.DUMMYFUNCTION("""COMPUTED_VALUE"""),"Sara Luxemburg")</f>
        <v>Sara Luxemburg</v>
      </c>
      <c r="AC364" s="9"/>
      <c r="AD364" s="9"/>
      <c r="AE364" s="9">
        <f t="shared" si="8"/>
        <v>1</v>
      </c>
      <c r="AF364" s="19" t="b">
        <f t="shared" si="13"/>
        <v>0</v>
      </c>
      <c r="AG364" s="9"/>
      <c r="AH364" s="9"/>
      <c r="AI364" s="9"/>
    </row>
    <row r="365" ht="15.0" customHeight="1">
      <c r="A365" s="11">
        <v>364.0</v>
      </c>
      <c r="B365" s="12">
        <f t="shared" si="66"/>
        <v>39870</v>
      </c>
      <c r="C365" s="13">
        <v>2009.0</v>
      </c>
      <c r="D365" s="11" t="s">
        <v>39</v>
      </c>
      <c r="E365" s="11">
        <v>20.0</v>
      </c>
      <c r="F365" s="21" t="s">
        <v>142</v>
      </c>
      <c r="G365" s="15">
        <v>0.08634559474149917</v>
      </c>
      <c r="H365" s="11" t="s">
        <v>33</v>
      </c>
      <c r="I365" s="16">
        <v>4.792000000000001</v>
      </c>
      <c r="J365" s="11" t="s">
        <v>756</v>
      </c>
      <c r="K365" s="11" t="s">
        <v>65</v>
      </c>
      <c r="L365" s="11" t="s">
        <v>27</v>
      </c>
      <c r="M365" s="11" t="s">
        <v>66</v>
      </c>
      <c r="N365" s="11" t="s">
        <v>80</v>
      </c>
      <c r="O365" s="11" t="s">
        <v>757</v>
      </c>
      <c r="P365" s="11" t="s">
        <v>58</v>
      </c>
      <c r="Q365" s="20">
        <v>39872.0</v>
      </c>
      <c r="R365" s="17">
        <f t="shared" si="2"/>
        <v>62.40990511</v>
      </c>
      <c r="S365" s="9"/>
      <c r="T365" s="9"/>
      <c r="U365" s="9"/>
      <c r="V365" s="9"/>
      <c r="W365" s="9"/>
      <c r="X365" s="9"/>
      <c r="Y365" s="9"/>
      <c r="Z365" s="9"/>
      <c r="AA365" s="9"/>
      <c r="AB365" s="9" t="str">
        <f>IFERROR(__xludf.DUMMYFUNCTION("""COMPUTED_VALUE"""),"Neil French")</f>
        <v>Neil French</v>
      </c>
      <c r="AC365" s="9"/>
      <c r="AD365" s="9"/>
      <c r="AE365" s="9">
        <f t="shared" si="8"/>
        <v>1</v>
      </c>
      <c r="AF365" s="19">
        <f t="shared" si="13"/>
        <v>5</v>
      </c>
      <c r="AG365" s="9"/>
      <c r="AH365" s="9"/>
      <c r="AI365" s="9"/>
    </row>
    <row r="366" ht="15.0" customHeight="1">
      <c r="A366" s="11">
        <v>365.0</v>
      </c>
      <c r="B366" s="12">
        <f t="shared" si="66"/>
        <v>39870</v>
      </c>
      <c r="C366" s="13">
        <v>2009.0</v>
      </c>
      <c r="D366" s="11" t="s">
        <v>32</v>
      </c>
      <c r="E366" s="11">
        <v>9.0</v>
      </c>
      <c r="F366" s="21" t="s">
        <v>758</v>
      </c>
      <c r="G366" s="15">
        <v>0.10105263157894746</v>
      </c>
      <c r="H366" s="11" t="s">
        <v>33</v>
      </c>
      <c r="I366" s="16">
        <v>1.7600000000000002</v>
      </c>
      <c r="J366" s="11" t="s">
        <v>759</v>
      </c>
      <c r="K366" s="11" t="s">
        <v>61</v>
      </c>
      <c r="L366" s="11" t="s">
        <v>41</v>
      </c>
      <c r="M366" s="11" t="s">
        <v>28</v>
      </c>
      <c r="N366" s="11" t="s">
        <v>56</v>
      </c>
      <c r="O366" s="11" t="s">
        <v>760</v>
      </c>
      <c r="P366" s="11" t="s">
        <v>58</v>
      </c>
      <c r="Q366" s="20">
        <v>39872.0</v>
      </c>
      <c r="R366" s="17">
        <f t="shared" si="2"/>
        <v>3.451957895</v>
      </c>
      <c r="S366" s="9"/>
      <c r="T366" s="9"/>
      <c r="U366" s="9"/>
      <c r="V366" s="9"/>
      <c r="W366" s="9"/>
      <c r="X366" s="9"/>
      <c r="Y366" s="9"/>
      <c r="Z366" s="9"/>
      <c r="AA366" s="9"/>
      <c r="AB366" s="9" t="str">
        <f>IFERROR(__xludf.DUMMYFUNCTION("""COMPUTED_VALUE"""),"Carlos Meador")</f>
        <v>Carlos Meador</v>
      </c>
      <c r="AC366" s="9"/>
      <c r="AD366" s="9"/>
      <c r="AE366" s="9">
        <f t="shared" si="8"/>
        <v>3</v>
      </c>
      <c r="AF366" s="19">
        <f t="shared" si="13"/>
        <v>4</v>
      </c>
      <c r="AG366" s="9"/>
      <c r="AH366" s="9"/>
      <c r="AI366" s="9"/>
    </row>
    <row r="367" ht="15.0" customHeight="1">
      <c r="A367" s="11">
        <v>366.0</v>
      </c>
      <c r="B367" s="12">
        <f t="shared" si="66"/>
        <v>39870</v>
      </c>
      <c r="C367" s="13">
        <v>2009.0</v>
      </c>
      <c r="D367" s="11" t="s">
        <v>39</v>
      </c>
      <c r="E367" s="11">
        <v>15.0</v>
      </c>
      <c r="F367" s="21" t="s">
        <v>490</v>
      </c>
      <c r="G367" s="15">
        <v>0.07688776073281095</v>
      </c>
      <c r="H367" s="11" t="s">
        <v>33</v>
      </c>
      <c r="I367" s="16">
        <v>5.432</v>
      </c>
      <c r="J367" s="11" t="s">
        <v>288</v>
      </c>
      <c r="K367" s="11" t="s">
        <v>61</v>
      </c>
      <c r="L367" s="11" t="s">
        <v>27</v>
      </c>
      <c r="M367" s="11" t="s">
        <v>28</v>
      </c>
      <c r="N367" s="11" t="s">
        <v>56</v>
      </c>
      <c r="O367" s="11" t="s">
        <v>761</v>
      </c>
      <c r="P367" s="11" t="s">
        <v>38</v>
      </c>
      <c r="Q367" s="20">
        <v>39872.0</v>
      </c>
      <c r="R367" s="17">
        <f t="shared" si="2"/>
        <v>64.31138349</v>
      </c>
      <c r="S367" s="9"/>
      <c r="T367" s="9"/>
      <c r="U367" s="9"/>
      <c r="V367" s="9"/>
      <c r="W367" s="9"/>
      <c r="X367" s="9"/>
      <c r="Y367" s="9"/>
      <c r="Z367" s="9"/>
      <c r="AA367" s="9"/>
      <c r="AB367" s="9" t="str">
        <f>IFERROR(__xludf.DUMMYFUNCTION("""COMPUTED_VALUE"""),"Claire Good")</f>
        <v>Claire Good</v>
      </c>
      <c r="AC367" s="9"/>
      <c r="AD367" s="9"/>
      <c r="AE367" s="9">
        <f t="shared" si="8"/>
        <v>1</v>
      </c>
      <c r="AF367" s="19">
        <f t="shared" si="13"/>
        <v>4</v>
      </c>
      <c r="AG367" s="9"/>
      <c r="AH367" s="9"/>
      <c r="AI367" s="9"/>
    </row>
    <row r="368" ht="15.0" customHeight="1">
      <c r="A368" s="11">
        <v>367.0</v>
      </c>
      <c r="B368" s="12">
        <f t="shared" ref="B368:B372" si="67">DATE(2012,12,31)-1403</f>
        <v>39871</v>
      </c>
      <c r="C368" s="13">
        <v>2009.0</v>
      </c>
      <c r="D368" s="11" t="s">
        <v>39</v>
      </c>
      <c r="E368" s="11">
        <v>28.0</v>
      </c>
      <c r="F368" s="21" t="s">
        <v>762</v>
      </c>
      <c r="G368" s="15">
        <v>0.03952259164535384</v>
      </c>
      <c r="H368" s="11" t="s">
        <v>33</v>
      </c>
      <c r="I368" s="16">
        <v>4.792000000000001</v>
      </c>
      <c r="J368" s="11" t="s">
        <v>763</v>
      </c>
      <c r="K368" s="11" t="s">
        <v>65</v>
      </c>
      <c r="L368" s="11" t="s">
        <v>27</v>
      </c>
      <c r="M368" s="11" t="s">
        <v>66</v>
      </c>
      <c r="N368" s="11" t="s">
        <v>69</v>
      </c>
      <c r="O368" s="11" t="s">
        <v>764</v>
      </c>
      <c r="P368" s="11" t="s">
        <v>75</v>
      </c>
      <c r="Q368" s="20">
        <v>39872.0</v>
      </c>
      <c r="R368" s="17">
        <f t="shared" si="2"/>
        <v>13.3583198</v>
      </c>
      <c r="S368" s="9"/>
      <c r="T368" s="9"/>
      <c r="U368" s="9"/>
      <c r="V368" s="9"/>
      <c r="W368" s="9"/>
      <c r="X368" s="9"/>
      <c r="Y368" s="9"/>
      <c r="Z368" s="9"/>
      <c r="AA368" s="9"/>
      <c r="AB368" s="9" t="str">
        <f>IFERROR(__xludf.DUMMYFUNCTION("""COMPUTED_VALUE"""),"Benjamin Farhat")</f>
        <v>Benjamin Farhat</v>
      </c>
      <c r="AC368" s="9"/>
      <c r="AD368" s="9"/>
      <c r="AE368" s="9">
        <f t="shared" si="8"/>
        <v>1</v>
      </c>
      <c r="AF368" s="19">
        <f t="shared" si="13"/>
        <v>5</v>
      </c>
      <c r="AG368" s="9"/>
      <c r="AH368" s="9"/>
      <c r="AI368" s="9"/>
    </row>
    <row r="369" ht="15.0" customHeight="1">
      <c r="A369" s="11">
        <v>368.0</v>
      </c>
      <c r="B369" s="12">
        <f t="shared" si="67"/>
        <v>39871</v>
      </c>
      <c r="C369" s="13">
        <v>2009.0</v>
      </c>
      <c r="D369" s="11" t="s">
        <v>44</v>
      </c>
      <c r="E369" s="11">
        <v>16.0</v>
      </c>
      <c r="F369" s="21" t="s">
        <v>128</v>
      </c>
      <c r="G369" s="15">
        <v>0.06686977796242446</v>
      </c>
      <c r="H369" s="11" t="s">
        <v>24</v>
      </c>
      <c r="I369" s="16">
        <v>7.040000000000001</v>
      </c>
      <c r="J369" s="11" t="s">
        <v>488</v>
      </c>
      <c r="K369" s="11" t="s">
        <v>61</v>
      </c>
      <c r="L369" s="11" t="s">
        <v>48</v>
      </c>
      <c r="M369" s="11" t="s">
        <v>66</v>
      </c>
      <c r="N369" s="11" t="s">
        <v>80</v>
      </c>
      <c r="O369" s="11" t="s">
        <v>765</v>
      </c>
      <c r="P369" s="11" t="s">
        <v>38</v>
      </c>
      <c r="Q369" s="20">
        <v>39872.0</v>
      </c>
      <c r="R369" s="17">
        <f t="shared" si="2"/>
        <v>135.173244</v>
      </c>
      <c r="S369" s="9"/>
      <c r="T369" s="9"/>
      <c r="U369" s="9"/>
      <c r="V369" s="9"/>
      <c r="W369" s="9"/>
      <c r="X369" s="9"/>
      <c r="Y369" s="9"/>
      <c r="Z369" s="9"/>
      <c r="AA369" s="9"/>
      <c r="AB369" s="9" t="str">
        <f>IFERROR(__xludf.DUMMYFUNCTION("""COMPUTED_VALUE"""),"Bart Folk")</f>
        <v>Bart Folk</v>
      </c>
      <c r="AC369" s="9"/>
      <c r="AD369" s="9"/>
      <c r="AE369" s="9">
        <f t="shared" si="8"/>
        <v>4</v>
      </c>
      <c r="AF369" s="19">
        <f t="shared" si="13"/>
        <v>4</v>
      </c>
      <c r="AG369" s="9"/>
      <c r="AH369" s="9"/>
      <c r="AI369" s="9"/>
    </row>
    <row r="370" ht="15.0" customHeight="1">
      <c r="A370" s="11">
        <v>369.0</v>
      </c>
      <c r="B370" s="12">
        <f t="shared" si="67"/>
        <v>39871</v>
      </c>
      <c r="C370" s="13">
        <v>2009.0</v>
      </c>
      <c r="D370" s="11" t="s">
        <v>44</v>
      </c>
      <c r="E370" s="11">
        <v>14.0</v>
      </c>
      <c r="F370" s="21" t="s">
        <v>126</v>
      </c>
      <c r="G370" s="15">
        <v>0.08253807106598973</v>
      </c>
      <c r="H370" s="11" t="s">
        <v>33</v>
      </c>
      <c r="I370" s="16">
        <v>3.696</v>
      </c>
      <c r="J370" s="11" t="s">
        <v>268</v>
      </c>
      <c r="K370" s="11" t="s">
        <v>65</v>
      </c>
      <c r="L370" s="11" t="s">
        <v>48</v>
      </c>
      <c r="M370" s="11" t="s">
        <v>66</v>
      </c>
      <c r="N370" s="11" t="s">
        <v>67</v>
      </c>
      <c r="O370" s="11" t="s">
        <v>675</v>
      </c>
      <c r="P370" s="11" t="s">
        <v>99</v>
      </c>
      <c r="Q370" s="20">
        <v>39872.0</v>
      </c>
      <c r="R370" s="17">
        <f t="shared" si="2"/>
        <v>5.967172386</v>
      </c>
      <c r="S370" s="9"/>
      <c r="T370" s="9"/>
      <c r="U370" s="9"/>
      <c r="V370" s="9"/>
      <c r="W370" s="9"/>
      <c r="X370" s="9"/>
      <c r="Y370" s="9"/>
      <c r="Z370" s="9"/>
      <c r="AA370" s="9"/>
      <c r="AB370" s="9" t="str">
        <f>IFERROR(__xludf.DUMMYFUNCTION("""COMPUTED_VALUE"""),"Brendan Sweed")</f>
        <v>Brendan Sweed</v>
      </c>
      <c r="AC370" s="9"/>
      <c r="AD370" s="9"/>
      <c r="AE370" s="9">
        <f t="shared" si="8"/>
        <v>4</v>
      </c>
      <c r="AF370" s="19">
        <f t="shared" si="13"/>
        <v>5</v>
      </c>
      <c r="AG370" s="9"/>
      <c r="AH370" s="9"/>
      <c r="AI370" s="9"/>
    </row>
    <row r="371" ht="15.0" customHeight="1">
      <c r="A371" s="11">
        <v>370.0</v>
      </c>
      <c r="B371" s="12">
        <f t="shared" si="67"/>
        <v>39871</v>
      </c>
      <c r="C371" s="13">
        <v>2009.0</v>
      </c>
      <c r="D371" s="11" t="s">
        <v>44</v>
      </c>
      <c r="E371" s="11">
        <v>10.0</v>
      </c>
      <c r="F371" s="21" t="s">
        <v>766</v>
      </c>
      <c r="G371" s="15">
        <v>0.06471792035398241</v>
      </c>
      <c r="H371" s="11" t="s">
        <v>45</v>
      </c>
      <c r="I371" s="16">
        <v>43.792</v>
      </c>
      <c r="J371" s="11" t="s">
        <v>268</v>
      </c>
      <c r="K371" s="11" t="s">
        <v>65</v>
      </c>
      <c r="L371" s="11" t="s">
        <v>48</v>
      </c>
      <c r="M371" s="11" t="s">
        <v>49</v>
      </c>
      <c r="N371" s="11" t="s">
        <v>156</v>
      </c>
      <c r="O371" s="11" t="s">
        <v>767</v>
      </c>
      <c r="P371" s="11" t="s">
        <v>87</v>
      </c>
      <c r="Q371" s="20">
        <v>39873.0</v>
      </c>
      <c r="R371" s="17">
        <f t="shared" si="2"/>
        <v>87.54988491</v>
      </c>
      <c r="S371" s="9"/>
      <c r="T371" s="9"/>
      <c r="U371" s="9"/>
      <c r="V371" s="9"/>
      <c r="W371" s="9"/>
      <c r="X371" s="9"/>
      <c r="Y371" s="9"/>
      <c r="Z371" s="9"/>
      <c r="AA371" s="9"/>
      <c r="AB371" s="9" t="str">
        <f>IFERROR(__xludf.DUMMYFUNCTION("""COMPUTED_VALUE"""),"Adam Bellavance")</f>
        <v>Adam Bellavance</v>
      </c>
      <c r="AC371" s="9"/>
      <c r="AD371" s="9"/>
      <c r="AE371" s="9">
        <f t="shared" si="8"/>
        <v>4</v>
      </c>
      <c r="AF371" s="19">
        <f t="shared" si="13"/>
        <v>5</v>
      </c>
      <c r="AG371" s="9"/>
      <c r="AH371" s="9"/>
      <c r="AI371" s="9"/>
    </row>
    <row r="372" ht="15.0" customHeight="1">
      <c r="A372" s="11">
        <v>371.0</v>
      </c>
      <c r="B372" s="12">
        <f t="shared" si="67"/>
        <v>39871</v>
      </c>
      <c r="C372" s="13">
        <v>2009.0</v>
      </c>
      <c r="D372" s="11" t="s">
        <v>32</v>
      </c>
      <c r="E372" s="11">
        <v>39.0</v>
      </c>
      <c r="F372" s="21" t="s">
        <v>768</v>
      </c>
      <c r="G372" s="15">
        <v>0.048382978371994935</v>
      </c>
      <c r="H372" s="11" t="s">
        <v>45</v>
      </c>
      <c r="I372" s="16">
        <v>34.016000000000005</v>
      </c>
      <c r="J372" s="11" t="s">
        <v>769</v>
      </c>
      <c r="K372" s="11" t="s">
        <v>35</v>
      </c>
      <c r="L372" s="11" t="s">
        <v>48</v>
      </c>
      <c r="M372" s="11" t="s">
        <v>28</v>
      </c>
      <c r="N372" s="11" t="s">
        <v>197</v>
      </c>
      <c r="O372" s="11" t="s">
        <v>770</v>
      </c>
      <c r="P372" s="11" t="s">
        <v>52</v>
      </c>
      <c r="Q372" s="20">
        <v>39873.0</v>
      </c>
      <c r="R372" s="17">
        <f t="shared" si="2"/>
        <v>557.5371871</v>
      </c>
      <c r="S372" s="9"/>
      <c r="T372" s="9"/>
      <c r="U372" s="9"/>
      <c r="V372" s="9"/>
      <c r="W372" s="9"/>
      <c r="X372" s="9"/>
      <c r="Y372" s="9"/>
      <c r="Z372" s="9"/>
      <c r="AA372" s="9"/>
      <c r="AB372" s="9" t="str">
        <f>IFERROR(__xludf.DUMMYFUNCTION("""COMPUTED_VALUE"""),"Paul Lucas")</f>
        <v>Paul Lucas</v>
      </c>
      <c r="AC372" s="9"/>
      <c r="AD372" s="9"/>
      <c r="AE372" s="9">
        <f t="shared" si="8"/>
        <v>4</v>
      </c>
      <c r="AF372" s="19">
        <f t="shared" si="13"/>
        <v>2</v>
      </c>
      <c r="AG372" s="9"/>
      <c r="AH372" s="9"/>
      <c r="AI372" s="9"/>
    </row>
    <row r="373" ht="15.0" customHeight="1">
      <c r="A373" s="11">
        <v>372.0</v>
      </c>
      <c r="B373" s="12">
        <f t="shared" ref="B373:B376" si="68">DATE(2012,12,31)-1402</f>
        <v>39872</v>
      </c>
      <c r="C373" s="13">
        <v>2009.0</v>
      </c>
      <c r="D373" s="11" t="s">
        <v>44</v>
      </c>
      <c r="E373" s="11">
        <v>18.0</v>
      </c>
      <c r="F373" s="21" t="s">
        <v>115</v>
      </c>
      <c r="G373" s="15">
        <v>0.09223132249615434</v>
      </c>
      <c r="H373" s="11" t="s">
        <v>33</v>
      </c>
      <c r="I373" s="16">
        <v>7.256</v>
      </c>
      <c r="J373" s="11" t="s">
        <v>771</v>
      </c>
      <c r="K373" s="11" t="s">
        <v>61</v>
      </c>
      <c r="L373" s="11" t="s">
        <v>48</v>
      </c>
      <c r="M373" s="11" t="s">
        <v>28</v>
      </c>
      <c r="N373" s="11" t="s">
        <v>42</v>
      </c>
      <c r="O373" s="11" t="s">
        <v>772</v>
      </c>
      <c r="P373" s="11" t="s">
        <v>38</v>
      </c>
      <c r="Q373" s="20">
        <v>39874.0</v>
      </c>
      <c r="R373" s="17">
        <f t="shared" si="2"/>
        <v>201.3830345</v>
      </c>
      <c r="S373" s="9"/>
      <c r="T373" s="9"/>
      <c r="U373" s="9"/>
      <c r="V373" s="9"/>
      <c r="W373" s="9"/>
      <c r="X373" s="9"/>
      <c r="Y373" s="9"/>
      <c r="Z373" s="9"/>
      <c r="AA373" s="9"/>
      <c r="AB373" s="9" t="str">
        <f>IFERROR(__xludf.DUMMYFUNCTION("""COMPUTED_VALUE"""),"Aleksandra Gannaway")</f>
        <v>Aleksandra Gannaway</v>
      </c>
      <c r="AC373" s="9"/>
      <c r="AD373" s="9"/>
      <c r="AE373" s="9">
        <f t="shared" si="8"/>
        <v>4</v>
      </c>
      <c r="AF373" s="19">
        <f t="shared" si="13"/>
        <v>4</v>
      </c>
      <c r="AG373" s="9"/>
      <c r="AH373" s="9"/>
      <c r="AI373" s="9"/>
    </row>
    <row r="374" ht="15.0" customHeight="1">
      <c r="A374" s="11">
        <v>373.0</v>
      </c>
      <c r="B374" s="12">
        <f t="shared" si="68"/>
        <v>39872</v>
      </c>
      <c r="C374" s="13">
        <v>2009.0</v>
      </c>
      <c r="D374" s="11" t="s">
        <v>44</v>
      </c>
      <c r="E374" s="11">
        <v>23.0</v>
      </c>
      <c r="F374" s="21" t="s">
        <v>218</v>
      </c>
      <c r="G374" s="15">
        <v>0.0783747609942638</v>
      </c>
      <c r="H374" s="11" t="s">
        <v>24</v>
      </c>
      <c r="I374" s="16">
        <v>1.904</v>
      </c>
      <c r="J374" s="11" t="s">
        <v>771</v>
      </c>
      <c r="K374" s="11" t="s">
        <v>61</v>
      </c>
      <c r="L374" s="11" t="s">
        <v>48</v>
      </c>
      <c r="M374" s="11" t="s">
        <v>66</v>
      </c>
      <c r="N374" s="11" t="s">
        <v>67</v>
      </c>
      <c r="O374" s="11" t="s">
        <v>773</v>
      </c>
      <c r="P374" s="11" t="s">
        <v>99</v>
      </c>
      <c r="Q374" s="20">
        <v>39874.0</v>
      </c>
      <c r="R374" s="17">
        <f t="shared" si="2"/>
        <v>15.11096742</v>
      </c>
      <c r="S374" s="9"/>
      <c r="T374" s="9"/>
      <c r="U374" s="9"/>
      <c r="V374" s="9"/>
      <c r="W374" s="9"/>
      <c r="X374" s="9"/>
      <c r="Y374" s="9"/>
      <c r="Z374" s="9"/>
      <c r="AA374" s="9"/>
      <c r="AB374" s="9" t="str">
        <f>IFERROR(__xludf.DUMMYFUNCTION("""COMPUTED_VALUE"""),"Stefania Perrino")</f>
        <v>Stefania Perrino</v>
      </c>
      <c r="AC374" s="9"/>
      <c r="AD374" s="9"/>
      <c r="AE374" s="9">
        <f t="shared" si="8"/>
        <v>4</v>
      </c>
      <c r="AF374" s="19">
        <f t="shared" si="13"/>
        <v>4</v>
      </c>
      <c r="AG374" s="9"/>
      <c r="AH374" s="9"/>
      <c r="AI374" s="9"/>
    </row>
    <row r="375" ht="15.0" customHeight="1">
      <c r="A375" s="11">
        <v>374.0</v>
      </c>
      <c r="B375" s="12">
        <f t="shared" si="68"/>
        <v>39872</v>
      </c>
      <c r="C375" s="13">
        <v>2009.0</v>
      </c>
      <c r="D375" s="11" t="s">
        <v>44</v>
      </c>
      <c r="E375" s="11">
        <v>29.0</v>
      </c>
      <c r="F375" s="21" t="s">
        <v>128</v>
      </c>
      <c r="G375" s="15">
        <v>0.09176628476278036</v>
      </c>
      <c r="H375" s="11" t="s">
        <v>33</v>
      </c>
      <c r="I375" s="16">
        <v>3.3600000000000003</v>
      </c>
      <c r="J375" s="11" t="s">
        <v>771</v>
      </c>
      <c r="K375" s="11" t="s">
        <v>61</v>
      </c>
      <c r="L375" s="11" t="s">
        <v>48</v>
      </c>
      <c r="M375" s="11" t="s">
        <v>66</v>
      </c>
      <c r="N375" s="11" t="s">
        <v>80</v>
      </c>
      <c r="O375" s="11" t="s">
        <v>774</v>
      </c>
      <c r="P375" s="11" t="s">
        <v>38</v>
      </c>
      <c r="Q375" s="20">
        <v>39874.0</v>
      </c>
      <c r="R375" s="17">
        <f t="shared" si="2"/>
        <v>335.356217</v>
      </c>
      <c r="S375" s="9"/>
      <c r="T375" s="9"/>
      <c r="U375" s="9"/>
      <c r="V375" s="9"/>
      <c r="W375" s="9"/>
      <c r="X375" s="9"/>
      <c r="Y375" s="9"/>
      <c r="Z375" s="9"/>
      <c r="AA375" s="9"/>
      <c r="AB375" s="9" t="str">
        <f>IFERROR(__xludf.DUMMYFUNCTION("""COMPUTED_VALUE"""),"Arthur Wiediger")</f>
        <v>Arthur Wiediger</v>
      </c>
      <c r="AC375" s="9"/>
      <c r="AD375" s="9"/>
      <c r="AE375" s="9">
        <f t="shared" si="8"/>
        <v>4</v>
      </c>
      <c r="AF375" s="19">
        <f t="shared" si="13"/>
        <v>4</v>
      </c>
      <c r="AG375" s="9"/>
      <c r="AH375" s="9"/>
      <c r="AI375" s="9"/>
    </row>
    <row r="376" ht="15.0" customHeight="1">
      <c r="A376" s="11">
        <v>375.0</v>
      </c>
      <c r="B376" s="12">
        <f t="shared" si="68"/>
        <v>39872</v>
      </c>
      <c r="C376" s="13">
        <v>2009.0</v>
      </c>
      <c r="D376" s="11" t="s">
        <v>39</v>
      </c>
      <c r="E376" s="11">
        <v>46.0</v>
      </c>
      <c r="F376" s="21" t="s">
        <v>130</v>
      </c>
      <c r="G376" s="15">
        <v>0.06890554722638687</v>
      </c>
      <c r="H376" s="11" t="s">
        <v>24</v>
      </c>
      <c r="I376" s="16">
        <v>6.992000000000001</v>
      </c>
      <c r="J376" s="11" t="s">
        <v>775</v>
      </c>
      <c r="K376" s="11" t="s">
        <v>65</v>
      </c>
      <c r="L376" s="11" t="s">
        <v>41</v>
      </c>
      <c r="M376" s="11" t="s">
        <v>28</v>
      </c>
      <c r="N376" s="11" t="s">
        <v>56</v>
      </c>
      <c r="O376" s="11" t="s">
        <v>776</v>
      </c>
      <c r="P376" s="11" t="s">
        <v>38</v>
      </c>
      <c r="Q376" s="20">
        <v>39874.0</v>
      </c>
      <c r="R376" s="17">
        <f t="shared" si="2"/>
        <v>98.42413241</v>
      </c>
      <c r="S376" s="9"/>
      <c r="T376" s="9"/>
      <c r="U376" s="9"/>
      <c r="V376" s="9"/>
      <c r="W376" s="9"/>
      <c r="X376" s="9"/>
      <c r="Y376" s="9"/>
      <c r="Z376" s="9"/>
      <c r="AA376" s="9"/>
      <c r="AB376" s="9" t="str">
        <f>IFERROR(__xludf.DUMMYFUNCTION("""COMPUTED_VALUE"""),"Tony Molinari")</f>
        <v>Tony Molinari</v>
      </c>
      <c r="AC376" s="9"/>
      <c r="AD376" s="9"/>
      <c r="AE376" s="9">
        <f t="shared" si="8"/>
        <v>3</v>
      </c>
      <c r="AF376" s="19">
        <f t="shared" si="13"/>
        <v>5</v>
      </c>
      <c r="AG376" s="9"/>
      <c r="AH376" s="9"/>
      <c r="AI376" s="9"/>
    </row>
    <row r="377" ht="15.0" customHeight="1">
      <c r="A377" s="11">
        <v>376.0</v>
      </c>
      <c r="B377" s="12">
        <f t="shared" ref="B377:B383" si="69">DATE(2012,12,31)-1401</f>
        <v>39873</v>
      </c>
      <c r="C377" s="13">
        <v>2009.0</v>
      </c>
      <c r="D377" s="11" t="s">
        <v>32</v>
      </c>
      <c r="E377" s="11">
        <v>37.0</v>
      </c>
      <c r="F377" s="21" t="s">
        <v>259</v>
      </c>
      <c r="G377" s="15">
        <v>0.027992717341829666</v>
      </c>
      <c r="H377" s="11" t="s">
        <v>33</v>
      </c>
      <c r="I377" s="16">
        <v>9.0</v>
      </c>
      <c r="J377" s="11" t="s">
        <v>769</v>
      </c>
      <c r="K377" s="11" t="s">
        <v>35</v>
      </c>
      <c r="L377" s="11" t="s">
        <v>48</v>
      </c>
      <c r="M377" s="11" t="s">
        <v>28</v>
      </c>
      <c r="N377" s="11" t="s">
        <v>56</v>
      </c>
      <c r="O377" s="11" t="s">
        <v>777</v>
      </c>
      <c r="P377" s="11" t="s">
        <v>38</v>
      </c>
      <c r="Q377" s="20">
        <v>39874.0</v>
      </c>
      <c r="R377" s="17">
        <f t="shared" si="2"/>
        <v>11.95568958</v>
      </c>
      <c r="S377" s="9"/>
      <c r="T377" s="9"/>
      <c r="U377" s="9"/>
      <c r="V377" s="9"/>
      <c r="W377" s="9"/>
      <c r="X377" s="9"/>
      <c r="Y377" s="9"/>
      <c r="Z377" s="9"/>
      <c r="AA377" s="9"/>
      <c r="AB377" s="9" t="str">
        <f>IFERROR(__xludf.DUMMYFUNCTION("""COMPUTED_VALUE"""),"Karen Ferguson")</f>
        <v>Karen Ferguson</v>
      </c>
      <c r="AC377" s="9"/>
      <c r="AD377" s="9"/>
      <c r="AE377" s="9">
        <f t="shared" si="8"/>
        <v>4</v>
      </c>
      <c r="AF377" s="19">
        <f t="shared" si="13"/>
        <v>2</v>
      </c>
      <c r="AG377" s="9"/>
      <c r="AH377" s="9"/>
      <c r="AI377" s="9"/>
    </row>
    <row r="378" ht="15.0" customHeight="1">
      <c r="A378" s="11">
        <v>377.0</v>
      </c>
      <c r="B378" s="12">
        <f t="shared" si="69"/>
        <v>39873</v>
      </c>
      <c r="C378" s="13">
        <v>2009.0</v>
      </c>
      <c r="D378" s="11" t="s">
        <v>44</v>
      </c>
      <c r="E378" s="11">
        <v>10.0</v>
      </c>
      <c r="F378" s="21" t="s">
        <v>461</v>
      </c>
      <c r="G378" s="15">
        <v>0.08601509733810082</v>
      </c>
      <c r="H378" s="11" t="s">
        <v>45</v>
      </c>
      <c r="I378" s="16">
        <v>11.200000000000001</v>
      </c>
      <c r="J378" s="11" t="s">
        <v>778</v>
      </c>
      <c r="K378" s="11" t="s">
        <v>35</v>
      </c>
      <c r="L378" s="11" t="s">
        <v>27</v>
      </c>
      <c r="M378" s="11" t="s">
        <v>66</v>
      </c>
      <c r="N378" s="11" t="s">
        <v>69</v>
      </c>
      <c r="O378" s="11" t="s">
        <v>779</v>
      </c>
      <c r="P378" s="11" t="s">
        <v>52</v>
      </c>
      <c r="Q378" s="20">
        <v>39875.0</v>
      </c>
      <c r="R378" s="17">
        <f t="shared" si="2"/>
        <v>79.15109257</v>
      </c>
      <c r="S378" s="9"/>
      <c r="T378" s="9"/>
      <c r="U378" s="9"/>
      <c r="V378" s="9"/>
      <c r="W378" s="9"/>
      <c r="X378" s="9"/>
      <c r="Y378" s="9"/>
      <c r="Z378" s="9"/>
      <c r="AA378" s="9"/>
      <c r="AB378" s="9" t="str">
        <f>IFERROR(__xludf.DUMMYFUNCTION("""COMPUTED_VALUE"""),"Duane Huffman")</f>
        <v>Duane Huffman</v>
      </c>
      <c r="AC378" s="9"/>
      <c r="AD378" s="9"/>
      <c r="AE378" s="9">
        <f t="shared" si="8"/>
        <v>1</v>
      </c>
      <c r="AF378" s="19">
        <f t="shared" si="13"/>
        <v>2</v>
      </c>
      <c r="AG378" s="9"/>
      <c r="AH378" s="9"/>
      <c r="AI378" s="9"/>
    </row>
    <row r="379" ht="15.0" customHeight="1">
      <c r="A379" s="11">
        <v>378.0</v>
      </c>
      <c r="B379" s="12">
        <f t="shared" si="69"/>
        <v>39873</v>
      </c>
      <c r="C379" s="13">
        <v>2009.0</v>
      </c>
      <c r="D379" s="11" t="s">
        <v>39</v>
      </c>
      <c r="E379" s="11">
        <v>8.0</v>
      </c>
      <c r="F379" s="21" t="s">
        <v>270</v>
      </c>
      <c r="G379" s="15">
        <v>0.07115695567326458</v>
      </c>
      <c r="H379" s="11" t="s">
        <v>33</v>
      </c>
      <c r="I379" s="16">
        <v>5.976</v>
      </c>
      <c r="J379" s="11" t="s">
        <v>780</v>
      </c>
      <c r="K379" s="11" t="s">
        <v>83</v>
      </c>
      <c r="L379" s="11" t="s">
        <v>48</v>
      </c>
      <c r="M379" s="11" t="s">
        <v>28</v>
      </c>
      <c r="N379" s="11" t="s">
        <v>42</v>
      </c>
      <c r="O379" s="11" t="s">
        <v>750</v>
      </c>
      <c r="P379" s="11" t="s">
        <v>38</v>
      </c>
      <c r="Q379" s="20">
        <v>39875.0</v>
      </c>
      <c r="R379" s="17">
        <f t="shared" si="2"/>
        <v>23.70778986</v>
      </c>
      <c r="S379" s="9"/>
      <c r="T379" s="9"/>
      <c r="U379" s="9"/>
      <c r="V379" s="9"/>
      <c r="W379" s="9"/>
      <c r="X379" s="9"/>
      <c r="Y379" s="9"/>
      <c r="Z379" s="9"/>
      <c r="AA379" s="9"/>
      <c r="AB379" s="9" t="str">
        <f>IFERROR(__xludf.DUMMYFUNCTION("""COMPUTED_VALUE"""),"Bill Shonely")</f>
        <v>Bill Shonely</v>
      </c>
      <c r="AC379" s="9"/>
      <c r="AD379" s="9"/>
      <c r="AE379" s="9">
        <f t="shared" si="8"/>
        <v>4</v>
      </c>
      <c r="AF379" s="19" t="b">
        <f t="shared" si="13"/>
        <v>0</v>
      </c>
      <c r="AG379" s="9"/>
      <c r="AH379" s="9"/>
      <c r="AI379" s="9"/>
    </row>
    <row r="380" ht="15.0" customHeight="1">
      <c r="A380" s="11">
        <v>379.0</v>
      </c>
      <c r="B380" s="12">
        <f t="shared" si="69"/>
        <v>39873</v>
      </c>
      <c r="C380" s="13">
        <v>2009.0</v>
      </c>
      <c r="D380" s="11" t="s">
        <v>39</v>
      </c>
      <c r="E380" s="11">
        <v>25.0</v>
      </c>
      <c r="F380" s="21" t="s">
        <v>96</v>
      </c>
      <c r="G380" s="15">
        <v>0.08559239270110519</v>
      </c>
      <c r="H380" s="11" t="s">
        <v>33</v>
      </c>
      <c r="I380" s="16">
        <v>1.592</v>
      </c>
      <c r="J380" s="11" t="s">
        <v>781</v>
      </c>
      <c r="K380" s="11" t="s">
        <v>65</v>
      </c>
      <c r="L380" s="11" t="s">
        <v>27</v>
      </c>
      <c r="M380" s="11" t="s">
        <v>66</v>
      </c>
      <c r="N380" s="11" t="s">
        <v>67</v>
      </c>
      <c r="O380" s="11" t="s">
        <v>98</v>
      </c>
      <c r="P380" s="11" t="s">
        <v>99</v>
      </c>
      <c r="Q380" s="20">
        <v>39875.0</v>
      </c>
      <c r="R380" s="17">
        <f t="shared" si="2"/>
        <v>60.90686191</v>
      </c>
      <c r="S380" s="9"/>
      <c r="T380" s="9"/>
      <c r="U380" s="9"/>
      <c r="V380" s="9"/>
      <c r="W380" s="9"/>
      <c r="X380" s="9"/>
      <c r="Y380" s="9"/>
      <c r="Z380" s="9"/>
      <c r="AA380" s="9"/>
      <c r="AB380" s="9" t="str">
        <f>IFERROR(__xludf.DUMMYFUNCTION("""COMPUTED_VALUE"""),"Cyma Kinney")</f>
        <v>Cyma Kinney</v>
      </c>
      <c r="AC380" s="9"/>
      <c r="AD380" s="9"/>
      <c r="AE380" s="9">
        <f t="shared" si="8"/>
        <v>1</v>
      </c>
      <c r="AF380" s="19">
        <f t="shared" si="13"/>
        <v>5</v>
      </c>
      <c r="AG380" s="9"/>
      <c r="AH380" s="9"/>
      <c r="AI380" s="9"/>
    </row>
    <row r="381" ht="15.0" customHeight="1">
      <c r="A381" s="11">
        <v>380.0</v>
      </c>
      <c r="B381" s="12">
        <f t="shared" si="69"/>
        <v>39873</v>
      </c>
      <c r="C381" s="13">
        <v>2009.0</v>
      </c>
      <c r="D381" s="11" t="s">
        <v>39</v>
      </c>
      <c r="E381" s="11">
        <v>13.0</v>
      </c>
      <c r="F381" s="21" t="s">
        <v>284</v>
      </c>
      <c r="G381" s="15">
        <v>0.06303405572755412</v>
      </c>
      <c r="H381" s="11" t="s">
        <v>33</v>
      </c>
      <c r="I381" s="16">
        <v>4.264</v>
      </c>
      <c r="J381" s="11" t="s">
        <v>781</v>
      </c>
      <c r="K381" s="11" t="s">
        <v>65</v>
      </c>
      <c r="L381" s="11" t="s">
        <v>27</v>
      </c>
      <c r="M381" s="11" t="s">
        <v>49</v>
      </c>
      <c r="N381" s="11" t="s">
        <v>73</v>
      </c>
      <c r="O381" s="11" t="s">
        <v>286</v>
      </c>
      <c r="P381" s="11" t="s">
        <v>38</v>
      </c>
      <c r="Q381" s="20">
        <v>39876.0</v>
      </c>
      <c r="R381" s="17">
        <f t="shared" si="2"/>
        <v>1.907662663</v>
      </c>
      <c r="S381" s="9"/>
      <c r="T381" s="9"/>
      <c r="U381" s="9"/>
      <c r="V381" s="9"/>
      <c r="W381" s="9"/>
      <c r="X381" s="9"/>
      <c r="Y381" s="9"/>
      <c r="Z381" s="9"/>
      <c r="AA381" s="9"/>
      <c r="AB381" s="9" t="str">
        <f>IFERROR(__xludf.DUMMYFUNCTION("""COMPUTED_VALUE"""),"Lisa Ryan")</f>
        <v>Lisa Ryan</v>
      </c>
      <c r="AC381" s="9"/>
      <c r="AD381" s="9"/>
      <c r="AE381" s="9">
        <f t="shared" si="8"/>
        <v>1</v>
      </c>
      <c r="AF381" s="19">
        <f t="shared" si="13"/>
        <v>5</v>
      </c>
      <c r="AG381" s="9"/>
      <c r="AH381" s="9"/>
      <c r="AI381" s="9"/>
    </row>
    <row r="382" ht="15.0" customHeight="1">
      <c r="A382" s="11">
        <v>381.0</v>
      </c>
      <c r="B382" s="12">
        <f t="shared" si="69"/>
        <v>39873</v>
      </c>
      <c r="C382" s="13">
        <v>2009.0</v>
      </c>
      <c r="D382" s="11" t="s">
        <v>39</v>
      </c>
      <c r="E382" s="11">
        <v>38.0</v>
      </c>
      <c r="F382" s="21" t="s">
        <v>782</v>
      </c>
      <c r="G382" s="15">
        <v>0.058948161705334574</v>
      </c>
      <c r="H382" s="11" t="s">
        <v>24</v>
      </c>
      <c r="I382" s="16">
        <v>3.9920000000000004</v>
      </c>
      <c r="J382" s="11" t="s">
        <v>781</v>
      </c>
      <c r="K382" s="11" t="s">
        <v>65</v>
      </c>
      <c r="L382" s="11" t="s">
        <v>27</v>
      </c>
      <c r="M382" s="11" t="s">
        <v>66</v>
      </c>
      <c r="N382" s="11" t="s">
        <v>80</v>
      </c>
      <c r="O382" s="11" t="s">
        <v>783</v>
      </c>
      <c r="P382" s="11" t="s">
        <v>38</v>
      </c>
      <c r="Q382" s="20">
        <v>39876.0</v>
      </c>
      <c r="R382" s="17">
        <f t="shared" si="2"/>
        <v>103.0527047</v>
      </c>
      <c r="S382" s="9"/>
      <c r="T382" s="9"/>
      <c r="U382" s="9"/>
      <c r="V382" s="9"/>
      <c r="W382" s="9"/>
      <c r="X382" s="9"/>
      <c r="Y382" s="9"/>
      <c r="Z382" s="9"/>
      <c r="AA382" s="9"/>
      <c r="AB382" s="9" t="str">
        <f>IFERROR(__xludf.DUMMYFUNCTION("""COMPUTED_VALUE"""),"Astrea Jones")</f>
        <v>Astrea Jones</v>
      </c>
      <c r="AC382" s="9"/>
      <c r="AD382" s="9"/>
      <c r="AE382" s="9">
        <f t="shared" si="8"/>
        <v>1</v>
      </c>
      <c r="AF382" s="19">
        <f t="shared" si="13"/>
        <v>5</v>
      </c>
      <c r="AG382" s="9"/>
      <c r="AH382" s="9"/>
      <c r="AI382" s="9"/>
    </row>
    <row r="383" ht="15.0" customHeight="1">
      <c r="A383" s="11">
        <v>382.0</v>
      </c>
      <c r="B383" s="12">
        <f t="shared" si="69"/>
        <v>39873</v>
      </c>
      <c r="C383" s="13">
        <v>2009.0</v>
      </c>
      <c r="D383" s="11" t="s">
        <v>102</v>
      </c>
      <c r="E383" s="11">
        <v>1.0</v>
      </c>
      <c r="F383" s="21" t="s">
        <v>784</v>
      </c>
      <c r="G383" s="15">
        <v>0.057926604031157125</v>
      </c>
      <c r="H383" s="11" t="s">
        <v>24</v>
      </c>
      <c r="I383" s="16">
        <v>19.592</v>
      </c>
      <c r="J383" s="11" t="s">
        <v>429</v>
      </c>
      <c r="K383" s="11" t="s">
        <v>83</v>
      </c>
      <c r="L383" s="11" t="s">
        <v>48</v>
      </c>
      <c r="M383" s="11" t="s">
        <v>66</v>
      </c>
      <c r="N383" s="11" t="s">
        <v>170</v>
      </c>
      <c r="O383" s="11" t="s">
        <v>785</v>
      </c>
      <c r="P383" s="11" t="s">
        <v>31</v>
      </c>
      <c r="Q383" s="20">
        <v>39876.0</v>
      </c>
      <c r="R383" s="17">
        <f t="shared" si="2"/>
        <v>203.8722195</v>
      </c>
      <c r="S383" s="9"/>
      <c r="T383" s="9"/>
      <c r="U383" s="9"/>
      <c r="V383" s="9"/>
      <c r="W383" s="9"/>
      <c r="X383" s="9"/>
      <c r="Y383" s="9"/>
      <c r="Z383" s="9"/>
      <c r="AA383" s="9"/>
      <c r="AB383" s="9" t="str">
        <f>IFERROR(__xludf.DUMMYFUNCTION("""COMPUTED_VALUE"""),"Mitch Gastineau")</f>
        <v>Mitch Gastineau</v>
      </c>
      <c r="AC383" s="9"/>
      <c r="AD383" s="9"/>
      <c r="AE383" s="9">
        <f t="shared" si="8"/>
        <v>4</v>
      </c>
      <c r="AF383" s="19" t="b">
        <f t="shared" si="13"/>
        <v>0</v>
      </c>
      <c r="AG383" s="9"/>
      <c r="AH383" s="9"/>
      <c r="AI383" s="9"/>
    </row>
    <row r="384" ht="15.0" customHeight="1">
      <c r="A384" s="11">
        <v>383.0</v>
      </c>
      <c r="B384" s="12">
        <f t="shared" ref="B384:B389" si="70">DATE(2012,12,31)-1400</f>
        <v>39874</v>
      </c>
      <c r="C384" s="13">
        <v>2009.0</v>
      </c>
      <c r="D384" s="11" t="s">
        <v>23</v>
      </c>
      <c r="E384" s="11">
        <v>3.0</v>
      </c>
      <c r="F384" s="21" t="s">
        <v>758</v>
      </c>
      <c r="G384" s="15">
        <v>0.02608695652173904</v>
      </c>
      <c r="H384" s="11" t="s">
        <v>33</v>
      </c>
      <c r="I384" s="16">
        <v>0.4</v>
      </c>
      <c r="J384" s="11" t="s">
        <v>786</v>
      </c>
      <c r="K384" s="11" t="s">
        <v>35</v>
      </c>
      <c r="L384" s="11" t="s">
        <v>36</v>
      </c>
      <c r="M384" s="11" t="s">
        <v>28</v>
      </c>
      <c r="N384" s="11" t="s">
        <v>188</v>
      </c>
      <c r="O384" s="11" t="s">
        <v>787</v>
      </c>
      <c r="P384" s="11" t="s">
        <v>38</v>
      </c>
      <c r="Q384" s="20">
        <v>39876.0</v>
      </c>
      <c r="R384" s="17">
        <f t="shared" si="2"/>
        <v>0.292173913</v>
      </c>
      <c r="S384" s="9"/>
      <c r="T384" s="9"/>
      <c r="U384" s="9"/>
      <c r="V384" s="9"/>
      <c r="W384" s="9"/>
      <c r="X384" s="9"/>
      <c r="Y384" s="9"/>
      <c r="Z384" s="9"/>
      <c r="AA384" s="9"/>
      <c r="AB384" s="9" t="str">
        <f>IFERROR(__xludf.DUMMYFUNCTION("""COMPUTED_VALUE"""),"Mathew Reese")</f>
        <v>Mathew Reese</v>
      </c>
      <c r="AC384" s="9"/>
      <c r="AD384" s="9"/>
      <c r="AE384" s="9">
        <f t="shared" si="8"/>
        <v>2</v>
      </c>
      <c r="AF384" s="19">
        <f t="shared" si="13"/>
        <v>2</v>
      </c>
      <c r="AG384" s="9"/>
      <c r="AH384" s="9"/>
      <c r="AI384" s="9"/>
    </row>
    <row r="385" ht="15.0" customHeight="1">
      <c r="A385" s="11">
        <v>384.0</v>
      </c>
      <c r="B385" s="12">
        <f t="shared" si="70"/>
        <v>39874</v>
      </c>
      <c r="C385" s="13">
        <v>2009.0</v>
      </c>
      <c r="D385" s="11" t="s">
        <v>23</v>
      </c>
      <c r="E385" s="11">
        <v>20.0</v>
      </c>
      <c r="F385" s="21" t="s">
        <v>433</v>
      </c>
      <c r="G385" s="15">
        <v>0.03349925284691088</v>
      </c>
      <c r="H385" s="11" t="s">
        <v>33</v>
      </c>
      <c r="I385" s="16">
        <v>31.688000000000002</v>
      </c>
      <c r="J385" s="11" t="s">
        <v>786</v>
      </c>
      <c r="K385" s="11" t="s">
        <v>35</v>
      </c>
      <c r="L385" s="11" t="s">
        <v>36</v>
      </c>
      <c r="M385" s="11" t="s">
        <v>49</v>
      </c>
      <c r="N385" s="11" t="s">
        <v>73</v>
      </c>
      <c r="O385" s="11" t="s">
        <v>434</v>
      </c>
      <c r="P385" s="11" t="s">
        <v>75</v>
      </c>
      <c r="Q385" s="20">
        <v>39876.0</v>
      </c>
      <c r="R385" s="17">
        <f t="shared" si="2"/>
        <v>62.83414657</v>
      </c>
      <c r="S385" s="9"/>
      <c r="T385" s="9"/>
      <c r="U385" s="9"/>
      <c r="V385" s="9"/>
      <c r="W385" s="9"/>
      <c r="X385" s="9"/>
      <c r="Y385" s="9"/>
      <c r="Z385" s="9"/>
      <c r="AA385" s="9"/>
      <c r="AB385" s="9" t="str">
        <f>IFERROR(__xludf.DUMMYFUNCTION("""COMPUTED_VALUE"""),"Emily Grady")</f>
        <v>Emily Grady</v>
      </c>
      <c r="AC385" s="9"/>
      <c r="AD385" s="9"/>
      <c r="AE385" s="9">
        <f t="shared" si="8"/>
        <v>2</v>
      </c>
      <c r="AF385" s="19">
        <f t="shared" si="13"/>
        <v>2</v>
      </c>
      <c r="AG385" s="9"/>
      <c r="AH385" s="9"/>
      <c r="AI385" s="9"/>
    </row>
    <row r="386" ht="15.0" customHeight="1">
      <c r="A386" s="11">
        <v>385.0</v>
      </c>
      <c r="B386" s="12">
        <f t="shared" si="70"/>
        <v>39874</v>
      </c>
      <c r="C386" s="13">
        <v>2009.0</v>
      </c>
      <c r="D386" s="11" t="s">
        <v>23</v>
      </c>
      <c r="E386" s="11">
        <v>15.0</v>
      </c>
      <c r="F386" s="21" t="s">
        <v>788</v>
      </c>
      <c r="G386" s="15">
        <v>0.020464840419616576</v>
      </c>
      <c r="H386" s="11" t="s">
        <v>24</v>
      </c>
      <c r="I386" s="16">
        <v>3.9920000000000004</v>
      </c>
      <c r="J386" s="11" t="s">
        <v>786</v>
      </c>
      <c r="K386" s="11" t="s">
        <v>35</v>
      </c>
      <c r="L386" s="11" t="s">
        <v>36</v>
      </c>
      <c r="M386" s="11" t="s">
        <v>66</v>
      </c>
      <c r="N386" s="11" t="s">
        <v>80</v>
      </c>
      <c r="O386" s="11" t="s">
        <v>789</v>
      </c>
      <c r="P386" s="11" t="s">
        <v>38</v>
      </c>
      <c r="Q386" s="20">
        <v>39876.0</v>
      </c>
      <c r="R386" s="17">
        <f t="shared" si="2"/>
        <v>54.07817709</v>
      </c>
      <c r="S386" s="9"/>
      <c r="T386" s="9"/>
      <c r="U386" s="9"/>
      <c r="V386" s="9"/>
      <c r="W386" s="9"/>
      <c r="X386" s="9"/>
      <c r="Y386" s="9"/>
      <c r="Z386" s="9"/>
      <c r="AA386" s="9"/>
      <c r="AB386" s="9" t="str">
        <f>IFERROR(__xludf.DUMMYFUNCTION("""COMPUTED_VALUE"""),"Nathan Gelder")</f>
        <v>Nathan Gelder</v>
      </c>
      <c r="AC386" s="9"/>
      <c r="AD386" s="9"/>
      <c r="AE386" s="9">
        <f t="shared" si="8"/>
        <v>2</v>
      </c>
      <c r="AF386" s="19">
        <f t="shared" si="13"/>
        <v>2</v>
      </c>
      <c r="AG386" s="9"/>
      <c r="AH386" s="9"/>
      <c r="AI386" s="9"/>
    </row>
    <row r="387" ht="15.0" customHeight="1">
      <c r="A387" s="11">
        <v>386.0</v>
      </c>
      <c r="B387" s="12">
        <f t="shared" si="70"/>
        <v>39874</v>
      </c>
      <c r="C387" s="13">
        <v>2009.0</v>
      </c>
      <c r="D387" s="11" t="s">
        <v>102</v>
      </c>
      <c r="E387" s="11">
        <v>29.0</v>
      </c>
      <c r="F387" s="21" t="s">
        <v>790</v>
      </c>
      <c r="G387" s="15">
        <v>0.09252488320130003</v>
      </c>
      <c r="H387" s="11" t="s">
        <v>33</v>
      </c>
      <c r="I387" s="16">
        <v>3.2</v>
      </c>
      <c r="J387" s="11" t="s">
        <v>248</v>
      </c>
      <c r="K387" s="11" t="s">
        <v>117</v>
      </c>
      <c r="L387" s="11" t="s">
        <v>48</v>
      </c>
      <c r="M387" s="11" t="s">
        <v>66</v>
      </c>
      <c r="N387" s="11" t="s">
        <v>67</v>
      </c>
      <c r="O387" s="11" t="s">
        <v>791</v>
      </c>
      <c r="P387" s="11" t="s">
        <v>38</v>
      </c>
      <c r="Q387" s="20">
        <v>39876.0</v>
      </c>
      <c r="R387" s="17">
        <f t="shared" si="2"/>
        <v>82.67098314</v>
      </c>
      <c r="S387" s="9"/>
      <c r="T387" s="9"/>
      <c r="U387" s="9"/>
      <c r="V387" s="9"/>
      <c r="W387" s="9"/>
      <c r="X387" s="9"/>
      <c r="Y387" s="9"/>
      <c r="Z387" s="9"/>
      <c r="AA387" s="9"/>
      <c r="AB387" s="9" t="str">
        <f>IFERROR(__xludf.DUMMYFUNCTION("""COMPUTED_VALUE"""),"Justin Ellison")</f>
        <v>Justin Ellison</v>
      </c>
      <c r="AC387" s="9"/>
      <c r="AD387" s="9"/>
      <c r="AE387" s="9">
        <f t="shared" si="8"/>
        <v>4</v>
      </c>
      <c r="AF387" s="19" t="b">
        <f t="shared" si="13"/>
        <v>0</v>
      </c>
      <c r="AG387" s="9"/>
      <c r="AH387" s="9"/>
      <c r="AI387" s="9"/>
    </row>
    <row r="388" ht="15.0" customHeight="1">
      <c r="A388" s="11">
        <v>387.0</v>
      </c>
      <c r="B388" s="12">
        <f t="shared" si="70"/>
        <v>39874</v>
      </c>
      <c r="C388" s="13">
        <v>2009.0</v>
      </c>
      <c r="D388" s="11" t="s">
        <v>32</v>
      </c>
      <c r="E388" s="11">
        <v>1.0</v>
      </c>
      <c r="F388" s="21" t="s">
        <v>792</v>
      </c>
      <c r="G388" s="15">
        <v>0.10648164726947172</v>
      </c>
      <c r="H388" s="11" t="s">
        <v>45</v>
      </c>
      <c r="I388" s="16">
        <v>28.712000000000003</v>
      </c>
      <c r="J388" s="11" t="s">
        <v>793</v>
      </c>
      <c r="K388" s="11" t="s">
        <v>65</v>
      </c>
      <c r="L388" s="11" t="s">
        <v>36</v>
      </c>
      <c r="M388" s="11" t="s">
        <v>49</v>
      </c>
      <c r="N388" s="11" t="s">
        <v>156</v>
      </c>
      <c r="O388" s="11" t="s">
        <v>794</v>
      </c>
      <c r="P388" s="11" t="s">
        <v>87</v>
      </c>
      <c r="Q388" s="20">
        <v>39877.0</v>
      </c>
      <c r="R388" s="17">
        <f t="shared" si="2"/>
        <v>21.25501457</v>
      </c>
      <c r="S388" s="9"/>
      <c r="T388" s="9"/>
      <c r="U388" s="9"/>
      <c r="V388" s="9"/>
      <c r="W388" s="9"/>
      <c r="X388" s="9"/>
      <c r="Y388" s="9"/>
      <c r="Z388" s="9"/>
      <c r="AA388" s="9"/>
      <c r="AB388" s="9" t="str">
        <f>IFERROR(__xludf.DUMMYFUNCTION("""COMPUTED_VALUE"""),"Nancy Lomonaco")</f>
        <v>Nancy Lomonaco</v>
      </c>
      <c r="AC388" s="9"/>
      <c r="AD388" s="9"/>
      <c r="AE388" s="9">
        <f t="shared" si="8"/>
        <v>2</v>
      </c>
      <c r="AF388" s="19">
        <f t="shared" si="13"/>
        <v>5</v>
      </c>
      <c r="AG388" s="9"/>
      <c r="AH388" s="9"/>
      <c r="AI388" s="9"/>
    </row>
    <row r="389" ht="15.0" customHeight="1">
      <c r="A389" s="11">
        <v>388.0</v>
      </c>
      <c r="B389" s="12">
        <f t="shared" si="70"/>
        <v>39874</v>
      </c>
      <c r="C389" s="13">
        <v>2009.0</v>
      </c>
      <c r="D389" s="11" t="s">
        <v>23</v>
      </c>
      <c r="E389" s="11">
        <v>47.0</v>
      </c>
      <c r="F389" s="21" t="s">
        <v>218</v>
      </c>
      <c r="G389" s="15">
        <v>0.027924475857687443</v>
      </c>
      <c r="H389" s="11" t="s">
        <v>24</v>
      </c>
      <c r="I389" s="16">
        <v>1.592</v>
      </c>
      <c r="J389" s="11" t="s">
        <v>795</v>
      </c>
      <c r="K389" s="11" t="s">
        <v>35</v>
      </c>
      <c r="L389" s="11" t="s">
        <v>41</v>
      </c>
      <c r="M389" s="11" t="s">
        <v>66</v>
      </c>
      <c r="N389" s="11" t="s">
        <v>67</v>
      </c>
      <c r="O389" s="11" t="s">
        <v>749</v>
      </c>
      <c r="P389" s="11" t="s">
        <v>99</v>
      </c>
      <c r="Q389" s="20">
        <v>39877.0</v>
      </c>
      <c r="R389" s="17">
        <f t="shared" si="2"/>
        <v>10.9377938</v>
      </c>
      <c r="S389" s="9"/>
      <c r="T389" s="9"/>
      <c r="U389" s="9"/>
      <c r="V389" s="9"/>
      <c r="W389" s="9"/>
      <c r="X389" s="9"/>
      <c r="Y389" s="9"/>
      <c r="Z389" s="9"/>
      <c r="AA389" s="9"/>
      <c r="AB389" s="9" t="str">
        <f>IFERROR(__xludf.DUMMYFUNCTION("""COMPUTED_VALUE"""),"Denise Leinenbach")</f>
        <v>Denise Leinenbach</v>
      </c>
      <c r="AC389" s="9"/>
      <c r="AD389" s="9"/>
      <c r="AE389" s="9">
        <f t="shared" si="8"/>
        <v>3</v>
      </c>
      <c r="AF389" s="19">
        <f t="shared" si="13"/>
        <v>2</v>
      </c>
      <c r="AG389" s="9"/>
      <c r="AH389" s="9"/>
      <c r="AI389" s="9"/>
    </row>
    <row r="390" ht="15.0" customHeight="1">
      <c r="A390" s="11">
        <v>389.0</v>
      </c>
      <c r="B390" s="12">
        <f>DATE(2012,12,31)-1399</f>
        <v>39875</v>
      </c>
      <c r="C390" s="13">
        <v>2009.0</v>
      </c>
      <c r="D390" s="11" t="s">
        <v>44</v>
      </c>
      <c r="E390" s="11">
        <v>34.0</v>
      </c>
      <c r="F390" s="21" t="s">
        <v>284</v>
      </c>
      <c r="G390" s="15">
        <v>0.11980511571254567</v>
      </c>
      <c r="H390" s="11" t="s">
        <v>33</v>
      </c>
      <c r="I390" s="16">
        <v>4.264</v>
      </c>
      <c r="J390" s="11" t="s">
        <v>796</v>
      </c>
      <c r="K390" s="11" t="s">
        <v>117</v>
      </c>
      <c r="L390" s="11" t="s">
        <v>48</v>
      </c>
      <c r="M390" s="11" t="s">
        <v>49</v>
      </c>
      <c r="N390" s="11" t="s">
        <v>73</v>
      </c>
      <c r="O390" s="11" t="s">
        <v>286</v>
      </c>
      <c r="P390" s="11" t="s">
        <v>38</v>
      </c>
      <c r="Q390" s="20">
        <v>39878.0</v>
      </c>
      <c r="R390" s="17">
        <f t="shared" si="2"/>
        <v>8.657596882</v>
      </c>
      <c r="S390" s="9"/>
      <c r="T390" s="9"/>
      <c r="U390" s="9"/>
      <c r="V390" s="9"/>
      <c r="W390" s="9"/>
      <c r="X390" s="9"/>
      <c r="Y390" s="9"/>
      <c r="Z390" s="9"/>
      <c r="AA390" s="9"/>
      <c r="AB390" s="9" t="str">
        <f>IFERROR(__xludf.DUMMYFUNCTION("""COMPUTED_VALUE"""),"Tracy Hopkins")</f>
        <v>Tracy Hopkins</v>
      </c>
      <c r="AC390" s="9"/>
      <c r="AD390" s="9"/>
      <c r="AE390" s="9">
        <f t="shared" si="8"/>
        <v>4</v>
      </c>
      <c r="AF390" s="19" t="b">
        <f t="shared" si="13"/>
        <v>0</v>
      </c>
      <c r="AG390" s="9"/>
      <c r="AH390" s="9"/>
      <c r="AI390" s="9"/>
    </row>
    <row r="391" ht="15.0" customHeight="1">
      <c r="A391" s="11">
        <v>390.0</v>
      </c>
      <c r="B391" s="12">
        <f t="shared" ref="B391:B393" si="71">DATE(2012,12,31)-1398</f>
        <v>39876</v>
      </c>
      <c r="C391" s="13">
        <v>2009.0</v>
      </c>
      <c r="D391" s="11" t="s">
        <v>44</v>
      </c>
      <c r="E391" s="11">
        <v>1.0</v>
      </c>
      <c r="F391" s="21" t="s">
        <v>797</v>
      </c>
      <c r="G391" s="15">
        <v>0.09038167938931292</v>
      </c>
      <c r="H391" s="11" t="s">
        <v>33</v>
      </c>
      <c r="I391" s="16">
        <v>1.816</v>
      </c>
      <c r="J391" s="11" t="s">
        <v>798</v>
      </c>
      <c r="K391" s="11" t="s">
        <v>117</v>
      </c>
      <c r="L391" s="11" t="s">
        <v>36</v>
      </c>
      <c r="M391" s="11" t="s">
        <v>28</v>
      </c>
      <c r="N391" s="11" t="s">
        <v>56</v>
      </c>
      <c r="O391" s="11" t="s">
        <v>71</v>
      </c>
      <c r="P391" s="11" t="s">
        <v>58</v>
      </c>
      <c r="Q391" s="20">
        <v>39878.0</v>
      </c>
      <c r="R391" s="17">
        <f t="shared" si="2"/>
        <v>1.076988092</v>
      </c>
      <c r="S391" s="9"/>
      <c r="T391" s="9"/>
      <c r="U391" s="9"/>
      <c r="V391" s="9"/>
      <c r="W391" s="9"/>
      <c r="X391" s="9"/>
      <c r="Y391" s="9"/>
      <c r="Z391" s="9"/>
      <c r="AA391" s="9"/>
      <c r="AB391" s="9" t="str">
        <f>IFERROR(__xludf.DUMMYFUNCTION("""COMPUTED_VALUE"""),"Bruce Degenhardt")</f>
        <v>Bruce Degenhardt</v>
      </c>
      <c r="AC391" s="9"/>
      <c r="AD391" s="9"/>
      <c r="AE391" s="9">
        <f t="shared" si="8"/>
        <v>2</v>
      </c>
      <c r="AF391" s="19" t="b">
        <f t="shared" si="13"/>
        <v>0</v>
      </c>
      <c r="AG391" s="9"/>
      <c r="AH391" s="9"/>
      <c r="AI391" s="9"/>
    </row>
    <row r="392" ht="15.0" customHeight="1">
      <c r="A392" s="11">
        <v>391.0</v>
      </c>
      <c r="B392" s="12">
        <f t="shared" si="71"/>
        <v>39876</v>
      </c>
      <c r="C392" s="13">
        <v>2009.0</v>
      </c>
      <c r="D392" s="11" t="s">
        <v>44</v>
      </c>
      <c r="E392" s="11">
        <v>6.0</v>
      </c>
      <c r="F392" s="21" t="s">
        <v>100</v>
      </c>
      <c r="G392" s="15">
        <v>0.09260113918504453</v>
      </c>
      <c r="H392" s="11" t="s">
        <v>33</v>
      </c>
      <c r="I392" s="16">
        <v>7.192</v>
      </c>
      <c r="J392" s="11" t="s">
        <v>571</v>
      </c>
      <c r="K392" s="11" t="s">
        <v>65</v>
      </c>
      <c r="L392" s="11" t="s">
        <v>48</v>
      </c>
      <c r="M392" s="11" t="s">
        <v>66</v>
      </c>
      <c r="N392" s="11" t="s">
        <v>80</v>
      </c>
      <c r="O392" s="11" t="s">
        <v>615</v>
      </c>
      <c r="P392" s="11" t="s">
        <v>38</v>
      </c>
      <c r="Q392" s="20">
        <v>39878.0</v>
      </c>
      <c r="R392" s="17">
        <f t="shared" si="2"/>
        <v>115.0654347</v>
      </c>
      <c r="S392" s="9"/>
      <c r="T392" s="9"/>
      <c r="U392" s="9"/>
      <c r="V392" s="9"/>
      <c r="W392" s="9"/>
      <c r="X392" s="9"/>
      <c r="Y392" s="9"/>
      <c r="Z392" s="9"/>
      <c r="AA392" s="9"/>
      <c r="AB392" s="9" t="str">
        <f>IFERROR(__xludf.DUMMYFUNCTION("""COMPUTED_VALUE"""),"Mitch Webber")</f>
        <v>Mitch Webber</v>
      </c>
      <c r="AC392" s="9"/>
      <c r="AD392" s="9"/>
      <c r="AE392" s="9">
        <f t="shared" si="8"/>
        <v>4</v>
      </c>
      <c r="AF392" s="19">
        <f t="shared" si="13"/>
        <v>5</v>
      </c>
      <c r="AG392" s="9"/>
      <c r="AH392" s="9"/>
      <c r="AI392" s="9"/>
    </row>
    <row r="393" ht="15.0" customHeight="1">
      <c r="A393" s="11">
        <v>392.0</v>
      </c>
      <c r="B393" s="12">
        <f t="shared" si="71"/>
        <v>39876</v>
      </c>
      <c r="C393" s="13">
        <v>2009.0</v>
      </c>
      <c r="D393" s="11" t="s">
        <v>39</v>
      </c>
      <c r="E393" s="11">
        <v>14.0</v>
      </c>
      <c r="F393" s="21" t="s">
        <v>799</v>
      </c>
      <c r="G393" s="15">
        <v>0.022675347008967114</v>
      </c>
      <c r="H393" s="11" t="s">
        <v>45</v>
      </c>
      <c r="I393" s="16">
        <v>45.6</v>
      </c>
      <c r="J393" s="11" t="s">
        <v>800</v>
      </c>
      <c r="K393" s="11" t="s">
        <v>65</v>
      </c>
      <c r="L393" s="11" t="s">
        <v>41</v>
      </c>
      <c r="M393" s="11" t="s">
        <v>49</v>
      </c>
      <c r="N393" s="11" t="s">
        <v>50</v>
      </c>
      <c r="O393" s="11" t="s">
        <v>801</v>
      </c>
      <c r="P393" s="11" t="s">
        <v>52</v>
      </c>
      <c r="Q393" s="20">
        <v>39878.0</v>
      </c>
      <c r="R393" s="17">
        <f t="shared" si="2"/>
        <v>90.20706547</v>
      </c>
      <c r="S393" s="9"/>
      <c r="T393" s="9"/>
      <c r="U393" s="9"/>
      <c r="V393" s="9"/>
      <c r="W393" s="9"/>
      <c r="X393" s="9"/>
      <c r="Y393" s="9"/>
      <c r="Z393" s="9"/>
      <c r="AA393" s="9"/>
      <c r="AB393" s="9" t="str">
        <f>IFERROR(__xludf.DUMMYFUNCTION("""COMPUTED_VALUE"""),"Dianna Vittorini")</f>
        <v>Dianna Vittorini</v>
      </c>
      <c r="AC393" s="9"/>
      <c r="AD393" s="9"/>
      <c r="AE393" s="9">
        <f t="shared" si="8"/>
        <v>3</v>
      </c>
      <c r="AF393" s="19">
        <f t="shared" si="13"/>
        <v>5</v>
      </c>
      <c r="AG393" s="9"/>
      <c r="AH393" s="9"/>
      <c r="AI393" s="9"/>
    </row>
    <row r="394" ht="15.0" customHeight="1">
      <c r="A394" s="11">
        <v>393.0</v>
      </c>
      <c r="B394" s="12">
        <f t="shared" ref="B394:B402" si="72">DATE(2012,12,31)-1397</f>
        <v>39877</v>
      </c>
      <c r="C394" s="13">
        <v>2009.0</v>
      </c>
      <c r="D394" s="11" t="s">
        <v>39</v>
      </c>
      <c r="E394" s="11">
        <v>25.0</v>
      </c>
      <c r="F394" s="21" t="s">
        <v>802</v>
      </c>
      <c r="G394" s="15">
        <v>0.048273765333898856</v>
      </c>
      <c r="H394" s="11" t="s">
        <v>33</v>
      </c>
      <c r="I394" s="16">
        <v>4.648</v>
      </c>
      <c r="J394" s="11" t="s">
        <v>803</v>
      </c>
      <c r="K394" s="11" t="s">
        <v>61</v>
      </c>
      <c r="L394" s="11" t="s">
        <v>27</v>
      </c>
      <c r="M394" s="11" t="s">
        <v>49</v>
      </c>
      <c r="N394" s="11" t="s">
        <v>73</v>
      </c>
      <c r="O394" s="11" t="s">
        <v>804</v>
      </c>
      <c r="P394" s="11" t="s">
        <v>75</v>
      </c>
      <c r="Q394" s="20">
        <v>39878.0</v>
      </c>
      <c r="R394" s="17">
        <f t="shared" si="2"/>
        <v>129.9601208</v>
      </c>
      <c r="S394" s="9"/>
      <c r="T394" s="9"/>
      <c r="U394" s="9"/>
      <c r="V394" s="9"/>
      <c r="W394" s="9"/>
      <c r="X394" s="9"/>
      <c r="Y394" s="9"/>
      <c r="Z394" s="9"/>
      <c r="AA394" s="9"/>
      <c r="AB394" s="9" t="str">
        <f>IFERROR(__xludf.DUMMYFUNCTION("""COMPUTED_VALUE"""),"Meg O'Connel")</f>
        <v>Meg O'Connel</v>
      </c>
      <c r="AC394" s="9"/>
      <c r="AD394" s="9"/>
      <c r="AE394" s="9">
        <f t="shared" si="8"/>
        <v>1</v>
      </c>
      <c r="AF394" s="19">
        <f t="shared" si="13"/>
        <v>4</v>
      </c>
      <c r="AG394" s="9"/>
      <c r="AH394" s="9"/>
      <c r="AI394" s="9"/>
    </row>
    <row r="395" ht="15.0" customHeight="1">
      <c r="A395" s="11">
        <v>394.0</v>
      </c>
      <c r="B395" s="12">
        <f t="shared" si="72"/>
        <v>39877</v>
      </c>
      <c r="C395" s="13">
        <v>2009.0</v>
      </c>
      <c r="D395" s="11" t="s">
        <v>44</v>
      </c>
      <c r="E395" s="11">
        <v>21.0</v>
      </c>
      <c r="F395" s="21" t="s">
        <v>805</v>
      </c>
      <c r="G395" s="15">
        <v>0.07591782520145215</v>
      </c>
      <c r="H395" s="11" t="s">
        <v>45</v>
      </c>
      <c r="I395" s="16">
        <v>43.296</v>
      </c>
      <c r="J395" s="11" t="s">
        <v>806</v>
      </c>
      <c r="K395" s="11" t="s">
        <v>83</v>
      </c>
      <c r="L395" s="11" t="s">
        <v>27</v>
      </c>
      <c r="M395" s="11" t="s">
        <v>49</v>
      </c>
      <c r="N395" s="11" t="s">
        <v>85</v>
      </c>
      <c r="O395" s="11" t="s">
        <v>807</v>
      </c>
      <c r="P395" s="11" t="s">
        <v>87</v>
      </c>
      <c r="Q395" s="20">
        <v>39878.0</v>
      </c>
      <c r="R395" s="17">
        <f t="shared" si="2"/>
        <v>475.351567</v>
      </c>
      <c r="S395" s="9"/>
      <c r="T395" s="9"/>
      <c r="U395" s="9"/>
      <c r="V395" s="9"/>
      <c r="W395" s="9"/>
      <c r="X395" s="9"/>
      <c r="Y395" s="9"/>
      <c r="Z395" s="9"/>
      <c r="AA395" s="9"/>
      <c r="AB395" s="9" t="str">
        <f>IFERROR(__xludf.DUMMYFUNCTION("""COMPUTED_VALUE"""),"Berenike Kampe")</f>
        <v>Berenike Kampe</v>
      </c>
      <c r="AC395" s="9"/>
      <c r="AD395" s="9"/>
      <c r="AE395" s="9">
        <f t="shared" si="8"/>
        <v>1</v>
      </c>
      <c r="AF395" s="19" t="b">
        <f t="shared" si="13"/>
        <v>0</v>
      </c>
      <c r="AG395" s="9"/>
      <c r="AH395" s="9"/>
      <c r="AI395" s="9"/>
    </row>
    <row r="396" ht="15.0" customHeight="1">
      <c r="A396" s="11">
        <v>395.0</v>
      </c>
      <c r="B396" s="12">
        <f t="shared" si="72"/>
        <v>39877</v>
      </c>
      <c r="C396" s="13">
        <v>2009.0</v>
      </c>
      <c r="D396" s="11" t="s">
        <v>23</v>
      </c>
      <c r="E396" s="11">
        <v>45.0</v>
      </c>
      <c r="F396" s="21" t="s">
        <v>413</v>
      </c>
      <c r="G396" s="15">
        <v>0.05585329018338734</v>
      </c>
      <c r="H396" s="11" t="s">
        <v>33</v>
      </c>
      <c r="I396" s="16">
        <v>1.1119999999999999</v>
      </c>
      <c r="J396" s="11" t="s">
        <v>808</v>
      </c>
      <c r="K396" s="11" t="s">
        <v>83</v>
      </c>
      <c r="L396" s="11" t="s">
        <v>48</v>
      </c>
      <c r="M396" s="11" t="s">
        <v>28</v>
      </c>
      <c r="N396" s="11" t="s">
        <v>236</v>
      </c>
      <c r="O396" s="11" t="s">
        <v>809</v>
      </c>
      <c r="P396" s="11" t="s">
        <v>38</v>
      </c>
      <c r="Q396" s="20">
        <v>39879.0</v>
      </c>
      <c r="R396" s="17">
        <f t="shared" si="2"/>
        <v>24.44207002</v>
      </c>
      <c r="S396" s="9"/>
      <c r="T396" s="9"/>
      <c r="U396" s="9"/>
      <c r="V396" s="9"/>
      <c r="W396" s="9"/>
      <c r="X396" s="9"/>
      <c r="Y396" s="9"/>
      <c r="Z396" s="9"/>
      <c r="AA396" s="9"/>
      <c r="AB396" s="9" t="str">
        <f>IFERROR(__xludf.DUMMYFUNCTION("""COMPUTED_VALUE"""),"Dan Reichenbach")</f>
        <v>Dan Reichenbach</v>
      </c>
      <c r="AC396" s="9"/>
      <c r="AD396" s="9"/>
      <c r="AE396" s="9">
        <f t="shared" si="8"/>
        <v>4</v>
      </c>
      <c r="AF396" s="19" t="b">
        <f t="shared" si="13"/>
        <v>0</v>
      </c>
      <c r="AG396" s="9"/>
      <c r="AH396" s="9"/>
      <c r="AI396" s="9"/>
    </row>
    <row r="397" ht="15.0" customHeight="1">
      <c r="A397" s="11">
        <v>396.0</v>
      </c>
      <c r="B397" s="12">
        <f t="shared" si="72"/>
        <v>39877</v>
      </c>
      <c r="C397" s="13">
        <v>2009.0</v>
      </c>
      <c r="D397" s="11" t="s">
        <v>23</v>
      </c>
      <c r="E397" s="11">
        <v>27.0</v>
      </c>
      <c r="F397" s="21" t="s">
        <v>151</v>
      </c>
      <c r="G397" s="15">
        <v>0.05009544008483552</v>
      </c>
      <c r="H397" s="11" t="s">
        <v>24</v>
      </c>
      <c r="I397" s="16">
        <v>3.176</v>
      </c>
      <c r="J397" s="11" t="s">
        <v>808</v>
      </c>
      <c r="K397" s="11" t="s">
        <v>83</v>
      </c>
      <c r="L397" s="11" t="s">
        <v>48</v>
      </c>
      <c r="M397" s="11" t="s">
        <v>28</v>
      </c>
      <c r="N397" s="11" t="s">
        <v>62</v>
      </c>
      <c r="O397" s="11" t="s">
        <v>209</v>
      </c>
      <c r="P397" s="11" t="s">
        <v>58</v>
      </c>
      <c r="Q397" s="20">
        <v>39879.0</v>
      </c>
      <c r="R397" s="17">
        <f t="shared" si="2"/>
        <v>4.487349141</v>
      </c>
      <c r="S397" s="9"/>
      <c r="T397" s="9"/>
      <c r="U397" s="9"/>
      <c r="V397" s="9"/>
      <c r="W397" s="9"/>
      <c r="X397" s="9"/>
      <c r="Y397" s="9"/>
      <c r="Z397" s="9"/>
      <c r="AA397" s="9"/>
      <c r="AB397" s="9" t="str">
        <f>IFERROR(__xludf.DUMMYFUNCTION("""COMPUTED_VALUE"""),"Ralph Arnett")</f>
        <v>Ralph Arnett</v>
      </c>
      <c r="AC397" s="9"/>
      <c r="AD397" s="9"/>
      <c r="AE397" s="9">
        <f t="shared" si="8"/>
        <v>4</v>
      </c>
      <c r="AF397" s="19" t="b">
        <f t="shared" si="13"/>
        <v>0</v>
      </c>
      <c r="AG397" s="9"/>
      <c r="AH397" s="9"/>
      <c r="AI397" s="9"/>
    </row>
    <row r="398" ht="15.0" customHeight="1">
      <c r="A398" s="11">
        <v>397.0</v>
      </c>
      <c r="B398" s="12">
        <f t="shared" si="72"/>
        <v>39877</v>
      </c>
      <c r="C398" s="13">
        <v>2009.0</v>
      </c>
      <c r="D398" s="11" t="s">
        <v>23</v>
      </c>
      <c r="E398" s="11">
        <v>44.0</v>
      </c>
      <c r="F398" s="21" t="s">
        <v>810</v>
      </c>
      <c r="G398" s="15">
        <v>0.0759355828220859</v>
      </c>
      <c r="H398" s="11" t="s">
        <v>33</v>
      </c>
      <c r="I398" s="16">
        <v>2.3920000000000003</v>
      </c>
      <c r="J398" s="11" t="s">
        <v>781</v>
      </c>
      <c r="K398" s="11" t="s">
        <v>65</v>
      </c>
      <c r="L398" s="11" t="s">
        <v>27</v>
      </c>
      <c r="M398" s="11" t="s">
        <v>28</v>
      </c>
      <c r="N398" s="11" t="s">
        <v>42</v>
      </c>
      <c r="O398" s="11" t="s">
        <v>811</v>
      </c>
      <c r="P398" s="11" t="s">
        <v>38</v>
      </c>
      <c r="Q398" s="20">
        <v>39879.0</v>
      </c>
      <c r="R398" s="17">
        <f t="shared" si="2"/>
        <v>36.60034344</v>
      </c>
      <c r="S398" s="9"/>
      <c r="T398" s="9"/>
      <c r="U398" s="9"/>
      <c r="V398" s="9"/>
      <c r="W398" s="9"/>
      <c r="X398" s="9"/>
      <c r="Y398" s="9"/>
      <c r="Z398" s="9"/>
      <c r="AA398" s="9"/>
      <c r="AB398" s="9" t="str">
        <f>IFERROR(__xludf.DUMMYFUNCTION("""COMPUTED_VALUE"""),"Sheri Gordon")</f>
        <v>Sheri Gordon</v>
      </c>
      <c r="AC398" s="9"/>
      <c r="AD398" s="9"/>
      <c r="AE398" s="9">
        <f t="shared" si="8"/>
        <v>1</v>
      </c>
      <c r="AF398" s="19">
        <f t="shared" si="13"/>
        <v>5</v>
      </c>
      <c r="AG398" s="9"/>
      <c r="AH398" s="9"/>
      <c r="AI398" s="9"/>
    </row>
    <row r="399" ht="15.0" customHeight="1">
      <c r="A399" s="11">
        <v>398.0</v>
      </c>
      <c r="B399" s="12">
        <f t="shared" si="72"/>
        <v>39877</v>
      </c>
      <c r="C399" s="13">
        <v>2009.0</v>
      </c>
      <c r="D399" s="11" t="s">
        <v>102</v>
      </c>
      <c r="E399" s="11">
        <v>36.0</v>
      </c>
      <c r="F399" s="21" t="s">
        <v>178</v>
      </c>
      <c r="G399" s="15">
        <v>0.011942529690224968</v>
      </c>
      <c r="H399" s="11" t="s">
        <v>24</v>
      </c>
      <c r="I399" s="16">
        <v>7.040000000000001</v>
      </c>
      <c r="J399" s="11" t="s">
        <v>659</v>
      </c>
      <c r="K399" s="11" t="s">
        <v>26</v>
      </c>
      <c r="L399" s="11" t="s">
        <v>48</v>
      </c>
      <c r="M399" s="11" t="s">
        <v>66</v>
      </c>
      <c r="N399" s="11" t="s">
        <v>80</v>
      </c>
      <c r="O399" s="11" t="s">
        <v>812</v>
      </c>
      <c r="P399" s="11" t="s">
        <v>38</v>
      </c>
      <c r="Q399" s="20">
        <v>39879.0</v>
      </c>
      <c r="R399" s="17">
        <f t="shared" si="2"/>
        <v>28.41653285</v>
      </c>
      <c r="S399" s="9"/>
      <c r="T399" s="9"/>
      <c r="U399" s="9"/>
      <c r="V399" s="9"/>
      <c r="W399" s="9"/>
      <c r="X399" s="9"/>
      <c r="Y399" s="9"/>
      <c r="Z399" s="9"/>
      <c r="AA399" s="9"/>
      <c r="AB399" s="9" t="str">
        <f>IFERROR(__xludf.DUMMYFUNCTION("""COMPUTED_VALUE"""),"Claudia Miner")</f>
        <v>Claudia Miner</v>
      </c>
      <c r="AC399" s="9"/>
      <c r="AD399" s="9"/>
      <c r="AE399" s="9">
        <f t="shared" si="8"/>
        <v>4</v>
      </c>
      <c r="AF399" s="19">
        <f t="shared" si="13"/>
        <v>1</v>
      </c>
      <c r="AG399" s="9"/>
      <c r="AH399" s="9"/>
      <c r="AI399" s="9"/>
    </row>
    <row r="400" ht="15.0" customHeight="1">
      <c r="A400" s="11">
        <v>399.0</v>
      </c>
      <c r="B400" s="12">
        <f t="shared" si="72"/>
        <v>39877</v>
      </c>
      <c r="C400" s="13">
        <v>2009.0</v>
      </c>
      <c r="D400" s="11" t="s">
        <v>102</v>
      </c>
      <c r="E400" s="11">
        <v>5.0</v>
      </c>
      <c r="F400" s="21" t="s">
        <v>718</v>
      </c>
      <c r="G400" s="15">
        <v>0.02944086021505376</v>
      </c>
      <c r="H400" s="11" t="s">
        <v>33</v>
      </c>
      <c r="I400" s="16">
        <v>6.024000000000001</v>
      </c>
      <c r="J400" s="11" t="s">
        <v>659</v>
      </c>
      <c r="K400" s="11" t="s">
        <v>26</v>
      </c>
      <c r="L400" s="11" t="s">
        <v>48</v>
      </c>
      <c r="M400" s="11" t="s">
        <v>66</v>
      </c>
      <c r="N400" s="11" t="s">
        <v>67</v>
      </c>
      <c r="O400" s="11" t="s">
        <v>813</v>
      </c>
      <c r="P400" s="11" t="s">
        <v>38</v>
      </c>
      <c r="Q400" s="20">
        <v>39880.0</v>
      </c>
      <c r="R400" s="17">
        <f t="shared" si="2"/>
        <v>5.314781849</v>
      </c>
      <c r="S400" s="9"/>
      <c r="T400" s="9"/>
      <c r="U400" s="9"/>
      <c r="V400" s="9"/>
      <c r="W400" s="9"/>
      <c r="X400" s="9"/>
      <c r="Y400" s="9"/>
      <c r="Z400" s="9"/>
      <c r="AA400" s="9"/>
      <c r="AB400" s="9" t="str">
        <f>IFERROR(__xludf.DUMMYFUNCTION("""COMPUTED_VALUE"""),"Steve Carroll")</f>
        <v>Steve Carroll</v>
      </c>
      <c r="AC400" s="9"/>
      <c r="AD400" s="9"/>
      <c r="AE400" s="9">
        <f t="shared" si="8"/>
        <v>4</v>
      </c>
      <c r="AF400" s="19">
        <f t="shared" si="13"/>
        <v>1</v>
      </c>
      <c r="AG400" s="9"/>
      <c r="AH400" s="9"/>
      <c r="AI400" s="9"/>
    </row>
    <row r="401" ht="15.0" customHeight="1">
      <c r="A401" s="11">
        <v>400.0</v>
      </c>
      <c r="B401" s="12">
        <f t="shared" si="72"/>
        <v>39877</v>
      </c>
      <c r="C401" s="13">
        <v>2009.0</v>
      </c>
      <c r="D401" s="11" t="s">
        <v>102</v>
      </c>
      <c r="E401" s="11">
        <v>9.0</v>
      </c>
      <c r="F401" s="21" t="s">
        <v>306</v>
      </c>
      <c r="G401" s="15">
        <v>0.025215137376879235</v>
      </c>
      <c r="H401" s="11" t="s">
        <v>33</v>
      </c>
      <c r="I401" s="16">
        <v>8.936</v>
      </c>
      <c r="J401" s="11" t="s">
        <v>659</v>
      </c>
      <c r="K401" s="11" t="s">
        <v>26</v>
      </c>
      <c r="L401" s="11" t="s">
        <v>48</v>
      </c>
      <c r="M401" s="11" t="s">
        <v>49</v>
      </c>
      <c r="N401" s="11" t="s">
        <v>73</v>
      </c>
      <c r="O401" s="11" t="s">
        <v>125</v>
      </c>
      <c r="P401" s="11" t="s">
        <v>31</v>
      </c>
      <c r="Q401" s="20">
        <v>39880.0</v>
      </c>
      <c r="R401" s="17">
        <f t="shared" si="2"/>
        <v>4.741353572</v>
      </c>
      <c r="S401" s="9"/>
      <c r="T401" s="9"/>
      <c r="U401" s="9"/>
      <c r="V401" s="9"/>
      <c r="W401" s="9"/>
      <c r="X401" s="9"/>
      <c r="Y401" s="9"/>
      <c r="Z401" s="9"/>
      <c r="AA401" s="9"/>
      <c r="AB401" s="9" t="str">
        <f>IFERROR(__xludf.DUMMYFUNCTION("""COMPUTED_VALUE"""),"Robert Marley")</f>
        <v>Robert Marley</v>
      </c>
      <c r="AC401" s="9"/>
      <c r="AD401" s="9"/>
      <c r="AE401" s="9">
        <f t="shared" si="8"/>
        <v>4</v>
      </c>
      <c r="AF401" s="19">
        <f t="shared" si="13"/>
        <v>1</v>
      </c>
      <c r="AG401" s="9"/>
      <c r="AH401" s="9"/>
      <c r="AI401" s="9"/>
    </row>
    <row r="402" ht="15.0" customHeight="1">
      <c r="A402" s="11">
        <v>401.0</v>
      </c>
      <c r="B402" s="12">
        <f t="shared" si="72"/>
        <v>39877</v>
      </c>
      <c r="C402" s="13">
        <v>2009.0</v>
      </c>
      <c r="D402" s="11" t="s">
        <v>102</v>
      </c>
      <c r="E402" s="11">
        <v>9.0</v>
      </c>
      <c r="F402" s="21" t="s">
        <v>306</v>
      </c>
      <c r="G402" s="15">
        <v>0.03202913631633718</v>
      </c>
      <c r="H402" s="11" t="s">
        <v>33</v>
      </c>
      <c r="I402" s="16">
        <v>6.944</v>
      </c>
      <c r="J402" s="11" t="s">
        <v>659</v>
      </c>
      <c r="K402" s="11" t="s">
        <v>26</v>
      </c>
      <c r="L402" s="11" t="s">
        <v>48</v>
      </c>
      <c r="M402" s="11" t="s">
        <v>28</v>
      </c>
      <c r="N402" s="11" t="s">
        <v>56</v>
      </c>
      <c r="O402" s="11" t="s">
        <v>401</v>
      </c>
      <c r="P402" s="11" t="s">
        <v>38</v>
      </c>
      <c r="Q402" s="20">
        <v>39880.0</v>
      </c>
      <c r="R402" s="17">
        <f t="shared" si="2"/>
        <v>5.958828637</v>
      </c>
      <c r="S402" s="9"/>
      <c r="T402" s="9"/>
      <c r="U402" s="9"/>
      <c r="V402" s="9"/>
      <c r="W402" s="9"/>
      <c r="X402" s="9"/>
      <c r="Y402" s="9"/>
      <c r="Z402" s="9"/>
      <c r="AA402" s="9"/>
      <c r="AB402" s="9" t="str">
        <f>IFERROR(__xludf.DUMMYFUNCTION("""COMPUTED_VALUE"""),"Vivian Mathis")</f>
        <v>Vivian Mathis</v>
      </c>
      <c r="AC402" s="9"/>
      <c r="AD402" s="9"/>
      <c r="AE402" s="9">
        <f t="shared" si="8"/>
        <v>4</v>
      </c>
      <c r="AF402" s="19">
        <f t="shared" si="13"/>
        <v>1</v>
      </c>
      <c r="AG402" s="9"/>
      <c r="AH402" s="9"/>
      <c r="AI402" s="9"/>
    </row>
    <row r="403" ht="15.0" customHeight="1">
      <c r="A403" s="11">
        <v>402.0</v>
      </c>
      <c r="B403" s="12">
        <f t="shared" ref="B403:B406" si="73">DATE(2012,12,31)-1396</f>
        <v>39878</v>
      </c>
      <c r="C403" s="13">
        <v>2009.0</v>
      </c>
      <c r="D403" s="11" t="s">
        <v>23</v>
      </c>
      <c r="E403" s="11">
        <v>10.0</v>
      </c>
      <c r="F403" s="21" t="s">
        <v>814</v>
      </c>
      <c r="G403" s="15">
        <v>0.062021130736349774</v>
      </c>
      <c r="H403" s="11" t="s">
        <v>45</v>
      </c>
      <c r="I403" s="16">
        <v>24.0</v>
      </c>
      <c r="J403" s="11" t="s">
        <v>815</v>
      </c>
      <c r="K403" s="11" t="s">
        <v>61</v>
      </c>
      <c r="L403" s="11" t="s">
        <v>36</v>
      </c>
      <c r="M403" s="11" t="s">
        <v>49</v>
      </c>
      <c r="N403" s="11" t="s">
        <v>50</v>
      </c>
      <c r="O403" s="11" t="s">
        <v>816</v>
      </c>
      <c r="P403" s="11" t="s">
        <v>52</v>
      </c>
      <c r="Q403" s="20">
        <v>39880.0</v>
      </c>
      <c r="R403" s="17">
        <f t="shared" si="2"/>
        <v>72.13057505</v>
      </c>
      <c r="S403" s="9"/>
      <c r="T403" s="9"/>
      <c r="U403" s="9"/>
      <c r="V403" s="9"/>
      <c r="W403" s="9"/>
      <c r="X403" s="9"/>
      <c r="Y403" s="9"/>
      <c r="Z403" s="9"/>
      <c r="AA403" s="9"/>
      <c r="AB403" s="9" t="str">
        <f>IFERROR(__xludf.DUMMYFUNCTION("""COMPUTED_VALUE"""),"Elpida Rittenbach")</f>
        <v>Elpida Rittenbach</v>
      </c>
      <c r="AC403" s="9"/>
      <c r="AD403" s="9"/>
      <c r="AE403" s="9">
        <f t="shared" si="8"/>
        <v>2</v>
      </c>
      <c r="AF403" s="19">
        <f t="shared" si="13"/>
        <v>4</v>
      </c>
      <c r="AG403" s="9"/>
      <c r="AH403" s="9"/>
      <c r="AI403" s="9"/>
    </row>
    <row r="404" ht="15.0" customHeight="1">
      <c r="A404" s="11">
        <v>403.0</v>
      </c>
      <c r="B404" s="12">
        <f t="shared" si="73"/>
        <v>39878</v>
      </c>
      <c r="C404" s="13">
        <v>2009.0</v>
      </c>
      <c r="D404" s="11" t="s">
        <v>23</v>
      </c>
      <c r="E404" s="11">
        <v>16.0</v>
      </c>
      <c r="F404" s="21" t="s">
        <v>158</v>
      </c>
      <c r="G404" s="15">
        <v>0.06993103448275857</v>
      </c>
      <c r="H404" s="11" t="s">
        <v>33</v>
      </c>
      <c r="I404" s="16">
        <v>5.488</v>
      </c>
      <c r="J404" s="11" t="s">
        <v>815</v>
      </c>
      <c r="K404" s="11" t="s">
        <v>61</v>
      </c>
      <c r="L404" s="11" t="s">
        <v>36</v>
      </c>
      <c r="M404" s="11" t="s">
        <v>28</v>
      </c>
      <c r="N404" s="11" t="s">
        <v>56</v>
      </c>
      <c r="O404" s="11" t="s">
        <v>817</v>
      </c>
      <c r="P404" s="11" t="s">
        <v>38</v>
      </c>
      <c r="Q404" s="20">
        <v>39880.0</v>
      </c>
      <c r="R404" s="17">
        <f t="shared" si="2"/>
        <v>7.544719448</v>
      </c>
      <c r="S404" s="9"/>
      <c r="T404" s="9"/>
      <c r="U404" s="9"/>
      <c r="V404" s="9"/>
      <c r="W404" s="9"/>
      <c r="X404" s="9"/>
      <c r="Y404" s="9"/>
      <c r="Z404" s="9"/>
      <c r="AA404" s="9"/>
      <c r="AB404" s="9" t="str">
        <f>IFERROR(__xludf.DUMMYFUNCTION("""COMPUTED_VALUE"""),"Gary Zandusky")</f>
        <v>Gary Zandusky</v>
      </c>
      <c r="AC404" s="9"/>
      <c r="AD404" s="9"/>
      <c r="AE404" s="9">
        <f t="shared" si="8"/>
        <v>2</v>
      </c>
      <c r="AF404" s="19">
        <f t="shared" si="13"/>
        <v>4</v>
      </c>
      <c r="AG404" s="9"/>
      <c r="AH404" s="9"/>
      <c r="AI404" s="9"/>
    </row>
    <row r="405" ht="15.0" customHeight="1">
      <c r="A405" s="11">
        <v>404.0</v>
      </c>
      <c r="B405" s="12">
        <f t="shared" si="73"/>
        <v>39878</v>
      </c>
      <c r="C405" s="13">
        <v>2009.0</v>
      </c>
      <c r="D405" s="11" t="s">
        <v>44</v>
      </c>
      <c r="E405" s="11">
        <v>14.0</v>
      </c>
      <c r="F405" s="21" t="s">
        <v>818</v>
      </c>
      <c r="G405" s="15">
        <v>0.07574429379494617</v>
      </c>
      <c r="H405" s="11" t="s">
        <v>45</v>
      </c>
      <c r="I405" s="16">
        <v>19.024</v>
      </c>
      <c r="J405" s="11" t="s">
        <v>819</v>
      </c>
      <c r="K405" s="11" t="s">
        <v>61</v>
      </c>
      <c r="L405" s="11" t="s">
        <v>41</v>
      </c>
      <c r="M405" s="11" t="s">
        <v>49</v>
      </c>
      <c r="N405" s="11" t="s">
        <v>85</v>
      </c>
      <c r="O405" s="11" t="s">
        <v>820</v>
      </c>
      <c r="P405" s="11" t="s">
        <v>87</v>
      </c>
      <c r="Q405" s="20">
        <v>39880.0</v>
      </c>
      <c r="R405" s="17">
        <f t="shared" si="2"/>
        <v>246.2919636</v>
      </c>
      <c r="S405" s="9"/>
      <c r="T405" s="9"/>
      <c r="U405" s="9"/>
      <c r="V405" s="9"/>
      <c r="W405" s="9"/>
      <c r="X405" s="9"/>
      <c r="Y405" s="9"/>
      <c r="Z405" s="9"/>
      <c r="AA405" s="9"/>
      <c r="AB405" s="9" t="str">
        <f>IFERROR(__xludf.DUMMYFUNCTION("""COMPUTED_VALUE"""),"Meg Tillman")</f>
        <v>Meg Tillman</v>
      </c>
      <c r="AC405" s="9"/>
      <c r="AD405" s="9"/>
      <c r="AE405" s="9">
        <f t="shared" si="8"/>
        <v>3</v>
      </c>
      <c r="AF405" s="19">
        <f t="shared" si="13"/>
        <v>4</v>
      </c>
      <c r="AG405" s="9"/>
      <c r="AH405" s="9"/>
      <c r="AI405" s="9"/>
    </row>
    <row r="406" ht="15.0" customHeight="1">
      <c r="A406" s="11">
        <v>405.0</v>
      </c>
      <c r="B406" s="12">
        <f t="shared" si="73"/>
        <v>39878</v>
      </c>
      <c r="C406" s="13">
        <v>2009.0</v>
      </c>
      <c r="D406" s="11" t="s">
        <v>102</v>
      </c>
      <c r="E406" s="11">
        <v>26.0</v>
      </c>
      <c r="F406" s="21" t="s">
        <v>619</v>
      </c>
      <c r="G406" s="15">
        <v>0.07216376944190304</v>
      </c>
      <c r="H406" s="11" t="s">
        <v>33</v>
      </c>
      <c r="I406" s="16">
        <v>39.2</v>
      </c>
      <c r="J406" s="11" t="s">
        <v>821</v>
      </c>
      <c r="K406" s="11" t="s">
        <v>117</v>
      </c>
      <c r="L406" s="11" t="s">
        <v>27</v>
      </c>
      <c r="M406" s="11" t="s">
        <v>28</v>
      </c>
      <c r="N406" s="11" t="s">
        <v>197</v>
      </c>
      <c r="O406" s="11" t="s">
        <v>620</v>
      </c>
      <c r="P406" s="11" t="s">
        <v>31</v>
      </c>
      <c r="Q406" s="20">
        <v>39881.0</v>
      </c>
      <c r="R406" s="17">
        <f t="shared" si="2"/>
        <v>117.0929323</v>
      </c>
      <c r="S406" s="9"/>
      <c r="T406" s="9"/>
      <c r="U406" s="9"/>
      <c r="V406" s="9"/>
      <c r="W406" s="9"/>
      <c r="X406" s="9"/>
      <c r="Y406" s="9"/>
      <c r="Z406" s="9"/>
      <c r="AA406" s="9"/>
      <c r="AB406" s="9" t="str">
        <f>IFERROR(__xludf.DUMMYFUNCTION("""COMPUTED_VALUE"""),"Tamara Willingham")</f>
        <v>Tamara Willingham</v>
      </c>
      <c r="AC406" s="9"/>
      <c r="AD406" s="9"/>
      <c r="AE406" s="9">
        <f t="shared" si="8"/>
        <v>1</v>
      </c>
      <c r="AF406" s="19" t="b">
        <f t="shared" si="13"/>
        <v>0</v>
      </c>
      <c r="AG406" s="9"/>
      <c r="AH406" s="9"/>
      <c r="AI406" s="9"/>
    </row>
    <row r="407" ht="15.0" customHeight="1">
      <c r="A407" s="11">
        <v>406.0</v>
      </c>
      <c r="B407" s="12">
        <f>DATE(2012,12,31)-1395</f>
        <v>39879</v>
      </c>
      <c r="C407" s="13">
        <v>2009.0</v>
      </c>
      <c r="D407" s="11" t="s">
        <v>39</v>
      </c>
      <c r="E407" s="11">
        <v>20.0</v>
      </c>
      <c r="F407" s="21" t="s">
        <v>822</v>
      </c>
      <c r="G407" s="15">
        <v>0.08299740687311381</v>
      </c>
      <c r="H407" s="11" t="s">
        <v>45</v>
      </c>
      <c r="I407" s="16">
        <v>13.304</v>
      </c>
      <c r="J407" s="11" t="s">
        <v>823</v>
      </c>
      <c r="K407" s="11" t="s">
        <v>61</v>
      </c>
      <c r="L407" s="11" t="s">
        <v>36</v>
      </c>
      <c r="M407" s="11" t="s">
        <v>66</v>
      </c>
      <c r="N407" s="11" t="s">
        <v>69</v>
      </c>
      <c r="O407" s="11" t="s">
        <v>824</v>
      </c>
      <c r="P407" s="11" t="s">
        <v>87</v>
      </c>
      <c r="Q407" s="20">
        <v>39882.0</v>
      </c>
      <c r="R407" s="17">
        <f t="shared" si="2"/>
        <v>859.9613638</v>
      </c>
      <c r="S407" s="9"/>
      <c r="T407" s="9"/>
      <c r="U407" s="9"/>
      <c r="V407" s="9"/>
      <c r="W407" s="9"/>
      <c r="X407" s="9"/>
      <c r="Y407" s="9"/>
      <c r="Z407" s="9"/>
      <c r="AA407" s="9"/>
      <c r="AB407" s="9" t="str">
        <f>IFERROR(__xludf.DUMMYFUNCTION("""COMPUTED_VALUE"""),"Grace Kelly")</f>
        <v>Grace Kelly</v>
      </c>
      <c r="AC407" s="9"/>
      <c r="AD407" s="9"/>
      <c r="AE407" s="9">
        <f t="shared" si="8"/>
        <v>2</v>
      </c>
      <c r="AF407" s="19">
        <f t="shared" si="13"/>
        <v>4</v>
      </c>
      <c r="AG407" s="9"/>
      <c r="AH407" s="9"/>
      <c r="AI407" s="9"/>
    </row>
    <row r="408" ht="15.0" customHeight="1">
      <c r="A408" s="11">
        <v>407.0</v>
      </c>
      <c r="B408" s="12">
        <f t="shared" ref="B408:B412" si="74">DATE(2012,12,31)-1394</f>
        <v>39880</v>
      </c>
      <c r="C408" s="13">
        <v>2009.0</v>
      </c>
      <c r="D408" s="11" t="s">
        <v>32</v>
      </c>
      <c r="E408" s="11">
        <v>50.0</v>
      </c>
      <c r="F408" s="21" t="s">
        <v>825</v>
      </c>
      <c r="G408" s="15">
        <v>0.06757790672684297</v>
      </c>
      <c r="H408" s="11" t="s">
        <v>33</v>
      </c>
      <c r="I408" s="16">
        <v>8.136000000000001</v>
      </c>
      <c r="J408" s="11" t="s">
        <v>826</v>
      </c>
      <c r="K408" s="11" t="s">
        <v>35</v>
      </c>
      <c r="L408" s="11" t="s">
        <v>27</v>
      </c>
      <c r="M408" s="11" t="s">
        <v>66</v>
      </c>
      <c r="N408" s="11" t="s">
        <v>69</v>
      </c>
      <c r="O408" s="11" t="s">
        <v>827</v>
      </c>
      <c r="P408" s="11" t="s">
        <v>75</v>
      </c>
      <c r="Q408" s="20">
        <v>39882.0</v>
      </c>
      <c r="R408" s="17">
        <f t="shared" si="2"/>
        <v>175.9144818</v>
      </c>
      <c r="S408" s="9"/>
      <c r="T408" s="9"/>
      <c r="U408" s="9"/>
      <c r="V408" s="9"/>
      <c r="W408" s="9"/>
      <c r="X408" s="9"/>
      <c r="Y408" s="9"/>
      <c r="Z408" s="9"/>
      <c r="AA408" s="9"/>
      <c r="AB408" s="9" t="str">
        <f>IFERROR(__xludf.DUMMYFUNCTION("""COMPUTED_VALUE"""),"Alejandro Savely")</f>
        <v>Alejandro Savely</v>
      </c>
      <c r="AC408" s="9"/>
      <c r="AD408" s="9"/>
      <c r="AE408" s="9">
        <f t="shared" si="8"/>
        <v>1</v>
      </c>
      <c r="AF408" s="19">
        <f t="shared" si="13"/>
        <v>2</v>
      </c>
      <c r="AG408" s="9"/>
      <c r="AH408" s="9"/>
      <c r="AI408" s="9"/>
    </row>
    <row r="409" ht="15.0" customHeight="1">
      <c r="A409" s="11">
        <v>408.0</v>
      </c>
      <c r="B409" s="12">
        <f t="shared" si="74"/>
        <v>39880</v>
      </c>
      <c r="C409" s="13">
        <v>2009.0</v>
      </c>
      <c r="D409" s="11" t="s">
        <v>32</v>
      </c>
      <c r="E409" s="11">
        <v>11.0</v>
      </c>
      <c r="F409" s="21" t="s">
        <v>422</v>
      </c>
      <c r="G409" s="15">
        <v>0.09819004524886871</v>
      </c>
      <c r="H409" s="11" t="s">
        <v>45</v>
      </c>
      <c r="I409" s="16">
        <v>26.880000000000003</v>
      </c>
      <c r="J409" s="11" t="s">
        <v>826</v>
      </c>
      <c r="K409" s="11" t="s">
        <v>35</v>
      </c>
      <c r="L409" s="11" t="s">
        <v>27</v>
      </c>
      <c r="M409" s="11" t="s">
        <v>66</v>
      </c>
      <c r="N409" s="11" t="s">
        <v>69</v>
      </c>
      <c r="O409" s="11" t="s">
        <v>526</v>
      </c>
      <c r="P409" s="11" t="s">
        <v>52</v>
      </c>
      <c r="Q409" s="20">
        <v>39882.0</v>
      </c>
      <c r="R409" s="17">
        <f t="shared" si="2"/>
        <v>90.01866968</v>
      </c>
      <c r="S409" s="9"/>
      <c r="T409" s="9"/>
      <c r="U409" s="9"/>
      <c r="V409" s="9"/>
      <c r="W409" s="9"/>
      <c r="X409" s="9"/>
      <c r="Y409" s="9"/>
      <c r="Z409" s="9"/>
      <c r="AA409" s="9"/>
      <c r="AB409" s="9" t="str">
        <f>IFERROR(__xludf.DUMMYFUNCTION("""COMPUTED_VALUE"""),"Tom Boeckenhauer")</f>
        <v>Tom Boeckenhauer</v>
      </c>
      <c r="AC409" s="9"/>
      <c r="AD409" s="9"/>
      <c r="AE409" s="9">
        <f t="shared" si="8"/>
        <v>1</v>
      </c>
      <c r="AF409" s="19">
        <f t="shared" si="13"/>
        <v>2</v>
      </c>
      <c r="AG409" s="9"/>
      <c r="AH409" s="9"/>
      <c r="AI409" s="9"/>
    </row>
    <row r="410" ht="15.0" customHeight="1">
      <c r="A410" s="11">
        <v>409.0</v>
      </c>
      <c r="B410" s="12">
        <f t="shared" si="74"/>
        <v>39880</v>
      </c>
      <c r="C410" s="13">
        <v>2009.0</v>
      </c>
      <c r="D410" s="11" t="s">
        <v>44</v>
      </c>
      <c r="E410" s="11">
        <v>11.0</v>
      </c>
      <c r="F410" s="21" t="s">
        <v>740</v>
      </c>
      <c r="G410" s="15">
        <v>0.01393758066408544</v>
      </c>
      <c r="H410" s="11" t="s">
        <v>45</v>
      </c>
      <c r="I410" s="16">
        <v>51.784000000000006</v>
      </c>
      <c r="J410" s="11" t="s">
        <v>828</v>
      </c>
      <c r="K410" s="11" t="s">
        <v>65</v>
      </c>
      <c r="L410" s="11" t="s">
        <v>41</v>
      </c>
      <c r="M410" s="11" t="s">
        <v>49</v>
      </c>
      <c r="N410" s="11" t="s">
        <v>50</v>
      </c>
      <c r="O410" s="11" t="s">
        <v>742</v>
      </c>
      <c r="P410" s="11" t="s">
        <v>52</v>
      </c>
      <c r="Q410" s="20">
        <v>39882.0</v>
      </c>
      <c r="R410" s="17">
        <f t="shared" si="2"/>
        <v>46.85374192</v>
      </c>
      <c r="S410" s="9"/>
      <c r="T410" s="9"/>
      <c r="U410" s="9"/>
      <c r="V410" s="9"/>
      <c r="W410" s="9"/>
      <c r="X410" s="9"/>
      <c r="Y410" s="9"/>
      <c r="Z410" s="9"/>
      <c r="AA410" s="9"/>
      <c r="AB410" s="9" t="str">
        <f>IFERROR(__xludf.DUMMYFUNCTION("""COMPUTED_VALUE"""),"Cindy Stewart")</f>
        <v>Cindy Stewart</v>
      </c>
      <c r="AC410" s="9"/>
      <c r="AD410" s="9"/>
      <c r="AE410" s="9">
        <f t="shared" si="8"/>
        <v>3</v>
      </c>
      <c r="AF410" s="19">
        <f t="shared" si="13"/>
        <v>5</v>
      </c>
      <c r="AG410" s="9"/>
      <c r="AH410" s="9"/>
      <c r="AI410" s="9"/>
    </row>
    <row r="411" ht="15.0" customHeight="1">
      <c r="A411" s="11">
        <v>410.0</v>
      </c>
      <c r="B411" s="12">
        <f t="shared" si="74"/>
        <v>39880</v>
      </c>
      <c r="C411" s="13">
        <v>2009.0</v>
      </c>
      <c r="D411" s="11" t="s">
        <v>44</v>
      </c>
      <c r="E411" s="11">
        <v>33.0</v>
      </c>
      <c r="F411" s="21" t="s">
        <v>264</v>
      </c>
      <c r="G411" s="15">
        <v>0.03883507853403158</v>
      </c>
      <c r="H411" s="11" t="s">
        <v>33</v>
      </c>
      <c r="I411" s="16">
        <v>6.632</v>
      </c>
      <c r="J411" s="11" t="s">
        <v>828</v>
      </c>
      <c r="K411" s="11" t="s">
        <v>65</v>
      </c>
      <c r="L411" s="11" t="s">
        <v>41</v>
      </c>
      <c r="M411" s="11" t="s">
        <v>28</v>
      </c>
      <c r="N411" s="11" t="s">
        <v>236</v>
      </c>
      <c r="O411" s="11" t="s">
        <v>265</v>
      </c>
      <c r="P411" s="11" t="s">
        <v>38</v>
      </c>
      <c r="Q411" s="20">
        <v>39883.0</v>
      </c>
      <c r="R411" s="17">
        <f t="shared" si="2"/>
        <v>11.40710529</v>
      </c>
      <c r="S411" s="9"/>
      <c r="T411" s="9"/>
      <c r="U411" s="9"/>
      <c r="V411" s="9"/>
      <c r="W411" s="9"/>
      <c r="X411" s="9"/>
      <c r="Y411" s="9"/>
      <c r="Z411" s="9"/>
      <c r="AA411" s="9"/>
      <c r="AB411" s="9" t="str">
        <f>IFERROR(__xludf.DUMMYFUNCTION("""COMPUTED_VALUE"""),"George Zrebassa")</f>
        <v>George Zrebassa</v>
      </c>
      <c r="AC411" s="9"/>
      <c r="AD411" s="9"/>
      <c r="AE411" s="9">
        <f t="shared" si="8"/>
        <v>3</v>
      </c>
      <c r="AF411" s="19">
        <f t="shared" si="13"/>
        <v>5</v>
      </c>
      <c r="AG411" s="9"/>
      <c r="AH411" s="9"/>
      <c r="AI411" s="9"/>
    </row>
    <row r="412" ht="15.0" customHeight="1">
      <c r="A412" s="11">
        <v>411.0</v>
      </c>
      <c r="B412" s="12">
        <f t="shared" si="74"/>
        <v>39880</v>
      </c>
      <c r="C412" s="13">
        <v>2009.0</v>
      </c>
      <c r="D412" s="11" t="s">
        <v>39</v>
      </c>
      <c r="E412" s="11">
        <v>15.0</v>
      </c>
      <c r="F412" s="21" t="s">
        <v>229</v>
      </c>
      <c r="G412" s="15">
        <v>0.021511175313992104</v>
      </c>
      <c r="H412" s="11" t="s">
        <v>33</v>
      </c>
      <c r="I412" s="16">
        <v>15.991999999999999</v>
      </c>
      <c r="J412" s="11" t="s">
        <v>829</v>
      </c>
      <c r="K412" s="11" t="s">
        <v>83</v>
      </c>
      <c r="L412" s="11" t="s">
        <v>36</v>
      </c>
      <c r="M412" s="11" t="s">
        <v>28</v>
      </c>
      <c r="N412" s="11" t="s">
        <v>29</v>
      </c>
      <c r="O412" s="11" t="s">
        <v>230</v>
      </c>
      <c r="P412" s="11" t="s">
        <v>38</v>
      </c>
      <c r="Q412" s="20">
        <v>39883.0</v>
      </c>
      <c r="R412" s="17">
        <f t="shared" si="2"/>
        <v>52.45482891</v>
      </c>
      <c r="S412" s="9"/>
      <c r="T412" s="9"/>
      <c r="U412" s="9"/>
      <c r="V412" s="9"/>
      <c r="W412" s="9"/>
      <c r="X412" s="9"/>
      <c r="Y412" s="9"/>
      <c r="Z412" s="9"/>
      <c r="AA412" s="9"/>
      <c r="AB412" s="9" t="str">
        <f>IFERROR(__xludf.DUMMYFUNCTION("""COMPUTED_VALUE"""),"Pauline Webber")</f>
        <v>Pauline Webber</v>
      </c>
      <c r="AC412" s="9"/>
      <c r="AD412" s="9"/>
      <c r="AE412" s="9">
        <f t="shared" si="8"/>
        <v>2</v>
      </c>
      <c r="AF412" s="19" t="b">
        <f t="shared" si="13"/>
        <v>0</v>
      </c>
      <c r="AG412" s="9"/>
      <c r="AH412" s="9"/>
      <c r="AI412" s="9"/>
    </row>
    <row r="413" ht="15.0" customHeight="1">
      <c r="A413" s="11">
        <v>412.0</v>
      </c>
      <c r="B413" s="12">
        <f t="shared" ref="B413:B417" si="75">DATE(2012,12,31)-1393</f>
        <v>39881</v>
      </c>
      <c r="C413" s="13">
        <v>2009.0</v>
      </c>
      <c r="D413" s="11" t="s">
        <v>23</v>
      </c>
      <c r="E413" s="11">
        <v>21.0</v>
      </c>
      <c r="F413" s="21" t="s">
        <v>151</v>
      </c>
      <c r="G413" s="15">
        <v>0.1184755592377796</v>
      </c>
      <c r="H413" s="11" t="s">
        <v>33</v>
      </c>
      <c r="I413" s="16">
        <v>39.2</v>
      </c>
      <c r="J413" s="11" t="s">
        <v>76</v>
      </c>
      <c r="K413" s="11" t="s">
        <v>61</v>
      </c>
      <c r="L413" s="11" t="s">
        <v>48</v>
      </c>
      <c r="M413" s="11" t="s">
        <v>28</v>
      </c>
      <c r="N413" s="11" t="s">
        <v>197</v>
      </c>
      <c r="O413" s="11" t="s">
        <v>830</v>
      </c>
      <c r="P413" s="11" t="s">
        <v>31</v>
      </c>
      <c r="Q413" s="20">
        <v>39883.0</v>
      </c>
      <c r="R413" s="17">
        <f t="shared" si="2"/>
        <v>12.6057995</v>
      </c>
      <c r="S413" s="9"/>
      <c r="T413" s="9"/>
      <c r="U413" s="9"/>
      <c r="V413" s="9"/>
      <c r="W413" s="9"/>
      <c r="X413" s="9"/>
      <c r="Y413" s="9"/>
      <c r="Z413" s="9"/>
      <c r="AA413" s="9"/>
      <c r="AB413" s="9" t="str">
        <f>IFERROR(__xludf.DUMMYFUNCTION("""COMPUTED_VALUE"""),"Ben Wallace")</f>
        <v>Ben Wallace</v>
      </c>
      <c r="AC413" s="9"/>
      <c r="AD413" s="9"/>
      <c r="AE413" s="9">
        <f t="shared" si="8"/>
        <v>4</v>
      </c>
      <c r="AF413" s="19">
        <f t="shared" si="13"/>
        <v>4</v>
      </c>
      <c r="AG413" s="9"/>
      <c r="AH413" s="9"/>
      <c r="AI413" s="9"/>
    </row>
    <row r="414" ht="15.0" customHeight="1">
      <c r="A414" s="11">
        <v>413.0</v>
      </c>
      <c r="B414" s="12">
        <f t="shared" si="75"/>
        <v>39881</v>
      </c>
      <c r="C414" s="13">
        <v>2009.0</v>
      </c>
      <c r="D414" s="11" t="s">
        <v>32</v>
      </c>
      <c r="E414" s="11">
        <v>42.0</v>
      </c>
      <c r="F414" s="21" t="s">
        <v>709</v>
      </c>
      <c r="G414" s="15">
        <v>0.041332860687699424</v>
      </c>
      <c r="H414" s="11" t="s">
        <v>33</v>
      </c>
      <c r="I414" s="16">
        <v>4.920000000000001</v>
      </c>
      <c r="J414" s="11" t="s">
        <v>831</v>
      </c>
      <c r="K414" s="11" t="s">
        <v>117</v>
      </c>
      <c r="L414" s="11" t="s">
        <v>27</v>
      </c>
      <c r="M414" s="11" t="s">
        <v>49</v>
      </c>
      <c r="N414" s="11" t="s">
        <v>73</v>
      </c>
      <c r="O414" s="11" t="s">
        <v>710</v>
      </c>
      <c r="P414" s="11" t="s">
        <v>99</v>
      </c>
      <c r="Q414" s="20">
        <v>39883.0</v>
      </c>
      <c r="R414" s="17">
        <f t="shared" si="2"/>
        <v>33.53417653</v>
      </c>
      <c r="S414" s="9"/>
      <c r="T414" s="9"/>
      <c r="U414" s="9"/>
      <c r="V414" s="9"/>
      <c r="W414" s="9"/>
      <c r="X414" s="9"/>
      <c r="Y414" s="9"/>
      <c r="Z414" s="9"/>
      <c r="AA414" s="9"/>
      <c r="AB414" s="9" t="str">
        <f>IFERROR(__xludf.DUMMYFUNCTION("""COMPUTED_VALUE"""),"Nat Gilpin")</f>
        <v>Nat Gilpin</v>
      </c>
      <c r="AC414" s="9"/>
      <c r="AD414" s="9"/>
      <c r="AE414" s="9">
        <f t="shared" si="8"/>
        <v>1</v>
      </c>
      <c r="AF414" s="19" t="b">
        <f t="shared" si="13"/>
        <v>0</v>
      </c>
      <c r="AG414" s="9"/>
      <c r="AH414" s="9"/>
      <c r="AI414" s="9"/>
    </row>
    <row r="415" ht="15.0" customHeight="1">
      <c r="A415" s="11">
        <v>414.0</v>
      </c>
      <c r="B415" s="12">
        <f t="shared" si="75"/>
        <v>39881</v>
      </c>
      <c r="C415" s="13">
        <v>2009.0</v>
      </c>
      <c r="D415" s="11" t="s">
        <v>44</v>
      </c>
      <c r="E415" s="11">
        <v>35.0</v>
      </c>
      <c r="F415" s="21" t="s">
        <v>93</v>
      </c>
      <c r="G415" s="15">
        <v>0.015799557848194378</v>
      </c>
      <c r="H415" s="11" t="s">
        <v>24</v>
      </c>
      <c r="I415" s="16">
        <v>1.1119999999999999</v>
      </c>
      <c r="J415" s="11" t="s">
        <v>832</v>
      </c>
      <c r="K415" s="11" t="s">
        <v>65</v>
      </c>
      <c r="L415" s="11" t="s">
        <v>48</v>
      </c>
      <c r="M415" s="11" t="s">
        <v>28</v>
      </c>
      <c r="N415" s="11" t="s">
        <v>236</v>
      </c>
      <c r="O415" s="11" t="s">
        <v>833</v>
      </c>
      <c r="P415" s="11" t="s">
        <v>38</v>
      </c>
      <c r="Q415" s="20">
        <v>39883.0</v>
      </c>
      <c r="R415" s="17">
        <f t="shared" si="2"/>
        <v>4.220251496</v>
      </c>
      <c r="S415" s="9"/>
      <c r="T415" s="9"/>
      <c r="U415" s="9"/>
      <c r="V415" s="9"/>
      <c r="W415" s="9"/>
      <c r="X415" s="9"/>
      <c r="Y415" s="9"/>
      <c r="Z415" s="9"/>
      <c r="AA415" s="9"/>
      <c r="AB415" s="9" t="str">
        <f>IFERROR(__xludf.DUMMYFUNCTION("""COMPUTED_VALUE"""),"Tom Prescott")</f>
        <v>Tom Prescott</v>
      </c>
      <c r="AC415" s="9"/>
      <c r="AD415" s="9"/>
      <c r="AE415" s="9">
        <f t="shared" si="8"/>
        <v>4</v>
      </c>
      <c r="AF415" s="19">
        <f t="shared" si="13"/>
        <v>5</v>
      </c>
      <c r="AG415" s="9"/>
      <c r="AH415" s="9"/>
      <c r="AI415" s="9"/>
    </row>
    <row r="416" ht="15.0" customHeight="1">
      <c r="A416" s="11">
        <v>415.0</v>
      </c>
      <c r="B416" s="12">
        <f t="shared" si="75"/>
        <v>39881</v>
      </c>
      <c r="C416" s="13">
        <v>2009.0</v>
      </c>
      <c r="D416" s="11" t="s">
        <v>44</v>
      </c>
      <c r="E416" s="11">
        <v>33.0</v>
      </c>
      <c r="F416" s="21" t="s">
        <v>834</v>
      </c>
      <c r="G416" s="15">
        <v>0.06625652718546357</v>
      </c>
      <c r="H416" s="11" t="s">
        <v>45</v>
      </c>
      <c r="I416" s="16">
        <v>38.608000000000004</v>
      </c>
      <c r="J416" s="11" t="s">
        <v>832</v>
      </c>
      <c r="K416" s="11" t="s">
        <v>65</v>
      </c>
      <c r="L416" s="11" t="s">
        <v>48</v>
      </c>
      <c r="M416" s="11" t="s">
        <v>66</v>
      </c>
      <c r="N416" s="11" t="s">
        <v>69</v>
      </c>
      <c r="O416" s="11" t="s">
        <v>835</v>
      </c>
      <c r="P416" s="11" t="s">
        <v>87</v>
      </c>
      <c r="Q416" s="20">
        <v>39884.0</v>
      </c>
      <c r="R416" s="17">
        <f t="shared" si="2"/>
        <v>879.1120097</v>
      </c>
      <c r="S416" s="9"/>
      <c r="T416" s="9"/>
      <c r="U416" s="9"/>
      <c r="V416" s="9"/>
      <c r="W416" s="9"/>
      <c r="X416" s="9"/>
      <c r="Y416" s="9"/>
      <c r="Z416" s="9"/>
      <c r="AA416" s="9"/>
      <c r="AB416" s="9" t="str">
        <f>IFERROR(__xludf.DUMMYFUNCTION("""COMPUTED_VALUE"""),"Pete Takahito")</f>
        <v>Pete Takahito</v>
      </c>
      <c r="AC416" s="9"/>
      <c r="AD416" s="9"/>
      <c r="AE416" s="9">
        <f t="shared" si="8"/>
        <v>4</v>
      </c>
      <c r="AF416" s="19">
        <f t="shared" si="13"/>
        <v>5</v>
      </c>
      <c r="AG416" s="9"/>
      <c r="AH416" s="9"/>
      <c r="AI416" s="9"/>
    </row>
    <row r="417" ht="15.0" customHeight="1">
      <c r="A417" s="11">
        <v>416.0</v>
      </c>
      <c r="B417" s="12">
        <f t="shared" si="75"/>
        <v>39881</v>
      </c>
      <c r="C417" s="13">
        <v>2009.0</v>
      </c>
      <c r="D417" s="11" t="s">
        <v>23</v>
      </c>
      <c r="E417" s="11">
        <v>33.0</v>
      </c>
      <c r="F417" s="21" t="s">
        <v>142</v>
      </c>
      <c r="G417" s="15">
        <v>0.04138543516873871</v>
      </c>
      <c r="H417" s="11" t="s">
        <v>24</v>
      </c>
      <c r="I417" s="16">
        <v>2.64</v>
      </c>
      <c r="J417" s="11" t="s">
        <v>836</v>
      </c>
      <c r="K417" s="11" t="s">
        <v>65</v>
      </c>
      <c r="L417" s="11" t="s">
        <v>48</v>
      </c>
      <c r="M417" s="11" t="s">
        <v>66</v>
      </c>
      <c r="N417" s="11" t="s">
        <v>80</v>
      </c>
      <c r="O417" s="11" t="s">
        <v>837</v>
      </c>
      <c r="P417" s="11" t="s">
        <v>99</v>
      </c>
      <c r="Q417" s="20">
        <v>39884.0</v>
      </c>
      <c r="R417" s="17">
        <f t="shared" si="2"/>
        <v>49.13858259</v>
      </c>
      <c r="S417" s="9"/>
      <c r="T417" s="9"/>
      <c r="U417" s="9"/>
      <c r="V417" s="9"/>
      <c r="W417" s="9"/>
      <c r="X417" s="9"/>
      <c r="Y417" s="9"/>
      <c r="Z417" s="9"/>
      <c r="AA417" s="9"/>
      <c r="AB417" s="9" t="str">
        <f>IFERROR(__xludf.DUMMYFUNCTION("""COMPUTED_VALUE"""),"Harold Pawlan")</f>
        <v>Harold Pawlan</v>
      </c>
      <c r="AC417" s="9"/>
      <c r="AD417" s="9"/>
      <c r="AE417" s="9">
        <f t="shared" si="8"/>
        <v>4</v>
      </c>
      <c r="AF417" s="19">
        <f t="shared" si="13"/>
        <v>5</v>
      </c>
      <c r="AG417" s="9"/>
      <c r="AH417" s="9"/>
      <c r="AI417" s="9"/>
    </row>
    <row r="418" ht="15.0" customHeight="1">
      <c r="A418" s="11">
        <v>417.0</v>
      </c>
      <c r="B418" s="12">
        <f t="shared" ref="B418:B421" si="76">DATE(2012,12,31)-1392</f>
        <v>39882</v>
      </c>
      <c r="C418" s="13">
        <v>2009.0</v>
      </c>
      <c r="D418" s="11" t="s">
        <v>102</v>
      </c>
      <c r="E418" s="11">
        <v>6.0</v>
      </c>
      <c r="F418" s="21" t="s">
        <v>838</v>
      </c>
      <c r="G418" s="15">
        <v>0.017102699249321146</v>
      </c>
      <c r="H418" s="11" t="s">
        <v>24</v>
      </c>
      <c r="I418" s="16">
        <v>15.991999999999999</v>
      </c>
      <c r="J418" s="11" t="s">
        <v>839</v>
      </c>
      <c r="K418" s="11" t="s">
        <v>83</v>
      </c>
      <c r="L418" s="11" t="s">
        <v>27</v>
      </c>
      <c r="M418" s="11" t="s">
        <v>66</v>
      </c>
      <c r="N418" s="11" t="s">
        <v>69</v>
      </c>
      <c r="O418" s="11" t="s">
        <v>840</v>
      </c>
      <c r="P418" s="11" t="s">
        <v>38</v>
      </c>
      <c r="Q418" s="20">
        <v>39884.0</v>
      </c>
      <c r="R418" s="17">
        <f t="shared" si="2"/>
        <v>10.5248643</v>
      </c>
      <c r="S418" s="9"/>
      <c r="T418" s="9"/>
      <c r="U418" s="9"/>
      <c r="V418" s="9"/>
      <c r="W418" s="9"/>
      <c r="X418" s="9"/>
      <c r="Y418" s="9"/>
      <c r="Z418" s="9"/>
      <c r="AA418" s="9"/>
      <c r="AB418" s="9" t="str">
        <f>IFERROR(__xludf.DUMMYFUNCTION("""COMPUTED_VALUE"""),"Eva Jacobs")</f>
        <v>Eva Jacobs</v>
      </c>
      <c r="AC418" s="9"/>
      <c r="AD418" s="9"/>
      <c r="AE418" s="9">
        <f t="shared" si="8"/>
        <v>1</v>
      </c>
      <c r="AF418" s="19" t="b">
        <f t="shared" si="13"/>
        <v>0</v>
      </c>
      <c r="AG418" s="9"/>
      <c r="AH418" s="9"/>
      <c r="AI418" s="9"/>
    </row>
    <row r="419" ht="15.0" customHeight="1">
      <c r="A419" s="11">
        <v>418.0</v>
      </c>
      <c r="B419" s="12">
        <f t="shared" si="76"/>
        <v>39882</v>
      </c>
      <c r="C419" s="13">
        <v>2009.0</v>
      </c>
      <c r="D419" s="11" t="s">
        <v>102</v>
      </c>
      <c r="E419" s="11">
        <v>36.0</v>
      </c>
      <c r="F419" s="21" t="s">
        <v>126</v>
      </c>
      <c r="G419" s="15">
        <v>0.11225304136253034</v>
      </c>
      <c r="H419" s="11" t="s">
        <v>33</v>
      </c>
      <c r="I419" s="16">
        <v>6.032</v>
      </c>
      <c r="J419" s="11" t="s">
        <v>841</v>
      </c>
      <c r="K419" s="11" t="s">
        <v>61</v>
      </c>
      <c r="L419" s="11" t="s">
        <v>41</v>
      </c>
      <c r="M419" s="11" t="s">
        <v>28</v>
      </c>
      <c r="N419" s="11" t="s">
        <v>56</v>
      </c>
      <c r="O419" s="11" t="s">
        <v>842</v>
      </c>
      <c r="P419" s="11" t="s">
        <v>38</v>
      </c>
      <c r="Q419" s="20">
        <v>39884.0</v>
      </c>
      <c r="R419" s="17">
        <f t="shared" si="2"/>
        <v>20.47854684</v>
      </c>
      <c r="S419" s="9"/>
      <c r="T419" s="9"/>
      <c r="U419" s="9"/>
      <c r="V419" s="9"/>
      <c r="W419" s="9"/>
      <c r="X419" s="9"/>
      <c r="Y419" s="9"/>
      <c r="Z419" s="9"/>
      <c r="AA419" s="9"/>
      <c r="AB419" s="9" t="str">
        <f>IFERROR(__xludf.DUMMYFUNCTION("""COMPUTED_VALUE"""),"Theone Pippenger")</f>
        <v>Theone Pippenger</v>
      </c>
      <c r="AC419" s="9"/>
      <c r="AD419" s="9"/>
      <c r="AE419" s="9">
        <f t="shared" si="8"/>
        <v>3</v>
      </c>
      <c r="AF419" s="19">
        <f t="shared" si="13"/>
        <v>4</v>
      </c>
      <c r="AG419" s="9"/>
      <c r="AH419" s="9"/>
      <c r="AI419" s="9"/>
    </row>
    <row r="420" ht="15.0" customHeight="1">
      <c r="A420" s="11">
        <v>419.0</v>
      </c>
      <c r="B420" s="12">
        <f t="shared" si="76"/>
        <v>39882</v>
      </c>
      <c r="C420" s="13">
        <v>2009.0</v>
      </c>
      <c r="D420" s="11" t="s">
        <v>102</v>
      </c>
      <c r="E420" s="11">
        <v>25.0</v>
      </c>
      <c r="F420" s="21" t="s">
        <v>350</v>
      </c>
      <c r="G420" s="15">
        <v>0.027747798307719004</v>
      </c>
      <c r="H420" s="11" t="s">
        <v>33</v>
      </c>
      <c r="I420" s="16">
        <v>6.5440000000000005</v>
      </c>
      <c r="J420" s="11" t="s">
        <v>841</v>
      </c>
      <c r="K420" s="11" t="s">
        <v>61</v>
      </c>
      <c r="L420" s="11" t="s">
        <v>41</v>
      </c>
      <c r="M420" s="11" t="s">
        <v>28</v>
      </c>
      <c r="N420" s="11" t="s">
        <v>56</v>
      </c>
      <c r="O420" s="11" t="s">
        <v>351</v>
      </c>
      <c r="P420" s="11" t="s">
        <v>38</v>
      </c>
      <c r="Q420" s="20">
        <v>39884.0</v>
      </c>
      <c r="R420" s="17">
        <f t="shared" si="2"/>
        <v>15.99782663</v>
      </c>
      <c r="S420" s="9"/>
      <c r="T420" s="9"/>
      <c r="U420" s="9"/>
      <c r="V420" s="9"/>
      <c r="W420" s="9"/>
      <c r="X420" s="9"/>
      <c r="Y420" s="9"/>
      <c r="Z420" s="9"/>
      <c r="AA420" s="9"/>
      <c r="AB420" s="9" t="str">
        <f>IFERROR(__xludf.DUMMYFUNCTION("""COMPUTED_VALUE"""),"Sam Zeldin")</f>
        <v>Sam Zeldin</v>
      </c>
      <c r="AC420" s="9"/>
      <c r="AD420" s="9"/>
      <c r="AE420" s="9">
        <f t="shared" si="8"/>
        <v>3</v>
      </c>
      <c r="AF420" s="19">
        <f t="shared" si="13"/>
        <v>4</v>
      </c>
      <c r="AG420" s="9"/>
      <c r="AH420" s="9"/>
      <c r="AI420" s="9"/>
    </row>
    <row r="421" ht="15.0" customHeight="1">
      <c r="A421" s="11">
        <v>420.0</v>
      </c>
      <c r="B421" s="12">
        <f t="shared" si="76"/>
        <v>39882</v>
      </c>
      <c r="C421" s="13">
        <v>2009.0</v>
      </c>
      <c r="D421" s="11" t="s">
        <v>44</v>
      </c>
      <c r="E421" s="11">
        <v>3.0</v>
      </c>
      <c r="F421" s="21" t="s">
        <v>172</v>
      </c>
      <c r="G421" s="15">
        <v>0.08278919804927244</v>
      </c>
      <c r="H421" s="11" t="s">
        <v>33</v>
      </c>
      <c r="I421" s="16">
        <v>19.592</v>
      </c>
      <c r="J421" s="11" t="s">
        <v>403</v>
      </c>
      <c r="K421" s="11" t="s">
        <v>61</v>
      </c>
      <c r="L421" s="11" t="s">
        <v>41</v>
      </c>
      <c r="M421" s="11" t="s">
        <v>66</v>
      </c>
      <c r="N421" s="11" t="s">
        <v>69</v>
      </c>
      <c r="O421" s="11" t="s">
        <v>173</v>
      </c>
      <c r="P421" s="11" t="s">
        <v>31</v>
      </c>
      <c r="Q421" s="20">
        <v>39884.0</v>
      </c>
      <c r="R421" s="17">
        <f t="shared" si="2"/>
        <v>1686.299397</v>
      </c>
      <c r="S421" s="9"/>
      <c r="T421" s="9"/>
      <c r="U421" s="9"/>
      <c r="V421" s="9"/>
      <c r="W421" s="9"/>
      <c r="X421" s="9"/>
      <c r="Y421" s="9"/>
      <c r="Z421" s="9"/>
      <c r="AA421" s="9"/>
      <c r="AB421" s="9" t="str">
        <f>IFERROR(__xludf.DUMMYFUNCTION("""COMPUTED_VALUE"""),"Henry MacAllister")</f>
        <v>Henry MacAllister</v>
      </c>
      <c r="AC421" s="9"/>
      <c r="AD421" s="9"/>
      <c r="AE421" s="9">
        <f t="shared" si="8"/>
        <v>3</v>
      </c>
      <c r="AF421" s="19">
        <f t="shared" si="13"/>
        <v>4</v>
      </c>
      <c r="AG421" s="9"/>
      <c r="AH421" s="9"/>
      <c r="AI421" s="9"/>
    </row>
    <row r="422" ht="15.0" customHeight="1">
      <c r="A422" s="11">
        <v>421.0</v>
      </c>
      <c r="B422" s="12">
        <f t="shared" ref="B422:B425" si="77">DATE(2012,12,31)-1391</f>
        <v>39883</v>
      </c>
      <c r="C422" s="13">
        <v>2009.0</v>
      </c>
      <c r="D422" s="11" t="s">
        <v>23</v>
      </c>
      <c r="E422" s="11">
        <v>36.0</v>
      </c>
      <c r="F422" s="21" t="s">
        <v>322</v>
      </c>
      <c r="G422" s="15">
        <v>0.06019719151478944</v>
      </c>
      <c r="H422" s="11" t="s">
        <v>33</v>
      </c>
      <c r="I422" s="16">
        <v>4.952000000000001</v>
      </c>
      <c r="J422" s="11" t="s">
        <v>843</v>
      </c>
      <c r="K422" s="11" t="s">
        <v>61</v>
      </c>
      <c r="L422" s="11" t="s">
        <v>48</v>
      </c>
      <c r="M422" s="11" t="s">
        <v>28</v>
      </c>
      <c r="N422" s="11" t="s">
        <v>42</v>
      </c>
      <c r="O422" s="11" t="s">
        <v>324</v>
      </c>
      <c r="P422" s="11" t="s">
        <v>38</v>
      </c>
      <c r="Q422" s="20">
        <v>39885.0</v>
      </c>
      <c r="R422" s="17">
        <f t="shared" si="2"/>
        <v>18.93514699</v>
      </c>
      <c r="S422" s="9"/>
      <c r="T422" s="9"/>
      <c r="U422" s="9"/>
      <c r="V422" s="9"/>
      <c r="W422" s="9"/>
      <c r="X422" s="9"/>
      <c r="Y422" s="9"/>
      <c r="Z422" s="9"/>
      <c r="AA422" s="9"/>
      <c r="AB422" s="9" t="str">
        <f>IFERROR(__xludf.DUMMYFUNCTION("""COMPUTED_VALUE"""),"Maribeth Dona")</f>
        <v>Maribeth Dona</v>
      </c>
      <c r="AC422" s="9"/>
      <c r="AD422" s="9"/>
      <c r="AE422" s="9">
        <f t="shared" si="8"/>
        <v>4</v>
      </c>
      <c r="AF422" s="19">
        <f t="shared" si="13"/>
        <v>4</v>
      </c>
      <c r="AG422" s="9"/>
      <c r="AH422" s="9"/>
      <c r="AI422" s="9"/>
    </row>
    <row r="423" ht="15.0" customHeight="1">
      <c r="A423" s="11">
        <v>422.0</v>
      </c>
      <c r="B423" s="12">
        <f t="shared" si="77"/>
        <v>39883</v>
      </c>
      <c r="C423" s="13">
        <v>2009.0</v>
      </c>
      <c r="D423" s="11" t="s">
        <v>32</v>
      </c>
      <c r="E423" s="11">
        <v>11.0</v>
      </c>
      <c r="F423" s="21" t="s">
        <v>838</v>
      </c>
      <c r="G423" s="15">
        <v>0.06074810446503787</v>
      </c>
      <c r="H423" s="11" t="s">
        <v>33</v>
      </c>
      <c r="I423" s="16">
        <v>15.991999999999999</v>
      </c>
      <c r="J423" s="11" t="s">
        <v>844</v>
      </c>
      <c r="K423" s="11" t="s">
        <v>117</v>
      </c>
      <c r="L423" s="11" t="s">
        <v>27</v>
      </c>
      <c r="M423" s="11" t="s">
        <v>66</v>
      </c>
      <c r="N423" s="11" t="s">
        <v>67</v>
      </c>
      <c r="O423" s="11" t="s">
        <v>845</v>
      </c>
      <c r="P423" s="11" t="s">
        <v>38</v>
      </c>
      <c r="Q423" s="20">
        <v>39885.0</v>
      </c>
      <c r="R423" s="17">
        <f t="shared" si="2"/>
        <v>67.72757568</v>
      </c>
      <c r="S423" s="9"/>
      <c r="T423" s="9"/>
      <c r="U423" s="9"/>
      <c r="V423" s="9"/>
      <c r="W423" s="9"/>
      <c r="X423" s="9"/>
      <c r="Y423" s="9"/>
      <c r="Z423" s="9"/>
      <c r="AA423" s="9"/>
      <c r="AB423" s="9" t="str">
        <f>IFERROR(__xludf.DUMMYFUNCTION("""COMPUTED_VALUE"""),"Rick Hansen")</f>
        <v>Rick Hansen</v>
      </c>
      <c r="AC423" s="9"/>
      <c r="AD423" s="9"/>
      <c r="AE423" s="9">
        <f t="shared" si="8"/>
        <v>1</v>
      </c>
      <c r="AF423" s="19" t="b">
        <f t="shared" si="13"/>
        <v>0</v>
      </c>
      <c r="AG423" s="9"/>
      <c r="AH423" s="9"/>
      <c r="AI423" s="9"/>
    </row>
    <row r="424" ht="15.0" customHeight="1">
      <c r="A424" s="11">
        <v>423.0</v>
      </c>
      <c r="B424" s="12">
        <f t="shared" si="77"/>
        <v>39883</v>
      </c>
      <c r="C424" s="13">
        <v>2009.0</v>
      </c>
      <c r="D424" s="11" t="s">
        <v>32</v>
      </c>
      <c r="E424" s="11">
        <v>18.0</v>
      </c>
      <c r="F424" s="21" t="s">
        <v>846</v>
      </c>
      <c r="G424" s="15">
        <v>0.03525533963549146</v>
      </c>
      <c r="H424" s="11" t="s">
        <v>33</v>
      </c>
      <c r="I424" s="16">
        <v>15.991999999999999</v>
      </c>
      <c r="J424" s="11" t="s">
        <v>844</v>
      </c>
      <c r="K424" s="11" t="s">
        <v>117</v>
      </c>
      <c r="L424" s="11" t="s">
        <v>27</v>
      </c>
      <c r="M424" s="11" t="s">
        <v>28</v>
      </c>
      <c r="N424" s="11" t="s">
        <v>29</v>
      </c>
      <c r="O424" s="11" t="s">
        <v>847</v>
      </c>
      <c r="P424" s="11" t="s">
        <v>38</v>
      </c>
      <c r="Q424" s="20">
        <v>39885.0</v>
      </c>
      <c r="R424" s="17">
        <f t="shared" si="2"/>
        <v>123.1043129</v>
      </c>
      <c r="S424" s="9"/>
      <c r="T424" s="9"/>
      <c r="U424" s="9"/>
      <c r="V424" s="9"/>
      <c r="W424" s="9"/>
      <c r="X424" s="9"/>
      <c r="Y424" s="9"/>
      <c r="Z424" s="9"/>
      <c r="AA424" s="9"/>
      <c r="AB424" s="9" t="str">
        <f>IFERROR(__xludf.DUMMYFUNCTION("""COMPUTED_VALUE"""),"Dianna Arnett")</f>
        <v>Dianna Arnett</v>
      </c>
      <c r="AC424" s="9"/>
      <c r="AD424" s="9"/>
      <c r="AE424" s="9">
        <f t="shared" si="8"/>
        <v>1</v>
      </c>
      <c r="AF424" s="19" t="b">
        <f t="shared" si="13"/>
        <v>0</v>
      </c>
      <c r="AG424" s="9"/>
      <c r="AH424" s="9"/>
      <c r="AI424" s="9"/>
    </row>
    <row r="425" ht="15.0" customHeight="1">
      <c r="A425" s="11">
        <v>424.0</v>
      </c>
      <c r="B425" s="12">
        <f t="shared" si="77"/>
        <v>39883</v>
      </c>
      <c r="C425" s="13">
        <v>2009.0</v>
      </c>
      <c r="D425" s="11" t="s">
        <v>32</v>
      </c>
      <c r="E425" s="11">
        <v>44.0</v>
      </c>
      <c r="F425" s="21" t="s">
        <v>122</v>
      </c>
      <c r="G425" s="15">
        <v>0.07868131868131878</v>
      </c>
      <c r="H425" s="11" t="s">
        <v>24</v>
      </c>
      <c r="I425" s="16">
        <v>2.64</v>
      </c>
      <c r="J425" s="11" t="s">
        <v>844</v>
      </c>
      <c r="K425" s="11" t="s">
        <v>117</v>
      </c>
      <c r="L425" s="11" t="s">
        <v>27</v>
      </c>
      <c r="M425" s="11" t="s">
        <v>66</v>
      </c>
      <c r="N425" s="11" t="s">
        <v>80</v>
      </c>
      <c r="O425" s="11" t="s">
        <v>848</v>
      </c>
      <c r="P425" s="11" t="s">
        <v>99</v>
      </c>
      <c r="Q425" s="20">
        <v>39885.0</v>
      </c>
      <c r="R425" s="17">
        <f t="shared" si="2"/>
        <v>72.56305934</v>
      </c>
      <c r="S425" s="9"/>
      <c r="T425" s="9"/>
      <c r="U425" s="9"/>
      <c r="V425" s="9"/>
      <c r="W425" s="9"/>
      <c r="X425" s="9"/>
      <c r="Y425" s="9"/>
      <c r="Z425" s="9"/>
      <c r="AA425" s="9"/>
      <c r="AB425" s="9" t="str">
        <f>IFERROR(__xludf.DUMMYFUNCTION("""COMPUTED_VALUE"""),"Susan Pistek")</f>
        <v>Susan Pistek</v>
      </c>
      <c r="AC425" s="9"/>
      <c r="AD425" s="9"/>
      <c r="AE425" s="9">
        <f t="shared" si="8"/>
        <v>1</v>
      </c>
      <c r="AF425" s="19" t="b">
        <f t="shared" si="13"/>
        <v>0</v>
      </c>
      <c r="AG425" s="9"/>
      <c r="AH425" s="9"/>
      <c r="AI425" s="9"/>
    </row>
    <row r="426" ht="15.0" customHeight="1">
      <c r="A426" s="11">
        <v>425.0</v>
      </c>
      <c r="B426" s="12">
        <f t="shared" ref="B426:B432" si="78">DATE(2012,12,31)-1390</f>
        <v>39884</v>
      </c>
      <c r="C426" s="13">
        <v>2009.0</v>
      </c>
      <c r="D426" s="11" t="s">
        <v>23</v>
      </c>
      <c r="E426" s="11">
        <v>15.0</v>
      </c>
      <c r="F426" s="21" t="s">
        <v>176</v>
      </c>
      <c r="G426" s="15">
        <v>0.026985161670521347</v>
      </c>
      <c r="H426" s="11" t="s">
        <v>33</v>
      </c>
      <c r="I426" s="16">
        <v>11.616</v>
      </c>
      <c r="J426" s="11" t="s">
        <v>849</v>
      </c>
      <c r="K426" s="11" t="s">
        <v>65</v>
      </c>
      <c r="L426" s="11" t="s">
        <v>36</v>
      </c>
      <c r="M426" s="11" t="s">
        <v>66</v>
      </c>
      <c r="N426" s="11" t="s">
        <v>67</v>
      </c>
      <c r="O426" s="11" t="s">
        <v>177</v>
      </c>
      <c r="P426" s="11" t="s">
        <v>38</v>
      </c>
      <c r="Q426" s="20">
        <v>39885.0</v>
      </c>
      <c r="R426" s="17">
        <f t="shared" si="2"/>
        <v>30.22651135</v>
      </c>
      <c r="S426" s="9"/>
      <c r="T426" s="9"/>
      <c r="U426" s="9"/>
      <c r="V426" s="9"/>
      <c r="W426" s="9"/>
      <c r="X426" s="9"/>
      <c r="Y426" s="9"/>
      <c r="Z426" s="9"/>
      <c r="AA426" s="9"/>
      <c r="AB426" s="9" t="str">
        <f>IFERROR(__xludf.DUMMYFUNCTION("""COMPUTED_VALUE"""),"Karl Brown")</f>
        <v>Karl Brown</v>
      </c>
      <c r="AC426" s="9"/>
      <c r="AD426" s="9"/>
      <c r="AE426" s="9">
        <f t="shared" si="8"/>
        <v>2</v>
      </c>
      <c r="AF426" s="19">
        <f t="shared" si="13"/>
        <v>5</v>
      </c>
      <c r="AG426" s="9"/>
      <c r="AH426" s="9"/>
      <c r="AI426" s="9"/>
    </row>
    <row r="427" ht="15.0" customHeight="1">
      <c r="A427" s="11">
        <v>426.0</v>
      </c>
      <c r="B427" s="12">
        <f t="shared" si="78"/>
        <v>39884</v>
      </c>
      <c r="C427" s="13">
        <v>2009.0</v>
      </c>
      <c r="D427" s="11" t="s">
        <v>44</v>
      </c>
      <c r="E427" s="11">
        <v>39.0</v>
      </c>
      <c r="F427" s="21" t="s">
        <v>142</v>
      </c>
      <c r="G427" s="15">
        <v>0.013141331834785112</v>
      </c>
      <c r="H427" s="11" t="s">
        <v>33</v>
      </c>
      <c r="I427" s="16">
        <v>4.792000000000001</v>
      </c>
      <c r="J427" s="11" t="s">
        <v>850</v>
      </c>
      <c r="K427" s="11" t="s">
        <v>61</v>
      </c>
      <c r="L427" s="11" t="s">
        <v>36</v>
      </c>
      <c r="M427" s="11" t="s">
        <v>66</v>
      </c>
      <c r="N427" s="11" t="s">
        <v>80</v>
      </c>
      <c r="O427" s="11" t="s">
        <v>757</v>
      </c>
      <c r="P427" s="11" t="s">
        <v>58</v>
      </c>
      <c r="Q427" s="20">
        <v>39885.0</v>
      </c>
      <c r="R427" s="17">
        <f t="shared" si="2"/>
        <v>18.46215196</v>
      </c>
      <c r="S427" s="9"/>
      <c r="T427" s="9"/>
      <c r="U427" s="9"/>
      <c r="V427" s="9"/>
      <c r="W427" s="9"/>
      <c r="X427" s="9"/>
      <c r="Y427" s="9"/>
      <c r="Z427" s="9"/>
      <c r="AA427" s="9"/>
      <c r="AB427" s="9" t="str">
        <f>IFERROR(__xludf.DUMMYFUNCTION("""COMPUTED_VALUE"""),"Randy Bradley")</f>
        <v>Randy Bradley</v>
      </c>
      <c r="AC427" s="9"/>
      <c r="AD427" s="9"/>
      <c r="AE427" s="9">
        <f t="shared" si="8"/>
        <v>2</v>
      </c>
      <c r="AF427" s="19">
        <f t="shared" si="13"/>
        <v>4</v>
      </c>
      <c r="AG427" s="9"/>
      <c r="AH427" s="9"/>
      <c r="AI427" s="9"/>
    </row>
    <row r="428" ht="15.0" customHeight="1">
      <c r="A428" s="11">
        <v>427.0</v>
      </c>
      <c r="B428" s="12">
        <f t="shared" si="78"/>
        <v>39884</v>
      </c>
      <c r="C428" s="13">
        <v>2009.0</v>
      </c>
      <c r="D428" s="11" t="s">
        <v>23</v>
      </c>
      <c r="E428" s="11">
        <v>46.0</v>
      </c>
      <c r="F428" s="21" t="s">
        <v>163</v>
      </c>
      <c r="G428" s="15">
        <v>0.02657253476947919</v>
      </c>
      <c r="H428" s="11" t="s">
        <v>45</v>
      </c>
      <c r="I428" s="16">
        <v>45.904</v>
      </c>
      <c r="J428" s="11" t="s">
        <v>851</v>
      </c>
      <c r="K428" s="11" t="s">
        <v>65</v>
      </c>
      <c r="L428" s="11" t="s">
        <v>41</v>
      </c>
      <c r="M428" s="11" t="s">
        <v>49</v>
      </c>
      <c r="N428" s="11" t="s">
        <v>156</v>
      </c>
      <c r="O428" s="11" t="s">
        <v>852</v>
      </c>
      <c r="P428" s="11" t="s">
        <v>87</v>
      </c>
      <c r="Q428" s="20">
        <v>39886.0</v>
      </c>
      <c r="R428" s="17">
        <f t="shared" si="2"/>
        <v>124.5535485</v>
      </c>
      <c r="S428" s="9"/>
      <c r="T428" s="9"/>
      <c r="U428" s="9"/>
      <c r="V428" s="9"/>
      <c r="W428" s="9"/>
      <c r="X428" s="9"/>
      <c r="Y428" s="9"/>
      <c r="Z428" s="9"/>
      <c r="AA428" s="9"/>
      <c r="AB428" s="9" t="str">
        <f>IFERROR(__xludf.DUMMYFUNCTION("""COMPUTED_VALUE"""),"Barbara Fisher")</f>
        <v>Barbara Fisher</v>
      </c>
      <c r="AC428" s="9"/>
      <c r="AD428" s="9"/>
      <c r="AE428" s="9">
        <f t="shared" si="8"/>
        <v>3</v>
      </c>
      <c r="AF428" s="19">
        <f t="shared" si="13"/>
        <v>5</v>
      </c>
      <c r="AG428" s="9"/>
      <c r="AH428" s="9"/>
      <c r="AI428" s="9"/>
    </row>
    <row r="429" ht="15.0" customHeight="1">
      <c r="A429" s="11">
        <v>428.0</v>
      </c>
      <c r="B429" s="12">
        <f t="shared" si="78"/>
        <v>39884</v>
      </c>
      <c r="C429" s="13">
        <v>2009.0</v>
      </c>
      <c r="D429" s="11" t="s">
        <v>23</v>
      </c>
      <c r="E429" s="11">
        <v>31.0</v>
      </c>
      <c r="F429" s="21" t="s">
        <v>853</v>
      </c>
      <c r="G429" s="15">
        <v>0.011961747908088837</v>
      </c>
      <c r="H429" s="11" t="s">
        <v>24</v>
      </c>
      <c r="I429" s="16">
        <v>2.888</v>
      </c>
      <c r="J429" s="11" t="s">
        <v>851</v>
      </c>
      <c r="K429" s="11" t="s">
        <v>65</v>
      </c>
      <c r="L429" s="11" t="s">
        <v>41</v>
      </c>
      <c r="M429" s="11" t="s">
        <v>66</v>
      </c>
      <c r="N429" s="11" t="s">
        <v>67</v>
      </c>
      <c r="O429" s="11" t="s">
        <v>854</v>
      </c>
      <c r="P429" s="11" t="s">
        <v>99</v>
      </c>
      <c r="Q429" s="20">
        <v>39886.0</v>
      </c>
      <c r="R429" s="17">
        <f t="shared" si="2"/>
        <v>17.796545</v>
      </c>
      <c r="S429" s="9"/>
      <c r="T429" s="9"/>
      <c r="U429" s="9"/>
      <c r="V429" s="9"/>
      <c r="W429" s="9"/>
      <c r="X429" s="9"/>
      <c r="Y429" s="9"/>
      <c r="Z429" s="9"/>
      <c r="AA429" s="9"/>
      <c r="AB429" s="9" t="str">
        <f>IFERROR(__xludf.DUMMYFUNCTION("""COMPUTED_VALUE"""),"Charles Sheldon")</f>
        <v>Charles Sheldon</v>
      </c>
      <c r="AC429" s="9"/>
      <c r="AD429" s="9"/>
      <c r="AE429" s="9">
        <f t="shared" si="8"/>
        <v>3</v>
      </c>
      <c r="AF429" s="19">
        <f t="shared" si="13"/>
        <v>5</v>
      </c>
      <c r="AG429" s="9"/>
      <c r="AH429" s="9"/>
      <c r="AI429" s="9"/>
    </row>
    <row r="430" ht="15.0" customHeight="1">
      <c r="A430" s="11">
        <v>429.0</v>
      </c>
      <c r="B430" s="12">
        <f t="shared" si="78"/>
        <v>39884</v>
      </c>
      <c r="C430" s="13">
        <v>2009.0</v>
      </c>
      <c r="D430" s="11" t="s">
        <v>32</v>
      </c>
      <c r="E430" s="11">
        <v>20.0</v>
      </c>
      <c r="F430" s="21" t="s">
        <v>176</v>
      </c>
      <c r="G430" s="15">
        <v>0.09234634475151667</v>
      </c>
      <c r="H430" s="11" t="s">
        <v>33</v>
      </c>
      <c r="I430" s="16">
        <v>3.2</v>
      </c>
      <c r="J430" s="11" t="s">
        <v>855</v>
      </c>
      <c r="K430" s="11" t="s">
        <v>26</v>
      </c>
      <c r="L430" s="11" t="s">
        <v>36</v>
      </c>
      <c r="M430" s="11" t="s">
        <v>66</v>
      </c>
      <c r="N430" s="11" t="s">
        <v>67</v>
      </c>
      <c r="O430" s="11" t="s">
        <v>177</v>
      </c>
      <c r="P430" s="11" t="s">
        <v>38</v>
      </c>
      <c r="Q430" s="20">
        <v>39886.0</v>
      </c>
      <c r="R430" s="17">
        <f t="shared" si="2"/>
        <v>136.7834058</v>
      </c>
      <c r="S430" s="9"/>
      <c r="T430" s="9"/>
      <c r="U430" s="9"/>
      <c r="V430" s="9"/>
      <c r="W430" s="9"/>
      <c r="X430" s="9"/>
      <c r="Y430" s="9"/>
      <c r="Z430" s="9"/>
      <c r="AA430" s="9"/>
      <c r="AB430" s="9" t="str">
        <f>IFERROR(__xludf.DUMMYFUNCTION("""COMPUTED_VALUE"""),"Lela Donovan")</f>
        <v>Lela Donovan</v>
      </c>
      <c r="AC430" s="9"/>
      <c r="AD430" s="9"/>
      <c r="AE430" s="9">
        <f t="shared" si="8"/>
        <v>2</v>
      </c>
      <c r="AF430" s="19">
        <f t="shared" si="13"/>
        <v>1</v>
      </c>
      <c r="AG430" s="9"/>
      <c r="AH430" s="9"/>
      <c r="AI430" s="9"/>
    </row>
    <row r="431" ht="15.0" customHeight="1">
      <c r="A431" s="11">
        <v>430.0</v>
      </c>
      <c r="B431" s="12">
        <f t="shared" si="78"/>
        <v>39884</v>
      </c>
      <c r="C431" s="13">
        <v>2009.0</v>
      </c>
      <c r="D431" s="11" t="s">
        <v>32</v>
      </c>
      <c r="E431" s="11">
        <v>34.0</v>
      </c>
      <c r="F431" s="21" t="s">
        <v>825</v>
      </c>
      <c r="G431" s="15">
        <v>0.05013341906445913</v>
      </c>
      <c r="H431" s="11" t="s">
        <v>33</v>
      </c>
      <c r="I431" s="16">
        <v>8.136000000000001</v>
      </c>
      <c r="J431" s="11" t="s">
        <v>855</v>
      </c>
      <c r="K431" s="11" t="s">
        <v>26</v>
      </c>
      <c r="L431" s="11" t="s">
        <v>36</v>
      </c>
      <c r="M431" s="11" t="s">
        <v>66</v>
      </c>
      <c r="N431" s="11" t="s">
        <v>69</v>
      </c>
      <c r="O431" s="11" t="s">
        <v>827</v>
      </c>
      <c r="P431" s="11" t="s">
        <v>75</v>
      </c>
      <c r="Q431" s="20">
        <v>39886.0</v>
      </c>
      <c r="R431" s="17">
        <f t="shared" si="2"/>
        <v>88.87331678</v>
      </c>
      <c r="S431" s="9"/>
      <c r="T431" s="9"/>
      <c r="U431" s="9"/>
      <c r="V431" s="9"/>
      <c r="W431" s="9"/>
      <c r="X431" s="9"/>
      <c r="Y431" s="9"/>
      <c r="Z431" s="9"/>
      <c r="AA431" s="9"/>
      <c r="AB431" s="9" t="str">
        <f>IFERROR(__xludf.DUMMYFUNCTION("""COMPUTED_VALUE"""),"Jesus Ocampo")</f>
        <v>Jesus Ocampo</v>
      </c>
      <c r="AC431" s="9"/>
      <c r="AD431" s="9"/>
      <c r="AE431" s="9">
        <f t="shared" si="8"/>
        <v>2</v>
      </c>
      <c r="AF431" s="19">
        <f t="shared" si="13"/>
        <v>1</v>
      </c>
      <c r="AG431" s="9"/>
      <c r="AH431" s="9"/>
      <c r="AI431" s="9"/>
    </row>
    <row r="432" ht="15.0" customHeight="1">
      <c r="A432" s="11">
        <v>431.0</v>
      </c>
      <c r="B432" s="12">
        <f t="shared" si="78"/>
        <v>39884</v>
      </c>
      <c r="C432" s="13">
        <v>2009.0</v>
      </c>
      <c r="D432" s="11" t="s">
        <v>23</v>
      </c>
      <c r="E432" s="11">
        <v>31.0</v>
      </c>
      <c r="F432" s="21" t="s">
        <v>856</v>
      </c>
      <c r="G432" s="15">
        <v>0.011541501976284535</v>
      </c>
      <c r="H432" s="11" t="s">
        <v>33</v>
      </c>
      <c r="I432" s="16">
        <v>1.04</v>
      </c>
      <c r="J432" s="11" t="s">
        <v>857</v>
      </c>
      <c r="K432" s="11" t="s">
        <v>35</v>
      </c>
      <c r="L432" s="11" t="s">
        <v>36</v>
      </c>
      <c r="M432" s="11" t="s">
        <v>28</v>
      </c>
      <c r="N432" s="11" t="s">
        <v>56</v>
      </c>
      <c r="O432" s="11" t="s">
        <v>858</v>
      </c>
      <c r="P432" s="11" t="s">
        <v>58</v>
      </c>
      <c r="Q432" s="20">
        <v>39886.0</v>
      </c>
      <c r="R432" s="17">
        <f t="shared" si="2"/>
        <v>1.443149407</v>
      </c>
      <c r="S432" s="9"/>
      <c r="T432" s="9"/>
      <c r="U432" s="9"/>
      <c r="V432" s="9"/>
      <c r="W432" s="9"/>
      <c r="X432" s="9"/>
      <c r="Y432" s="9"/>
      <c r="Z432" s="9"/>
      <c r="AA432" s="9"/>
      <c r="AB432" s="9" t="str">
        <f>IFERROR(__xludf.DUMMYFUNCTION("""COMPUTED_VALUE"""),"Ralph Kennedy")</f>
        <v>Ralph Kennedy</v>
      </c>
      <c r="AC432" s="9"/>
      <c r="AD432" s="9"/>
      <c r="AE432" s="9">
        <f t="shared" si="8"/>
        <v>2</v>
      </c>
      <c r="AF432" s="19">
        <f t="shared" si="13"/>
        <v>2</v>
      </c>
      <c r="AG432" s="9"/>
      <c r="AH432" s="9"/>
      <c r="AI432" s="9"/>
    </row>
    <row r="433" ht="15.0" customHeight="1">
      <c r="A433" s="11">
        <v>432.0</v>
      </c>
      <c r="B433" s="12">
        <f t="shared" ref="B433:B436" si="79">DATE(2012,12,31)-1389</f>
        <v>39885</v>
      </c>
      <c r="C433" s="13">
        <v>2009.0</v>
      </c>
      <c r="D433" s="11" t="s">
        <v>102</v>
      </c>
      <c r="E433" s="11">
        <v>19.0</v>
      </c>
      <c r="F433" s="21" t="s">
        <v>158</v>
      </c>
      <c r="G433" s="15">
        <v>0.07812002892263196</v>
      </c>
      <c r="H433" s="11" t="s">
        <v>33</v>
      </c>
      <c r="I433" s="16">
        <v>5.896000000000001</v>
      </c>
      <c r="J433" s="11" t="s">
        <v>859</v>
      </c>
      <c r="K433" s="11" t="s">
        <v>26</v>
      </c>
      <c r="L433" s="11" t="s">
        <v>48</v>
      </c>
      <c r="M433" s="11" t="s">
        <v>28</v>
      </c>
      <c r="N433" s="11" t="s">
        <v>56</v>
      </c>
      <c r="O433" s="11" t="s">
        <v>860</v>
      </c>
      <c r="P433" s="11" t="s">
        <v>38</v>
      </c>
      <c r="Q433" s="20">
        <v>39886.0</v>
      </c>
      <c r="R433" s="17">
        <f t="shared" si="2"/>
        <v>9.959991208</v>
      </c>
      <c r="S433" s="9"/>
      <c r="T433" s="9"/>
      <c r="U433" s="9"/>
      <c r="V433" s="9"/>
      <c r="W433" s="9"/>
      <c r="X433" s="9"/>
      <c r="Y433" s="9"/>
      <c r="Z433" s="9"/>
      <c r="AA433" s="9"/>
      <c r="AB433" s="9" t="str">
        <f>IFERROR(__xludf.DUMMYFUNCTION("""COMPUTED_VALUE"""),"Charlotte Melton")</f>
        <v>Charlotte Melton</v>
      </c>
      <c r="AC433" s="9"/>
      <c r="AD433" s="9"/>
      <c r="AE433" s="9">
        <f t="shared" si="8"/>
        <v>4</v>
      </c>
      <c r="AF433" s="19">
        <f t="shared" si="13"/>
        <v>1</v>
      </c>
      <c r="AG433" s="9"/>
      <c r="AH433" s="9"/>
      <c r="AI433" s="9"/>
    </row>
    <row r="434" ht="15.0" customHeight="1">
      <c r="A434" s="11">
        <v>433.0</v>
      </c>
      <c r="B434" s="12">
        <f t="shared" si="79"/>
        <v>39885</v>
      </c>
      <c r="C434" s="13">
        <v>2009.0</v>
      </c>
      <c r="D434" s="11" t="s">
        <v>39</v>
      </c>
      <c r="E434" s="11">
        <v>2.0</v>
      </c>
      <c r="F434" s="21" t="s">
        <v>128</v>
      </c>
      <c r="G434" s="15">
        <v>0.06759735488611307</v>
      </c>
      <c r="H434" s="11" t="s">
        <v>33</v>
      </c>
      <c r="I434" s="16">
        <v>2.0</v>
      </c>
      <c r="J434" s="11" t="s">
        <v>861</v>
      </c>
      <c r="K434" s="11" t="s">
        <v>35</v>
      </c>
      <c r="L434" s="11" t="s">
        <v>27</v>
      </c>
      <c r="M434" s="11" t="s">
        <v>66</v>
      </c>
      <c r="N434" s="11" t="s">
        <v>80</v>
      </c>
      <c r="O434" s="11" t="s">
        <v>862</v>
      </c>
      <c r="P434" s="11" t="s">
        <v>38</v>
      </c>
      <c r="Q434" s="20">
        <v>39886.0</v>
      </c>
      <c r="R434" s="17">
        <f t="shared" si="2"/>
        <v>17.15620867</v>
      </c>
      <c r="S434" s="9"/>
      <c r="T434" s="9"/>
      <c r="U434" s="9"/>
      <c r="V434" s="9"/>
      <c r="W434" s="9"/>
      <c r="X434" s="9"/>
      <c r="Y434" s="9"/>
      <c r="Z434" s="9"/>
      <c r="AA434" s="9"/>
      <c r="AB434" s="9" t="str">
        <f>IFERROR(__xludf.DUMMYFUNCTION("""COMPUTED_VALUE"""),"Corinna Mitchell")</f>
        <v>Corinna Mitchell</v>
      </c>
      <c r="AC434" s="9"/>
      <c r="AD434" s="9"/>
      <c r="AE434" s="9">
        <f t="shared" si="8"/>
        <v>1</v>
      </c>
      <c r="AF434" s="19">
        <f t="shared" si="13"/>
        <v>2</v>
      </c>
      <c r="AG434" s="9"/>
      <c r="AH434" s="9"/>
      <c r="AI434" s="9"/>
    </row>
    <row r="435" ht="15.0" customHeight="1">
      <c r="A435" s="11">
        <v>434.0</v>
      </c>
      <c r="B435" s="12">
        <f t="shared" si="79"/>
        <v>39885</v>
      </c>
      <c r="C435" s="13">
        <v>2009.0</v>
      </c>
      <c r="D435" s="11" t="s">
        <v>39</v>
      </c>
      <c r="E435" s="11">
        <v>25.0</v>
      </c>
      <c r="F435" s="21" t="s">
        <v>838</v>
      </c>
      <c r="G435" s="15">
        <v>0.031521596732555</v>
      </c>
      <c r="H435" s="11" t="s">
        <v>33</v>
      </c>
      <c r="I435" s="16">
        <v>15.991999999999999</v>
      </c>
      <c r="J435" s="11" t="s">
        <v>861</v>
      </c>
      <c r="K435" s="11" t="s">
        <v>35</v>
      </c>
      <c r="L435" s="11" t="s">
        <v>27</v>
      </c>
      <c r="M435" s="11" t="s">
        <v>66</v>
      </c>
      <c r="N435" s="11" t="s">
        <v>67</v>
      </c>
      <c r="O435" s="11" t="s">
        <v>845</v>
      </c>
      <c r="P435" s="11" t="s">
        <v>38</v>
      </c>
      <c r="Q435" s="20">
        <v>39886.0</v>
      </c>
      <c r="R435" s="17">
        <f t="shared" si="2"/>
        <v>79.22928121</v>
      </c>
      <c r="S435" s="9"/>
      <c r="T435" s="9"/>
      <c r="U435" s="9"/>
      <c r="V435" s="9"/>
      <c r="W435" s="9"/>
      <c r="X435" s="9"/>
      <c r="Y435" s="9"/>
      <c r="Z435" s="9"/>
      <c r="AA435" s="9"/>
      <c r="AB435" s="9" t="str">
        <f>IFERROR(__xludf.DUMMYFUNCTION("""COMPUTED_VALUE"""),"Bobby Trafton")</f>
        <v>Bobby Trafton</v>
      </c>
      <c r="AC435" s="9"/>
      <c r="AD435" s="9"/>
      <c r="AE435" s="9">
        <f t="shared" si="8"/>
        <v>1</v>
      </c>
      <c r="AF435" s="19">
        <f t="shared" si="13"/>
        <v>2</v>
      </c>
      <c r="AG435" s="9"/>
      <c r="AH435" s="9"/>
      <c r="AI435" s="9"/>
    </row>
    <row r="436" ht="15.0" customHeight="1">
      <c r="A436" s="11">
        <v>435.0</v>
      </c>
      <c r="B436" s="12">
        <f t="shared" si="79"/>
        <v>39885</v>
      </c>
      <c r="C436" s="13">
        <v>2009.0</v>
      </c>
      <c r="D436" s="11" t="s">
        <v>39</v>
      </c>
      <c r="E436" s="11">
        <v>3.0</v>
      </c>
      <c r="F436" s="21" t="s">
        <v>186</v>
      </c>
      <c r="G436" s="15">
        <v>0.10754098360655737</v>
      </c>
      <c r="H436" s="11" t="s">
        <v>33</v>
      </c>
      <c r="I436" s="16">
        <v>4.032</v>
      </c>
      <c r="J436" s="11" t="s">
        <v>863</v>
      </c>
      <c r="K436" s="11" t="s">
        <v>117</v>
      </c>
      <c r="L436" s="11" t="s">
        <v>27</v>
      </c>
      <c r="M436" s="11" t="s">
        <v>28</v>
      </c>
      <c r="N436" s="11" t="s">
        <v>42</v>
      </c>
      <c r="O436" s="11" t="s">
        <v>864</v>
      </c>
      <c r="P436" s="11" t="s">
        <v>38</v>
      </c>
      <c r="Q436" s="20">
        <v>39887.0</v>
      </c>
      <c r="R436" s="17">
        <f t="shared" si="2"/>
        <v>1.756359344</v>
      </c>
      <c r="S436" s="9"/>
      <c r="T436" s="9"/>
      <c r="U436" s="9"/>
      <c r="V436" s="9"/>
      <c r="W436" s="9"/>
      <c r="X436" s="9"/>
      <c r="Y436" s="9"/>
      <c r="Z436" s="9"/>
      <c r="AA436" s="9"/>
      <c r="AB436" s="9" t="str">
        <f>IFERROR(__xludf.DUMMYFUNCTION("""COMPUTED_VALUE"""),"Chuck Magee")</f>
        <v>Chuck Magee</v>
      </c>
      <c r="AC436" s="9"/>
      <c r="AD436" s="9"/>
      <c r="AE436" s="9">
        <f t="shared" si="8"/>
        <v>1</v>
      </c>
      <c r="AF436" s="19" t="b">
        <f t="shared" si="13"/>
        <v>0</v>
      </c>
      <c r="AG436" s="9"/>
      <c r="AH436" s="9"/>
      <c r="AI436" s="9"/>
    </row>
    <row r="437" ht="15.0" customHeight="1">
      <c r="A437" s="11">
        <v>436.0</v>
      </c>
      <c r="B437" s="12">
        <f t="shared" ref="B437:B443" si="80">DATE(2012,12,31)-1388</f>
        <v>39886</v>
      </c>
      <c r="C437" s="13">
        <v>2009.0</v>
      </c>
      <c r="D437" s="11" t="s">
        <v>102</v>
      </c>
      <c r="E437" s="11">
        <v>36.0</v>
      </c>
      <c r="F437" s="21" t="s">
        <v>865</v>
      </c>
      <c r="G437" s="15">
        <v>0.0663944071789986</v>
      </c>
      <c r="H437" s="11" t="s">
        <v>45</v>
      </c>
      <c r="I437" s="16">
        <v>19.008000000000003</v>
      </c>
      <c r="J437" s="11" t="s">
        <v>222</v>
      </c>
      <c r="K437" s="11" t="s">
        <v>65</v>
      </c>
      <c r="L437" s="11" t="s">
        <v>48</v>
      </c>
      <c r="M437" s="11" t="s">
        <v>49</v>
      </c>
      <c r="N437" s="11" t="s">
        <v>50</v>
      </c>
      <c r="O437" s="11" t="s">
        <v>866</v>
      </c>
      <c r="P437" s="11" t="s">
        <v>52</v>
      </c>
      <c r="Q437" s="20">
        <v>39887.0</v>
      </c>
      <c r="R437" s="17">
        <f t="shared" si="2"/>
        <v>481.4529354</v>
      </c>
      <c r="S437" s="9"/>
      <c r="T437" s="9"/>
      <c r="U437" s="9"/>
      <c r="V437" s="9"/>
      <c r="W437" s="9"/>
      <c r="X437" s="9"/>
      <c r="Y437" s="9"/>
      <c r="Z437" s="9"/>
      <c r="AA437" s="9"/>
      <c r="AB437" s="9" t="str">
        <f>IFERROR(__xludf.DUMMYFUNCTION("""COMPUTED_VALUE"""),"Shirley Jackson")</f>
        <v>Shirley Jackson</v>
      </c>
      <c r="AC437" s="9"/>
      <c r="AD437" s="9"/>
      <c r="AE437" s="9">
        <f t="shared" si="8"/>
        <v>4</v>
      </c>
      <c r="AF437" s="19">
        <f t="shared" si="13"/>
        <v>5</v>
      </c>
      <c r="AG437" s="9"/>
      <c r="AH437" s="9"/>
      <c r="AI437" s="9"/>
    </row>
    <row r="438" ht="15.0" customHeight="1">
      <c r="A438" s="11">
        <v>437.0</v>
      </c>
      <c r="B438" s="12">
        <f t="shared" si="80"/>
        <v>39886</v>
      </c>
      <c r="C438" s="13">
        <v>2009.0</v>
      </c>
      <c r="D438" s="11" t="s">
        <v>102</v>
      </c>
      <c r="E438" s="11">
        <v>6.0</v>
      </c>
      <c r="F438" s="21" t="s">
        <v>342</v>
      </c>
      <c r="G438" s="15">
        <v>0.025228039041703853</v>
      </c>
      <c r="H438" s="11" t="s">
        <v>45</v>
      </c>
      <c r="I438" s="16">
        <v>23.368000000000002</v>
      </c>
      <c r="J438" s="11" t="s">
        <v>222</v>
      </c>
      <c r="K438" s="11" t="s">
        <v>65</v>
      </c>
      <c r="L438" s="11" t="s">
        <v>48</v>
      </c>
      <c r="M438" s="11" t="s">
        <v>49</v>
      </c>
      <c r="N438" s="11" t="s">
        <v>85</v>
      </c>
      <c r="O438" s="11" t="s">
        <v>343</v>
      </c>
      <c r="P438" s="11" t="s">
        <v>87</v>
      </c>
      <c r="Q438" s="20">
        <v>39887.0</v>
      </c>
      <c r="R438" s="17">
        <f t="shared" si="2"/>
        <v>27.71471639</v>
      </c>
      <c r="S438" s="9"/>
      <c r="T438" s="9"/>
      <c r="U438" s="9"/>
      <c r="V438" s="9"/>
      <c r="W438" s="9"/>
      <c r="X438" s="9"/>
      <c r="Y438" s="9"/>
      <c r="Z438" s="9"/>
      <c r="AA438" s="9"/>
      <c r="AB438" s="9" t="str">
        <f>IFERROR(__xludf.DUMMYFUNCTION("""COMPUTED_VALUE"""),"Lindsay Williams")</f>
        <v>Lindsay Williams</v>
      </c>
      <c r="AC438" s="9"/>
      <c r="AD438" s="9"/>
      <c r="AE438" s="9">
        <f t="shared" si="8"/>
        <v>4</v>
      </c>
      <c r="AF438" s="19">
        <f t="shared" si="13"/>
        <v>5</v>
      </c>
      <c r="AG438" s="9"/>
      <c r="AH438" s="9"/>
      <c r="AI438" s="9"/>
    </row>
    <row r="439" ht="15.0" customHeight="1">
      <c r="A439" s="11">
        <v>438.0</v>
      </c>
      <c r="B439" s="12">
        <f t="shared" si="80"/>
        <v>39886</v>
      </c>
      <c r="C439" s="13">
        <v>2009.0</v>
      </c>
      <c r="D439" s="11" t="s">
        <v>23</v>
      </c>
      <c r="E439" s="11">
        <v>45.0</v>
      </c>
      <c r="F439" s="21" t="s">
        <v>865</v>
      </c>
      <c r="G439" s="15">
        <v>0.021195001077354017</v>
      </c>
      <c r="H439" s="11" t="s">
        <v>45</v>
      </c>
      <c r="I439" s="16">
        <v>44.768</v>
      </c>
      <c r="J439" s="11" t="s">
        <v>867</v>
      </c>
      <c r="K439" s="11" t="s">
        <v>65</v>
      </c>
      <c r="L439" s="11" t="s">
        <v>36</v>
      </c>
      <c r="M439" s="11" t="s">
        <v>49</v>
      </c>
      <c r="N439" s="11" t="s">
        <v>156</v>
      </c>
      <c r="O439" s="11" t="s">
        <v>868</v>
      </c>
      <c r="P439" s="11" t="s">
        <v>87</v>
      </c>
      <c r="Q439" s="20">
        <v>39887.0</v>
      </c>
      <c r="R439" s="17">
        <f t="shared" si="2"/>
        <v>192.562265</v>
      </c>
      <c r="S439" s="9"/>
      <c r="T439" s="9"/>
      <c r="U439" s="9"/>
      <c r="V439" s="9"/>
      <c r="W439" s="9"/>
      <c r="X439" s="9"/>
      <c r="Y439" s="9"/>
      <c r="Z439" s="9"/>
      <c r="AA439" s="9"/>
      <c r="AB439" s="9" t="str">
        <f>IFERROR(__xludf.DUMMYFUNCTION("""COMPUTED_VALUE"""),"Brad Norvell")</f>
        <v>Brad Norvell</v>
      </c>
      <c r="AC439" s="9"/>
      <c r="AD439" s="9"/>
      <c r="AE439" s="9">
        <f t="shared" si="8"/>
        <v>2</v>
      </c>
      <c r="AF439" s="19">
        <f t="shared" si="13"/>
        <v>5</v>
      </c>
      <c r="AG439" s="9"/>
      <c r="AH439" s="9"/>
      <c r="AI439" s="9"/>
    </row>
    <row r="440" ht="15.0" customHeight="1">
      <c r="A440" s="11">
        <v>439.0</v>
      </c>
      <c r="B440" s="12">
        <f t="shared" si="80"/>
        <v>39886</v>
      </c>
      <c r="C440" s="13">
        <v>2009.0</v>
      </c>
      <c r="D440" s="11" t="s">
        <v>23</v>
      </c>
      <c r="E440" s="11">
        <v>24.0</v>
      </c>
      <c r="F440" s="21" t="s">
        <v>290</v>
      </c>
      <c r="G440" s="15">
        <v>0.04603636363636357</v>
      </c>
      <c r="H440" s="11" t="s">
        <v>33</v>
      </c>
      <c r="I440" s="16">
        <v>4.136</v>
      </c>
      <c r="J440" s="11" t="s">
        <v>867</v>
      </c>
      <c r="K440" s="11" t="s">
        <v>65</v>
      </c>
      <c r="L440" s="11" t="s">
        <v>36</v>
      </c>
      <c r="M440" s="11" t="s">
        <v>28</v>
      </c>
      <c r="N440" s="11" t="s">
        <v>56</v>
      </c>
      <c r="O440" s="11" t="s">
        <v>699</v>
      </c>
      <c r="P440" s="11" t="s">
        <v>38</v>
      </c>
      <c r="Q440" s="20">
        <v>39887.0</v>
      </c>
      <c r="R440" s="17">
        <f t="shared" si="2"/>
        <v>4.830871855</v>
      </c>
      <c r="S440" s="9"/>
      <c r="T440" s="9"/>
      <c r="U440" s="9"/>
      <c r="V440" s="9"/>
      <c r="W440" s="9"/>
      <c r="X440" s="9"/>
      <c r="Y440" s="9"/>
      <c r="Z440" s="9"/>
      <c r="AA440" s="9"/>
      <c r="AB440" s="9" t="str">
        <f>IFERROR(__xludf.DUMMYFUNCTION("""COMPUTED_VALUE"""),"Tony Chapman")</f>
        <v>Tony Chapman</v>
      </c>
      <c r="AC440" s="9"/>
      <c r="AD440" s="9"/>
      <c r="AE440" s="9">
        <f t="shared" si="8"/>
        <v>2</v>
      </c>
      <c r="AF440" s="19">
        <f t="shared" si="13"/>
        <v>5</v>
      </c>
      <c r="AG440" s="9"/>
      <c r="AH440" s="9"/>
      <c r="AI440" s="9"/>
    </row>
    <row r="441" ht="15.0" customHeight="1">
      <c r="A441" s="11">
        <v>440.0</v>
      </c>
      <c r="B441" s="12">
        <f t="shared" si="80"/>
        <v>39886</v>
      </c>
      <c r="C441" s="13">
        <v>2009.0</v>
      </c>
      <c r="D441" s="11" t="s">
        <v>23</v>
      </c>
      <c r="E441" s="11">
        <v>19.0</v>
      </c>
      <c r="F441" s="21" t="s">
        <v>869</v>
      </c>
      <c r="G441" s="15">
        <v>0.03953179224751477</v>
      </c>
      <c r="H441" s="11" t="s">
        <v>33</v>
      </c>
      <c r="I441" s="16">
        <v>0.792</v>
      </c>
      <c r="J441" s="11" t="s">
        <v>867</v>
      </c>
      <c r="K441" s="11" t="s">
        <v>65</v>
      </c>
      <c r="L441" s="11" t="s">
        <v>36</v>
      </c>
      <c r="M441" s="11" t="s">
        <v>66</v>
      </c>
      <c r="N441" s="11" t="s">
        <v>80</v>
      </c>
      <c r="O441" s="11" t="s">
        <v>870</v>
      </c>
      <c r="P441" s="11" t="s">
        <v>58</v>
      </c>
      <c r="Q441" s="20">
        <v>39888.0</v>
      </c>
      <c r="R441" s="17">
        <f t="shared" si="2"/>
        <v>64.55114731</v>
      </c>
      <c r="S441" s="9"/>
      <c r="T441" s="9"/>
      <c r="U441" s="9"/>
      <c r="V441" s="9"/>
      <c r="W441" s="9"/>
      <c r="X441" s="9"/>
      <c r="Y441" s="9"/>
      <c r="Z441" s="9"/>
      <c r="AA441" s="9"/>
      <c r="AB441" s="9" t="str">
        <f>IFERROR(__xludf.DUMMYFUNCTION("""COMPUTED_VALUE"""),"Logan Haushalter")</f>
        <v>Logan Haushalter</v>
      </c>
      <c r="AC441" s="9"/>
      <c r="AD441" s="9"/>
      <c r="AE441" s="9">
        <f t="shared" si="8"/>
        <v>2</v>
      </c>
      <c r="AF441" s="19">
        <f t="shared" si="13"/>
        <v>5</v>
      </c>
      <c r="AG441" s="9"/>
      <c r="AH441" s="9"/>
      <c r="AI441" s="9"/>
    </row>
    <row r="442" ht="15.0" customHeight="1">
      <c r="A442" s="11">
        <v>441.0</v>
      </c>
      <c r="B442" s="12">
        <f t="shared" si="80"/>
        <v>39886</v>
      </c>
      <c r="C442" s="13">
        <v>2009.0</v>
      </c>
      <c r="D442" s="11" t="s">
        <v>39</v>
      </c>
      <c r="E442" s="11">
        <v>38.0</v>
      </c>
      <c r="F442" s="21" t="s">
        <v>532</v>
      </c>
      <c r="G442" s="15">
        <v>0.08487119147882088</v>
      </c>
      <c r="H442" s="11" t="s">
        <v>24</v>
      </c>
      <c r="I442" s="16">
        <v>55.2</v>
      </c>
      <c r="J442" s="11" t="s">
        <v>871</v>
      </c>
      <c r="K442" s="11" t="s">
        <v>26</v>
      </c>
      <c r="L442" s="11" t="s">
        <v>48</v>
      </c>
      <c r="M442" s="11" t="s">
        <v>49</v>
      </c>
      <c r="N442" s="11" t="s">
        <v>85</v>
      </c>
      <c r="O442" s="11" t="s">
        <v>534</v>
      </c>
      <c r="P442" s="11" t="s">
        <v>31</v>
      </c>
      <c r="Q442" s="20">
        <v>39888.0</v>
      </c>
      <c r="R442" s="17">
        <f t="shared" si="2"/>
        <v>501.6736128</v>
      </c>
      <c r="S442" s="9"/>
      <c r="T442" s="9"/>
      <c r="U442" s="9"/>
      <c r="V442" s="9"/>
      <c r="W442" s="9"/>
      <c r="X442" s="9"/>
      <c r="Y442" s="9"/>
      <c r="Z442" s="9"/>
      <c r="AA442" s="9"/>
      <c r="AB442" s="9" t="str">
        <f>IFERROR(__xludf.DUMMYFUNCTION("""COMPUTED_VALUE"""),"Rob Williams")</f>
        <v>Rob Williams</v>
      </c>
      <c r="AC442" s="9"/>
      <c r="AD442" s="9"/>
      <c r="AE442" s="9">
        <f t="shared" si="8"/>
        <v>4</v>
      </c>
      <c r="AF442" s="19">
        <f t="shared" si="13"/>
        <v>1</v>
      </c>
      <c r="AG442" s="9"/>
      <c r="AH442" s="9"/>
      <c r="AI442" s="9"/>
    </row>
    <row r="443" ht="15.0" customHeight="1">
      <c r="A443" s="11">
        <v>442.0</v>
      </c>
      <c r="B443" s="12">
        <f t="shared" si="80"/>
        <v>39886</v>
      </c>
      <c r="C443" s="13">
        <v>2009.0</v>
      </c>
      <c r="D443" s="11" t="s">
        <v>23</v>
      </c>
      <c r="E443" s="11">
        <v>34.0</v>
      </c>
      <c r="F443" s="21" t="s">
        <v>683</v>
      </c>
      <c r="G443" s="15">
        <v>0.09297852314537519</v>
      </c>
      <c r="H443" s="11" t="s">
        <v>33</v>
      </c>
      <c r="I443" s="16">
        <v>8.672</v>
      </c>
      <c r="J443" s="11" t="s">
        <v>416</v>
      </c>
      <c r="K443" s="11" t="s">
        <v>65</v>
      </c>
      <c r="L443" s="11" t="s">
        <v>41</v>
      </c>
      <c r="M443" s="11" t="s">
        <v>49</v>
      </c>
      <c r="N443" s="11" t="s">
        <v>73</v>
      </c>
      <c r="O443" s="11" t="s">
        <v>684</v>
      </c>
      <c r="P443" s="11" t="s">
        <v>75</v>
      </c>
      <c r="Q443" s="20">
        <v>39888.0</v>
      </c>
      <c r="R443" s="17">
        <f t="shared" si="2"/>
        <v>197.1211635</v>
      </c>
      <c r="S443" s="9"/>
      <c r="T443" s="9"/>
      <c r="U443" s="9"/>
      <c r="V443" s="9"/>
      <c r="W443" s="9"/>
      <c r="X443" s="9"/>
      <c r="Y443" s="9"/>
      <c r="Z443" s="9"/>
      <c r="AA443" s="9"/>
      <c r="AB443" s="9" t="str">
        <f>IFERROR(__xludf.DUMMYFUNCTION("""COMPUTED_VALUE"""),"Seth Vernon")</f>
        <v>Seth Vernon</v>
      </c>
      <c r="AC443" s="9"/>
      <c r="AD443" s="9"/>
      <c r="AE443" s="9">
        <f t="shared" si="8"/>
        <v>3</v>
      </c>
      <c r="AF443" s="19">
        <f t="shared" si="13"/>
        <v>5</v>
      </c>
      <c r="AG443" s="9"/>
      <c r="AH443" s="9"/>
      <c r="AI443" s="9"/>
    </row>
    <row r="444" ht="15.0" customHeight="1">
      <c r="A444" s="11">
        <v>443.0</v>
      </c>
      <c r="B444" s="12">
        <f t="shared" ref="B444:B449" si="81">DATE(2012,12,31)-1387</f>
        <v>39887</v>
      </c>
      <c r="C444" s="13">
        <v>2009.0</v>
      </c>
      <c r="D444" s="11" t="s">
        <v>32</v>
      </c>
      <c r="E444" s="11">
        <v>24.0</v>
      </c>
      <c r="F444" s="21" t="s">
        <v>805</v>
      </c>
      <c r="G444" s="15">
        <v>0.040167541516196864</v>
      </c>
      <c r="H444" s="11" t="s">
        <v>45</v>
      </c>
      <c r="I444" s="16">
        <v>43.296</v>
      </c>
      <c r="J444" s="11" t="s">
        <v>535</v>
      </c>
      <c r="K444" s="11" t="s">
        <v>35</v>
      </c>
      <c r="L444" s="11" t="s">
        <v>48</v>
      </c>
      <c r="M444" s="11" t="s">
        <v>49</v>
      </c>
      <c r="N444" s="11" t="s">
        <v>85</v>
      </c>
      <c r="O444" s="11" t="s">
        <v>807</v>
      </c>
      <c r="P444" s="11" t="s">
        <v>87</v>
      </c>
      <c r="Q444" s="20">
        <v>39888.0</v>
      </c>
      <c r="R444" s="17">
        <f t="shared" si="2"/>
        <v>287.1857109</v>
      </c>
      <c r="S444" s="9"/>
      <c r="T444" s="9"/>
      <c r="U444" s="9"/>
      <c r="V444" s="9"/>
      <c r="W444" s="9"/>
      <c r="X444" s="9"/>
      <c r="Y444" s="9"/>
      <c r="Z444" s="9"/>
      <c r="AA444" s="9"/>
      <c r="AB444" s="9" t="str">
        <f>IFERROR(__xludf.DUMMYFUNCTION("""COMPUTED_VALUE"""),"Nathan Cano")</f>
        <v>Nathan Cano</v>
      </c>
      <c r="AC444" s="9"/>
      <c r="AD444" s="9"/>
      <c r="AE444" s="9">
        <f t="shared" si="8"/>
        <v>4</v>
      </c>
      <c r="AF444" s="19">
        <f t="shared" si="13"/>
        <v>2</v>
      </c>
      <c r="AG444" s="9"/>
      <c r="AH444" s="9"/>
      <c r="AI444" s="9"/>
    </row>
    <row r="445" ht="15.0" customHeight="1">
      <c r="A445" s="11">
        <v>444.0</v>
      </c>
      <c r="B445" s="12">
        <f t="shared" si="81"/>
        <v>39887</v>
      </c>
      <c r="C445" s="13">
        <v>2009.0</v>
      </c>
      <c r="D445" s="11" t="s">
        <v>102</v>
      </c>
      <c r="E445" s="11">
        <v>17.0</v>
      </c>
      <c r="F445" s="21" t="s">
        <v>872</v>
      </c>
      <c r="G445" s="15">
        <v>0.097181444509689</v>
      </c>
      <c r="H445" s="11" t="s">
        <v>33</v>
      </c>
      <c r="I445" s="16">
        <v>3.2</v>
      </c>
      <c r="J445" s="11" t="s">
        <v>873</v>
      </c>
      <c r="K445" s="11" t="s">
        <v>83</v>
      </c>
      <c r="L445" s="11" t="s">
        <v>41</v>
      </c>
      <c r="M445" s="11" t="s">
        <v>66</v>
      </c>
      <c r="N445" s="11" t="s">
        <v>67</v>
      </c>
      <c r="O445" s="11" t="s">
        <v>874</v>
      </c>
      <c r="P445" s="11" t="s">
        <v>38</v>
      </c>
      <c r="Q445" s="20">
        <v>39888.0</v>
      </c>
      <c r="R445" s="17">
        <f t="shared" si="2"/>
        <v>29.88329419</v>
      </c>
      <c r="S445" s="9"/>
      <c r="T445" s="9"/>
      <c r="U445" s="9"/>
      <c r="V445" s="9"/>
      <c r="W445" s="9"/>
      <c r="X445" s="9"/>
      <c r="Y445" s="9"/>
      <c r="Z445" s="9"/>
      <c r="AA445" s="9"/>
      <c r="AB445" s="9" t="str">
        <f>IFERROR(__xludf.DUMMYFUNCTION("""COMPUTED_VALUE"""),"Susan MacKendrick")</f>
        <v>Susan MacKendrick</v>
      </c>
      <c r="AC445" s="9"/>
      <c r="AD445" s="9"/>
      <c r="AE445" s="9">
        <f t="shared" si="8"/>
        <v>3</v>
      </c>
      <c r="AF445" s="19" t="b">
        <f t="shared" si="13"/>
        <v>0</v>
      </c>
      <c r="AG445" s="9"/>
      <c r="AH445" s="9"/>
      <c r="AI445" s="9"/>
    </row>
    <row r="446" ht="15.0" customHeight="1">
      <c r="A446" s="11">
        <v>445.0</v>
      </c>
      <c r="B446" s="12">
        <f t="shared" si="81"/>
        <v>39887</v>
      </c>
      <c r="C446" s="13">
        <v>2009.0</v>
      </c>
      <c r="D446" s="11" t="s">
        <v>102</v>
      </c>
      <c r="E446" s="11">
        <v>2.0</v>
      </c>
      <c r="F446" s="21" t="s">
        <v>128</v>
      </c>
      <c r="G446" s="15">
        <v>0.08933895921237679</v>
      </c>
      <c r="H446" s="11" t="s">
        <v>33</v>
      </c>
      <c r="I446" s="16">
        <v>7.192</v>
      </c>
      <c r="J446" s="11" t="s">
        <v>873</v>
      </c>
      <c r="K446" s="11" t="s">
        <v>83</v>
      </c>
      <c r="L446" s="11" t="s">
        <v>41</v>
      </c>
      <c r="M446" s="11" t="s">
        <v>66</v>
      </c>
      <c r="N446" s="11" t="s">
        <v>80</v>
      </c>
      <c r="O446" s="11" t="s">
        <v>875</v>
      </c>
      <c r="P446" s="11" t="s">
        <v>38</v>
      </c>
      <c r="Q446" s="20">
        <v>39888.0</v>
      </c>
      <c r="R446" s="17">
        <f t="shared" si="2"/>
        <v>23.13807572</v>
      </c>
      <c r="S446" s="9"/>
      <c r="T446" s="9"/>
      <c r="U446" s="9"/>
      <c r="V446" s="9"/>
      <c r="W446" s="9"/>
      <c r="X446" s="9"/>
      <c r="Y446" s="9"/>
      <c r="Z446" s="9"/>
      <c r="AA446" s="9"/>
      <c r="AB446" s="9" t="str">
        <f>IFERROR(__xludf.DUMMYFUNCTION("""COMPUTED_VALUE"""),"Frank Olsen")</f>
        <v>Frank Olsen</v>
      </c>
      <c r="AC446" s="9"/>
      <c r="AD446" s="9"/>
      <c r="AE446" s="9">
        <f t="shared" si="8"/>
        <v>3</v>
      </c>
      <c r="AF446" s="19" t="b">
        <f t="shared" si="13"/>
        <v>0</v>
      </c>
      <c r="AG446" s="9"/>
      <c r="AH446" s="9"/>
      <c r="AI446" s="9"/>
    </row>
    <row r="447" ht="15.0" customHeight="1">
      <c r="A447" s="11">
        <v>446.0</v>
      </c>
      <c r="B447" s="12">
        <f t="shared" si="81"/>
        <v>39887</v>
      </c>
      <c r="C447" s="13">
        <v>2009.0</v>
      </c>
      <c r="D447" s="11" t="s">
        <v>32</v>
      </c>
      <c r="E447" s="11">
        <v>13.0</v>
      </c>
      <c r="F447" s="21" t="s">
        <v>130</v>
      </c>
      <c r="G447" s="15">
        <v>0.07656021897810211</v>
      </c>
      <c r="H447" s="11" t="s">
        <v>33</v>
      </c>
      <c r="I447" s="16">
        <v>3.136</v>
      </c>
      <c r="J447" s="11" t="s">
        <v>876</v>
      </c>
      <c r="K447" s="11" t="s">
        <v>35</v>
      </c>
      <c r="L447" s="11" t="s">
        <v>36</v>
      </c>
      <c r="M447" s="11" t="s">
        <v>49</v>
      </c>
      <c r="N447" s="11" t="s">
        <v>73</v>
      </c>
      <c r="O447" s="11" t="s">
        <v>877</v>
      </c>
      <c r="P447" s="11" t="s">
        <v>99</v>
      </c>
      <c r="Q447" s="20">
        <v>39888.0</v>
      </c>
      <c r="R447" s="17">
        <f t="shared" si="2"/>
        <v>30.99433281</v>
      </c>
      <c r="S447" s="9"/>
      <c r="T447" s="9"/>
      <c r="U447" s="9"/>
      <c r="V447" s="9"/>
      <c r="W447" s="9"/>
      <c r="X447" s="9"/>
      <c r="Y447" s="9"/>
      <c r="Z447" s="9"/>
      <c r="AA447" s="9"/>
      <c r="AB447" s="9" t="str">
        <f>IFERROR(__xludf.DUMMYFUNCTION("""COMPUTED_VALUE"""),"Kean Takahito")</f>
        <v>Kean Takahito</v>
      </c>
      <c r="AC447" s="9"/>
      <c r="AD447" s="9"/>
      <c r="AE447" s="9">
        <f t="shared" si="8"/>
        <v>2</v>
      </c>
      <c r="AF447" s="19">
        <f t="shared" si="13"/>
        <v>2</v>
      </c>
      <c r="AG447" s="9"/>
      <c r="AH447" s="9"/>
      <c r="AI447" s="9"/>
    </row>
    <row r="448" ht="15.0" customHeight="1">
      <c r="A448" s="11">
        <v>447.0</v>
      </c>
      <c r="B448" s="12">
        <f t="shared" si="81"/>
        <v>39887</v>
      </c>
      <c r="C448" s="13">
        <v>2009.0</v>
      </c>
      <c r="D448" s="11" t="s">
        <v>102</v>
      </c>
      <c r="E448" s="11">
        <v>17.0</v>
      </c>
      <c r="F448" s="21" t="s">
        <v>147</v>
      </c>
      <c r="G448" s="15">
        <v>0.04660194174757286</v>
      </c>
      <c r="H448" s="11" t="s">
        <v>33</v>
      </c>
      <c r="I448" s="16">
        <v>0.5599999999999999</v>
      </c>
      <c r="J448" s="11" t="s">
        <v>878</v>
      </c>
      <c r="K448" s="11" t="s">
        <v>61</v>
      </c>
      <c r="L448" s="11" t="s">
        <v>48</v>
      </c>
      <c r="M448" s="11" t="s">
        <v>28</v>
      </c>
      <c r="N448" s="11" t="s">
        <v>62</v>
      </c>
      <c r="O448" s="11" t="s">
        <v>182</v>
      </c>
      <c r="P448" s="11" t="s">
        <v>58</v>
      </c>
      <c r="Q448" s="20">
        <v>39889.0</v>
      </c>
      <c r="R448" s="17">
        <f t="shared" si="2"/>
        <v>1.372893204</v>
      </c>
      <c r="S448" s="9"/>
      <c r="T448" s="9"/>
      <c r="U448" s="9"/>
      <c r="V448" s="9"/>
      <c r="W448" s="9"/>
      <c r="X448" s="9"/>
      <c r="Y448" s="9"/>
      <c r="Z448" s="9"/>
      <c r="AA448" s="9"/>
      <c r="AB448" s="9" t="str">
        <f>IFERROR(__xludf.DUMMYFUNCTION("""COMPUTED_VALUE"""),"Aaron Bergman")</f>
        <v>Aaron Bergman</v>
      </c>
      <c r="AC448" s="9"/>
      <c r="AD448" s="9"/>
      <c r="AE448" s="9">
        <f t="shared" si="8"/>
        <v>4</v>
      </c>
      <c r="AF448" s="19">
        <f t="shared" si="13"/>
        <v>4</v>
      </c>
      <c r="AG448" s="9"/>
      <c r="AH448" s="9"/>
      <c r="AI448" s="9"/>
    </row>
    <row r="449" ht="15.0" customHeight="1">
      <c r="A449" s="11">
        <v>448.0</v>
      </c>
      <c r="B449" s="12">
        <f t="shared" si="81"/>
        <v>39887</v>
      </c>
      <c r="C449" s="13">
        <v>2009.0</v>
      </c>
      <c r="D449" s="11" t="s">
        <v>23</v>
      </c>
      <c r="E449" s="11">
        <v>6.0</v>
      </c>
      <c r="F449" s="21" t="s">
        <v>641</v>
      </c>
      <c r="G449" s="15">
        <v>0.04034334763948518</v>
      </c>
      <c r="H449" s="11" t="s">
        <v>33</v>
      </c>
      <c r="I449" s="16">
        <v>4.24</v>
      </c>
      <c r="J449" s="11" t="s">
        <v>879</v>
      </c>
      <c r="K449" s="11" t="s">
        <v>61</v>
      </c>
      <c r="L449" s="11" t="s">
        <v>27</v>
      </c>
      <c r="M449" s="11" t="s">
        <v>49</v>
      </c>
      <c r="N449" s="11" t="s">
        <v>73</v>
      </c>
      <c r="O449" s="11" t="s">
        <v>880</v>
      </c>
      <c r="P449" s="11" t="s">
        <v>58</v>
      </c>
      <c r="Q449" s="20">
        <v>39889.0</v>
      </c>
      <c r="R449" s="17">
        <f t="shared" si="2"/>
        <v>3.608309013</v>
      </c>
      <c r="S449" s="9"/>
      <c r="T449" s="9"/>
      <c r="U449" s="9"/>
      <c r="V449" s="9"/>
      <c r="W449" s="9"/>
      <c r="X449" s="9"/>
      <c r="Y449" s="9"/>
      <c r="Z449" s="9"/>
      <c r="AA449" s="9"/>
      <c r="AB449" s="9" t="str">
        <f>IFERROR(__xludf.DUMMYFUNCTION("""COMPUTED_VALUE"""),"Edward Hooks")</f>
        <v>Edward Hooks</v>
      </c>
      <c r="AC449" s="9"/>
      <c r="AD449" s="9"/>
      <c r="AE449" s="9">
        <f t="shared" si="8"/>
        <v>1</v>
      </c>
      <c r="AF449" s="19">
        <f t="shared" si="13"/>
        <v>4</v>
      </c>
      <c r="AG449" s="9"/>
      <c r="AH449" s="9"/>
      <c r="AI449" s="9"/>
    </row>
    <row r="450" ht="15.0" customHeight="1">
      <c r="A450" s="11">
        <v>449.0</v>
      </c>
      <c r="B450" s="12">
        <f t="shared" ref="B450:B453" si="82">DATE(2012,12,31)-1386</f>
        <v>39888</v>
      </c>
      <c r="C450" s="13">
        <v>2009.0</v>
      </c>
      <c r="D450" s="11" t="s">
        <v>23</v>
      </c>
      <c r="E450" s="11">
        <v>11.0</v>
      </c>
      <c r="F450" s="21" t="s">
        <v>881</v>
      </c>
      <c r="G450" s="15">
        <v>0.08440170940170931</v>
      </c>
      <c r="H450" s="11" t="s">
        <v>33</v>
      </c>
      <c r="I450" s="16">
        <v>3.2</v>
      </c>
      <c r="J450" s="11" t="s">
        <v>882</v>
      </c>
      <c r="K450" s="11" t="s">
        <v>65</v>
      </c>
      <c r="L450" s="11" t="s">
        <v>48</v>
      </c>
      <c r="M450" s="11" t="s">
        <v>49</v>
      </c>
      <c r="N450" s="11" t="s">
        <v>73</v>
      </c>
      <c r="O450" s="11" t="s">
        <v>883</v>
      </c>
      <c r="P450" s="11" t="s">
        <v>58</v>
      </c>
      <c r="Q450" s="20">
        <v>39889.0</v>
      </c>
      <c r="R450" s="17">
        <f t="shared" si="2"/>
        <v>7.233226496</v>
      </c>
      <c r="S450" s="9"/>
      <c r="T450" s="9"/>
      <c r="U450" s="9"/>
      <c r="V450" s="9"/>
      <c r="W450" s="9"/>
      <c r="X450" s="9"/>
      <c r="Y450" s="9"/>
      <c r="Z450" s="9"/>
      <c r="AA450" s="9"/>
      <c r="AB450" s="9" t="str">
        <f>IFERROR(__xludf.DUMMYFUNCTION("""COMPUTED_VALUE"""),"Andrew Roberts")</f>
        <v>Andrew Roberts</v>
      </c>
      <c r="AC450" s="9"/>
      <c r="AD450" s="9"/>
      <c r="AE450" s="9">
        <f t="shared" si="8"/>
        <v>4</v>
      </c>
      <c r="AF450" s="19">
        <f t="shared" si="13"/>
        <v>5</v>
      </c>
      <c r="AG450" s="9"/>
      <c r="AH450" s="9"/>
      <c r="AI450" s="9"/>
    </row>
    <row r="451" ht="15.0" customHeight="1">
      <c r="A451" s="11">
        <v>450.0</v>
      </c>
      <c r="B451" s="12">
        <f t="shared" si="82"/>
        <v>39888</v>
      </c>
      <c r="C451" s="13">
        <v>2009.0</v>
      </c>
      <c r="D451" s="11" t="s">
        <v>102</v>
      </c>
      <c r="E451" s="11">
        <v>14.0</v>
      </c>
      <c r="F451" s="21" t="s">
        <v>379</v>
      </c>
      <c r="G451" s="15">
        <v>0.09609614587650234</v>
      </c>
      <c r="H451" s="11" t="s">
        <v>33</v>
      </c>
      <c r="I451" s="16">
        <v>1.1119999999999999</v>
      </c>
      <c r="J451" s="11" t="s">
        <v>884</v>
      </c>
      <c r="K451" s="11" t="s">
        <v>35</v>
      </c>
      <c r="L451" s="11" t="s">
        <v>48</v>
      </c>
      <c r="M451" s="11" t="s">
        <v>28</v>
      </c>
      <c r="N451" s="11" t="s">
        <v>236</v>
      </c>
      <c r="O451" s="11" t="s">
        <v>885</v>
      </c>
      <c r="P451" s="11" t="s">
        <v>38</v>
      </c>
      <c r="Q451" s="20">
        <v>39889.0</v>
      </c>
      <c r="R451" s="17">
        <f t="shared" si="2"/>
        <v>20.95972257</v>
      </c>
      <c r="S451" s="9"/>
      <c r="T451" s="9"/>
      <c r="U451" s="9"/>
      <c r="V451" s="9"/>
      <c r="W451" s="9"/>
      <c r="X451" s="9"/>
      <c r="Y451" s="9"/>
      <c r="Z451" s="9"/>
      <c r="AA451" s="9"/>
      <c r="AB451" s="9" t="str">
        <f>IFERROR(__xludf.DUMMYFUNCTION("""COMPUTED_VALUE"""),"Neil Ducich")</f>
        <v>Neil Ducich</v>
      </c>
      <c r="AC451" s="9"/>
      <c r="AD451" s="9"/>
      <c r="AE451" s="9">
        <f t="shared" si="8"/>
        <v>4</v>
      </c>
      <c r="AF451" s="19">
        <f t="shared" si="13"/>
        <v>2</v>
      </c>
      <c r="AG451" s="9"/>
      <c r="AH451" s="9"/>
      <c r="AI451" s="9"/>
    </row>
    <row r="452" ht="15.0" customHeight="1">
      <c r="A452" s="11">
        <v>451.0</v>
      </c>
      <c r="B452" s="12">
        <f t="shared" si="82"/>
        <v>39888</v>
      </c>
      <c r="C452" s="13">
        <v>2009.0</v>
      </c>
      <c r="D452" s="11" t="s">
        <v>32</v>
      </c>
      <c r="E452" s="11">
        <v>20.0</v>
      </c>
      <c r="F452" s="21" t="s">
        <v>886</v>
      </c>
      <c r="G452" s="15">
        <v>0.08188265635074146</v>
      </c>
      <c r="H452" s="11" t="s">
        <v>45</v>
      </c>
      <c r="I452" s="16">
        <v>48.0</v>
      </c>
      <c r="J452" s="11" t="s">
        <v>887</v>
      </c>
      <c r="K452" s="11" t="s">
        <v>61</v>
      </c>
      <c r="L452" s="11" t="s">
        <v>36</v>
      </c>
      <c r="M452" s="11" t="s">
        <v>28</v>
      </c>
      <c r="N452" s="11" t="s">
        <v>197</v>
      </c>
      <c r="O452" s="11" t="s">
        <v>888</v>
      </c>
      <c r="P452" s="11" t="s">
        <v>52</v>
      </c>
      <c r="Q452" s="20">
        <v>39890.0</v>
      </c>
      <c r="R452" s="17">
        <f t="shared" si="2"/>
        <v>116.6009026</v>
      </c>
      <c r="S452" s="9"/>
      <c r="T452" s="9"/>
      <c r="U452" s="9"/>
      <c r="V452" s="9"/>
      <c r="W452" s="9"/>
      <c r="X452" s="9"/>
      <c r="Y452" s="9"/>
      <c r="Z452" s="9"/>
      <c r="AA452" s="9"/>
      <c r="AB452" s="9" t="str">
        <f>IFERROR(__xludf.DUMMYFUNCTION("""COMPUTED_VALUE"""),"Liz Willingham")</f>
        <v>Liz Willingham</v>
      </c>
      <c r="AC452" s="9"/>
      <c r="AD452" s="9"/>
      <c r="AE452" s="9">
        <f t="shared" si="8"/>
        <v>2</v>
      </c>
      <c r="AF452" s="19">
        <f t="shared" si="13"/>
        <v>4</v>
      </c>
      <c r="AG452" s="9"/>
      <c r="AH452" s="9"/>
      <c r="AI452" s="9"/>
    </row>
    <row r="453" ht="15.0" customHeight="1">
      <c r="A453" s="11">
        <v>452.0</v>
      </c>
      <c r="B453" s="12">
        <f t="shared" si="82"/>
        <v>39888</v>
      </c>
      <c r="C453" s="13">
        <v>2009.0</v>
      </c>
      <c r="D453" s="11" t="s">
        <v>32</v>
      </c>
      <c r="E453" s="11">
        <v>17.0</v>
      </c>
      <c r="F453" s="21" t="s">
        <v>889</v>
      </c>
      <c r="G453" s="15">
        <v>0.04649625613219721</v>
      </c>
      <c r="H453" s="11" t="s">
        <v>33</v>
      </c>
      <c r="I453" s="16">
        <v>7.192</v>
      </c>
      <c r="J453" s="11" t="s">
        <v>887</v>
      </c>
      <c r="K453" s="11" t="s">
        <v>61</v>
      </c>
      <c r="L453" s="11" t="s">
        <v>36</v>
      </c>
      <c r="M453" s="11" t="s">
        <v>28</v>
      </c>
      <c r="N453" s="11" t="s">
        <v>62</v>
      </c>
      <c r="O453" s="11" t="s">
        <v>890</v>
      </c>
      <c r="P453" s="11" t="s">
        <v>99</v>
      </c>
      <c r="Q453" s="20">
        <v>39890.0</v>
      </c>
      <c r="R453" s="17">
        <f t="shared" si="2"/>
        <v>17.17069542</v>
      </c>
      <c r="S453" s="9"/>
      <c r="T453" s="9"/>
      <c r="U453" s="9"/>
      <c r="V453" s="9"/>
      <c r="W453" s="9"/>
      <c r="X453" s="9"/>
      <c r="Y453" s="9"/>
      <c r="Z453" s="9"/>
      <c r="AA453" s="9"/>
      <c r="AB453" s="9" t="str">
        <f>IFERROR(__xludf.DUMMYFUNCTION("""COMPUTED_VALUE"""),"Edward Nazzal")</f>
        <v>Edward Nazzal</v>
      </c>
      <c r="AC453" s="9"/>
      <c r="AD453" s="9"/>
      <c r="AE453" s="9">
        <f t="shared" si="8"/>
        <v>2</v>
      </c>
      <c r="AF453" s="19">
        <f t="shared" si="13"/>
        <v>4</v>
      </c>
      <c r="AG453" s="9"/>
      <c r="AH453" s="9"/>
      <c r="AI453" s="9"/>
    </row>
    <row r="454" ht="15.0" customHeight="1">
      <c r="A454" s="11">
        <v>453.0</v>
      </c>
      <c r="B454" s="12">
        <f t="shared" ref="B454:B456" si="83">DATE(2012,12,31)-1385</f>
        <v>39889</v>
      </c>
      <c r="C454" s="13">
        <v>2009.0</v>
      </c>
      <c r="D454" s="11" t="s">
        <v>102</v>
      </c>
      <c r="E454" s="11">
        <v>38.0</v>
      </c>
      <c r="F454" s="21" t="s">
        <v>891</v>
      </c>
      <c r="G454" s="15">
        <v>0.014104928457869566</v>
      </c>
      <c r="H454" s="11" t="s">
        <v>24</v>
      </c>
      <c r="I454" s="16">
        <v>2.2640000000000002</v>
      </c>
      <c r="J454" s="11" t="s">
        <v>892</v>
      </c>
      <c r="K454" s="11" t="s">
        <v>35</v>
      </c>
      <c r="L454" s="11" t="s">
        <v>27</v>
      </c>
      <c r="M454" s="11" t="s">
        <v>66</v>
      </c>
      <c r="N454" s="11" t="s">
        <v>67</v>
      </c>
      <c r="O454" s="11" t="s">
        <v>893</v>
      </c>
      <c r="P454" s="11" t="s">
        <v>99</v>
      </c>
      <c r="Q454" s="20">
        <v>39890.0</v>
      </c>
      <c r="R454" s="17">
        <f t="shared" si="2"/>
        <v>4.373430537</v>
      </c>
      <c r="S454" s="9"/>
      <c r="T454" s="9"/>
      <c r="U454" s="9"/>
      <c r="V454" s="9"/>
      <c r="W454" s="9"/>
      <c r="X454" s="9"/>
      <c r="Y454" s="9"/>
      <c r="Z454" s="9"/>
      <c r="AA454" s="9"/>
      <c r="AB454" s="9" t="str">
        <f>IFERROR(__xludf.DUMMYFUNCTION("""COMPUTED_VALUE"""),"Michael Granlund")</f>
        <v>Michael Granlund</v>
      </c>
      <c r="AC454" s="9"/>
      <c r="AD454" s="9"/>
      <c r="AE454" s="9">
        <f t="shared" si="8"/>
        <v>1</v>
      </c>
      <c r="AF454" s="19">
        <f t="shared" si="13"/>
        <v>2</v>
      </c>
      <c r="AG454" s="9"/>
      <c r="AH454" s="9"/>
      <c r="AI454" s="9"/>
    </row>
    <row r="455" ht="15.0" customHeight="1">
      <c r="A455" s="11">
        <v>454.0</v>
      </c>
      <c r="B455" s="12">
        <f t="shared" si="83"/>
        <v>39889</v>
      </c>
      <c r="C455" s="13">
        <v>2009.0</v>
      </c>
      <c r="D455" s="11" t="s">
        <v>23</v>
      </c>
      <c r="E455" s="11">
        <v>39.0</v>
      </c>
      <c r="F455" s="21" t="s">
        <v>103</v>
      </c>
      <c r="G455" s="15">
        <v>0.10678353658536568</v>
      </c>
      <c r="H455" s="11" t="s">
        <v>33</v>
      </c>
      <c r="I455" s="16">
        <v>4.28</v>
      </c>
      <c r="J455" s="11" t="s">
        <v>555</v>
      </c>
      <c r="K455" s="11" t="s">
        <v>65</v>
      </c>
      <c r="L455" s="11" t="s">
        <v>27</v>
      </c>
      <c r="M455" s="11" t="s">
        <v>28</v>
      </c>
      <c r="N455" s="11" t="s">
        <v>56</v>
      </c>
      <c r="O455" s="11" t="s">
        <v>464</v>
      </c>
      <c r="P455" s="11" t="s">
        <v>38</v>
      </c>
      <c r="Q455" s="20">
        <v>39890.0</v>
      </c>
      <c r="R455" s="17">
        <f t="shared" si="2"/>
        <v>25.0279253</v>
      </c>
      <c r="S455" s="9"/>
      <c r="T455" s="9"/>
      <c r="U455" s="9"/>
      <c r="V455" s="9"/>
      <c r="W455" s="9"/>
      <c r="X455" s="9"/>
      <c r="Y455" s="9"/>
      <c r="Z455" s="9"/>
      <c r="AA455" s="9"/>
      <c r="AB455" s="9" t="str">
        <f>IFERROR(__xludf.DUMMYFUNCTION("""COMPUTED_VALUE"""),"Anne Pryor")</f>
        <v>Anne Pryor</v>
      </c>
      <c r="AC455" s="9"/>
      <c r="AD455" s="9"/>
      <c r="AE455" s="9">
        <f t="shared" si="8"/>
        <v>1</v>
      </c>
      <c r="AF455" s="19">
        <f t="shared" si="13"/>
        <v>5</v>
      </c>
      <c r="AG455" s="9"/>
      <c r="AH455" s="9"/>
      <c r="AI455" s="9"/>
    </row>
    <row r="456" ht="15.0" customHeight="1">
      <c r="A456" s="11">
        <v>455.0</v>
      </c>
      <c r="B456" s="12">
        <f t="shared" si="83"/>
        <v>39889</v>
      </c>
      <c r="C456" s="13">
        <v>2009.0</v>
      </c>
      <c r="D456" s="11" t="s">
        <v>102</v>
      </c>
      <c r="E456" s="11">
        <v>25.0</v>
      </c>
      <c r="F456" s="21" t="s">
        <v>894</v>
      </c>
      <c r="G456" s="15">
        <v>0.06323595505617978</v>
      </c>
      <c r="H456" s="11" t="s">
        <v>33</v>
      </c>
      <c r="I456" s="16">
        <v>0.8720000000000001</v>
      </c>
      <c r="J456" s="11" t="s">
        <v>895</v>
      </c>
      <c r="K456" s="11" t="s">
        <v>35</v>
      </c>
      <c r="L456" s="11" t="s">
        <v>27</v>
      </c>
      <c r="M456" s="11" t="s">
        <v>28</v>
      </c>
      <c r="N456" s="11" t="s">
        <v>56</v>
      </c>
      <c r="O456" s="11" t="s">
        <v>896</v>
      </c>
      <c r="P456" s="11" t="s">
        <v>58</v>
      </c>
      <c r="Q456" s="20">
        <v>39891.0</v>
      </c>
      <c r="R456" s="17">
        <f t="shared" si="2"/>
        <v>5.272108045</v>
      </c>
      <c r="S456" s="9"/>
      <c r="T456" s="9"/>
      <c r="U456" s="9"/>
      <c r="V456" s="9"/>
      <c r="W456" s="9"/>
      <c r="X456" s="9"/>
      <c r="Y456" s="9"/>
      <c r="Z456" s="9"/>
      <c r="AA456" s="9"/>
      <c r="AB456" s="9" t="str">
        <f>IFERROR(__xludf.DUMMYFUNCTION("""COMPUTED_VALUE"""),"Ken Dana")</f>
        <v>Ken Dana</v>
      </c>
      <c r="AC456" s="9"/>
      <c r="AD456" s="9"/>
      <c r="AE456" s="9">
        <f t="shared" si="8"/>
        <v>1</v>
      </c>
      <c r="AF456" s="19">
        <f t="shared" si="13"/>
        <v>2</v>
      </c>
      <c r="AG456" s="9"/>
      <c r="AH456" s="9"/>
      <c r="AI456" s="9"/>
    </row>
    <row r="457" ht="15.0" customHeight="1">
      <c r="A457" s="11">
        <v>456.0</v>
      </c>
      <c r="B457" s="12">
        <f t="shared" ref="B457:B464" si="84">DATE(2012,12,31)-1384</f>
        <v>39890</v>
      </c>
      <c r="C457" s="13">
        <v>2009.0</v>
      </c>
      <c r="D457" s="11" t="s">
        <v>32</v>
      </c>
      <c r="E457" s="11">
        <v>16.0</v>
      </c>
      <c r="F457" s="21" t="s">
        <v>400</v>
      </c>
      <c r="G457" s="15">
        <v>0.07616598818967314</v>
      </c>
      <c r="H457" s="11" t="s">
        <v>45</v>
      </c>
      <c r="I457" s="16">
        <v>47.136</v>
      </c>
      <c r="J457" s="11" t="s">
        <v>897</v>
      </c>
      <c r="K457" s="11" t="s">
        <v>26</v>
      </c>
      <c r="L457" s="11" t="s">
        <v>36</v>
      </c>
      <c r="M457" s="11" t="s">
        <v>49</v>
      </c>
      <c r="N457" s="11" t="s">
        <v>50</v>
      </c>
      <c r="O457" s="11" t="s">
        <v>123</v>
      </c>
      <c r="P457" s="11" t="s">
        <v>52</v>
      </c>
      <c r="Q457" s="20">
        <v>39891.0</v>
      </c>
      <c r="R457" s="17">
        <f t="shared" si="2"/>
        <v>437.3097632</v>
      </c>
      <c r="S457" s="9"/>
      <c r="T457" s="9"/>
      <c r="U457" s="9"/>
      <c r="V457" s="9"/>
      <c r="W457" s="9"/>
      <c r="X457" s="9"/>
      <c r="Y457" s="9"/>
      <c r="Z457" s="9"/>
      <c r="AA457" s="9"/>
      <c r="AB457" s="9" t="str">
        <f>IFERROR(__xludf.DUMMYFUNCTION("""COMPUTED_VALUE"""),"Troy Blackwell")</f>
        <v>Troy Blackwell</v>
      </c>
      <c r="AC457" s="9"/>
      <c r="AD457" s="9"/>
      <c r="AE457" s="9">
        <f t="shared" si="8"/>
        <v>2</v>
      </c>
      <c r="AF457" s="19">
        <f t="shared" si="13"/>
        <v>1</v>
      </c>
      <c r="AG457" s="9"/>
      <c r="AH457" s="9"/>
      <c r="AI457" s="9"/>
    </row>
    <row r="458" ht="15.0" customHeight="1">
      <c r="A458" s="11">
        <v>457.0</v>
      </c>
      <c r="B458" s="12">
        <f t="shared" si="84"/>
        <v>39890</v>
      </c>
      <c r="C458" s="13">
        <v>2009.0</v>
      </c>
      <c r="D458" s="11" t="s">
        <v>39</v>
      </c>
      <c r="E458" s="11">
        <v>19.0</v>
      </c>
      <c r="F458" s="21" t="s">
        <v>122</v>
      </c>
      <c r="G458" s="15">
        <v>0.016319921491658593</v>
      </c>
      <c r="H458" s="11" t="s">
        <v>33</v>
      </c>
      <c r="I458" s="16">
        <v>3.848</v>
      </c>
      <c r="J458" s="11" t="s">
        <v>898</v>
      </c>
      <c r="K458" s="11" t="s">
        <v>35</v>
      </c>
      <c r="L458" s="11" t="s">
        <v>48</v>
      </c>
      <c r="M458" s="11" t="s">
        <v>66</v>
      </c>
      <c r="N458" s="11" t="s">
        <v>80</v>
      </c>
      <c r="O458" s="11" t="s">
        <v>899</v>
      </c>
      <c r="P458" s="11" t="s">
        <v>75</v>
      </c>
      <c r="Q458" s="20">
        <v>39891.0</v>
      </c>
      <c r="R458" s="17">
        <f t="shared" si="2"/>
        <v>6.543439882</v>
      </c>
      <c r="S458" s="9"/>
      <c r="T458" s="9"/>
      <c r="U458" s="9"/>
      <c r="V458" s="9"/>
      <c r="W458" s="9"/>
      <c r="X458" s="9"/>
      <c r="Y458" s="9"/>
      <c r="Z458" s="9"/>
      <c r="AA458" s="9"/>
      <c r="AB458" s="9" t="str">
        <f>IFERROR(__xludf.DUMMYFUNCTION("""COMPUTED_VALUE"""),"Craig Rider")</f>
        <v>Craig Rider</v>
      </c>
      <c r="AC458" s="9"/>
      <c r="AD458" s="9"/>
      <c r="AE458" s="9">
        <f t="shared" si="8"/>
        <v>4</v>
      </c>
      <c r="AF458" s="19">
        <f t="shared" si="13"/>
        <v>2</v>
      </c>
      <c r="AG458" s="9"/>
      <c r="AH458" s="9"/>
      <c r="AI458" s="9"/>
    </row>
    <row r="459" ht="15.0" customHeight="1">
      <c r="A459" s="11">
        <v>458.0</v>
      </c>
      <c r="B459" s="12">
        <f t="shared" si="84"/>
        <v>39890</v>
      </c>
      <c r="C459" s="13">
        <v>2009.0</v>
      </c>
      <c r="D459" s="11" t="s">
        <v>23</v>
      </c>
      <c r="E459" s="11">
        <v>10.0</v>
      </c>
      <c r="F459" s="21" t="s">
        <v>319</v>
      </c>
      <c r="G459" s="15">
        <v>0.07491856677524432</v>
      </c>
      <c r="H459" s="11" t="s">
        <v>33</v>
      </c>
      <c r="I459" s="16">
        <v>0.4</v>
      </c>
      <c r="J459" s="11" t="s">
        <v>900</v>
      </c>
      <c r="K459" s="11" t="s">
        <v>61</v>
      </c>
      <c r="L459" s="11" t="s">
        <v>48</v>
      </c>
      <c r="M459" s="11" t="s">
        <v>28</v>
      </c>
      <c r="N459" s="11" t="s">
        <v>188</v>
      </c>
      <c r="O459" s="11" t="s">
        <v>901</v>
      </c>
      <c r="P459" s="11" t="s">
        <v>38</v>
      </c>
      <c r="Q459" s="20">
        <v>39891.0</v>
      </c>
      <c r="R459" s="17">
        <f t="shared" si="2"/>
        <v>2.127687296</v>
      </c>
      <c r="S459" s="9"/>
      <c r="T459" s="9"/>
      <c r="U459" s="9"/>
      <c r="V459" s="9"/>
      <c r="W459" s="9"/>
      <c r="X459" s="9"/>
      <c r="Y459" s="9"/>
      <c r="Z459" s="9"/>
      <c r="AA459" s="9"/>
      <c r="AB459" s="9" t="str">
        <f>IFERROR(__xludf.DUMMYFUNCTION("""COMPUTED_VALUE"""),"Alice McCarthy")</f>
        <v>Alice McCarthy</v>
      </c>
      <c r="AC459" s="9"/>
      <c r="AD459" s="9"/>
      <c r="AE459" s="9">
        <f t="shared" si="8"/>
        <v>4</v>
      </c>
      <c r="AF459" s="19">
        <f t="shared" si="13"/>
        <v>4</v>
      </c>
      <c r="AG459" s="9"/>
      <c r="AH459" s="9"/>
      <c r="AI459" s="9"/>
    </row>
    <row r="460" ht="15.0" customHeight="1">
      <c r="A460" s="11">
        <v>459.0</v>
      </c>
      <c r="B460" s="12">
        <f t="shared" si="84"/>
        <v>39890</v>
      </c>
      <c r="C460" s="13">
        <v>2009.0</v>
      </c>
      <c r="D460" s="11" t="s">
        <v>102</v>
      </c>
      <c r="E460" s="11">
        <v>44.0</v>
      </c>
      <c r="F460" s="21" t="s">
        <v>902</v>
      </c>
      <c r="G460" s="15">
        <v>0.011559439993526021</v>
      </c>
      <c r="H460" s="11" t="s">
        <v>45</v>
      </c>
      <c r="I460" s="16">
        <v>51.728</v>
      </c>
      <c r="J460" s="11" t="s">
        <v>574</v>
      </c>
      <c r="K460" s="11" t="s">
        <v>61</v>
      </c>
      <c r="L460" s="11" t="s">
        <v>48</v>
      </c>
      <c r="M460" s="11" t="s">
        <v>49</v>
      </c>
      <c r="N460" s="11" t="s">
        <v>156</v>
      </c>
      <c r="O460" s="11" t="s">
        <v>903</v>
      </c>
      <c r="P460" s="11" t="s">
        <v>87</v>
      </c>
      <c r="Q460" s="20">
        <v>39891.0</v>
      </c>
      <c r="R460" s="17">
        <f t="shared" si="2"/>
        <v>112.9510797</v>
      </c>
      <c r="S460" s="9"/>
      <c r="T460" s="9"/>
      <c r="U460" s="9"/>
      <c r="V460" s="9"/>
      <c r="W460" s="9"/>
      <c r="X460" s="9"/>
      <c r="Y460" s="9"/>
      <c r="Z460" s="9"/>
      <c r="AA460" s="9"/>
      <c r="AB460" s="9" t="str">
        <f>IFERROR(__xludf.DUMMYFUNCTION("""COMPUTED_VALUE"""),"Darrin Martin")</f>
        <v>Darrin Martin</v>
      </c>
      <c r="AC460" s="9"/>
      <c r="AD460" s="9"/>
      <c r="AE460" s="9">
        <f t="shared" si="8"/>
        <v>4</v>
      </c>
      <c r="AF460" s="19">
        <f t="shared" si="13"/>
        <v>4</v>
      </c>
      <c r="AG460" s="9"/>
      <c r="AH460" s="9"/>
      <c r="AI460" s="9"/>
    </row>
    <row r="461" ht="15.0" customHeight="1">
      <c r="A461" s="11">
        <v>460.0</v>
      </c>
      <c r="B461" s="12">
        <f t="shared" si="84"/>
        <v>39890</v>
      </c>
      <c r="C461" s="13">
        <v>2009.0</v>
      </c>
      <c r="D461" s="11" t="s">
        <v>102</v>
      </c>
      <c r="E461" s="11">
        <v>32.0</v>
      </c>
      <c r="F461" s="21" t="s">
        <v>509</v>
      </c>
      <c r="G461" s="15">
        <v>0.01158372456964013</v>
      </c>
      <c r="H461" s="11" t="s">
        <v>24</v>
      </c>
      <c r="I461" s="16">
        <v>11.192</v>
      </c>
      <c r="J461" s="11" t="s">
        <v>904</v>
      </c>
      <c r="K461" s="11" t="s">
        <v>61</v>
      </c>
      <c r="L461" s="11" t="s">
        <v>36</v>
      </c>
      <c r="M461" s="11" t="s">
        <v>28</v>
      </c>
      <c r="N461" s="11" t="s">
        <v>197</v>
      </c>
      <c r="O461" s="11" t="s">
        <v>511</v>
      </c>
      <c r="P461" s="11" t="s">
        <v>75</v>
      </c>
      <c r="Q461" s="20">
        <v>39891.0</v>
      </c>
      <c r="R461" s="17">
        <f t="shared" si="2"/>
        <v>29.26502908</v>
      </c>
      <c r="S461" s="9"/>
      <c r="T461" s="9"/>
      <c r="U461" s="9"/>
      <c r="V461" s="9"/>
      <c r="W461" s="9"/>
      <c r="X461" s="9"/>
      <c r="Y461" s="9"/>
      <c r="Z461" s="9"/>
      <c r="AA461" s="9"/>
      <c r="AB461" s="9" t="str">
        <f>IFERROR(__xludf.DUMMYFUNCTION("""COMPUTED_VALUE"""),"Bryan Mills")</f>
        <v>Bryan Mills</v>
      </c>
      <c r="AC461" s="9"/>
      <c r="AD461" s="9"/>
      <c r="AE461" s="9">
        <f t="shared" si="8"/>
        <v>2</v>
      </c>
      <c r="AF461" s="19">
        <f t="shared" si="13"/>
        <v>4</v>
      </c>
      <c r="AG461" s="9"/>
      <c r="AH461" s="9"/>
      <c r="AI461" s="9"/>
    </row>
    <row r="462" ht="15.0" customHeight="1">
      <c r="A462" s="11">
        <v>461.0</v>
      </c>
      <c r="B462" s="12">
        <f t="shared" si="84"/>
        <v>39890</v>
      </c>
      <c r="C462" s="13">
        <v>2009.0</v>
      </c>
      <c r="D462" s="11" t="s">
        <v>102</v>
      </c>
      <c r="E462" s="11">
        <v>7.0</v>
      </c>
      <c r="F462" s="21" t="s">
        <v>158</v>
      </c>
      <c r="G462" s="15">
        <v>0.10639455782312914</v>
      </c>
      <c r="H462" s="11" t="s">
        <v>33</v>
      </c>
      <c r="I462" s="16">
        <v>7.744</v>
      </c>
      <c r="J462" s="11" t="s">
        <v>904</v>
      </c>
      <c r="K462" s="11" t="s">
        <v>61</v>
      </c>
      <c r="L462" s="11" t="s">
        <v>36</v>
      </c>
      <c r="M462" s="11" t="s">
        <v>28</v>
      </c>
      <c r="N462" s="11" t="s">
        <v>56</v>
      </c>
      <c r="O462" s="11" t="s">
        <v>635</v>
      </c>
      <c r="P462" s="11" t="s">
        <v>38</v>
      </c>
      <c r="Q462" s="20">
        <v>39891.0</v>
      </c>
      <c r="R462" s="17">
        <f t="shared" si="2"/>
        <v>5.590395646</v>
      </c>
      <c r="S462" s="9"/>
      <c r="T462" s="9"/>
      <c r="U462" s="9"/>
      <c r="V462" s="9"/>
      <c r="W462" s="9"/>
      <c r="X462" s="9"/>
      <c r="Y462" s="9"/>
      <c r="Z462" s="9"/>
      <c r="AA462" s="9"/>
      <c r="AB462" s="9" t="str">
        <f>IFERROR(__xludf.DUMMYFUNCTION("""COMPUTED_VALUE"""),"Rob Dowd")</f>
        <v>Rob Dowd</v>
      </c>
      <c r="AC462" s="9"/>
      <c r="AD462" s="9"/>
      <c r="AE462" s="9">
        <f t="shared" si="8"/>
        <v>2</v>
      </c>
      <c r="AF462" s="19">
        <f t="shared" si="13"/>
        <v>4</v>
      </c>
      <c r="AG462" s="9"/>
      <c r="AH462" s="9"/>
      <c r="AI462" s="9"/>
    </row>
    <row r="463" ht="15.0" customHeight="1">
      <c r="A463" s="11">
        <v>462.0</v>
      </c>
      <c r="B463" s="12">
        <f t="shared" si="84"/>
        <v>39890</v>
      </c>
      <c r="C463" s="13">
        <v>2009.0</v>
      </c>
      <c r="D463" s="11" t="s">
        <v>39</v>
      </c>
      <c r="E463" s="11">
        <v>23.0</v>
      </c>
      <c r="F463" s="21" t="s">
        <v>103</v>
      </c>
      <c r="G463" s="15">
        <v>0.1089101338432122</v>
      </c>
      <c r="H463" s="11" t="s">
        <v>33</v>
      </c>
      <c r="I463" s="16">
        <v>4.112</v>
      </c>
      <c r="J463" s="11" t="s">
        <v>905</v>
      </c>
      <c r="K463" s="11" t="s">
        <v>61</v>
      </c>
      <c r="L463" s="11" t="s">
        <v>27</v>
      </c>
      <c r="M463" s="11" t="s">
        <v>28</v>
      </c>
      <c r="N463" s="11" t="s">
        <v>56</v>
      </c>
      <c r="O463" s="11" t="s">
        <v>906</v>
      </c>
      <c r="P463" s="11" t="s">
        <v>38</v>
      </c>
      <c r="Q463" s="20">
        <v>39891.0</v>
      </c>
      <c r="R463" s="17">
        <f t="shared" si="2"/>
        <v>15.22694363</v>
      </c>
      <c r="S463" s="9"/>
      <c r="T463" s="9"/>
      <c r="U463" s="9"/>
      <c r="V463" s="9"/>
      <c r="W463" s="9"/>
      <c r="X463" s="9"/>
      <c r="Y463" s="9"/>
      <c r="Z463" s="9"/>
      <c r="AA463" s="9"/>
      <c r="AB463" s="9" t="str">
        <f>IFERROR(__xludf.DUMMYFUNCTION("""COMPUTED_VALUE"""),"Bobby Odegard")</f>
        <v>Bobby Odegard</v>
      </c>
      <c r="AC463" s="9"/>
      <c r="AD463" s="9"/>
      <c r="AE463" s="9">
        <f t="shared" si="8"/>
        <v>1</v>
      </c>
      <c r="AF463" s="19">
        <f t="shared" si="13"/>
        <v>4</v>
      </c>
      <c r="AG463" s="9"/>
      <c r="AH463" s="9"/>
      <c r="AI463" s="9"/>
    </row>
    <row r="464" ht="15.0" customHeight="1">
      <c r="A464" s="11">
        <v>463.0</v>
      </c>
      <c r="B464" s="12">
        <f t="shared" si="84"/>
        <v>39890</v>
      </c>
      <c r="C464" s="13">
        <v>2009.0</v>
      </c>
      <c r="D464" s="11" t="s">
        <v>39</v>
      </c>
      <c r="E464" s="11">
        <v>18.0</v>
      </c>
      <c r="F464" s="21" t="s">
        <v>122</v>
      </c>
      <c r="G464" s="15">
        <v>0.07425033171163195</v>
      </c>
      <c r="H464" s="11" t="s">
        <v>45</v>
      </c>
      <c r="I464" s="16">
        <v>42.42400000000001</v>
      </c>
      <c r="J464" s="11" t="s">
        <v>907</v>
      </c>
      <c r="K464" s="11" t="s">
        <v>47</v>
      </c>
      <c r="L464" s="11" t="s">
        <v>27</v>
      </c>
      <c r="M464" s="11" t="s">
        <v>28</v>
      </c>
      <c r="N464" s="11" t="s">
        <v>29</v>
      </c>
      <c r="O464" s="11" t="s">
        <v>725</v>
      </c>
      <c r="P464" s="11" t="s">
        <v>52</v>
      </c>
      <c r="Q464" s="20">
        <v>39891.0</v>
      </c>
      <c r="R464" s="17">
        <f t="shared" si="2"/>
        <v>31.08297086</v>
      </c>
      <c r="S464" s="9"/>
      <c r="T464" s="9"/>
      <c r="U464" s="9"/>
      <c r="V464" s="9"/>
      <c r="W464" s="9"/>
      <c r="X464" s="9"/>
      <c r="Y464" s="9"/>
      <c r="Z464" s="9"/>
      <c r="AA464" s="9"/>
      <c r="AB464" s="9" t="str">
        <f>IFERROR(__xludf.DUMMYFUNCTION("""COMPUTED_VALUE"""),"Irene Maddox")</f>
        <v>Irene Maddox</v>
      </c>
      <c r="AC464" s="9"/>
      <c r="AD464" s="9"/>
      <c r="AE464" s="9">
        <f t="shared" si="8"/>
        <v>1</v>
      </c>
      <c r="AF464" s="19">
        <f t="shared" si="13"/>
        <v>3</v>
      </c>
      <c r="AG464" s="9"/>
      <c r="AH464" s="9"/>
      <c r="AI464" s="9"/>
    </row>
    <row r="465" ht="15.0" customHeight="1">
      <c r="A465" s="11">
        <v>464.0</v>
      </c>
      <c r="B465" s="12">
        <f t="shared" ref="B465:B471" si="85">DATE(2012,12,31)-1383</f>
        <v>39891</v>
      </c>
      <c r="C465" s="13">
        <v>2009.0</v>
      </c>
      <c r="D465" s="11" t="s">
        <v>32</v>
      </c>
      <c r="E465" s="11">
        <v>39.0</v>
      </c>
      <c r="F465" s="21" t="s">
        <v>908</v>
      </c>
      <c r="G465" s="15">
        <v>0.069675937320535</v>
      </c>
      <c r="H465" s="11" t="s">
        <v>33</v>
      </c>
      <c r="I465" s="16">
        <v>6.872</v>
      </c>
      <c r="J465" s="11" t="s">
        <v>703</v>
      </c>
      <c r="K465" s="11" t="s">
        <v>35</v>
      </c>
      <c r="L465" s="11" t="s">
        <v>41</v>
      </c>
      <c r="M465" s="11" t="s">
        <v>66</v>
      </c>
      <c r="N465" s="11" t="s">
        <v>80</v>
      </c>
      <c r="O465" s="11" t="s">
        <v>909</v>
      </c>
      <c r="P465" s="11" t="s">
        <v>75</v>
      </c>
      <c r="Q465" s="20">
        <v>39892.0</v>
      </c>
      <c r="R465" s="17">
        <f t="shared" si="2"/>
        <v>79.010562</v>
      </c>
      <c r="S465" s="9"/>
      <c r="T465" s="9"/>
      <c r="U465" s="9"/>
      <c r="V465" s="9"/>
      <c r="W465" s="9"/>
      <c r="X465" s="9"/>
      <c r="Y465" s="9"/>
      <c r="Z465" s="9"/>
      <c r="AA465" s="9"/>
      <c r="AB465" s="9" t="str">
        <f>IFERROR(__xludf.DUMMYFUNCTION("""COMPUTED_VALUE"""),"Liz Carlisle")</f>
        <v>Liz Carlisle</v>
      </c>
      <c r="AC465" s="9"/>
      <c r="AD465" s="9"/>
      <c r="AE465" s="9">
        <f t="shared" si="8"/>
        <v>3</v>
      </c>
      <c r="AF465" s="19">
        <f t="shared" si="13"/>
        <v>2</v>
      </c>
      <c r="AG465" s="9"/>
      <c r="AH465" s="9"/>
      <c r="AI465" s="9"/>
    </row>
    <row r="466" ht="15.0" customHeight="1">
      <c r="A466" s="11">
        <v>465.0</v>
      </c>
      <c r="B466" s="12">
        <f t="shared" si="85"/>
        <v>39891</v>
      </c>
      <c r="C466" s="13">
        <v>2009.0</v>
      </c>
      <c r="D466" s="11" t="s">
        <v>39</v>
      </c>
      <c r="E466" s="11">
        <v>28.0</v>
      </c>
      <c r="F466" s="21" t="s">
        <v>207</v>
      </c>
      <c r="G466" s="15">
        <v>0.06992700729927012</v>
      </c>
      <c r="H466" s="11" t="s">
        <v>33</v>
      </c>
      <c r="I466" s="16">
        <v>4.5040000000000004</v>
      </c>
      <c r="J466" s="11" t="s">
        <v>910</v>
      </c>
      <c r="K466" s="11" t="s">
        <v>117</v>
      </c>
      <c r="L466" s="11" t="s">
        <v>48</v>
      </c>
      <c r="M466" s="11" t="s">
        <v>28</v>
      </c>
      <c r="N466" s="11" t="s">
        <v>42</v>
      </c>
      <c r="O466" s="11" t="s">
        <v>911</v>
      </c>
      <c r="P466" s="11" t="s">
        <v>38</v>
      </c>
      <c r="Q466" s="20">
        <v>39892.0</v>
      </c>
      <c r="R466" s="17">
        <f t="shared" si="2"/>
        <v>10.69211912</v>
      </c>
      <c r="S466" s="9"/>
      <c r="T466" s="9"/>
      <c r="U466" s="9"/>
      <c r="V466" s="9"/>
      <c r="W466" s="9"/>
      <c r="X466" s="9"/>
      <c r="Y466" s="9"/>
      <c r="Z466" s="9"/>
      <c r="AA466" s="9"/>
      <c r="AB466" s="9" t="str">
        <f>IFERROR(__xludf.DUMMYFUNCTION("""COMPUTED_VALUE"""),"John Castell")</f>
        <v>John Castell</v>
      </c>
      <c r="AC466" s="9"/>
      <c r="AD466" s="9"/>
      <c r="AE466" s="9">
        <f t="shared" si="8"/>
        <v>4</v>
      </c>
      <c r="AF466" s="19" t="b">
        <f t="shared" si="13"/>
        <v>0</v>
      </c>
      <c r="AG466" s="9"/>
      <c r="AH466" s="9"/>
      <c r="AI466" s="9"/>
    </row>
    <row r="467" ht="15.0" customHeight="1">
      <c r="A467" s="11">
        <v>466.0</v>
      </c>
      <c r="B467" s="12">
        <f t="shared" si="85"/>
        <v>39891</v>
      </c>
      <c r="C467" s="13">
        <v>2009.0</v>
      </c>
      <c r="D467" s="11" t="s">
        <v>39</v>
      </c>
      <c r="E467" s="11">
        <v>19.0</v>
      </c>
      <c r="F467" s="21" t="s">
        <v>178</v>
      </c>
      <c r="G467" s="15">
        <v>0.0674673396674583</v>
      </c>
      <c r="H467" s="11" t="s">
        <v>24</v>
      </c>
      <c r="I467" s="16">
        <v>4.208</v>
      </c>
      <c r="J467" s="11" t="s">
        <v>910</v>
      </c>
      <c r="K467" s="11" t="s">
        <v>117</v>
      </c>
      <c r="L467" s="11" t="s">
        <v>48</v>
      </c>
      <c r="M467" s="11" t="s">
        <v>66</v>
      </c>
      <c r="N467" s="11" t="s">
        <v>80</v>
      </c>
      <c r="O467" s="11" t="s">
        <v>912</v>
      </c>
      <c r="P467" s="11" t="s">
        <v>38</v>
      </c>
      <c r="Q467" s="20">
        <v>39892.0</v>
      </c>
      <c r="R467" s="17">
        <f t="shared" si="2"/>
        <v>84.75975856</v>
      </c>
      <c r="S467" s="9"/>
      <c r="T467" s="9"/>
      <c r="U467" s="9"/>
      <c r="V467" s="9"/>
      <c r="W467" s="9"/>
      <c r="X467" s="9"/>
      <c r="Y467" s="9"/>
      <c r="Z467" s="9"/>
      <c r="AA467" s="9"/>
      <c r="AB467" s="9" t="str">
        <f>IFERROR(__xludf.DUMMYFUNCTION("""COMPUTED_VALUE"""),"Brosina Hoffman")</f>
        <v>Brosina Hoffman</v>
      </c>
      <c r="AC467" s="9"/>
      <c r="AD467" s="9"/>
      <c r="AE467" s="9">
        <f t="shared" si="8"/>
        <v>4</v>
      </c>
      <c r="AF467" s="19" t="b">
        <f t="shared" si="13"/>
        <v>0</v>
      </c>
      <c r="AG467" s="9"/>
      <c r="AH467" s="9"/>
      <c r="AI467" s="9"/>
    </row>
    <row r="468" ht="15.0" customHeight="1">
      <c r="A468" s="11">
        <v>467.0</v>
      </c>
      <c r="B468" s="12">
        <f t="shared" si="85"/>
        <v>39891</v>
      </c>
      <c r="C468" s="13">
        <v>2009.0</v>
      </c>
      <c r="D468" s="11" t="s">
        <v>32</v>
      </c>
      <c r="E468" s="11">
        <v>28.0</v>
      </c>
      <c r="F468" s="21" t="s">
        <v>151</v>
      </c>
      <c r="G468" s="15">
        <v>0.040579110651499405</v>
      </c>
      <c r="H468" s="11" t="s">
        <v>33</v>
      </c>
      <c r="I468" s="16">
        <v>3.176</v>
      </c>
      <c r="J468" s="11" t="s">
        <v>913</v>
      </c>
      <c r="K468" s="11" t="s">
        <v>35</v>
      </c>
      <c r="L468" s="11" t="s">
        <v>27</v>
      </c>
      <c r="M468" s="11" t="s">
        <v>28</v>
      </c>
      <c r="N468" s="11" t="s">
        <v>62</v>
      </c>
      <c r="O468" s="11" t="s">
        <v>153</v>
      </c>
      <c r="P468" s="11" t="s">
        <v>58</v>
      </c>
      <c r="Q468" s="20">
        <v>39892.0</v>
      </c>
      <c r="R468" s="17">
        <f t="shared" si="2"/>
        <v>3.76476757</v>
      </c>
      <c r="S468" s="9"/>
      <c r="T468" s="9"/>
      <c r="U468" s="9"/>
      <c r="V468" s="9"/>
      <c r="W468" s="9"/>
      <c r="X468" s="9"/>
      <c r="Y468" s="9"/>
      <c r="Z468" s="9"/>
      <c r="AA468" s="9"/>
      <c r="AB468" s="9" t="str">
        <f>IFERROR(__xludf.DUMMYFUNCTION("""COMPUTED_VALUE"""),"Cari MacIntyre")</f>
        <v>Cari MacIntyre</v>
      </c>
      <c r="AC468" s="9"/>
      <c r="AD468" s="9"/>
      <c r="AE468" s="9">
        <f t="shared" si="8"/>
        <v>1</v>
      </c>
      <c r="AF468" s="19">
        <f t="shared" si="13"/>
        <v>2</v>
      </c>
      <c r="AG468" s="9"/>
      <c r="AH468" s="9"/>
      <c r="AI468" s="9"/>
    </row>
    <row r="469" ht="15.0" customHeight="1">
      <c r="A469" s="11">
        <v>468.0</v>
      </c>
      <c r="B469" s="12">
        <f t="shared" si="85"/>
        <v>39891</v>
      </c>
      <c r="C469" s="13">
        <v>2009.0</v>
      </c>
      <c r="D469" s="11" t="s">
        <v>32</v>
      </c>
      <c r="E469" s="11">
        <v>11.0</v>
      </c>
      <c r="F469" s="21" t="s">
        <v>914</v>
      </c>
      <c r="G469" s="15">
        <v>0.09979734008866377</v>
      </c>
      <c r="H469" s="11" t="s">
        <v>33</v>
      </c>
      <c r="I469" s="16">
        <v>10.384</v>
      </c>
      <c r="J469" s="11" t="s">
        <v>913</v>
      </c>
      <c r="K469" s="11" t="s">
        <v>35</v>
      </c>
      <c r="L469" s="11" t="s">
        <v>27</v>
      </c>
      <c r="M469" s="11" t="s">
        <v>28</v>
      </c>
      <c r="N469" s="11" t="s">
        <v>42</v>
      </c>
      <c r="O469" s="11" t="s">
        <v>915</v>
      </c>
      <c r="P469" s="11" t="s">
        <v>38</v>
      </c>
      <c r="Q469" s="20">
        <v>39892.0</v>
      </c>
      <c r="R469" s="17">
        <f t="shared" si="2"/>
        <v>28.37078703</v>
      </c>
      <c r="S469" s="9"/>
      <c r="T469" s="9"/>
      <c r="U469" s="9"/>
      <c r="V469" s="9"/>
      <c r="W469" s="9"/>
      <c r="X469" s="9"/>
      <c r="Y469" s="9"/>
      <c r="Z469" s="9"/>
      <c r="AA469" s="9"/>
      <c r="AB469" s="9" t="str">
        <f>IFERROR(__xludf.DUMMYFUNCTION("""COMPUTED_VALUE"""),"Todd Boyes")</f>
        <v>Todd Boyes</v>
      </c>
      <c r="AC469" s="9"/>
      <c r="AD469" s="9"/>
      <c r="AE469" s="9">
        <f t="shared" si="8"/>
        <v>1</v>
      </c>
      <c r="AF469" s="19">
        <f t="shared" si="13"/>
        <v>2</v>
      </c>
      <c r="AG469" s="9"/>
      <c r="AH469" s="9"/>
      <c r="AI469" s="9"/>
    </row>
    <row r="470" ht="15.0" customHeight="1">
      <c r="A470" s="11">
        <v>469.0</v>
      </c>
      <c r="B470" s="12">
        <f t="shared" si="85"/>
        <v>39891</v>
      </c>
      <c r="C470" s="13">
        <v>2009.0</v>
      </c>
      <c r="D470" s="11" t="s">
        <v>32</v>
      </c>
      <c r="E470" s="11">
        <v>9.0</v>
      </c>
      <c r="F470" s="21" t="s">
        <v>621</v>
      </c>
      <c r="G470" s="15">
        <v>0.05895590316288678</v>
      </c>
      <c r="H470" s="11" t="s">
        <v>45</v>
      </c>
      <c r="I470" s="16">
        <v>22.448</v>
      </c>
      <c r="J470" s="11" t="s">
        <v>913</v>
      </c>
      <c r="K470" s="11" t="s">
        <v>35</v>
      </c>
      <c r="L470" s="11" t="s">
        <v>27</v>
      </c>
      <c r="M470" s="11" t="s">
        <v>66</v>
      </c>
      <c r="N470" s="11" t="s">
        <v>69</v>
      </c>
      <c r="O470" s="11" t="s">
        <v>916</v>
      </c>
      <c r="P470" s="11" t="s">
        <v>52</v>
      </c>
      <c r="Q470" s="20">
        <v>39892.0</v>
      </c>
      <c r="R470" s="17">
        <f t="shared" si="2"/>
        <v>145.0638296</v>
      </c>
      <c r="S470" s="9"/>
      <c r="T470" s="9"/>
      <c r="U470" s="9"/>
      <c r="V470" s="9"/>
      <c r="W470" s="9"/>
      <c r="X470" s="9"/>
      <c r="Y470" s="9"/>
      <c r="Z470" s="9"/>
      <c r="AA470" s="9"/>
      <c r="AB470" s="9" t="str">
        <f>IFERROR(__xludf.DUMMYFUNCTION("""COMPUTED_VALUE"""),"Julia Dunbar")</f>
        <v>Julia Dunbar</v>
      </c>
      <c r="AC470" s="9"/>
      <c r="AD470" s="9"/>
      <c r="AE470" s="9">
        <f t="shared" si="8"/>
        <v>1</v>
      </c>
      <c r="AF470" s="19">
        <f t="shared" si="13"/>
        <v>2</v>
      </c>
      <c r="AG470" s="9"/>
      <c r="AH470" s="9"/>
      <c r="AI470" s="9"/>
    </row>
    <row r="471" ht="15.0" customHeight="1">
      <c r="A471" s="11">
        <v>470.0</v>
      </c>
      <c r="B471" s="12">
        <f t="shared" si="85"/>
        <v>39891</v>
      </c>
      <c r="C471" s="13">
        <v>2009.0</v>
      </c>
      <c r="D471" s="11" t="s">
        <v>32</v>
      </c>
      <c r="E471" s="11">
        <v>29.0</v>
      </c>
      <c r="F471" s="21" t="s">
        <v>610</v>
      </c>
      <c r="G471" s="15">
        <v>0.009713024282560814</v>
      </c>
      <c r="H471" s="11" t="s">
        <v>24</v>
      </c>
      <c r="I471" s="16">
        <v>5.08</v>
      </c>
      <c r="J471" s="11" t="s">
        <v>913</v>
      </c>
      <c r="K471" s="11" t="s">
        <v>35</v>
      </c>
      <c r="L471" s="11" t="s">
        <v>27</v>
      </c>
      <c r="M471" s="11" t="s">
        <v>28</v>
      </c>
      <c r="N471" s="11" t="s">
        <v>56</v>
      </c>
      <c r="O471" s="11" t="s">
        <v>917</v>
      </c>
      <c r="P471" s="11" t="s">
        <v>38</v>
      </c>
      <c r="Q471" s="20">
        <v>39892.0</v>
      </c>
      <c r="R471" s="17">
        <f t="shared" si="2"/>
        <v>3.485810155</v>
      </c>
      <c r="S471" s="9"/>
      <c r="T471" s="9"/>
      <c r="U471" s="9"/>
      <c r="V471" s="9"/>
      <c r="W471" s="9"/>
      <c r="X471" s="9"/>
      <c r="Y471" s="9"/>
      <c r="Z471" s="9"/>
      <c r="AA471" s="9"/>
      <c r="AB471" s="9" t="str">
        <f>IFERROR(__xludf.DUMMYFUNCTION("""COMPUTED_VALUE"""),"Don Jones")</f>
        <v>Don Jones</v>
      </c>
      <c r="AC471" s="9"/>
      <c r="AD471" s="9"/>
      <c r="AE471" s="9">
        <f t="shared" si="8"/>
        <v>1</v>
      </c>
      <c r="AF471" s="19">
        <f t="shared" si="13"/>
        <v>2</v>
      </c>
      <c r="AG471" s="9"/>
      <c r="AH471" s="9"/>
      <c r="AI471" s="9"/>
    </row>
    <row r="472" ht="15.0" customHeight="1">
      <c r="A472" s="11">
        <v>471.0</v>
      </c>
      <c r="B472" s="12">
        <f t="shared" ref="B472:B477" si="86">DATE(2012,12,31)-1382</f>
        <v>39892</v>
      </c>
      <c r="C472" s="13">
        <v>2009.0</v>
      </c>
      <c r="D472" s="11" t="s">
        <v>102</v>
      </c>
      <c r="E472" s="11">
        <v>9.0</v>
      </c>
      <c r="F472" s="21" t="s">
        <v>210</v>
      </c>
      <c r="G472" s="15">
        <v>0.06299212598425188</v>
      </c>
      <c r="H472" s="11" t="s">
        <v>33</v>
      </c>
      <c r="I472" s="16">
        <v>0.4</v>
      </c>
      <c r="J472" s="11" t="s">
        <v>239</v>
      </c>
      <c r="K472" s="11" t="s">
        <v>61</v>
      </c>
      <c r="L472" s="11" t="s">
        <v>48</v>
      </c>
      <c r="M472" s="11" t="s">
        <v>28</v>
      </c>
      <c r="N472" s="11" t="s">
        <v>188</v>
      </c>
      <c r="O472" s="11" t="s">
        <v>918</v>
      </c>
      <c r="P472" s="11" t="s">
        <v>38</v>
      </c>
      <c r="Q472" s="20">
        <v>39893.0</v>
      </c>
      <c r="R472" s="17">
        <f t="shared" si="2"/>
        <v>1.499212598</v>
      </c>
      <c r="S472" s="9"/>
      <c r="T472" s="9"/>
      <c r="U472" s="9"/>
      <c r="V472" s="9"/>
      <c r="W472" s="9"/>
      <c r="X472" s="9"/>
      <c r="Y472" s="9"/>
      <c r="Z472" s="9"/>
      <c r="AA472" s="9"/>
      <c r="AB472" s="9" t="str">
        <f>IFERROR(__xludf.DUMMYFUNCTION("""COMPUTED_VALUE"""),"Joseph Airdo")</f>
        <v>Joseph Airdo</v>
      </c>
      <c r="AC472" s="9"/>
      <c r="AD472" s="9"/>
      <c r="AE472" s="9">
        <f t="shared" si="8"/>
        <v>4</v>
      </c>
      <c r="AF472" s="19">
        <f t="shared" si="13"/>
        <v>4</v>
      </c>
      <c r="AG472" s="9"/>
      <c r="AH472" s="9"/>
      <c r="AI472" s="9"/>
    </row>
    <row r="473" ht="15.0" customHeight="1">
      <c r="A473" s="11">
        <v>472.0</v>
      </c>
      <c r="B473" s="12">
        <f t="shared" si="86"/>
        <v>39892</v>
      </c>
      <c r="C473" s="13">
        <v>2009.0</v>
      </c>
      <c r="D473" s="11" t="s">
        <v>102</v>
      </c>
      <c r="E473" s="11">
        <v>7.0</v>
      </c>
      <c r="F473" s="21" t="s">
        <v>306</v>
      </c>
      <c r="G473" s="15">
        <v>0.018595041322314168</v>
      </c>
      <c r="H473" s="11" t="s">
        <v>33</v>
      </c>
      <c r="I473" s="16">
        <v>3.2</v>
      </c>
      <c r="J473" s="11" t="s">
        <v>919</v>
      </c>
      <c r="K473" s="11" t="s">
        <v>61</v>
      </c>
      <c r="L473" s="11" t="s">
        <v>48</v>
      </c>
      <c r="M473" s="11" t="s">
        <v>66</v>
      </c>
      <c r="N473" s="11" t="s">
        <v>67</v>
      </c>
      <c r="O473" s="11" t="s">
        <v>920</v>
      </c>
      <c r="P473" s="11" t="s">
        <v>38</v>
      </c>
      <c r="Q473" s="20">
        <v>39893.0</v>
      </c>
      <c r="R473" s="17">
        <f t="shared" si="2"/>
        <v>2.649793388</v>
      </c>
      <c r="S473" s="9"/>
      <c r="T473" s="9"/>
      <c r="U473" s="9"/>
      <c r="V473" s="9"/>
      <c r="W473" s="9"/>
      <c r="X473" s="9"/>
      <c r="Y473" s="9"/>
      <c r="Z473" s="9"/>
      <c r="AA473" s="9"/>
      <c r="AB473" s="9" t="str">
        <f>IFERROR(__xludf.DUMMYFUNCTION("""COMPUTED_VALUE"""),"Jeremy Pistek")</f>
        <v>Jeremy Pistek</v>
      </c>
      <c r="AC473" s="9"/>
      <c r="AD473" s="9"/>
      <c r="AE473" s="9">
        <f t="shared" si="8"/>
        <v>4</v>
      </c>
      <c r="AF473" s="19">
        <f t="shared" si="13"/>
        <v>4</v>
      </c>
      <c r="AG473" s="9"/>
      <c r="AH473" s="9"/>
      <c r="AI473" s="9"/>
    </row>
    <row r="474" ht="15.0" customHeight="1">
      <c r="A474" s="11">
        <v>473.0</v>
      </c>
      <c r="B474" s="12">
        <f t="shared" si="86"/>
        <v>39892</v>
      </c>
      <c r="C474" s="13">
        <v>2009.0</v>
      </c>
      <c r="D474" s="11" t="s">
        <v>102</v>
      </c>
      <c r="E474" s="11">
        <v>6.0</v>
      </c>
      <c r="F474" s="21" t="s">
        <v>921</v>
      </c>
      <c r="G474" s="15">
        <v>0.038951930961771235</v>
      </c>
      <c r="H474" s="11" t="s">
        <v>33</v>
      </c>
      <c r="I474" s="16">
        <v>19.592</v>
      </c>
      <c r="J474" s="11" t="s">
        <v>919</v>
      </c>
      <c r="K474" s="11" t="s">
        <v>61</v>
      </c>
      <c r="L474" s="11" t="s">
        <v>48</v>
      </c>
      <c r="M474" s="11" t="s">
        <v>28</v>
      </c>
      <c r="N474" s="11" t="s">
        <v>442</v>
      </c>
      <c r="O474" s="11" t="s">
        <v>922</v>
      </c>
      <c r="P474" s="11" t="s">
        <v>75</v>
      </c>
      <c r="Q474" s="20">
        <v>39894.0</v>
      </c>
      <c r="R474" s="17">
        <f t="shared" si="2"/>
        <v>383.4658679</v>
      </c>
      <c r="S474" s="9"/>
      <c r="T474" s="9"/>
      <c r="U474" s="9"/>
      <c r="V474" s="9"/>
      <c r="W474" s="9"/>
      <c r="X474" s="9"/>
      <c r="Y474" s="9"/>
      <c r="Z474" s="9"/>
      <c r="AA474" s="9"/>
      <c r="AB474" s="9" t="str">
        <f>IFERROR(__xludf.DUMMYFUNCTION("""COMPUTED_VALUE"""),"Stewart Carmichael")</f>
        <v>Stewart Carmichael</v>
      </c>
      <c r="AC474" s="9"/>
      <c r="AD474" s="9"/>
      <c r="AE474" s="9">
        <f t="shared" si="8"/>
        <v>4</v>
      </c>
      <c r="AF474" s="19">
        <f t="shared" si="13"/>
        <v>4</v>
      </c>
      <c r="AG474" s="9"/>
      <c r="AH474" s="9"/>
      <c r="AI474" s="9"/>
    </row>
    <row r="475" ht="15.0" customHeight="1">
      <c r="A475" s="11">
        <v>474.0</v>
      </c>
      <c r="B475" s="12">
        <f t="shared" si="86"/>
        <v>39892</v>
      </c>
      <c r="C475" s="13">
        <v>2009.0</v>
      </c>
      <c r="D475" s="11" t="s">
        <v>44</v>
      </c>
      <c r="E475" s="11">
        <v>30.0</v>
      </c>
      <c r="F475" s="21" t="s">
        <v>513</v>
      </c>
      <c r="G475" s="15">
        <v>0.05841200884372216</v>
      </c>
      <c r="H475" s="11" t="s">
        <v>45</v>
      </c>
      <c r="I475" s="16">
        <v>28.016000000000005</v>
      </c>
      <c r="J475" s="11" t="s">
        <v>657</v>
      </c>
      <c r="K475" s="11" t="s">
        <v>47</v>
      </c>
      <c r="L475" s="11" t="s">
        <v>41</v>
      </c>
      <c r="M475" s="11" t="s">
        <v>49</v>
      </c>
      <c r="N475" s="11" t="s">
        <v>156</v>
      </c>
      <c r="O475" s="11" t="s">
        <v>923</v>
      </c>
      <c r="P475" s="11" t="s">
        <v>87</v>
      </c>
      <c r="Q475" s="20">
        <v>39894.0</v>
      </c>
      <c r="R475" s="17">
        <f t="shared" si="2"/>
        <v>283.5912375</v>
      </c>
      <c r="S475" s="9"/>
      <c r="T475" s="9"/>
      <c r="U475" s="9"/>
      <c r="V475" s="9"/>
      <c r="W475" s="9"/>
      <c r="X475" s="9"/>
      <c r="Y475" s="9"/>
      <c r="Z475" s="9"/>
      <c r="AA475" s="9"/>
      <c r="AB475" s="9" t="str">
        <f>IFERROR(__xludf.DUMMYFUNCTION("""COMPUTED_VALUE"""),"Jim Sink")</f>
        <v>Jim Sink</v>
      </c>
      <c r="AC475" s="9"/>
      <c r="AD475" s="9"/>
      <c r="AE475" s="9">
        <f t="shared" si="8"/>
        <v>3</v>
      </c>
      <c r="AF475" s="19">
        <f t="shared" si="13"/>
        <v>3</v>
      </c>
      <c r="AG475" s="9"/>
      <c r="AH475" s="9"/>
      <c r="AI475" s="9"/>
    </row>
    <row r="476" ht="15.0" customHeight="1">
      <c r="A476" s="11">
        <v>475.0</v>
      </c>
      <c r="B476" s="12">
        <f t="shared" si="86"/>
        <v>39892</v>
      </c>
      <c r="C476" s="13">
        <v>2009.0</v>
      </c>
      <c r="D476" s="11" t="s">
        <v>23</v>
      </c>
      <c r="E476" s="11">
        <v>11.0</v>
      </c>
      <c r="F476" s="21" t="s">
        <v>924</v>
      </c>
      <c r="G476" s="15">
        <v>0.024712643678161037</v>
      </c>
      <c r="H476" s="11" t="s">
        <v>33</v>
      </c>
      <c r="I476" s="16">
        <v>1.72</v>
      </c>
      <c r="J476" s="11" t="s">
        <v>925</v>
      </c>
      <c r="K476" s="11" t="s">
        <v>35</v>
      </c>
      <c r="L476" s="11" t="s">
        <v>27</v>
      </c>
      <c r="M476" s="11" t="s">
        <v>28</v>
      </c>
      <c r="N476" s="11" t="s">
        <v>56</v>
      </c>
      <c r="O476" s="11" t="s">
        <v>57</v>
      </c>
      <c r="P476" s="11" t="s">
        <v>58</v>
      </c>
      <c r="Q476" s="20">
        <v>39894.0</v>
      </c>
      <c r="R476" s="17">
        <f t="shared" si="2"/>
        <v>2.516241379</v>
      </c>
      <c r="S476" s="9"/>
      <c r="T476" s="9"/>
      <c r="U476" s="9"/>
      <c r="V476" s="9"/>
      <c r="W476" s="9"/>
      <c r="X476" s="9"/>
      <c r="Y476" s="9"/>
      <c r="Z476" s="9"/>
      <c r="AA476" s="9"/>
      <c r="AB476" s="9" t="str">
        <f>IFERROR(__xludf.DUMMYFUNCTION("""COMPUTED_VALUE"""),"Max Jones")</f>
        <v>Max Jones</v>
      </c>
      <c r="AC476" s="9"/>
      <c r="AD476" s="9"/>
      <c r="AE476" s="9">
        <f t="shared" si="8"/>
        <v>1</v>
      </c>
      <c r="AF476" s="19">
        <f t="shared" si="13"/>
        <v>2</v>
      </c>
      <c r="AG476" s="9"/>
      <c r="AH476" s="9"/>
      <c r="AI476" s="9"/>
    </row>
    <row r="477" ht="15.0" customHeight="1">
      <c r="A477" s="11">
        <v>476.0</v>
      </c>
      <c r="B477" s="12">
        <f t="shared" si="86"/>
        <v>39892</v>
      </c>
      <c r="C477" s="13">
        <v>2009.0</v>
      </c>
      <c r="D477" s="11" t="s">
        <v>23</v>
      </c>
      <c r="E477" s="11">
        <v>33.0</v>
      </c>
      <c r="F477" s="21" t="s">
        <v>926</v>
      </c>
      <c r="G477" s="15">
        <v>0.06172552525704065</v>
      </c>
      <c r="H477" s="11" t="s">
        <v>33</v>
      </c>
      <c r="I477" s="16">
        <v>3.9840000000000004</v>
      </c>
      <c r="J477" s="11" t="s">
        <v>925</v>
      </c>
      <c r="K477" s="11" t="s">
        <v>35</v>
      </c>
      <c r="L477" s="11" t="s">
        <v>27</v>
      </c>
      <c r="M477" s="11" t="s">
        <v>49</v>
      </c>
      <c r="N477" s="11" t="s">
        <v>73</v>
      </c>
      <c r="O477" s="11" t="s">
        <v>927</v>
      </c>
      <c r="P477" s="11" t="s">
        <v>99</v>
      </c>
      <c r="Q477" s="20">
        <v>39894.0</v>
      </c>
      <c r="R477" s="17">
        <f t="shared" si="2"/>
        <v>25.91138789</v>
      </c>
      <c r="S477" s="9"/>
      <c r="T477" s="9"/>
      <c r="U477" s="9"/>
      <c r="V477" s="9"/>
      <c r="W477" s="9"/>
      <c r="X477" s="9"/>
      <c r="Y477" s="9"/>
      <c r="Z477" s="9"/>
      <c r="AA477" s="9"/>
      <c r="AB477" s="9" t="str">
        <f>IFERROR(__xludf.DUMMYFUNCTION("""COMPUTED_VALUE"""),"Gary McGarr")</f>
        <v>Gary McGarr</v>
      </c>
      <c r="AC477" s="9"/>
      <c r="AD477" s="9"/>
      <c r="AE477" s="9">
        <f t="shared" si="8"/>
        <v>1</v>
      </c>
      <c r="AF477" s="19">
        <f t="shared" si="13"/>
        <v>2</v>
      </c>
      <c r="AG477" s="9"/>
      <c r="AH477" s="9"/>
      <c r="AI477" s="9"/>
    </row>
    <row r="478" ht="15.0" customHeight="1">
      <c r="A478" s="11">
        <v>477.0</v>
      </c>
      <c r="B478" s="12">
        <f t="shared" ref="B478:B483" si="87">DATE(2012,12,31)-1381</f>
        <v>39893</v>
      </c>
      <c r="C478" s="13">
        <v>2009.0</v>
      </c>
      <c r="D478" s="11" t="s">
        <v>44</v>
      </c>
      <c r="E478" s="11">
        <v>37.0</v>
      </c>
      <c r="F478" s="21" t="s">
        <v>344</v>
      </c>
      <c r="G478" s="15">
        <v>0.027064095071108397</v>
      </c>
      <c r="H478" s="11" t="s">
        <v>33</v>
      </c>
      <c r="I478" s="16">
        <v>3.608</v>
      </c>
      <c r="J478" s="11" t="s">
        <v>928</v>
      </c>
      <c r="K478" s="11" t="s">
        <v>61</v>
      </c>
      <c r="L478" s="11" t="s">
        <v>27</v>
      </c>
      <c r="M478" s="11" t="s">
        <v>28</v>
      </c>
      <c r="N478" s="11" t="s">
        <v>29</v>
      </c>
      <c r="O478" s="11" t="s">
        <v>929</v>
      </c>
      <c r="P478" s="11" t="s">
        <v>38</v>
      </c>
      <c r="Q478" s="20">
        <v>39894.0</v>
      </c>
      <c r="R478" s="17">
        <f t="shared" si="2"/>
        <v>13.51602559</v>
      </c>
      <c r="S478" s="9"/>
      <c r="T478" s="9"/>
      <c r="U478" s="9"/>
      <c r="V478" s="9"/>
      <c r="W478" s="9"/>
      <c r="X478" s="9"/>
      <c r="Y478" s="9"/>
      <c r="Z478" s="9"/>
      <c r="AA478" s="9"/>
      <c r="AB478" s="9" t="str">
        <f>IFERROR(__xludf.DUMMYFUNCTION("""COMPUTED_VALUE"""),"Brendan Dodson")</f>
        <v>Brendan Dodson</v>
      </c>
      <c r="AC478" s="9"/>
      <c r="AD478" s="9"/>
      <c r="AE478" s="9">
        <f t="shared" si="8"/>
        <v>1</v>
      </c>
      <c r="AF478" s="19">
        <f t="shared" si="13"/>
        <v>4</v>
      </c>
      <c r="AG478" s="9"/>
      <c r="AH478" s="9"/>
      <c r="AI478" s="9"/>
    </row>
    <row r="479" ht="15.0" customHeight="1">
      <c r="A479" s="11">
        <v>478.0</v>
      </c>
      <c r="B479" s="12">
        <f t="shared" si="87"/>
        <v>39893</v>
      </c>
      <c r="C479" s="13">
        <v>2009.0</v>
      </c>
      <c r="D479" s="11" t="s">
        <v>32</v>
      </c>
      <c r="E479" s="11">
        <v>30.0</v>
      </c>
      <c r="F479" s="21" t="s">
        <v>158</v>
      </c>
      <c r="G479" s="15">
        <v>0.09926873857404021</v>
      </c>
      <c r="H479" s="11" t="s">
        <v>33</v>
      </c>
      <c r="I479" s="16">
        <v>5.08</v>
      </c>
      <c r="J479" s="11" t="s">
        <v>930</v>
      </c>
      <c r="K479" s="11" t="s">
        <v>61</v>
      </c>
      <c r="L479" s="11" t="s">
        <v>27</v>
      </c>
      <c r="M479" s="11" t="s">
        <v>28</v>
      </c>
      <c r="N479" s="11" t="s">
        <v>56</v>
      </c>
      <c r="O479" s="11" t="s">
        <v>931</v>
      </c>
      <c r="P479" s="11" t="s">
        <v>38</v>
      </c>
      <c r="Q479" s="20">
        <v>39894.0</v>
      </c>
      <c r="R479" s="17">
        <f t="shared" si="2"/>
        <v>19.563883</v>
      </c>
      <c r="S479" s="9"/>
      <c r="T479" s="9"/>
      <c r="U479" s="9"/>
      <c r="V479" s="9"/>
      <c r="W479" s="9"/>
      <c r="X479" s="9"/>
      <c r="Y479" s="9"/>
      <c r="Z479" s="9"/>
      <c r="AA479" s="9"/>
      <c r="AB479" s="9" t="str">
        <f>IFERROR(__xludf.DUMMYFUNCTION("""COMPUTED_VALUE"""),"Mark Packer")</f>
        <v>Mark Packer</v>
      </c>
      <c r="AC479" s="9"/>
      <c r="AD479" s="9"/>
      <c r="AE479" s="9">
        <f t="shared" si="8"/>
        <v>1</v>
      </c>
      <c r="AF479" s="19">
        <f t="shared" si="13"/>
        <v>4</v>
      </c>
      <c r="AG479" s="9"/>
      <c r="AH479" s="9"/>
      <c r="AI479" s="9"/>
    </row>
    <row r="480" ht="15.0" customHeight="1">
      <c r="A480" s="11">
        <v>479.0</v>
      </c>
      <c r="B480" s="12">
        <f t="shared" si="87"/>
        <v>39893</v>
      </c>
      <c r="C480" s="13">
        <v>2009.0</v>
      </c>
      <c r="D480" s="11" t="s">
        <v>32</v>
      </c>
      <c r="E480" s="11">
        <v>41.0</v>
      </c>
      <c r="F480" s="21" t="s">
        <v>493</v>
      </c>
      <c r="G480" s="15">
        <v>0.029531027895609394</v>
      </c>
      <c r="H480" s="11" t="s">
        <v>33</v>
      </c>
      <c r="I480" s="16">
        <v>15.991999999999999</v>
      </c>
      <c r="J480" s="11" t="s">
        <v>412</v>
      </c>
      <c r="K480" s="11" t="s">
        <v>35</v>
      </c>
      <c r="L480" s="11" t="s">
        <v>27</v>
      </c>
      <c r="M480" s="11" t="s">
        <v>28</v>
      </c>
      <c r="N480" s="11" t="s">
        <v>42</v>
      </c>
      <c r="O480" s="11" t="s">
        <v>495</v>
      </c>
      <c r="P480" s="11" t="s">
        <v>38</v>
      </c>
      <c r="Q480" s="20">
        <v>39894.0</v>
      </c>
      <c r="R480" s="17">
        <f t="shared" si="2"/>
        <v>510.0862555</v>
      </c>
      <c r="S480" s="9"/>
      <c r="T480" s="9"/>
      <c r="U480" s="9"/>
      <c r="V480" s="9"/>
      <c r="W480" s="9"/>
      <c r="X480" s="9"/>
      <c r="Y480" s="9"/>
      <c r="Z480" s="9"/>
      <c r="AA480" s="9"/>
      <c r="AB480" s="9" t="str">
        <f>IFERROR(__xludf.DUMMYFUNCTION("""COMPUTED_VALUE"""),"Allen Rosenblatt")</f>
        <v>Allen Rosenblatt</v>
      </c>
      <c r="AC480" s="9"/>
      <c r="AD480" s="9"/>
      <c r="AE480" s="9">
        <f t="shared" si="8"/>
        <v>1</v>
      </c>
      <c r="AF480" s="19">
        <f t="shared" si="13"/>
        <v>2</v>
      </c>
      <c r="AG480" s="9"/>
      <c r="AH480" s="9"/>
      <c r="AI480" s="9"/>
    </row>
    <row r="481" ht="15.0" customHeight="1">
      <c r="A481" s="11">
        <v>480.0</v>
      </c>
      <c r="B481" s="12">
        <f t="shared" si="87"/>
        <v>39893</v>
      </c>
      <c r="C481" s="13">
        <v>2009.0</v>
      </c>
      <c r="D481" s="11" t="s">
        <v>102</v>
      </c>
      <c r="E481" s="11">
        <v>13.0</v>
      </c>
      <c r="F481" s="21" t="s">
        <v>172</v>
      </c>
      <c r="G481" s="15">
        <v>0.0630686796493569</v>
      </c>
      <c r="H481" s="11" t="s">
        <v>33</v>
      </c>
      <c r="I481" s="16">
        <v>19.592</v>
      </c>
      <c r="J481" s="11" t="s">
        <v>932</v>
      </c>
      <c r="K481" s="11" t="s">
        <v>83</v>
      </c>
      <c r="L481" s="11" t="s">
        <v>41</v>
      </c>
      <c r="M481" s="11" t="s">
        <v>66</v>
      </c>
      <c r="N481" s="11" t="s">
        <v>69</v>
      </c>
      <c r="O481" s="11" t="s">
        <v>173</v>
      </c>
      <c r="P481" s="11" t="s">
        <v>31</v>
      </c>
      <c r="Q481" s="20">
        <v>39894.0</v>
      </c>
      <c r="R481" s="17">
        <f t="shared" si="2"/>
        <v>5562.568744</v>
      </c>
      <c r="S481" s="9"/>
      <c r="T481" s="9"/>
      <c r="U481" s="9"/>
      <c r="V481" s="9"/>
      <c r="W481" s="9"/>
      <c r="X481" s="9"/>
      <c r="Y481" s="9"/>
      <c r="Z481" s="9"/>
      <c r="AA481" s="9"/>
      <c r="AB481" s="9" t="str">
        <f>IFERROR(__xludf.DUMMYFUNCTION("""COMPUTED_VALUE"""),"Max Ludwig")</f>
        <v>Max Ludwig</v>
      </c>
      <c r="AC481" s="9"/>
      <c r="AD481" s="9"/>
      <c r="AE481" s="9">
        <f t="shared" si="8"/>
        <v>3</v>
      </c>
      <c r="AF481" s="19" t="b">
        <f t="shared" si="13"/>
        <v>0</v>
      </c>
      <c r="AG481" s="9"/>
      <c r="AH481" s="9"/>
      <c r="AI481" s="9"/>
    </row>
    <row r="482" ht="15.0" customHeight="1">
      <c r="A482" s="11">
        <v>481.0</v>
      </c>
      <c r="B482" s="12">
        <f t="shared" si="87"/>
        <v>39893</v>
      </c>
      <c r="C482" s="13">
        <v>2009.0</v>
      </c>
      <c r="D482" s="11" t="s">
        <v>102</v>
      </c>
      <c r="E482" s="11">
        <v>40.0</v>
      </c>
      <c r="F482" s="21" t="s">
        <v>100</v>
      </c>
      <c r="G482" s="15">
        <v>0.07467199497103863</v>
      </c>
      <c r="H482" s="11" t="s">
        <v>33</v>
      </c>
      <c r="I482" s="16">
        <v>7.192</v>
      </c>
      <c r="J482" s="11" t="s">
        <v>932</v>
      </c>
      <c r="K482" s="11" t="s">
        <v>83</v>
      </c>
      <c r="L482" s="11" t="s">
        <v>41</v>
      </c>
      <c r="M482" s="11" t="s">
        <v>66</v>
      </c>
      <c r="N482" s="11" t="s">
        <v>80</v>
      </c>
      <c r="O482" s="11" t="s">
        <v>615</v>
      </c>
      <c r="P482" s="11" t="s">
        <v>38</v>
      </c>
      <c r="Q482" s="20">
        <v>39895.0</v>
      </c>
      <c r="R482" s="17">
        <f t="shared" si="2"/>
        <v>615.5355916</v>
      </c>
      <c r="S482" s="9"/>
      <c r="T482" s="9"/>
      <c r="U482" s="9"/>
      <c r="V482" s="9"/>
      <c r="W482" s="9"/>
      <c r="X482" s="9"/>
      <c r="Y482" s="9"/>
      <c r="Z482" s="9"/>
      <c r="AA482" s="9"/>
      <c r="AB482" s="9" t="str">
        <f>IFERROR(__xludf.DUMMYFUNCTION("""COMPUTED_VALUE"""),"Alan Dominguez")</f>
        <v>Alan Dominguez</v>
      </c>
      <c r="AC482" s="9"/>
      <c r="AD482" s="9"/>
      <c r="AE482" s="9">
        <f t="shared" si="8"/>
        <v>3</v>
      </c>
      <c r="AF482" s="19" t="b">
        <f t="shared" si="13"/>
        <v>0</v>
      </c>
      <c r="AG482" s="9"/>
      <c r="AH482" s="9"/>
      <c r="AI482" s="9"/>
    </row>
    <row r="483" ht="15.0" customHeight="1">
      <c r="A483" s="11">
        <v>482.0</v>
      </c>
      <c r="B483" s="12">
        <f t="shared" si="87"/>
        <v>39893</v>
      </c>
      <c r="C483" s="13">
        <v>2009.0</v>
      </c>
      <c r="D483" s="11" t="s">
        <v>23</v>
      </c>
      <c r="E483" s="11">
        <v>44.0</v>
      </c>
      <c r="F483" s="21" t="s">
        <v>933</v>
      </c>
      <c r="G483" s="15">
        <v>0.020800889877641875</v>
      </c>
      <c r="H483" s="11" t="s">
        <v>33</v>
      </c>
      <c r="I483" s="16">
        <v>5.24</v>
      </c>
      <c r="J483" s="11" t="s">
        <v>934</v>
      </c>
      <c r="K483" s="11" t="s">
        <v>61</v>
      </c>
      <c r="L483" s="11" t="s">
        <v>41</v>
      </c>
      <c r="M483" s="11" t="s">
        <v>66</v>
      </c>
      <c r="N483" s="11" t="s">
        <v>67</v>
      </c>
      <c r="O483" s="11" t="s">
        <v>935</v>
      </c>
      <c r="P483" s="11" t="s">
        <v>38</v>
      </c>
      <c r="Q483" s="20">
        <v>39895.0</v>
      </c>
      <c r="R483" s="17">
        <f t="shared" si="2"/>
        <v>51.27086541</v>
      </c>
      <c r="S483" s="9"/>
      <c r="T483" s="9"/>
      <c r="U483" s="9"/>
      <c r="V483" s="9"/>
      <c r="W483" s="9"/>
      <c r="X483" s="9"/>
      <c r="Y483" s="9"/>
      <c r="Z483" s="9"/>
      <c r="AA483" s="9"/>
      <c r="AB483" s="9" t="str">
        <f>IFERROR(__xludf.DUMMYFUNCTION("""COMPUTED_VALUE"""),"Erin Creighton")</f>
        <v>Erin Creighton</v>
      </c>
      <c r="AC483" s="9"/>
      <c r="AD483" s="9"/>
      <c r="AE483" s="9">
        <f t="shared" si="8"/>
        <v>3</v>
      </c>
      <c r="AF483" s="19">
        <f t="shared" si="13"/>
        <v>4</v>
      </c>
      <c r="AG483" s="9"/>
      <c r="AH483" s="9"/>
      <c r="AI483" s="9"/>
    </row>
    <row r="484" ht="15.0" customHeight="1">
      <c r="A484" s="11">
        <v>483.0</v>
      </c>
      <c r="B484" s="12">
        <f t="shared" ref="B484:B495" si="88">DATE(2012,12,31)-1380</f>
        <v>39894</v>
      </c>
      <c r="C484" s="13">
        <v>2009.0</v>
      </c>
      <c r="D484" s="11" t="s">
        <v>32</v>
      </c>
      <c r="E484" s="11">
        <v>17.0</v>
      </c>
      <c r="F484" s="21" t="s">
        <v>694</v>
      </c>
      <c r="G484" s="15">
        <v>0.06777006387114705</v>
      </c>
      <c r="H484" s="11" t="s">
        <v>33</v>
      </c>
      <c r="I484" s="16">
        <v>1.592</v>
      </c>
      <c r="J484" s="11" t="s">
        <v>936</v>
      </c>
      <c r="K484" s="11" t="s">
        <v>61</v>
      </c>
      <c r="L484" s="11" t="s">
        <v>27</v>
      </c>
      <c r="M484" s="11" t="s">
        <v>66</v>
      </c>
      <c r="N484" s="11" t="s">
        <v>67</v>
      </c>
      <c r="O484" s="11" t="s">
        <v>695</v>
      </c>
      <c r="P484" s="11" t="s">
        <v>99</v>
      </c>
      <c r="Q484" s="20">
        <v>39895.0</v>
      </c>
      <c r="R484" s="17">
        <f t="shared" si="2"/>
        <v>45.50027872</v>
      </c>
      <c r="S484" s="9"/>
      <c r="T484" s="9"/>
      <c r="U484" s="9"/>
      <c r="V484" s="9"/>
      <c r="W484" s="9"/>
      <c r="X484" s="9"/>
      <c r="Y484" s="9"/>
      <c r="Z484" s="9"/>
      <c r="AA484" s="9"/>
      <c r="AB484" s="9" t="str">
        <f>IFERROR(__xludf.DUMMYFUNCTION("""COMPUTED_VALUE"""),"Ben Peterman")</f>
        <v>Ben Peterman</v>
      </c>
      <c r="AC484" s="9"/>
      <c r="AD484" s="9"/>
      <c r="AE484" s="9">
        <f t="shared" si="8"/>
        <v>1</v>
      </c>
      <c r="AF484" s="19">
        <f t="shared" si="13"/>
        <v>4</v>
      </c>
      <c r="AG484" s="9"/>
      <c r="AH484" s="9"/>
      <c r="AI484" s="9"/>
    </row>
    <row r="485" ht="15.0" customHeight="1">
      <c r="A485" s="11">
        <v>484.0</v>
      </c>
      <c r="B485" s="12">
        <f t="shared" si="88"/>
        <v>39894</v>
      </c>
      <c r="C485" s="13">
        <v>2009.0</v>
      </c>
      <c r="D485" s="11" t="s">
        <v>32</v>
      </c>
      <c r="E485" s="11">
        <v>9.0</v>
      </c>
      <c r="F485" s="21" t="s">
        <v>126</v>
      </c>
      <c r="G485" s="15">
        <v>0.03598275600615241</v>
      </c>
      <c r="H485" s="11" t="s">
        <v>33</v>
      </c>
      <c r="I485" s="16">
        <v>0.4</v>
      </c>
      <c r="J485" s="11" t="s">
        <v>936</v>
      </c>
      <c r="K485" s="11" t="s">
        <v>61</v>
      </c>
      <c r="L485" s="11" t="s">
        <v>27</v>
      </c>
      <c r="M485" s="11" t="s">
        <v>28</v>
      </c>
      <c r="N485" s="11" t="s">
        <v>188</v>
      </c>
      <c r="O485" s="11" t="s">
        <v>551</v>
      </c>
      <c r="P485" s="11" t="s">
        <v>38</v>
      </c>
      <c r="Q485" s="20">
        <v>39895.0</v>
      </c>
      <c r="R485" s="17">
        <f t="shared" si="2"/>
        <v>1.601232642</v>
      </c>
      <c r="S485" s="9"/>
      <c r="T485" s="9"/>
      <c r="U485" s="9"/>
      <c r="V485" s="9"/>
      <c r="W485" s="9"/>
      <c r="X485" s="9"/>
      <c r="Y485" s="9"/>
      <c r="Z485" s="9"/>
      <c r="AA485" s="9"/>
      <c r="AB485" s="9" t="str">
        <f>IFERROR(__xludf.DUMMYFUNCTION("""COMPUTED_VALUE"""),"Thomas Seio")</f>
        <v>Thomas Seio</v>
      </c>
      <c r="AC485" s="9"/>
      <c r="AD485" s="9"/>
      <c r="AE485" s="9">
        <f t="shared" si="8"/>
        <v>1</v>
      </c>
      <c r="AF485" s="19">
        <f t="shared" si="13"/>
        <v>4</v>
      </c>
      <c r="AG485" s="9"/>
      <c r="AH485" s="9"/>
      <c r="AI485" s="9"/>
    </row>
    <row r="486" ht="15.0" customHeight="1">
      <c r="A486" s="11">
        <v>485.0</v>
      </c>
      <c r="B486" s="12">
        <f t="shared" si="88"/>
        <v>39894</v>
      </c>
      <c r="C486" s="13">
        <v>2009.0</v>
      </c>
      <c r="D486" s="11" t="s">
        <v>44</v>
      </c>
      <c r="E486" s="11">
        <v>5.0</v>
      </c>
      <c r="F486" s="21" t="s">
        <v>937</v>
      </c>
      <c r="G486" s="15">
        <v>0.04840479320457069</v>
      </c>
      <c r="H486" s="11" t="s">
        <v>45</v>
      </c>
      <c r="I486" s="16">
        <v>23.76</v>
      </c>
      <c r="J486" s="11" t="s">
        <v>40</v>
      </c>
      <c r="K486" s="11" t="s">
        <v>35</v>
      </c>
      <c r="L486" s="11" t="s">
        <v>41</v>
      </c>
      <c r="M486" s="11" t="s">
        <v>66</v>
      </c>
      <c r="N486" s="11" t="s">
        <v>69</v>
      </c>
      <c r="O486" s="11" t="s">
        <v>938</v>
      </c>
      <c r="P486" s="11" t="s">
        <v>52</v>
      </c>
      <c r="Q486" s="20">
        <v>39895.0</v>
      </c>
      <c r="R486" s="17">
        <f t="shared" si="2"/>
        <v>364.4038685</v>
      </c>
      <c r="S486" s="9"/>
      <c r="T486" s="9"/>
      <c r="U486" s="9"/>
      <c r="V486" s="9"/>
      <c r="W486" s="9"/>
      <c r="X486" s="9"/>
      <c r="Y486" s="9"/>
      <c r="Z486" s="9"/>
      <c r="AA486" s="9"/>
      <c r="AB486" s="9" t="str">
        <f>IFERROR(__xludf.DUMMYFUNCTION("""COMPUTED_VALUE"""),"Sarah Brown")</f>
        <v>Sarah Brown</v>
      </c>
      <c r="AC486" s="9"/>
      <c r="AD486" s="9"/>
      <c r="AE486" s="9">
        <f t="shared" si="8"/>
        <v>3</v>
      </c>
      <c r="AF486" s="19">
        <f t="shared" si="13"/>
        <v>2</v>
      </c>
      <c r="AG486" s="9"/>
      <c r="AH486" s="9"/>
      <c r="AI486" s="9"/>
    </row>
    <row r="487" ht="15.0" customHeight="1">
      <c r="A487" s="11">
        <v>486.0</v>
      </c>
      <c r="B487" s="12">
        <f t="shared" si="88"/>
        <v>39894</v>
      </c>
      <c r="C487" s="13">
        <v>2009.0</v>
      </c>
      <c r="D487" s="11" t="s">
        <v>44</v>
      </c>
      <c r="E487" s="11">
        <v>18.0</v>
      </c>
      <c r="F487" s="21" t="s">
        <v>280</v>
      </c>
      <c r="G487" s="15">
        <v>0.02155996393146984</v>
      </c>
      <c r="H487" s="11" t="s">
        <v>33</v>
      </c>
      <c r="I487" s="16">
        <v>4.072</v>
      </c>
      <c r="J487" s="11" t="s">
        <v>40</v>
      </c>
      <c r="K487" s="11" t="s">
        <v>35</v>
      </c>
      <c r="L487" s="11" t="s">
        <v>41</v>
      </c>
      <c r="M487" s="11" t="s">
        <v>28</v>
      </c>
      <c r="N487" s="11" t="s">
        <v>56</v>
      </c>
      <c r="O487" s="11" t="s">
        <v>281</v>
      </c>
      <c r="P487" s="11" t="s">
        <v>38</v>
      </c>
      <c r="Q487" s="20">
        <v>39895.0</v>
      </c>
      <c r="R487" s="17">
        <f t="shared" si="2"/>
        <v>18.71560101</v>
      </c>
      <c r="S487" s="9"/>
      <c r="T487" s="9"/>
      <c r="U487" s="9"/>
      <c r="V487" s="9"/>
      <c r="W487" s="9"/>
      <c r="X487" s="9"/>
      <c r="Y487" s="9"/>
      <c r="Z487" s="9"/>
      <c r="AA487" s="9"/>
      <c r="AB487" s="9" t="str">
        <f>IFERROR(__xludf.DUMMYFUNCTION("""COMPUTED_VALUE"""),"Luke Foster")</f>
        <v>Luke Foster</v>
      </c>
      <c r="AC487" s="9"/>
      <c r="AD487" s="9"/>
      <c r="AE487" s="9">
        <f t="shared" si="8"/>
        <v>3</v>
      </c>
      <c r="AF487" s="19">
        <f t="shared" si="13"/>
        <v>2</v>
      </c>
      <c r="AG487" s="9"/>
      <c r="AH487" s="9"/>
      <c r="AI487" s="9"/>
    </row>
    <row r="488" ht="15.0" customHeight="1">
      <c r="A488" s="11">
        <v>487.0</v>
      </c>
      <c r="B488" s="12">
        <f t="shared" si="88"/>
        <v>39894</v>
      </c>
      <c r="C488" s="13">
        <v>2009.0</v>
      </c>
      <c r="D488" s="11" t="s">
        <v>44</v>
      </c>
      <c r="E488" s="11">
        <v>5.0</v>
      </c>
      <c r="F488" s="21" t="s">
        <v>290</v>
      </c>
      <c r="G488" s="15">
        <v>0.055932203389830515</v>
      </c>
      <c r="H488" s="11" t="s">
        <v>33</v>
      </c>
      <c r="I488" s="16">
        <v>1.2800000000000002</v>
      </c>
      <c r="J488" s="11" t="s">
        <v>40</v>
      </c>
      <c r="K488" s="11" t="s">
        <v>35</v>
      </c>
      <c r="L488" s="11" t="s">
        <v>41</v>
      </c>
      <c r="M488" s="11" t="s">
        <v>28</v>
      </c>
      <c r="N488" s="11" t="s">
        <v>62</v>
      </c>
      <c r="O488" s="11" t="s">
        <v>939</v>
      </c>
      <c r="P488" s="11" t="s">
        <v>58</v>
      </c>
      <c r="Q488" s="20">
        <v>39896.0</v>
      </c>
      <c r="R488" s="17">
        <f t="shared" si="2"/>
        <v>1.246169492</v>
      </c>
      <c r="S488" s="9"/>
      <c r="T488" s="9"/>
      <c r="U488" s="9"/>
      <c r="V488" s="9"/>
      <c r="W488" s="9"/>
      <c r="X488" s="9"/>
      <c r="Y488" s="9"/>
      <c r="Z488" s="9"/>
      <c r="AA488" s="9"/>
      <c r="AB488" s="9" t="str">
        <f>IFERROR(__xludf.DUMMYFUNCTION("""COMPUTED_VALUE"""),"Greg Maxwell")</f>
        <v>Greg Maxwell</v>
      </c>
      <c r="AC488" s="9"/>
      <c r="AD488" s="9"/>
      <c r="AE488" s="9">
        <f t="shared" si="8"/>
        <v>3</v>
      </c>
      <c r="AF488" s="19">
        <f t="shared" si="13"/>
        <v>2</v>
      </c>
      <c r="AG488" s="9"/>
      <c r="AH488" s="9"/>
      <c r="AI488" s="9"/>
    </row>
    <row r="489" ht="15.0" customHeight="1">
      <c r="A489" s="11">
        <v>488.0</v>
      </c>
      <c r="B489" s="12">
        <f t="shared" si="88"/>
        <v>39894</v>
      </c>
      <c r="C489" s="13">
        <v>2009.0</v>
      </c>
      <c r="D489" s="11" t="s">
        <v>23</v>
      </c>
      <c r="E489" s="11">
        <v>44.0</v>
      </c>
      <c r="F489" s="21" t="s">
        <v>513</v>
      </c>
      <c r="G489" s="15">
        <v>0.030423803999181005</v>
      </c>
      <c r="H489" s="11" t="s">
        <v>45</v>
      </c>
      <c r="I489" s="16">
        <v>24.0</v>
      </c>
      <c r="J489" s="11" t="s">
        <v>940</v>
      </c>
      <c r="K489" s="11" t="s">
        <v>26</v>
      </c>
      <c r="L489" s="11" t="s">
        <v>41</v>
      </c>
      <c r="M489" s="11" t="s">
        <v>49</v>
      </c>
      <c r="N489" s="11" t="s">
        <v>50</v>
      </c>
      <c r="O489" s="11" t="s">
        <v>515</v>
      </c>
      <c r="P489" s="11" t="s">
        <v>52</v>
      </c>
      <c r="Q489" s="20">
        <v>39896.0</v>
      </c>
      <c r="R489" s="17">
        <f t="shared" si="2"/>
        <v>216.1185341</v>
      </c>
      <c r="S489" s="9"/>
      <c r="T489" s="9"/>
      <c r="U489" s="9"/>
      <c r="V489" s="9"/>
      <c r="W489" s="9"/>
      <c r="X489" s="9"/>
      <c r="Y489" s="9"/>
      <c r="Z489" s="9"/>
      <c r="AA489" s="9"/>
      <c r="AB489" s="9" t="str">
        <f>IFERROR(__xludf.DUMMYFUNCTION("""COMPUTED_VALUE"""),"Deanra Eno")</f>
        <v>Deanra Eno</v>
      </c>
      <c r="AC489" s="9"/>
      <c r="AD489" s="9"/>
      <c r="AE489" s="9">
        <f t="shared" si="8"/>
        <v>3</v>
      </c>
      <c r="AF489" s="19">
        <f t="shared" si="13"/>
        <v>1</v>
      </c>
      <c r="AG489" s="9"/>
      <c r="AH489" s="9"/>
      <c r="AI489" s="9"/>
    </row>
    <row r="490" ht="15.0" customHeight="1">
      <c r="A490" s="11">
        <v>489.0</v>
      </c>
      <c r="B490" s="12">
        <f t="shared" si="88"/>
        <v>39894</v>
      </c>
      <c r="C490" s="13">
        <v>2009.0</v>
      </c>
      <c r="D490" s="11" t="s">
        <v>23</v>
      </c>
      <c r="E490" s="11">
        <v>39.0</v>
      </c>
      <c r="F490" s="21" t="s">
        <v>183</v>
      </c>
      <c r="G490" s="15">
        <v>0.08820947922761842</v>
      </c>
      <c r="H490" s="11" t="s">
        <v>33</v>
      </c>
      <c r="I490" s="16">
        <v>3.2</v>
      </c>
      <c r="J490" s="11" t="s">
        <v>940</v>
      </c>
      <c r="K490" s="11" t="s">
        <v>26</v>
      </c>
      <c r="L490" s="11" t="s">
        <v>41</v>
      </c>
      <c r="M490" s="11" t="s">
        <v>66</v>
      </c>
      <c r="N490" s="11" t="s">
        <v>67</v>
      </c>
      <c r="O490" s="11" t="s">
        <v>941</v>
      </c>
      <c r="P490" s="11" t="s">
        <v>38</v>
      </c>
      <c r="Q490" s="20">
        <v>39896.0</v>
      </c>
      <c r="R490" s="17">
        <f t="shared" si="2"/>
        <v>54.9809684</v>
      </c>
      <c r="S490" s="9"/>
      <c r="T490" s="9"/>
      <c r="U490" s="9"/>
      <c r="V490" s="9"/>
      <c r="W490" s="9"/>
      <c r="X490" s="9"/>
      <c r="Y490" s="9"/>
      <c r="Z490" s="9"/>
      <c r="AA490" s="9"/>
      <c r="AB490" s="9" t="str">
        <f>IFERROR(__xludf.DUMMYFUNCTION("""COMPUTED_VALUE"""),"Justin Hirsh")</f>
        <v>Justin Hirsh</v>
      </c>
      <c r="AC490" s="9"/>
      <c r="AD490" s="9"/>
      <c r="AE490" s="9">
        <f t="shared" si="8"/>
        <v>3</v>
      </c>
      <c r="AF490" s="19">
        <f t="shared" si="13"/>
        <v>1</v>
      </c>
      <c r="AG490" s="9"/>
      <c r="AH490" s="9"/>
      <c r="AI490" s="9"/>
    </row>
    <row r="491" ht="15.0" customHeight="1">
      <c r="A491" s="11">
        <v>490.0</v>
      </c>
      <c r="B491" s="12">
        <f t="shared" si="88"/>
        <v>39894</v>
      </c>
      <c r="C491" s="13">
        <v>2009.0</v>
      </c>
      <c r="D491" s="11" t="s">
        <v>102</v>
      </c>
      <c r="E491" s="11">
        <v>4.0</v>
      </c>
      <c r="F491" s="21" t="s">
        <v>440</v>
      </c>
      <c r="G491" s="15">
        <v>0.11958441558441556</v>
      </c>
      <c r="H491" s="11" t="s">
        <v>33</v>
      </c>
      <c r="I491" s="16">
        <v>6.696</v>
      </c>
      <c r="J491" s="11" t="s">
        <v>942</v>
      </c>
      <c r="K491" s="11" t="s">
        <v>61</v>
      </c>
      <c r="L491" s="11" t="s">
        <v>48</v>
      </c>
      <c r="M491" s="11" t="s">
        <v>28</v>
      </c>
      <c r="N491" s="11" t="s">
        <v>442</v>
      </c>
      <c r="O491" s="11" t="s">
        <v>443</v>
      </c>
      <c r="P491" s="11" t="s">
        <v>99</v>
      </c>
      <c r="Q491" s="20">
        <v>39896.0</v>
      </c>
      <c r="R491" s="17">
        <f t="shared" si="2"/>
        <v>4.053433351</v>
      </c>
      <c r="S491" s="9"/>
      <c r="T491" s="9"/>
      <c r="U491" s="9"/>
      <c r="V491" s="9"/>
      <c r="W491" s="9"/>
      <c r="X491" s="9"/>
      <c r="Y491" s="9"/>
      <c r="Z491" s="9"/>
      <c r="AA491" s="9"/>
      <c r="AB491" s="9" t="str">
        <f>IFERROR(__xludf.DUMMYFUNCTION("""COMPUTED_VALUE"""),"Ivan Gibson")</f>
        <v>Ivan Gibson</v>
      </c>
      <c r="AC491" s="9"/>
      <c r="AD491" s="9"/>
      <c r="AE491" s="9">
        <f t="shared" si="8"/>
        <v>4</v>
      </c>
      <c r="AF491" s="19">
        <f t="shared" si="13"/>
        <v>4</v>
      </c>
      <c r="AG491" s="9"/>
      <c r="AH491" s="9"/>
      <c r="AI491" s="9"/>
    </row>
    <row r="492" ht="15.0" customHeight="1">
      <c r="A492" s="11">
        <v>491.0</v>
      </c>
      <c r="B492" s="12">
        <f t="shared" si="88"/>
        <v>39894</v>
      </c>
      <c r="C492" s="13">
        <v>2009.0</v>
      </c>
      <c r="D492" s="11" t="s">
        <v>102</v>
      </c>
      <c r="E492" s="11">
        <v>16.0</v>
      </c>
      <c r="F492" s="21" t="s">
        <v>943</v>
      </c>
      <c r="G492" s="15">
        <v>0.0916666666666667</v>
      </c>
      <c r="H492" s="11" t="s">
        <v>24</v>
      </c>
      <c r="I492" s="16">
        <v>3.2</v>
      </c>
      <c r="J492" s="11" t="s">
        <v>942</v>
      </c>
      <c r="K492" s="11" t="s">
        <v>61</v>
      </c>
      <c r="L492" s="11" t="s">
        <v>48</v>
      </c>
      <c r="M492" s="11" t="s">
        <v>66</v>
      </c>
      <c r="N492" s="11" t="s">
        <v>67</v>
      </c>
      <c r="O492" s="11" t="s">
        <v>944</v>
      </c>
      <c r="P492" s="11" t="s">
        <v>38</v>
      </c>
      <c r="Q492" s="20">
        <v>39896.0</v>
      </c>
      <c r="R492" s="17">
        <f t="shared" si="2"/>
        <v>223.8133333</v>
      </c>
      <c r="S492" s="9"/>
      <c r="T492" s="9"/>
      <c r="U492" s="9"/>
      <c r="V492" s="9"/>
      <c r="W492" s="9"/>
      <c r="X492" s="9"/>
      <c r="Y492" s="9"/>
      <c r="Z492" s="9"/>
      <c r="AA492" s="9"/>
      <c r="AB492" s="9" t="str">
        <f>IFERROR(__xludf.DUMMYFUNCTION("""COMPUTED_VALUE"""),"Maria Etezadi")</f>
        <v>Maria Etezadi</v>
      </c>
      <c r="AC492" s="9"/>
      <c r="AD492" s="9"/>
      <c r="AE492" s="9">
        <f t="shared" si="8"/>
        <v>4</v>
      </c>
      <c r="AF492" s="19">
        <f t="shared" si="13"/>
        <v>4</v>
      </c>
      <c r="AG492" s="9"/>
      <c r="AH492" s="9"/>
      <c r="AI492" s="9"/>
    </row>
    <row r="493" ht="15.0" customHeight="1">
      <c r="A493" s="11">
        <v>492.0</v>
      </c>
      <c r="B493" s="12">
        <f t="shared" si="88"/>
        <v>39894</v>
      </c>
      <c r="C493" s="13">
        <v>2009.0</v>
      </c>
      <c r="D493" s="11" t="s">
        <v>23</v>
      </c>
      <c r="E493" s="11">
        <v>27.0</v>
      </c>
      <c r="F493" s="21" t="s">
        <v>610</v>
      </c>
      <c r="G493" s="15">
        <v>0.03885057471264379</v>
      </c>
      <c r="H493" s="11" t="s">
        <v>33</v>
      </c>
      <c r="I493" s="16">
        <v>5.08</v>
      </c>
      <c r="J493" s="11" t="s">
        <v>945</v>
      </c>
      <c r="K493" s="11" t="s">
        <v>65</v>
      </c>
      <c r="L493" s="11" t="s">
        <v>36</v>
      </c>
      <c r="M493" s="11" t="s">
        <v>28</v>
      </c>
      <c r="N493" s="11" t="s">
        <v>56</v>
      </c>
      <c r="O493" s="11" t="s">
        <v>917</v>
      </c>
      <c r="P493" s="11" t="s">
        <v>38</v>
      </c>
      <c r="Q493" s="20">
        <v>39896.0</v>
      </c>
      <c r="R493" s="17">
        <f t="shared" si="2"/>
        <v>12.99474023</v>
      </c>
      <c r="S493" s="9"/>
      <c r="T493" s="9"/>
      <c r="U493" s="9"/>
      <c r="V493" s="9"/>
      <c r="W493" s="9"/>
      <c r="X493" s="9"/>
      <c r="Y493" s="9"/>
      <c r="Z493" s="9"/>
      <c r="AA493" s="9"/>
      <c r="AB493" s="9" t="str">
        <f>IFERROR(__xludf.DUMMYFUNCTION("""COMPUTED_VALUE"""),"Paul Van Hugh")</f>
        <v>Paul Van Hugh</v>
      </c>
      <c r="AC493" s="9"/>
      <c r="AD493" s="9"/>
      <c r="AE493" s="9">
        <f t="shared" si="8"/>
        <v>2</v>
      </c>
      <c r="AF493" s="19">
        <f t="shared" si="13"/>
        <v>5</v>
      </c>
      <c r="AG493" s="9"/>
      <c r="AH493" s="9"/>
      <c r="AI493" s="9"/>
    </row>
    <row r="494" ht="15.0" customHeight="1">
      <c r="A494" s="11">
        <v>493.0</v>
      </c>
      <c r="B494" s="12">
        <f t="shared" si="88"/>
        <v>39894</v>
      </c>
      <c r="C494" s="13">
        <v>2009.0</v>
      </c>
      <c r="D494" s="11" t="s">
        <v>23</v>
      </c>
      <c r="E494" s="11">
        <v>42.0</v>
      </c>
      <c r="F494" s="21" t="s">
        <v>596</v>
      </c>
      <c r="G494" s="15">
        <v>0.07775592828224416</v>
      </c>
      <c r="H494" s="11" t="s">
        <v>33</v>
      </c>
      <c r="I494" s="16">
        <v>3.6240000000000006</v>
      </c>
      <c r="J494" s="11" t="s">
        <v>945</v>
      </c>
      <c r="K494" s="11" t="s">
        <v>65</v>
      </c>
      <c r="L494" s="11" t="s">
        <v>36</v>
      </c>
      <c r="M494" s="11" t="s">
        <v>28</v>
      </c>
      <c r="N494" s="11" t="s">
        <v>29</v>
      </c>
      <c r="O494" s="11" t="s">
        <v>946</v>
      </c>
      <c r="P494" s="11" t="s">
        <v>38</v>
      </c>
      <c r="Q494" s="20">
        <v>39896.0</v>
      </c>
      <c r="R494" s="17">
        <f t="shared" si="2"/>
        <v>49.5945972</v>
      </c>
      <c r="S494" s="9"/>
      <c r="T494" s="9"/>
      <c r="U494" s="9"/>
      <c r="V494" s="9"/>
      <c r="W494" s="9"/>
      <c r="X494" s="9"/>
      <c r="Y494" s="9"/>
      <c r="Z494" s="9"/>
      <c r="AA494" s="9"/>
      <c r="AB494" s="9" t="str">
        <f>IFERROR(__xludf.DUMMYFUNCTION("""COMPUTED_VALUE"""),"Shaun Chance")</f>
        <v>Shaun Chance</v>
      </c>
      <c r="AC494" s="9"/>
      <c r="AD494" s="9"/>
      <c r="AE494" s="9">
        <f t="shared" si="8"/>
        <v>2</v>
      </c>
      <c r="AF494" s="19">
        <f t="shared" si="13"/>
        <v>5</v>
      </c>
      <c r="AG494" s="9"/>
      <c r="AH494" s="9"/>
      <c r="AI494" s="9"/>
    </row>
    <row r="495" ht="15.0" customHeight="1">
      <c r="A495" s="11">
        <v>494.0</v>
      </c>
      <c r="B495" s="12">
        <f t="shared" si="88"/>
        <v>39894</v>
      </c>
      <c r="C495" s="13">
        <v>2009.0</v>
      </c>
      <c r="D495" s="11" t="s">
        <v>23</v>
      </c>
      <c r="E495" s="11">
        <v>32.0</v>
      </c>
      <c r="F495" s="21" t="s">
        <v>110</v>
      </c>
      <c r="G495" s="15">
        <v>0.01098137277755403</v>
      </c>
      <c r="H495" s="11" t="s">
        <v>45</v>
      </c>
      <c r="I495" s="16">
        <v>14.280000000000001</v>
      </c>
      <c r="J495" s="11" t="s">
        <v>947</v>
      </c>
      <c r="K495" s="11" t="s">
        <v>35</v>
      </c>
      <c r="L495" s="11" t="s">
        <v>48</v>
      </c>
      <c r="M495" s="11" t="s">
        <v>66</v>
      </c>
      <c r="N495" s="11" t="s">
        <v>69</v>
      </c>
      <c r="O495" s="11" t="s">
        <v>111</v>
      </c>
      <c r="P495" s="11" t="s">
        <v>52</v>
      </c>
      <c r="Q495" s="20">
        <v>39897.0</v>
      </c>
      <c r="R495" s="17">
        <f t="shared" si="2"/>
        <v>51.25094526</v>
      </c>
      <c r="S495" s="9"/>
      <c r="T495" s="9"/>
      <c r="U495" s="9"/>
      <c r="V495" s="9"/>
      <c r="W495" s="9"/>
      <c r="X495" s="9"/>
      <c r="Y495" s="9"/>
      <c r="Z495" s="9"/>
      <c r="AA495" s="9"/>
      <c r="AB495" s="9" t="str">
        <f>IFERROR(__xludf.DUMMYFUNCTION("""COMPUTED_VALUE"""),"Gary Mitchum")</f>
        <v>Gary Mitchum</v>
      </c>
      <c r="AC495" s="9"/>
      <c r="AD495" s="9"/>
      <c r="AE495" s="9">
        <f t="shared" si="8"/>
        <v>4</v>
      </c>
      <c r="AF495" s="19">
        <f t="shared" si="13"/>
        <v>2</v>
      </c>
      <c r="AG495" s="9"/>
      <c r="AH495" s="9"/>
      <c r="AI495" s="9"/>
    </row>
    <row r="496" ht="15.0" customHeight="1">
      <c r="A496" s="11">
        <v>495.0</v>
      </c>
      <c r="B496" s="12">
        <f t="shared" ref="B496:B502" si="89">DATE(2012,12,31)-1379</f>
        <v>39895</v>
      </c>
      <c r="C496" s="13">
        <v>2009.0</v>
      </c>
      <c r="D496" s="11" t="s">
        <v>32</v>
      </c>
      <c r="E496" s="11">
        <v>20.0</v>
      </c>
      <c r="F496" s="21" t="s">
        <v>948</v>
      </c>
      <c r="G496" s="15">
        <v>0.05603128054740957</v>
      </c>
      <c r="H496" s="11" t="s">
        <v>24</v>
      </c>
      <c r="I496" s="16">
        <v>0.568</v>
      </c>
      <c r="J496" s="11" t="s">
        <v>366</v>
      </c>
      <c r="K496" s="11" t="s">
        <v>35</v>
      </c>
      <c r="L496" s="11" t="s">
        <v>48</v>
      </c>
      <c r="M496" s="11" t="s">
        <v>28</v>
      </c>
      <c r="N496" s="11" t="s">
        <v>62</v>
      </c>
      <c r="O496" s="11" t="s">
        <v>949</v>
      </c>
      <c r="P496" s="11" t="s">
        <v>58</v>
      </c>
      <c r="Q496" s="20">
        <v>39897.0</v>
      </c>
      <c r="R496" s="17">
        <f t="shared" si="2"/>
        <v>5.4108287</v>
      </c>
      <c r="S496" s="9"/>
      <c r="T496" s="9"/>
      <c r="U496" s="9"/>
      <c r="V496" s="9"/>
      <c r="W496" s="9"/>
      <c r="X496" s="9"/>
      <c r="Y496" s="9"/>
      <c r="Z496" s="9"/>
      <c r="AA496" s="9"/>
      <c r="AB496" s="9" t="str">
        <f>IFERROR(__xludf.DUMMYFUNCTION("""COMPUTED_VALUE"""),"Ann Chong")</f>
        <v>Ann Chong</v>
      </c>
      <c r="AC496" s="9"/>
      <c r="AD496" s="9"/>
      <c r="AE496" s="9">
        <f t="shared" si="8"/>
        <v>4</v>
      </c>
      <c r="AF496" s="19">
        <f t="shared" si="13"/>
        <v>2</v>
      </c>
      <c r="AG496" s="9"/>
      <c r="AH496" s="9"/>
      <c r="AI496" s="9"/>
    </row>
    <row r="497" ht="15.0" customHeight="1">
      <c r="A497" s="11">
        <v>496.0</v>
      </c>
      <c r="B497" s="12">
        <f t="shared" si="89"/>
        <v>39895</v>
      </c>
      <c r="C497" s="13">
        <v>2009.0</v>
      </c>
      <c r="D497" s="11" t="s">
        <v>32</v>
      </c>
      <c r="E497" s="11">
        <v>28.0</v>
      </c>
      <c r="F497" s="21" t="s">
        <v>950</v>
      </c>
      <c r="G497" s="15">
        <v>0.018655540101993516</v>
      </c>
      <c r="H497" s="11" t="s">
        <v>33</v>
      </c>
      <c r="I497" s="16">
        <v>6.152000000000001</v>
      </c>
      <c r="J497" s="11" t="s">
        <v>366</v>
      </c>
      <c r="K497" s="11" t="s">
        <v>35</v>
      </c>
      <c r="L497" s="11" t="s">
        <v>48</v>
      </c>
      <c r="M497" s="11" t="s">
        <v>28</v>
      </c>
      <c r="N497" s="11" t="s">
        <v>29</v>
      </c>
      <c r="O497" s="11" t="s">
        <v>951</v>
      </c>
      <c r="P497" s="11" t="s">
        <v>38</v>
      </c>
      <c r="Q497" s="20">
        <v>39897.0</v>
      </c>
      <c r="R497" s="17">
        <f t="shared" si="2"/>
        <v>7.897860213</v>
      </c>
      <c r="S497" s="9"/>
      <c r="T497" s="9"/>
      <c r="U497" s="9"/>
      <c r="V497" s="9"/>
      <c r="W497" s="9"/>
      <c r="X497" s="9"/>
      <c r="Y497" s="9"/>
      <c r="Z497" s="9"/>
      <c r="AA497" s="9"/>
      <c r="AB497" s="9" t="str">
        <f>IFERROR(__xludf.DUMMYFUNCTION("""COMPUTED_VALUE"""),"Jonathan Howell")</f>
        <v>Jonathan Howell</v>
      </c>
      <c r="AC497" s="9"/>
      <c r="AD497" s="9"/>
      <c r="AE497" s="9">
        <f t="shared" si="8"/>
        <v>4</v>
      </c>
      <c r="AF497" s="19">
        <f t="shared" si="13"/>
        <v>2</v>
      </c>
      <c r="AG497" s="9"/>
      <c r="AH497" s="9"/>
      <c r="AI497" s="9"/>
    </row>
    <row r="498" ht="15.0" customHeight="1">
      <c r="A498" s="11">
        <v>497.0</v>
      </c>
      <c r="B498" s="12">
        <f t="shared" si="89"/>
        <v>39895</v>
      </c>
      <c r="C498" s="13">
        <v>2009.0</v>
      </c>
      <c r="D498" s="11" t="s">
        <v>23</v>
      </c>
      <c r="E498" s="11">
        <v>3.0</v>
      </c>
      <c r="F498" s="21" t="s">
        <v>952</v>
      </c>
      <c r="G498" s="15">
        <v>0.059262629918816985</v>
      </c>
      <c r="H498" s="11" t="s">
        <v>33</v>
      </c>
      <c r="I498" s="16">
        <v>19.592</v>
      </c>
      <c r="J498" s="11" t="s">
        <v>953</v>
      </c>
      <c r="K498" s="11" t="s">
        <v>65</v>
      </c>
      <c r="L498" s="11" t="s">
        <v>48</v>
      </c>
      <c r="M498" s="11" t="s">
        <v>66</v>
      </c>
      <c r="N498" s="11" t="s">
        <v>170</v>
      </c>
      <c r="O498" s="11" t="s">
        <v>954</v>
      </c>
      <c r="P498" s="11" t="s">
        <v>31</v>
      </c>
      <c r="Q498" s="20">
        <v>39897.0</v>
      </c>
      <c r="R498" s="17">
        <f t="shared" si="2"/>
        <v>107.8160285</v>
      </c>
      <c r="S498" s="9"/>
      <c r="T498" s="9"/>
      <c r="U498" s="9"/>
      <c r="V498" s="9"/>
      <c r="W498" s="9"/>
      <c r="X498" s="9"/>
      <c r="Y498" s="9"/>
      <c r="Z498" s="9"/>
      <c r="AA498" s="9"/>
      <c r="AB498" s="9" t="str">
        <f>IFERROR(__xludf.DUMMYFUNCTION("""COMPUTED_VALUE"""),"Jim Mitchum")</f>
        <v>Jim Mitchum</v>
      </c>
      <c r="AC498" s="9"/>
      <c r="AD498" s="9"/>
      <c r="AE498" s="9">
        <f t="shared" si="8"/>
        <v>4</v>
      </c>
      <c r="AF498" s="19">
        <f t="shared" si="13"/>
        <v>5</v>
      </c>
      <c r="AG498" s="9"/>
      <c r="AH498" s="9"/>
      <c r="AI498" s="9"/>
    </row>
    <row r="499" ht="15.0" customHeight="1">
      <c r="A499" s="11">
        <v>498.0</v>
      </c>
      <c r="B499" s="12">
        <f t="shared" si="89"/>
        <v>39895</v>
      </c>
      <c r="C499" s="13">
        <v>2009.0</v>
      </c>
      <c r="D499" s="11" t="s">
        <v>23</v>
      </c>
      <c r="E499" s="11">
        <v>7.0</v>
      </c>
      <c r="F499" s="21" t="s">
        <v>762</v>
      </c>
      <c r="G499" s="15">
        <v>0.06438297872340433</v>
      </c>
      <c r="H499" s="11" t="s">
        <v>33</v>
      </c>
      <c r="I499" s="16">
        <v>4.648</v>
      </c>
      <c r="J499" s="11" t="s">
        <v>953</v>
      </c>
      <c r="K499" s="11" t="s">
        <v>65</v>
      </c>
      <c r="L499" s="11" t="s">
        <v>48</v>
      </c>
      <c r="M499" s="11" t="s">
        <v>28</v>
      </c>
      <c r="N499" s="11" t="s">
        <v>62</v>
      </c>
      <c r="O499" s="11" t="s">
        <v>955</v>
      </c>
      <c r="P499" s="11" t="s">
        <v>99</v>
      </c>
      <c r="Q499" s="20">
        <v>39897.0</v>
      </c>
      <c r="R499" s="17">
        <f t="shared" si="2"/>
        <v>5.662354213</v>
      </c>
      <c r="S499" s="9"/>
      <c r="T499" s="9"/>
      <c r="U499" s="9"/>
      <c r="V499" s="9"/>
      <c r="W499" s="9"/>
      <c r="X499" s="9"/>
      <c r="Y499" s="9"/>
      <c r="Z499" s="9"/>
      <c r="AA499" s="9"/>
      <c r="AB499" s="9" t="str">
        <f>IFERROR(__xludf.DUMMYFUNCTION("""COMPUTED_VALUE"""),"Barry Gonzalez")</f>
        <v>Barry Gonzalez</v>
      </c>
      <c r="AC499" s="9"/>
      <c r="AD499" s="9"/>
      <c r="AE499" s="9">
        <f t="shared" si="8"/>
        <v>4</v>
      </c>
      <c r="AF499" s="19">
        <f t="shared" si="13"/>
        <v>5</v>
      </c>
      <c r="AG499" s="9"/>
      <c r="AH499" s="9"/>
      <c r="AI499" s="9"/>
    </row>
    <row r="500" ht="15.0" customHeight="1">
      <c r="A500" s="11">
        <v>499.0</v>
      </c>
      <c r="B500" s="12">
        <f t="shared" si="89"/>
        <v>39895</v>
      </c>
      <c r="C500" s="13">
        <v>2009.0</v>
      </c>
      <c r="D500" s="11" t="s">
        <v>23</v>
      </c>
      <c r="E500" s="11">
        <v>36.0</v>
      </c>
      <c r="F500" s="21" t="s">
        <v>605</v>
      </c>
      <c r="G500" s="15">
        <v>0.009180199569555873</v>
      </c>
      <c r="H500" s="11" t="s">
        <v>33</v>
      </c>
      <c r="I500" s="16">
        <v>6.008</v>
      </c>
      <c r="J500" s="11" t="s">
        <v>271</v>
      </c>
      <c r="K500" s="11" t="s">
        <v>61</v>
      </c>
      <c r="L500" s="11" t="s">
        <v>48</v>
      </c>
      <c r="M500" s="11" t="s">
        <v>66</v>
      </c>
      <c r="N500" s="11" t="s">
        <v>69</v>
      </c>
      <c r="O500" s="11" t="s">
        <v>607</v>
      </c>
      <c r="P500" s="11" t="s">
        <v>75</v>
      </c>
      <c r="Q500" s="20">
        <v>39897.0</v>
      </c>
      <c r="R500" s="17">
        <f t="shared" si="2"/>
        <v>4.648926504</v>
      </c>
      <c r="S500" s="9"/>
      <c r="T500" s="9"/>
      <c r="U500" s="9"/>
      <c r="V500" s="9"/>
      <c r="W500" s="9"/>
      <c r="X500" s="9"/>
      <c r="Y500" s="9"/>
      <c r="Z500" s="9"/>
      <c r="AA500" s="9"/>
      <c r="AB500" s="9" t="str">
        <f>IFERROR(__xludf.DUMMYFUNCTION("""COMPUTED_VALUE"""),"MaryBeth Skach")</f>
        <v>MaryBeth Skach</v>
      </c>
      <c r="AC500" s="9"/>
      <c r="AD500" s="9"/>
      <c r="AE500" s="9">
        <f t="shared" si="8"/>
        <v>4</v>
      </c>
      <c r="AF500" s="19">
        <f t="shared" si="13"/>
        <v>4</v>
      </c>
      <c r="AG500" s="9"/>
      <c r="AH500" s="9"/>
      <c r="AI500" s="9"/>
    </row>
    <row r="501" ht="15.0" customHeight="1">
      <c r="A501" s="11">
        <v>500.0</v>
      </c>
      <c r="B501" s="12">
        <f t="shared" si="89"/>
        <v>39895</v>
      </c>
      <c r="C501" s="13">
        <v>2009.0</v>
      </c>
      <c r="D501" s="11" t="s">
        <v>102</v>
      </c>
      <c r="E501" s="11">
        <v>25.0</v>
      </c>
      <c r="F501" s="21" t="s">
        <v>956</v>
      </c>
      <c r="G501" s="15">
        <v>0.09480891719745224</v>
      </c>
      <c r="H501" s="11" t="s">
        <v>33</v>
      </c>
      <c r="I501" s="16">
        <v>1.192</v>
      </c>
      <c r="J501" s="11" t="s">
        <v>174</v>
      </c>
      <c r="K501" s="11" t="s">
        <v>35</v>
      </c>
      <c r="L501" s="11" t="s">
        <v>41</v>
      </c>
      <c r="M501" s="11" t="s">
        <v>28</v>
      </c>
      <c r="N501" s="11" t="s">
        <v>42</v>
      </c>
      <c r="O501" s="11" t="s">
        <v>957</v>
      </c>
      <c r="P501" s="11" t="s">
        <v>38</v>
      </c>
      <c r="Q501" s="20">
        <v>39897.0</v>
      </c>
      <c r="R501" s="17">
        <f t="shared" si="2"/>
        <v>10.77901541</v>
      </c>
      <c r="S501" s="9"/>
      <c r="T501" s="9"/>
      <c r="U501" s="9"/>
      <c r="V501" s="9"/>
      <c r="W501" s="9"/>
      <c r="X501" s="9"/>
      <c r="Y501" s="9"/>
      <c r="Z501" s="9"/>
      <c r="AA501" s="9"/>
      <c r="AB501" s="9" t="str">
        <f>IFERROR(__xludf.DUMMYFUNCTION("""COMPUTED_VALUE"""),"Maya Herman")</f>
        <v>Maya Herman</v>
      </c>
      <c r="AC501" s="9"/>
      <c r="AD501" s="9"/>
      <c r="AE501" s="9">
        <f t="shared" si="8"/>
        <v>3</v>
      </c>
      <c r="AF501" s="19">
        <f t="shared" si="13"/>
        <v>2</v>
      </c>
      <c r="AG501" s="9"/>
      <c r="AH501" s="9"/>
      <c r="AI501" s="9"/>
    </row>
    <row r="502" ht="15.0" customHeight="1">
      <c r="A502" s="11">
        <v>501.0</v>
      </c>
      <c r="B502" s="12">
        <f t="shared" si="89"/>
        <v>39895</v>
      </c>
      <c r="C502" s="13">
        <v>2009.0</v>
      </c>
      <c r="D502" s="11" t="s">
        <v>102</v>
      </c>
      <c r="E502" s="11">
        <v>45.0</v>
      </c>
      <c r="F502" s="21" t="s">
        <v>413</v>
      </c>
      <c r="G502" s="15">
        <v>0.07524528301886803</v>
      </c>
      <c r="H502" s="11" t="s">
        <v>24</v>
      </c>
      <c r="I502" s="16">
        <v>4.608</v>
      </c>
      <c r="J502" s="11" t="s">
        <v>174</v>
      </c>
      <c r="K502" s="11" t="s">
        <v>35</v>
      </c>
      <c r="L502" s="11" t="s">
        <v>41</v>
      </c>
      <c r="M502" s="11" t="s">
        <v>28</v>
      </c>
      <c r="N502" s="11" t="s">
        <v>236</v>
      </c>
      <c r="O502" s="11" t="s">
        <v>809</v>
      </c>
      <c r="P502" s="11" t="s">
        <v>38</v>
      </c>
      <c r="Q502" s="20">
        <v>39897.0</v>
      </c>
      <c r="R502" s="17">
        <f t="shared" si="2"/>
        <v>33.1912963</v>
      </c>
      <c r="S502" s="9"/>
      <c r="T502" s="9"/>
      <c r="U502" s="9"/>
      <c r="V502" s="9"/>
      <c r="W502" s="9"/>
      <c r="X502" s="9"/>
      <c r="Y502" s="9"/>
      <c r="Z502" s="9"/>
      <c r="AA502" s="9"/>
      <c r="AB502" s="9" t="str">
        <f>IFERROR(__xludf.DUMMYFUNCTION("""COMPUTED_VALUE"""),"Aaron Hawkins")</f>
        <v>Aaron Hawkins</v>
      </c>
      <c r="AC502" s="9"/>
      <c r="AD502" s="9"/>
      <c r="AE502" s="9">
        <f t="shared" si="8"/>
        <v>3</v>
      </c>
      <c r="AF502" s="19">
        <f t="shared" si="13"/>
        <v>2</v>
      </c>
      <c r="AG502" s="9"/>
      <c r="AH502" s="9"/>
      <c r="AI502" s="9"/>
    </row>
    <row r="503" ht="15.0" customHeight="1">
      <c r="A503" s="11">
        <v>502.0</v>
      </c>
      <c r="B503" s="12">
        <f t="shared" ref="B503:B509" si="90">DATE(2012,12,31)-1378</f>
        <v>39896</v>
      </c>
      <c r="C503" s="13">
        <v>2009.0</v>
      </c>
      <c r="D503" s="11" t="s">
        <v>23</v>
      </c>
      <c r="E503" s="11">
        <v>42.0</v>
      </c>
      <c r="F503" s="21" t="s">
        <v>641</v>
      </c>
      <c r="G503" s="15">
        <v>0.09684464555052785</v>
      </c>
      <c r="H503" s="11" t="s">
        <v>33</v>
      </c>
      <c r="I503" s="16">
        <v>2.3920000000000003</v>
      </c>
      <c r="J503" s="11" t="s">
        <v>958</v>
      </c>
      <c r="K503" s="11" t="s">
        <v>35</v>
      </c>
      <c r="L503" s="11" t="s">
        <v>27</v>
      </c>
      <c r="M503" s="11" t="s">
        <v>28</v>
      </c>
      <c r="N503" s="11" t="s">
        <v>42</v>
      </c>
      <c r="O503" s="11" t="s">
        <v>959</v>
      </c>
      <c r="P503" s="11" t="s">
        <v>38</v>
      </c>
      <c r="Q503" s="20">
        <v>39897.0</v>
      </c>
      <c r="R503" s="17">
        <f t="shared" si="2"/>
        <v>57.989799</v>
      </c>
      <c r="S503" s="9"/>
      <c r="T503" s="9"/>
      <c r="U503" s="9"/>
      <c r="V503" s="9"/>
      <c r="W503" s="9"/>
      <c r="X503" s="9"/>
      <c r="Y503" s="9"/>
      <c r="Z503" s="9"/>
      <c r="AA503" s="9"/>
      <c r="AB503" s="9" t="str">
        <f>IFERROR(__xludf.DUMMYFUNCTION("""COMPUTED_VALUE"""),"Toby Braunhardt")</f>
        <v>Toby Braunhardt</v>
      </c>
      <c r="AC503" s="9"/>
      <c r="AD503" s="9"/>
      <c r="AE503" s="9">
        <f t="shared" si="8"/>
        <v>1</v>
      </c>
      <c r="AF503" s="19">
        <f t="shared" si="13"/>
        <v>2</v>
      </c>
      <c r="AG503" s="9"/>
      <c r="AH503" s="9"/>
      <c r="AI503" s="9"/>
    </row>
    <row r="504" ht="15.0" customHeight="1">
      <c r="A504" s="11">
        <v>503.0</v>
      </c>
      <c r="B504" s="12">
        <f t="shared" si="90"/>
        <v>39896</v>
      </c>
      <c r="C504" s="13">
        <v>2009.0</v>
      </c>
      <c r="D504" s="11" t="s">
        <v>44</v>
      </c>
      <c r="E504" s="11">
        <v>6.0</v>
      </c>
      <c r="F504" s="21" t="s">
        <v>297</v>
      </c>
      <c r="G504" s="15">
        <v>0.10199134199134186</v>
      </c>
      <c r="H504" s="11" t="s">
        <v>33</v>
      </c>
      <c r="I504" s="16">
        <v>5.832000000000001</v>
      </c>
      <c r="J504" s="11" t="s">
        <v>960</v>
      </c>
      <c r="K504" s="11" t="s">
        <v>65</v>
      </c>
      <c r="L504" s="11" t="s">
        <v>36</v>
      </c>
      <c r="M504" s="11" t="s">
        <v>49</v>
      </c>
      <c r="N504" s="11" t="s">
        <v>73</v>
      </c>
      <c r="O504" s="11" t="s">
        <v>298</v>
      </c>
      <c r="P504" s="11" t="s">
        <v>99</v>
      </c>
      <c r="Q504" s="20">
        <v>39897.0</v>
      </c>
      <c r="R504" s="17">
        <f t="shared" si="2"/>
        <v>6.347125195</v>
      </c>
      <c r="S504" s="9"/>
      <c r="T504" s="9"/>
      <c r="U504" s="9"/>
      <c r="V504" s="9"/>
      <c r="W504" s="9"/>
      <c r="X504" s="9"/>
      <c r="Y504" s="9"/>
      <c r="Z504" s="9"/>
      <c r="AA504" s="9"/>
      <c r="AB504" s="9" t="str">
        <f>IFERROR(__xludf.DUMMYFUNCTION("""COMPUTED_VALUE"""),"Sarah Foster")</f>
        <v>Sarah Foster</v>
      </c>
      <c r="AC504" s="9"/>
      <c r="AD504" s="9"/>
      <c r="AE504" s="9">
        <f t="shared" si="8"/>
        <v>2</v>
      </c>
      <c r="AF504" s="19">
        <f t="shared" si="13"/>
        <v>5</v>
      </c>
      <c r="AG504" s="9"/>
      <c r="AH504" s="9"/>
      <c r="AI504" s="9"/>
    </row>
    <row r="505" ht="15.0" customHeight="1">
      <c r="A505" s="11">
        <v>504.0</v>
      </c>
      <c r="B505" s="12">
        <f t="shared" si="90"/>
        <v>39896</v>
      </c>
      <c r="C505" s="13">
        <v>2009.0</v>
      </c>
      <c r="D505" s="11" t="s">
        <v>44</v>
      </c>
      <c r="E505" s="11">
        <v>32.0</v>
      </c>
      <c r="F505" s="21" t="s">
        <v>846</v>
      </c>
      <c r="G505" s="15">
        <v>0.030091743119265997</v>
      </c>
      <c r="H505" s="11" t="s">
        <v>33</v>
      </c>
      <c r="I505" s="16">
        <v>15.991999999999999</v>
      </c>
      <c r="J505" s="11" t="s">
        <v>960</v>
      </c>
      <c r="K505" s="11" t="s">
        <v>65</v>
      </c>
      <c r="L505" s="11" t="s">
        <v>36</v>
      </c>
      <c r="M505" s="11" t="s">
        <v>28</v>
      </c>
      <c r="N505" s="11" t="s">
        <v>29</v>
      </c>
      <c r="O505" s="11" t="s">
        <v>847</v>
      </c>
      <c r="P505" s="11" t="s">
        <v>38</v>
      </c>
      <c r="Q505" s="20">
        <v>39897.0</v>
      </c>
      <c r="R505" s="17">
        <f t="shared" si="2"/>
        <v>186.4241262</v>
      </c>
      <c r="S505" s="9"/>
      <c r="T505" s="9"/>
      <c r="U505" s="9"/>
      <c r="V505" s="9"/>
      <c r="W505" s="9"/>
      <c r="X505" s="9"/>
      <c r="Y505" s="9"/>
      <c r="Z505" s="9"/>
      <c r="AA505" s="9"/>
      <c r="AB505" s="9" t="str">
        <f>IFERROR(__xludf.DUMMYFUNCTION("""COMPUTED_VALUE"""),"Jas O'Carroll")</f>
        <v>Jas O'Carroll</v>
      </c>
      <c r="AC505" s="9"/>
      <c r="AD505" s="9"/>
      <c r="AE505" s="9">
        <f t="shared" si="8"/>
        <v>2</v>
      </c>
      <c r="AF505" s="19">
        <f t="shared" si="13"/>
        <v>5</v>
      </c>
      <c r="AG505" s="9"/>
      <c r="AH505" s="9"/>
      <c r="AI505" s="9"/>
    </row>
    <row r="506" ht="15.0" customHeight="1">
      <c r="A506" s="11">
        <v>505.0</v>
      </c>
      <c r="B506" s="12">
        <f t="shared" si="90"/>
        <v>39896</v>
      </c>
      <c r="C506" s="13">
        <v>2009.0</v>
      </c>
      <c r="D506" s="11" t="s">
        <v>39</v>
      </c>
      <c r="E506" s="11">
        <v>17.0</v>
      </c>
      <c r="F506" s="21" t="s">
        <v>135</v>
      </c>
      <c r="G506" s="15">
        <v>0.15406283856988082</v>
      </c>
      <c r="H506" s="11" t="s">
        <v>33</v>
      </c>
      <c r="I506" s="16">
        <v>43.96000000000001</v>
      </c>
      <c r="J506" s="11" t="s">
        <v>961</v>
      </c>
      <c r="K506" s="11" t="s">
        <v>83</v>
      </c>
      <c r="L506" s="11" t="s">
        <v>36</v>
      </c>
      <c r="M506" s="11" t="s">
        <v>49</v>
      </c>
      <c r="N506" s="11" t="s">
        <v>73</v>
      </c>
      <c r="O506" s="11" t="s">
        <v>136</v>
      </c>
      <c r="P506" s="11" t="s">
        <v>99</v>
      </c>
      <c r="Q506" s="20">
        <v>39897.0</v>
      </c>
      <c r="R506" s="17">
        <f t="shared" si="2"/>
        <v>24.05845287</v>
      </c>
      <c r="S506" s="9"/>
      <c r="T506" s="9"/>
      <c r="U506" s="9"/>
      <c r="V506" s="9"/>
      <c r="W506" s="9"/>
      <c r="X506" s="9"/>
      <c r="Y506" s="9"/>
      <c r="Z506" s="9"/>
      <c r="AA506" s="9"/>
      <c r="AB506" s="9" t="str">
        <f>IFERROR(__xludf.DUMMYFUNCTION("""COMPUTED_VALUE"""),"Tom Zandusky")</f>
        <v>Tom Zandusky</v>
      </c>
      <c r="AC506" s="9"/>
      <c r="AD506" s="9"/>
      <c r="AE506" s="9">
        <f t="shared" si="8"/>
        <v>2</v>
      </c>
      <c r="AF506" s="19" t="b">
        <f t="shared" si="13"/>
        <v>0</v>
      </c>
      <c r="AG506" s="9"/>
      <c r="AH506" s="9"/>
      <c r="AI506" s="9"/>
    </row>
    <row r="507" ht="15.0" customHeight="1">
      <c r="A507" s="11">
        <v>506.0</v>
      </c>
      <c r="B507" s="12">
        <f t="shared" si="90"/>
        <v>39896</v>
      </c>
      <c r="C507" s="13">
        <v>2009.0</v>
      </c>
      <c r="D507" s="11" t="s">
        <v>39</v>
      </c>
      <c r="E507" s="11">
        <v>15.0</v>
      </c>
      <c r="F507" s="21" t="s">
        <v>295</v>
      </c>
      <c r="G507" s="15">
        <v>0.051181189488243455</v>
      </c>
      <c r="H507" s="11" t="s">
        <v>33</v>
      </c>
      <c r="I507" s="16">
        <v>15.991999999999999</v>
      </c>
      <c r="J507" s="11" t="s">
        <v>961</v>
      </c>
      <c r="K507" s="11" t="s">
        <v>83</v>
      </c>
      <c r="L507" s="11" t="s">
        <v>36</v>
      </c>
      <c r="M507" s="11" t="s">
        <v>28</v>
      </c>
      <c r="N507" s="11" t="s">
        <v>236</v>
      </c>
      <c r="O507" s="11" t="s">
        <v>296</v>
      </c>
      <c r="P507" s="11" t="s">
        <v>38</v>
      </c>
      <c r="Q507" s="20">
        <v>39897.0</v>
      </c>
      <c r="R507" s="17">
        <f t="shared" si="2"/>
        <v>70.22018253</v>
      </c>
      <c r="S507" s="9"/>
      <c r="T507" s="9"/>
      <c r="U507" s="9"/>
      <c r="V507" s="9"/>
      <c r="W507" s="9"/>
      <c r="X507" s="9"/>
      <c r="Y507" s="9"/>
      <c r="Z507" s="9"/>
      <c r="AA507" s="9"/>
      <c r="AB507" s="9" t="str">
        <f>IFERROR(__xludf.DUMMYFUNCTION("""COMPUTED_VALUE"""),"Lisa Hazard")</f>
        <v>Lisa Hazard</v>
      </c>
      <c r="AC507" s="9"/>
      <c r="AD507" s="9"/>
      <c r="AE507" s="9">
        <f t="shared" si="8"/>
        <v>2</v>
      </c>
      <c r="AF507" s="19" t="b">
        <f t="shared" si="13"/>
        <v>0</v>
      </c>
      <c r="AG507" s="9"/>
      <c r="AH507" s="9"/>
      <c r="AI507" s="9"/>
    </row>
    <row r="508" ht="15.0" customHeight="1">
      <c r="A508" s="11">
        <v>507.0</v>
      </c>
      <c r="B508" s="12">
        <f t="shared" si="90"/>
        <v>39896</v>
      </c>
      <c r="C508" s="13">
        <v>2009.0</v>
      </c>
      <c r="D508" s="11" t="s">
        <v>102</v>
      </c>
      <c r="E508" s="11">
        <v>6.0</v>
      </c>
      <c r="F508" s="21" t="s">
        <v>962</v>
      </c>
      <c r="G508" s="15">
        <v>0.030781563126252392</v>
      </c>
      <c r="H508" s="11" t="s">
        <v>33</v>
      </c>
      <c r="I508" s="16">
        <v>4.328</v>
      </c>
      <c r="J508" s="11" t="s">
        <v>963</v>
      </c>
      <c r="K508" s="11" t="s">
        <v>35</v>
      </c>
      <c r="L508" s="11" t="s">
        <v>41</v>
      </c>
      <c r="M508" s="11" t="s">
        <v>28</v>
      </c>
      <c r="N508" s="11" t="s">
        <v>29</v>
      </c>
      <c r="O508" s="11" t="s">
        <v>964</v>
      </c>
      <c r="P508" s="11" t="s">
        <v>38</v>
      </c>
      <c r="Q508" s="20">
        <v>39898.0</v>
      </c>
      <c r="R508" s="17">
        <f t="shared" si="2"/>
        <v>2.977439038</v>
      </c>
      <c r="S508" s="9"/>
      <c r="T508" s="9"/>
      <c r="U508" s="9"/>
      <c r="V508" s="9"/>
      <c r="W508" s="9"/>
      <c r="X508" s="9"/>
      <c r="Y508" s="9"/>
      <c r="Z508" s="9"/>
      <c r="AA508" s="9"/>
      <c r="AB508" s="9" t="str">
        <f>IFERROR(__xludf.DUMMYFUNCTION("""COMPUTED_VALUE"""),"Daniel Lacy")</f>
        <v>Daniel Lacy</v>
      </c>
      <c r="AC508" s="9"/>
      <c r="AD508" s="9"/>
      <c r="AE508" s="9">
        <f t="shared" si="8"/>
        <v>3</v>
      </c>
      <c r="AF508" s="19">
        <f t="shared" si="13"/>
        <v>2</v>
      </c>
      <c r="AG508" s="9"/>
      <c r="AH508" s="9"/>
      <c r="AI508" s="9"/>
    </row>
    <row r="509" ht="15.0" customHeight="1">
      <c r="A509" s="11">
        <v>508.0</v>
      </c>
      <c r="B509" s="12">
        <f t="shared" si="90"/>
        <v>39896</v>
      </c>
      <c r="C509" s="13">
        <v>2009.0</v>
      </c>
      <c r="D509" s="11" t="s">
        <v>102</v>
      </c>
      <c r="E509" s="11">
        <v>23.0</v>
      </c>
      <c r="F509" s="21" t="s">
        <v>965</v>
      </c>
      <c r="G509" s="15">
        <v>0.08585926009729604</v>
      </c>
      <c r="H509" s="11" t="s">
        <v>45</v>
      </c>
      <c r="I509" s="16">
        <v>41.93600000000001</v>
      </c>
      <c r="J509" s="11" t="s">
        <v>966</v>
      </c>
      <c r="K509" s="11" t="s">
        <v>26</v>
      </c>
      <c r="L509" s="11" t="s">
        <v>36</v>
      </c>
      <c r="M509" s="11" t="s">
        <v>49</v>
      </c>
      <c r="N509" s="11" t="s">
        <v>85</v>
      </c>
      <c r="O509" s="11" t="s">
        <v>967</v>
      </c>
      <c r="P509" s="11" t="s">
        <v>87</v>
      </c>
      <c r="Q509" s="20">
        <v>39898.0</v>
      </c>
      <c r="R509" s="17">
        <f t="shared" si="2"/>
        <v>277.5002196</v>
      </c>
      <c r="S509" s="9"/>
      <c r="T509" s="9"/>
      <c r="U509" s="9"/>
      <c r="V509" s="9"/>
      <c r="W509" s="9"/>
      <c r="X509" s="9"/>
      <c r="Y509" s="9"/>
      <c r="Z509" s="9"/>
      <c r="AA509" s="9"/>
      <c r="AB509" s="9" t="str">
        <f>IFERROR(__xludf.DUMMYFUNCTION("""COMPUTED_VALUE"""),"Matthew Grinstein")</f>
        <v>Matthew Grinstein</v>
      </c>
      <c r="AC509" s="9"/>
      <c r="AD509" s="9"/>
      <c r="AE509" s="9">
        <f t="shared" si="8"/>
        <v>2</v>
      </c>
      <c r="AF509" s="19">
        <f t="shared" si="13"/>
        <v>1</v>
      </c>
      <c r="AG509" s="9"/>
      <c r="AH509" s="9"/>
      <c r="AI509" s="9"/>
    </row>
    <row r="510" ht="15.0" customHeight="1">
      <c r="A510" s="11">
        <v>509.0</v>
      </c>
      <c r="B510" s="12">
        <f t="shared" ref="B510:B519" si="91">DATE(2012,12,31)-1377</f>
        <v>39897</v>
      </c>
      <c r="C510" s="13">
        <v>2009.0</v>
      </c>
      <c r="D510" s="11" t="s">
        <v>39</v>
      </c>
      <c r="E510" s="11">
        <v>20.0</v>
      </c>
      <c r="F510" s="21" t="s">
        <v>676</v>
      </c>
      <c r="G510" s="15">
        <v>0.08039024390243907</v>
      </c>
      <c r="H510" s="11" t="s">
        <v>33</v>
      </c>
      <c r="I510" s="16">
        <v>1.1119999999999999</v>
      </c>
      <c r="J510" s="11" t="s">
        <v>968</v>
      </c>
      <c r="K510" s="11" t="s">
        <v>47</v>
      </c>
      <c r="L510" s="11" t="s">
        <v>36</v>
      </c>
      <c r="M510" s="11" t="s">
        <v>28</v>
      </c>
      <c r="N510" s="11" t="s">
        <v>236</v>
      </c>
      <c r="O510" s="11" t="s">
        <v>677</v>
      </c>
      <c r="P510" s="11" t="s">
        <v>38</v>
      </c>
      <c r="Q510" s="20">
        <v>39898.0</v>
      </c>
      <c r="R510" s="17">
        <f t="shared" si="2"/>
        <v>9.093101268</v>
      </c>
      <c r="S510" s="9"/>
      <c r="T510" s="9"/>
      <c r="U510" s="9"/>
      <c r="V510" s="9"/>
      <c r="W510" s="9"/>
      <c r="X510" s="9"/>
      <c r="Y510" s="9"/>
      <c r="Z510" s="9"/>
      <c r="AA510" s="9"/>
      <c r="AB510" s="9" t="str">
        <f>IFERROR(__xludf.DUMMYFUNCTION("""COMPUTED_VALUE"""),"Sean Braxton")</f>
        <v>Sean Braxton</v>
      </c>
      <c r="AC510" s="9"/>
      <c r="AD510" s="9"/>
      <c r="AE510" s="9">
        <f t="shared" si="8"/>
        <v>2</v>
      </c>
      <c r="AF510" s="19">
        <f t="shared" si="13"/>
        <v>3</v>
      </c>
      <c r="AG510" s="9"/>
      <c r="AH510" s="9"/>
      <c r="AI510" s="9"/>
    </row>
    <row r="511" ht="15.0" customHeight="1">
      <c r="A511" s="11">
        <v>510.0</v>
      </c>
      <c r="B511" s="12">
        <f t="shared" si="91"/>
        <v>39897</v>
      </c>
      <c r="C511" s="13">
        <v>2009.0</v>
      </c>
      <c r="D511" s="11" t="s">
        <v>39</v>
      </c>
      <c r="E511" s="11">
        <v>2.0</v>
      </c>
      <c r="F511" s="21" t="s">
        <v>350</v>
      </c>
      <c r="G511" s="15">
        <v>0.09518151815181519</v>
      </c>
      <c r="H511" s="11" t="s">
        <v>33</v>
      </c>
      <c r="I511" s="16">
        <v>9.232</v>
      </c>
      <c r="J511" s="11" t="s">
        <v>968</v>
      </c>
      <c r="K511" s="11" t="s">
        <v>47</v>
      </c>
      <c r="L511" s="11" t="s">
        <v>36</v>
      </c>
      <c r="M511" s="11" t="s">
        <v>28</v>
      </c>
      <c r="N511" s="11" t="s">
        <v>56</v>
      </c>
      <c r="O511" s="11" t="s">
        <v>969</v>
      </c>
      <c r="P511" s="11" t="s">
        <v>38</v>
      </c>
      <c r="Q511" s="20">
        <v>39898.0</v>
      </c>
      <c r="R511" s="17">
        <f t="shared" si="2"/>
        <v>5.218993003</v>
      </c>
      <c r="S511" s="9"/>
      <c r="T511" s="9"/>
      <c r="U511" s="9"/>
      <c r="V511" s="9"/>
      <c r="W511" s="9"/>
      <c r="X511" s="9"/>
      <c r="Y511" s="9"/>
      <c r="Z511" s="9"/>
      <c r="AA511" s="9"/>
      <c r="AB511" s="9" t="str">
        <f>IFERROR(__xludf.DUMMYFUNCTION("""COMPUTED_VALUE"""),"Patrick Gardner")</f>
        <v>Patrick Gardner</v>
      </c>
      <c r="AC511" s="9"/>
      <c r="AD511" s="9"/>
      <c r="AE511" s="9">
        <f t="shared" si="8"/>
        <v>2</v>
      </c>
      <c r="AF511" s="19">
        <f t="shared" si="13"/>
        <v>3</v>
      </c>
      <c r="AG511" s="9"/>
      <c r="AH511" s="9"/>
      <c r="AI511" s="9"/>
    </row>
    <row r="512" ht="15.0" customHeight="1">
      <c r="A512" s="11">
        <v>511.0</v>
      </c>
      <c r="B512" s="12">
        <f t="shared" si="91"/>
        <v>39897</v>
      </c>
      <c r="C512" s="13">
        <v>2009.0</v>
      </c>
      <c r="D512" s="11" t="s">
        <v>44</v>
      </c>
      <c r="E512" s="11">
        <v>47.0</v>
      </c>
      <c r="F512" s="21" t="s">
        <v>415</v>
      </c>
      <c r="G512" s="15">
        <v>0.07128281327389809</v>
      </c>
      <c r="H512" s="11" t="s">
        <v>33</v>
      </c>
      <c r="I512" s="16">
        <v>4.208</v>
      </c>
      <c r="J512" s="11" t="s">
        <v>970</v>
      </c>
      <c r="K512" s="11" t="s">
        <v>35</v>
      </c>
      <c r="L512" s="11" t="s">
        <v>36</v>
      </c>
      <c r="M512" s="11" t="s">
        <v>28</v>
      </c>
      <c r="N512" s="11" t="s">
        <v>42</v>
      </c>
      <c r="O512" s="11" t="s">
        <v>971</v>
      </c>
      <c r="P512" s="11" t="s">
        <v>38</v>
      </c>
      <c r="Q512" s="20">
        <v>39898.0</v>
      </c>
      <c r="R512" s="17">
        <f t="shared" si="2"/>
        <v>13.36609775</v>
      </c>
      <c r="S512" s="9"/>
      <c r="T512" s="9"/>
      <c r="U512" s="9"/>
      <c r="V512" s="9"/>
      <c r="W512" s="9"/>
      <c r="X512" s="9"/>
      <c r="Y512" s="9"/>
      <c r="Z512" s="9"/>
      <c r="AA512" s="9"/>
      <c r="AB512" s="9" t="str">
        <f>IFERROR(__xludf.DUMMYFUNCTION("""COMPUTED_VALUE"""),"Arianne Irving")</f>
        <v>Arianne Irving</v>
      </c>
      <c r="AC512" s="9"/>
      <c r="AD512" s="9"/>
      <c r="AE512" s="9">
        <f t="shared" si="8"/>
        <v>2</v>
      </c>
      <c r="AF512" s="19">
        <f t="shared" si="13"/>
        <v>2</v>
      </c>
      <c r="AG512" s="9"/>
      <c r="AH512" s="9"/>
      <c r="AI512" s="9"/>
    </row>
    <row r="513" ht="15.0" customHeight="1">
      <c r="A513" s="11">
        <v>512.0</v>
      </c>
      <c r="B513" s="12">
        <f t="shared" si="91"/>
        <v>39897</v>
      </c>
      <c r="C513" s="13">
        <v>2009.0</v>
      </c>
      <c r="D513" s="11" t="s">
        <v>44</v>
      </c>
      <c r="E513" s="11">
        <v>9.0</v>
      </c>
      <c r="F513" s="21" t="s">
        <v>158</v>
      </c>
      <c r="G513" s="15">
        <v>0.03701399688958002</v>
      </c>
      <c r="H513" s="11" t="s">
        <v>33</v>
      </c>
      <c r="I513" s="16">
        <v>4.32</v>
      </c>
      <c r="J513" s="11" t="s">
        <v>970</v>
      </c>
      <c r="K513" s="11" t="s">
        <v>35</v>
      </c>
      <c r="L513" s="11" t="s">
        <v>36</v>
      </c>
      <c r="M513" s="11" t="s">
        <v>28</v>
      </c>
      <c r="N513" s="11" t="s">
        <v>56</v>
      </c>
      <c r="O513" s="11" t="s">
        <v>972</v>
      </c>
      <c r="P513" s="11" t="s">
        <v>38</v>
      </c>
      <c r="Q513" s="20">
        <v>39899.0</v>
      </c>
      <c r="R513" s="17">
        <f t="shared" si="2"/>
        <v>2.291906687</v>
      </c>
      <c r="S513" s="9"/>
      <c r="T513" s="9"/>
      <c r="U513" s="9"/>
      <c r="V513" s="9"/>
      <c r="W513" s="9"/>
      <c r="X513" s="9"/>
      <c r="Y513" s="9"/>
      <c r="Z513" s="9"/>
      <c r="AA513" s="9"/>
      <c r="AB513" s="9" t="str">
        <f>IFERROR(__xludf.DUMMYFUNCTION("""COMPUTED_VALUE"""),"Ed Ludwig")</f>
        <v>Ed Ludwig</v>
      </c>
      <c r="AC513" s="9"/>
      <c r="AD513" s="9"/>
      <c r="AE513" s="9">
        <f t="shared" si="8"/>
        <v>2</v>
      </c>
      <c r="AF513" s="19">
        <f t="shared" si="13"/>
        <v>2</v>
      </c>
      <c r="AG513" s="9"/>
      <c r="AH513" s="9"/>
      <c r="AI513" s="9"/>
    </row>
    <row r="514" ht="15.0" customHeight="1">
      <c r="A514" s="11">
        <v>513.0</v>
      </c>
      <c r="B514" s="12">
        <f t="shared" si="91"/>
        <v>39897</v>
      </c>
      <c r="C514" s="13">
        <v>2009.0</v>
      </c>
      <c r="D514" s="11" t="s">
        <v>44</v>
      </c>
      <c r="E514" s="11">
        <v>27.0</v>
      </c>
      <c r="F514" s="21" t="s">
        <v>562</v>
      </c>
      <c r="G514" s="15">
        <v>0.020358691253829803</v>
      </c>
      <c r="H514" s="11" t="s">
        <v>45</v>
      </c>
      <c r="I514" s="16">
        <v>33.152</v>
      </c>
      <c r="J514" s="11" t="s">
        <v>973</v>
      </c>
      <c r="K514" s="11" t="s">
        <v>61</v>
      </c>
      <c r="L514" s="11" t="s">
        <v>36</v>
      </c>
      <c r="M514" s="11" t="s">
        <v>49</v>
      </c>
      <c r="N514" s="11" t="s">
        <v>156</v>
      </c>
      <c r="O514" s="11" t="s">
        <v>974</v>
      </c>
      <c r="P514" s="11" t="s">
        <v>87</v>
      </c>
      <c r="Q514" s="20">
        <v>39899.0</v>
      </c>
      <c r="R514" s="17">
        <f t="shared" si="2"/>
        <v>276.0119795</v>
      </c>
      <c r="S514" s="9"/>
      <c r="T514" s="9"/>
      <c r="U514" s="9"/>
      <c r="V514" s="9"/>
      <c r="W514" s="9"/>
      <c r="X514" s="9"/>
      <c r="Y514" s="9"/>
      <c r="Z514" s="9"/>
      <c r="AA514" s="9"/>
      <c r="AB514" s="9" t="str">
        <f>IFERROR(__xludf.DUMMYFUNCTION("""COMPUTED_VALUE"""),"Monica Federle")</f>
        <v>Monica Federle</v>
      </c>
      <c r="AC514" s="9"/>
      <c r="AD514" s="9"/>
      <c r="AE514" s="9">
        <f t="shared" si="8"/>
        <v>2</v>
      </c>
      <c r="AF514" s="19">
        <f t="shared" si="13"/>
        <v>4</v>
      </c>
      <c r="AG514" s="9"/>
      <c r="AH514" s="9"/>
      <c r="AI514" s="9"/>
    </row>
    <row r="515" ht="15.0" customHeight="1">
      <c r="A515" s="11">
        <v>514.0</v>
      </c>
      <c r="B515" s="12">
        <f t="shared" si="91"/>
        <v>39897</v>
      </c>
      <c r="C515" s="13">
        <v>2009.0</v>
      </c>
      <c r="D515" s="11" t="s">
        <v>39</v>
      </c>
      <c r="E515" s="11">
        <v>20.0</v>
      </c>
      <c r="F515" s="21" t="s">
        <v>707</v>
      </c>
      <c r="G515" s="15">
        <v>0.018046342571558422</v>
      </c>
      <c r="H515" s="11" t="s">
        <v>24</v>
      </c>
      <c r="I515" s="16">
        <v>4.128</v>
      </c>
      <c r="J515" s="11" t="s">
        <v>690</v>
      </c>
      <c r="K515" s="11" t="s">
        <v>61</v>
      </c>
      <c r="L515" s="11" t="s">
        <v>48</v>
      </c>
      <c r="M515" s="11" t="s">
        <v>49</v>
      </c>
      <c r="N515" s="11" t="s">
        <v>73</v>
      </c>
      <c r="O515" s="11" t="s">
        <v>975</v>
      </c>
      <c r="P515" s="11" t="s">
        <v>38</v>
      </c>
      <c r="Q515" s="20">
        <v>39899.0</v>
      </c>
      <c r="R515" s="17">
        <f t="shared" si="2"/>
        <v>3.900319927</v>
      </c>
      <c r="S515" s="9"/>
      <c r="T515" s="9"/>
      <c r="U515" s="9"/>
      <c r="V515" s="9"/>
      <c r="W515" s="9"/>
      <c r="X515" s="9"/>
      <c r="Y515" s="9"/>
      <c r="Z515" s="9"/>
      <c r="AA515" s="9"/>
      <c r="AB515" s="9" t="str">
        <f>IFERROR(__xludf.DUMMYFUNCTION("""COMPUTED_VALUE"""),"Joni Wasserman")</f>
        <v>Joni Wasserman</v>
      </c>
      <c r="AC515" s="9"/>
      <c r="AD515" s="9"/>
      <c r="AE515" s="9">
        <f t="shared" si="8"/>
        <v>4</v>
      </c>
      <c r="AF515" s="19">
        <f t="shared" si="13"/>
        <v>4</v>
      </c>
      <c r="AG515" s="9"/>
      <c r="AH515" s="9"/>
      <c r="AI515" s="9"/>
    </row>
    <row r="516" ht="15.0" customHeight="1">
      <c r="A516" s="11">
        <v>515.0</v>
      </c>
      <c r="B516" s="12">
        <f t="shared" si="91"/>
        <v>39897</v>
      </c>
      <c r="C516" s="13">
        <v>2009.0</v>
      </c>
      <c r="D516" s="11" t="s">
        <v>23</v>
      </c>
      <c r="E516" s="11">
        <v>11.0</v>
      </c>
      <c r="F516" s="21" t="s">
        <v>137</v>
      </c>
      <c r="G516" s="15">
        <v>0.0405397025894241</v>
      </c>
      <c r="H516" s="11" t="s">
        <v>33</v>
      </c>
      <c r="I516" s="16">
        <v>11.192</v>
      </c>
      <c r="J516" s="11" t="s">
        <v>550</v>
      </c>
      <c r="K516" s="11" t="s">
        <v>65</v>
      </c>
      <c r="L516" s="11" t="s">
        <v>48</v>
      </c>
      <c r="M516" s="11" t="s">
        <v>66</v>
      </c>
      <c r="N516" s="11" t="s">
        <v>69</v>
      </c>
      <c r="O516" s="11" t="s">
        <v>468</v>
      </c>
      <c r="P516" s="11" t="s">
        <v>75</v>
      </c>
      <c r="Q516" s="20">
        <v>39899.0</v>
      </c>
      <c r="R516" s="17">
        <f t="shared" si="2"/>
        <v>67.74557268</v>
      </c>
      <c r="S516" s="9"/>
      <c r="T516" s="9"/>
      <c r="U516" s="9"/>
      <c r="V516" s="9"/>
      <c r="W516" s="9"/>
      <c r="X516" s="9"/>
      <c r="Y516" s="9"/>
      <c r="Z516" s="9"/>
      <c r="AA516" s="9"/>
      <c r="AB516" s="9" t="str">
        <f>IFERROR(__xludf.DUMMYFUNCTION("""COMPUTED_VALUE"""),"Patrick O'Donnell")</f>
        <v>Patrick O'Donnell</v>
      </c>
      <c r="AC516" s="9"/>
      <c r="AD516" s="9"/>
      <c r="AE516" s="9">
        <f t="shared" si="8"/>
        <v>4</v>
      </c>
      <c r="AF516" s="19">
        <f t="shared" si="13"/>
        <v>5</v>
      </c>
      <c r="AG516" s="9"/>
      <c r="AH516" s="9"/>
      <c r="AI516" s="9"/>
    </row>
    <row r="517" ht="15.0" customHeight="1">
      <c r="A517" s="11">
        <v>516.0</v>
      </c>
      <c r="B517" s="12">
        <f t="shared" si="91"/>
        <v>39897</v>
      </c>
      <c r="C517" s="13">
        <v>2009.0</v>
      </c>
      <c r="D517" s="11" t="s">
        <v>23</v>
      </c>
      <c r="E517" s="11">
        <v>30.0</v>
      </c>
      <c r="F517" s="21" t="s">
        <v>304</v>
      </c>
      <c r="G517" s="15">
        <v>0.01657133070731278</v>
      </c>
      <c r="H517" s="11" t="s">
        <v>33</v>
      </c>
      <c r="I517" s="16">
        <v>7.224</v>
      </c>
      <c r="J517" s="11" t="s">
        <v>550</v>
      </c>
      <c r="K517" s="11" t="s">
        <v>65</v>
      </c>
      <c r="L517" s="11" t="s">
        <v>48</v>
      </c>
      <c r="M517" s="11" t="s">
        <v>28</v>
      </c>
      <c r="N517" s="11" t="s">
        <v>56</v>
      </c>
      <c r="O517" s="11" t="s">
        <v>388</v>
      </c>
      <c r="P517" s="11" t="s">
        <v>38</v>
      </c>
      <c r="Q517" s="20">
        <v>39899.0</v>
      </c>
      <c r="R517" s="17">
        <f t="shared" si="2"/>
        <v>9.515655804</v>
      </c>
      <c r="S517" s="9"/>
      <c r="T517" s="9"/>
      <c r="U517" s="9"/>
      <c r="V517" s="9"/>
      <c r="W517" s="9"/>
      <c r="X517" s="9"/>
      <c r="Y517" s="9"/>
      <c r="Z517" s="9"/>
      <c r="AA517" s="9"/>
      <c r="AB517" s="9" t="str">
        <f>IFERROR(__xludf.DUMMYFUNCTION("""COMPUTED_VALUE"""),"Matthew Clasen")</f>
        <v>Matthew Clasen</v>
      </c>
      <c r="AC517" s="9"/>
      <c r="AD517" s="9"/>
      <c r="AE517" s="9">
        <f t="shared" si="8"/>
        <v>4</v>
      </c>
      <c r="AF517" s="19">
        <f t="shared" si="13"/>
        <v>5</v>
      </c>
      <c r="AG517" s="9"/>
      <c r="AH517" s="9"/>
      <c r="AI517" s="9"/>
    </row>
    <row r="518" ht="15.0" customHeight="1">
      <c r="A518" s="11">
        <v>517.0</v>
      </c>
      <c r="B518" s="12">
        <f t="shared" si="91"/>
        <v>39897</v>
      </c>
      <c r="C518" s="13">
        <v>2009.0</v>
      </c>
      <c r="D518" s="11" t="s">
        <v>23</v>
      </c>
      <c r="E518" s="11">
        <v>23.0</v>
      </c>
      <c r="F518" s="21" t="s">
        <v>610</v>
      </c>
      <c r="G518" s="15">
        <v>0.03856708347414679</v>
      </c>
      <c r="H518" s="11" t="s">
        <v>33</v>
      </c>
      <c r="I518" s="16">
        <v>3.8880000000000003</v>
      </c>
      <c r="J518" s="11" t="s">
        <v>550</v>
      </c>
      <c r="K518" s="11" t="s">
        <v>65</v>
      </c>
      <c r="L518" s="11" t="s">
        <v>48</v>
      </c>
      <c r="M518" s="11" t="s">
        <v>28</v>
      </c>
      <c r="N518" s="11" t="s">
        <v>56</v>
      </c>
      <c r="O518" s="11" t="s">
        <v>976</v>
      </c>
      <c r="P518" s="11" t="s">
        <v>38</v>
      </c>
      <c r="Q518" s="20">
        <v>39899.0</v>
      </c>
      <c r="R518" s="17">
        <f t="shared" si="2"/>
        <v>10.97187244</v>
      </c>
      <c r="S518" s="9"/>
      <c r="T518" s="9"/>
      <c r="U518" s="9"/>
      <c r="V518" s="9"/>
      <c r="W518" s="9"/>
      <c r="X518" s="9"/>
      <c r="Y518" s="9"/>
      <c r="Z518" s="9"/>
      <c r="AA518" s="9"/>
      <c r="AB518" s="9" t="str">
        <f>IFERROR(__xludf.DUMMYFUNCTION("""COMPUTED_VALUE"""),"Steve Chapman")</f>
        <v>Steve Chapman</v>
      </c>
      <c r="AC518" s="9"/>
      <c r="AD518" s="9"/>
      <c r="AE518" s="9">
        <f t="shared" si="8"/>
        <v>4</v>
      </c>
      <c r="AF518" s="19">
        <f t="shared" si="13"/>
        <v>5</v>
      </c>
      <c r="AG518" s="9"/>
      <c r="AH518" s="9"/>
      <c r="AI518" s="9"/>
    </row>
    <row r="519" ht="15.0" customHeight="1">
      <c r="A519" s="11">
        <v>518.0</v>
      </c>
      <c r="B519" s="12">
        <f t="shared" si="91"/>
        <v>39897</v>
      </c>
      <c r="C519" s="13">
        <v>2009.0</v>
      </c>
      <c r="D519" s="11" t="s">
        <v>23</v>
      </c>
      <c r="E519" s="11">
        <v>46.0</v>
      </c>
      <c r="F519" s="21" t="s">
        <v>718</v>
      </c>
      <c r="G519" s="15">
        <v>0.050948707378835216</v>
      </c>
      <c r="H519" s="11" t="s">
        <v>24</v>
      </c>
      <c r="I519" s="16">
        <v>6.184000000000001</v>
      </c>
      <c r="J519" s="11" t="s">
        <v>550</v>
      </c>
      <c r="K519" s="11" t="s">
        <v>65</v>
      </c>
      <c r="L519" s="11" t="s">
        <v>48</v>
      </c>
      <c r="M519" s="11" t="s">
        <v>28</v>
      </c>
      <c r="N519" s="11" t="s">
        <v>62</v>
      </c>
      <c r="O519" s="11" t="s">
        <v>720</v>
      </c>
      <c r="P519" s="11" t="s">
        <v>38</v>
      </c>
      <c r="Q519" s="20">
        <v>39900.0</v>
      </c>
      <c r="R519" s="17">
        <f t="shared" si="2"/>
        <v>82.10812163</v>
      </c>
      <c r="S519" s="9"/>
      <c r="T519" s="9"/>
      <c r="U519" s="9"/>
      <c r="V519" s="9"/>
      <c r="W519" s="9"/>
      <c r="X519" s="9"/>
      <c r="Y519" s="9"/>
      <c r="Z519" s="9"/>
      <c r="AA519" s="9"/>
      <c r="AB519" s="9" t="str">
        <f>IFERROR(__xludf.DUMMYFUNCTION("""COMPUTED_VALUE"""),"Chuck Clark")</f>
        <v>Chuck Clark</v>
      </c>
      <c r="AC519" s="9"/>
      <c r="AD519" s="9"/>
      <c r="AE519" s="9">
        <f t="shared" si="8"/>
        <v>4</v>
      </c>
      <c r="AF519" s="19">
        <f t="shared" si="13"/>
        <v>5</v>
      </c>
      <c r="AG519" s="9"/>
      <c r="AH519" s="9"/>
      <c r="AI519" s="9"/>
    </row>
    <row r="520" ht="15.0" customHeight="1">
      <c r="A520" s="11">
        <v>519.0</v>
      </c>
      <c r="B520" s="12">
        <f t="shared" ref="B520:B525" si="92">DATE(2012,12,31)-1376</f>
        <v>39898</v>
      </c>
      <c r="C520" s="13">
        <v>2009.0</v>
      </c>
      <c r="D520" s="11" t="s">
        <v>39</v>
      </c>
      <c r="E520" s="11">
        <v>41.0</v>
      </c>
      <c r="F520" s="21" t="s">
        <v>135</v>
      </c>
      <c r="G520" s="15">
        <v>0.08607935440484205</v>
      </c>
      <c r="H520" s="11" t="s">
        <v>33</v>
      </c>
      <c r="I520" s="16">
        <v>1.2000000000000002</v>
      </c>
      <c r="J520" s="11" t="s">
        <v>977</v>
      </c>
      <c r="K520" s="11" t="s">
        <v>83</v>
      </c>
      <c r="L520" s="11" t="s">
        <v>48</v>
      </c>
      <c r="M520" s="11" t="s">
        <v>28</v>
      </c>
      <c r="N520" s="11" t="s">
        <v>62</v>
      </c>
      <c r="O520" s="11" t="s">
        <v>978</v>
      </c>
      <c r="P520" s="11" t="s">
        <v>58</v>
      </c>
      <c r="Q520" s="20">
        <v>39900.0</v>
      </c>
      <c r="R520" s="17">
        <f t="shared" si="2"/>
        <v>23.39636853</v>
      </c>
      <c r="S520" s="9"/>
      <c r="T520" s="9"/>
      <c r="U520" s="9"/>
      <c r="V520" s="9"/>
      <c r="W520" s="9"/>
      <c r="X520" s="9"/>
      <c r="Y520" s="9"/>
      <c r="Z520" s="9"/>
      <c r="AA520" s="9"/>
      <c r="AB520" s="9" t="str">
        <f>IFERROR(__xludf.DUMMYFUNCTION("""COMPUTED_VALUE"""),"Michael Kennedy")</f>
        <v>Michael Kennedy</v>
      </c>
      <c r="AC520" s="9"/>
      <c r="AD520" s="9"/>
      <c r="AE520" s="9">
        <f t="shared" si="8"/>
        <v>4</v>
      </c>
      <c r="AF520" s="19" t="b">
        <f t="shared" si="13"/>
        <v>0</v>
      </c>
      <c r="AG520" s="9"/>
      <c r="AH520" s="9"/>
      <c r="AI520" s="9"/>
    </row>
    <row r="521" ht="15.0" customHeight="1">
      <c r="A521" s="11">
        <v>520.0</v>
      </c>
      <c r="B521" s="12">
        <f t="shared" si="92"/>
        <v>39898</v>
      </c>
      <c r="C521" s="13">
        <v>2009.0</v>
      </c>
      <c r="D521" s="11" t="s">
        <v>23</v>
      </c>
      <c r="E521" s="11">
        <v>20.0</v>
      </c>
      <c r="F521" s="21" t="s">
        <v>979</v>
      </c>
      <c r="G521" s="15">
        <v>0.06606080689255237</v>
      </c>
      <c r="H521" s="11" t="s">
        <v>33</v>
      </c>
      <c r="I521" s="16">
        <v>9.432</v>
      </c>
      <c r="J521" s="11" t="s">
        <v>145</v>
      </c>
      <c r="K521" s="11" t="s">
        <v>83</v>
      </c>
      <c r="L521" s="11" t="s">
        <v>41</v>
      </c>
      <c r="M521" s="11" t="s">
        <v>28</v>
      </c>
      <c r="N521" s="11" t="s">
        <v>197</v>
      </c>
      <c r="O521" s="11" t="s">
        <v>980</v>
      </c>
      <c r="P521" s="11" t="s">
        <v>75</v>
      </c>
      <c r="Q521" s="20">
        <v>39900.0</v>
      </c>
      <c r="R521" s="17">
        <f t="shared" si="2"/>
        <v>297.8967165</v>
      </c>
      <c r="S521" s="9"/>
      <c r="T521" s="9"/>
      <c r="U521" s="9"/>
      <c r="V521" s="9"/>
      <c r="W521" s="9"/>
      <c r="X521" s="9"/>
      <c r="Y521" s="9"/>
      <c r="Z521" s="9"/>
      <c r="AA521" s="9"/>
      <c r="AB521" s="9" t="str">
        <f>IFERROR(__xludf.DUMMYFUNCTION("""COMPUTED_VALUE"""),"Katherine Murray")</f>
        <v>Katherine Murray</v>
      </c>
      <c r="AC521" s="9"/>
      <c r="AD521" s="9"/>
      <c r="AE521" s="9">
        <f t="shared" si="8"/>
        <v>3</v>
      </c>
      <c r="AF521" s="19" t="b">
        <f t="shared" si="13"/>
        <v>0</v>
      </c>
      <c r="AG521" s="9"/>
      <c r="AH521" s="9"/>
      <c r="AI521" s="9"/>
    </row>
    <row r="522" ht="15.0" customHeight="1">
      <c r="A522" s="11">
        <v>521.0</v>
      </c>
      <c r="B522" s="12">
        <f t="shared" si="92"/>
        <v>39898</v>
      </c>
      <c r="C522" s="13">
        <v>2009.0</v>
      </c>
      <c r="D522" s="11" t="s">
        <v>23</v>
      </c>
      <c r="E522" s="11">
        <v>29.0</v>
      </c>
      <c r="F522" s="21" t="s">
        <v>402</v>
      </c>
      <c r="G522" s="15">
        <v>0.03779079497907954</v>
      </c>
      <c r="H522" s="11" t="s">
        <v>33</v>
      </c>
      <c r="I522" s="16">
        <v>3.7680000000000002</v>
      </c>
      <c r="J522" s="11" t="s">
        <v>145</v>
      </c>
      <c r="K522" s="11" t="s">
        <v>83</v>
      </c>
      <c r="L522" s="11" t="s">
        <v>41</v>
      </c>
      <c r="M522" s="11" t="s">
        <v>28</v>
      </c>
      <c r="N522" s="11" t="s">
        <v>42</v>
      </c>
      <c r="O522" s="11" t="s">
        <v>404</v>
      </c>
      <c r="P522" s="11" t="s">
        <v>38</v>
      </c>
      <c r="Q522" s="20">
        <v>39900.0</v>
      </c>
      <c r="R522" s="17">
        <f t="shared" si="2"/>
        <v>8.69067354</v>
      </c>
      <c r="S522" s="9"/>
      <c r="T522" s="9"/>
      <c r="U522" s="9"/>
      <c r="V522" s="9"/>
      <c r="W522" s="9"/>
      <c r="X522" s="9"/>
      <c r="Y522" s="9"/>
      <c r="Z522" s="9"/>
      <c r="AA522" s="9"/>
      <c r="AB522" s="9" t="str">
        <f>IFERROR(__xludf.DUMMYFUNCTION("""COMPUTED_VALUE"""),"Ralph Knight")</f>
        <v>Ralph Knight</v>
      </c>
      <c r="AC522" s="9"/>
      <c r="AD522" s="9"/>
      <c r="AE522" s="9">
        <f t="shared" si="8"/>
        <v>3</v>
      </c>
      <c r="AF522" s="19" t="b">
        <f t="shared" si="13"/>
        <v>0</v>
      </c>
      <c r="AG522" s="9"/>
      <c r="AH522" s="9"/>
      <c r="AI522" s="9"/>
    </row>
    <row r="523" ht="15.0" customHeight="1">
      <c r="A523" s="11">
        <v>522.0</v>
      </c>
      <c r="B523" s="12">
        <f t="shared" si="92"/>
        <v>39898</v>
      </c>
      <c r="C523" s="13">
        <v>2009.0</v>
      </c>
      <c r="D523" s="11" t="s">
        <v>23</v>
      </c>
      <c r="E523" s="11">
        <v>7.0</v>
      </c>
      <c r="F523" s="21" t="s">
        <v>486</v>
      </c>
      <c r="G523" s="15">
        <v>0.12787878787878806</v>
      </c>
      <c r="H523" s="11" t="s">
        <v>33</v>
      </c>
      <c r="I523" s="16">
        <v>4.5920000000000005</v>
      </c>
      <c r="J523" s="11" t="s">
        <v>981</v>
      </c>
      <c r="K523" s="11" t="s">
        <v>61</v>
      </c>
      <c r="L523" s="11" t="s">
        <v>48</v>
      </c>
      <c r="M523" s="11" t="s">
        <v>28</v>
      </c>
      <c r="N523" s="11" t="s">
        <v>42</v>
      </c>
      <c r="O523" s="11" t="s">
        <v>487</v>
      </c>
      <c r="P523" s="11" t="s">
        <v>38</v>
      </c>
      <c r="Q523" s="20">
        <v>39900.0</v>
      </c>
      <c r="R523" s="17">
        <f t="shared" si="2"/>
        <v>5.152492121</v>
      </c>
      <c r="S523" s="9"/>
      <c r="T523" s="9"/>
      <c r="U523" s="9"/>
      <c r="V523" s="9"/>
      <c r="W523" s="9"/>
      <c r="X523" s="9"/>
      <c r="Y523" s="9"/>
      <c r="Z523" s="9"/>
      <c r="AA523" s="9"/>
      <c r="AB523" s="9" t="str">
        <f>IFERROR(__xludf.DUMMYFUNCTION("""COMPUTED_VALUE"""),"Sarah Bern")</f>
        <v>Sarah Bern</v>
      </c>
      <c r="AC523" s="9"/>
      <c r="AD523" s="9"/>
      <c r="AE523" s="9">
        <f t="shared" si="8"/>
        <v>4</v>
      </c>
      <c r="AF523" s="19">
        <f t="shared" si="13"/>
        <v>4</v>
      </c>
      <c r="AG523" s="9"/>
      <c r="AH523" s="9"/>
      <c r="AI523" s="9"/>
    </row>
    <row r="524" ht="15.0" customHeight="1">
      <c r="A524" s="11">
        <v>523.0</v>
      </c>
      <c r="B524" s="12">
        <f t="shared" si="92"/>
        <v>39898</v>
      </c>
      <c r="C524" s="13">
        <v>2009.0</v>
      </c>
      <c r="D524" s="11" t="s">
        <v>102</v>
      </c>
      <c r="E524" s="11">
        <v>7.0</v>
      </c>
      <c r="F524" s="21" t="s">
        <v>886</v>
      </c>
      <c r="G524" s="15">
        <v>0.06875329699314249</v>
      </c>
      <c r="H524" s="11" t="s">
        <v>45</v>
      </c>
      <c r="I524" s="16">
        <v>48.0</v>
      </c>
      <c r="J524" s="11" t="s">
        <v>982</v>
      </c>
      <c r="K524" s="11" t="s">
        <v>61</v>
      </c>
      <c r="L524" s="11" t="s">
        <v>27</v>
      </c>
      <c r="M524" s="11" t="s">
        <v>28</v>
      </c>
      <c r="N524" s="11" t="s">
        <v>197</v>
      </c>
      <c r="O524" s="11" t="s">
        <v>888</v>
      </c>
      <c r="P524" s="11" t="s">
        <v>52</v>
      </c>
      <c r="Q524" s="20">
        <v>39900.0</v>
      </c>
      <c r="R524" s="17">
        <f t="shared" si="2"/>
        <v>36.41174609</v>
      </c>
      <c r="S524" s="9"/>
      <c r="T524" s="9"/>
      <c r="U524" s="9"/>
      <c r="V524" s="9"/>
      <c r="W524" s="9"/>
      <c r="X524" s="9"/>
      <c r="Y524" s="9"/>
      <c r="Z524" s="9"/>
      <c r="AA524" s="9"/>
      <c r="AB524" s="9" t="str">
        <f>IFERROR(__xludf.DUMMYFUNCTION("""COMPUTED_VALUE"""),"Mike Pelletier")</f>
        <v>Mike Pelletier</v>
      </c>
      <c r="AC524" s="9"/>
      <c r="AD524" s="9"/>
      <c r="AE524" s="9">
        <f t="shared" si="8"/>
        <v>1</v>
      </c>
      <c r="AF524" s="19">
        <f t="shared" si="13"/>
        <v>4</v>
      </c>
      <c r="AG524" s="9"/>
      <c r="AH524" s="9"/>
      <c r="AI524" s="9"/>
    </row>
    <row r="525" ht="15.0" customHeight="1">
      <c r="A525" s="11">
        <v>524.0</v>
      </c>
      <c r="B525" s="12">
        <f t="shared" si="92"/>
        <v>39898</v>
      </c>
      <c r="C525" s="13">
        <v>2009.0</v>
      </c>
      <c r="D525" s="11" t="s">
        <v>102</v>
      </c>
      <c r="E525" s="11">
        <v>29.0</v>
      </c>
      <c r="F525" s="21" t="s">
        <v>983</v>
      </c>
      <c r="G525" s="15">
        <v>0.08975029726516039</v>
      </c>
      <c r="H525" s="11" t="s">
        <v>33</v>
      </c>
      <c r="I525" s="16">
        <v>9.216</v>
      </c>
      <c r="J525" s="11" t="s">
        <v>982</v>
      </c>
      <c r="K525" s="11" t="s">
        <v>61</v>
      </c>
      <c r="L525" s="11" t="s">
        <v>27</v>
      </c>
      <c r="M525" s="11" t="s">
        <v>28</v>
      </c>
      <c r="N525" s="11" t="s">
        <v>29</v>
      </c>
      <c r="O525" s="11" t="s">
        <v>984</v>
      </c>
      <c r="P525" s="11" t="s">
        <v>38</v>
      </c>
      <c r="Q525" s="20">
        <v>39900.0</v>
      </c>
      <c r="R525" s="17">
        <f t="shared" si="2"/>
        <v>54.96451805</v>
      </c>
      <c r="S525" s="9"/>
      <c r="T525" s="9"/>
      <c r="U525" s="9"/>
      <c r="V525" s="9"/>
      <c r="W525" s="9"/>
      <c r="X525" s="9"/>
      <c r="Y525" s="9"/>
      <c r="Z525" s="9"/>
      <c r="AA525" s="9"/>
      <c r="AB525" s="9" t="str">
        <f>IFERROR(__xludf.DUMMYFUNCTION("""COMPUTED_VALUE"""),"Speros Goranitis")</f>
        <v>Speros Goranitis</v>
      </c>
      <c r="AC525" s="9"/>
      <c r="AD525" s="9"/>
      <c r="AE525" s="9">
        <f t="shared" si="8"/>
        <v>1</v>
      </c>
      <c r="AF525" s="19">
        <f t="shared" si="13"/>
        <v>4</v>
      </c>
      <c r="AG525" s="9"/>
      <c r="AH525" s="9"/>
      <c r="AI525" s="9"/>
    </row>
    <row r="526" ht="15.0" customHeight="1">
      <c r="A526" s="11">
        <v>525.0</v>
      </c>
      <c r="B526" s="12">
        <f t="shared" ref="B526:B540" si="93">DATE(2012,12,31)-1375</f>
        <v>39899</v>
      </c>
      <c r="C526" s="13">
        <v>2009.0</v>
      </c>
      <c r="D526" s="11" t="s">
        <v>102</v>
      </c>
      <c r="E526" s="11">
        <v>29.0</v>
      </c>
      <c r="F526" s="21" t="s">
        <v>985</v>
      </c>
      <c r="G526" s="15">
        <v>0.07694943725852511</v>
      </c>
      <c r="H526" s="11" t="s">
        <v>33</v>
      </c>
      <c r="I526" s="16">
        <v>7.192</v>
      </c>
      <c r="J526" s="11" t="s">
        <v>763</v>
      </c>
      <c r="K526" s="11" t="s">
        <v>65</v>
      </c>
      <c r="L526" s="11" t="s">
        <v>27</v>
      </c>
      <c r="M526" s="11" t="s">
        <v>49</v>
      </c>
      <c r="N526" s="11" t="s">
        <v>73</v>
      </c>
      <c r="O526" s="11" t="s">
        <v>986</v>
      </c>
      <c r="P526" s="11" t="s">
        <v>99</v>
      </c>
      <c r="Q526" s="20">
        <v>39900.0</v>
      </c>
      <c r="R526" s="17">
        <f t="shared" si="2"/>
        <v>42.28310018</v>
      </c>
      <c r="S526" s="9"/>
      <c r="T526" s="9"/>
      <c r="U526" s="9"/>
      <c r="V526" s="9"/>
      <c r="W526" s="9"/>
      <c r="X526" s="9"/>
      <c r="Y526" s="9"/>
      <c r="Z526" s="9"/>
      <c r="AA526" s="9"/>
      <c r="AB526" s="9" t="str">
        <f>IFERROR(__xludf.DUMMYFUNCTION("""COMPUTED_VALUE"""),"Lauren Leatherbury")</f>
        <v>Lauren Leatherbury</v>
      </c>
      <c r="AC526" s="9"/>
      <c r="AD526" s="9"/>
      <c r="AE526" s="9">
        <f t="shared" si="8"/>
        <v>1</v>
      </c>
      <c r="AF526" s="19">
        <f t="shared" si="13"/>
        <v>5</v>
      </c>
      <c r="AG526" s="9"/>
      <c r="AH526" s="9"/>
      <c r="AI526" s="9"/>
    </row>
    <row r="527" ht="15.0" customHeight="1">
      <c r="A527" s="11">
        <v>526.0</v>
      </c>
      <c r="B527" s="12">
        <f t="shared" si="93"/>
        <v>39899</v>
      </c>
      <c r="C527" s="13">
        <v>2009.0</v>
      </c>
      <c r="D527" s="11" t="s">
        <v>102</v>
      </c>
      <c r="E527" s="11">
        <v>46.0</v>
      </c>
      <c r="F527" s="21" t="s">
        <v>987</v>
      </c>
      <c r="G527" s="15">
        <v>0.0745612052730697</v>
      </c>
      <c r="H527" s="11" t="s">
        <v>45</v>
      </c>
      <c r="I527" s="16">
        <v>11.76</v>
      </c>
      <c r="J527" s="11" t="s">
        <v>988</v>
      </c>
      <c r="K527" s="11" t="s">
        <v>26</v>
      </c>
      <c r="L527" s="11" t="s">
        <v>27</v>
      </c>
      <c r="M527" s="11" t="s">
        <v>66</v>
      </c>
      <c r="N527" s="11" t="s">
        <v>69</v>
      </c>
      <c r="O527" s="11" t="s">
        <v>77</v>
      </c>
      <c r="P527" s="11" t="s">
        <v>52</v>
      </c>
      <c r="Q527" s="20">
        <v>39900.0</v>
      </c>
      <c r="R527" s="17">
        <f t="shared" si="2"/>
        <v>732.7994552</v>
      </c>
      <c r="S527" s="9"/>
      <c r="T527" s="9"/>
      <c r="U527" s="9"/>
      <c r="V527" s="9"/>
      <c r="W527" s="9"/>
      <c r="X527" s="9"/>
      <c r="Y527" s="9"/>
      <c r="Z527" s="9"/>
      <c r="AA527" s="9"/>
      <c r="AB527" s="9" t="str">
        <f>IFERROR(__xludf.DUMMYFUNCTION("""COMPUTED_VALUE"""),"Shaun Weien")</f>
        <v>Shaun Weien</v>
      </c>
      <c r="AC527" s="9"/>
      <c r="AD527" s="9"/>
      <c r="AE527" s="9">
        <f t="shared" si="8"/>
        <v>1</v>
      </c>
      <c r="AF527" s="19">
        <f t="shared" si="13"/>
        <v>1</v>
      </c>
      <c r="AG527" s="9"/>
      <c r="AH527" s="9"/>
      <c r="AI527" s="9"/>
    </row>
    <row r="528" ht="15.0" customHeight="1">
      <c r="A528" s="11">
        <v>527.0</v>
      </c>
      <c r="B528" s="12">
        <f t="shared" si="93"/>
        <v>39899</v>
      </c>
      <c r="C528" s="13">
        <v>2009.0</v>
      </c>
      <c r="D528" s="11" t="s">
        <v>102</v>
      </c>
      <c r="E528" s="11">
        <v>31.0</v>
      </c>
      <c r="F528" s="21" t="s">
        <v>933</v>
      </c>
      <c r="G528" s="15">
        <v>0.09360012473364171</v>
      </c>
      <c r="H528" s="11" t="s">
        <v>33</v>
      </c>
      <c r="I528" s="16">
        <v>11.104000000000001</v>
      </c>
      <c r="J528" s="11" t="s">
        <v>988</v>
      </c>
      <c r="K528" s="11" t="s">
        <v>26</v>
      </c>
      <c r="L528" s="11" t="s">
        <v>27</v>
      </c>
      <c r="M528" s="11" t="s">
        <v>28</v>
      </c>
      <c r="N528" s="11" t="s">
        <v>56</v>
      </c>
      <c r="O528" s="11" t="s">
        <v>989</v>
      </c>
      <c r="P528" s="11" t="s">
        <v>38</v>
      </c>
      <c r="Q528" s="20">
        <v>39900.0</v>
      </c>
      <c r="R528" s="17">
        <f t="shared" si="2"/>
        <v>163.2389919</v>
      </c>
      <c r="S528" s="9"/>
      <c r="T528" s="9"/>
      <c r="U528" s="9"/>
      <c r="V528" s="9"/>
      <c r="W528" s="9"/>
      <c r="X528" s="9"/>
      <c r="Y528" s="9"/>
      <c r="Z528" s="9"/>
      <c r="AA528" s="9"/>
      <c r="AB528" s="9" t="str">
        <f>IFERROR(__xludf.DUMMYFUNCTION("""COMPUTED_VALUE"""),"Sung Shariari")</f>
        <v>Sung Shariari</v>
      </c>
      <c r="AC528" s="9"/>
      <c r="AD528" s="9"/>
      <c r="AE528" s="9">
        <f t="shared" si="8"/>
        <v>1</v>
      </c>
      <c r="AF528" s="19">
        <f t="shared" si="13"/>
        <v>1</v>
      </c>
      <c r="AG528" s="9"/>
      <c r="AH528" s="9"/>
      <c r="AI528" s="9"/>
    </row>
    <row r="529" ht="15.0" customHeight="1">
      <c r="A529" s="11">
        <v>528.0</v>
      </c>
      <c r="B529" s="12">
        <f t="shared" si="93"/>
        <v>39899</v>
      </c>
      <c r="C529" s="13">
        <v>2009.0</v>
      </c>
      <c r="D529" s="11" t="s">
        <v>102</v>
      </c>
      <c r="E529" s="11">
        <v>3.0</v>
      </c>
      <c r="F529" s="21" t="s">
        <v>990</v>
      </c>
      <c r="G529" s="15">
        <v>0.03235398230088501</v>
      </c>
      <c r="H529" s="11" t="s">
        <v>33</v>
      </c>
      <c r="I529" s="16">
        <v>6.672000000000001</v>
      </c>
      <c r="J529" s="11" t="s">
        <v>988</v>
      </c>
      <c r="K529" s="11" t="s">
        <v>26</v>
      </c>
      <c r="L529" s="11" t="s">
        <v>27</v>
      </c>
      <c r="M529" s="11" t="s">
        <v>28</v>
      </c>
      <c r="N529" s="11" t="s">
        <v>29</v>
      </c>
      <c r="O529" s="11" t="s">
        <v>991</v>
      </c>
      <c r="P529" s="11" t="s">
        <v>38</v>
      </c>
      <c r="Q529" s="20">
        <v>39900.0</v>
      </c>
      <c r="R529" s="17">
        <f t="shared" si="2"/>
        <v>1.76885692</v>
      </c>
      <c r="S529" s="9"/>
      <c r="T529" s="9"/>
      <c r="U529" s="9"/>
      <c r="V529" s="9"/>
      <c r="W529" s="9"/>
      <c r="X529" s="9"/>
      <c r="Y529" s="9"/>
      <c r="Z529" s="9"/>
      <c r="AA529" s="9"/>
      <c r="AB529" s="9" t="str">
        <f>IFERROR(__xludf.DUMMYFUNCTION("""COMPUTED_VALUE"""),"Paul MacIntyre")</f>
        <v>Paul MacIntyre</v>
      </c>
      <c r="AC529" s="9"/>
      <c r="AD529" s="9"/>
      <c r="AE529" s="9">
        <f t="shared" si="8"/>
        <v>1</v>
      </c>
      <c r="AF529" s="19">
        <f t="shared" si="13"/>
        <v>1</v>
      </c>
      <c r="AG529" s="9"/>
      <c r="AH529" s="9"/>
      <c r="AI529" s="9"/>
    </row>
    <row r="530" ht="15.0" customHeight="1">
      <c r="A530" s="11">
        <v>529.0</v>
      </c>
      <c r="B530" s="12">
        <f t="shared" si="93"/>
        <v>39899</v>
      </c>
      <c r="C530" s="13">
        <v>2009.0</v>
      </c>
      <c r="D530" s="11" t="s">
        <v>44</v>
      </c>
      <c r="E530" s="11">
        <v>34.0</v>
      </c>
      <c r="F530" s="21" t="s">
        <v>183</v>
      </c>
      <c r="G530" s="15">
        <v>0.09667774086378726</v>
      </c>
      <c r="H530" s="11" t="s">
        <v>33</v>
      </c>
      <c r="I530" s="16">
        <v>3.2</v>
      </c>
      <c r="J530" s="11" t="s">
        <v>992</v>
      </c>
      <c r="K530" s="11" t="s">
        <v>61</v>
      </c>
      <c r="L530" s="11" t="s">
        <v>48</v>
      </c>
      <c r="M530" s="11" t="s">
        <v>66</v>
      </c>
      <c r="N530" s="11" t="s">
        <v>67</v>
      </c>
      <c r="O530" s="11" t="s">
        <v>941</v>
      </c>
      <c r="P530" s="11" t="s">
        <v>38</v>
      </c>
      <c r="Q530" s="20">
        <v>39900.0</v>
      </c>
      <c r="R530" s="17">
        <f t="shared" si="2"/>
        <v>52.57335548</v>
      </c>
      <c r="S530" s="9"/>
      <c r="T530" s="9"/>
      <c r="U530" s="9"/>
      <c r="V530" s="9"/>
      <c r="W530" s="9"/>
      <c r="X530" s="9"/>
      <c r="Y530" s="9"/>
      <c r="Z530" s="9"/>
      <c r="AA530" s="9"/>
      <c r="AB530" s="9" t="str">
        <f>IFERROR(__xludf.DUMMYFUNCTION("""COMPUTED_VALUE"""),"Darrin Sayre")</f>
        <v>Darrin Sayre</v>
      </c>
      <c r="AC530" s="9"/>
      <c r="AD530" s="9"/>
      <c r="AE530" s="9">
        <f t="shared" si="8"/>
        <v>4</v>
      </c>
      <c r="AF530" s="19">
        <f t="shared" si="13"/>
        <v>4</v>
      </c>
      <c r="AG530" s="9"/>
      <c r="AH530" s="9"/>
      <c r="AI530" s="9"/>
    </row>
    <row r="531" ht="15.0" customHeight="1">
      <c r="A531" s="11">
        <v>530.0</v>
      </c>
      <c r="B531" s="12">
        <f t="shared" si="93"/>
        <v>39899</v>
      </c>
      <c r="C531" s="13">
        <v>2009.0</v>
      </c>
      <c r="D531" s="11" t="s">
        <v>102</v>
      </c>
      <c r="E531" s="11">
        <v>41.0</v>
      </c>
      <c r="F531" s="21" t="s">
        <v>891</v>
      </c>
      <c r="G531" s="15">
        <v>0.06024732996065215</v>
      </c>
      <c r="H531" s="11" t="s">
        <v>33</v>
      </c>
      <c r="I531" s="16">
        <v>2.2640000000000002</v>
      </c>
      <c r="J531" s="11" t="s">
        <v>993</v>
      </c>
      <c r="K531" s="11" t="s">
        <v>83</v>
      </c>
      <c r="L531" s="11" t="s">
        <v>48</v>
      </c>
      <c r="M531" s="11" t="s">
        <v>66</v>
      </c>
      <c r="N531" s="11" t="s">
        <v>67</v>
      </c>
      <c r="O531" s="11" t="s">
        <v>893</v>
      </c>
      <c r="P531" s="11" t="s">
        <v>99</v>
      </c>
      <c r="Q531" s="20">
        <v>39900.0</v>
      </c>
      <c r="R531" s="17">
        <f t="shared" si="2"/>
        <v>20.14453823</v>
      </c>
      <c r="S531" s="9"/>
      <c r="T531" s="9"/>
      <c r="U531" s="9"/>
      <c r="V531" s="9"/>
      <c r="W531" s="9"/>
      <c r="X531" s="9"/>
      <c r="Y531" s="9"/>
      <c r="Z531" s="9"/>
      <c r="AA531" s="9"/>
      <c r="AB531" s="9" t="str">
        <f>IFERROR(__xludf.DUMMYFUNCTION("""COMPUTED_VALUE"""),"Nick Radford")</f>
        <v>Nick Radford</v>
      </c>
      <c r="AC531" s="9"/>
      <c r="AD531" s="9"/>
      <c r="AE531" s="9">
        <f t="shared" si="8"/>
        <v>4</v>
      </c>
      <c r="AF531" s="19" t="b">
        <f t="shared" si="13"/>
        <v>0</v>
      </c>
      <c r="AG531" s="9"/>
      <c r="AH531" s="9"/>
      <c r="AI531" s="9"/>
    </row>
    <row r="532" ht="15.0" customHeight="1">
      <c r="A532" s="11">
        <v>531.0</v>
      </c>
      <c r="B532" s="12">
        <f t="shared" si="93"/>
        <v>39899</v>
      </c>
      <c r="C532" s="13">
        <v>2009.0</v>
      </c>
      <c r="D532" s="11" t="s">
        <v>102</v>
      </c>
      <c r="E532" s="11">
        <v>49.0</v>
      </c>
      <c r="F532" s="21" t="s">
        <v>994</v>
      </c>
      <c r="G532" s="15">
        <v>0.049889789666380066</v>
      </c>
      <c r="H532" s="11" t="s">
        <v>33</v>
      </c>
      <c r="I532" s="16">
        <v>14.76</v>
      </c>
      <c r="J532" s="11" t="s">
        <v>993</v>
      </c>
      <c r="K532" s="11" t="s">
        <v>83</v>
      </c>
      <c r="L532" s="11" t="s">
        <v>48</v>
      </c>
      <c r="M532" s="11" t="s">
        <v>49</v>
      </c>
      <c r="N532" s="11" t="s">
        <v>73</v>
      </c>
      <c r="O532" s="11" t="s">
        <v>995</v>
      </c>
      <c r="P532" s="11" t="s">
        <v>75</v>
      </c>
      <c r="Q532" s="20">
        <v>39900.0</v>
      </c>
      <c r="R532" s="17">
        <f t="shared" si="2"/>
        <v>126.8777175</v>
      </c>
      <c r="S532" s="9"/>
      <c r="T532" s="9"/>
      <c r="U532" s="9"/>
      <c r="V532" s="9"/>
      <c r="W532" s="9"/>
      <c r="X532" s="9"/>
      <c r="Y532" s="9"/>
      <c r="Z532" s="9"/>
      <c r="AA532" s="9"/>
      <c r="AB532" s="9" t="str">
        <f>IFERROR(__xludf.DUMMYFUNCTION("""COMPUTED_VALUE"""),"Ed Jacobs")</f>
        <v>Ed Jacobs</v>
      </c>
      <c r="AC532" s="9"/>
      <c r="AD532" s="9"/>
      <c r="AE532" s="9">
        <f t="shared" si="8"/>
        <v>4</v>
      </c>
      <c r="AF532" s="19" t="b">
        <f t="shared" si="13"/>
        <v>0</v>
      </c>
      <c r="AG532" s="9"/>
      <c r="AH532" s="9"/>
      <c r="AI532" s="9"/>
    </row>
    <row r="533" ht="15.0" customHeight="1">
      <c r="A533" s="11">
        <v>532.0</v>
      </c>
      <c r="B533" s="12">
        <f t="shared" si="93"/>
        <v>39899</v>
      </c>
      <c r="C533" s="13">
        <v>2009.0</v>
      </c>
      <c r="D533" s="11" t="s">
        <v>102</v>
      </c>
      <c r="E533" s="11">
        <v>2.0</v>
      </c>
      <c r="F533" s="21" t="s">
        <v>135</v>
      </c>
      <c r="G533" s="15">
        <v>0.0400000000000001</v>
      </c>
      <c r="H533" s="11" t="s">
        <v>33</v>
      </c>
      <c r="I533" s="16">
        <v>1.2000000000000002</v>
      </c>
      <c r="J533" s="11" t="s">
        <v>993</v>
      </c>
      <c r="K533" s="11" t="s">
        <v>83</v>
      </c>
      <c r="L533" s="11" t="s">
        <v>48</v>
      </c>
      <c r="M533" s="11" t="s">
        <v>28</v>
      </c>
      <c r="N533" s="11" t="s">
        <v>62</v>
      </c>
      <c r="O533" s="11" t="s">
        <v>978</v>
      </c>
      <c r="P533" s="11" t="s">
        <v>58</v>
      </c>
      <c r="Q533" s="20">
        <v>39900.0</v>
      </c>
      <c r="R533" s="17">
        <f t="shared" si="2"/>
        <v>0.576</v>
      </c>
      <c r="S533" s="9"/>
      <c r="T533" s="9"/>
      <c r="U533" s="9"/>
      <c r="V533" s="9"/>
      <c r="W533" s="9"/>
      <c r="X533" s="9"/>
      <c r="Y533" s="9"/>
      <c r="Z533" s="9"/>
      <c r="AA533" s="9"/>
      <c r="AB533" s="9" t="str">
        <f>IFERROR(__xludf.DUMMYFUNCTION("""COMPUTED_VALUE"""),"Jeremy Farry")</f>
        <v>Jeremy Farry</v>
      </c>
      <c r="AC533" s="9"/>
      <c r="AD533" s="9"/>
      <c r="AE533" s="9">
        <f t="shared" si="8"/>
        <v>4</v>
      </c>
      <c r="AF533" s="19" t="b">
        <f t="shared" si="13"/>
        <v>0</v>
      </c>
      <c r="AG533" s="9"/>
      <c r="AH533" s="9"/>
      <c r="AI533" s="9"/>
    </row>
    <row r="534" ht="15.0" customHeight="1">
      <c r="A534" s="11">
        <v>533.0</v>
      </c>
      <c r="B534" s="12">
        <f t="shared" si="93"/>
        <v>39899</v>
      </c>
      <c r="C534" s="13">
        <v>2009.0</v>
      </c>
      <c r="D534" s="11" t="s">
        <v>102</v>
      </c>
      <c r="E534" s="11">
        <v>39.0</v>
      </c>
      <c r="F534" s="21" t="s">
        <v>788</v>
      </c>
      <c r="G534" s="15">
        <v>0.09160401068811341</v>
      </c>
      <c r="H534" s="11" t="s">
        <v>33</v>
      </c>
      <c r="I534" s="16">
        <v>7.192</v>
      </c>
      <c r="J534" s="11" t="s">
        <v>993</v>
      </c>
      <c r="K534" s="11" t="s">
        <v>83</v>
      </c>
      <c r="L534" s="11" t="s">
        <v>48</v>
      </c>
      <c r="M534" s="11" t="s">
        <v>66</v>
      </c>
      <c r="N534" s="11" t="s">
        <v>80</v>
      </c>
      <c r="O534" s="11" t="s">
        <v>996</v>
      </c>
      <c r="P534" s="11" t="s">
        <v>38</v>
      </c>
      <c r="Q534" s="20">
        <v>39901.0</v>
      </c>
      <c r="R534" s="17">
        <f t="shared" si="2"/>
        <v>629.0714898</v>
      </c>
      <c r="S534" s="9"/>
      <c r="T534" s="9"/>
      <c r="U534" s="9"/>
      <c r="V534" s="9"/>
      <c r="W534" s="9"/>
      <c r="X534" s="9"/>
      <c r="Y534" s="9"/>
      <c r="Z534" s="9"/>
      <c r="AA534" s="9"/>
      <c r="AB534" s="9" t="str">
        <f>IFERROR(__xludf.DUMMYFUNCTION("""COMPUTED_VALUE"""),"Eric Hoffmann")</f>
        <v>Eric Hoffmann</v>
      </c>
      <c r="AC534" s="9"/>
      <c r="AD534" s="9"/>
      <c r="AE534" s="9">
        <f t="shared" si="8"/>
        <v>4</v>
      </c>
      <c r="AF534" s="19" t="b">
        <f t="shared" si="13"/>
        <v>0</v>
      </c>
      <c r="AG534" s="9"/>
      <c r="AH534" s="9"/>
      <c r="AI534" s="9"/>
    </row>
    <row r="535" ht="15.0" customHeight="1">
      <c r="A535" s="11">
        <v>534.0</v>
      </c>
      <c r="B535" s="12">
        <f t="shared" si="93"/>
        <v>39899</v>
      </c>
      <c r="C535" s="13">
        <v>2009.0</v>
      </c>
      <c r="D535" s="11" t="s">
        <v>23</v>
      </c>
      <c r="E535" s="11">
        <v>11.0</v>
      </c>
      <c r="F535" s="21" t="s">
        <v>997</v>
      </c>
      <c r="G535" s="15">
        <v>0.01735075700880758</v>
      </c>
      <c r="H535" s="11" t="s">
        <v>45</v>
      </c>
      <c r="I535" s="16">
        <v>48.160000000000004</v>
      </c>
      <c r="J535" s="11" t="s">
        <v>998</v>
      </c>
      <c r="K535" s="11" t="s">
        <v>35</v>
      </c>
      <c r="L535" s="11" t="s">
        <v>48</v>
      </c>
      <c r="M535" s="11" t="s">
        <v>49</v>
      </c>
      <c r="N535" s="11" t="s">
        <v>50</v>
      </c>
      <c r="O535" s="11" t="s">
        <v>999</v>
      </c>
      <c r="P535" s="11" t="s">
        <v>52</v>
      </c>
      <c r="Q535" s="20">
        <v>39901.0</v>
      </c>
      <c r="R535" s="17">
        <f t="shared" si="2"/>
        <v>29.61704818</v>
      </c>
      <c r="S535" s="9"/>
      <c r="T535" s="9"/>
      <c r="U535" s="9"/>
      <c r="V535" s="9"/>
      <c r="W535" s="9"/>
      <c r="X535" s="9"/>
      <c r="Y535" s="9"/>
      <c r="Z535" s="9"/>
      <c r="AA535" s="9"/>
      <c r="AB535" s="9" t="str">
        <f>IFERROR(__xludf.DUMMYFUNCTION("""COMPUTED_VALUE"""),"Don Miller")</f>
        <v>Don Miller</v>
      </c>
      <c r="AC535" s="9"/>
      <c r="AD535" s="9"/>
      <c r="AE535" s="9">
        <f t="shared" si="8"/>
        <v>4</v>
      </c>
      <c r="AF535" s="19">
        <f t="shared" si="13"/>
        <v>2</v>
      </c>
      <c r="AG535" s="9"/>
      <c r="AH535" s="9"/>
      <c r="AI535" s="9"/>
    </row>
    <row r="536" ht="15.0" customHeight="1">
      <c r="A536" s="11">
        <v>535.0</v>
      </c>
      <c r="B536" s="12">
        <f t="shared" si="93"/>
        <v>39899</v>
      </c>
      <c r="C536" s="13">
        <v>2009.0</v>
      </c>
      <c r="D536" s="11" t="s">
        <v>32</v>
      </c>
      <c r="E536" s="11">
        <v>7.0</v>
      </c>
      <c r="F536" s="21" t="s">
        <v>872</v>
      </c>
      <c r="G536" s="15">
        <v>0.026470154753132007</v>
      </c>
      <c r="H536" s="11" t="s">
        <v>33</v>
      </c>
      <c r="I536" s="16">
        <v>6.808</v>
      </c>
      <c r="J536" s="11" t="s">
        <v>719</v>
      </c>
      <c r="K536" s="11" t="s">
        <v>61</v>
      </c>
      <c r="L536" s="11" t="s">
        <v>48</v>
      </c>
      <c r="M536" s="11" t="s">
        <v>66</v>
      </c>
      <c r="N536" s="11" t="s">
        <v>69</v>
      </c>
      <c r="O536" s="11" t="s">
        <v>1000</v>
      </c>
      <c r="P536" s="11" t="s">
        <v>75</v>
      </c>
      <c r="Q536" s="20">
        <v>39901.0</v>
      </c>
      <c r="R536" s="17">
        <f t="shared" si="2"/>
        <v>3.496919204</v>
      </c>
      <c r="S536" s="9"/>
      <c r="T536" s="9"/>
      <c r="U536" s="9"/>
      <c r="V536" s="9"/>
      <c r="W536" s="9"/>
      <c r="X536" s="9"/>
      <c r="Y536" s="9"/>
      <c r="Z536" s="9"/>
      <c r="AA536" s="9"/>
      <c r="AB536" s="9" t="str">
        <f>IFERROR(__xludf.DUMMYFUNCTION("""COMPUTED_VALUE"""),"Erin Mull")</f>
        <v>Erin Mull</v>
      </c>
      <c r="AC536" s="9"/>
      <c r="AD536" s="9"/>
      <c r="AE536" s="9">
        <f t="shared" si="8"/>
        <v>4</v>
      </c>
      <c r="AF536" s="19">
        <f t="shared" si="13"/>
        <v>4</v>
      </c>
      <c r="AG536" s="9"/>
      <c r="AH536" s="9"/>
      <c r="AI536" s="9"/>
    </row>
    <row r="537" ht="15.0" customHeight="1">
      <c r="A537" s="11">
        <v>536.0</v>
      </c>
      <c r="B537" s="12">
        <f t="shared" si="93"/>
        <v>39899</v>
      </c>
      <c r="C537" s="13">
        <v>2009.0</v>
      </c>
      <c r="D537" s="11" t="s">
        <v>32</v>
      </c>
      <c r="E537" s="11">
        <v>25.0</v>
      </c>
      <c r="F537" s="21" t="s">
        <v>762</v>
      </c>
      <c r="G537" s="15">
        <v>0.07378187403993862</v>
      </c>
      <c r="H537" s="11" t="s">
        <v>33</v>
      </c>
      <c r="I537" s="16">
        <v>3.9840000000000004</v>
      </c>
      <c r="J537" s="11" t="s">
        <v>576</v>
      </c>
      <c r="K537" s="11" t="s">
        <v>117</v>
      </c>
      <c r="L537" s="11" t="s">
        <v>36</v>
      </c>
      <c r="M537" s="11" t="s">
        <v>28</v>
      </c>
      <c r="N537" s="11" t="s">
        <v>197</v>
      </c>
      <c r="O537" s="11" t="s">
        <v>1001</v>
      </c>
      <c r="P537" s="11" t="s">
        <v>38</v>
      </c>
      <c r="Q537" s="20">
        <v>39901.0</v>
      </c>
      <c r="R537" s="17">
        <f t="shared" si="2"/>
        <v>22.24405451</v>
      </c>
      <c r="S537" s="9"/>
      <c r="T537" s="9"/>
      <c r="U537" s="9"/>
      <c r="V537" s="9"/>
      <c r="W537" s="9"/>
      <c r="X537" s="9"/>
      <c r="Y537" s="9"/>
      <c r="Z537" s="9"/>
      <c r="AA537" s="9"/>
      <c r="AB537" s="9" t="str">
        <f>IFERROR(__xludf.DUMMYFUNCTION("""COMPUTED_VALUE"""),"Mark Cousins")</f>
        <v>Mark Cousins</v>
      </c>
      <c r="AC537" s="9"/>
      <c r="AD537" s="9"/>
      <c r="AE537" s="9">
        <f t="shared" si="8"/>
        <v>2</v>
      </c>
      <c r="AF537" s="19" t="b">
        <f t="shared" si="13"/>
        <v>0</v>
      </c>
      <c r="AG537" s="9"/>
      <c r="AH537" s="9"/>
      <c r="AI537" s="9"/>
    </row>
    <row r="538" ht="15.0" customHeight="1">
      <c r="A538" s="11">
        <v>537.0</v>
      </c>
      <c r="B538" s="12">
        <f t="shared" si="93"/>
        <v>39899</v>
      </c>
      <c r="C538" s="13">
        <v>2009.0</v>
      </c>
      <c r="D538" s="11" t="s">
        <v>32</v>
      </c>
      <c r="E538" s="11">
        <v>26.0</v>
      </c>
      <c r="F538" s="21" t="s">
        <v>1002</v>
      </c>
      <c r="G538" s="15">
        <v>0.030448073154800775</v>
      </c>
      <c r="H538" s="11" t="s">
        <v>33</v>
      </c>
      <c r="I538" s="16">
        <v>1.192</v>
      </c>
      <c r="J538" s="11" t="s">
        <v>576</v>
      </c>
      <c r="K538" s="11" t="s">
        <v>117</v>
      </c>
      <c r="L538" s="11" t="s">
        <v>36</v>
      </c>
      <c r="M538" s="11" t="s">
        <v>28</v>
      </c>
      <c r="N538" s="11" t="s">
        <v>42</v>
      </c>
      <c r="O538" s="11" t="s">
        <v>1003</v>
      </c>
      <c r="P538" s="11" t="s">
        <v>38</v>
      </c>
      <c r="Q538" s="20">
        <v>39901.0</v>
      </c>
      <c r="R538" s="17">
        <f t="shared" si="2"/>
        <v>22.59831631</v>
      </c>
      <c r="S538" s="9"/>
      <c r="T538" s="9"/>
      <c r="U538" s="9"/>
      <c r="V538" s="9"/>
      <c r="W538" s="9"/>
      <c r="X538" s="9"/>
      <c r="Y538" s="9"/>
      <c r="Z538" s="9"/>
      <c r="AA538" s="9"/>
      <c r="AB538" s="9" t="str">
        <f>IFERROR(__xludf.DUMMYFUNCTION("""COMPUTED_VALUE"""),"Linda Cazamias")</f>
        <v>Linda Cazamias</v>
      </c>
      <c r="AC538" s="9"/>
      <c r="AD538" s="9"/>
      <c r="AE538" s="9">
        <f t="shared" si="8"/>
        <v>2</v>
      </c>
      <c r="AF538" s="19" t="b">
        <f t="shared" si="13"/>
        <v>0</v>
      </c>
      <c r="AG538" s="9"/>
      <c r="AH538" s="9"/>
      <c r="AI538" s="9"/>
    </row>
    <row r="539" ht="15.0" customHeight="1">
      <c r="A539" s="11">
        <v>538.0</v>
      </c>
      <c r="B539" s="12">
        <f t="shared" si="93"/>
        <v>39899</v>
      </c>
      <c r="C539" s="13">
        <v>2009.0</v>
      </c>
      <c r="D539" s="11" t="s">
        <v>32</v>
      </c>
      <c r="E539" s="11">
        <v>6.0</v>
      </c>
      <c r="F539" s="21" t="s">
        <v>428</v>
      </c>
      <c r="G539" s="15">
        <v>0.01911205073995779</v>
      </c>
      <c r="H539" s="11" t="s">
        <v>33</v>
      </c>
      <c r="I539" s="16">
        <v>1.592</v>
      </c>
      <c r="J539" s="11" t="s">
        <v>576</v>
      </c>
      <c r="K539" s="11" t="s">
        <v>117</v>
      </c>
      <c r="L539" s="11" t="s">
        <v>36</v>
      </c>
      <c r="M539" s="11" t="s">
        <v>66</v>
      </c>
      <c r="N539" s="11" t="s">
        <v>67</v>
      </c>
      <c r="O539" s="11" t="s">
        <v>1004</v>
      </c>
      <c r="P539" s="11" t="s">
        <v>99</v>
      </c>
      <c r="Q539" s="20">
        <v>39901.0</v>
      </c>
      <c r="R539" s="17">
        <f t="shared" si="2"/>
        <v>1.773445412</v>
      </c>
      <c r="S539" s="9"/>
      <c r="T539" s="9"/>
      <c r="U539" s="9"/>
      <c r="V539" s="9"/>
      <c r="W539" s="9"/>
      <c r="X539" s="9"/>
      <c r="Y539" s="9"/>
      <c r="Z539" s="9"/>
      <c r="AA539" s="9"/>
      <c r="AB539" s="9" t="str">
        <f>IFERROR(__xludf.DUMMYFUNCTION("""COMPUTED_VALUE"""),"Pete Kriz")</f>
        <v>Pete Kriz</v>
      </c>
      <c r="AC539" s="9"/>
      <c r="AD539" s="9"/>
      <c r="AE539" s="9">
        <f t="shared" si="8"/>
        <v>2</v>
      </c>
      <c r="AF539" s="19" t="b">
        <f t="shared" si="13"/>
        <v>0</v>
      </c>
      <c r="AG539" s="9"/>
      <c r="AH539" s="9"/>
      <c r="AI539" s="9"/>
    </row>
    <row r="540" ht="15.0" customHeight="1">
      <c r="A540" s="11">
        <v>539.0</v>
      </c>
      <c r="B540" s="12">
        <f t="shared" si="93"/>
        <v>39899</v>
      </c>
      <c r="C540" s="13">
        <v>2009.0</v>
      </c>
      <c r="D540" s="11" t="s">
        <v>23</v>
      </c>
      <c r="E540" s="11">
        <v>36.0</v>
      </c>
      <c r="F540" s="21" t="s">
        <v>1005</v>
      </c>
      <c r="G540" s="15">
        <v>0.07175554914961067</v>
      </c>
      <c r="H540" s="11" t="s">
        <v>33</v>
      </c>
      <c r="I540" s="16">
        <v>1.6079999999999999</v>
      </c>
      <c r="J540" s="11" t="s">
        <v>1006</v>
      </c>
      <c r="K540" s="11" t="s">
        <v>61</v>
      </c>
      <c r="L540" s="11" t="s">
        <v>48</v>
      </c>
      <c r="M540" s="11" t="s">
        <v>28</v>
      </c>
      <c r="N540" s="11" t="s">
        <v>56</v>
      </c>
      <c r="O540" s="11" t="s">
        <v>1007</v>
      </c>
      <c r="P540" s="11" t="s">
        <v>58</v>
      </c>
      <c r="Q540" s="20">
        <v>39901.0</v>
      </c>
      <c r="R540" s="17">
        <f t="shared" si="2"/>
        <v>23.10586087</v>
      </c>
      <c r="S540" s="9"/>
      <c r="T540" s="9"/>
      <c r="U540" s="9"/>
      <c r="V540" s="9"/>
      <c r="W540" s="9"/>
      <c r="X540" s="9"/>
      <c r="Y540" s="9"/>
      <c r="Z540" s="9"/>
      <c r="AA540" s="9"/>
      <c r="AB540" s="9" t="str">
        <f>IFERROR(__xludf.DUMMYFUNCTION("""COMPUTED_VALUE"""),"Ben Ferrer")</f>
        <v>Ben Ferrer</v>
      </c>
      <c r="AC540" s="9"/>
      <c r="AD540" s="9"/>
      <c r="AE540" s="9">
        <f t="shared" si="8"/>
        <v>4</v>
      </c>
      <c r="AF540" s="19">
        <f t="shared" si="13"/>
        <v>4</v>
      </c>
      <c r="AG540" s="9"/>
      <c r="AH540" s="9"/>
      <c r="AI540" s="9"/>
    </row>
    <row r="541" ht="15.0" customHeight="1">
      <c r="A541" s="11">
        <v>540.0</v>
      </c>
      <c r="B541" s="12">
        <f t="shared" ref="B541:B547" si="94">DATE(2012,12,31)-1374</f>
        <v>39900</v>
      </c>
      <c r="C541" s="13">
        <v>2009.0</v>
      </c>
      <c r="D541" s="11" t="s">
        <v>102</v>
      </c>
      <c r="E541" s="11">
        <v>40.0</v>
      </c>
      <c r="F541" s="21" t="s">
        <v>788</v>
      </c>
      <c r="G541" s="15">
        <v>0.07467146856639637</v>
      </c>
      <c r="H541" s="11" t="s">
        <v>33</v>
      </c>
      <c r="I541" s="16">
        <v>3.9920000000000004</v>
      </c>
      <c r="J541" s="11" t="s">
        <v>1008</v>
      </c>
      <c r="K541" s="11" t="s">
        <v>65</v>
      </c>
      <c r="L541" s="11" t="s">
        <v>48</v>
      </c>
      <c r="M541" s="11" t="s">
        <v>66</v>
      </c>
      <c r="N541" s="11" t="s">
        <v>80</v>
      </c>
      <c r="O541" s="11" t="s">
        <v>789</v>
      </c>
      <c r="P541" s="11" t="s">
        <v>38</v>
      </c>
      <c r="Q541" s="20">
        <v>39901.0</v>
      </c>
      <c r="R541" s="17">
        <f t="shared" si="2"/>
        <v>525.6865413</v>
      </c>
      <c r="S541" s="9"/>
      <c r="T541" s="9"/>
      <c r="U541" s="9"/>
      <c r="V541" s="9"/>
      <c r="W541" s="9"/>
      <c r="X541" s="9"/>
      <c r="Y541" s="9"/>
      <c r="Z541" s="9"/>
      <c r="AA541" s="9"/>
      <c r="AB541" s="9" t="str">
        <f>IFERROR(__xludf.DUMMYFUNCTION("""COMPUTED_VALUE"""),"Phillina Ober")</f>
        <v>Phillina Ober</v>
      </c>
      <c r="AC541" s="9"/>
      <c r="AD541" s="9"/>
      <c r="AE541" s="9">
        <f t="shared" si="8"/>
        <v>4</v>
      </c>
      <c r="AF541" s="19">
        <f t="shared" si="13"/>
        <v>5</v>
      </c>
      <c r="AG541" s="9"/>
      <c r="AH541" s="9"/>
      <c r="AI541" s="9"/>
    </row>
    <row r="542" ht="15.0" customHeight="1">
      <c r="A542" s="11">
        <v>541.0</v>
      </c>
      <c r="B542" s="12">
        <f t="shared" si="94"/>
        <v>39900</v>
      </c>
      <c r="C542" s="13">
        <v>2009.0</v>
      </c>
      <c r="D542" s="11" t="s">
        <v>102</v>
      </c>
      <c r="E542" s="11">
        <v>42.0</v>
      </c>
      <c r="F542" s="21" t="s">
        <v>135</v>
      </c>
      <c r="G542" s="15">
        <v>0.06314115308151107</v>
      </c>
      <c r="H542" s="11" t="s">
        <v>33</v>
      </c>
      <c r="I542" s="16">
        <v>5.5440000000000005</v>
      </c>
      <c r="J542" s="11" t="s">
        <v>1009</v>
      </c>
      <c r="K542" s="11" t="s">
        <v>65</v>
      </c>
      <c r="L542" s="11" t="s">
        <v>36</v>
      </c>
      <c r="M542" s="11" t="s">
        <v>28</v>
      </c>
      <c r="N542" s="11" t="s">
        <v>56</v>
      </c>
      <c r="O542" s="11" t="s">
        <v>554</v>
      </c>
      <c r="P542" s="11" t="s">
        <v>38</v>
      </c>
      <c r="Q542" s="20">
        <v>39901.0</v>
      </c>
      <c r="R542" s="17">
        <f t="shared" si="2"/>
        <v>17.85278219</v>
      </c>
      <c r="S542" s="9"/>
      <c r="T542" s="9"/>
      <c r="U542" s="9"/>
      <c r="V542" s="9"/>
      <c r="W542" s="9"/>
      <c r="X542" s="9"/>
      <c r="Y542" s="9"/>
      <c r="Z542" s="9"/>
      <c r="AA542" s="9"/>
      <c r="AB542" s="9" t="str">
        <f>IFERROR(__xludf.DUMMYFUNCTION("""COMPUTED_VALUE"""),"Ross Baird")</f>
        <v>Ross Baird</v>
      </c>
      <c r="AC542" s="9"/>
      <c r="AD542" s="9"/>
      <c r="AE542" s="9">
        <f t="shared" si="8"/>
        <v>2</v>
      </c>
      <c r="AF542" s="19">
        <f t="shared" si="13"/>
        <v>5</v>
      </c>
      <c r="AG542" s="9"/>
      <c r="AH542" s="9"/>
      <c r="AI542" s="9"/>
    </row>
    <row r="543" ht="15.0" customHeight="1">
      <c r="A543" s="11">
        <v>542.0</v>
      </c>
      <c r="B543" s="12">
        <f t="shared" si="94"/>
        <v>39900</v>
      </c>
      <c r="C543" s="13">
        <v>2009.0</v>
      </c>
      <c r="D543" s="11" t="s">
        <v>32</v>
      </c>
      <c r="E543" s="11">
        <v>48.0</v>
      </c>
      <c r="F543" s="21" t="s">
        <v>747</v>
      </c>
      <c r="G543" s="15">
        <v>0.04036592338479132</v>
      </c>
      <c r="H543" s="11" t="s">
        <v>33</v>
      </c>
      <c r="I543" s="16">
        <v>4.32</v>
      </c>
      <c r="J543" s="11" t="s">
        <v>1010</v>
      </c>
      <c r="K543" s="11" t="s">
        <v>35</v>
      </c>
      <c r="L543" s="11" t="s">
        <v>48</v>
      </c>
      <c r="M543" s="11" t="s">
        <v>49</v>
      </c>
      <c r="N543" s="11" t="s">
        <v>73</v>
      </c>
      <c r="O543" s="11" t="s">
        <v>1011</v>
      </c>
      <c r="P543" s="11" t="s">
        <v>99</v>
      </c>
      <c r="Q543" s="20">
        <v>39901.0</v>
      </c>
      <c r="R543" s="17">
        <f t="shared" si="2"/>
        <v>20.32504974</v>
      </c>
      <c r="S543" s="9"/>
      <c r="T543" s="9"/>
      <c r="U543" s="9"/>
      <c r="V543" s="9"/>
      <c r="W543" s="9"/>
      <c r="X543" s="9"/>
      <c r="Y543" s="9"/>
      <c r="Z543" s="9"/>
      <c r="AA543" s="9"/>
      <c r="AB543" s="9" t="str">
        <f>IFERROR(__xludf.DUMMYFUNCTION("""COMPUTED_VALUE"""),"Toby Knight")</f>
        <v>Toby Knight</v>
      </c>
      <c r="AC543" s="9"/>
      <c r="AD543" s="9"/>
      <c r="AE543" s="9">
        <f t="shared" si="8"/>
        <v>4</v>
      </c>
      <c r="AF543" s="19">
        <f t="shared" si="13"/>
        <v>2</v>
      </c>
      <c r="AG543" s="9"/>
      <c r="AH543" s="9"/>
      <c r="AI543" s="9"/>
    </row>
    <row r="544" ht="15.0" customHeight="1">
      <c r="A544" s="11">
        <v>543.0</v>
      </c>
      <c r="B544" s="12">
        <f t="shared" si="94"/>
        <v>39900</v>
      </c>
      <c r="C544" s="13">
        <v>2009.0</v>
      </c>
      <c r="D544" s="11" t="s">
        <v>32</v>
      </c>
      <c r="E544" s="11">
        <v>48.0</v>
      </c>
      <c r="F544" s="21" t="s">
        <v>290</v>
      </c>
      <c r="G544" s="15">
        <v>0.09501321585903076</v>
      </c>
      <c r="H544" s="11" t="s">
        <v>33</v>
      </c>
      <c r="I544" s="16">
        <v>3.8320000000000003</v>
      </c>
      <c r="J544" s="11" t="s">
        <v>1010</v>
      </c>
      <c r="K544" s="11" t="s">
        <v>35</v>
      </c>
      <c r="L544" s="11" t="s">
        <v>48</v>
      </c>
      <c r="M544" s="11" t="s">
        <v>28</v>
      </c>
      <c r="N544" s="11" t="s">
        <v>56</v>
      </c>
      <c r="O544" s="11" t="s">
        <v>1012</v>
      </c>
      <c r="P544" s="11" t="s">
        <v>38</v>
      </c>
      <c r="Q544" s="20">
        <v>39901.0</v>
      </c>
      <c r="R544" s="17">
        <f t="shared" si="2"/>
        <v>19.51875496</v>
      </c>
      <c r="S544" s="9"/>
      <c r="T544" s="9"/>
      <c r="U544" s="9"/>
      <c r="V544" s="9"/>
      <c r="W544" s="9"/>
      <c r="X544" s="9"/>
      <c r="Y544" s="9"/>
      <c r="Z544" s="9"/>
      <c r="AA544" s="9"/>
      <c r="AB544" s="9" t="str">
        <f>IFERROR(__xludf.DUMMYFUNCTION("""COMPUTED_VALUE"""),"Sung Chung")</f>
        <v>Sung Chung</v>
      </c>
      <c r="AC544" s="9"/>
      <c r="AD544" s="9"/>
      <c r="AE544" s="9">
        <f t="shared" si="8"/>
        <v>4</v>
      </c>
      <c r="AF544" s="19">
        <f t="shared" si="13"/>
        <v>2</v>
      </c>
      <c r="AG544" s="9"/>
      <c r="AH544" s="9"/>
      <c r="AI544" s="9"/>
    </row>
    <row r="545" ht="15.0" customHeight="1">
      <c r="A545" s="11">
        <v>544.0</v>
      </c>
      <c r="B545" s="12">
        <f t="shared" si="94"/>
        <v>39900</v>
      </c>
      <c r="C545" s="13">
        <v>2009.0</v>
      </c>
      <c r="D545" s="11" t="s">
        <v>23</v>
      </c>
      <c r="E545" s="11">
        <v>16.0</v>
      </c>
      <c r="F545" s="21" t="s">
        <v>137</v>
      </c>
      <c r="G545" s="15">
        <v>0.040053823017255054</v>
      </c>
      <c r="H545" s="11" t="s">
        <v>33</v>
      </c>
      <c r="I545" s="16">
        <v>11.192</v>
      </c>
      <c r="J545" s="11" t="s">
        <v>1013</v>
      </c>
      <c r="K545" s="11" t="s">
        <v>35</v>
      </c>
      <c r="L545" s="11" t="s">
        <v>41</v>
      </c>
      <c r="M545" s="11" t="s">
        <v>66</v>
      </c>
      <c r="N545" s="11" t="s">
        <v>69</v>
      </c>
      <c r="O545" s="11" t="s">
        <v>468</v>
      </c>
      <c r="P545" s="11" t="s">
        <v>75</v>
      </c>
      <c r="Q545" s="20">
        <v>39902.0</v>
      </c>
      <c r="R545" s="17">
        <f t="shared" si="2"/>
        <v>97.15423268</v>
      </c>
      <c r="S545" s="9"/>
      <c r="T545" s="9"/>
      <c r="U545" s="9"/>
      <c r="V545" s="9"/>
      <c r="W545" s="9"/>
      <c r="X545" s="9"/>
      <c r="Y545" s="9"/>
      <c r="Z545" s="9"/>
      <c r="AA545" s="9"/>
      <c r="AB545" s="9" t="str">
        <f>IFERROR(__xludf.DUMMYFUNCTION("""COMPUTED_VALUE"""),"Paul Knutson")</f>
        <v>Paul Knutson</v>
      </c>
      <c r="AC545" s="9"/>
      <c r="AD545" s="9"/>
      <c r="AE545" s="9">
        <f t="shared" si="8"/>
        <v>3</v>
      </c>
      <c r="AF545" s="19">
        <f t="shared" si="13"/>
        <v>2</v>
      </c>
      <c r="AG545" s="9"/>
      <c r="AH545" s="9"/>
      <c r="AI545" s="9"/>
    </row>
    <row r="546" ht="15.0" customHeight="1">
      <c r="A546" s="11">
        <v>545.0</v>
      </c>
      <c r="B546" s="12">
        <f t="shared" si="94"/>
        <v>39900</v>
      </c>
      <c r="C546" s="13">
        <v>2009.0</v>
      </c>
      <c r="D546" s="11" t="s">
        <v>44</v>
      </c>
      <c r="E546" s="11">
        <v>10.0</v>
      </c>
      <c r="F546" s="21" t="s">
        <v>461</v>
      </c>
      <c r="G546" s="15">
        <v>0.032793777590918574</v>
      </c>
      <c r="H546" s="11" t="s">
        <v>45</v>
      </c>
      <c r="I546" s="16">
        <v>11.200000000000001</v>
      </c>
      <c r="J546" s="11" t="s">
        <v>928</v>
      </c>
      <c r="K546" s="11" t="s">
        <v>61</v>
      </c>
      <c r="L546" s="11" t="s">
        <v>27</v>
      </c>
      <c r="M546" s="11" t="s">
        <v>66</v>
      </c>
      <c r="N546" s="11" t="s">
        <v>69</v>
      </c>
      <c r="O546" s="11" t="s">
        <v>779</v>
      </c>
      <c r="P546" s="11" t="s">
        <v>52</v>
      </c>
      <c r="Q546" s="20">
        <v>39902.0</v>
      </c>
      <c r="R546" s="17">
        <f t="shared" si="2"/>
        <v>30.17683414</v>
      </c>
      <c r="S546" s="9"/>
      <c r="T546" s="9"/>
      <c r="U546" s="9"/>
      <c r="V546" s="9"/>
      <c r="W546" s="9"/>
      <c r="X546" s="9"/>
      <c r="Y546" s="9"/>
      <c r="Z546" s="9"/>
      <c r="AA546" s="9"/>
      <c r="AB546" s="9" t="str">
        <f>IFERROR(__xludf.DUMMYFUNCTION("""COMPUTED_VALUE"""),"Michelle Arnett")</f>
        <v>Michelle Arnett</v>
      </c>
      <c r="AC546" s="9"/>
      <c r="AD546" s="9"/>
      <c r="AE546" s="9">
        <f t="shared" si="8"/>
        <v>1</v>
      </c>
      <c r="AF546" s="19">
        <f t="shared" si="13"/>
        <v>4</v>
      </c>
      <c r="AG546" s="9"/>
      <c r="AH546" s="9"/>
      <c r="AI546" s="9"/>
    </row>
    <row r="547" ht="15.0" customHeight="1">
      <c r="A547" s="11">
        <v>546.0</v>
      </c>
      <c r="B547" s="12">
        <f t="shared" si="94"/>
        <v>39900</v>
      </c>
      <c r="C547" s="13">
        <v>2009.0</v>
      </c>
      <c r="D547" s="11" t="s">
        <v>39</v>
      </c>
      <c r="E547" s="11">
        <v>6.0</v>
      </c>
      <c r="F547" s="21" t="s">
        <v>469</v>
      </c>
      <c r="G547" s="15">
        <v>0.029156486329261367</v>
      </c>
      <c r="H547" s="11" t="s">
        <v>45</v>
      </c>
      <c r="I547" s="16">
        <v>11.488</v>
      </c>
      <c r="J547" s="11" t="s">
        <v>584</v>
      </c>
      <c r="K547" s="11" t="s">
        <v>65</v>
      </c>
      <c r="L547" s="11" t="s">
        <v>36</v>
      </c>
      <c r="M547" s="11" t="s">
        <v>49</v>
      </c>
      <c r="N547" s="11" t="s">
        <v>50</v>
      </c>
      <c r="O547" s="11" t="s">
        <v>470</v>
      </c>
      <c r="P547" s="11" t="s">
        <v>52</v>
      </c>
      <c r="Q547" s="20">
        <v>39902.0</v>
      </c>
      <c r="R547" s="17">
        <f t="shared" si="2"/>
        <v>4.865867691</v>
      </c>
      <c r="S547" s="9"/>
      <c r="T547" s="9"/>
      <c r="U547" s="9"/>
      <c r="V547" s="9"/>
      <c r="W547" s="9"/>
      <c r="X547" s="9"/>
      <c r="Y547" s="9"/>
      <c r="Z547" s="9"/>
      <c r="AA547" s="9"/>
      <c r="AB547" s="9" t="str">
        <f>IFERROR(__xludf.DUMMYFUNCTION("""COMPUTED_VALUE"""),"Sue Ann Reed")</f>
        <v>Sue Ann Reed</v>
      </c>
      <c r="AC547" s="9"/>
      <c r="AD547" s="9"/>
      <c r="AE547" s="9">
        <f t="shared" si="8"/>
        <v>2</v>
      </c>
      <c r="AF547" s="19">
        <f t="shared" si="13"/>
        <v>5</v>
      </c>
      <c r="AG547" s="9"/>
      <c r="AH547" s="9"/>
      <c r="AI547" s="9"/>
    </row>
    <row r="548" ht="15.0" customHeight="1">
      <c r="A548" s="11">
        <v>547.0</v>
      </c>
      <c r="B548" s="12">
        <f t="shared" ref="B548:B551" si="95">DATE(2012,12,31)-1373</f>
        <v>39901</v>
      </c>
      <c r="C548" s="13">
        <v>2009.0</v>
      </c>
      <c r="D548" s="11" t="s">
        <v>32</v>
      </c>
      <c r="E548" s="11">
        <v>27.0</v>
      </c>
      <c r="F548" s="21" t="s">
        <v>270</v>
      </c>
      <c r="G548" s="15">
        <v>0.041385864869535244</v>
      </c>
      <c r="H548" s="11" t="s">
        <v>33</v>
      </c>
      <c r="I548" s="16">
        <v>5.2</v>
      </c>
      <c r="J548" s="11" t="s">
        <v>1014</v>
      </c>
      <c r="K548" s="11" t="s">
        <v>61</v>
      </c>
      <c r="L548" s="11" t="s">
        <v>36</v>
      </c>
      <c r="M548" s="11" t="s">
        <v>66</v>
      </c>
      <c r="N548" s="11" t="s">
        <v>67</v>
      </c>
      <c r="O548" s="11" t="s">
        <v>272</v>
      </c>
      <c r="P548" s="11" t="s">
        <v>38</v>
      </c>
      <c r="Q548" s="20">
        <v>39903.0</v>
      </c>
      <c r="R548" s="17">
        <f t="shared" si="2"/>
        <v>45.91761707</v>
      </c>
      <c r="S548" s="9"/>
      <c r="T548" s="9"/>
      <c r="U548" s="9"/>
      <c r="V548" s="9"/>
      <c r="W548" s="9"/>
      <c r="X548" s="9"/>
      <c r="Y548" s="9"/>
      <c r="Z548" s="9"/>
      <c r="AA548" s="9"/>
      <c r="AB548" s="9" t="str">
        <f>IFERROR(__xludf.DUMMYFUNCTION("""COMPUTED_VALUE"""),"Roland Black")</f>
        <v>Roland Black</v>
      </c>
      <c r="AC548" s="9"/>
      <c r="AD548" s="9"/>
      <c r="AE548" s="9">
        <f t="shared" si="8"/>
        <v>2</v>
      </c>
      <c r="AF548" s="19">
        <f t="shared" si="13"/>
        <v>4</v>
      </c>
      <c r="AG548" s="9"/>
      <c r="AH548" s="9"/>
      <c r="AI548" s="9"/>
    </row>
    <row r="549" ht="15.0" customHeight="1">
      <c r="A549" s="11">
        <v>548.0</v>
      </c>
      <c r="B549" s="12">
        <f t="shared" si="95"/>
        <v>39901</v>
      </c>
      <c r="C549" s="13">
        <v>2009.0</v>
      </c>
      <c r="D549" s="11" t="s">
        <v>32</v>
      </c>
      <c r="E549" s="11">
        <v>19.0</v>
      </c>
      <c r="F549" s="21" t="s">
        <v>142</v>
      </c>
      <c r="G549" s="15">
        <v>0.05081785417244243</v>
      </c>
      <c r="H549" s="11" t="s">
        <v>33</v>
      </c>
      <c r="I549" s="16">
        <v>2.64</v>
      </c>
      <c r="J549" s="11" t="s">
        <v>1014</v>
      </c>
      <c r="K549" s="11" t="s">
        <v>61</v>
      </c>
      <c r="L549" s="11" t="s">
        <v>36</v>
      </c>
      <c r="M549" s="11" t="s">
        <v>66</v>
      </c>
      <c r="N549" s="11" t="s">
        <v>80</v>
      </c>
      <c r="O549" s="11" t="s">
        <v>837</v>
      </c>
      <c r="P549" s="11" t="s">
        <v>99</v>
      </c>
      <c r="Q549" s="20">
        <v>39903.0</v>
      </c>
      <c r="R549" s="17">
        <f t="shared" si="2"/>
        <v>34.79701747</v>
      </c>
      <c r="S549" s="9"/>
      <c r="T549" s="9"/>
      <c r="U549" s="9"/>
      <c r="V549" s="9"/>
      <c r="W549" s="9"/>
      <c r="X549" s="9"/>
      <c r="Y549" s="9"/>
      <c r="Z549" s="9"/>
      <c r="AA549" s="9"/>
      <c r="AB549" s="9" t="str">
        <f>IFERROR(__xludf.DUMMYFUNCTION("""COMPUTED_VALUE"""),"Barry Blumstein")</f>
        <v>Barry Blumstein</v>
      </c>
      <c r="AC549" s="9"/>
      <c r="AD549" s="9"/>
      <c r="AE549" s="9">
        <f t="shared" si="8"/>
        <v>2</v>
      </c>
      <c r="AF549" s="19">
        <f t="shared" si="13"/>
        <v>4</v>
      </c>
      <c r="AG549" s="9"/>
      <c r="AH549" s="9"/>
      <c r="AI549" s="9"/>
    </row>
    <row r="550" ht="15.0" customHeight="1">
      <c r="A550" s="11">
        <v>549.0</v>
      </c>
      <c r="B550" s="12">
        <f t="shared" si="95"/>
        <v>39901</v>
      </c>
      <c r="C550" s="13">
        <v>2009.0</v>
      </c>
      <c r="D550" s="11" t="s">
        <v>23</v>
      </c>
      <c r="E550" s="11">
        <v>29.0</v>
      </c>
      <c r="F550" s="21" t="s">
        <v>1015</v>
      </c>
      <c r="G550" s="15">
        <v>0.06841304347826084</v>
      </c>
      <c r="H550" s="11" t="s">
        <v>24</v>
      </c>
      <c r="I550" s="16">
        <v>6.112</v>
      </c>
      <c r="J550" s="11" t="s">
        <v>608</v>
      </c>
      <c r="K550" s="11" t="s">
        <v>35</v>
      </c>
      <c r="L550" s="11" t="s">
        <v>48</v>
      </c>
      <c r="M550" s="11" t="s">
        <v>28</v>
      </c>
      <c r="N550" s="11" t="s">
        <v>56</v>
      </c>
      <c r="O550" s="11" t="s">
        <v>1016</v>
      </c>
      <c r="P550" s="11" t="s">
        <v>38</v>
      </c>
      <c r="Q550" s="20">
        <v>39903.0</v>
      </c>
      <c r="R550" s="17">
        <f t="shared" si="2"/>
        <v>11.72681661</v>
      </c>
      <c r="S550" s="9"/>
      <c r="T550" s="9"/>
      <c r="U550" s="9"/>
      <c r="V550" s="9"/>
      <c r="W550" s="9"/>
      <c r="X550" s="9"/>
      <c r="Y550" s="9"/>
      <c r="Z550" s="9"/>
      <c r="AA550" s="9"/>
      <c r="AB550" s="9" t="str">
        <f>IFERROR(__xludf.DUMMYFUNCTION("""COMPUTED_VALUE"""),"Joseph Holt")</f>
        <v>Joseph Holt</v>
      </c>
      <c r="AC550" s="9"/>
      <c r="AD550" s="9"/>
      <c r="AE550" s="9">
        <f t="shared" si="8"/>
        <v>4</v>
      </c>
      <c r="AF550" s="19">
        <f t="shared" si="13"/>
        <v>2</v>
      </c>
      <c r="AG550" s="9"/>
      <c r="AH550" s="9"/>
      <c r="AI550" s="9"/>
    </row>
    <row r="551" ht="15.0" customHeight="1">
      <c r="A551" s="11">
        <v>550.0</v>
      </c>
      <c r="B551" s="12">
        <f t="shared" si="95"/>
        <v>39901</v>
      </c>
      <c r="C551" s="13">
        <v>2009.0</v>
      </c>
      <c r="D551" s="11" t="s">
        <v>23</v>
      </c>
      <c r="E551" s="11">
        <v>18.0</v>
      </c>
      <c r="F551" s="21" t="s">
        <v>762</v>
      </c>
      <c r="G551" s="15">
        <v>0.08393470071159477</v>
      </c>
      <c r="H551" s="11" t="s">
        <v>33</v>
      </c>
      <c r="I551" s="16">
        <v>4.648</v>
      </c>
      <c r="J551" s="11" t="s">
        <v>1017</v>
      </c>
      <c r="K551" s="11" t="s">
        <v>117</v>
      </c>
      <c r="L551" s="11" t="s">
        <v>36</v>
      </c>
      <c r="M551" s="11" t="s">
        <v>28</v>
      </c>
      <c r="N551" s="11" t="s">
        <v>62</v>
      </c>
      <c r="O551" s="11" t="s">
        <v>955</v>
      </c>
      <c r="P551" s="11" t="s">
        <v>99</v>
      </c>
      <c r="Q551" s="20">
        <v>39903.0</v>
      </c>
      <c r="R551" s="17">
        <f t="shared" si="2"/>
        <v>18.36894138</v>
      </c>
      <c r="S551" s="9"/>
      <c r="T551" s="9"/>
      <c r="U551" s="9"/>
      <c r="V551" s="9"/>
      <c r="W551" s="9"/>
      <c r="X551" s="9"/>
      <c r="Y551" s="9"/>
      <c r="Z551" s="9"/>
      <c r="AA551" s="9"/>
      <c r="AB551" s="9" t="str">
        <f>IFERROR(__xludf.DUMMYFUNCTION("""COMPUTED_VALUE"""),"Jack Garza")</f>
        <v>Jack Garza</v>
      </c>
      <c r="AC551" s="9"/>
      <c r="AD551" s="9"/>
      <c r="AE551" s="9">
        <f t="shared" si="8"/>
        <v>2</v>
      </c>
      <c r="AF551" s="19" t="b">
        <f t="shared" si="13"/>
        <v>0</v>
      </c>
      <c r="AG551" s="9"/>
      <c r="AH551" s="9"/>
      <c r="AI551" s="9"/>
    </row>
    <row r="552" ht="15.0" customHeight="1">
      <c r="A552" s="11">
        <v>551.0</v>
      </c>
      <c r="B552" s="12">
        <f t="shared" ref="B552:B558" si="96">DATE(2012,12,31)-1372</f>
        <v>39902</v>
      </c>
      <c r="C552" s="13">
        <v>2009.0</v>
      </c>
      <c r="D552" s="11" t="s">
        <v>44</v>
      </c>
      <c r="E552" s="11">
        <v>41.0</v>
      </c>
      <c r="F552" s="21" t="s">
        <v>103</v>
      </c>
      <c r="G552" s="15">
        <v>0.07835928598556781</v>
      </c>
      <c r="H552" s="11" t="s">
        <v>33</v>
      </c>
      <c r="I552" s="16">
        <v>0.768</v>
      </c>
      <c r="J552" s="11" t="s">
        <v>1018</v>
      </c>
      <c r="K552" s="11" t="s">
        <v>61</v>
      </c>
      <c r="L552" s="11" t="s">
        <v>41</v>
      </c>
      <c r="M552" s="11" t="s">
        <v>28</v>
      </c>
      <c r="N552" s="11" t="s">
        <v>62</v>
      </c>
      <c r="O552" s="11" t="s">
        <v>691</v>
      </c>
      <c r="P552" s="11" t="s">
        <v>58</v>
      </c>
      <c r="Q552" s="20">
        <v>39903.0</v>
      </c>
      <c r="R552" s="17">
        <f t="shared" si="2"/>
        <v>19.01529121</v>
      </c>
      <c r="S552" s="9"/>
      <c r="T552" s="9"/>
      <c r="U552" s="9"/>
      <c r="V552" s="9"/>
      <c r="W552" s="9"/>
      <c r="X552" s="9"/>
      <c r="Y552" s="9"/>
      <c r="Z552" s="9"/>
      <c r="AA552" s="9"/>
      <c r="AB552" s="9" t="str">
        <f>IFERROR(__xludf.DUMMYFUNCTION("""COMPUTED_VALUE"""),"Dan Lawera")</f>
        <v>Dan Lawera</v>
      </c>
      <c r="AC552" s="9"/>
      <c r="AD552" s="9"/>
      <c r="AE552" s="9">
        <f t="shared" si="8"/>
        <v>3</v>
      </c>
      <c r="AF552" s="19">
        <f t="shared" si="13"/>
        <v>4</v>
      </c>
      <c r="AG552" s="9"/>
      <c r="AH552" s="9"/>
      <c r="AI552" s="9"/>
    </row>
    <row r="553" ht="15.0" customHeight="1">
      <c r="A553" s="11">
        <v>552.0</v>
      </c>
      <c r="B553" s="12">
        <f t="shared" si="96"/>
        <v>39902</v>
      </c>
      <c r="C553" s="13">
        <v>2009.0</v>
      </c>
      <c r="D553" s="11" t="s">
        <v>44</v>
      </c>
      <c r="E553" s="11">
        <v>23.0</v>
      </c>
      <c r="F553" s="21" t="s">
        <v>473</v>
      </c>
      <c r="G553" s="15">
        <v>0.012651442049962547</v>
      </c>
      <c r="H553" s="11" t="s">
        <v>33</v>
      </c>
      <c r="I553" s="16">
        <v>3.2</v>
      </c>
      <c r="J553" s="11" t="s">
        <v>1018</v>
      </c>
      <c r="K553" s="11" t="s">
        <v>61</v>
      </c>
      <c r="L553" s="11" t="s">
        <v>41</v>
      </c>
      <c r="M553" s="11" t="s">
        <v>66</v>
      </c>
      <c r="N553" s="11" t="s">
        <v>67</v>
      </c>
      <c r="O553" s="11" t="s">
        <v>1019</v>
      </c>
      <c r="P553" s="11" t="s">
        <v>38</v>
      </c>
      <c r="Q553" s="20">
        <v>39904.0</v>
      </c>
      <c r="R553" s="17">
        <f t="shared" si="2"/>
        <v>11.65071298</v>
      </c>
      <c r="S553" s="9"/>
      <c r="T553" s="9"/>
      <c r="U553" s="9"/>
      <c r="V553" s="9"/>
      <c r="W553" s="9"/>
      <c r="X553" s="9"/>
      <c r="Y553" s="9"/>
      <c r="Z553" s="9"/>
      <c r="AA553" s="9"/>
      <c r="AB553" s="9" t="str">
        <f>IFERROR(__xludf.DUMMYFUNCTION("""COMPUTED_VALUE"""),"Karen Carlisle")</f>
        <v>Karen Carlisle</v>
      </c>
      <c r="AC553" s="9"/>
      <c r="AD553" s="9"/>
      <c r="AE553" s="9">
        <f t="shared" si="8"/>
        <v>3</v>
      </c>
      <c r="AF553" s="19">
        <f t="shared" si="13"/>
        <v>4</v>
      </c>
      <c r="AG553" s="9"/>
      <c r="AH553" s="9"/>
      <c r="AI553" s="9"/>
    </row>
    <row r="554" ht="15.0" customHeight="1">
      <c r="A554" s="11">
        <v>553.0</v>
      </c>
      <c r="B554" s="12">
        <f t="shared" si="96"/>
        <v>39902</v>
      </c>
      <c r="C554" s="13">
        <v>2009.0</v>
      </c>
      <c r="D554" s="11" t="s">
        <v>102</v>
      </c>
      <c r="E554" s="11">
        <v>46.0</v>
      </c>
      <c r="F554" s="21" t="s">
        <v>422</v>
      </c>
      <c r="G554" s="15">
        <v>0.09313382242560712</v>
      </c>
      <c r="H554" s="11" t="s">
        <v>45</v>
      </c>
      <c r="I554" s="16">
        <v>24.048000000000002</v>
      </c>
      <c r="J554" s="11" t="s">
        <v>1020</v>
      </c>
      <c r="K554" s="11" t="s">
        <v>47</v>
      </c>
      <c r="L554" s="11" t="s">
        <v>36</v>
      </c>
      <c r="M554" s="11" t="s">
        <v>66</v>
      </c>
      <c r="N554" s="11" t="s">
        <v>69</v>
      </c>
      <c r="O554" s="11" t="s">
        <v>645</v>
      </c>
      <c r="P554" s="11" t="s">
        <v>87</v>
      </c>
      <c r="Q554" s="20">
        <v>39904.0</v>
      </c>
      <c r="R554" s="17">
        <f t="shared" si="2"/>
        <v>348.8278889</v>
      </c>
      <c r="S554" s="9"/>
      <c r="T554" s="9"/>
      <c r="U554" s="9"/>
      <c r="V554" s="9"/>
      <c r="W554" s="9"/>
      <c r="X554" s="9"/>
      <c r="Y554" s="9"/>
      <c r="Z554" s="9"/>
      <c r="AA554" s="9"/>
      <c r="AB554" s="9" t="str">
        <f>IFERROR(__xludf.DUMMYFUNCTION("""COMPUTED_VALUE"""),"Michelle Tran")</f>
        <v>Michelle Tran</v>
      </c>
      <c r="AC554" s="9"/>
      <c r="AD554" s="9"/>
      <c r="AE554" s="9">
        <f t="shared" si="8"/>
        <v>2</v>
      </c>
      <c r="AF554" s="19">
        <f t="shared" si="13"/>
        <v>3</v>
      </c>
      <c r="AG554" s="9"/>
      <c r="AH554" s="9"/>
      <c r="AI554" s="9"/>
    </row>
    <row r="555" ht="15.0" customHeight="1">
      <c r="A555" s="11">
        <v>554.0</v>
      </c>
      <c r="B555" s="12">
        <f t="shared" si="96"/>
        <v>39902</v>
      </c>
      <c r="C555" s="13">
        <v>2009.0</v>
      </c>
      <c r="D555" s="11" t="s">
        <v>102</v>
      </c>
      <c r="E555" s="11">
        <v>35.0</v>
      </c>
      <c r="F555" s="21" t="s">
        <v>126</v>
      </c>
      <c r="G555" s="15">
        <v>0.008202816901408387</v>
      </c>
      <c r="H555" s="11" t="s">
        <v>33</v>
      </c>
      <c r="I555" s="16">
        <v>4.544</v>
      </c>
      <c r="J555" s="11" t="s">
        <v>1021</v>
      </c>
      <c r="K555" s="11" t="s">
        <v>61</v>
      </c>
      <c r="L555" s="11" t="s">
        <v>27</v>
      </c>
      <c r="M555" s="11" t="s">
        <v>28</v>
      </c>
      <c r="N555" s="11" t="s">
        <v>42</v>
      </c>
      <c r="O555" s="11" t="s">
        <v>1022</v>
      </c>
      <c r="P555" s="11" t="s">
        <v>38</v>
      </c>
      <c r="Q555" s="20">
        <v>39904.0</v>
      </c>
      <c r="R555" s="17">
        <f t="shared" si="2"/>
        <v>1.444056699</v>
      </c>
      <c r="S555" s="9"/>
      <c r="T555" s="9"/>
      <c r="U555" s="9"/>
      <c r="V555" s="9"/>
      <c r="W555" s="9"/>
      <c r="X555" s="9"/>
      <c r="Y555" s="9"/>
      <c r="Z555" s="9"/>
      <c r="AA555" s="9"/>
      <c r="AB555" s="9" t="str">
        <f>IFERROR(__xludf.DUMMYFUNCTION("""COMPUTED_VALUE"""),"Doug Bickford")</f>
        <v>Doug Bickford</v>
      </c>
      <c r="AC555" s="9"/>
      <c r="AD555" s="9"/>
      <c r="AE555" s="9">
        <f t="shared" si="8"/>
        <v>1</v>
      </c>
      <c r="AF555" s="19">
        <f t="shared" si="13"/>
        <v>4</v>
      </c>
      <c r="AG555" s="9"/>
      <c r="AH555" s="9"/>
      <c r="AI555" s="9"/>
    </row>
    <row r="556" ht="15.0" customHeight="1">
      <c r="A556" s="11">
        <v>555.0</v>
      </c>
      <c r="B556" s="12">
        <f t="shared" si="96"/>
        <v>39902</v>
      </c>
      <c r="C556" s="13">
        <v>2009.0</v>
      </c>
      <c r="D556" s="11" t="s">
        <v>102</v>
      </c>
      <c r="E556" s="11">
        <v>45.0</v>
      </c>
      <c r="F556" s="21" t="s">
        <v>207</v>
      </c>
      <c r="G556" s="15">
        <v>0.04785770750988144</v>
      </c>
      <c r="H556" s="11" t="s">
        <v>33</v>
      </c>
      <c r="I556" s="16">
        <v>2.3920000000000003</v>
      </c>
      <c r="J556" s="11" t="s">
        <v>1021</v>
      </c>
      <c r="K556" s="11" t="s">
        <v>61</v>
      </c>
      <c r="L556" s="11" t="s">
        <v>27</v>
      </c>
      <c r="M556" s="11" t="s">
        <v>28</v>
      </c>
      <c r="N556" s="11" t="s">
        <v>42</v>
      </c>
      <c r="O556" s="11" t="s">
        <v>682</v>
      </c>
      <c r="P556" s="11" t="s">
        <v>38</v>
      </c>
      <c r="Q556" s="20">
        <v>39904.0</v>
      </c>
      <c r="R556" s="17">
        <f t="shared" si="2"/>
        <v>11.52853888</v>
      </c>
      <c r="S556" s="9"/>
      <c r="T556" s="9"/>
      <c r="U556" s="9"/>
      <c r="V556" s="9"/>
      <c r="W556" s="9"/>
      <c r="X556" s="9"/>
      <c r="Y556" s="9"/>
      <c r="Z556" s="9"/>
      <c r="AA556" s="9"/>
      <c r="AB556" s="9" t="str">
        <f>IFERROR(__xludf.DUMMYFUNCTION("""COMPUTED_VALUE"""),"Duane Noonan")</f>
        <v>Duane Noonan</v>
      </c>
      <c r="AC556" s="9"/>
      <c r="AD556" s="9"/>
      <c r="AE556" s="9">
        <f t="shared" si="8"/>
        <v>1</v>
      </c>
      <c r="AF556" s="19">
        <f t="shared" si="13"/>
        <v>4</v>
      </c>
      <c r="AG556" s="9"/>
      <c r="AH556" s="9"/>
      <c r="AI556" s="9"/>
    </row>
    <row r="557" ht="15.0" customHeight="1">
      <c r="A557" s="11">
        <v>556.0</v>
      </c>
      <c r="B557" s="12">
        <f t="shared" si="96"/>
        <v>39902</v>
      </c>
      <c r="C557" s="13">
        <v>2009.0</v>
      </c>
      <c r="D557" s="11" t="s">
        <v>102</v>
      </c>
      <c r="E557" s="11">
        <v>5.0</v>
      </c>
      <c r="F557" s="21" t="s">
        <v>933</v>
      </c>
      <c r="G557" s="15">
        <v>0.061258278145695365</v>
      </c>
      <c r="H557" s="11" t="s">
        <v>33</v>
      </c>
      <c r="I557" s="16">
        <v>4.0</v>
      </c>
      <c r="J557" s="11" t="s">
        <v>1021</v>
      </c>
      <c r="K557" s="11" t="s">
        <v>61</v>
      </c>
      <c r="L557" s="11" t="s">
        <v>27</v>
      </c>
      <c r="M557" s="11" t="s">
        <v>66</v>
      </c>
      <c r="N557" s="11" t="s">
        <v>80</v>
      </c>
      <c r="O557" s="11" t="s">
        <v>1023</v>
      </c>
      <c r="P557" s="11" t="s">
        <v>99</v>
      </c>
      <c r="Q557" s="20">
        <v>39904.0</v>
      </c>
      <c r="R557" s="17">
        <f t="shared" si="2"/>
        <v>17.36672185</v>
      </c>
      <c r="S557" s="9"/>
      <c r="T557" s="9"/>
      <c r="U557" s="9"/>
      <c r="V557" s="9"/>
      <c r="W557" s="9"/>
      <c r="X557" s="9"/>
      <c r="Y557" s="9"/>
      <c r="Z557" s="9"/>
      <c r="AA557" s="9"/>
      <c r="AB557" s="9" t="str">
        <f>IFERROR(__xludf.DUMMYFUNCTION("""COMPUTED_VALUE"""),"Anna Andreadi")</f>
        <v>Anna Andreadi</v>
      </c>
      <c r="AC557" s="9"/>
      <c r="AD557" s="9"/>
      <c r="AE557" s="9">
        <f t="shared" si="8"/>
        <v>1</v>
      </c>
      <c r="AF557" s="19">
        <f t="shared" si="13"/>
        <v>4</v>
      </c>
      <c r="AG557" s="9"/>
      <c r="AH557" s="9"/>
      <c r="AI557" s="9"/>
    </row>
    <row r="558" ht="15.0" customHeight="1">
      <c r="A558" s="11">
        <v>557.0</v>
      </c>
      <c r="B558" s="12">
        <f t="shared" si="96"/>
        <v>39902</v>
      </c>
      <c r="C558" s="13">
        <v>2009.0</v>
      </c>
      <c r="D558" s="11" t="s">
        <v>39</v>
      </c>
      <c r="E558" s="11">
        <v>2.0</v>
      </c>
      <c r="F558" s="21" t="s">
        <v>259</v>
      </c>
      <c r="G558" s="15">
        <v>0.0463082437275985</v>
      </c>
      <c r="H558" s="11" t="s">
        <v>33</v>
      </c>
      <c r="I558" s="16">
        <v>4.008</v>
      </c>
      <c r="J558" s="11" t="s">
        <v>1024</v>
      </c>
      <c r="K558" s="11" t="s">
        <v>26</v>
      </c>
      <c r="L558" s="11" t="s">
        <v>36</v>
      </c>
      <c r="M558" s="11" t="s">
        <v>28</v>
      </c>
      <c r="N558" s="11" t="s">
        <v>56</v>
      </c>
      <c r="O558" s="11" t="s">
        <v>260</v>
      </c>
      <c r="P558" s="11" t="s">
        <v>38</v>
      </c>
      <c r="Q558" s="20">
        <v>39905.0</v>
      </c>
      <c r="R558" s="17">
        <f t="shared" si="2"/>
        <v>1.232169749</v>
      </c>
      <c r="S558" s="9"/>
      <c r="T558" s="9"/>
      <c r="U558" s="9"/>
      <c r="V558" s="9"/>
      <c r="W558" s="9"/>
      <c r="X558" s="9"/>
      <c r="Y558" s="9"/>
      <c r="Z558" s="9"/>
      <c r="AA558" s="9"/>
      <c r="AB558" s="9" t="str">
        <f>IFERROR(__xludf.DUMMYFUNCTION("""COMPUTED_VALUE"""),"John Stevenson")</f>
        <v>John Stevenson</v>
      </c>
      <c r="AC558" s="9"/>
      <c r="AD558" s="9"/>
      <c r="AE558" s="9">
        <f t="shared" si="8"/>
        <v>2</v>
      </c>
      <c r="AF558" s="19">
        <f t="shared" si="13"/>
        <v>1</v>
      </c>
      <c r="AG558" s="9"/>
      <c r="AH558" s="9"/>
      <c r="AI558" s="9"/>
    </row>
    <row r="559" ht="15.0" customHeight="1">
      <c r="A559" s="11">
        <v>558.0</v>
      </c>
      <c r="B559" s="12">
        <f t="shared" ref="B559:B561" si="97">DATE(2012,12,31)-1371</f>
        <v>39903</v>
      </c>
      <c r="C559" s="13">
        <v>2009.0</v>
      </c>
      <c r="D559" s="11" t="s">
        <v>39</v>
      </c>
      <c r="E559" s="11">
        <v>18.0</v>
      </c>
      <c r="F559" s="21" t="s">
        <v>277</v>
      </c>
      <c r="G559" s="15">
        <v>0.10574018126888217</v>
      </c>
      <c r="H559" s="11" t="s">
        <v>33</v>
      </c>
      <c r="I559" s="16">
        <v>0.8</v>
      </c>
      <c r="J559" s="11" t="s">
        <v>416</v>
      </c>
      <c r="K559" s="11" t="s">
        <v>65</v>
      </c>
      <c r="L559" s="11" t="s">
        <v>41</v>
      </c>
      <c r="M559" s="11" t="s">
        <v>28</v>
      </c>
      <c r="N559" s="11" t="s">
        <v>62</v>
      </c>
      <c r="O559" s="11" t="s">
        <v>278</v>
      </c>
      <c r="P559" s="11" t="s">
        <v>58</v>
      </c>
      <c r="Q559" s="20">
        <v>39905.0</v>
      </c>
      <c r="R559" s="17">
        <f t="shared" si="2"/>
        <v>3.129909366</v>
      </c>
      <c r="S559" s="9"/>
      <c r="T559" s="9"/>
      <c r="U559" s="9"/>
      <c r="V559" s="9"/>
      <c r="W559" s="9"/>
      <c r="X559" s="9"/>
      <c r="Y559" s="9"/>
      <c r="Z559" s="9"/>
      <c r="AA559" s="9"/>
      <c r="AB559" s="9" t="str">
        <f>IFERROR(__xludf.DUMMYFUNCTION("""COMPUTED_VALUE"""),"Bart Pistole")</f>
        <v>Bart Pistole</v>
      </c>
      <c r="AC559" s="9"/>
      <c r="AD559" s="9"/>
      <c r="AE559" s="9">
        <f t="shared" si="8"/>
        <v>3</v>
      </c>
      <c r="AF559" s="19">
        <f t="shared" si="13"/>
        <v>5</v>
      </c>
      <c r="AG559" s="9"/>
      <c r="AH559" s="9"/>
      <c r="AI559" s="9"/>
    </row>
    <row r="560" ht="15.0" customHeight="1">
      <c r="A560" s="11">
        <v>559.0</v>
      </c>
      <c r="B560" s="12">
        <f t="shared" si="97"/>
        <v>39903</v>
      </c>
      <c r="C560" s="13">
        <v>2009.0</v>
      </c>
      <c r="D560" s="11" t="s">
        <v>23</v>
      </c>
      <c r="E560" s="11">
        <v>1.0</v>
      </c>
      <c r="F560" s="21" t="s">
        <v>933</v>
      </c>
      <c r="G560" s="15">
        <v>0.08128834355828227</v>
      </c>
      <c r="H560" s="11" t="s">
        <v>24</v>
      </c>
      <c r="I560" s="16">
        <v>4.0</v>
      </c>
      <c r="J560" s="11" t="s">
        <v>1025</v>
      </c>
      <c r="K560" s="11" t="s">
        <v>117</v>
      </c>
      <c r="L560" s="11" t="s">
        <v>48</v>
      </c>
      <c r="M560" s="11" t="s">
        <v>66</v>
      </c>
      <c r="N560" s="11" t="s">
        <v>80</v>
      </c>
      <c r="O560" s="11" t="s">
        <v>1026</v>
      </c>
      <c r="P560" s="11" t="s">
        <v>99</v>
      </c>
      <c r="Q560" s="20">
        <v>39905.0</v>
      </c>
      <c r="R560" s="17">
        <f t="shared" si="2"/>
        <v>4.869171779</v>
      </c>
      <c r="S560" s="9"/>
      <c r="T560" s="9"/>
      <c r="U560" s="9"/>
      <c r="V560" s="9"/>
      <c r="W560" s="9"/>
      <c r="X560" s="9"/>
      <c r="Y560" s="9"/>
      <c r="Z560" s="9"/>
      <c r="AA560" s="9"/>
      <c r="AB560" s="9" t="str">
        <f>IFERROR(__xludf.DUMMYFUNCTION("""COMPUTED_VALUE"""),"Chad Sievert")</f>
        <v>Chad Sievert</v>
      </c>
      <c r="AC560" s="9"/>
      <c r="AD560" s="9"/>
      <c r="AE560" s="9">
        <f t="shared" si="8"/>
        <v>4</v>
      </c>
      <c r="AF560" s="19" t="b">
        <f t="shared" si="13"/>
        <v>0</v>
      </c>
      <c r="AG560" s="9"/>
      <c r="AH560" s="9"/>
      <c r="AI560" s="9"/>
    </row>
    <row r="561" ht="15.0" customHeight="1">
      <c r="A561" s="11">
        <v>560.0</v>
      </c>
      <c r="B561" s="12">
        <f t="shared" si="97"/>
        <v>39903</v>
      </c>
      <c r="C561" s="13">
        <v>2009.0</v>
      </c>
      <c r="D561" s="11" t="s">
        <v>39</v>
      </c>
      <c r="E561" s="11">
        <v>8.0</v>
      </c>
      <c r="F561" s="21" t="s">
        <v>122</v>
      </c>
      <c r="G561" s="15">
        <v>0.0911370882040382</v>
      </c>
      <c r="H561" s="11" t="s">
        <v>24</v>
      </c>
      <c r="I561" s="16">
        <v>3.848</v>
      </c>
      <c r="J561" s="11" t="s">
        <v>982</v>
      </c>
      <c r="K561" s="11" t="s">
        <v>61</v>
      </c>
      <c r="L561" s="11" t="s">
        <v>27</v>
      </c>
      <c r="M561" s="11" t="s">
        <v>66</v>
      </c>
      <c r="N561" s="11" t="s">
        <v>80</v>
      </c>
      <c r="O561" s="11" t="s">
        <v>899</v>
      </c>
      <c r="P561" s="11" t="s">
        <v>75</v>
      </c>
      <c r="Q561" s="20">
        <v>39905.0</v>
      </c>
      <c r="R561" s="17">
        <f t="shared" si="2"/>
        <v>15.58881666</v>
      </c>
      <c r="S561" s="9"/>
      <c r="T561" s="9"/>
      <c r="U561" s="9"/>
      <c r="V561" s="9"/>
      <c r="W561" s="9"/>
      <c r="X561" s="9"/>
      <c r="Y561" s="9"/>
      <c r="Z561" s="9"/>
      <c r="AA561" s="9"/>
      <c r="AB561" s="9" t="str">
        <f>IFERROR(__xludf.DUMMYFUNCTION("""COMPUTED_VALUE"""),"Katherine Nockton")</f>
        <v>Katherine Nockton</v>
      </c>
      <c r="AC561" s="9"/>
      <c r="AD561" s="9"/>
      <c r="AE561" s="9">
        <f t="shared" si="8"/>
        <v>1</v>
      </c>
      <c r="AF561" s="19">
        <f t="shared" si="13"/>
        <v>4</v>
      </c>
      <c r="AG561" s="9"/>
      <c r="AH561" s="9"/>
      <c r="AI561" s="9"/>
    </row>
    <row r="562" ht="15.0" customHeight="1">
      <c r="A562" s="11">
        <v>561.0</v>
      </c>
      <c r="B562" s="12">
        <f t="shared" ref="B562:B568" si="98">DATE(2012,12,31)-1370</f>
        <v>39904</v>
      </c>
      <c r="C562" s="13">
        <v>2009.0</v>
      </c>
      <c r="D562" s="11" t="s">
        <v>32</v>
      </c>
      <c r="E562" s="11">
        <v>30.0</v>
      </c>
      <c r="F562" s="21" t="s">
        <v>142</v>
      </c>
      <c r="G562" s="15">
        <v>0.08499151103565356</v>
      </c>
      <c r="H562" s="11" t="s">
        <v>33</v>
      </c>
      <c r="I562" s="16">
        <v>0.8800000000000001</v>
      </c>
      <c r="J562" s="11" t="s">
        <v>1027</v>
      </c>
      <c r="K562" s="11" t="s">
        <v>83</v>
      </c>
      <c r="L562" s="11" t="s">
        <v>41</v>
      </c>
      <c r="M562" s="11" t="s">
        <v>66</v>
      </c>
      <c r="N562" s="11" t="s">
        <v>80</v>
      </c>
      <c r="O562" s="11" t="s">
        <v>143</v>
      </c>
      <c r="P562" s="11" t="s">
        <v>38</v>
      </c>
      <c r="Q562" s="20">
        <v>39905.0</v>
      </c>
      <c r="R562" s="17">
        <f t="shared" si="2"/>
        <v>91.61064992</v>
      </c>
      <c r="S562" s="9"/>
      <c r="T562" s="9"/>
      <c r="U562" s="9"/>
      <c r="V562" s="9"/>
      <c r="W562" s="9"/>
      <c r="X562" s="9"/>
      <c r="Y562" s="9"/>
      <c r="Z562" s="9"/>
      <c r="AA562" s="9"/>
      <c r="AB562" s="9" t="str">
        <f>IFERROR(__xludf.DUMMYFUNCTION("""COMPUTED_VALUE"""),"Nick Crebassa")</f>
        <v>Nick Crebassa</v>
      </c>
      <c r="AC562" s="9"/>
      <c r="AD562" s="9"/>
      <c r="AE562" s="9">
        <f t="shared" si="8"/>
        <v>3</v>
      </c>
      <c r="AF562" s="19" t="b">
        <f t="shared" si="13"/>
        <v>0</v>
      </c>
      <c r="AG562" s="9"/>
      <c r="AH562" s="9"/>
      <c r="AI562" s="9"/>
    </row>
    <row r="563" ht="15.0" customHeight="1">
      <c r="A563" s="11">
        <v>562.0</v>
      </c>
      <c r="B563" s="12">
        <f t="shared" si="98"/>
        <v>39904</v>
      </c>
      <c r="C563" s="13">
        <v>2009.0</v>
      </c>
      <c r="D563" s="11" t="s">
        <v>32</v>
      </c>
      <c r="E563" s="11">
        <v>7.0</v>
      </c>
      <c r="F563" s="21" t="s">
        <v>128</v>
      </c>
      <c r="G563" s="15">
        <v>0.011083743842364506</v>
      </c>
      <c r="H563" s="11" t="s">
        <v>33</v>
      </c>
      <c r="I563" s="16">
        <v>2.0</v>
      </c>
      <c r="J563" s="11" t="s">
        <v>1027</v>
      </c>
      <c r="K563" s="11" t="s">
        <v>83</v>
      </c>
      <c r="L563" s="11" t="s">
        <v>41</v>
      </c>
      <c r="M563" s="11" t="s">
        <v>66</v>
      </c>
      <c r="N563" s="11" t="s">
        <v>80</v>
      </c>
      <c r="O563" s="11" t="s">
        <v>862</v>
      </c>
      <c r="P563" s="11" t="s">
        <v>38</v>
      </c>
      <c r="Q563" s="20">
        <v>39905.0</v>
      </c>
      <c r="R563" s="17">
        <f t="shared" si="2"/>
        <v>9.790270936</v>
      </c>
      <c r="S563" s="9"/>
      <c r="T563" s="9"/>
      <c r="U563" s="9"/>
      <c r="V563" s="9"/>
      <c r="W563" s="9"/>
      <c r="X563" s="9"/>
      <c r="Y563" s="9"/>
      <c r="Z563" s="9"/>
      <c r="AA563" s="9"/>
      <c r="AB563" s="9" t="str">
        <f>IFERROR(__xludf.DUMMYFUNCTION("""COMPUTED_VALUE"""),"Ken Lonsdale")</f>
        <v>Ken Lonsdale</v>
      </c>
      <c r="AC563" s="9"/>
      <c r="AD563" s="9"/>
      <c r="AE563" s="9">
        <f t="shared" si="8"/>
        <v>3</v>
      </c>
      <c r="AF563" s="19" t="b">
        <f t="shared" si="13"/>
        <v>0</v>
      </c>
      <c r="AG563" s="9"/>
      <c r="AH563" s="9"/>
      <c r="AI563" s="9"/>
    </row>
    <row r="564" ht="15.0" customHeight="1">
      <c r="A564" s="11">
        <v>563.0</v>
      </c>
      <c r="B564" s="12">
        <f t="shared" si="98"/>
        <v>39904</v>
      </c>
      <c r="C564" s="13">
        <v>2009.0</v>
      </c>
      <c r="D564" s="11" t="s">
        <v>39</v>
      </c>
      <c r="E564" s="11">
        <v>9.0</v>
      </c>
      <c r="F564" s="21" t="s">
        <v>619</v>
      </c>
      <c r="G564" s="15">
        <v>0.067481662591687</v>
      </c>
      <c r="H564" s="11" t="s">
        <v>45</v>
      </c>
      <c r="I564" s="16">
        <v>24.0</v>
      </c>
      <c r="J564" s="11" t="s">
        <v>293</v>
      </c>
      <c r="K564" s="11" t="s">
        <v>65</v>
      </c>
      <c r="L564" s="11" t="s">
        <v>36</v>
      </c>
      <c r="M564" s="11" t="s">
        <v>49</v>
      </c>
      <c r="N564" s="11" t="s">
        <v>50</v>
      </c>
      <c r="O564" s="11" t="s">
        <v>1028</v>
      </c>
      <c r="P564" s="11" t="s">
        <v>52</v>
      </c>
      <c r="Q564" s="20">
        <v>39905.0</v>
      </c>
      <c r="R564" s="17">
        <f t="shared" si="2"/>
        <v>38.60625917</v>
      </c>
      <c r="S564" s="9"/>
      <c r="T564" s="9"/>
      <c r="U564" s="9"/>
      <c r="V564" s="9"/>
      <c r="W564" s="9"/>
      <c r="X564" s="9"/>
      <c r="Y564" s="9"/>
      <c r="Z564" s="9"/>
      <c r="AA564" s="9"/>
      <c r="AB564" s="9" t="str">
        <f>IFERROR(__xludf.DUMMYFUNCTION("""COMPUTED_VALUE"""),"John Murray")</f>
        <v>John Murray</v>
      </c>
      <c r="AC564" s="9"/>
      <c r="AD564" s="9"/>
      <c r="AE564" s="9">
        <f t="shared" si="8"/>
        <v>2</v>
      </c>
      <c r="AF564" s="19">
        <f t="shared" si="13"/>
        <v>5</v>
      </c>
      <c r="AG564" s="9"/>
      <c r="AH564" s="9"/>
      <c r="AI564" s="9"/>
    </row>
    <row r="565" ht="15.0" customHeight="1">
      <c r="A565" s="11">
        <v>564.0</v>
      </c>
      <c r="B565" s="12">
        <f t="shared" si="98"/>
        <v>39904</v>
      </c>
      <c r="C565" s="13">
        <v>2009.0</v>
      </c>
      <c r="D565" s="11" t="s">
        <v>102</v>
      </c>
      <c r="E565" s="11">
        <v>1.0</v>
      </c>
      <c r="F565" s="21" t="s">
        <v>259</v>
      </c>
      <c r="G565" s="15">
        <v>0.11978260869565202</v>
      </c>
      <c r="H565" s="11" t="s">
        <v>33</v>
      </c>
      <c r="I565" s="16">
        <v>4.896000000000001</v>
      </c>
      <c r="J565" s="11" t="s">
        <v>961</v>
      </c>
      <c r="K565" s="11" t="s">
        <v>83</v>
      </c>
      <c r="L565" s="11" t="s">
        <v>36</v>
      </c>
      <c r="M565" s="11" t="s">
        <v>28</v>
      </c>
      <c r="N565" s="11" t="s">
        <v>197</v>
      </c>
      <c r="O565" s="11" t="s">
        <v>1029</v>
      </c>
      <c r="P565" s="11" t="s">
        <v>75</v>
      </c>
      <c r="Q565" s="20">
        <v>39906.0</v>
      </c>
      <c r="R565" s="17">
        <f t="shared" si="2"/>
        <v>1.93999913</v>
      </c>
      <c r="S565" s="9"/>
      <c r="T565" s="9"/>
      <c r="U565" s="9"/>
      <c r="V565" s="9"/>
      <c r="W565" s="9"/>
      <c r="X565" s="9"/>
      <c r="Y565" s="9"/>
      <c r="Z565" s="9"/>
      <c r="AA565" s="9"/>
      <c r="AB565" s="9" t="str">
        <f>IFERROR(__xludf.DUMMYFUNCTION("""COMPUTED_VALUE"""),"Allen Armold")</f>
        <v>Allen Armold</v>
      </c>
      <c r="AC565" s="9"/>
      <c r="AD565" s="9"/>
      <c r="AE565" s="9">
        <f t="shared" si="8"/>
        <v>2</v>
      </c>
      <c r="AF565" s="19" t="b">
        <f t="shared" si="13"/>
        <v>0</v>
      </c>
      <c r="AG565" s="9"/>
      <c r="AH565" s="9"/>
      <c r="AI565" s="9"/>
    </row>
    <row r="566" ht="15.0" customHeight="1">
      <c r="A566" s="11">
        <v>565.0</v>
      </c>
      <c r="B566" s="12">
        <f t="shared" si="98"/>
        <v>39904</v>
      </c>
      <c r="C566" s="13">
        <v>2009.0</v>
      </c>
      <c r="D566" s="11" t="s">
        <v>23</v>
      </c>
      <c r="E566" s="11">
        <v>23.0</v>
      </c>
      <c r="F566" s="21" t="s">
        <v>245</v>
      </c>
      <c r="G566" s="15">
        <v>0.08729483282674776</v>
      </c>
      <c r="H566" s="11" t="s">
        <v>24</v>
      </c>
      <c r="I566" s="16">
        <v>5.752000000000001</v>
      </c>
      <c r="J566" s="11" t="s">
        <v>898</v>
      </c>
      <c r="K566" s="11" t="s">
        <v>35</v>
      </c>
      <c r="L566" s="11" t="s">
        <v>48</v>
      </c>
      <c r="M566" s="11" t="s">
        <v>28</v>
      </c>
      <c r="N566" s="11" t="s">
        <v>42</v>
      </c>
      <c r="O566" s="11" t="s">
        <v>1030</v>
      </c>
      <c r="P566" s="11" t="s">
        <v>38</v>
      </c>
      <c r="Q566" s="20">
        <v>39906.0</v>
      </c>
      <c r="R566" s="17">
        <f t="shared" si="2"/>
        <v>23.59160316</v>
      </c>
      <c r="S566" s="9"/>
      <c r="T566" s="9"/>
      <c r="U566" s="9"/>
      <c r="V566" s="9"/>
      <c r="W566" s="9"/>
      <c r="X566" s="9"/>
      <c r="Y566" s="9"/>
      <c r="Z566" s="9"/>
      <c r="AA566" s="9"/>
      <c r="AB566" s="9" t="str">
        <f>IFERROR(__xludf.DUMMYFUNCTION("""COMPUTED_VALUE"""),"Erin Ashbrook")</f>
        <v>Erin Ashbrook</v>
      </c>
      <c r="AC566" s="9"/>
      <c r="AD566" s="9"/>
      <c r="AE566" s="9">
        <f t="shared" si="8"/>
        <v>4</v>
      </c>
      <c r="AF566" s="19">
        <f t="shared" si="13"/>
        <v>2</v>
      </c>
      <c r="AG566" s="9"/>
      <c r="AH566" s="9"/>
      <c r="AI566" s="9"/>
    </row>
    <row r="567" ht="15.0" customHeight="1">
      <c r="A567" s="11">
        <v>566.0</v>
      </c>
      <c r="B567" s="12">
        <f t="shared" si="98"/>
        <v>39904</v>
      </c>
      <c r="C567" s="13">
        <v>2009.0</v>
      </c>
      <c r="D567" s="11" t="s">
        <v>23</v>
      </c>
      <c r="E567" s="11">
        <v>15.0</v>
      </c>
      <c r="F567" s="21" t="s">
        <v>163</v>
      </c>
      <c r="G567" s="15">
        <v>0.0923926160463589</v>
      </c>
      <c r="H567" s="11" t="s">
        <v>33</v>
      </c>
      <c r="I567" s="16">
        <v>5.744</v>
      </c>
      <c r="J567" s="11" t="s">
        <v>898</v>
      </c>
      <c r="K567" s="11" t="s">
        <v>35</v>
      </c>
      <c r="L567" s="11" t="s">
        <v>48</v>
      </c>
      <c r="M567" s="11" t="s">
        <v>66</v>
      </c>
      <c r="N567" s="11" t="s">
        <v>67</v>
      </c>
      <c r="O567" s="11" t="s">
        <v>1031</v>
      </c>
      <c r="P567" s="11" t="s">
        <v>38</v>
      </c>
      <c r="Q567" s="20">
        <v>39906.0</v>
      </c>
      <c r="R567" s="17">
        <f t="shared" si="2"/>
        <v>140.3669276</v>
      </c>
      <c r="S567" s="9"/>
      <c r="T567" s="9"/>
      <c r="U567" s="9"/>
      <c r="V567" s="9"/>
      <c r="W567" s="9"/>
      <c r="X567" s="9"/>
      <c r="Y567" s="9"/>
      <c r="Z567" s="9"/>
      <c r="AA567" s="9"/>
      <c r="AB567" s="9" t="str">
        <f>IFERROR(__xludf.DUMMYFUNCTION("""COMPUTED_VALUE"""),"Mick Hernandez")</f>
        <v>Mick Hernandez</v>
      </c>
      <c r="AC567" s="9"/>
      <c r="AD567" s="9"/>
      <c r="AE567" s="9">
        <f t="shared" si="8"/>
        <v>4</v>
      </c>
      <c r="AF567" s="19">
        <f t="shared" si="13"/>
        <v>2</v>
      </c>
      <c r="AG567" s="9"/>
      <c r="AH567" s="9"/>
      <c r="AI567" s="9"/>
    </row>
    <row r="568" ht="15.0" customHeight="1">
      <c r="A568" s="11">
        <v>567.0</v>
      </c>
      <c r="B568" s="12">
        <f t="shared" si="98"/>
        <v>39904</v>
      </c>
      <c r="C568" s="13">
        <v>2009.0</v>
      </c>
      <c r="D568" s="11" t="s">
        <v>23</v>
      </c>
      <c r="E568" s="11">
        <v>23.0</v>
      </c>
      <c r="F568" s="21" t="s">
        <v>838</v>
      </c>
      <c r="G568" s="15">
        <v>0.06784899883163428</v>
      </c>
      <c r="H568" s="11" t="s">
        <v>33</v>
      </c>
      <c r="I568" s="16">
        <v>15.991999999999999</v>
      </c>
      <c r="J568" s="11" t="s">
        <v>898</v>
      </c>
      <c r="K568" s="11" t="s">
        <v>35</v>
      </c>
      <c r="L568" s="11" t="s">
        <v>48</v>
      </c>
      <c r="M568" s="11" t="s">
        <v>66</v>
      </c>
      <c r="N568" s="11" t="s">
        <v>69</v>
      </c>
      <c r="O568" s="11" t="s">
        <v>840</v>
      </c>
      <c r="P568" s="11" t="s">
        <v>38</v>
      </c>
      <c r="Q568" s="20">
        <v>39906.0</v>
      </c>
      <c r="R568" s="17">
        <f t="shared" si="2"/>
        <v>156.9816858</v>
      </c>
      <c r="S568" s="9"/>
      <c r="T568" s="9"/>
      <c r="U568" s="9"/>
      <c r="V568" s="9"/>
      <c r="W568" s="9"/>
      <c r="X568" s="9"/>
      <c r="Y568" s="9"/>
      <c r="Z568" s="9"/>
      <c r="AA568" s="9"/>
      <c r="AB568" s="9" t="str">
        <f>IFERROR(__xludf.DUMMYFUNCTION("""COMPUTED_VALUE"""),"Damala Kotsonis")</f>
        <v>Damala Kotsonis</v>
      </c>
      <c r="AC568" s="9"/>
      <c r="AD568" s="9"/>
      <c r="AE568" s="9">
        <f t="shared" si="8"/>
        <v>4</v>
      </c>
      <c r="AF568" s="19">
        <f t="shared" si="13"/>
        <v>2</v>
      </c>
      <c r="AG568" s="9"/>
      <c r="AH568" s="9"/>
      <c r="AI568" s="9"/>
    </row>
    <row r="569" ht="15.0" customHeight="1">
      <c r="A569" s="11">
        <v>568.0</v>
      </c>
      <c r="B569" s="12">
        <f t="shared" ref="B569:B573" si="99">DATE(2012,12,31)-1369</f>
        <v>39905</v>
      </c>
      <c r="C569" s="13">
        <v>2009.0</v>
      </c>
      <c r="D569" s="11" t="s">
        <v>32</v>
      </c>
      <c r="E569" s="11">
        <v>16.0</v>
      </c>
      <c r="F569" s="21" t="s">
        <v>1032</v>
      </c>
      <c r="G569" s="15">
        <v>0.03900439238652998</v>
      </c>
      <c r="H569" s="11" t="s">
        <v>33</v>
      </c>
      <c r="I569" s="16">
        <v>0.792</v>
      </c>
      <c r="J569" s="11" t="s">
        <v>1010</v>
      </c>
      <c r="K569" s="11" t="s">
        <v>35</v>
      </c>
      <c r="L569" s="11" t="s">
        <v>27</v>
      </c>
      <c r="M569" s="11" t="s">
        <v>28</v>
      </c>
      <c r="N569" s="11" t="s">
        <v>197</v>
      </c>
      <c r="O569" s="11" t="s">
        <v>1033</v>
      </c>
      <c r="P569" s="11" t="s">
        <v>38</v>
      </c>
      <c r="Q569" s="20">
        <v>39907.0</v>
      </c>
      <c r="R569" s="17">
        <f t="shared" si="2"/>
        <v>56.32203057</v>
      </c>
      <c r="S569" s="9"/>
      <c r="T569" s="9"/>
      <c r="U569" s="9"/>
      <c r="V569" s="9"/>
      <c r="W569" s="9"/>
      <c r="X569" s="9"/>
      <c r="Y569" s="9"/>
      <c r="Z569" s="9"/>
      <c r="AA569" s="9"/>
      <c r="AB569" s="9" t="str">
        <f>IFERROR(__xludf.DUMMYFUNCTION("""COMPUTED_VALUE"""),"Beth Paige")</f>
        <v>Beth Paige</v>
      </c>
      <c r="AC569" s="9"/>
      <c r="AD569" s="9"/>
      <c r="AE569" s="9">
        <f t="shared" si="8"/>
        <v>1</v>
      </c>
      <c r="AF569" s="19">
        <f t="shared" si="13"/>
        <v>2</v>
      </c>
      <c r="AG569" s="9"/>
      <c r="AH569" s="9"/>
      <c r="AI569" s="9"/>
    </row>
    <row r="570" ht="15.0" customHeight="1">
      <c r="A570" s="11">
        <v>569.0</v>
      </c>
      <c r="B570" s="12">
        <f t="shared" si="99"/>
        <v>39905</v>
      </c>
      <c r="C570" s="13">
        <v>2009.0</v>
      </c>
      <c r="D570" s="11" t="s">
        <v>32</v>
      </c>
      <c r="E570" s="11">
        <v>11.0</v>
      </c>
      <c r="F570" s="21" t="s">
        <v>853</v>
      </c>
      <c r="G570" s="15">
        <v>0.08457379025314289</v>
      </c>
      <c r="H570" s="11" t="s">
        <v>24</v>
      </c>
      <c r="I570" s="16">
        <v>4.688000000000001</v>
      </c>
      <c r="J570" s="11" t="s">
        <v>1010</v>
      </c>
      <c r="K570" s="11" t="s">
        <v>35</v>
      </c>
      <c r="L570" s="11" t="s">
        <v>27</v>
      </c>
      <c r="M570" s="11" t="s">
        <v>28</v>
      </c>
      <c r="N570" s="11" t="s">
        <v>56</v>
      </c>
      <c r="O570" s="11" t="s">
        <v>1034</v>
      </c>
      <c r="P570" s="11" t="s">
        <v>38</v>
      </c>
      <c r="Q570" s="20">
        <v>39907.0</v>
      </c>
      <c r="R570" s="17">
        <f t="shared" si="2"/>
        <v>44.95841201</v>
      </c>
      <c r="S570" s="9"/>
      <c r="T570" s="9"/>
      <c r="U570" s="9"/>
      <c r="V570" s="9"/>
      <c r="W570" s="9"/>
      <c r="X570" s="9"/>
      <c r="Y570" s="9"/>
      <c r="Z570" s="9"/>
      <c r="AA570" s="9"/>
      <c r="AB570" s="9" t="str">
        <f>IFERROR(__xludf.DUMMYFUNCTION("""COMPUTED_VALUE"""),"Laurel Workman")</f>
        <v>Laurel Workman</v>
      </c>
      <c r="AC570" s="9"/>
      <c r="AD570" s="9"/>
      <c r="AE570" s="9">
        <f t="shared" si="8"/>
        <v>1</v>
      </c>
      <c r="AF570" s="19">
        <f t="shared" si="13"/>
        <v>2</v>
      </c>
      <c r="AG570" s="9"/>
      <c r="AH570" s="9"/>
      <c r="AI570" s="9"/>
    </row>
    <row r="571" ht="15.0" customHeight="1">
      <c r="A571" s="11">
        <v>570.0</v>
      </c>
      <c r="B571" s="12">
        <f t="shared" si="99"/>
        <v>39905</v>
      </c>
      <c r="C571" s="13">
        <v>2009.0</v>
      </c>
      <c r="D571" s="11" t="s">
        <v>102</v>
      </c>
      <c r="E571" s="11">
        <v>28.0</v>
      </c>
      <c r="F571" s="21" t="s">
        <v>1035</v>
      </c>
      <c r="G571" s="15">
        <v>0.03412987593606802</v>
      </c>
      <c r="H571" s="11" t="s">
        <v>45</v>
      </c>
      <c r="I571" s="16">
        <v>25.927999999999997</v>
      </c>
      <c r="J571" s="11" t="s">
        <v>1036</v>
      </c>
      <c r="K571" s="11" t="s">
        <v>65</v>
      </c>
      <c r="L571" s="11" t="s">
        <v>36</v>
      </c>
      <c r="M571" s="11" t="s">
        <v>49</v>
      </c>
      <c r="N571" s="11" t="s">
        <v>50</v>
      </c>
      <c r="O571" s="11" t="s">
        <v>1037</v>
      </c>
      <c r="P571" s="11" t="s">
        <v>52</v>
      </c>
      <c r="Q571" s="20">
        <v>39907.0</v>
      </c>
      <c r="R571" s="17">
        <f t="shared" si="2"/>
        <v>58.98762022</v>
      </c>
      <c r="S571" s="9"/>
      <c r="T571" s="9"/>
      <c r="U571" s="9"/>
      <c r="V571" s="9"/>
      <c r="W571" s="9"/>
      <c r="X571" s="9"/>
      <c r="Y571" s="9"/>
      <c r="Z571" s="9"/>
      <c r="AA571" s="9"/>
      <c r="AB571" s="9" t="str">
        <f>IFERROR(__xludf.DUMMYFUNCTION("""COMPUTED_VALUE"""),"Steven Roelle")</f>
        <v>Steven Roelle</v>
      </c>
      <c r="AC571" s="9"/>
      <c r="AD571" s="9"/>
      <c r="AE571" s="9">
        <f t="shared" si="8"/>
        <v>2</v>
      </c>
      <c r="AF571" s="19">
        <f t="shared" si="13"/>
        <v>5</v>
      </c>
      <c r="AG571" s="9"/>
      <c r="AH571" s="9"/>
      <c r="AI571" s="9"/>
    </row>
    <row r="572" ht="15.0" customHeight="1">
      <c r="A572" s="11">
        <v>571.0</v>
      </c>
      <c r="B572" s="12">
        <f t="shared" si="99"/>
        <v>39905</v>
      </c>
      <c r="C572" s="13">
        <v>2009.0</v>
      </c>
      <c r="D572" s="11" t="s">
        <v>102</v>
      </c>
      <c r="E572" s="11">
        <v>17.0</v>
      </c>
      <c r="F572" s="21" t="s">
        <v>1038</v>
      </c>
      <c r="G572" s="15">
        <v>0.09319720279720291</v>
      </c>
      <c r="H572" s="11" t="s">
        <v>24</v>
      </c>
      <c r="I572" s="16">
        <v>4.064</v>
      </c>
      <c r="J572" s="11" t="s">
        <v>1039</v>
      </c>
      <c r="K572" s="11" t="s">
        <v>35</v>
      </c>
      <c r="L572" s="11" t="s">
        <v>48</v>
      </c>
      <c r="M572" s="11" t="s">
        <v>28</v>
      </c>
      <c r="N572" s="11" t="s">
        <v>56</v>
      </c>
      <c r="O572" s="11" t="s">
        <v>1040</v>
      </c>
      <c r="P572" s="11" t="s">
        <v>58</v>
      </c>
      <c r="Q572" s="20">
        <v>39907.0</v>
      </c>
      <c r="R572" s="17">
        <f t="shared" si="2"/>
        <v>60.42571119</v>
      </c>
      <c r="S572" s="9"/>
      <c r="T572" s="9"/>
      <c r="U572" s="9"/>
      <c r="V572" s="9"/>
      <c r="W572" s="9"/>
      <c r="X572" s="9"/>
      <c r="Y572" s="9"/>
      <c r="Z572" s="9"/>
      <c r="AA572" s="9"/>
      <c r="AB572" s="9" t="str">
        <f>IFERROR(__xludf.DUMMYFUNCTION("""COMPUTED_VALUE"""),"Magdelene Morse")</f>
        <v>Magdelene Morse</v>
      </c>
      <c r="AC572" s="9"/>
      <c r="AD572" s="9"/>
      <c r="AE572" s="9">
        <f t="shared" si="8"/>
        <v>4</v>
      </c>
      <c r="AF572" s="19">
        <f t="shared" si="13"/>
        <v>2</v>
      </c>
      <c r="AG572" s="9"/>
      <c r="AH572" s="9"/>
      <c r="AI572" s="9"/>
    </row>
    <row r="573" ht="15.0" customHeight="1">
      <c r="A573" s="11">
        <v>572.0</v>
      </c>
      <c r="B573" s="12">
        <f t="shared" si="99"/>
        <v>39905</v>
      </c>
      <c r="C573" s="13">
        <v>2009.0</v>
      </c>
      <c r="D573" s="11" t="s">
        <v>39</v>
      </c>
      <c r="E573" s="11">
        <v>40.0</v>
      </c>
      <c r="F573" s="21" t="s">
        <v>400</v>
      </c>
      <c r="G573" s="15">
        <v>0.07504024763792015</v>
      </c>
      <c r="H573" s="11" t="s">
        <v>45</v>
      </c>
      <c r="I573" s="16">
        <v>47.136</v>
      </c>
      <c r="J573" s="11" t="s">
        <v>1010</v>
      </c>
      <c r="K573" s="11" t="s">
        <v>35</v>
      </c>
      <c r="L573" s="11" t="s">
        <v>48</v>
      </c>
      <c r="M573" s="11" t="s">
        <v>49</v>
      </c>
      <c r="N573" s="11" t="s">
        <v>50</v>
      </c>
      <c r="O573" s="11" t="s">
        <v>123</v>
      </c>
      <c r="P573" s="11" t="s">
        <v>52</v>
      </c>
      <c r="Q573" s="20">
        <v>39907.0</v>
      </c>
      <c r="R573" s="17">
        <f t="shared" si="2"/>
        <v>1071.810062</v>
      </c>
      <c r="S573" s="9"/>
      <c r="T573" s="9"/>
      <c r="U573" s="9"/>
      <c r="V573" s="9"/>
      <c r="W573" s="9"/>
      <c r="X573" s="9"/>
      <c r="Y573" s="9"/>
      <c r="Z573" s="9"/>
      <c r="AA573" s="9"/>
      <c r="AB573" s="9" t="str">
        <f>IFERROR(__xludf.DUMMYFUNCTION("""COMPUTED_VALUE"""),"Alan Haines")</f>
        <v>Alan Haines</v>
      </c>
      <c r="AC573" s="9"/>
      <c r="AD573" s="9"/>
      <c r="AE573" s="9">
        <f t="shared" si="8"/>
        <v>4</v>
      </c>
      <c r="AF573" s="19">
        <f t="shared" si="13"/>
        <v>2</v>
      </c>
      <c r="AG573" s="9"/>
      <c r="AH573" s="9"/>
      <c r="AI573" s="9"/>
    </row>
    <row r="574" ht="15.0" customHeight="1">
      <c r="A574" s="11">
        <v>573.0</v>
      </c>
      <c r="B574" s="12">
        <f>DATE(2012,12,31)-1368</f>
        <v>39906</v>
      </c>
      <c r="C574" s="13">
        <v>2009.0</v>
      </c>
      <c r="D574" s="11" t="s">
        <v>32</v>
      </c>
      <c r="E574" s="11">
        <v>29.0</v>
      </c>
      <c r="F574" s="21" t="s">
        <v>683</v>
      </c>
      <c r="G574" s="15">
        <v>0.025821303059536903</v>
      </c>
      <c r="H574" s="11" t="s">
        <v>33</v>
      </c>
      <c r="I574" s="16">
        <v>8.672</v>
      </c>
      <c r="J574" s="11" t="s">
        <v>839</v>
      </c>
      <c r="K574" s="11" t="s">
        <v>83</v>
      </c>
      <c r="L574" s="11" t="s">
        <v>36</v>
      </c>
      <c r="M574" s="11" t="s">
        <v>49</v>
      </c>
      <c r="N574" s="11" t="s">
        <v>73</v>
      </c>
      <c r="O574" s="11" t="s">
        <v>684</v>
      </c>
      <c r="P574" s="11" t="s">
        <v>75</v>
      </c>
      <c r="Q574" s="20">
        <v>39907.0</v>
      </c>
      <c r="R574" s="17">
        <f t="shared" si="2"/>
        <v>46.72550702</v>
      </c>
      <c r="S574" s="9"/>
      <c r="T574" s="9"/>
      <c r="U574" s="9"/>
      <c r="V574" s="9"/>
      <c r="W574" s="9"/>
      <c r="X574" s="9"/>
      <c r="Y574" s="9"/>
      <c r="Z574" s="9"/>
      <c r="AA574" s="9"/>
      <c r="AB574" s="9" t="str">
        <f>IFERROR(__xludf.DUMMYFUNCTION("""COMPUTED_VALUE"""),"Dean Percer")</f>
        <v>Dean Percer</v>
      </c>
      <c r="AC574" s="9"/>
      <c r="AD574" s="9"/>
      <c r="AE574" s="9">
        <f t="shared" si="8"/>
        <v>2</v>
      </c>
      <c r="AF574" s="19" t="b">
        <f t="shared" si="13"/>
        <v>0</v>
      </c>
      <c r="AG574" s="9"/>
      <c r="AH574" s="9"/>
      <c r="AI574" s="9"/>
    </row>
    <row r="575" ht="15.0" customHeight="1">
      <c r="A575" s="11">
        <v>574.0</v>
      </c>
      <c r="B575" s="12">
        <f t="shared" ref="B575:B580" si="100">DATE(2012,12,31)-1367</f>
        <v>39907</v>
      </c>
      <c r="C575" s="13">
        <v>2009.0</v>
      </c>
      <c r="D575" s="11" t="s">
        <v>102</v>
      </c>
      <c r="E575" s="11">
        <v>47.0</v>
      </c>
      <c r="F575" s="21" t="s">
        <v>126</v>
      </c>
      <c r="G575" s="15">
        <v>0.011991434689507422</v>
      </c>
      <c r="H575" s="11" t="s">
        <v>33</v>
      </c>
      <c r="I575" s="16">
        <v>0.4</v>
      </c>
      <c r="J575" s="11" t="s">
        <v>60</v>
      </c>
      <c r="K575" s="11" t="s">
        <v>61</v>
      </c>
      <c r="L575" s="11" t="s">
        <v>27</v>
      </c>
      <c r="M575" s="11" t="s">
        <v>28</v>
      </c>
      <c r="N575" s="11" t="s">
        <v>188</v>
      </c>
      <c r="O575" s="11" t="s">
        <v>551</v>
      </c>
      <c r="P575" s="11" t="s">
        <v>38</v>
      </c>
      <c r="Q575" s="20">
        <v>39908.0</v>
      </c>
      <c r="R575" s="17">
        <f t="shared" si="2"/>
        <v>2.766423983</v>
      </c>
      <c r="S575" s="9"/>
      <c r="T575" s="9"/>
      <c r="U575" s="9"/>
      <c r="V575" s="9"/>
      <c r="W575" s="9"/>
      <c r="X575" s="9"/>
      <c r="Y575" s="9"/>
      <c r="Z575" s="9"/>
      <c r="AA575" s="9"/>
      <c r="AB575" s="9" t="str">
        <f>IFERROR(__xludf.DUMMYFUNCTION("""COMPUTED_VALUE"""),"Cathy Prescott")</f>
        <v>Cathy Prescott</v>
      </c>
      <c r="AC575" s="9"/>
      <c r="AD575" s="9"/>
      <c r="AE575" s="9">
        <f t="shared" si="8"/>
        <v>1</v>
      </c>
      <c r="AF575" s="19">
        <f t="shared" si="13"/>
        <v>4</v>
      </c>
      <c r="AG575" s="9"/>
      <c r="AH575" s="9"/>
      <c r="AI575" s="9"/>
    </row>
    <row r="576" ht="15.0" customHeight="1">
      <c r="A576" s="11">
        <v>575.0</v>
      </c>
      <c r="B576" s="12">
        <f t="shared" si="100"/>
        <v>39907</v>
      </c>
      <c r="C576" s="13">
        <v>2009.0</v>
      </c>
      <c r="D576" s="11" t="s">
        <v>102</v>
      </c>
      <c r="E576" s="11">
        <v>19.0</v>
      </c>
      <c r="F576" s="21" t="s">
        <v>856</v>
      </c>
      <c r="G576" s="15">
        <v>0.08503562945368166</v>
      </c>
      <c r="H576" s="11" t="s">
        <v>24</v>
      </c>
      <c r="I576" s="16">
        <v>1.04</v>
      </c>
      <c r="J576" s="11" t="s">
        <v>60</v>
      </c>
      <c r="K576" s="11" t="s">
        <v>61</v>
      </c>
      <c r="L576" s="11" t="s">
        <v>27</v>
      </c>
      <c r="M576" s="11" t="s">
        <v>28</v>
      </c>
      <c r="N576" s="11" t="s">
        <v>56</v>
      </c>
      <c r="O576" s="11" t="s">
        <v>858</v>
      </c>
      <c r="P576" s="11" t="s">
        <v>58</v>
      </c>
      <c r="Q576" s="20">
        <v>39908.0</v>
      </c>
      <c r="R576" s="17">
        <f t="shared" si="2"/>
        <v>6.551144893</v>
      </c>
      <c r="S576" s="9"/>
      <c r="T576" s="9"/>
      <c r="U576" s="9"/>
      <c r="V576" s="9"/>
      <c r="W576" s="9"/>
      <c r="X576" s="9"/>
      <c r="Y576" s="9"/>
      <c r="Z576" s="9"/>
      <c r="AA576" s="9"/>
      <c r="AB576" s="9" t="str">
        <f>IFERROR(__xludf.DUMMYFUNCTION("""COMPUTED_VALUE"""),"Bruce Stewart")</f>
        <v>Bruce Stewart</v>
      </c>
      <c r="AC576" s="9"/>
      <c r="AD576" s="9"/>
      <c r="AE576" s="9">
        <f t="shared" si="8"/>
        <v>1</v>
      </c>
      <c r="AF576" s="19">
        <f t="shared" si="13"/>
        <v>4</v>
      </c>
      <c r="AG576" s="9"/>
      <c r="AH576" s="9"/>
      <c r="AI576" s="9"/>
    </row>
    <row r="577" ht="15.0" customHeight="1">
      <c r="A577" s="11">
        <v>576.0</v>
      </c>
      <c r="B577" s="12">
        <f t="shared" si="100"/>
        <v>39907</v>
      </c>
      <c r="C577" s="13">
        <v>2009.0</v>
      </c>
      <c r="D577" s="11" t="s">
        <v>32</v>
      </c>
      <c r="E577" s="11">
        <v>8.0</v>
      </c>
      <c r="F577" s="21" t="s">
        <v>629</v>
      </c>
      <c r="G577" s="15">
        <v>0.04102127659574462</v>
      </c>
      <c r="H577" s="11" t="s">
        <v>33</v>
      </c>
      <c r="I577" s="16">
        <v>9.208</v>
      </c>
      <c r="J577" s="11" t="s">
        <v>665</v>
      </c>
      <c r="K577" s="11" t="s">
        <v>65</v>
      </c>
      <c r="L577" s="11" t="s">
        <v>36</v>
      </c>
      <c r="M577" s="11" t="s">
        <v>28</v>
      </c>
      <c r="N577" s="11" t="s">
        <v>42</v>
      </c>
      <c r="O577" s="11" t="s">
        <v>1041</v>
      </c>
      <c r="P577" s="11" t="s">
        <v>38</v>
      </c>
      <c r="Q577" s="20">
        <v>39909.0</v>
      </c>
      <c r="R577" s="17">
        <f t="shared" si="2"/>
        <v>2.773366468</v>
      </c>
      <c r="S577" s="9"/>
      <c r="T577" s="9"/>
      <c r="U577" s="9"/>
      <c r="V577" s="9"/>
      <c r="W577" s="9"/>
      <c r="X577" s="9"/>
      <c r="Y577" s="9"/>
      <c r="Z577" s="9"/>
      <c r="AA577" s="9"/>
      <c r="AB577" s="9" t="str">
        <f>IFERROR(__xludf.DUMMYFUNCTION("""COMPUTED_VALUE"""),"Patrick Bzostek")</f>
        <v>Patrick Bzostek</v>
      </c>
      <c r="AC577" s="9"/>
      <c r="AD577" s="9"/>
      <c r="AE577" s="9">
        <f t="shared" si="8"/>
        <v>2</v>
      </c>
      <c r="AF577" s="19">
        <f t="shared" si="13"/>
        <v>5</v>
      </c>
      <c r="AG577" s="9"/>
      <c r="AH577" s="9"/>
      <c r="AI577" s="9"/>
    </row>
    <row r="578" ht="15.0" customHeight="1">
      <c r="A578" s="11">
        <v>577.0</v>
      </c>
      <c r="B578" s="12">
        <f t="shared" si="100"/>
        <v>39907</v>
      </c>
      <c r="C578" s="13">
        <v>2009.0</v>
      </c>
      <c r="D578" s="11" t="s">
        <v>39</v>
      </c>
      <c r="E578" s="11">
        <v>49.0</v>
      </c>
      <c r="F578" s="21" t="s">
        <v>158</v>
      </c>
      <c r="G578" s="15">
        <v>0.07230188679245271</v>
      </c>
      <c r="H578" s="11" t="s">
        <v>33</v>
      </c>
      <c r="I578" s="16">
        <v>5.992000000000001</v>
      </c>
      <c r="J578" s="11" t="s">
        <v>936</v>
      </c>
      <c r="K578" s="11" t="s">
        <v>61</v>
      </c>
      <c r="L578" s="11" t="s">
        <v>27</v>
      </c>
      <c r="M578" s="11" t="s">
        <v>28</v>
      </c>
      <c r="N578" s="11" t="s">
        <v>56</v>
      </c>
      <c r="O578" s="11" t="s">
        <v>1042</v>
      </c>
      <c r="P578" s="11" t="s">
        <v>38</v>
      </c>
      <c r="Q578" s="20">
        <v>39909.0</v>
      </c>
      <c r="R578" s="17">
        <f t="shared" si="2"/>
        <v>23.1071046</v>
      </c>
      <c r="S578" s="9"/>
      <c r="T578" s="9"/>
      <c r="U578" s="9"/>
      <c r="V578" s="9"/>
      <c r="W578" s="9"/>
      <c r="X578" s="9"/>
      <c r="Y578" s="9"/>
      <c r="Z578" s="9"/>
      <c r="AA578" s="9"/>
      <c r="AB578" s="9" t="str">
        <f>IFERROR(__xludf.DUMMYFUNCTION("""COMPUTED_VALUE"""),"Trudy Brown")</f>
        <v>Trudy Brown</v>
      </c>
      <c r="AC578" s="9"/>
      <c r="AD578" s="9"/>
      <c r="AE578" s="9">
        <f t="shared" si="8"/>
        <v>1</v>
      </c>
      <c r="AF578" s="19">
        <f t="shared" si="13"/>
        <v>4</v>
      </c>
      <c r="AG578" s="9"/>
      <c r="AH578" s="9"/>
      <c r="AI578" s="9"/>
    </row>
    <row r="579" ht="15.0" customHeight="1">
      <c r="A579" s="11">
        <v>578.0</v>
      </c>
      <c r="B579" s="12">
        <f t="shared" si="100"/>
        <v>39907</v>
      </c>
      <c r="C579" s="13">
        <v>2009.0</v>
      </c>
      <c r="D579" s="11" t="s">
        <v>32</v>
      </c>
      <c r="E579" s="11">
        <v>33.0</v>
      </c>
      <c r="F579" s="21" t="s">
        <v>1043</v>
      </c>
      <c r="G579" s="15">
        <v>0.011856514788169337</v>
      </c>
      <c r="H579" s="11" t="s">
        <v>33</v>
      </c>
      <c r="I579" s="16">
        <v>7.768000000000001</v>
      </c>
      <c r="J579" s="11" t="s">
        <v>520</v>
      </c>
      <c r="K579" s="11" t="s">
        <v>35</v>
      </c>
      <c r="L579" s="11" t="s">
        <v>48</v>
      </c>
      <c r="M579" s="11" t="s">
        <v>28</v>
      </c>
      <c r="N579" s="11" t="s">
        <v>29</v>
      </c>
      <c r="O579" s="11" t="s">
        <v>1044</v>
      </c>
      <c r="P579" s="11" t="s">
        <v>38</v>
      </c>
      <c r="Q579" s="20">
        <v>39909.0</v>
      </c>
      <c r="R579" s="17">
        <f t="shared" si="2"/>
        <v>23.45062119</v>
      </c>
      <c r="S579" s="9"/>
      <c r="T579" s="9"/>
      <c r="U579" s="9"/>
      <c r="V579" s="9"/>
      <c r="W579" s="9"/>
      <c r="X579" s="9"/>
      <c r="Y579" s="9"/>
      <c r="Z579" s="9"/>
      <c r="AA579" s="9"/>
      <c r="AB579" s="9" t="str">
        <f>IFERROR(__xludf.DUMMYFUNCTION("""COMPUTED_VALUE"""),"Clay Cheatham")</f>
        <v>Clay Cheatham</v>
      </c>
      <c r="AC579" s="9"/>
      <c r="AD579" s="9"/>
      <c r="AE579" s="9">
        <f t="shared" si="8"/>
        <v>4</v>
      </c>
      <c r="AF579" s="19">
        <f t="shared" si="13"/>
        <v>2</v>
      </c>
      <c r="AG579" s="9"/>
      <c r="AH579" s="9"/>
      <c r="AI579" s="9"/>
    </row>
    <row r="580" ht="15.0" customHeight="1">
      <c r="A580" s="11">
        <v>579.0</v>
      </c>
      <c r="B580" s="12">
        <f t="shared" si="100"/>
        <v>39907</v>
      </c>
      <c r="C580" s="13">
        <v>2009.0</v>
      </c>
      <c r="D580" s="11" t="s">
        <v>44</v>
      </c>
      <c r="E580" s="11">
        <v>46.0</v>
      </c>
      <c r="F580" s="21" t="s">
        <v>142</v>
      </c>
      <c r="G580" s="15">
        <v>0.025977210987021007</v>
      </c>
      <c r="H580" s="11" t="s">
        <v>33</v>
      </c>
      <c r="I580" s="16">
        <v>0.792</v>
      </c>
      <c r="J580" s="11" t="s">
        <v>1045</v>
      </c>
      <c r="K580" s="11" t="s">
        <v>35</v>
      </c>
      <c r="L580" s="11" t="s">
        <v>36</v>
      </c>
      <c r="M580" s="11" t="s">
        <v>66</v>
      </c>
      <c r="N580" s="11" t="s">
        <v>80</v>
      </c>
      <c r="O580" s="11" t="s">
        <v>1046</v>
      </c>
      <c r="P580" s="11" t="s">
        <v>99</v>
      </c>
      <c r="Q580" s="20">
        <v>39909.0</v>
      </c>
      <c r="R580" s="17">
        <f t="shared" si="2"/>
        <v>42.91934018</v>
      </c>
      <c r="S580" s="9"/>
      <c r="T580" s="9"/>
      <c r="U580" s="9"/>
      <c r="V580" s="9"/>
      <c r="W580" s="9"/>
      <c r="X580" s="9"/>
      <c r="Y580" s="9"/>
      <c r="Z580" s="9"/>
      <c r="AA580" s="9"/>
      <c r="AB580" s="9" t="str">
        <f>IFERROR(__xludf.DUMMYFUNCTION("""COMPUTED_VALUE"""),"Craig Molinari")</f>
        <v>Craig Molinari</v>
      </c>
      <c r="AC580" s="9"/>
      <c r="AD580" s="9"/>
      <c r="AE580" s="9">
        <f t="shared" si="8"/>
        <v>2</v>
      </c>
      <c r="AF580" s="19">
        <f t="shared" si="13"/>
        <v>2</v>
      </c>
      <c r="AG580" s="9"/>
      <c r="AH580" s="9"/>
      <c r="AI580" s="9"/>
    </row>
    <row r="581" ht="15.0" customHeight="1">
      <c r="A581" s="11">
        <v>580.0</v>
      </c>
      <c r="B581" s="12">
        <f t="shared" ref="B581:B584" si="101">DATE(2012,12,31)-1366</f>
        <v>39908</v>
      </c>
      <c r="C581" s="13">
        <v>2009.0</v>
      </c>
      <c r="D581" s="11" t="s">
        <v>23</v>
      </c>
      <c r="E581" s="11">
        <v>45.0</v>
      </c>
      <c r="F581" s="21" t="s">
        <v>1047</v>
      </c>
      <c r="G581" s="15">
        <v>0.09366292134831457</v>
      </c>
      <c r="H581" s="11" t="s">
        <v>33</v>
      </c>
      <c r="I581" s="16">
        <v>11.112000000000002</v>
      </c>
      <c r="J581" s="11" t="s">
        <v>1048</v>
      </c>
      <c r="K581" s="11" t="s">
        <v>65</v>
      </c>
      <c r="L581" s="11" t="s">
        <v>48</v>
      </c>
      <c r="M581" s="11" t="s">
        <v>28</v>
      </c>
      <c r="N581" s="11" t="s">
        <v>62</v>
      </c>
      <c r="O581" s="11" t="s">
        <v>1049</v>
      </c>
      <c r="P581" s="11" t="s">
        <v>58</v>
      </c>
      <c r="Q581" s="20">
        <v>39909.0</v>
      </c>
      <c r="R581" s="17">
        <f t="shared" si="2"/>
        <v>154.8821307</v>
      </c>
      <c r="S581" s="9"/>
      <c r="T581" s="9"/>
      <c r="U581" s="9"/>
      <c r="V581" s="9"/>
      <c r="W581" s="9"/>
      <c r="X581" s="9"/>
      <c r="Y581" s="9"/>
      <c r="Z581" s="9"/>
      <c r="AA581" s="9"/>
      <c r="AB581" s="9" t="str">
        <f>IFERROR(__xludf.DUMMYFUNCTION("""COMPUTED_VALUE"""),"Gary Hwang")</f>
        <v>Gary Hwang</v>
      </c>
      <c r="AC581" s="9"/>
      <c r="AD581" s="9"/>
      <c r="AE581" s="9">
        <f t="shared" si="8"/>
        <v>4</v>
      </c>
      <c r="AF581" s="19">
        <f t="shared" si="13"/>
        <v>5</v>
      </c>
      <c r="AG581" s="9"/>
      <c r="AH581" s="9"/>
      <c r="AI581" s="9"/>
    </row>
    <row r="582" ht="15.0" customHeight="1">
      <c r="A582" s="11">
        <v>581.0</v>
      </c>
      <c r="B582" s="12">
        <f t="shared" si="101"/>
        <v>39908</v>
      </c>
      <c r="C582" s="13">
        <v>2009.0</v>
      </c>
      <c r="D582" s="11" t="s">
        <v>32</v>
      </c>
      <c r="E582" s="11">
        <v>26.0</v>
      </c>
      <c r="F582" s="21" t="s">
        <v>1050</v>
      </c>
      <c r="G582" s="15">
        <v>0.09856838257691122</v>
      </c>
      <c r="H582" s="11" t="s">
        <v>33</v>
      </c>
      <c r="I582" s="16">
        <v>12.08</v>
      </c>
      <c r="J582" s="11" t="s">
        <v>1051</v>
      </c>
      <c r="K582" s="11" t="s">
        <v>35</v>
      </c>
      <c r="L582" s="11" t="s">
        <v>27</v>
      </c>
      <c r="M582" s="11" t="s">
        <v>28</v>
      </c>
      <c r="N582" s="11" t="s">
        <v>42</v>
      </c>
      <c r="O582" s="11" t="s">
        <v>1052</v>
      </c>
      <c r="P582" s="11" t="s">
        <v>38</v>
      </c>
      <c r="Q582" s="20">
        <v>39909.0</v>
      </c>
      <c r="R582" s="17">
        <f t="shared" si="2"/>
        <v>58.34065428</v>
      </c>
      <c r="S582" s="9"/>
      <c r="T582" s="9"/>
      <c r="U582" s="9"/>
      <c r="V582" s="9"/>
      <c r="W582" s="9"/>
      <c r="X582" s="9"/>
      <c r="Y582" s="9"/>
      <c r="Z582" s="9"/>
      <c r="AA582" s="9"/>
      <c r="AB582" s="9" t="str">
        <f>IFERROR(__xludf.DUMMYFUNCTION("""COMPUTED_VALUE"""),"Rachel Payne")</f>
        <v>Rachel Payne</v>
      </c>
      <c r="AC582" s="9"/>
      <c r="AD582" s="9"/>
      <c r="AE582" s="9">
        <f t="shared" si="8"/>
        <v>1</v>
      </c>
      <c r="AF582" s="19">
        <f t="shared" si="13"/>
        <v>2</v>
      </c>
      <c r="AG582" s="9"/>
      <c r="AH582" s="9"/>
      <c r="AI582" s="9"/>
    </row>
    <row r="583" ht="15.0" customHeight="1">
      <c r="A583" s="11">
        <v>582.0</v>
      </c>
      <c r="B583" s="12">
        <f t="shared" si="101"/>
        <v>39908</v>
      </c>
      <c r="C583" s="13">
        <v>2009.0</v>
      </c>
      <c r="D583" s="11" t="s">
        <v>32</v>
      </c>
      <c r="E583" s="11">
        <v>18.0</v>
      </c>
      <c r="F583" s="21" t="s">
        <v>506</v>
      </c>
      <c r="G583" s="15">
        <v>0.05341317365269458</v>
      </c>
      <c r="H583" s="11" t="s">
        <v>33</v>
      </c>
      <c r="I583" s="16">
        <v>2.2640000000000002</v>
      </c>
      <c r="J583" s="11" t="s">
        <v>1051</v>
      </c>
      <c r="K583" s="11" t="s">
        <v>35</v>
      </c>
      <c r="L583" s="11" t="s">
        <v>27</v>
      </c>
      <c r="M583" s="11" t="s">
        <v>49</v>
      </c>
      <c r="N583" s="11" t="s">
        <v>73</v>
      </c>
      <c r="O583" s="11" t="s">
        <v>1053</v>
      </c>
      <c r="P583" s="11" t="s">
        <v>99</v>
      </c>
      <c r="Q583" s="20">
        <v>39909.0</v>
      </c>
      <c r="R583" s="17">
        <f t="shared" si="2"/>
        <v>6.754843593</v>
      </c>
      <c r="S583" s="9"/>
      <c r="T583" s="9"/>
      <c r="U583" s="9"/>
      <c r="V583" s="9"/>
      <c r="W583" s="9"/>
      <c r="X583" s="9"/>
      <c r="Y583" s="9"/>
      <c r="Z583" s="9"/>
      <c r="AA583" s="9"/>
      <c r="AB583" s="9" t="str">
        <f>IFERROR(__xludf.DUMMYFUNCTION("""COMPUTED_VALUE"""),"Bill Stewart")</f>
        <v>Bill Stewart</v>
      </c>
      <c r="AC583" s="9"/>
      <c r="AD583" s="9"/>
      <c r="AE583" s="9">
        <f t="shared" si="8"/>
        <v>1</v>
      </c>
      <c r="AF583" s="19">
        <f t="shared" si="13"/>
        <v>2</v>
      </c>
      <c r="AG583" s="9"/>
      <c r="AH583" s="9"/>
      <c r="AI583" s="9"/>
    </row>
    <row r="584" ht="15.0" customHeight="1">
      <c r="A584" s="11">
        <v>583.0</v>
      </c>
      <c r="B584" s="12">
        <f t="shared" si="101"/>
        <v>39908</v>
      </c>
      <c r="C584" s="13">
        <v>2009.0</v>
      </c>
      <c r="D584" s="11" t="s">
        <v>32</v>
      </c>
      <c r="E584" s="11">
        <v>15.0</v>
      </c>
      <c r="F584" s="21" t="s">
        <v>869</v>
      </c>
      <c r="G584" s="15">
        <v>0.04870360805725672</v>
      </c>
      <c r="H584" s="11" t="s">
        <v>33</v>
      </c>
      <c r="I584" s="16">
        <v>0.792</v>
      </c>
      <c r="J584" s="11" t="s">
        <v>1054</v>
      </c>
      <c r="K584" s="11" t="s">
        <v>61</v>
      </c>
      <c r="L584" s="11" t="s">
        <v>41</v>
      </c>
      <c r="M584" s="11" t="s">
        <v>66</v>
      </c>
      <c r="N584" s="11" t="s">
        <v>80</v>
      </c>
      <c r="O584" s="11" t="s">
        <v>1055</v>
      </c>
      <c r="P584" s="11" t="s">
        <v>58</v>
      </c>
      <c r="Q584" s="20">
        <v>39909.0</v>
      </c>
      <c r="R584" s="17">
        <f t="shared" si="2"/>
        <v>62.79317224</v>
      </c>
      <c r="S584" s="9"/>
      <c r="T584" s="9"/>
      <c r="U584" s="9"/>
      <c r="V584" s="9"/>
      <c r="W584" s="9"/>
      <c r="X584" s="9"/>
      <c r="Y584" s="9"/>
      <c r="Z584" s="9"/>
      <c r="AA584" s="9"/>
      <c r="AB584" s="9" t="str">
        <f>IFERROR(__xludf.DUMMYFUNCTION("""COMPUTED_VALUE"""),"Alex Avila")</f>
        <v>Alex Avila</v>
      </c>
      <c r="AC584" s="9"/>
      <c r="AD584" s="9"/>
      <c r="AE584" s="9">
        <f t="shared" si="8"/>
        <v>3</v>
      </c>
      <c r="AF584" s="19">
        <f t="shared" si="13"/>
        <v>4</v>
      </c>
      <c r="AG584" s="9"/>
      <c r="AH584" s="9"/>
      <c r="AI584" s="9"/>
    </row>
    <row r="585" ht="15.0" customHeight="1">
      <c r="A585" s="11">
        <v>584.0</v>
      </c>
      <c r="B585" s="12">
        <f t="shared" ref="B585:B598" si="102">DATE(2012,12,31)-1365</f>
        <v>39909</v>
      </c>
      <c r="C585" s="13">
        <v>2009.0</v>
      </c>
      <c r="D585" s="11" t="s">
        <v>44</v>
      </c>
      <c r="E585" s="11">
        <v>27.0</v>
      </c>
      <c r="F585" s="21" t="s">
        <v>344</v>
      </c>
      <c r="G585" s="15">
        <v>0.014796879203658865</v>
      </c>
      <c r="H585" s="11" t="s">
        <v>24</v>
      </c>
      <c r="I585" s="16">
        <v>4.4</v>
      </c>
      <c r="J585" s="11" t="s">
        <v>1056</v>
      </c>
      <c r="K585" s="11" t="s">
        <v>65</v>
      </c>
      <c r="L585" s="11" t="s">
        <v>48</v>
      </c>
      <c r="M585" s="11" t="s">
        <v>28</v>
      </c>
      <c r="N585" s="11" t="s">
        <v>29</v>
      </c>
      <c r="O585" s="11" t="s">
        <v>346</v>
      </c>
      <c r="P585" s="11" t="s">
        <v>38</v>
      </c>
      <c r="Q585" s="20">
        <v>39910.0</v>
      </c>
      <c r="R585" s="17">
        <f t="shared" si="2"/>
        <v>5.418617164</v>
      </c>
      <c r="S585" s="9"/>
      <c r="T585" s="9"/>
      <c r="U585" s="9"/>
      <c r="V585" s="9"/>
      <c r="W585" s="9"/>
      <c r="X585" s="9"/>
      <c r="Y585" s="9"/>
      <c r="Z585" s="9"/>
      <c r="AA585" s="9"/>
      <c r="AB585" s="9" t="str">
        <f>IFERROR(__xludf.DUMMYFUNCTION("""COMPUTED_VALUE"""),"Pierre Wener")</f>
        <v>Pierre Wener</v>
      </c>
      <c r="AC585" s="9"/>
      <c r="AD585" s="9"/>
      <c r="AE585" s="9">
        <f t="shared" si="8"/>
        <v>4</v>
      </c>
      <c r="AF585" s="19">
        <f t="shared" si="13"/>
        <v>5</v>
      </c>
      <c r="AG585" s="9"/>
      <c r="AH585" s="9"/>
      <c r="AI585" s="9"/>
    </row>
    <row r="586" ht="15.0" customHeight="1">
      <c r="A586" s="11">
        <v>585.0</v>
      </c>
      <c r="B586" s="12">
        <f t="shared" si="102"/>
        <v>39909</v>
      </c>
      <c r="C586" s="13">
        <v>2009.0</v>
      </c>
      <c r="D586" s="11" t="s">
        <v>32</v>
      </c>
      <c r="E586" s="11">
        <v>50.0</v>
      </c>
      <c r="F586" s="21" t="s">
        <v>1057</v>
      </c>
      <c r="G586" s="15">
        <v>0.08944405149243168</v>
      </c>
      <c r="H586" s="11" t="s">
        <v>33</v>
      </c>
      <c r="I586" s="16">
        <v>3.672</v>
      </c>
      <c r="J586" s="11" t="s">
        <v>1058</v>
      </c>
      <c r="K586" s="11" t="s">
        <v>61</v>
      </c>
      <c r="L586" s="11" t="s">
        <v>41</v>
      </c>
      <c r="M586" s="11" t="s">
        <v>28</v>
      </c>
      <c r="N586" s="11" t="s">
        <v>442</v>
      </c>
      <c r="O586" s="11" t="s">
        <v>1059</v>
      </c>
      <c r="P586" s="11" t="s">
        <v>58</v>
      </c>
      <c r="Q586" s="20">
        <v>39910.0</v>
      </c>
      <c r="R586" s="17">
        <f t="shared" si="2"/>
        <v>57.57263151</v>
      </c>
      <c r="S586" s="9"/>
      <c r="T586" s="9"/>
      <c r="U586" s="9"/>
      <c r="V586" s="9"/>
      <c r="W586" s="9"/>
      <c r="X586" s="9"/>
      <c r="Y586" s="9"/>
      <c r="Z586" s="9"/>
      <c r="AA586" s="9"/>
      <c r="AB586" s="9" t="str">
        <f>IFERROR(__xludf.DUMMYFUNCTION("""COMPUTED_VALUE"""),"Art Miller")</f>
        <v>Art Miller</v>
      </c>
      <c r="AC586" s="9"/>
      <c r="AD586" s="9"/>
      <c r="AE586" s="9">
        <f t="shared" si="8"/>
        <v>3</v>
      </c>
      <c r="AF586" s="19">
        <f t="shared" si="13"/>
        <v>4</v>
      </c>
      <c r="AG586" s="9"/>
      <c r="AH586" s="9"/>
      <c r="AI586" s="9"/>
    </row>
    <row r="587" ht="15.0" customHeight="1">
      <c r="A587" s="11">
        <v>586.0</v>
      </c>
      <c r="B587" s="12">
        <f t="shared" si="102"/>
        <v>39909</v>
      </c>
      <c r="C587" s="13">
        <v>2009.0</v>
      </c>
      <c r="D587" s="11" t="s">
        <v>32</v>
      </c>
      <c r="E587" s="11">
        <v>14.0</v>
      </c>
      <c r="F587" s="21" t="s">
        <v>782</v>
      </c>
      <c r="G587" s="15">
        <v>0.022979752190994213</v>
      </c>
      <c r="H587" s="11" t="s">
        <v>24</v>
      </c>
      <c r="I587" s="16">
        <v>3.9920000000000004</v>
      </c>
      <c r="J587" s="11" t="s">
        <v>1058</v>
      </c>
      <c r="K587" s="11" t="s">
        <v>61</v>
      </c>
      <c r="L587" s="11" t="s">
        <v>41</v>
      </c>
      <c r="M587" s="11" t="s">
        <v>66</v>
      </c>
      <c r="N587" s="11" t="s">
        <v>80</v>
      </c>
      <c r="O587" s="11" t="s">
        <v>1060</v>
      </c>
      <c r="P587" s="11" t="s">
        <v>38</v>
      </c>
      <c r="Q587" s="20">
        <v>39910.0</v>
      </c>
      <c r="R587" s="17">
        <f t="shared" si="2"/>
        <v>14.85852393</v>
      </c>
      <c r="S587" s="9"/>
      <c r="T587" s="9"/>
      <c r="U587" s="9"/>
      <c r="V587" s="9"/>
      <c r="W587" s="9"/>
      <c r="X587" s="9"/>
      <c r="Y587" s="9"/>
      <c r="Z587" s="9"/>
      <c r="AA587" s="9"/>
      <c r="AB587" s="9" t="str">
        <f>IFERROR(__xludf.DUMMYFUNCTION("""COMPUTED_VALUE"""),"Doug O'Connell")</f>
        <v>Doug O'Connell</v>
      </c>
      <c r="AC587" s="9"/>
      <c r="AD587" s="9"/>
      <c r="AE587" s="9">
        <f t="shared" si="8"/>
        <v>3</v>
      </c>
      <c r="AF587" s="19">
        <f t="shared" si="13"/>
        <v>4</v>
      </c>
      <c r="AG587" s="9"/>
      <c r="AH587" s="9"/>
      <c r="AI587" s="9"/>
    </row>
    <row r="588" ht="15.0" customHeight="1">
      <c r="A588" s="11">
        <v>587.0</v>
      </c>
      <c r="B588" s="12">
        <f t="shared" si="102"/>
        <v>39909</v>
      </c>
      <c r="C588" s="13">
        <v>2009.0</v>
      </c>
      <c r="D588" s="11" t="s">
        <v>39</v>
      </c>
      <c r="E588" s="11">
        <v>29.0</v>
      </c>
      <c r="F588" s="21" t="s">
        <v>144</v>
      </c>
      <c r="G588" s="15">
        <v>0.06760902255639091</v>
      </c>
      <c r="H588" s="11" t="s">
        <v>33</v>
      </c>
      <c r="I588" s="16">
        <v>1.1039999999999999</v>
      </c>
      <c r="J588" s="11" t="s">
        <v>1061</v>
      </c>
      <c r="K588" s="11" t="s">
        <v>26</v>
      </c>
      <c r="L588" s="11" t="s">
        <v>36</v>
      </c>
      <c r="M588" s="11" t="s">
        <v>28</v>
      </c>
      <c r="N588" s="11" t="s">
        <v>216</v>
      </c>
      <c r="O588" s="11" t="s">
        <v>1062</v>
      </c>
      <c r="P588" s="11" t="s">
        <v>58</v>
      </c>
      <c r="Q588" s="20">
        <v>39910.0</v>
      </c>
      <c r="R588" s="17">
        <f t="shared" si="2"/>
        <v>4.192029835</v>
      </c>
      <c r="S588" s="9"/>
      <c r="T588" s="9"/>
      <c r="U588" s="9"/>
      <c r="V588" s="9"/>
      <c r="W588" s="9"/>
      <c r="X588" s="9"/>
      <c r="Y588" s="9"/>
      <c r="Z588" s="9"/>
      <c r="AA588" s="9"/>
      <c r="AB588" s="9" t="str">
        <f>IFERROR(__xludf.DUMMYFUNCTION("""COMPUTED_VALUE"""),"Larry Hughes")</f>
        <v>Larry Hughes</v>
      </c>
      <c r="AC588" s="9"/>
      <c r="AD588" s="9"/>
      <c r="AE588" s="9">
        <f t="shared" si="8"/>
        <v>2</v>
      </c>
      <c r="AF588" s="19">
        <f t="shared" si="13"/>
        <v>1</v>
      </c>
      <c r="AG588" s="9"/>
      <c r="AH588" s="9"/>
      <c r="AI588" s="9"/>
    </row>
    <row r="589" ht="15.0" customHeight="1">
      <c r="A589" s="11">
        <v>588.0</v>
      </c>
      <c r="B589" s="12">
        <f t="shared" si="102"/>
        <v>39909</v>
      </c>
      <c r="C589" s="13">
        <v>2009.0</v>
      </c>
      <c r="D589" s="11" t="s">
        <v>39</v>
      </c>
      <c r="E589" s="11">
        <v>38.0</v>
      </c>
      <c r="F589" s="21" t="s">
        <v>792</v>
      </c>
      <c r="G589" s="15">
        <v>0.011440349175557616</v>
      </c>
      <c r="H589" s="11" t="s">
        <v>45</v>
      </c>
      <c r="I589" s="16">
        <v>28.712000000000003</v>
      </c>
      <c r="J589" s="11" t="s">
        <v>1061</v>
      </c>
      <c r="K589" s="11" t="s">
        <v>26</v>
      </c>
      <c r="L589" s="11" t="s">
        <v>36</v>
      </c>
      <c r="M589" s="11" t="s">
        <v>49</v>
      </c>
      <c r="N589" s="11" t="s">
        <v>156</v>
      </c>
      <c r="O589" s="11" t="s">
        <v>794</v>
      </c>
      <c r="P589" s="11" t="s">
        <v>87</v>
      </c>
      <c r="Q589" s="20">
        <v>39910.0</v>
      </c>
      <c r="R589" s="17">
        <f t="shared" si="2"/>
        <v>74.62439092</v>
      </c>
      <c r="S589" s="9"/>
      <c r="T589" s="9"/>
      <c r="U589" s="9"/>
      <c r="V589" s="9"/>
      <c r="W589" s="9"/>
      <c r="X589" s="9"/>
      <c r="Y589" s="9"/>
      <c r="Z589" s="9"/>
      <c r="AA589" s="9"/>
      <c r="AB589" s="9" t="str">
        <f>IFERROR(__xludf.DUMMYFUNCTION("""COMPUTED_VALUE"""),"Henry Goldwyn")</f>
        <v>Henry Goldwyn</v>
      </c>
      <c r="AC589" s="9"/>
      <c r="AD589" s="9"/>
      <c r="AE589" s="9">
        <f t="shared" si="8"/>
        <v>2</v>
      </c>
      <c r="AF589" s="19">
        <f t="shared" si="13"/>
        <v>1</v>
      </c>
      <c r="AG589" s="9"/>
      <c r="AH589" s="9"/>
      <c r="AI589" s="9"/>
    </row>
    <row r="590" ht="15.0" customHeight="1">
      <c r="A590" s="11">
        <v>589.0</v>
      </c>
      <c r="B590" s="12">
        <f t="shared" si="102"/>
        <v>39909</v>
      </c>
      <c r="C590" s="13">
        <v>2009.0</v>
      </c>
      <c r="D590" s="11" t="s">
        <v>39</v>
      </c>
      <c r="E590" s="11">
        <v>41.0</v>
      </c>
      <c r="F590" s="21" t="s">
        <v>1015</v>
      </c>
      <c r="G590" s="15">
        <v>0.06348782403770616</v>
      </c>
      <c r="H590" s="11" t="s">
        <v>33</v>
      </c>
      <c r="I590" s="16">
        <v>4.736</v>
      </c>
      <c r="J590" s="11" t="s">
        <v>1061</v>
      </c>
      <c r="K590" s="11" t="s">
        <v>26</v>
      </c>
      <c r="L590" s="11" t="s">
        <v>36</v>
      </c>
      <c r="M590" s="11" t="s">
        <v>49</v>
      </c>
      <c r="N590" s="11" t="s">
        <v>73</v>
      </c>
      <c r="O590" s="11" t="s">
        <v>1063</v>
      </c>
      <c r="P590" s="11" t="s">
        <v>75</v>
      </c>
      <c r="Q590" s="20">
        <v>39910.0</v>
      </c>
      <c r="R590" s="17">
        <f t="shared" si="2"/>
        <v>15.13778281</v>
      </c>
      <c r="S590" s="9"/>
      <c r="T590" s="9"/>
      <c r="U590" s="9"/>
      <c r="V590" s="9"/>
      <c r="W590" s="9"/>
      <c r="X590" s="9"/>
      <c r="Y590" s="9"/>
      <c r="Z590" s="9"/>
      <c r="AA590" s="9"/>
      <c r="AB590" s="9" t="str">
        <f>IFERROR(__xludf.DUMMYFUNCTION("""COMPUTED_VALUE"""),"Shahid Collister")</f>
        <v>Shahid Collister</v>
      </c>
      <c r="AC590" s="9"/>
      <c r="AD590" s="9"/>
      <c r="AE590" s="9">
        <f t="shared" si="8"/>
        <v>2</v>
      </c>
      <c r="AF590" s="19">
        <f t="shared" si="13"/>
        <v>1</v>
      </c>
      <c r="AG590" s="9"/>
      <c r="AH590" s="9"/>
      <c r="AI590" s="9"/>
    </row>
    <row r="591" ht="15.0" customHeight="1">
      <c r="A591" s="11">
        <v>590.0</v>
      </c>
      <c r="B591" s="12">
        <f t="shared" si="102"/>
        <v>39909</v>
      </c>
      <c r="C591" s="13">
        <v>2009.0</v>
      </c>
      <c r="D591" s="11" t="s">
        <v>32</v>
      </c>
      <c r="E591" s="11">
        <v>17.0</v>
      </c>
      <c r="F591" s="21" t="s">
        <v>1064</v>
      </c>
      <c r="G591" s="15">
        <v>0.061118492571566645</v>
      </c>
      <c r="H591" s="11" t="s">
        <v>33</v>
      </c>
      <c r="I591" s="16">
        <v>28.0</v>
      </c>
      <c r="J591" s="11" t="s">
        <v>1065</v>
      </c>
      <c r="K591" s="11" t="s">
        <v>65</v>
      </c>
      <c r="L591" s="11" t="s">
        <v>27</v>
      </c>
      <c r="M591" s="11" t="s">
        <v>28</v>
      </c>
      <c r="N591" s="11" t="s">
        <v>29</v>
      </c>
      <c r="O591" s="11" t="s">
        <v>1066</v>
      </c>
      <c r="P591" s="11" t="s">
        <v>31</v>
      </c>
      <c r="Q591" s="20">
        <v>39910.0</v>
      </c>
      <c r="R591" s="17">
        <f t="shared" si="2"/>
        <v>95.01480855</v>
      </c>
      <c r="S591" s="9"/>
      <c r="T591" s="9"/>
      <c r="U591" s="9"/>
      <c r="V591" s="9"/>
      <c r="W591" s="9"/>
      <c r="X591" s="9"/>
      <c r="Y591" s="9"/>
      <c r="Z591" s="9"/>
      <c r="AA591" s="9"/>
      <c r="AB591" s="9" t="str">
        <f>IFERROR(__xludf.DUMMYFUNCTION("""COMPUTED_VALUE"""),"Adrian Shami")</f>
        <v>Adrian Shami</v>
      </c>
      <c r="AC591" s="9"/>
      <c r="AD591" s="9"/>
      <c r="AE591" s="9">
        <f t="shared" si="8"/>
        <v>1</v>
      </c>
      <c r="AF591" s="19">
        <f t="shared" si="13"/>
        <v>5</v>
      </c>
      <c r="AG591" s="9"/>
      <c r="AH591" s="9"/>
      <c r="AI591" s="9"/>
    </row>
    <row r="592" ht="15.0" customHeight="1">
      <c r="A592" s="11">
        <v>591.0</v>
      </c>
      <c r="B592" s="12">
        <f t="shared" si="102"/>
        <v>39909</v>
      </c>
      <c r="C592" s="13">
        <v>2009.0</v>
      </c>
      <c r="D592" s="11" t="s">
        <v>32</v>
      </c>
      <c r="E592" s="11">
        <v>49.0</v>
      </c>
      <c r="F592" s="21" t="s">
        <v>344</v>
      </c>
      <c r="G592" s="15">
        <v>0.09439649267022877</v>
      </c>
      <c r="H592" s="11" t="s">
        <v>33</v>
      </c>
      <c r="I592" s="16">
        <v>4.4</v>
      </c>
      <c r="J592" s="11" t="s">
        <v>1065</v>
      </c>
      <c r="K592" s="11" t="s">
        <v>65</v>
      </c>
      <c r="L592" s="11" t="s">
        <v>27</v>
      </c>
      <c r="M592" s="11" t="s">
        <v>28</v>
      </c>
      <c r="N592" s="11" t="s">
        <v>29</v>
      </c>
      <c r="O592" s="11" t="s">
        <v>346</v>
      </c>
      <c r="P592" s="11" t="s">
        <v>38</v>
      </c>
      <c r="Q592" s="20">
        <v>39911.0</v>
      </c>
      <c r="R592" s="17">
        <f t="shared" si="2"/>
        <v>62.39608166</v>
      </c>
      <c r="S592" s="9"/>
      <c r="T592" s="9"/>
      <c r="U592" s="9"/>
      <c r="V592" s="9"/>
      <c r="W592" s="9"/>
      <c r="X592" s="9"/>
      <c r="Y592" s="9"/>
      <c r="Z592" s="9"/>
      <c r="AA592" s="9"/>
      <c r="AB592" s="9" t="str">
        <f>IFERROR(__xludf.DUMMYFUNCTION("""COMPUTED_VALUE"""),"Jason Fortune")</f>
        <v>Jason Fortune</v>
      </c>
      <c r="AC592" s="9"/>
      <c r="AD592" s="9"/>
      <c r="AE592" s="9">
        <f t="shared" si="8"/>
        <v>1</v>
      </c>
      <c r="AF592" s="19">
        <f t="shared" si="13"/>
        <v>5</v>
      </c>
      <c r="AG592" s="9"/>
      <c r="AH592" s="9"/>
      <c r="AI592" s="9"/>
    </row>
    <row r="593" ht="15.0" customHeight="1">
      <c r="A593" s="11">
        <v>592.0</v>
      </c>
      <c r="B593" s="12">
        <f t="shared" si="102"/>
        <v>39909</v>
      </c>
      <c r="C593" s="13">
        <v>2009.0</v>
      </c>
      <c r="D593" s="11" t="s">
        <v>32</v>
      </c>
      <c r="E593" s="11">
        <v>44.0</v>
      </c>
      <c r="F593" s="21" t="s">
        <v>128</v>
      </c>
      <c r="G593" s="15">
        <v>0.010870565573331801</v>
      </c>
      <c r="H593" s="11" t="s">
        <v>33</v>
      </c>
      <c r="I593" s="16">
        <v>6.152000000000001</v>
      </c>
      <c r="J593" s="11" t="s">
        <v>1065</v>
      </c>
      <c r="K593" s="11" t="s">
        <v>65</v>
      </c>
      <c r="L593" s="11" t="s">
        <v>27</v>
      </c>
      <c r="M593" s="11" t="s">
        <v>66</v>
      </c>
      <c r="N593" s="11" t="s">
        <v>80</v>
      </c>
      <c r="O593" s="11" t="s">
        <v>589</v>
      </c>
      <c r="P593" s="11" t="s">
        <v>38</v>
      </c>
      <c r="Q593" s="20">
        <v>39911.0</v>
      </c>
      <c r="R593" s="17">
        <f t="shared" si="2"/>
        <v>60.28546077</v>
      </c>
      <c r="S593" s="9"/>
      <c r="T593" s="9"/>
      <c r="U593" s="9"/>
      <c r="V593" s="9"/>
      <c r="W593" s="9"/>
      <c r="X593" s="9"/>
      <c r="Y593" s="9"/>
      <c r="Z593" s="9"/>
      <c r="AA593" s="9"/>
      <c r="AB593" s="9" t="str">
        <f>IFERROR(__xludf.DUMMYFUNCTION("""COMPUTED_VALUE"""),"Jamie Frazer")</f>
        <v>Jamie Frazer</v>
      </c>
      <c r="AC593" s="9"/>
      <c r="AD593" s="9"/>
      <c r="AE593" s="9">
        <f t="shared" si="8"/>
        <v>1</v>
      </c>
      <c r="AF593" s="19">
        <f t="shared" si="13"/>
        <v>5</v>
      </c>
      <c r="AG593" s="9"/>
      <c r="AH593" s="9"/>
      <c r="AI593" s="9"/>
    </row>
    <row r="594" ht="15.0" customHeight="1">
      <c r="A594" s="11">
        <v>593.0</v>
      </c>
      <c r="B594" s="12">
        <f t="shared" si="102"/>
        <v>39909</v>
      </c>
      <c r="C594" s="13">
        <v>2009.0</v>
      </c>
      <c r="D594" s="11" t="s">
        <v>44</v>
      </c>
      <c r="E594" s="11">
        <v>16.0</v>
      </c>
      <c r="F594" s="21" t="s">
        <v>948</v>
      </c>
      <c r="G594" s="15">
        <v>0.056487804878048845</v>
      </c>
      <c r="H594" s="11" t="s">
        <v>33</v>
      </c>
      <c r="I594" s="16">
        <v>0.568</v>
      </c>
      <c r="J594" s="11" t="s">
        <v>436</v>
      </c>
      <c r="K594" s="11" t="s">
        <v>65</v>
      </c>
      <c r="L594" s="11" t="s">
        <v>27</v>
      </c>
      <c r="M594" s="11" t="s">
        <v>28</v>
      </c>
      <c r="N594" s="11" t="s">
        <v>62</v>
      </c>
      <c r="O594" s="11" t="s">
        <v>949</v>
      </c>
      <c r="P594" s="11" t="s">
        <v>58</v>
      </c>
      <c r="Q594" s="20">
        <v>39911.0</v>
      </c>
      <c r="R594" s="17">
        <f t="shared" si="2"/>
        <v>4.370348488</v>
      </c>
      <c r="S594" s="9"/>
      <c r="T594" s="9"/>
      <c r="U594" s="9"/>
      <c r="V594" s="9"/>
      <c r="W594" s="9"/>
      <c r="X594" s="9"/>
      <c r="Y594" s="9"/>
      <c r="Z594" s="9"/>
      <c r="AA594" s="9"/>
      <c r="AB594" s="9" t="str">
        <f>IFERROR(__xludf.DUMMYFUNCTION("""COMPUTED_VALUE"""),"Brian Dahlen")</f>
        <v>Brian Dahlen</v>
      </c>
      <c r="AC594" s="9"/>
      <c r="AD594" s="9"/>
      <c r="AE594" s="9">
        <f t="shared" si="8"/>
        <v>1</v>
      </c>
      <c r="AF594" s="19">
        <f t="shared" si="13"/>
        <v>5</v>
      </c>
      <c r="AG594" s="9"/>
      <c r="AH594" s="9"/>
      <c r="AI594" s="9"/>
    </row>
    <row r="595" ht="15.0" customHeight="1">
      <c r="A595" s="11">
        <v>594.0</v>
      </c>
      <c r="B595" s="12">
        <f t="shared" si="102"/>
        <v>39909</v>
      </c>
      <c r="C595" s="13">
        <v>2009.0</v>
      </c>
      <c r="D595" s="11" t="s">
        <v>102</v>
      </c>
      <c r="E595" s="11">
        <v>40.0</v>
      </c>
      <c r="F595" s="21" t="s">
        <v>304</v>
      </c>
      <c r="G595" s="15">
        <v>0.08803441271358577</v>
      </c>
      <c r="H595" s="11" t="s">
        <v>24</v>
      </c>
      <c r="I595" s="16">
        <v>7.224</v>
      </c>
      <c r="J595" s="11" t="s">
        <v>1067</v>
      </c>
      <c r="K595" s="11" t="s">
        <v>61</v>
      </c>
      <c r="L595" s="11" t="s">
        <v>27</v>
      </c>
      <c r="M595" s="11" t="s">
        <v>28</v>
      </c>
      <c r="N595" s="11" t="s">
        <v>56</v>
      </c>
      <c r="O595" s="11" t="s">
        <v>388</v>
      </c>
      <c r="P595" s="11" t="s">
        <v>38</v>
      </c>
      <c r="Q595" s="20">
        <v>39911.0</v>
      </c>
      <c r="R595" s="17">
        <f t="shared" si="2"/>
        <v>67.18997661</v>
      </c>
      <c r="S595" s="9"/>
      <c r="T595" s="9"/>
      <c r="U595" s="9"/>
      <c r="V595" s="9"/>
      <c r="W595" s="9"/>
      <c r="X595" s="9"/>
      <c r="Y595" s="9"/>
      <c r="Z595" s="9"/>
      <c r="AA595" s="9"/>
      <c r="AB595" s="9" t="str">
        <f>IFERROR(__xludf.DUMMYFUNCTION("""COMPUTED_VALUE"""),"Larry Blacks")</f>
        <v>Larry Blacks</v>
      </c>
      <c r="AC595" s="9"/>
      <c r="AD595" s="9"/>
      <c r="AE595" s="9">
        <f t="shared" si="8"/>
        <v>1</v>
      </c>
      <c r="AF595" s="19">
        <f t="shared" si="13"/>
        <v>4</v>
      </c>
      <c r="AG595" s="9"/>
      <c r="AH595" s="9"/>
      <c r="AI595" s="9"/>
    </row>
    <row r="596" ht="15.0" customHeight="1">
      <c r="A596" s="11">
        <v>595.0</v>
      </c>
      <c r="B596" s="12">
        <f t="shared" si="102"/>
        <v>39909</v>
      </c>
      <c r="C596" s="13">
        <v>2009.0</v>
      </c>
      <c r="D596" s="11" t="s">
        <v>102</v>
      </c>
      <c r="E596" s="11">
        <v>37.0</v>
      </c>
      <c r="F596" s="21" t="s">
        <v>218</v>
      </c>
      <c r="G596" s="15">
        <v>0.007798340778557626</v>
      </c>
      <c r="H596" s="11" t="s">
        <v>33</v>
      </c>
      <c r="I596" s="16">
        <v>3.8560000000000003</v>
      </c>
      <c r="J596" s="11" t="s">
        <v>1067</v>
      </c>
      <c r="K596" s="11" t="s">
        <v>61</v>
      </c>
      <c r="L596" s="11" t="s">
        <v>27</v>
      </c>
      <c r="M596" s="11" t="s">
        <v>28</v>
      </c>
      <c r="N596" s="11" t="s">
        <v>56</v>
      </c>
      <c r="O596" s="11" t="s">
        <v>560</v>
      </c>
      <c r="P596" s="11" t="s">
        <v>38</v>
      </c>
      <c r="Q596" s="20">
        <v>39911.0</v>
      </c>
      <c r="R596" s="17">
        <f t="shared" si="2"/>
        <v>2.424940855</v>
      </c>
      <c r="S596" s="9"/>
      <c r="T596" s="9"/>
      <c r="U596" s="9"/>
      <c r="V596" s="9"/>
      <c r="W596" s="9"/>
      <c r="X596" s="9"/>
      <c r="Y596" s="9"/>
      <c r="Z596" s="9"/>
      <c r="AA596" s="9"/>
      <c r="AB596" s="9" t="str">
        <f>IFERROR(__xludf.DUMMYFUNCTION("""COMPUTED_VALUE"""),"Kean Nguyen")</f>
        <v>Kean Nguyen</v>
      </c>
      <c r="AC596" s="9"/>
      <c r="AD596" s="9"/>
      <c r="AE596" s="9">
        <f t="shared" si="8"/>
        <v>1</v>
      </c>
      <c r="AF596" s="19">
        <f t="shared" si="13"/>
        <v>4</v>
      </c>
      <c r="AG596" s="9"/>
      <c r="AH596" s="9"/>
      <c r="AI596" s="9"/>
    </row>
    <row r="597" ht="15.0" customHeight="1">
      <c r="A597" s="11">
        <v>596.0</v>
      </c>
      <c r="B597" s="12">
        <f t="shared" si="102"/>
        <v>39909</v>
      </c>
      <c r="C597" s="13">
        <v>2009.0</v>
      </c>
      <c r="D597" s="11" t="s">
        <v>44</v>
      </c>
      <c r="E597" s="11">
        <v>39.0</v>
      </c>
      <c r="F597" s="21" t="s">
        <v>651</v>
      </c>
      <c r="G597" s="15">
        <v>0.058335052773589254</v>
      </c>
      <c r="H597" s="11" t="s">
        <v>33</v>
      </c>
      <c r="I597" s="16">
        <v>9.784</v>
      </c>
      <c r="J597" s="11" t="s">
        <v>1068</v>
      </c>
      <c r="K597" s="11" t="s">
        <v>35</v>
      </c>
      <c r="L597" s="11" t="s">
        <v>41</v>
      </c>
      <c r="M597" s="11" t="s">
        <v>49</v>
      </c>
      <c r="N597" s="11" t="s">
        <v>73</v>
      </c>
      <c r="O597" s="11" t="s">
        <v>652</v>
      </c>
      <c r="P597" s="11" t="s">
        <v>75</v>
      </c>
      <c r="Q597" s="20">
        <v>39911.0</v>
      </c>
      <c r="R597" s="17">
        <f t="shared" si="2"/>
        <v>138.4398139</v>
      </c>
      <c r="S597" s="9"/>
      <c r="T597" s="9"/>
      <c r="U597" s="9"/>
      <c r="V597" s="9"/>
      <c r="W597" s="9"/>
      <c r="X597" s="9"/>
      <c r="Y597" s="9"/>
      <c r="Z597" s="9"/>
      <c r="AA597" s="9"/>
      <c r="AB597" s="9" t="str">
        <f>IFERROR(__xludf.DUMMYFUNCTION("""COMPUTED_VALUE"""),"Linda Southworth")</f>
        <v>Linda Southworth</v>
      </c>
      <c r="AC597" s="9"/>
      <c r="AD597" s="9"/>
      <c r="AE597" s="9">
        <f t="shared" si="8"/>
        <v>3</v>
      </c>
      <c r="AF597" s="19">
        <f t="shared" si="13"/>
        <v>2</v>
      </c>
      <c r="AG597" s="9"/>
      <c r="AH597" s="9"/>
      <c r="AI597" s="9"/>
    </row>
    <row r="598" ht="15.0" customHeight="1">
      <c r="A598" s="11">
        <v>597.0</v>
      </c>
      <c r="B598" s="12">
        <f t="shared" si="102"/>
        <v>39909</v>
      </c>
      <c r="C598" s="13">
        <v>2009.0</v>
      </c>
      <c r="D598" s="11" t="s">
        <v>102</v>
      </c>
      <c r="E598" s="11">
        <v>31.0</v>
      </c>
      <c r="F598" s="21" t="s">
        <v>740</v>
      </c>
      <c r="G598" s="15">
        <v>0.03983976559058278</v>
      </c>
      <c r="H598" s="11" t="s">
        <v>45</v>
      </c>
      <c r="I598" s="16">
        <v>43.93600000000001</v>
      </c>
      <c r="J598" s="11" t="s">
        <v>1069</v>
      </c>
      <c r="K598" s="11" t="s">
        <v>83</v>
      </c>
      <c r="L598" s="11" t="s">
        <v>41</v>
      </c>
      <c r="M598" s="11" t="s">
        <v>49</v>
      </c>
      <c r="N598" s="11" t="s">
        <v>156</v>
      </c>
      <c r="O598" s="11" t="s">
        <v>1070</v>
      </c>
      <c r="P598" s="11" t="s">
        <v>87</v>
      </c>
      <c r="Q598" s="20">
        <v>39911.0</v>
      </c>
      <c r="R598" s="17">
        <f t="shared" si="2"/>
        <v>373.3717494</v>
      </c>
      <c r="S598" s="9"/>
      <c r="T598" s="9"/>
      <c r="U598" s="9"/>
      <c r="V598" s="9"/>
      <c r="W598" s="9"/>
      <c r="X598" s="9"/>
      <c r="Y598" s="9"/>
      <c r="Z598" s="9"/>
      <c r="AA598" s="9"/>
      <c r="AB598" s="9" t="str">
        <f>IFERROR(__xludf.DUMMYFUNCTION("""COMPUTED_VALUE"""),"Roger Demir")</f>
        <v>Roger Demir</v>
      </c>
      <c r="AC598" s="9"/>
      <c r="AD598" s="9"/>
      <c r="AE598" s="9">
        <f t="shared" si="8"/>
        <v>3</v>
      </c>
      <c r="AF598" s="19" t="b">
        <f t="shared" si="13"/>
        <v>0</v>
      </c>
      <c r="AG598" s="9"/>
      <c r="AH598" s="9"/>
      <c r="AI598" s="9"/>
    </row>
    <row r="599" ht="15.0" customHeight="1">
      <c r="A599" s="11">
        <v>598.0</v>
      </c>
      <c r="B599" s="12">
        <f t="shared" ref="B599:B605" si="103">DATE(2012,12,31)-1364</f>
        <v>39910</v>
      </c>
      <c r="C599" s="13">
        <v>2009.0</v>
      </c>
      <c r="D599" s="11" t="s">
        <v>102</v>
      </c>
      <c r="E599" s="11">
        <v>14.0</v>
      </c>
      <c r="F599" s="21" t="s">
        <v>1071</v>
      </c>
      <c r="G599" s="15">
        <v>0.06664703717335277</v>
      </c>
      <c r="H599" s="11" t="s">
        <v>24</v>
      </c>
      <c r="I599" s="16">
        <v>7.192</v>
      </c>
      <c r="J599" s="11" t="s">
        <v>1072</v>
      </c>
      <c r="K599" s="11" t="s">
        <v>35</v>
      </c>
      <c r="L599" s="11" t="s">
        <v>36</v>
      </c>
      <c r="M599" s="11" t="s">
        <v>49</v>
      </c>
      <c r="N599" s="11" t="s">
        <v>73</v>
      </c>
      <c r="O599" s="11" t="s">
        <v>1073</v>
      </c>
      <c r="P599" s="11" t="s">
        <v>99</v>
      </c>
      <c r="Q599" s="20">
        <v>39911.0</v>
      </c>
      <c r="R599" s="17">
        <f t="shared" si="2"/>
        <v>16.90115545</v>
      </c>
      <c r="S599" s="9"/>
      <c r="T599" s="9"/>
      <c r="U599" s="9"/>
      <c r="V599" s="9"/>
      <c r="W599" s="9"/>
      <c r="X599" s="9"/>
      <c r="Y599" s="9"/>
      <c r="Z599" s="9"/>
      <c r="AA599" s="9"/>
      <c r="AB599" s="9" t="str">
        <f>IFERROR(__xludf.DUMMYFUNCTION("""COMPUTED_VALUE"""),"Sean Miller")</f>
        <v>Sean Miller</v>
      </c>
      <c r="AC599" s="9"/>
      <c r="AD599" s="9"/>
      <c r="AE599" s="9">
        <f t="shared" si="8"/>
        <v>2</v>
      </c>
      <c r="AF599" s="19">
        <f t="shared" si="13"/>
        <v>2</v>
      </c>
      <c r="AG599" s="9"/>
      <c r="AH599" s="9"/>
      <c r="AI599" s="9"/>
    </row>
    <row r="600" ht="15.0" customHeight="1">
      <c r="A600" s="11">
        <v>599.0</v>
      </c>
      <c r="B600" s="12">
        <f t="shared" si="103"/>
        <v>39910</v>
      </c>
      <c r="C600" s="13">
        <v>2009.0</v>
      </c>
      <c r="D600" s="11" t="s">
        <v>44</v>
      </c>
      <c r="E600" s="11">
        <v>11.0</v>
      </c>
      <c r="F600" s="21" t="s">
        <v>1074</v>
      </c>
      <c r="G600" s="15">
        <v>0.04794117647058831</v>
      </c>
      <c r="H600" s="11" t="s">
        <v>33</v>
      </c>
      <c r="I600" s="16">
        <v>4.24</v>
      </c>
      <c r="J600" s="11" t="s">
        <v>1020</v>
      </c>
      <c r="K600" s="11" t="s">
        <v>47</v>
      </c>
      <c r="L600" s="11" t="s">
        <v>27</v>
      </c>
      <c r="M600" s="11" t="s">
        <v>28</v>
      </c>
      <c r="N600" s="11" t="s">
        <v>236</v>
      </c>
      <c r="O600" s="11" t="s">
        <v>1075</v>
      </c>
      <c r="P600" s="11" t="s">
        <v>38</v>
      </c>
      <c r="Q600" s="20">
        <v>39912.0</v>
      </c>
      <c r="R600" s="17">
        <f t="shared" si="2"/>
        <v>3.103711765</v>
      </c>
      <c r="S600" s="9"/>
      <c r="T600" s="9"/>
      <c r="U600" s="9"/>
      <c r="V600" s="9"/>
      <c r="W600" s="9"/>
      <c r="X600" s="9"/>
      <c r="Y600" s="9"/>
      <c r="Z600" s="9"/>
      <c r="AA600" s="9"/>
      <c r="AB600" s="9" t="str">
        <f>IFERROR(__xludf.DUMMYFUNCTION("""COMPUTED_VALUE"""),"Nona Balk")</f>
        <v>Nona Balk</v>
      </c>
      <c r="AC600" s="9"/>
      <c r="AD600" s="9"/>
      <c r="AE600" s="9">
        <f t="shared" si="8"/>
        <v>1</v>
      </c>
      <c r="AF600" s="19">
        <f t="shared" si="13"/>
        <v>3</v>
      </c>
      <c r="AG600" s="9"/>
      <c r="AH600" s="9"/>
      <c r="AI600" s="9"/>
    </row>
    <row r="601" ht="15.0" customHeight="1">
      <c r="A601" s="11">
        <v>600.0</v>
      </c>
      <c r="B601" s="12">
        <f t="shared" si="103"/>
        <v>39910</v>
      </c>
      <c r="C601" s="13">
        <v>2009.0</v>
      </c>
      <c r="D601" s="11" t="s">
        <v>44</v>
      </c>
      <c r="E601" s="11">
        <v>21.0</v>
      </c>
      <c r="F601" s="21" t="s">
        <v>1076</v>
      </c>
      <c r="G601" s="15">
        <v>0.035415929203539906</v>
      </c>
      <c r="H601" s="11" t="s">
        <v>33</v>
      </c>
      <c r="I601" s="16">
        <v>15.184000000000001</v>
      </c>
      <c r="J601" s="11" t="s">
        <v>1020</v>
      </c>
      <c r="K601" s="11" t="s">
        <v>47</v>
      </c>
      <c r="L601" s="11" t="s">
        <v>27</v>
      </c>
      <c r="M601" s="11" t="s">
        <v>49</v>
      </c>
      <c r="N601" s="11" t="s">
        <v>73</v>
      </c>
      <c r="O601" s="11" t="s">
        <v>1077</v>
      </c>
      <c r="P601" s="11" t="s">
        <v>38</v>
      </c>
      <c r="Q601" s="20">
        <v>39912.0</v>
      </c>
      <c r="R601" s="17">
        <f t="shared" si="2"/>
        <v>30.88212361</v>
      </c>
      <c r="S601" s="9"/>
      <c r="T601" s="9"/>
      <c r="U601" s="9"/>
      <c r="V601" s="9"/>
      <c r="W601" s="9"/>
      <c r="X601" s="9"/>
      <c r="Y601" s="9"/>
      <c r="Z601" s="9"/>
      <c r="AA601" s="9"/>
      <c r="AB601" s="9" t="str">
        <f>IFERROR(__xludf.DUMMYFUNCTION("""COMPUTED_VALUE"""),"Jennifer Braxton")</f>
        <v>Jennifer Braxton</v>
      </c>
      <c r="AC601" s="9"/>
      <c r="AD601" s="9"/>
      <c r="AE601" s="9">
        <f t="shared" si="8"/>
        <v>1</v>
      </c>
      <c r="AF601" s="19">
        <f t="shared" si="13"/>
        <v>3</v>
      </c>
      <c r="AG601" s="9"/>
      <c r="AH601" s="9"/>
      <c r="AI601" s="9"/>
    </row>
    <row r="602" ht="15.0" customHeight="1">
      <c r="A602" s="11">
        <v>601.0</v>
      </c>
      <c r="B602" s="12">
        <f t="shared" si="103"/>
        <v>39910</v>
      </c>
      <c r="C602" s="13">
        <v>2009.0</v>
      </c>
      <c r="D602" s="11" t="s">
        <v>44</v>
      </c>
      <c r="E602" s="11">
        <v>36.0</v>
      </c>
      <c r="F602" s="21" t="s">
        <v>1078</v>
      </c>
      <c r="G602" s="15">
        <v>0.09508769770447428</v>
      </c>
      <c r="H602" s="11" t="s">
        <v>33</v>
      </c>
      <c r="I602" s="16">
        <v>15.991999999999999</v>
      </c>
      <c r="J602" s="11" t="s">
        <v>993</v>
      </c>
      <c r="K602" s="11" t="s">
        <v>83</v>
      </c>
      <c r="L602" s="11" t="s">
        <v>48</v>
      </c>
      <c r="M602" s="11" t="s">
        <v>66</v>
      </c>
      <c r="N602" s="11" t="s">
        <v>67</v>
      </c>
      <c r="O602" s="11" t="s">
        <v>1079</v>
      </c>
      <c r="P602" s="11" t="s">
        <v>38</v>
      </c>
      <c r="Q602" s="20">
        <v>39912.0</v>
      </c>
      <c r="R602" s="17">
        <f t="shared" si="2"/>
        <v>139.81619</v>
      </c>
      <c r="S602" s="9"/>
      <c r="T602" s="9"/>
      <c r="U602" s="9"/>
      <c r="V602" s="9"/>
      <c r="W602" s="9"/>
      <c r="X602" s="9"/>
      <c r="Y602" s="9"/>
      <c r="Z602" s="9"/>
      <c r="AA602" s="9"/>
      <c r="AB602" s="9" t="str">
        <f>IFERROR(__xludf.DUMMYFUNCTION("""COMPUTED_VALUE"""),"Saphhira Shifley")</f>
        <v>Saphhira Shifley</v>
      </c>
      <c r="AC602" s="9"/>
      <c r="AD602" s="9"/>
      <c r="AE602" s="9">
        <f t="shared" si="8"/>
        <v>4</v>
      </c>
      <c r="AF602" s="19" t="b">
        <f t="shared" si="13"/>
        <v>0</v>
      </c>
      <c r="AG602" s="9"/>
      <c r="AH602" s="9"/>
      <c r="AI602" s="9"/>
    </row>
    <row r="603" ht="15.0" customHeight="1">
      <c r="A603" s="11">
        <v>602.0</v>
      </c>
      <c r="B603" s="12">
        <f t="shared" si="103"/>
        <v>39910</v>
      </c>
      <c r="C603" s="13">
        <v>2009.0</v>
      </c>
      <c r="D603" s="11" t="s">
        <v>102</v>
      </c>
      <c r="E603" s="11">
        <v>36.0</v>
      </c>
      <c r="F603" s="21" t="s">
        <v>178</v>
      </c>
      <c r="G603" s="15">
        <v>0.03555814459802161</v>
      </c>
      <c r="H603" s="11" t="s">
        <v>33</v>
      </c>
      <c r="I603" s="16">
        <v>4.208</v>
      </c>
      <c r="J603" s="11" t="s">
        <v>1080</v>
      </c>
      <c r="K603" s="11" t="s">
        <v>47</v>
      </c>
      <c r="L603" s="11" t="s">
        <v>48</v>
      </c>
      <c r="M603" s="11" t="s">
        <v>66</v>
      </c>
      <c r="N603" s="11" t="s">
        <v>80</v>
      </c>
      <c r="O603" s="11" t="s">
        <v>1081</v>
      </c>
      <c r="P603" s="11" t="s">
        <v>38</v>
      </c>
      <c r="Q603" s="20">
        <v>39912.0</v>
      </c>
      <c r="R603" s="17">
        <f t="shared" si="2"/>
        <v>84.50777092</v>
      </c>
      <c r="S603" s="9"/>
      <c r="T603" s="9"/>
      <c r="U603" s="9"/>
      <c r="V603" s="9"/>
      <c r="W603" s="9"/>
      <c r="X603" s="9"/>
      <c r="Y603" s="9"/>
      <c r="Z603" s="9"/>
      <c r="AA603" s="9"/>
      <c r="AB603" s="9" t="str">
        <f>IFERROR(__xludf.DUMMYFUNCTION("""COMPUTED_VALUE"""),"Art Ferguson")</f>
        <v>Art Ferguson</v>
      </c>
      <c r="AC603" s="9"/>
      <c r="AD603" s="9"/>
      <c r="AE603" s="9">
        <f t="shared" si="8"/>
        <v>4</v>
      </c>
      <c r="AF603" s="19">
        <f t="shared" si="13"/>
        <v>3</v>
      </c>
      <c r="AG603" s="9"/>
      <c r="AH603" s="9"/>
      <c r="AI603" s="9"/>
    </row>
    <row r="604" ht="15.0" customHeight="1">
      <c r="A604" s="11">
        <v>603.0</v>
      </c>
      <c r="B604" s="12">
        <f t="shared" si="103"/>
        <v>39910</v>
      </c>
      <c r="C604" s="13">
        <v>2009.0</v>
      </c>
      <c r="D604" s="11" t="s">
        <v>23</v>
      </c>
      <c r="E604" s="11">
        <v>20.0</v>
      </c>
      <c r="F604" s="21" t="s">
        <v>624</v>
      </c>
      <c r="G604" s="15">
        <v>0.07635558834378464</v>
      </c>
      <c r="H604" s="11" t="s">
        <v>33</v>
      </c>
      <c r="I604" s="16">
        <v>0.4</v>
      </c>
      <c r="J604" s="11" t="s">
        <v>1082</v>
      </c>
      <c r="K604" s="11" t="s">
        <v>65</v>
      </c>
      <c r="L604" s="11" t="s">
        <v>27</v>
      </c>
      <c r="M604" s="11" t="s">
        <v>28</v>
      </c>
      <c r="N604" s="11" t="s">
        <v>188</v>
      </c>
      <c r="O604" s="11" t="s">
        <v>1083</v>
      </c>
      <c r="P604" s="11" t="s">
        <v>38</v>
      </c>
      <c r="Q604" s="20">
        <v>39913.0</v>
      </c>
      <c r="R604" s="17">
        <f t="shared" si="2"/>
        <v>19.11943932</v>
      </c>
      <c r="S604" s="9"/>
      <c r="T604" s="9"/>
      <c r="U604" s="9"/>
      <c r="V604" s="9"/>
      <c r="W604" s="9"/>
      <c r="X604" s="9"/>
      <c r="Y604" s="9"/>
      <c r="Z604" s="9"/>
      <c r="AA604" s="9"/>
      <c r="AB604" s="9" t="str">
        <f>IFERROR(__xludf.DUMMYFUNCTION("""COMPUTED_VALUE"""),"Philip Fox")</f>
        <v>Philip Fox</v>
      </c>
      <c r="AC604" s="9"/>
      <c r="AD604" s="9"/>
      <c r="AE604" s="9">
        <f t="shared" si="8"/>
        <v>1</v>
      </c>
      <c r="AF604" s="19">
        <f t="shared" si="13"/>
        <v>5</v>
      </c>
      <c r="AG604" s="9"/>
      <c r="AH604" s="9"/>
      <c r="AI604" s="9"/>
    </row>
    <row r="605" ht="15.0" customHeight="1">
      <c r="A605" s="11">
        <v>604.0</v>
      </c>
      <c r="B605" s="12">
        <f t="shared" si="103"/>
        <v>39910</v>
      </c>
      <c r="C605" s="13">
        <v>2009.0</v>
      </c>
      <c r="D605" s="11" t="s">
        <v>23</v>
      </c>
      <c r="E605" s="11">
        <v>3.0</v>
      </c>
      <c r="F605" s="21" t="s">
        <v>565</v>
      </c>
      <c r="G605" s="15">
        <v>0.027022065313327435</v>
      </c>
      <c r="H605" s="11" t="s">
        <v>33</v>
      </c>
      <c r="I605" s="16">
        <v>15.991999999999999</v>
      </c>
      <c r="J605" s="11" t="s">
        <v>1082</v>
      </c>
      <c r="K605" s="11" t="s">
        <v>65</v>
      </c>
      <c r="L605" s="11" t="s">
        <v>27</v>
      </c>
      <c r="M605" s="11" t="s">
        <v>28</v>
      </c>
      <c r="N605" s="11" t="s">
        <v>29</v>
      </c>
      <c r="O605" s="11" t="s">
        <v>566</v>
      </c>
      <c r="P605" s="11" t="s">
        <v>38</v>
      </c>
      <c r="Q605" s="20">
        <v>39913.0</v>
      </c>
      <c r="R605" s="17">
        <f t="shared" si="2"/>
        <v>14.89434622</v>
      </c>
      <c r="S605" s="9"/>
      <c r="T605" s="9"/>
      <c r="U605" s="9"/>
      <c r="V605" s="9"/>
      <c r="W605" s="9"/>
      <c r="X605" s="9"/>
      <c r="Y605" s="9"/>
      <c r="Z605" s="9"/>
      <c r="AA605" s="9"/>
      <c r="AB605" s="9" t="str">
        <f>IFERROR(__xludf.DUMMYFUNCTION("""COMPUTED_VALUE"""),"Chris Selesnick")</f>
        <v>Chris Selesnick</v>
      </c>
      <c r="AC605" s="9"/>
      <c r="AD605" s="9"/>
      <c r="AE605" s="9">
        <f t="shared" si="8"/>
        <v>1</v>
      </c>
      <c r="AF605" s="19">
        <f t="shared" si="13"/>
        <v>5</v>
      </c>
      <c r="AG605" s="9"/>
      <c r="AH605" s="9"/>
      <c r="AI605" s="9"/>
    </row>
    <row r="606" ht="15.0" customHeight="1">
      <c r="A606" s="11">
        <v>605.0</v>
      </c>
      <c r="B606" s="12">
        <f t="shared" ref="B606:B611" si="104">DATE(2012,12,31)-1363</f>
        <v>39911</v>
      </c>
      <c r="C606" s="13">
        <v>2009.0</v>
      </c>
      <c r="D606" s="11" t="s">
        <v>39</v>
      </c>
      <c r="E606" s="11">
        <v>27.0</v>
      </c>
      <c r="F606" s="21" t="s">
        <v>1084</v>
      </c>
      <c r="G606" s="15">
        <v>0.012131938857602425</v>
      </c>
      <c r="H606" s="11" t="s">
        <v>33</v>
      </c>
      <c r="I606" s="16">
        <v>3.9920000000000004</v>
      </c>
      <c r="J606" s="11" t="s">
        <v>407</v>
      </c>
      <c r="K606" s="11" t="s">
        <v>26</v>
      </c>
      <c r="L606" s="11" t="s">
        <v>36</v>
      </c>
      <c r="M606" s="11" t="s">
        <v>28</v>
      </c>
      <c r="N606" s="11" t="s">
        <v>236</v>
      </c>
      <c r="O606" s="11" t="s">
        <v>1085</v>
      </c>
      <c r="P606" s="11" t="s">
        <v>38</v>
      </c>
      <c r="Q606" s="20">
        <v>39913.0</v>
      </c>
      <c r="R606" s="17">
        <f t="shared" si="2"/>
        <v>1.489705036</v>
      </c>
      <c r="S606" s="9"/>
      <c r="T606" s="9"/>
      <c r="U606" s="9"/>
      <c r="V606" s="9"/>
      <c r="W606" s="9"/>
      <c r="X606" s="9"/>
      <c r="Y606" s="9"/>
      <c r="Z606" s="9"/>
      <c r="AA606" s="9"/>
      <c r="AB606" s="9" t="str">
        <f>IFERROR(__xludf.DUMMYFUNCTION("""COMPUTED_VALUE"""),"Harold Engle")</f>
        <v>Harold Engle</v>
      </c>
      <c r="AC606" s="9"/>
      <c r="AD606" s="9"/>
      <c r="AE606" s="9">
        <f t="shared" si="8"/>
        <v>2</v>
      </c>
      <c r="AF606" s="19">
        <f t="shared" si="13"/>
        <v>1</v>
      </c>
      <c r="AG606" s="9"/>
      <c r="AH606" s="9"/>
      <c r="AI606" s="9"/>
    </row>
    <row r="607" ht="15.0" customHeight="1">
      <c r="A607" s="11">
        <v>606.0</v>
      </c>
      <c r="B607" s="12">
        <f t="shared" si="104"/>
        <v>39911</v>
      </c>
      <c r="C607" s="13">
        <v>2009.0</v>
      </c>
      <c r="D607" s="11" t="s">
        <v>44</v>
      </c>
      <c r="E607" s="11">
        <v>46.0</v>
      </c>
      <c r="F607" s="21" t="s">
        <v>270</v>
      </c>
      <c r="G607" s="15">
        <v>0.058409840984098405</v>
      </c>
      <c r="H607" s="11" t="s">
        <v>33</v>
      </c>
      <c r="I607" s="16">
        <v>1.592</v>
      </c>
      <c r="J607" s="11" t="s">
        <v>1086</v>
      </c>
      <c r="K607" s="11" t="s">
        <v>61</v>
      </c>
      <c r="L607" s="11" t="s">
        <v>41</v>
      </c>
      <c r="M607" s="11" t="s">
        <v>66</v>
      </c>
      <c r="N607" s="11" t="s">
        <v>67</v>
      </c>
      <c r="O607" s="11" t="s">
        <v>1087</v>
      </c>
      <c r="P607" s="11" t="s">
        <v>99</v>
      </c>
      <c r="Q607" s="20">
        <v>39913.0</v>
      </c>
      <c r="R607" s="17">
        <f t="shared" si="2"/>
        <v>109.9852633</v>
      </c>
      <c r="S607" s="9"/>
      <c r="T607" s="9"/>
      <c r="U607" s="9"/>
      <c r="V607" s="9"/>
      <c r="W607" s="9"/>
      <c r="X607" s="9"/>
      <c r="Y607" s="9"/>
      <c r="Z607" s="9"/>
      <c r="AA607" s="9"/>
      <c r="AB607" s="9" t="str">
        <f>IFERROR(__xludf.DUMMYFUNCTION("""COMPUTED_VALUE"""),"Laurel Elliston")</f>
        <v>Laurel Elliston</v>
      </c>
      <c r="AC607" s="9"/>
      <c r="AD607" s="9"/>
      <c r="AE607" s="9">
        <f t="shared" si="8"/>
        <v>3</v>
      </c>
      <c r="AF607" s="19">
        <f t="shared" si="13"/>
        <v>4</v>
      </c>
      <c r="AG607" s="9"/>
      <c r="AH607" s="9"/>
      <c r="AI607" s="9"/>
    </row>
    <row r="608" ht="15.0" customHeight="1">
      <c r="A608" s="11">
        <v>607.0</v>
      </c>
      <c r="B608" s="12">
        <f t="shared" si="104"/>
        <v>39911</v>
      </c>
      <c r="C608" s="13">
        <v>2009.0</v>
      </c>
      <c r="D608" s="11" t="s">
        <v>39</v>
      </c>
      <c r="E608" s="11">
        <v>34.0</v>
      </c>
      <c r="F608" s="21" t="s">
        <v>1088</v>
      </c>
      <c r="G608" s="15">
        <v>0.012295845997973778</v>
      </c>
      <c r="H608" s="11" t="s">
        <v>24</v>
      </c>
      <c r="I608" s="16">
        <v>3.696</v>
      </c>
      <c r="J608" s="11" t="s">
        <v>1089</v>
      </c>
      <c r="K608" s="11" t="s">
        <v>35</v>
      </c>
      <c r="L608" s="11" t="s">
        <v>48</v>
      </c>
      <c r="M608" s="11" t="s">
        <v>28</v>
      </c>
      <c r="N608" s="11" t="s">
        <v>197</v>
      </c>
      <c r="O608" s="11" t="s">
        <v>1090</v>
      </c>
      <c r="P608" s="11" t="s">
        <v>38</v>
      </c>
      <c r="Q608" s="20">
        <v>39913.0</v>
      </c>
      <c r="R608" s="17">
        <f t="shared" si="2"/>
        <v>17.98016642</v>
      </c>
      <c r="S608" s="9"/>
      <c r="T608" s="9"/>
      <c r="U608" s="9"/>
      <c r="V608" s="9"/>
      <c r="W608" s="9"/>
      <c r="X608" s="9"/>
      <c r="Y608" s="9"/>
      <c r="Z608" s="9"/>
      <c r="AA608" s="9"/>
      <c r="AB608" s="9" t="str">
        <f>IFERROR(__xludf.DUMMYFUNCTION("""COMPUTED_VALUE"""),"Brian Thompson")</f>
        <v>Brian Thompson</v>
      </c>
      <c r="AC608" s="9"/>
      <c r="AD608" s="9"/>
      <c r="AE608" s="9">
        <f t="shared" si="8"/>
        <v>4</v>
      </c>
      <c r="AF608" s="19">
        <f t="shared" si="13"/>
        <v>2</v>
      </c>
      <c r="AG608" s="9"/>
      <c r="AH608" s="9"/>
      <c r="AI608" s="9"/>
    </row>
    <row r="609" ht="15.0" customHeight="1">
      <c r="A609" s="11">
        <v>608.0</v>
      </c>
      <c r="B609" s="12">
        <f t="shared" si="104"/>
        <v>39911</v>
      </c>
      <c r="C609" s="13">
        <v>2009.0</v>
      </c>
      <c r="D609" s="11" t="s">
        <v>39</v>
      </c>
      <c r="E609" s="11">
        <v>39.0</v>
      </c>
      <c r="F609" s="21" t="s">
        <v>1091</v>
      </c>
      <c r="G609" s="15">
        <v>0.04938074969106145</v>
      </c>
      <c r="H609" s="11" t="s">
        <v>33</v>
      </c>
      <c r="I609" s="16">
        <v>4.072</v>
      </c>
      <c r="J609" s="11" t="s">
        <v>1092</v>
      </c>
      <c r="K609" s="11" t="s">
        <v>26</v>
      </c>
      <c r="L609" s="11" t="s">
        <v>41</v>
      </c>
      <c r="M609" s="11" t="s">
        <v>28</v>
      </c>
      <c r="N609" s="11" t="s">
        <v>56</v>
      </c>
      <c r="O609" s="11" t="s">
        <v>1093</v>
      </c>
      <c r="P609" s="11" t="s">
        <v>38</v>
      </c>
      <c r="Q609" s="20">
        <v>39913.0</v>
      </c>
      <c r="R609" s="17">
        <f t="shared" si="2"/>
        <v>68.37614144</v>
      </c>
      <c r="S609" s="9"/>
      <c r="T609" s="9"/>
      <c r="U609" s="9"/>
      <c r="V609" s="9"/>
      <c r="W609" s="9"/>
      <c r="X609" s="9"/>
      <c r="Y609" s="9"/>
      <c r="Z609" s="9"/>
      <c r="AA609" s="9"/>
      <c r="AB609" s="9" t="str">
        <f>IFERROR(__xludf.DUMMYFUNCTION("""COMPUTED_VALUE"""),"Lycoris Saunders")</f>
        <v>Lycoris Saunders</v>
      </c>
      <c r="AC609" s="9"/>
      <c r="AD609" s="9"/>
      <c r="AE609" s="9">
        <f t="shared" si="8"/>
        <v>3</v>
      </c>
      <c r="AF609" s="19">
        <f t="shared" si="13"/>
        <v>1</v>
      </c>
      <c r="AG609" s="9"/>
      <c r="AH609" s="9"/>
      <c r="AI609" s="9"/>
    </row>
    <row r="610" ht="15.0" customHeight="1">
      <c r="A610" s="11">
        <v>609.0</v>
      </c>
      <c r="B610" s="12">
        <f t="shared" si="104"/>
        <v>39911</v>
      </c>
      <c r="C610" s="13">
        <v>2009.0</v>
      </c>
      <c r="D610" s="11" t="s">
        <v>23</v>
      </c>
      <c r="E610" s="11">
        <v>37.0</v>
      </c>
      <c r="F610" s="21" t="s">
        <v>956</v>
      </c>
      <c r="G610" s="15">
        <v>0.08564885496183205</v>
      </c>
      <c r="H610" s="11" t="s">
        <v>33</v>
      </c>
      <c r="I610" s="16">
        <v>1.192</v>
      </c>
      <c r="J610" s="11" t="s">
        <v>1094</v>
      </c>
      <c r="K610" s="11" t="s">
        <v>65</v>
      </c>
      <c r="L610" s="11" t="s">
        <v>27</v>
      </c>
      <c r="M610" s="11" t="s">
        <v>28</v>
      </c>
      <c r="N610" s="11" t="s">
        <v>42</v>
      </c>
      <c r="O610" s="11" t="s">
        <v>957</v>
      </c>
      <c r="P610" s="11" t="s">
        <v>38</v>
      </c>
      <c r="Q610" s="20">
        <v>39914.0</v>
      </c>
      <c r="R610" s="17">
        <f t="shared" si="2"/>
        <v>14.36262779</v>
      </c>
      <c r="S610" s="9"/>
      <c r="T610" s="9"/>
      <c r="U610" s="9"/>
      <c r="V610" s="9"/>
      <c r="W610" s="9"/>
      <c r="X610" s="9"/>
      <c r="Y610" s="9"/>
      <c r="Z610" s="9"/>
      <c r="AA610" s="9"/>
      <c r="AB610" s="9" t="str">
        <f>IFERROR(__xludf.DUMMYFUNCTION("""COMPUTED_VALUE"""),"Patrick O'Brill")</f>
        <v>Patrick O'Brill</v>
      </c>
      <c r="AC610" s="9"/>
      <c r="AD610" s="9"/>
      <c r="AE610" s="9">
        <f t="shared" si="8"/>
        <v>1</v>
      </c>
      <c r="AF610" s="19">
        <f t="shared" si="13"/>
        <v>5</v>
      </c>
      <c r="AG610" s="9"/>
      <c r="AH610" s="9"/>
      <c r="AI610" s="9"/>
    </row>
    <row r="611" ht="15.0" customHeight="1">
      <c r="A611" s="11">
        <v>610.0</v>
      </c>
      <c r="B611" s="12">
        <f t="shared" si="104"/>
        <v>39911</v>
      </c>
      <c r="C611" s="13">
        <v>2009.0</v>
      </c>
      <c r="D611" s="11" t="s">
        <v>44</v>
      </c>
      <c r="E611" s="11">
        <v>3.0</v>
      </c>
      <c r="F611" s="21" t="s">
        <v>314</v>
      </c>
      <c r="G611" s="15">
        <v>0.058536585365853794</v>
      </c>
      <c r="H611" s="11" t="s">
        <v>24</v>
      </c>
      <c r="I611" s="16">
        <v>0.4</v>
      </c>
      <c r="J611" s="11" t="s">
        <v>525</v>
      </c>
      <c r="K611" s="11" t="s">
        <v>65</v>
      </c>
      <c r="L611" s="11" t="s">
        <v>48</v>
      </c>
      <c r="M611" s="11" t="s">
        <v>28</v>
      </c>
      <c r="N611" s="11" t="s">
        <v>188</v>
      </c>
      <c r="O611" s="11" t="s">
        <v>516</v>
      </c>
      <c r="P611" s="11" t="s">
        <v>38</v>
      </c>
      <c r="Q611" s="20">
        <v>39914.0</v>
      </c>
      <c r="R611" s="17">
        <f t="shared" si="2"/>
        <v>1.129756098</v>
      </c>
      <c r="S611" s="9"/>
      <c r="T611" s="9"/>
      <c r="U611" s="9"/>
      <c r="V611" s="9"/>
      <c r="W611" s="9"/>
      <c r="X611" s="9"/>
      <c r="Y611" s="9"/>
      <c r="Z611" s="9"/>
      <c r="AA611" s="9"/>
      <c r="AB611" s="9" t="str">
        <f>IFERROR(__xludf.DUMMYFUNCTION("""COMPUTED_VALUE"""),"Sanjit Engle")</f>
        <v>Sanjit Engle</v>
      </c>
      <c r="AC611" s="9"/>
      <c r="AD611" s="9"/>
      <c r="AE611" s="9">
        <f t="shared" si="8"/>
        <v>4</v>
      </c>
      <c r="AF611" s="19">
        <f t="shared" si="13"/>
        <v>5</v>
      </c>
      <c r="AG611" s="9"/>
      <c r="AH611" s="9"/>
      <c r="AI611" s="9"/>
    </row>
    <row r="612" ht="15.0" customHeight="1">
      <c r="A612" s="11">
        <v>611.0</v>
      </c>
      <c r="B612" s="12">
        <f t="shared" ref="B612:B625" si="105">DATE(2012,12,31)-1362</f>
        <v>39912</v>
      </c>
      <c r="C612" s="13">
        <v>2009.0</v>
      </c>
      <c r="D612" s="11" t="s">
        <v>32</v>
      </c>
      <c r="E612" s="11">
        <v>8.0</v>
      </c>
      <c r="F612" s="21" t="s">
        <v>1084</v>
      </c>
      <c r="G612" s="15">
        <v>0.052816537467700174</v>
      </c>
      <c r="H612" s="11" t="s">
        <v>33</v>
      </c>
      <c r="I612" s="16">
        <v>1.4560000000000002</v>
      </c>
      <c r="J612" s="11" t="s">
        <v>1095</v>
      </c>
      <c r="K612" s="11" t="s">
        <v>65</v>
      </c>
      <c r="L612" s="11" t="s">
        <v>41</v>
      </c>
      <c r="M612" s="11" t="s">
        <v>28</v>
      </c>
      <c r="N612" s="11" t="s">
        <v>197</v>
      </c>
      <c r="O612" s="11" t="s">
        <v>1096</v>
      </c>
      <c r="P612" s="11" t="s">
        <v>31</v>
      </c>
      <c r="Q612" s="20">
        <v>39914.0</v>
      </c>
      <c r="R612" s="17">
        <f t="shared" si="2"/>
        <v>1.936042997</v>
      </c>
      <c r="S612" s="9"/>
      <c r="T612" s="9"/>
      <c r="U612" s="9"/>
      <c r="V612" s="9"/>
      <c r="W612" s="9"/>
      <c r="X612" s="9"/>
      <c r="Y612" s="9"/>
      <c r="Z612" s="9"/>
      <c r="AA612" s="9"/>
      <c r="AB612" s="9" t="str">
        <f>IFERROR(__xludf.DUMMYFUNCTION("""COMPUTED_VALUE"""),"Becky Castell")</f>
        <v>Becky Castell</v>
      </c>
      <c r="AC612" s="9"/>
      <c r="AD612" s="9"/>
      <c r="AE612" s="9">
        <f t="shared" si="8"/>
        <v>3</v>
      </c>
      <c r="AF612" s="19">
        <f t="shared" si="13"/>
        <v>5</v>
      </c>
      <c r="AG612" s="9"/>
      <c r="AH612" s="9"/>
      <c r="AI612" s="9"/>
    </row>
    <row r="613" ht="15.0" customHeight="1">
      <c r="A613" s="11">
        <v>612.0</v>
      </c>
      <c r="B613" s="12">
        <f t="shared" si="105"/>
        <v>39912</v>
      </c>
      <c r="C613" s="13">
        <v>2009.0</v>
      </c>
      <c r="D613" s="11" t="s">
        <v>32</v>
      </c>
      <c r="E613" s="11">
        <v>41.0</v>
      </c>
      <c r="F613" s="21" t="s">
        <v>261</v>
      </c>
      <c r="G613" s="15">
        <v>0.05735095094571528</v>
      </c>
      <c r="H613" s="11" t="s">
        <v>45</v>
      </c>
      <c r="I613" s="16">
        <v>31.200000000000003</v>
      </c>
      <c r="J613" s="11" t="s">
        <v>1095</v>
      </c>
      <c r="K613" s="11" t="s">
        <v>65</v>
      </c>
      <c r="L613" s="11" t="s">
        <v>41</v>
      </c>
      <c r="M613" s="11" t="s">
        <v>49</v>
      </c>
      <c r="N613" s="11" t="s">
        <v>50</v>
      </c>
      <c r="O613" s="11" t="s">
        <v>263</v>
      </c>
      <c r="P613" s="11" t="s">
        <v>52</v>
      </c>
      <c r="Q613" s="20">
        <v>39914.0</v>
      </c>
      <c r="R613" s="17">
        <f t="shared" si="2"/>
        <v>826.8917458</v>
      </c>
      <c r="S613" s="9"/>
      <c r="T613" s="9"/>
      <c r="U613" s="9"/>
      <c r="V613" s="9"/>
      <c r="W613" s="9"/>
      <c r="X613" s="9"/>
      <c r="Y613" s="9"/>
      <c r="Z613" s="9"/>
      <c r="AA613" s="9"/>
      <c r="AB613" s="9" t="str">
        <f>IFERROR(__xludf.DUMMYFUNCTION("""COMPUTED_VALUE"""),"Eleni McCrary")</f>
        <v>Eleni McCrary</v>
      </c>
      <c r="AC613" s="9"/>
      <c r="AD613" s="9"/>
      <c r="AE613" s="9">
        <f t="shared" si="8"/>
        <v>3</v>
      </c>
      <c r="AF613" s="19">
        <f t="shared" si="13"/>
        <v>5</v>
      </c>
      <c r="AG613" s="9"/>
      <c r="AH613" s="9"/>
      <c r="AI613" s="9"/>
    </row>
    <row r="614" ht="15.0" customHeight="1">
      <c r="A614" s="11">
        <v>613.0</v>
      </c>
      <c r="B614" s="12">
        <f t="shared" si="105"/>
        <v>39912</v>
      </c>
      <c r="C614" s="13">
        <v>2009.0</v>
      </c>
      <c r="D614" s="11" t="s">
        <v>32</v>
      </c>
      <c r="E614" s="11">
        <v>26.0</v>
      </c>
      <c r="F614" s="21" t="s">
        <v>270</v>
      </c>
      <c r="G614" s="15">
        <v>0.08541595344060268</v>
      </c>
      <c r="H614" s="11" t="s">
        <v>24</v>
      </c>
      <c r="I614" s="16">
        <v>5.2</v>
      </c>
      <c r="J614" s="11" t="s">
        <v>1095</v>
      </c>
      <c r="K614" s="11" t="s">
        <v>65</v>
      </c>
      <c r="L614" s="11" t="s">
        <v>41</v>
      </c>
      <c r="M614" s="11" t="s">
        <v>66</v>
      </c>
      <c r="N614" s="11" t="s">
        <v>67</v>
      </c>
      <c r="O614" s="11" t="s">
        <v>272</v>
      </c>
      <c r="P614" s="11" t="s">
        <v>38</v>
      </c>
      <c r="Q614" s="20">
        <v>39914.0</v>
      </c>
      <c r="R614" s="17">
        <f t="shared" si="2"/>
        <v>91.27548785</v>
      </c>
      <c r="S614" s="9"/>
      <c r="T614" s="9"/>
      <c r="U614" s="9"/>
      <c r="V614" s="9"/>
      <c r="W614" s="9"/>
      <c r="X614" s="9"/>
      <c r="Y614" s="9"/>
      <c r="Z614" s="9"/>
      <c r="AA614" s="9"/>
      <c r="AB614" s="9" t="str">
        <f>IFERROR(__xludf.DUMMYFUNCTION("""COMPUTED_VALUE"""),"Annie Thurman")</f>
        <v>Annie Thurman</v>
      </c>
      <c r="AC614" s="9"/>
      <c r="AD614" s="9"/>
      <c r="AE614" s="9">
        <f t="shared" si="8"/>
        <v>3</v>
      </c>
      <c r="AF614" s="19">
        <f t="shared" si="13"/>
        <v>5</v>
      </c>
      <c r="AG614" s="9"/>
      <c r="AH614" s="9"/>
      <c r="AI614" s="9"/>
    </row>
    <row r="615" ht="15.0" customHeight="1">
      <c r="A615" s="11">
        <v>614.0</v>
      </c>
      <c r="B615" s="12">
        <f t="shared" si="105"/>
        <v>39912</v>
      </c>
      <c r="C615" s="13">
        <v>2009.0</v>
      </c>
      <c r="D615" s="11" t="s">
        <v>32</v>
      </c>
      <c r="E615" s="11">
        <v>29.0</v>
      </c>
      <c r="F615" s="21" t="s">
        <v>1097</v>
      </c>
      <c r="G615" s="15">
        <v>0.08377806776762826</v>
      </c>
      <c r="H615" s="11" t="s">
        <v>45</v>
      </c>
      <c r="I615" s="16">
        <v>48.0</v>
      </c>
      <c r="J615" s="11" t="s">
        <v>1095</v>
      </c>
      <c r="K615" s="11" t="s">
        <v>65</v>
      </c>
      <c r="L615" s="11" t="s">
        <v>41</v>
      </c>
      <c r="M615" s="11" t="s">
        <v>49</v>
      </c>
      <c r="N615" s="11" t="s">
        <v>85</v>
      </c>
      <c r="O615" s="11" t="s">
        <v>1098</v>
      </c>
      <c r="P615" s="11" t="s">
        <v>52</v>
      </c>
      <c r="Q615" s="20">
        <v>39914.0</v>
      </c>
      <c r="R615" s="17">
        <f t="shared" si="2"/>
        <v>852.9109967</v>
      </c>
      <c r="S615" s="9"/>
      <c r="T615" s="9"/>
      <c r="U615" s="9"/>
      <c r="V615" s="9"/>
      <c r="W615" s="9"/>
      <c r="X615" s="9"/>
      <c r="Y615" s="9"/>
      <c r="Z615" s="9"/>
      <c r="AA615" s="9"/>
      <c r="AB615" s="9" t="str">
        <f>IFERROR(__xludf.DUMMYFUNCTION("""COMPUTED_VALUE"""),"Angele Hood")</f>
        <v>Angele Hood</v>
      </c>
      <c r="AC615" s="9"/>
      <c r="AD615" s="9"/>
      <c r="AE615" s="9">
        <f t="shared" si="8"/>
        <v>3</v>
      </c>
      <c r="AF615" s="19">
        <f t="shared" si="13"/>
        <v>5</v>
      </c>
      <c r="AG615" s="9"/>
      <c r="AH615" s="9"/>
      <c r="AI615" s="9"/>
    </row>
    <row r="616" ht="15.0" customHeight="1">
      <c r="A616" s="11">
        <v>615.0</v>
      </c>
      <c r="B616" s="12">
        <f t="shared" si="105"/>
        <v>39912</v>
      </c>
      <c r="C616" s="13">
        <v>2009.0</v>
      </c>
      <c r="D616" s="11" t="s">
        <v>102</v>
      </c>
      <c r="E616" s="11">
        <v>30.0</v>
      </c>
      <c r="F616" s="21" t="s">
        <v>128</v>
      </c>
      <c r="G616" s="15">
        <v>0.06646465144972238</v>
      </c>
      <c r="H616" s="11" t="s">
        <v>33</v>
      </c>
      <c r="I616" s="16">
        <v>6.152000000000001</v>
      </c>
      <c r="J616" s="11" t="s">
        <v>1099</v>
      </c>
      <c r="K616" s="11" t="s">
        <v>47</v>
      </c>
      <c r="L616" s="11" t="s">
        <v>48</v>
      </c>
      <c r="M616" s="11" t="s">
        <v>66</v>
      </c>
      <c r="N616" s="11" t="s">
        <v>80</v>
      </c>
      <c r="O616" s="11" t="s">
        <v>1100</v>
      </c>
      <c r="P616" s="11" t="s">
        <v>38</v>
      </c>
      <c r="Q616" s="20">
        <v>39914.0</v>
      </c>
      <c r="R616" s="17">
        <f t="shared" si="2"/>
        <v>251.4458791</v>
      </c>
      <c r="S616" s="9"/>
      <c r="T616" s="9"/>
      <c r="U616" s="9"/>
      <c r="V616" s="9"/>
      <c r="W616" s="9"/>
      <c r="X616" s="9"/>
      <c r="Y616" s="9"/>
      <c r="Z616" s="9"/>
      <c r="AA616" s="9"/>
      <c r="AB616" s="9" t="str">
        <f>IFERROR(__xludf.DUMMYFUNCTION("""COMPUTED_VALUE"""),"Lisa DeCherney")</f>
        <v>Lisa DeCherney</v>
      </c>
      <c r="AC616" s="9"/>
      <c r="AD616" s="9"/>
      <c r="AE616" s="9">
        <f t="shared" si="8"/>
        <v>4</v>
      </c>
      <c r="AF616" s="19">
        <f t="shared" si="13"/>
        <v>3</v>
      </c>
      <c r="AG616" s="9"/>
      <c r="AH616" s="9"/>
      <c r="AI616" s="9"/>
    </row>
    <row r="617" ht="15.0" customHeight="1">
      <c r="A617" s="11">
        <v>616.0</v>
      </c>
      <c r="B617" s="12">
        <f t="shared" si="105"/>
        <v>39912</v>
      </c>
      <c r="C617" s="13">
        <v>2009.0</v>
      </c>
      <c r="D617" s="11" t="s">
        <v>23</v>
      </c>
      <c r="E617" s="11">
        <v>11.0</v>
      </c>
      <c r="F617" s="21" t="s">
        <v>295</v>
      </c>
      <c r="G617" s="15">
        <v>0.04300814548209879</v>
      </c>
      <c r="H617" s="11" t="s">
        <v>33</v>
      </c>
      <c r="I617" s="16">
        <v>15.991999999999999</v>
      </c>
      <c r="J617" s="11" t="s">
        <v>1101</v>
      </c>
      <c r="K617" s="11" t="s">
        <v>65</v>
      </c>
      <c r="L617" s="11" t="s">
        <v>48</v>
      </c>
      <c r="M617" s="11" t="s">
        <v>28</v>
      </c>
      <c r="N617" s="11" t="s">
        <v>236</v>
      </c>
      <c r="O617" s="11" t="s">
        <v>296</v>
      </c>
      <c r="P617" s="11" t="s">
        <v>38</v>
      </c>
      <c r="Q617" s="20">
        <v>39914.0</v>
      </c>
      <c r="R617" s="17">
        <f t="shared" si="2"/>
        <v>43.45508613</v>
      </c>
      <c r="S617" s="9"/>
      <c r="T617" s="9"/>
      <c r="U617" s="9"/>
      <c r="V617" s="9"/>
      <c r="W617" s="9"/>
      <c r="X617" s="9"/>
      <c r="Y617" s="9"/>
      <c r="Z617" s="9"/>
      <c r="AA617" s="9"/>
      <c r="AB617" s="9" t="str">
        <f>IFERROR(__xludf.DUMMYFUNCTION("""COMPUTED_VALUE"""),"Jeremy Ellison")</f>
        <v>Jeremy Ellison</v>
      </c>
      <c r="AC617" s="9"/>
      <c r="AD617" s="9"/>
      <c r="AE617" s="9">
        <f t="shared" si="8"/>
        <v>4</v>
      </c>
      <c r="AF617" s="19">
        <f t="shared" si="13"/>
        <v>5</v>
      </c>
      <c r="AG617" s="9"/>
      <c r="AH617" s="9"/>
      <c r="AI617" s="9"/>
    </row>
    <row r="618" ht="15.0" customHeight="1">
      <c r="A618" s="11">
        <v>617.0</v>
      </c>
      <c r="B618" s="12">
        <f t="shared" si="105"/>
        <v>39912</v>
      </c>
      <c r="C618" s="13">
        <v>2009.0</v>
      </c>
      <c r="D618" s="11" t="s">
        <v>23</v>
      </c>
      <c r="E618" s="11">
        <v>36.0</v>
      </c>
      <c r="F618" s="21" t="s">
        <v>413</v>
      </c>
      <c r="G618" s="15">
        <v>0.029561403508772063</v>
      </c>
      <c r="H618" s="11" t="s">
        <v>33</v>
      </c>
      <c r="I618" s="16">
        <v>4.816</v>
      </c>
      <c r="J618" s="11" t="s">
        <v>1101</v>
      </c>
      <c r="K618" s="11" t="s">
        <v>65</v>
      </c>
      <c r="L618" s="11" t="s">
        <v>48</v>
      </c>
      <c r="M618" s="11" t="s">
        <v>49</v>
      </c>
      <c r="N618" s="11" t="s">
        <v>73</v>
      </c>
      <c r="O618" s="11" t="s">
        <v>1102</v>
      </c>
      <c r="P618" s="11" t="s">
        <v>75</v>
      </c>
      <c r="Q618" s="20">
        <v>39914.0</v>
      </c>
      <c r="R618" s="17">
        <f t="shared" si="2"/>
        <v>10.46520982</v>
      </c>
      <c r="S618" s="9"/>
      <c r="T618" s="9"/>
      <c r="U618" s="9"/>
      <c r="V618" s="9"/>
      <c r="W618" s="9"/>
      <c r="X618" s="9"/>
      <c r="Y618" s="9"/>
      <c r="Z618" s="9"/>
      <c r="AA618" s="9"/>
      <c r="AB618" s="9" t="str">
        <f>IFERROR(__xludf.DUMMYFUNCTION("""COMPUTED_VALUE"""),"Candace McMahon")</f>
        <v>Candace McMahon</v>
      </c>
      <c r="AC618" s="9"/>
      <c r="AD618" s="9"/>
      <c r="AE618" s="9">
        <f t="shared" si="8"/>
        <v>4</v>
      </c>
      <c r="AF618" s="19">
        <f t="shared" si="13"/>
        <v>5</v>
      </c>
      <c r="AG618" s="9"/>
      <c r="AH618" s="9"/>
      <c r="AI618" s="9"/>
    </row>
    <row r="619" ht="15.0" customHeight="1">
      <c r="A619" s="11">
        <v>618.0</v>
      </c>
      <c r="B619" s="12">
        <f t="shared" si="105"/>
        <v>39912</v>
      </c>
      <c r="C619" s="13">
        <v>2009.0</v>
      </c>
      <c r="D619" s="11" t="s">
        <v>23</v>
      </c>
      <c r="E619" s="11">
        <v>2.0</v>
      </c>
      <c r="F619" s="21" t="s">
        <v>718</v>
      </c>
      <c r="G619" s="15">
        <v>0.10290436835891391</v>
      </c>
      <c r="H619" s="11" t="s">
        <v>33</v>
      </c>
      <c r="I619" s="16">
        <v>6.184000000000001</v>
      </c>
      <c r="J619" s="11" t="s">
        <v>1101</v>
      </c>
      <c r="K619" s="11" t="s">
        <v>65</v>
      </c>
      <c r="L619" s="11" t="s">
        <v>48</v>
      </c>
      <c r="M619" s="11" t="s">
        <v>28</v>
      </c>
      <c r="N619" s="11" t="s">
        <v>62</v>
      </c>
      <c r="O619" s="11" t="s">
        <v>720</v>
      </c>
      <c r="P619" s="11" t="s">
        <v>38</v>
      </c>
      <c r="Q619" s="20">
        <v>39914.0</v>
      </c>
      <c r="R619" s="17">
        <f t="shared" si="2"/>
        <v>7.819085525</v>
      </c>
      <c r="S619" s="9"/>
      <c r="T619" s="9"/>
      <c r="U619" s="9"/>
      <c r="V619" s="9"/>
      <c r="W619" s="9"/>
      <c r="X619" s="9"/>
      <c r="Y619" s="9"/>
      <c r="Z619" s="9"/>
      <c r="AA619" s="9"/>
      <c r="AB619" s="9" t="str">
        <f>IFERROR(__xludf.DUMMYFUNCTION("""COMPUTED_VALUE"""),"Hunter Lopez")</f>
        <v>Hunter Lopez</v>
      </c>
      <c r="AC619" s="9"/>
      <c r="AD619" s="9"/>
      <c r="AE619" s="9">
        <f t="shared" si="8"/>
        <v>4</v>
      </c>
      <c r="AF619" s="19">
        <f t="shared" si="13"/>
        <v>5</v>
      </c>
      <c r="AG619" s="9"/>
      <c r="AH619" s="9"/>
      <c r="AI619" s="9"/>
    </row>
    <row r="620" ht="15.0" customHeight="1">
      <c r="A620" s="11">
        <v>619.0</v>
      </c>
      <c r="B620" s="12">
        <f t="shared" si="105"/>
        <v>39912</v>
      </c>
      <c r="C620" s="13">
        <v>2009.0</v>
      </c>
      <c r="D620" s="11" t="s">
        <v>44</v>
      </c>
      <c r="E620" s="11">
        <v>43.0</v>
      </c>
      <c r="F620" s="21" t="s">
        <v>287</v>
      </c>
      <c r="G620" s="15">
        <v>0.048683453100280265</v>
      </c>
      <c r="H620" s="11" t="s">
        <v>33</v>
      </c>
      <c r="I620" s="16">
        <v>7.192</v>
      </c>
      <c r="J620" s="11" t="s">
        <v>1103</v>
      </c>
      <c r="K620" s="11" t="s">
        <v>83</v>
      </c>
      <c r="L620" s="11" t="s">
        <v>41</v>
      </c>
      <c r="M620" s="11" t="s">
        <v>66</v>
      </c>
      <c r="N620" s="11" t="s">
        <v>80</v>
      </c>
      <c r="O620" s="11" t="s">
        <v>1104</v>
      </c>
      <c r="P620" s="11" t="s">
        <v>38</v>
      </c>
      <c r="Q620" s="20">
        <v>39914.0</v>
      </c>
      <c r="R620" s="17">
        <f t="shared" si="2"/>
        <v>242.9738566</v>
      </c>
      <c r="S620" s="9"/>
      <c r="T620" s="9"/>
      <c r="U620" s="9"/>
      <c r="V620" s="9"/>
      <c r="W620" s="9"/>
      <c r="X620" s="9"/>
      <c r="Y620" s="9"/>
      <c r="Z620" s="9"/>
      <c r="AA620" s="9"/>
      <c r="AB620" s="9" t="str">
        <f>IFERROR(__xludf.DUMMYFUNCTION("""COMPUTED_VALUE"""),"Mark Van Huff")</f>
        <v>Mark Van Huff</v>
      </c>
      <c r="AC620" s="9"/>
      <c r="AD620" s="9"/>
      <c r="AE620" s="9">
        <f t="shared" si="8"/>
        <v>3</v>
      </c>
      <c r="AF620" s="19" t="b">
        <f t="shared" si="13"/>
        <v>0</v>
      </c>
      <c r="AG620" s="9"/>
      <c r="AH620" s="9"/>
      <c r="AI620" s="9"/>
    </row>
    <row r="621" ht="15.0" customHeight="1">
      <c r="A621" s="11">
        <v>620.0</v>
      </c>
      <c r="B621" s="12">
        <f t="shared" si="105"/>
        <v>39912</v>
      </c>
      <c r="C621" s="13">
        <v>2009.0</v>
      </c>
      <c r="D621" s="11" t="s">
        <v>23</v>
      </c>
      <c r="E621" s="11">
        <v>31.0</v>
      </c>
      <c r="F621" s="21" t="s">
        <v>362</v>
      </c>
      <c r="G621" s="15">
        <v>0.05351612903225803</v>
      </c>
      <c r="H621" s="11" t="s">
        <v>33</v>
      </c>
      <c r="I621" s="16">
        <v>10.656</v>
      </c>
      <c r="J621" s="11" t="s">
        <v>1068</v>
      </c>
      <c r="K621" s="11" t="s">
        <v>35</v>
      </c>
      <c r="L621" s="11" t="s">
        <v>36</v>
      </c>
      <c r="M621" s="11" t="s">
        <v>28</v>
      </c>
      <c r="N621" s="11" t="s">
        <v>197</v>
      </c>
      <c r="O621" s="11" t="s">
        <v>364</v>
      </c>
      <c r="P621" s="11" t="s">
        <v>38</v>
      </c>
      <c r="Q621" s="20">
        <v>39914.0</v>
      </c>
      <c r="R621" s="17">
        <f t="shared" si="2"/>
        <v>25.12346787</v>
      </c>
      <c r="S621" s="9"/>
      <c r="T621" s="9"/>
      <c r="U621" s="9"/>
      <c r="V621" s="9"/>
      <c r="W621" s="9"/>
      <c r="X621" s="9"/>
      <c r="Y621" s="9"/>
      <c r="Z621" s="9"/>
      <c r="AA621" s="9"/>
      <c r="AB621" s="9" t="str">
        <f>IFERROR(__xludf.DUMMYFUNCTION("""COMPUTED_VALUE"""),"Helen Andreada")</f>
        <v>Helen Andreada</v>
      </c>
      <c r="AC621" s="9"/>
      <c r="AD621" s="9"/>
      <c r="AE621" s="9">
        <f t="shared" si="8"/>
        <v>2</v>
      </c>
      <c r="AF621" s="19">
        <f t="shared" si="13"/>
        <v>2</v>
      </c>
      <c r="AG621" s="9"/>
      <c r="AH621" s="9"/>
      <c r="AI621" s="9"/>
    </row>
    <row r="622" ht="15.0" customHeight="1">
      <c r="A622" s="11">
        <v>621.0</v>
      </c>
      <c r="B622" s="12">
        <f t="shared" si="105"/>
        <v>39912</v>
      </c>
      <c r="C622" s="13">
        <v>2009.0</v>
      </c>
      <c r="D622" s="11" t="s">
        <v>23</v>
      </c>
      <c r="E622" s="11">
        <v>29.0</v>
      </c>
      <c r="F622" s="21" t="s">
        <v>204</v>
      </c>
      <c r="G622" s="15">
        <v>0.10294117647058816</v>
      </c>
      <c r="H622" s="11" t="s">
        <v>33</v>
      </c>
      <c r="I622" s="16">
        <v>1.0</v>
      </c>
      <c r="J622" s="11" t="s">
        <v>1068</v>
      </c>
      <c r="K622" s="11" t="s">
        <v>35</v>
      </c>
      <c r="L622" s="11" t="s">
        <v>36</v>
      </c>
      <c r="M622" s="11" t="s">
        <v>28</v>
      </c>
      <c r="N622" s="11" t="s">
        <v>62</v>
      </c>
      <c r="O622" s="11" t="s">
        <v>1105</v>
      </c>
      <c r="P622" s="11" t="s">
        <v>58</v>
      </c>
      <c r="Q622" s="20">
        <v>39914.0</v>
      </c>
      <c r="R622" s="17">
        <f t="shared" si="2"/>
        <v>8.163235294</v>
      </c>
      <c r="S622" s="9"/>
      <c r="T622" s="9"/>
      <c r="U622" s="9"/>
      <c r="V622" s="9"/>
      <c r="W622" s="9"/>
      <c r="X622" s="9"/>
      <c r="Y622" s="9"/>
      <c r="Z622" s="9"/>
      <c r="AA622" s="9"/>
      <c r="AB622" s="9" t="str">
        <f>IFERROR(__xludf.DUMMYFUNCTION("""COMPUTED_VALUE"""),"Denny Joy")</f>
        <v>Denny Joy</v>
      </c>
      <c r="AC622" s="9"/>
      <c r="AD622" s="9"/>
      <c r="AE622" s="9">
        <f t="shared" si="8"/>
        <v>2</v>
      </c>
      <c r="AF622" s="19">
        <f t="shared" si="13"/>
        <v>2</v>
      </c>
      <c r="AG622" s="9"/>
      <c r="AH622" s="9"/>
      <c r="AI622" s="9"/>
    </row>
    <row r="623" ht="15.0" customHeight="1">
      <c r="A623" s="11">
        <v>622.0</v>
      </c>
      <c r="B623" s="12">
        <f t="shared" si="105"/>
        <v>39912</v>
      </c>
      <c r="C623" s="13">
        <v>2009.0</v>
      </c>
      <c r="D623" s="11" t="s">
        <v>39</v>
      </c>
      <c r="E623" s="11">
        <v>39.0</v>
      </c>
      <c r="F623" s="21" t="s">
        <v>834</v>
      </c>
      <c r="G623" s="15">
        <v>0.06615737513480019</v>
      </c>
      <c r="H623" s="11" t="s">
        <v>45</v>
      </c>
      <c r="I623" s="16">
        <v>38.608000000000004</v>
      </c>
      <c r="J623" s="11" t="s">
        <v>932</v>
      </c>
      <c r="K623" s="11" t="s">
        <v>83</v>
      </c>
      <c r="L623" s="11" t="s">
        <v>41</v>
      </c>
      <c r="M623" s="11" t="s">
        <v>66</v>
      </c>
      <c r="N623" s="11" t="s">
        <v>69</v>
      </c>
      <c r="O623" s="11" t="s">
        <v>835</v>
      </c>
      <c r="P623" s="11" t="s">
        <v>87</v>
      </c>
      <c r="Q623" s="20">
        <v>39914.0</v>
      </c>
      <c r="R623" s="17">
        <f t="shared" si="2"/>
        <v>1036.93138</v>
      </c>
      <c r="S623" s="9"/>
      <c r="T623" s="9"/>
      <c r="U623" s="9"/>
      <c r="V623" s="9"/>
      <c r="W623" s="9"/>
      <c r="X623" s="9"/>
      <c r="Y623" s="9"/>
      <c r="Z623" s="9"/>
      <c r="AA623" s="9"/>
      <c r="AB623" s="9" t="str">
        <f>IFERROR(__xludf.DUMMYFUNCTION("""COMPUTED_VALUE"""),"Muhammed MacIntyre")</f>
        <v>Muhammed MacIntyre</v>
      </c>
      <c r="AC623" s="9"/>
      <c r="AD623" s="9"/>
      <c r="AE623" s="9">
        <f t="shared" si="8"/>
        <v>3</v>
      </c>
      <c r="AF623" s="19" t="b">
        <f t="shared" si="13"/>
        <v>0</v>
      </c>
      <c r="AG623" s="9"/>
      <c r="AH623" s="9"/>
      <c r="AI623" s="9"/>
    </row>
    <row r="624" ht="15.0" customHeight="1">
      <c r="A624" s="11">
        <v>623.0</v>
      </c>
      <c r="B624" s="12">
        <f t="shared" si="105"/>
        <v>39912</v>
      </c>
      <c r="C624" s="13">
        <v>2009.0</v>
      </c>
      <c r="D624" s="11" t="s">
        <v>44</v>
      </c>
      <c r="E624" s="11">
        <v>46.0</v>
      </c>
      <c r="F624" s="21" t="s">
        <v>144</v>
      </c>
      <c r="G624" s="15">
        <v>0.07714285714285712</v>
      </c>
      <c r="H624" s="11" t="s">
        <v>33</v>
      </c>
      <c r="I624" s="16">
        <v>1.592</v>
      </c>
      <c r="J624" s="11" t="s">
        <v>60</v>
      </c>
      <c r="K624" s="11" t="s">
        <v>61</v>
      </c>
      <c r="L624" s="11" t="s">
        <v>27</v>
      </c>
      <c r="M624" s="11" t="s">
        <v>66</v>
      </c>
      <c r="N624" s="11" t="s">
        <v>67</v>
      </c>
      <c r="O624" s="11" t="s">
        <v>1106</v>
      </c>
      <c r="P624" s="11" t="s">
        <v>99</v>
      </c>
      <c r="Q624" s="20">
        <v>39914.0</v>
      </c>
      <c r="R624" s="17">
        <f t="shared" si="2"/>
        <v>7.574811429</v>
      </c>
      <c r="S624" s="9"/>
      <c r="T624" s="9"/>
      <c r="U624" s="9"/>
      <c r="V624" s="9"/>
      <c r="W624" s="9"/>
      <c r="X624" s="9"/>
      <c r="Y624" s="9"/>
      <c r="Z624" s="9"/>
      <c r="AA624" s="9"/>
      <c r="AB624" s="9" t="str">
        <f>IFERROR(__xludf.DUMMYFUNCTION("""COMPUTED_VALUE"""),"Juliana Krohn")</f>
        <v>Juliana Krohn</v>
      </c>
      <c r="AC624" s="9"/>
      <c r="AD624" s="9"/>
      <c r="AE624" s="9">
        <f t="shared" si="8"/>
        <v>1</v>
      </c>
      <c r="AF624" s="19">
        <f t="shared" si="13"/>
        <v>4</v>
      </c>
      <c r="AG624" s="9"/>
      <c r="AH624" s="9"/>
      <c r="AI624" s="9"/>
    </row>
    <row r="625" ht="15.0" customHeight="1">
      <c r="A625" s="11">
        <v>624.0</v>
      </c>
      <c r="B625" s="12">
        <f t="shared" si="105"/>
        <v>39912</v>
      </c>
      <c r="C625" s="13">
        <v>2009.0</v>
      </c>
      <c r="D625" s="11" t="s">
        <v>44</v>
      </c>
      <c r="E625" s="11">
        <v>11.0</v>
      </c>
      <c r="F625" s="21" t="s">
        <v>147</v>
      </c>
      <c r="G625" s="15">
        <v>0.10000000000000003</v>
      </c>
      <c r="H625" s="11" t="s">
        <v>33</v>
      </c>
      <c r="I625" s="16">
        <v>0.5599999999999999</v>
      </c>
      <c r="J625" s="11" t="s">
        <v>60</v>
      </c>
      <c r="K625" s="11" t="s">
        <v>61</v>
      </c>
      <c r="L625" s="11" t="s">
        <v>27</v>
      </c>
      <c r="M625" s="11" t="s">
        <v>28</v>
      </c>
      <c r="N625" s="11" t="s">
        <v>62</v>
      </c>
      <c r="O625" s="11" t="s">
        <v>1107</v>
      </c>
      <c r="P625" s="11" t="s">
        <v>58</v>
      </c>
      <c r="Q625" s="20">
        <v>39914.0</v>
      </c>
      <c r="R625" s="17">
        <f t="shared" si="2"/>
        <v>1.926</v>
      </c>
      <c r="S625" s="9"/>
      <c r="T625" s="9"/>
      <c r="U625" s="9"/>
      <c r="V625" s="9"/>
      <c r="W625" s="9"/>
      <c r="X625" s="9"/>
      <c r="Y625" s="9"/>
      <c r="Z625" s="9"/>
      <c r="AA625" s="9"/>
      <c r="AB625" s="9" t="str">
        <f>IFERROR(__xludf.DUMMYFUNCTION("""COMPUTED_VALUE"""),"Sarah Jordon")</f>
        <v>Sarah Jordon</v>
      </c>
      <c r="AC625" s="9"/>
      <c r="AD625" s="9"/>
      <c r="AE625" s="9">
        <f t="shared" si="8"/>
        <v>1</v>
      </c>
      <c r="AF625" s="19">
        <f t="shared" si="13"/>
        <v>4</v>
      </c>
      <c r="AG625" s="9"/>
      <c r="AH625" s="9"/>
      <c r="AI625" s="9"/>
    </row>
    <row r="626" ht="15.0" customHeight="1">
      <c r="A626" s="11">
        <v>625.0</v>
      </c>
      <c r="B626" s="12">
        <f t="shared" ref="B626:B636" si="106">DATE(2012,12,31)-1361</f>
        <v>39913</v>
      </c>
      <c r="C626" s="13">
        <v>2009.0</v>
      </c>
      <c r="D626" s="11" t="s">
        <v>23</v>
      </c>
      <c r="E626" s="11">
        <v>33.0</v>
      </c>
      <c r="F626" s="21" t="s">
        <v>455</v>
      </c>
      <c r="G626" s="15">
        <v>0.0773427561837457</v>
      </c>
      <c r="H626" s="11" t="s">
        <v>33</v>
      </c>
      <c r="I626" s="16">
        <v>5.5680000000000005</v>
      </c>
      <c r="J626" s="11" t="s">
        <v>932</v>
      </c>
      <c r="K626" s="11" t="s">
        <v>83</v>
      </c>
      <c r="L626" s="11" t="s">
        <v>41</v>
      </c>
      <c r="M626" s="11" t="s">
        <v>28</v>
      </c>
      <c r="N626" s="11" t="s">
        <v>197</v>
      </c>
      <c r="O626" s="11" t="s">
        <v>457</v>
      </c>
      <c r="P626" s="11" t="s">
        <v>75</v>
      </c>
      <c r="Q626" s="20">
        <v>39915.0</v>
      </c>
      <c r="R626" s="17">
        <f t="shared" si="2"/>
        <v>30.29268263</v>
      </c>
      <c r="S626" s="9"/>
      <c r="T626" s="9"/>
      <c r="U626" s="9"/>
      <c r="V626" s="9"/>
      <c r="W626" s="9"/>
      <c r="X626" s="9"/>
      <c r="Y626" s="9"/>
      <c r="Z626" s="9"/>
      <c r="AA626" s="9"/>
      <c r="AB626" s="9" t="str">
        <f>IFERROR(__xludf.DUMMYFUNCTION("""COMPUTED_VALUE"""),"Barry Franz")</f>
        <v>Barry Franz</v>
      </c>
      <c r="AC626" s="9"/>
      <c r="AD626" s="9"/>
      <c r="AE626" s="9">
        <f t="shared" si="8"/>
        <v>3</v>
      </c>
      <c r="AF626" s="19" t="b">
        <f t="shared" si="13"/>
        <v>0</v>
      </c>
      <c r="AG626" s="9"/>
      <c r="AH626" s="9"/>
      <c r="AI626" s="9"/>
    </row>
    <row r="627" ht="15.0" customHeight="1">
      <c r="A627" s="11">
        <v>626.0</v>
      </c>
      <c r="B627" s="12">
        <f t="shared" si="106"/>
        <v>39913</v>
      </c>
      <c r="C627" s="13">
        <v>2009.0</v>
      </c>
      <c r="D627" s="11" t="s">
        <v>32</v>
      </c>
      <c r="E627" s="11">
        <v>7.0</v>
      </c>
      <c r="F627" s="21" t="s">
        <v>183</v>
      </c>
      <c r="G627" s="15">
        <v>0.0518203309692672</v>
      </c>
      <c r="H627" s="11" t="s">
        <v>33</v>
      </c>
      <c r="I627" s="16">
        <v>9.024</v>
      </c>
      <c r="J627" s="11" t="s">
        <v>1108</v>
      </c>
      <c r="K627" s="11" t="s">
        <v>47</v>
      </c>
      <c r="L627" s="11" t="s">
        <v>27</v>
      </c>
      <c r="M627" s="11" t="s">
        <v>66</v>
      </c>
      <c r="N627" s="11" t="s">
        <v>69</v>
      </c>
      <c r="O627" s="11" t="s">
        <v>1109</v>
      </c>
      <c r="P627" s="11" t="s">
        <v>75</v>
      </c>
      <c r="Q627" s="20">
        <v>39915.0</v>
      </c>
      <c r="R627" s="17">
        <f t="shared" si="2"/>
        <v>6.235229504</v>
      </c>
      <c r="S627" s="9"/>
      <c r="T627" s="9"/>
      <c r="U627" s="9"/>
      <c r="V627" s="9"/>
      <c r="W627" s="9"/>
      <c r="X627" s="9"/>
      <c r="Y627" s="9"/>
      <c r="Z627" s="9"/>
      <c r="AA627" s="9"/>
      <c r="AB627" s="9" t="str">
        <f>IFERROR(__xludf.DUMMYFUNCTION("""COMPUTED_VALUE"""),"Michael Nguyen")</f>
        <v>Michael Nguyen</v>
      </c>
      <c r="AC627" s="9"/>
      <c r="AD627" s="9"/>
      <c r="AE627" s="9">
        <f t="shared" si="8"/>
        <v>1</v>
      </c>
      <c r="AF627" s="19">
        <f t="shared" si="13"/>
        <v>3</v>
      </c>
      <c r="AG627" s="9"/>
      <c r="AH627" s="9"/>
      <c r="AI627" s="9"/>
    </row>
    <row r="628" ht="15.0" customHeight="1">
      <c r="A628" s="11">
        <v>627.0</v>
      </c>
      <c r="B628" s="12">
        <f t="shared" si="106"/>
        <v>39913</v>
      </c>
      <c r="C628" s="13">
        <v>2009.0</v>
      </c>
      <c r="D628" s="11" t="s">
        <v>23</v>
      </c>
      <c r="E628" s="11">
        <v>5.0</v>
      </c>
      <c r="F628" s="21" t="s">
        <v>151</v>
      </c>
      <c r="G628" s="15">
        <v>0.09971830985915486</v>
      </c>
      <c r="H628" s="11" t="s">
        <v>33</v>
      </c>
      <c r="I628" s="16">
        <v>3.176</v>
      </c>
      <c r="J628" s="11" t="s">
        <v>1110</v>
      </c>
      <c r="K628" s="11" t="s">
        <v>61</v>
      </c>
      <c r="L628" s="11" t="s">
        <v>41</v>
      </c>
      <c r="M628" s="11" t="s">
        <v>28</v>
      </c>
      <c r="N628" s="11" t="s">
        <v>62</v>
      </c>
      <c r="O628" s="11" t="s">
        <v>153</v>
      </c>
      <c r="P628" s="11" t="s">
        <v>58</v>
      </c>
      <c r="Q628" s="20">
        <v>39915.0</v>
      </c>
      <c r="R628" s="17">
        <f t="shared" si="2"/>
        <v>1.91219831</v>
      </c>
      <c r="S628" s="9"/>
      <c r="T628" s="9"/>
      <c r="U628" s="9"/>
      <c r="V628" s="9"/>
      <c r="W628" s="9"/>
      <c r="X628" s="9"/>
      <c r="Y628" s="9"/>
      <c r="Z628" s="9"/>
      <c r="AA628" s="9"/>
      <c r="AB628" s="9" t="str">
        <f>IFERROR(__xludf.DUMMYFUNCTION("""COMPUTED_VALUE"""),"Lena Radford")</f>
        <v>Lena Radford</v>
      </c>
      <c r="AC628" s="9"/>
      <c r="AD628" s="9"/>
      <c r="AE628" s="9">
        <f t="shared" si="8"/>
        <v>3</v>
      </c>
      <c r="AF628" s="19">
        <f t="shared" si="13"/>
        <v>4</v>
      </c>
      <c r="AG628" s="9"/>
      <c r="AH628" s="9"/>
      <c r="AI628" s="9"/>
    </row>
    <row r="629" ht="15.0" customHeight="1">
      <c r="A629" s="11">
        <v>628.0</v>
      </c>
      <c r="B629" s="12">
        <f t="shared" si="106"/>
        <v>39913</v>
      </c>
      <c r="C629" s="13">
        <v>2009.0</v>
      </c>
      <c r="D629" s="11" t="s">
        <v>23</v>
      </c>
      <c r="E629" s="11">
        <v>21.0</v>
      </c>
      <c r="F629" s="21" t="s">
        <v>810</v>
      </c>
      <c r="G629" s="15">
        <v>0.038621834786218355</v>
      </c>
      <c r="H629" s="11" t="s">
        <v>33</v>
      </c>
      <c r="I629" s="16">
        <v>2.696</v>
      </c>
      <c r="J629" s="11" t="s">
        <v>1110</v>
      </c>
      <c r="K629" s="11" t="s">
        <v>61</v>
      </c>
      <c r="L629" s="11" t="s">
        <v>41</v>
      </c>
      <c r="M629" s="11" t="s">
        <v>28</v>
      </c>
      <c r="N629" s="11" t="s">
        <v>442</v>
      </c>
      <c r="O629" s="11" t="s">
        <v>1111</v>
      </c>
      <c r="P629" s="11" t="s">
        <v>99</v>
      </c>
      <c r="Q629" s="20">
        <v>39915.0</v>
      </c>
      <c r="R629" s="17">
        <f t="shared" si="2"/>
        <v>8.944662449</v>
      </c>
      <c r="S629" s="9"/>
      <c r="T629" s="9"/>
      <c r="U629" s="9"/>
      <c r="V629" s="9"/>
      <c r="W629" s="9"/>
      <c r="X629" s="9"/>
      <c r="Y629" s="9"/>
      <c r="Z629" s="9"/>
      <c r="AA629" s="9"/>
      <c r="AB629" s="9" t="str">
        <f>IFERROR(__xludf.DUMMYFUNCTION("""COMPUTED_VALUE"""),"Brooke Gillingham")</f>
        <v>Brooke Gillingham</v>
      </c>
      <c r="AC629" s="9"/>
      <c r="AD629" s="9"/>
      <c r="AE629" s="9">
        <f t="shared" si="8"/>
        <v>3</v>
      </c>
      <c r="AF629" s="19">
        <f t="shared" si="13"/>
        <v>4</v>
      </c>
      <c r="AG629" s="9"/>
      <c r="AH629" s="9"/>
      <c r="AI629" s="9"/>
    </row>
    <row r="630" ht="15.0" customHeight="1">
      <c r="A630" s="11">
        <v>629.0</v>
      </c>
      <c r="B630" s="12">
        <f t="shared" si="106"/>
        <v>39913</v>
      </c>
      <c r="C630" s="13">
        <v>2009.0</v>
      </c>
      <c r="D630" s="11" t="s">
        <v>23</v>
      </c>
      <c r="E630" s="11">
        <v>29.0</v>
      </c>
      <c r="F630" s="21" t="s">
        <v>347</v>
      </c>
      <c r="G630" s="15">
        <v>0.049533080873168316</v>
      </c>
      <c r="H630" s="11" t="s">
        <v>45</v>
      </c>
      <c r="I630" s="16">
        <v>72.84</v>
      </c>
      <c r="J630" s="11" t="s">
        <v>1112</v>
      </c>
      <c r="K630" s="11" t="s">
        <v>35</v>
      </c>
      <c r="L630" s="11" t="s">
        <v>27</v>
      </c>
      <c r="M630" s="11" t="s">
        <v>28</v>
      </c>
      <c r="N630" s="11" t="s">
        <v>197</v>
      </c>
      <c r="O630" s="11" t="s">
        <v>348</v>
      </c>
      <c r="P630" s="11" t="s">
        <v>52</v>
      </c>
      <c r="Q630" s="20">
        <v>39915.0</v>
      </c>
      <c r="R630" s="17">
        <f t="shared" si="2"/>
        <v>474.9103008</v>
      </c>
      <c r="S630" s="9"/>
      <c r="T630" s="9"/>
      <c r="U630" s="9"/>
      <c r="V630" s="9"/>
      <c r="W630" s="9"/>
      <c r="X630" s="9"/>
      <c r="Y630" s="9"/>
      <c r="Z630" s="9"/>
      <c r="AA630" s="9"/>
      <c r="AB630" s="9" t="str">
        <f>IFERROR(__xludf.DUMMYFUNCTION("""COMPUTED_VALUE"""),"Hilary Holden")</f>
        <v>Hilary Holden</v>
      </c>
      <c r="AC630" s="9"/>
      <c r="AD630" s="9"/>
      <c r="AE630" s="9">
        <f t="shared" si="8"/>
        <v>1</v>
      </c>
      <c r="AF630" s="19">
        <f t="shared" si="13"/>
        <v>2</v>
      </c>
      <c r="AG630" s="9"/>
      <c r="AH630" s="9"/>
      <c r="AI630" s="9"/>
    </row>
    <row r="631" ht="15.0" customHeight="1">
      <c r="A631" s="11">
        <v>630.0</v>
      </c>
      <c r="B631" s="12">
        <f t="shared" si="106"/>
        <v>39913</v>
      </c>
      <c r="C631" s="13">
        <v>2009.0</v>
      </c>
      <c r="D631" s="11" t="s">
        <v>23</v>
      </c>
      <c r="E631" s="11">
        <v>29.0</v>
      </c>
      <c r="F631" s="21" t="s">
        <v>325</v>
      </c>
      <c r="G631" s="15">
        <v>0.051042149143121864</v>
      </c>
      <c r="H631" s="11" t="s">
        <v>33</v>
      </c>
      <c r="I631" s="16">
        <v>1.8800000000000001</v>
      </c>
      <c r="J631" s="11" t="s">
        <v>958</v>
      </c>
      <c r="K631" s="11" t="s">
        <v>35</v>
      </c>
      <c r="L631" s="11" t="s">
        <v>27</v>
      </c>
      <c r="M631" s="11" t="s">
        <v>28</v>
      </c>
      <c r="N631" s="11" t="s">
        <v>62</v>
      </c>
      <c r="O631" s="11" t="s">
        <v>1113</v>
      </c>
      <c r="P631" s="11" t="s">
        <v>58</v>
      </c>
      <c r="Q631" s="20">
        <v>39915.0</v>
      </c>
      <c r="R631" s="17">
        <f t="shared" si="2"/>
        <v>10.45751552</v>
      </c>
      <c r="S631" s="9"/>
      <c r="T631" s="9"/>
      <c r="U631" s="9"/>
      <c r="V631" s="9"/>
      <c r="W631" s="9"/>
      <c r="X631" s="9"/>
      <c r="Y631" s="9"/>
      <c r="Z631" s="9"/>
      <c r="AA631" s="9"/>
      <c r="AB631" s="9" t="str">
        <f>IFERROR(__xludf.DUMMYFUNCTION("""COMPUTED_VALUE"""),"Jack Lebron")</f>
        <v>Jack Lebron</v>
      </c>
      <c r="AC631" s="9"/>
      <c r="AD631" s="9"/>
      <c r="AE631" s="9">
        <f t="shared" si="8"/>
        <v>1</v>
      </c>
      <c r="AF631" s="19">
        <f t="shared" si="13"/>
        <v>2</v>
      </c>
      <c r="AG631" s="9"/>
      <c r="AH631" s="9"/>
      <c r="AI631" s="9"/>
    </row>
    <row r="632" ht="15.0" customHeight="1">
      <c r="A632" s="11">
        <v>631.0</v>
      </c>
      <c r="B632" s="12">
        <f t="shared" si="106"/>
        <v>39913</v>
      </c>
      <c r="C632" s="13">
        <v>2009.0</v>
      </c>
      <c r="D632" s="11" t="s">
        <v>102</v>
      </c>
      <c r="E632" s="11">
        <v>20.0</v>
      </c>
      <c r="F632" s="21" t="s">
        <v>834</v>
      </c>
      <c r="G632" s="15">
        <v>0.011136846500546527</v>
      </c>
      <c r="H632" s="11" t="s">
        <v>45</v>
      </c>
      <c r="I632" s="16">
        <v>34.016000000000005</v>
      </c>
      <c r="J632" s="11" t="s">
        <v>1114</v>
      </c>
      <c r="K632" s="11" t="s">
        <v>47</v>
      </c>
      <c r="L632" s="11" t="s">
        <v>27</v>
      </c>
      <c r="M632" s="11" t="s">
        <v>49</v>
      </c>
      <c r="N632" s="11" t="s">
        <v>85</v>
      </c>
      <c r="O632" s="11" t="s">
        <v>1115</v>
      </c>
      <c r="P632" s="11" t="s">
        <v>87</v>
      </c>
      <c r="Q632" s="20">
        <v>39915.0</v>
      </c>
      <c r="R632" s="17">
        <f t="shared" si="2"/>
        <v>89.67406621</v>
      </c>
      <c r="S632" s="9"/>
      <c r="T632" s="9"/>
      <c r="U632" s="9"/>
      <c r="V632" s="9"/>
      <c r="W632" s="9"/>
      <c r="X632" s="9"/>
      <c r="Y632" s="9"/>
      <c r="Z632" s="9"/>
      <c r="AA632" s="9"/>
      <c r="AB632" s="9" t="str">
        <f>IFERROR(__xludf.DUMMYFUNCTION("""COMPUTED_VALUE"""),"Suzanne McNair")</f>
        <v>Suzanne McNair</v>
      </c>
      <c r="AC632" s="9"/>
      <c r="AD632" s="9"/>
      <c r="AE632" s="9">
        <f t="shared" si="8"/>
        <v>1</v>
      </c>
      <c r="AF632" s="19">
        <f t="shared" si="13"/>
        <v>3</v>
      </c>
      <c r="AG632" s="9"/>
      <c r="AH632" s="9"/>
      <c r="AI632" s="9"/>
    </row>
    <row r="633" ht="15.0" customHeight="1">
      <c r="A633" s="11">
        <v>632.0</v>
      </c>
      <c r="B633" s="12">
        <f t="shared" si="106"/>
        <v>39913</v>
      </c>
      <c r="C633" s="13">
        <v>2009.0</v>
      </c>
      <c r="D633" s="11" t="s">
        <v>39</v>
      </c>
      <c r="E633" s="11">
        <v>16.0</v>
      </c>
      <c r="F633" s="21" t="s">
        <v>377</v>
      </c>
      <c r="G633" s="15">
        <v>0.035350944765259386</v>
      </c>
      <c r="H633" s="11" t="s">
        <v>33</v>
      </c>
      <c r="I633" s="16">
        <v>4.648</v>
      </c>
      <c r="J633" s="11" t="s">
        <v>769</v>
      </c>
      <c r="K633" s="11" t="s">
        <v>35</v>
      </c>
      <c r="L633" s="11" t="s">
        <v>48</v>
      </c>
      <c r="M633" s="11" t="s">
        <v>28</v>
      </c>
      <c r="N633" s="11" t="s">
        <v>56</v>
      </c>
      <c r="O633" s="11" t="s">
        <v>378</v>
      </c>
      <c r="P633" s="11" t="s">
        <v>38</v>
      </c>
      <c r="Q633" s="20">
        <v>39916.0</v>
      </c>
      <c r="R633" s="17">
        <f t="shared" si="2"/>
        <v>27.82289038</v>
      </c>
      <c r="S633" s="9"/>
      <c r="T633" s="9"/>
      <c r="U633" s="9"/>
      <c r="V633" s="9"/>
      <c r="W633" s="9"/>
      <c r="X633" s="9"/>
      <c r="Y633" s="9"/>
      <c r="Z633" s="9"/>
      <c r="AA633" s="9"/>
      <c r="AB633" s="9" t="str">
        <f>IFERROR(__xludf.DUMMYFUNCTION("""COMPUTED_VALUE"""),"Tim Taslimi")</f>
        <v>Tim Taslimi</v>
      </c>
      <c r="AC633" s="9"/>
      <c r="AD633" s="9"/>
      <c r="AE633" s="9">
        <f t="shared" si="8"/>
        <v>4</v>
      </c>
      <c r="AF633" s="19">
        <f t="shared" si="13"/>
        <v>2</v>
      </c>
      <c r="AG633" s="9"/>
      <c r="AH633" s="9"/>
      <c r="AI633" s="9"/>
    </row>
    <row r="634" ht="15.0" customHeight="1">
      <c r="A634" s="11">
        <v>633.0</v>
      </c>
      <c r="B634" s="12">
        <f t="shared" si="106"/>
        <v>39913</v>
      </c>
      <c r="C634" s="13">
        <v>2009.0</v>
      </c>
      <c r="D634" s="11" t="s">
        <v>39</v>
      </c>
      <c r="E634" s="11">
        <v>24.0</v>
      </c>
      <c r="F634" s="21" t="s">
        <v>1116</v>
      </c>
      <c r="G634" s="15">
        <v>0.07542336424821316</v>
      </c>
      <c r="H634" s="11" t="s">
        <v>33</v>
      </c>
      <c r="I634" s="16">
        <v>15.991999999999999</v>
      </c>
      <c r="J634" s="11" t="s">
        <v>769</v>
      </c>
      <c r="K634" s="11" t="s">
        <v>35</v>
      </c>
      <c r="L634" s="11" t="s">
        <v>48</v>
      </c>
      <c r="M634" s="11" t="s">
        <v>28</v>
      </c>
      <c r="N634" s="11" t="s">
        <v>42</v>
      </c>
      <c r="O634" s="11" t="s">
        <v>1117</v>
      </c>
      <c r="P634" s="11" t="s">
        <v>38</v>
      </c>
      <c r="Q634" s="20">
        <v>39916.0</v>
      </c>
      <c r="R634" s="17">
        <f t="shared" si="2"/>
        <v>301.5118375</v>
      </c>
      <c r="S634" s="9"/>
      <c r="T634" s="9"/>
      <c r="U634" s="9"/>
      <c r="V634" s="9"/>
      <c r="W634" s="9"/>
      <c r="X634" s="9"/>
      <c r="Y634" s="9"/>
      <c r="Z634" s="9"/>
      <c r="AA634" s="9"/>
      <c r="AB634" s="9" t="str">
        <f>IFERROR(__xludf.DUMMYFUNCTION("""COMPUTED_VALUE"""),"Sibella Parks")</f>
        <v>Sibella Parks</v>
      </c>
      <c r="AC634" s="9"/>
      <c r="AD634" s="9"/>
      <c r="AE634" s="9">
        <f t="shared" si="8"/>
        <v>4</v>
      </c>
      <c r="AF634" s="19">
        <f t="shared" si="13"/>
        <v>2</v>
      </c>
      <c r="AG634" s="9"/>
      <c r="AH634" s="9"/>
      <c r="AI634" s="9"/>
    </row>
    <row r="635" ht="15.0" customHeight="1">
      <c r="A635" s="11">
        <v>634.0</v>
      </c>
      <c r="B635" s="12">
        <f t="shared" si="106"/>
        <v>39913</v>
      </c>
      <c r="C635" s="13">
        <v>2009.0</v>
      </c>
      <c r="D635" s="11" t="s">
        <v>102</v>
      </c>
      <c r="E635" s="11">
        <v>28.0</v>
      </c>
      <c r="F635" s="21" t="s">
        <v>147</v>
      </c>
      <c r="G635" s="15">
        <v>0.06724637681159426</v>
      </c>
      <c r="H635" s="11" t="s">
        <v>24</v>
      </c>
      <c r="I635" s="16">
        <v>3.8880000000000003</v>
      </c>
      <c r="J635" s="11" t="s">
        <v>1118</v>
      </c>
      <c r="K635" s="11" t="s">
        <v>26</v>
      </c>
      <c r="L635" s="11" t="s">
        <v>48</v>
      </c>
      <c r="M635" s="11" t="s">
        <v>49</v>
      </c>
      <c r="N635" s="11" t="s">
        <v>73</v>
      </c>
      <c r="O635" s="11" t="s">
        <v>1119</v>
      </c>
      <c r="P635" s="11" t="s">
        <v>38</v>
      </c>
      <c r="Q635" s="20">
        <v>39916.0</v>
      </c>
      <c r="R635" s="17">
        <f t="shared" si="2"/>
        <v>3.462381449</v>
      </c>
      <c r="S635" s="9"/>
      <c r="T635" s="9"/>
      <c r="U635" s="9"/>
      <c r="V635" s="9"/>
      <c r="W635" s="9"/>
      <c r="X635" s="9"/>
      <c r="Y635" s="9"/>
      <c r="Z635" s="9"/>
      <c r="AA635" s="9"/>
      <c r="AB635" s="9" t="str">
        <f>IFERROR(__xludf.DUMMYFUNCTION("""COMPUTED_VALUE"""),"Michael Chen")</f>
        <v>Michael Chen</v>
      </c>
      <c r="AC635" s="9"/>
      <c r="AD635" s="9"/>
      <c r="AE635" s="9">
        <f t="shared" si="8"/>
        <v>4</v>
      </c>
      <c r="AF635" s="19">
        <f t="shared" si="13"/>
        <v>1</v>
      </c>
      <c r="AG635" s="9"/>
      <c r="AH635" s="9"/>
      <c r="AI635" s="9"/>
    </row>
    <row r="636" ht="15.0" customHeight="1">
      <c r="A636" s="11">
        <v>635.0</v>
      </c>
      <c r="B636" s="12">
        <f t="shared" si="106"/>
        <v>39913</v>
      </c>
      <c r="C636" s="13">
        <v>2009.0</v>
      </c>
      <c r="D636" s="11" t="s">
        <v>102</v>
      </c>
      <c r="E636" s="11">
        <v>38.0</v>
      </c>
      <c r="F636" s="21" t="s">
        <v>685</v>
      </c>
      <c r="G636" s="15">
        <v>0.034818790327443776</v>
      </c>
      <c r="H636" s="11" t="s">
        <v>33</v>
      </c>
      <c r="I636" s="16">
        <v>27.360000000000003</v>
      </c>
      <c r="J636" s="11" t="s">
        <v>1118</v>
      </c>
      <c r="K636" s="11" t="s">
        <v>26</v>
      </c>
      <c r="L636" s="11" t="s">
        <v>48</v>
      </c>
      <c r="M636" s="11" t="s">
        <v>49</v>
      </c>
      <c r="N636" s="11" t="s">
        <v>73</v>
      </c>
      <c r="O636" s="11" t="s">
        <v>686</v>
      </c>
      <c r="P636" s="11" t="s">
        <v>58</v>
      </c>
      <c r="Q636" s="20">
        <v>39916.0</v>
      </c>
      <c r="R636" s="17">
        <f t="shared" si="2"/>
        <v>55.72956305</v>
      </c>
      <c r="S636" s="9"/>
      <c r="T636" s="9"/>
      <c r="U636" s="9"/>
      <c r="V636" s="9"/>
      <c r="W636" s="9"/>
      <c r="X636" s="9"/>
      <c r="Y636" s="9"/>
      <c r="Z636" s="9"/>
      <c r="AA636" s="9"/>
      <c r="AB636" s="9" t="str">
        <f>IFERROR(__xludf.DUMMYFUNCTION("""COMPUTED_VALUE"""),"Dennis Pardue")</f>
        <v>Dennis Pardue</v>
      </c>
      <c r="AC636" s="9"/>
      <c r="AD636" s="9"/>
      <c r="AE636" s="9">
        <f t="shared" si="8"/>
        <v>4</v>
      </c>
      <c r="AF636" s="19">
        <f t="shared" si="13"/>
        <v>1</v>
      </c>
      <c r="AG636" s="9"/>
      <c r="AH636" s="9"/>
      <c r="AI636" s="9"/>
    </row>
    <row r="637" ht="15.0" customHeight="1">
      <c r="A637" s="11">
        <v>636.0</v>
      </c>
      <c r="B637" s="12">
        <f t="shared" ref="B637:B640" si="107">DATE(2012,12,31)-1360</f>
        <v>39914</v>
      </c>
      <c r="C637" s="13">
        <v>2009.0</v>
      </c>
      <c r="D637" s="11" t="s">
        <v>23</v>
      </c>
      <c r="E637" s="11">
        <v>47.0</v>
      </c>
      <c r="F637" s="21" t="s">
        <v>122</v>
      </c>
      <c r="G637" s="15">
        <v>0.094640522875817</v>
      </c>
      <c r="H637" s="11" t="s">
        <v>33</v>
      </c>
      <c r="I637" s="16">
        <v>1.192</v>
      </c>
      <c r="J637" s="11" t="s">
        <v>1120</v>
      </c>
      <c r="K637" s="11" t="s">
        <v>35</v>
      </c>
      <c r="L637" s="11" t="s">
        <v>36</v>
      </c>
      <c r="M637" s="11" t="s">
        <v>28</v>
      </c>
      <c r="N637" s="11" t="s">
        <v>42</v>
      </c>
      <c r="O637" s="11" t="s">
        <v>1121</v>
      </c>
      <c r="P637" s="11" t="s">
        <v>38</v>
      </c>
      <c r="Q637" s="20">
        <v>39916.0</v>
      </c>
      <c r="R637" s="17">
        <f t="shared" si="2"/>
        <v>93.07819712</v>
      </c>
      <c r="S637" s="9"/>
      <c r="T637" s="9"/>
      <c r="U637" s="9"/>
      <c r="V637" s="9"/>
      <c r="W637" s="9"/>
      <c r="X637" s="9"/>
      <c r="Y637" s="9"/>
      <c r="Z637" s="9"/>
      <c r="AA637" s="9"/>
      <c r="AB637" s="9" t="str">
        <f>IFERROR(__xludf.DUMMYFUNCTION("""COMPUTED_VALUE"""),"Pamela Coakley")</f>
        <v>Pamela Coakley</v>
      </c>
      <c r="AC637" s="9"/>
      <c r="AD637" s="9"/>
      <c r="AE637" s="9">
        <f t="shared" si="8"/>
        <v>2</v>
      </c>
      <c r="AF637" s="19">
        <f t="shared" si="13"/>
        <v>2</v>
      </c>
      <c r="AG637" s="9"/>
      <c r="AH637" s="9"/>
      <c r="AI637" s="9"/>
    </row>
    <row r="638" ht="15.0" customHeight="1">
      <c r="A638" s="11">
        <v>637.0</v>
      </c>
      <c r="B638" s="12">
        <f t="shared" si="107"/>
        <v>39914</v>
      </c>
      <c r="C638" s="13">
        <v>2009.0</v>
      </c>
      <c r="D638" s="11" t="s">
        <v>23</v>
      </c>
      <c r="E638" s="11">
        <v>7.0</v>
      </c>
      <c r="F638" s="21" t="s">
        <v>280</v>
      </c>
      <c r="G638" s="15">
        <v>0.04063232488416451</v>
      </c>
      <c r="H638" s="11" t="s">
        <v>33</v>
      </c>
      <c r="I638" s="16">
        <v>15.991999999999999</v>
      </c>
      <c r="J638" s="11" t="s">
        <v>1120</v>
      </c>
      <c r="K638" s="11" t="s">
        <v>35</v>
      </c>
      <c r="L638" s="11" t="s">
        <v>36</v>
      </c>
      <c r="M638" s="11" t="s">
        <v>28</v>
      </c>
      <c r="N638" s="11" t="s">
        <v>56</v>
      </c>
      <c r="O638" s="11" t="s">
        <v>1122</v>
      </c>
      <c r="P638" s="11" t="s">
        <v>38</v>
      </c>
      <c r="Q638" s="20">
        <v>39917.0</v>
      </c>
      <c r="R638" s="17">
        <f t="shared" si="2"/>
        <v>14.3022533</v>
      </c>
      <c r="S638" s="9"/>
      <c r="T638" s="9"/>
      <c r="U638" s="9"/>
      <c r="V638" s="9"/>
      <c r="W638" s="9"/>
      <c r="X638" s="9"/>
      <c r="Y638" s="9"/>
      <c r="Z638" s="9"/>
      <c r="AA638" s="9"/>
      <c r="AB638" s="9" t="str">
        <f>IFERROR(__xludf.DUMMYFUNCTION("""COMPUTED_VALUE"""),"Susan Gilcrest")</f>
        <v>Susan Gilcrest</v>
      </c>
      <c r="AC638" s="9"/>
      <c r="AD638" s="9"/>
      <c r="AE638" s="9">
        <f t="shared" si="8"/>
        <v>2</v>
      </c>
      <c r="AF638" s="19">
        <f t="shared" si="13"/>
        <v>2</v>
      </c>
      <c r="AG638" s="9"/>
      <c r="AH638" s="9"/>
      <c r="AI638" s="9"/>
    </row>
    <row r="639" ht="15.0" customHeight="1">
      <c r="A639" s="11">
        <v>638.0</v>
      </c>
      <c r="B639" s="12">
        <f t="shared" si="107"/>
        <v>39914</v>
      </c>
      <c r="C639" s="13">
        <v>2009.0</v>
      </c>
      <c r="D639" s="11" t="s">
        <v>32</v>
      </c>
      <c r="E639" s="11">
        <v>35.0</v>
      </c>
      <c r="F639" s="21" t="s">
        <v>610</v>
      </c>
      <c r="G639" s="15">
        <v>0.02620499419279912</v>
      </c>
      <c r="H639" s="11" t="s">
        <v>33</v>
      </c>
      <c r="I639" s="16">
        <v>2.2800000000000002</v>
      </c>
      <c r="J639" s="11" t="s">
        <v>1123</v>
      </c>
      <c r="K639" s="11" t="s">
        <v>61</v>
      </c>
      <c r="L639" s="11" t="s">
        <v>48</v>
      </c>
      <c r="M639" s="11" t="s">
        <v>49</v>
      </c>
      <c r="N639" s="11" t="s">
        <v>73</v>
      </c>
      <c r="O639" s="11" t="s">
        <v>612</v>
      </c>
      <c r="P639" s="11" t="s">
        <v>99</v>
      </c>
      <c r="Q639" s="20">
        <v>39917.0</v>
      </c>
      <c r="R639" s="17">
        <f t="shared" si="2"/>
        <v>11.24927991</v>
      </c>
      <c r="S639" s="9"/>
      <c r="T639" s="9"/>
      <c r="U639" s="9"/>
      <c r="V639" s="9"/>
      <c r="W639" s="9"/>
      <c r="X639" s="9"/>
      <c r="Y639" s="9"/>
      <c r="Z639" s="9"/>
      <c r="AA639" s="9"/>
      <c r="AB639" s="9" t="str">
        <f>IFERROR(__xludf.DUMMYFUNCTION("""COMPUTED_VALUE"""),"Justin MacKendrick")</f>
        <v>Justin MacKendrick</v>
      </c>
      <c r="AC639" s="9"/>
      <c r="AD639" s="9"/>
      <c r="AE639" s="9">
        <f t="shared" si="8"/>
        <v>4</v>
      </c>
      <c r="AF639" s="19">
        <f t="shared" si="13"/>
        <v>4</v>
      </c>
      <c r="AG639" s="9"/>
      <c r="AH639" s="9"/>
      <c r="AI639" s="9"/>
    </row>
    <row r="640" ht="15.0" customHeight="1">
      <c r="A640" s="11">
        <v>639.0</v>
      </c>
      <c r="B640" s="12">
        <f t="shared" si="107"/>
        <v>39914</v>
      </c>
      <c r="C640" s="13">
        <v>2009.0</v>
      </c>
      <c r="D640" s="11" t="s">
        <v>102</v>
      </c>
      <c r="E640" s="11">
        <v>44.0</v>
      </c>
      <c r="F640" s="21" t="s">
        <v>352</v>
      </c>
      <c r="G640" s="15">
        <v>0.03141786743515846</v>
      </c>
      <c r="H640" s="11" t="s">
        <v>33</v>
      </c>
      <c r="I640" s="16">
        <v>2.3920000000000003</v>
      </c>
      <c r="J640" s="11" t="s">
        <v>932</v>
      </c>
      <c r="K640" s="11" t="s">
        <v>83</v>
      </c>
      <c r="L640" s="11" t="s">
        <v>41</v>
      </c>
      <c r="M640" s="11" t="s">
        <v>28</v>
      </c>
      <c r="N640" s="11" t="s">
        <v>42</v>
      </c>
      <c r="O640" s="11" t="s">
        <v>594</v>
      </c>
      <c r="P640" s="11" t="s">
        <v>38</v>
      </c>
      <c r="Q640" s="20">
        <v>39917.0</v>
      </c>
      <c r="R640" s="17">
        <f t="shared" si="2"/>
        <v>42.23792964</v>
      </c>
      <c r="S640" s="9"/>
      <c r="T640" s="9"/>
      <c r="U640" s="9"/>
      <c r="V640" s="9"/>
      <c r="W640" s="9"/>
      <c r="X640" s="9"/>
      <c r="Y640" s="9"/>
      <c r="Z640" s="9"/>
      <c r="AA640" s="9"/>
      <c r="AB640" s="9" t="str">
        <f>IFERROR(__xludf.DUMMYFUNCTION("""COMPUTED_VALUE"""),"Catherine Glotzbach")</f>
        <v>Catherine Glotzbach</v>
      </c>
      <c r="AC640" s="9"/>
      <c r="AD640" s="9"/>
      <c r="AE640" s="9">
        <f t="shared" si="8"/>
        <v>3</v>
      </c>
      <c r="AF640" s="19" t="b">
        <f t="shared" si="13"/>
        <v>0</v>
      </c>
      <c r="AG640" s="9"/>
      <c r="AH640" s="9"/>
      <c r="AI640" s="9"/>
    </row>
    <row r="641" ht="15.0" customHeight="1">
      <c r="A641" s="11">
        <v>640.0</v>
      </c>
      <c r="B641" s="12">
        <f t="shared" ref="B641:B644" si="108">DATE(2012,12,31)-1359</f>
        <v>39915</v>
      </c>
      <c r="C641" s="13">
        <v>2009.0</v>
      </c>
      <c r="D641" s="11" t="s">
        <v>32</v>
      </c>
      <c r="E641" s="11">
        <v>8.0</v>
      </c>
      <c r="F641" s="21" t="s">
        <v>1124</v>
      </c>
      <c r="G641" s="15">
        <v>0.05199081666120032</v>
      </c>
      <c r="H641" s="11" t="s">
        <v>33</v>
      </c>
      <c r="I641" s="16">
        <v>5.048</v>
      </c>
      <c r="J641" s="11" t="s">
        <v>992</v>
      </c>
      <c r="K641" s="11" t="s">
        <v>61</v>
      </c>
      <c r="L641" s="11" t="s">
        <v>41</v>
      </c>
      <c r="M641" s="11" t="s">
        <v>28</v>
      </c>
      <c r="N641" s="11" t="s">
        <v>29</v>
      </c>
      <c r="O641" s="11" t="s">
        <v>1125</v>
      </c>
      <c r="P641" s="11" t="s">
        <v>38</v>
      </c>
      <c r="Q641" s="20">
        <v>39917.0</v>
      </c>
      <c r="R641" s="17">
        <f t="shared" si="2"/>
        <v>15.02784157</v>
      </c>
      <c r="S641" s="9"/>
      <c r="T641" s="9"/>
      <c r="U641" s="9"/>
      <c r="V641" s="9"/>
      <c r="W641" s="9"/>
      <c r="X641" s="9"/>
      <c r="Y641" s="9"/>
      <c r="Z641" s="9"/>
      <c r="AA641" s="9"/>
      <c r="AB641" s="9" t="str">
        <f>IFERROR(__xludf.DUMMYFUNCTION("""COMPUTED_VALUE"""),"Carl Ludwig")</f>
        <v>Carl Ludwig</v>
      </c>
      <c r="AC641" s="9"/>
      <c r="AD641" s="9"/>
      <c r="AE641" s="9">
        <f t="shared" si="8"/>
        <v>3</v>
      </c>
      <c r="AF641" s="19">
        <f t="shared" si="13"/>
        <v>4</v>
      </c>
      <c r="AG641" s="9"/>
      <c r="AH641" s="9"/>
      <c r="AI641" s="9"/>
    </row>
    <row r="642" ht="15.0" customHeight="1">
      <c r="A642" s="11">
        <v>641.0</v>
      </c>
      <c r="B642" s="12">
        <f t="shared" si="108"/>
        <v>39915</v>
      </c>
      <c r="C642" s="13">
        <v>2009.0</v>
      </c>
      <c r="D642" s="11" t="s">
        <v>32</v>
      </c>
      <c r="E642" s="11">
        <v>24.0</v>
      </c>
      <c r="F642" s="21" t="s">
        <v>218</v>
      </c>
      <c r="G642" s="15">
        <v>0.09725560538116587</v>
      </c>
      <c r="H642" s="11" t="s">
        <v>33</v>
      </c>
      <c r="I642" s="16">
        <v>2.112</v>
      </c>
      <c r="J642" s="11" t="s">
        <v>992</v>
      </c>
      <c r="K642" s="11" t="s">
        <v>61</v>
      </c>
      <c r="L642" s="11" t="s">
        <v>41</v>
      </c>
      <c r="M642" s="11" t="s">
        <v>28</v>
      </c>
      <c r="N642" s="11" t="s">
        <v>442</v>
      </c>
      <c r="O642" s="11" t="s">
        <v>512</v>
      </c>
      <c r="P642" s="11" t="s">
        <v>99</v>
      </c>
      <c r="Q642" s="20">
        <v>39917.0</v>
      </c>
      <c r="R642" s="17">
        <f t="shared" si="2"/>
        <v>19.57872043</v>
      </c>
      <c r="S642" s="9"/>
      <c r="T642" s="9"/>
      <c r="U642" s="9"/>
      <c r="V642" s="9"/>
      <c r="W642" s="9"/>
      <c r="X642" s="9"/>
      <c r="Y642" s="9"/>
      <c r="Z642" s="9"/>
      <c r="AA642" s="9"/>
      <c r="AB642" s="9" t="str">
        <f>IFERROR(__xludf.DUMMYFUNCTION("""COMPUTED_VALUE"""),"Dianna Wilson")</f>
        <v>Dianna Wilson</v>
      </c>
      <c r="AC642" s="9"/>
      <c r="AD642" s="9"/>
      <c r="AE642" s="9">
        <f t="shared" si="8"/>
        <v>3</v>
      </c>
      <c r="AF642" s="19">
        <f t="shared" si="13"/>
        <v>4</v>
      </c>
      <c r="AG642" s="9"/>
      <c r="AH642" s="9"/>
      <c r="AI642" s="9"/>
    </row>
    <row r="643" ht="15.0" customHeight="1">
      <c r="A643" s="11">
        <v>642.0</v>
      </c>
      <c r="B643" s="12">
        <f t="shared" si="108"/>
        <v>39915</v>
      </c>
      <c r="C643" s="13">
        <v>2009.0</v>
      </c>
      <c r="D643" s="11" t="s">
        <v>32</v>
      </c>
      <c r="E643" s="11">
        <v>34.0</v>
      </c>
      <c r="F643" s="21" t="s">
        <v>316</v>
      </c>
      <c r="G643" s="15">
        <v>0.03972480220158239</v>
      </c>
      <c r="H643" s="11" t="s">
        <v>33</v>
      </c>
      <c r="I643" s="16">
        <v>7.152</v>
      </c>
      <c r="J643" s="11" t="s">
        <v>992</v>
      </c>
      <c r="K643" s="11" t="s">
        <v>61</v>
      </c>
      <c r="L643" s="11" t="s">
        <v>41</v>
      </c>
      <c r="M643" s="11" t="s">
        <v>28</v>
      </c>
      <c r="N643" s="11" t="s">
        <v>42</v>
      </c>
      <c r="O643" s="11" t="s">
        <v>1126</v>
      </c>
      <c r="P643" s="11" t="s">
        <v>38</v>
      </c>
      <c r="Q643" s="20">
        <v>39918.0</v>
      </c>
      <c r="R643" s="17">
        <f t="shared" si="2"/>
        <v>11.08925798</v>
      </c>
      <c r="S643" s="9"/>
      <c r="T643" s="9"/>
      <c r="U643" s="9"/>
      <c r="V643" s="9"/>
      <c r="W643" s="9"/>
      <c r="X643" s="9"/>
      <c r="Y643" s="9"/>
      <c r="Z643" s="9"/>
      <c r="AA643" s="9"/>
      <c r="AB643" s="9" t="str">
        <f>IFERROR(__xludf.DUMMYFUNCTION("""COMPUTED_VALUE"""),"Erica Hackney")</f>
        <v>Erica Hackney</v>
      </c>
      <c r="AC643" s="9"/>
      <c r="AD643" s="9"/>
      <c r="AE643" s="9">
        <f t="shared" si="8"/>
        <v>3</v>
      </c>
      <c r="AF643" s="19">
        <f t="shared" si="13"/>
        <v>4</v>
      </c>
      <c r="AG643" s="9"/>
      <c r="AH643" s="9"/>
      <c r="AI643" s="9"/>
    </row>
    <row r="644" ht="15.0" customHeight="1">
      <c r="A644" s="11">
        <v>643.0</v>
      </c>
      <c r="B644" s="12">
        <f t="shared" si="108"/>
        <v>39915</v>
      </c>
      <c r="C644" s="13">
        <v>2009.0</v>
      </c>
      <c r="D644" s="11" t="s">
        <v>32</v>
      </c>
      <c r="E644" s="11">
        <v>2.0</v>
      </c>
      <c r="F644" s="21" t="s">
        <v>1127</v>
      </c>
      <c r="G644" s="15">
        <v>0.07514755518654227</v>
      </c>
      <c r="H644" s="11" t="s">
        <v>45</v>
      </c>
      <c r="I644" s="16">
        <v>23.76</v>
      </c>
      <c r="J644" s="11" t="s">
        <v>992</v>
      </c>
      <c r="K644" s="11" t="s">
        <v>61</v>
      </c>
      <c r="L644" s="11" t="s">
        <v>41</v>
      </c>
      <c r="M644" s="11" t="s">
        <v>66</v>
      </c>
      <c r="N644" s="11" t="s">
        <v>69</v>
      </c>
      <c r="O644" s="11" t="s">
        <v>1128</v>
      </c>
      <c r="P644" s="11" t="s">
        <v>52</v>
      </c>
      <c r="Q644" s="20">
        <v>39918.0</v>
      </c>
      <c r="R644" s="17">
        <f t="shared" si="2"/>
        <v>385.0530669</v>
      </c>
      <c r="S644" s="9"/>
      <c r="T644" s="9"/>
      <c r="U644" s="9"/>
      <c r="V644" s="9"/>
      <c r="W644" s="9"/>
      <c r="X644" s="9"/>
      <c r="Y644" s="9"/>
      <c r="Z644" s="9"/>
      <c r="AA644" s="9"/>
      <c r="AB644" s="9" t="str">
        <f>IFERROR(__xludf.DUMMYFUNCTION("""COMPUTED_VALUE"""),"Chad McGuire")</f>
        <v>Chad McGuire</v>
      </c>
      <c r="AC644" s="9"/>
      <c r="AD644" s="9"/>
      <c r="AE644" s="9">
        <f t="shared" si="8"/>
        <v>3</v>
      </c>
      <c r="AF644" s="19">
        <f t="shared" si="13"/>
        <v>4</v>
      </c>
      <c r="AG644" s="9"/>
      <c r="AH644" s="9"/>
      <c r="AI644" s="9"/>
    </row>
    <row r="645" ht="15.0" customHeight="1">
      <c r="A645" s="11">
        <v>644.0</v>
      </c>
      <c r="B645" s="12">
        <f t="shared" ref="B645:B647" si="109">DATE(2012,12,31)-1358</f>
        <v>39916</v>
      </c>
      <c r="C645" s="13">
        <v>2009.0</v>
      </c>
      <c r="D645" s="11" t="s">
        <v>39</v>
      </c>
      <c r="E645" s="11">
        <v>1.0</v>
      </c>
      <c r="F645" s="21" t="s">
        <v>119</v>
      </c>
      <c r="G645" s="15">
        <v>0.14514285714285716</v>
      </c>
      <c r="H645" s="11" t="s">
        <v>33</v>
      </c>
      <c r="I645" s="16">
        <v>1.192</v>
      </c>
      <c r="J645" s="11" t="s">
        <v>64</v>
      </c>
      <c r="K645" s="11" t="s">
        <v>65</v>
      </c>
      <c r="L645" s="11" t="s">
        <v>48</v>
      </c>
      <c r="M645" s="11" t="s">
        <v>28</v>
      </c>
      <c r="N645" s="11" t="s">
        <v>42</v>
      </c>
      <c r="O645" s="11" t="s">
        <v>1129</v>
      </c>
      <c r="P645" s="11" t="s">
        <v>38</v>
      </c>
      <c r="Q645" s="20">
        <v>39918.0</v>
      </c>
      <c r="R645" s="17">
        <f t="shared" si="2"/>
        <v>0.4342674286</v>
      </c>
      <c r="S645" s="9"/>
      <c r="T645" s="9"/>
      <c r="U645" s="9"/>
      <c r="V645" s="9"/>
      <c r="W645" s="9"/>
      <c r="X645" s="9"/>
      <c r="Y645" s="9"/>
      <c r="Z645" s="9"/>
      <c r="AA645" s="9"/>
      <c r="AB645" s="9" t="str">
        <f>IFERROR(__xludf.DUMMYFUNCTION("""COMPUTED_VALUE"""),"Sam Craven")</f>
        <v>Sam Craven</v>
      </c>
      <c r="AC645" s="9"/>
      <c r="AD645" s="9"/>
      <c r="AE645" s="9">
        <f t="shared" si="8"/>
        <v>4</v>
      </c>
      <c r="AF645" s="19">
        <f t="shared" si="13"/>
        <v>5</v>
      </c>
      <c r="AG645" s="9"/>
      <c r="AH645" s="9"/>
      <c r="AI645" s="9"/>
    </row>
    <row r="646" ht="15.0" customHeight="1">
      <c r="A646" s="11">
        <v>645.0</v>
      </c>
      <c r="B646" s="12">
        <f t="shared" si="109"/>
        <v>39916</v>
      </c>
      <c r="C646" s="13">
        <v>2009.0</v>
      </c>
      <c r="D646" s="11" t="s">
        <v>39</v>
      </c>
      <c r="E646" s="11">
        <v>28.0</v>
      </c>
      <c r="F646" s="21" t="s">
        <v>231</v>
      </c>
      <c r="G646" s="15">
        <v>0.02222130810366111</v>
      </c>
      <c r="H646" s="11" t="s">
        <v>33</v>
      </c>
      <c r="I646" s="16">
        <v>1.592</v>
      </c>
      <c r="J646" s="11" t="s">
        <v>1130</v>
      </c>
      <c r="K646" s="11" t="s">
        <v>61</v>
      </c>
      <c r="L646" s="11" t="s">
        <v>36</v>
      </c>
      <c r="M646" s="11" t="s">
        <v>66</v>
      </c>
      <c r="N646" s="11" t="s">
        <v>67</v>
      </c>
      <c r="O646" s="11" t="s">
        <v>233</v>
      </c>
      <c r="P646" s="11" t="s">
        <v>99</v>
      </c>
      <c r="Q646" s="20">
        <v>39918.0</v>
      </c>
      <c r="R646" s="17">
        <f t="shared" si="2"/>
        <v>21.12784197</v>
      </c>
      <c r="S646" s="9"/>
      <c r="T646" s="9"/>
      <c r="U646" s="9"/>
      <c r="V646" s="9"/>
      <c r="W646" s="9"/>
      <c r="X646" s="9"/>
      <c r="Y646" s="9"/>
      <c r="Z646" s="9"/>
      <c r="AA646" s="9"/>
      <c r="AB646" s="9" t="str">
        <f>IFERROR(__xludf.DUMMYFUNCTION("""COMPUTED_VALUE"""),"Ted Butterfield")</f>
        <v>Ted Butterfield</v>
      </c>
      <c r="AC646" s="9"/>
      <c r="AD646" s="9"/>
      <c r="AE646" s="9">
        <f t="shared" si="8"/>
        <v>2</v>
      </c>
      <c r="AF646" s="19">
        <f t="shared" si="13"/>
        <v>4</v>
      </c>
      <c r="AG646" s="9"/>
      <c r="AH646" s="9"/>
      <c r="AI646" s="9"/>
    </row>
    <row r="647" ht="15.0" customHeight="1">
      <c r="A647" s="11">
        <v>646.0</v>
      </c>
      <c r="B647" s="12">
        <f t="shared" si="109"/>
        <v>39916</v>
      </c>
      <c r="C647" s="13">
        <v>2009.0</v>
      </c>
      <c r="D647" s="11" t="s">
        <v>39</v>
      </c>
      <c r="E647" s="11">
        <v>2.0</v>
      </c>
      <c r="F647" s="21" t="s">
        <v>552</v>
      </c>
      <c r="G647" s="15">
        <v>0.15812274368231044</v>
      </c>
      <c r="H647" s="11" t="s">
        <v>24</v>
      </c>
      <c r="I647" s="16">
        <v>8.92</v>
      </c>
      <c r="J647" s="11" t="s">
        <v>611</v>
      </c>
      <c r="K647" s="11" t="s">
        <v>65</v>
      </c>
      <c r="L647" s="11" t="s">
        <v>36</v>
      </c>
      <c r="M647" s="11" t="s">
        <v>28</v>
      </c>
      <c r="N647" s="11" t="s">
        <v>56</v>
      </c>
      <c r="O647" s="11" t="s">
        <v>553</v>
      </c>
      <c r="P647" s="11" t="s">
        <v>38</v>
      </c>
      <c r="Q647" s="20">
        <v>39918.0</v>
      </c>
      <c r="R647" s="17">
        <f t="shared" si="2"/>
        <v>3.687422383</v>
      </c>
      <c r="S647" s="9"/>
      <c r="T647" s="9"/>
      <c r="U647" s="9"/>
      <c r="V647" s="9"/>
      <c r="W647" s="9"/>
      <c r="X647" s="9"/>
      <c r="Y647" s="9"/>
      <c r="Z647" s="9"/>
      <c r="AA647" s="9"/>
      <c r="AB647" s="9" t="str">
        <f>IFERROR(__xludf.DUMMYFUNCTION("""COMPUTED_VALUE"""),"Penelope Sewall")</f>
        <v>Penelope Sewall</v>
      </c>
      <c r="AC647" s="9"/>
      <c r="AD647" s="9"/>
      <c r="AE647" s="9">
        <f t="shared" si="8"/>
        <v>2</v>
      </c>
      <c r="AF647" s="19">
        <f t="shared" si="13"/>
        <v>5</v>
      </c>
      <c r="AG647" s="9"/>
      <c r="AH647" s="9"/>
      <c r="AI647" s="9"/>
    </row>
    <row r="648" ht="15.0" customHeight="1">
      <c r="A648" s="11">
        <v>647.0</v>
      </c>
      <c r="B648" s="12">
        <f t="shared" ref="B648:B650" si="110">DATE(2012,12,31)-1357</f>
        <v>39917</v>
      </c>
      <c r="C648" s="13">
        <v>2009.0</v>
      </c>
      <c r="D648" s="11" t="s">
        <v>102</v>
      </c>
      <c r="E648" s="11">
        <v>33.0</v>
      </c>
      <c r="F648" s="21" t="s">
        <v>221</v>
      </c>
      <c r="G648" s="15">
        <v>0.010678714447068348</v>
      </c>
      <c r="H648" s="11" t="s">
        <v>24</v>
      </c>
      <c r="I648" s="16">
        <v>3.2</v>
      </c>
      <c r="J648" s="11" t="s">
        <v>1131</v>
      </c>
      <c r="K648" s="11" t="s">
        <v>26</v>
      </c>
      <c r="L648" s="11" t="s">
        <v>27</v>
      </c>
      <c r="M648" s="11" t="s">
        <v>66</v>
      </c>
      <c r="N648" s="11" t="s">
        <v>67</v>
      </c>
      <c r="O648" s="11" t="s">
        <v>1132</v>
      </c>
      <c r="P648" s="11" t="s">
        <v>38</v>
      </c>
      <c r="Q648" s="20">
        <v>39918.0</v>
      </c>
      <c r="R648" s="17">
        <f t="shared" si="2"/>
        <v>10.28894137</v>
      </c>
      <c r="S648" s="9"/>
      <c r="T648" s="9"/>
      <c r="U648" s="9"/>
      <c r="V648" s="9"/>
      <c r="W648" s="9"/>
      <c r="X648" s="9"/>
      <c r="Y648" s="9"/>
      <c r="Z648" s="9"/>
      <c r="AA648" s="9"/>
      <c r="AB648" s="9" t="str">
        <f>IFERROR(__xludf.DUMMYFUNCTION("""COMPUTED_VALUE"""),"Carl Jackson")</f>
        <v>Carl Jackson</v>
      </c>
      <c r="AC648" s="9"/>
      <c r="AD648" s="9"/>
      <c r="AE648" s="9">
        <f t="shared" si="8"/>
        <v>1</v>
      </c>
      <c r="AF648" s="19">
        <f t="shared" si="13"/>
        <v>1</v>
      </c>
      <c r="AG648" s="9"/>
      <c r="AH648" s="9"/>
      <c r="AI648" s="9"/>
    </row>
    <row r="649" ht="15.0" customHeight="1">
      <c r="A649" s="11">
        <v>648.0</v>
      </c>
      <c r="B649" s="12">
        <f t="shared" si="110"/>
        <v>39917</v>
      </c>
      <c r="C649" s="13">
        <v>2009.0</v>
      </c>
      <c r="D649" s="11" t="s">
        <v>102</v>
      </c>
      <c r="E649" s="11">
        <v>18.0</v>
      </c>
      <c r="F649" s="21" t="s">
        <v>805</v>
      </c>
      <c r="G649" s="15">
        <v>0.0587387008618876</v>
      </c>
      <c r="H649" s="11" t="s">
        <v>45</v>
      </c>
      <c r="I649" s="16">
        <v>43.296</v>
      </c>
      <c r="J649" s="11" t="s">
        <v>1131</v>
      </c>
      <c r="K649" s="11" t="s">
        <v>26</v>
      </c>
      <c r="L649" s="11" t="s">
        <v>27</v>
      </c>
      <c r="M649" s="11" t="s">
        <v>49</v>
      </c>
      <c r="N649" s="11" t="s">
        <v>85</v>
      </c>
      <c r="O649" s="11" t="s">
        <v>807</v>
      </c>
      <c r="P649" s="11" t="s">
        <v>87</v>
      </c>
      <c r="Q649" s="20">
        <v>39919.0</v>
      </c>
      <c r="R649" s="17">
        <f t="shared" si="2"/>
        <v>315.6086786</v>
      </c>
      <c r="S649" s="9"/>
      <c r="T649" s="9"/>
      <c r="U649" s="9"/>
      <c r="V649" s="9"/>
      <c r="W649" s="9"/>
      <c r="X649" s="9"/>
      <c r="Y649" s="9"/>
      <c r="Z649" s="9"/>
      <c r="AA649" s="9"/>
      <c r="AB649" s="9" t="str">
        <f>IFERROR(__xludf.DUMMYFUNCTION("""COMPUTED_VALUE"""),"Ken Black")</f>
        <v>Ken Black</v>
      </c>
      <c r="AC649" s="9"/>
      <c r="AD649" s="9"/>
      <c r="AE649" s="9">
        <f t="shared" si="8"/>
        <v>1</v>
      </c>
      <c r="AF649" s="19">
        <f t="shared" si="13"/>
        <v>1</v>
      </c>
      <c r="AG649" s="9"/>
      <c r="AH649" s="9"/>
      <c r="AI649" s="9"/>
    </row>
    <row r="650" ht="15.0" customHeight="1">
      <c r="A650" s="11">
        <v>649.0</v>
      </c>
      <c r="B650" s="12">
        <f t="shared" si="110"/>
        <v>39917</v>
      </c>
      <c r="C650" s="13">
        <v>2009.0</v>
      </c>
      <c r="D650" s="11" t="s">
        <v>44</v>
      </c>
      <c r="E650" s="11">
        <v>14.0</v>
      </c>
      <c r="F650" s="21" t="s">
        <v>163</v>
      </c>
      <c r="G650" s="15">
        <v>0.08780253164556952</v>
      </c>
      <c r="H650" s="11" t="s">
        <v>45</v>
      </c>
      <c r="I650" s="16">
        <v>28.672000000000004</v>
      </c>
      <c r="J650" s="11" t="s">
        <v>1133</v>
      </c>
      <c r="K650" s="11" t="s">
        <v>83</v>
      </c>
      <c r="L650" s="11" t="s">
        <v>27</v>
      </c>
      <c r="M650" s="11" t="s">
        <v>49</v>
      </c>
      <c r="N650" s="11" t="s">
        <v>156</v>
      </c>
      <c r="O650" s="11" t="s">
        <v>165</v>
      </c>
      <c r="P650" s="11" t="s">
        <v>87</v>
      </c>
      <c r="Q650" s="20">
        <v>39919.0</v>
      </c>
      <c r="R650" s="17">
        <f t="shared" si="2"/>
        <v>126.5473304</v>
      </c>
      <c r="S650" s="9"/>
      <c r="T650" s="9"/>
      <c r="U650" s="9"/>
      <c r="V650" s="9"/>
      <c r="W650" s="9"/>
      <c r="X650" s="9"/>
      <c r="Y650" s="9"/>
      <c r="Z650" s="9"/>
      <c r="AA650" s="9"/>
      <c r="AB650" s="9" t="str">
        <f>IFERROR(__xludf.DUMMYFUNCTION("""COMPUTED_VALUE"""),"John Grady")</f>
        <v>John Grady</v>
      </c>
      <c r="AC650" s="9"/>
      <c r="AD650" s="9"/>
      <c r="AE650" s="9">
        <f t="shared" si="8"/>
        <v>1</v>
      </c>
      <c r="AF650" s="19" t="b">
        <f t="shared" si="13"/>
        <v>0</v>
      </c>
      <c r="AG650" s="9"/>
      <c r="AH650" s="9"/>
      <c r="AI650" s="9"/>
    </row>
    <row r="651" ht="15.0" customHeight="1">
      <c r="A651" s="11">
        <v>650.0</v>
      </c>
      <c r="B651" s="12">
        <f t="shared" ref="B651:B655" si="111">DATE(2012,12,31)-1356</f>
        <v>39918</v>
      </c>
      <c r="C651" s="13">
        <v>2009.0</v>
      </c>
      <c r="D651" s="11" t="s">
        <v>23</v>
      </c>
      <c r="E651" s="11">
        <v>49.0</v>
      </c>
      <c r="F651" s="21" t="s">
        <v>242</v>
      </c>
      <c r="G651" s="15">
        <v>0.08365179347969312</v>
      </c>
      <c r="H651" s="11" t="s">
        <v>33</v>
      </c>
      <c r="I651" s="16">
        <v>2.8000000000000003</v>
      </c>
      <c r="J651" s="11" t="s">
        <v>800</v>
      </c>
      <c r="K651" s="11" t="s">
        <v>65</v>
      </c>
      <c r="L651" s="11" t="s">
        <v>41</v>
      </c>
      <c r="M651" s="11" t="s">
        <v>28</v>
      </c>
      <c r="N651" s="11" t="s">
        <v>197</v>
      </c>
      <c r="O651" s="11" t="s">
        <v>1134</v>
      </c>
      <c r="P651" s="11" t="s">
        <v>38</v>
      </c>
      <c r="Q651" s="20">
        <v>39919.0</v>
      </c>
      <c r="R651" s="17">
        <f t="shared" si="2"/>
        <v>290.8489207</v>
      </c>
      <c r="S651" s="9"/>
      <c r="T651" s="9"/>
      <c r="U651" s="9"/>
      <c r="V651" s="9"/>
      <c r="W651" s="9"/>
      <c r="X651" s="9"/>
      <c r="Y651" s="9"/>
      <c r="Z651" s="9"/>
      <c r="AA651" s="9"/>
      <c r="AB651" s="9" t="str">
        <f>IFERROR(__xludf.DUMMYFUNCTION("""COMPUTED_VALUE"""),"Craig Yedwab")</f>
        <v>Craig Yedwab</v>
      </c>
      <c r="AC651" s="9"/>
      <c r="AD651" s="9"/>
      <c r="AE651" s="9">
        <f t="shared" si="8"/>
        <v>3</v>
      </c>
      <c r="AF651" s="19">
        <f t="shared" si="13"/>
        <v>5</v>
      </c>
      <c r="AG651" s="9"/>
      <c r="AH651" s="9"/>
      <c r="AI651" s="9"/>
    </row>
    <row r="652" ht="15.0" customHeight="1">
      <c r="A652" s="11">
        <v>651.0</v>
      </c>
      <c r="B652" s="12">
        <f t="shared" si="111"/>
        <v>39918</v>
      </c>
      <c r="C652" s="13">
        <v>2009.0</v>
      </c>
      <c r="D652" s="11" t="s">
        <v>23</v>
      </c>
      <c r="E652" s="11">
        <v>40.0</v>
      </c>
      <c r="F652" s="21" t="s">
        <v>306</v>
      </c>
      <c r="G652" s="15">
        <v>0.09679766449584547</v>
      </c>
      <c r="H652" s="11" t="s">
        <v>33</v>
      </c>
      <c r="I652" s="16">
        <v>8.392000000000001</v>
      </c>
      <c r="J652" s="11" t="s">
        <v>800</v>
      </c>
      <c r="K652" s="11" t="s">
        <v>65</v>
      </c>
      <c r="L652" s="11" t="s">
        <v>41</v>
      </c>
      <c r="M652" s="11" t="s">
        <v>49</v>
      </c>
      <c r="N652" s="11" t="s">
        <v>73</v>
      </c>
      <c r="O652" s="11" t="s">
        <v>1135</v>
      </c>
      <c r="P652" s="11" t="s">
        <v>38</v>
      </c>
      <c r="Q652" s="20">
        <v>39920.0</v>
      </c>
      <c r="R652" s="17">
        <f t="shared" si="2"/>
        <v>77.86326694</v>
      </c>
      <c r="S652" s="9"/>
      <c r="T652" s="9"/>
      <c r="U652" s="9"/>
      <c r="V652" s="9"/>
      <c r="W652" s="9"/>
      <c r="X652" s="9"/>
      <c r="Y652" s="9"/>
      <c r="Z652" s="9"/>
      <c r="AA652" s="9"/>
      <c r="AB652" s="9" t="str">
        <f>IFERROR(__xludf.DUMMYFUNCTION("""COMPUTED_VALUE"""),"Katrina Willman")</f>
        <v>Katrina Willman</v>
      </c>
      <c r="AC652" s="9"/>
      <c r="AD652" s="9"/>
      <c r="AE652" s="9">
        <f t="shared" si="8"/>
        <v>3</v>
      </c>
      <c r="AF652" s="19">
        <f t="shared" si="13"/>
        <v>5</v>
      </c>
      <c r="AG652" s="9"/>
      <c r="AH652" s="9"/>
      <c r="AI652" s="9"/>
    </row>
    <row r="653" ht="15.0" customHeight="1">
      <c r="A653" s="11">
        <v>652.0</v>
      </c>
      <c r="B653" s="12">
        <f t="shared" si="111"/>
        <v>39918</v>
      </c>
      <c r="C653" s="13">
        <v>2009.0</v>
      </c>
      <c r="D653" s="11" t="s">
        <v>23</v>
      </c>
      <c r="E653" s="11">
        <v>28.0</v>
      </c>
      <c r="F653" s="21" t="s">
        <v>596</v>
      </c>
      <c r="G653" s="15">
        <v>0.02033791394458203</v>
      </c>
      <c r="H653" s="11" t="s">
        <v>33</v>
      </c>
      <c r="I653" s="16">
        <v>12.072000000000001</v>
      </c>
      <c r="J653" s="11" t="s">
        <v>167</v>
      </c>
      <c r="K653" s="11" t="s">
        <v>26</v>
      </c>
      <c r="L653" s="11" t="s">
        <v>27</v>
      </c>
      <c r="M653" s="11" t="s">
        <v>28</v>
      </c>
      <c r="N653" s="11" t="s">
        <v>42</v>
      </c>
      <c r="O653" s="11" t="s">
        <v>598</v>
      </c>
      <c r="P653" s="11" t="s">
        <v>38</v>
      </c>
      <c r="Q653" s="20">
        <v>39920.0</v>
      </c>
      <c r="R653" s="17">
        <f t="shared" si="2"/>
        <v>8.844389313</v>
      </c>
      <c r="S653" s="9"/>
      <c r="T653" s="9"/>
      <c r="U653" s="9"/>
      <c r="V653" s="9"/>
      <c r="W653" s="9"/>
      <c r="X653" s="9"/>
      <c r="Y653" s="9"/>
      <c r="Z653" s="9"/>
      <c r="AA653" s="9"/>
      <c r="AB653" s="9" t="str">
        <f>IFERROR(__xludf.DUMMYFUNCTION("""COMPUTED_VALUE"""),"Karen Daniels")</f>
        <v>Karen Daniels</v>
      </c>
      <c r="AC653" s="9"/>
      <c r="AD653" s="9"/>
      <c r="AE653" s="9">
        <f t="shared" si="8"/>
        <v>1</v>
      </c>
      <c r="AF653" s="19">
        <f t="shared" si="13"/>
        <v>1</v>
      </c>
      <c r="AG653" s="9"/>
      <c r="AH653" s="9"/>
      <c r="AI653" s="9"/>
    </row>
    <row r="654" ht="15.0" customHeight="1">
      <c r="A654" s="11">
        <v>653.0</v>
      </c>
      <c r="B654" s="12">
        <f t="shared" si="111"/>
        <v>39918</v>
      </c>
      <c r="C654" s="13">
        <v>2009.0</v>
      </c>
      <c r="D654" s="11" t="s">
        <v>39</v>
      </c>
      <c r="E654" s="11">
        <v>41.0</v>
      </c>
      <c r="F654" s="21" t="s">
        <v>1136</v>
      </c>
      <c r="G654" s="15">
        <v>0.01374580536912758</v>
      </c>
      <c r="H654" s="11" t="s">
        <v>33</v>
      </c>
      <c r="I654" s="16">
        <v>1.592</v>
      </c>
      <c r="J654" s="11" t="s">
        <v>1137</v>
      </c>
      <c r="K654" s="11" t="s">
        <v>83</v>
      </c>
      <c r="L654" s="11" t="s">
        <v>41</v>
      </c>
      <c r="M654" s="11" t="s">
        <v>66</v>
      </c>
      <c r="N654" s="11" t="s">
        <v>67</v>
      </c>
      <c r="O654" s="11" t="s">
        <v>1138</v>
      </c>
      <c r="P654" s="11" t="s">
        <v>99</v>
      </c>
      <c r="Q654" s="20">
        <v>39920.0</v>
      </c>
      <c r="R654" s="17">
        <f t="shared" si="2"/>
        <v>12.92781998</v>
      </c>
      <c r="S654" s="9"/>
      <c r="T654" s="9"/>
      <c r="U654" s="9"/>
      <c r="V654" s="9"/>
      <c r="W654" s="9"/>
      <c r="X654" s="9"/>
      <c r="Y654" s="9"/>
      <c r="Z654" s="9"/>
      <c r="AA654" s="9"/>
      <c r="AB654" s="9" t="str">
        <f>IFERROR(__xludf.DUMMYFUNCTION("""COMPUTED_VALUE"""),"Caroline Jumper")</f>
        <v>Caroline Jumper</v>
      </c>
      <c r="AC654" s="9"/>
      <c r="AD654" s="9"/>
      <c r="AE654" s="9">
        <f t="shared" si="8"/>
        <v>3</v>
      </c>
      <c r="AF654" s="19" t="b">
        <f t="shared" si="13"/>
        <v>0</v>
      </c>
      <c r="AG654" s="9"/>
      <c r="AH654" s="9"/>
      <c r="AI654" s="9"/>
    </row>
    <row r="655" ht="15.0" customHeight="1">
      <c r="A655" s="11">
        <v>654.0</v>
      </c>
      <c r="B655" s="12">
        <f t="shared" si="111"/>
        <v>39918</v>
      </c>
      <c r="C655" s="13">
        <v>2009.0</v>
      </c>
      <c r="D655" s="11" t="s">
        <v>39</v>
      </c>
      <c r="E655" s="11">
        <v>20.0</v>
      </c>
      <c r="F655" s="21" t="s">
        <v>1139</v>
      </c>
      <c r="G655" s="15">
        <v>0.09230763098630838</v>
      </c>
      <c r="H655" s="11" t="s">
        <v>45</v>
      </c>
      <c r="I655" s="16">
        <v>22.528000000000002</v>
      </c>
      <c r="J655" s="11" t="s">
        <v>1137</v>
      </c>
      <c r="K655" s="11" t="s">
        <v>83</v>
      </c>
      <c r="L655" s="11" t="s">
        <v>41</v>
      </c>
      <c r="M655" s="11" t="s">
        <v>49</v>
      </c>
      <c r="N655" s="11" t="s">
        <v>50</v>
      </c>
      <c r="O655" s="11" t="s">
        <v>1140</v>
      </c>
      <c r="P655" s="11" t="s">
        <v>52</v>
      </c>
      <c r="Q655" s="20">
        <v>39920.0</v>
      </c>
      <c r="R655" s="17">
        <f t="shared" si="2"/>
        <v>420.4176899</v>
      </c>
      <c r="S655" s="9"/>
      <c r="T655" s="9"/>
      <c r="U655" s="9"/>
      <c r="V655" s="9"/>
      <c r="W655" s="9"/>
      <c r="X655" s="9"/>
      <c r="Y655" s="9"/>
      <c r="Z655" s="9"/>
      <c r="AA655" s="9"/>
      <c r="AB655" s="9" t="str">
        <f>IFERROR(__xludf.DUMMYFUNCTION("""COMPUTED_VALUE"""),"Pauline Johnson")</f>
        <v>Pauline Johnson</v>
      </c>
      <c r="AC655" s="9"/>
      <c r="AD655" s="9"/>
      <c r="AE655" s="9">
        <f t="shared" si="8"/>
        <v>3</v>
      </c>
      <c r="AF655" s="19" t="b">
        <f t="shared" si="13"/>
        <v>0</v>
      </c>
      <c r="AG655" s="9"/>
      <c r="AH655" s="9"/>
      <c r="AI655" s="9"/>
    </row>
    <row r="656" ht="15.0" customHeight="1">
      <c r="A656" s="11">
        <v>655.0</v>
      </c>
      <c r="B656" s="12">
        <f t="shared" ref="B656:B659" si="112">DATE(2012,12,31)-1355</f>
        <v>39919</v>
      </c>
      <c r="C656" s="13">
        <v>2009.0</v>
      </c>
      <c r="D656" s="11" t="s">
        <v>32</v>
      </c>
      <c r="E656" s="11">
        <v>37.0</v>
      </c>
      <c r="F656" s="21" t="s">
        <v>128</v>
      </c>
      <c r="G656" s="15">
        <v>0.010982553579378032</v>
      </c>
      <c r="H656" s="11" t="s">
        <v>33</v>
      </c>
      <c r="I656" s="16">
        <v>7.192</v>
      </c>
      <c r="J656" s="11" t="s">
        <v>763</v>
      </c>
      <c r="K656" s="11" t="s">
        <v>65</v>
      </c>
      <c r="L656" s="11" t="s">
        <v>27</v>
      </c>
      <c r="M656" s="11" t="s">
        <v>66</v>
      </c>
      <c r="N656" s="11" t="s">
        <v>80</v>
      </c>
      <c r="O656" s="11" t="s">
        <v>875</v>
      </c>
      <c r="P656" s="11" t="s">
        <v>38</v>
      </c>
      <c r="Q656" s="20">
        <v>39920.0</v>
      </c>
      <c r="R656" s="17">
        <f t="shared" si="2"/>
        <v>51.23901586</v>
      </c>
      <c r="S656" s="9"/>
      <c r="T656" s="9"/>
      <c r="U656" s="9"/>
      <c r="V656" s="9"/>
      <c r="W656" s="9"/>
      <c r="X656" s="9"/>
      <c r="Y656" s="9"/>
      <c r="Z656" s="9"/>
      <c r="AA656" s="9"/>
      <c r="AB656" s="9" t="str">
        <f>IFERROR(__xludf.DUMMYFUNCTION("""COMPUTED_VALUE"""),"Alejandro Ballentine")</f>
        <v>Alejandro Ballentine</v>
      </c>
      <c r="AC656" s="9"/>
      <c r="AD656" s="9"/>
      <c r="AE656" s="9">
        <f t="shared" si="8"/>
        <v>1</v>
      </c>
      <c r="AF656" s="19">
        <f t="shared" si="13"/>
        <v>5</v>
      </c>
      <c r="AG656" s="9"/>
      <c r="AH656" s="9"/>
      <c r="AI656" s="9"/>
    </row>
    <row r="657" ht="15.0" customHeight="1">
      <c r="A657" s="11">
        <v>656.0</v>
      </c>
      <c r="B657" s="12">
        <f t="shared" si="112"/>
        <v>39919</v>
      </c>
      <c r="C657" s="13">
        <v>2009.0</v>
      </c>
      <c r="D657" s="11" t="s">
        <v>39</v>
      </c>
      <c r="E657" s="11">
        <v>6.0</v>
      </c>
      <c r="F657" s="21" t="s">
        <v>1127</v>
      </c>
      <c r="G657" s="15">
        <v>0.04799900602596765</v>
      </c>
      <c r="H657" s="11" t="s">
        <v>45</v>
      </c>
      <c r="I657" s="16">
        <v>23.76</v>
      </c>
      <c r="J657" s="11" t="s">
        <v>507</v>
      </c>
      <c r="K657" s="11" t="s">
        <v>61</v>
      </c>
      <c r="L657" s="11" t="s">
        <v>48</v>
      </c>
      <c r="M657" s="11" t="s">
        <v>66</v>
      </c>
      <c r="N657" s="11" t="s">
        <v>69</v>
      </c>
      <c r="O657" s="11" t="s">
        <v>1128</v>
      </c>
      <c r="P657" s="11" t="s">
        <v>52</v>
      </c>
      <c r="Q657" s="20">
        <v>39920.0</v>
      </c>
      <c r="R657" s="17">
        <f t="shared" si="2"/>
        <v>735.554048</v>
      </c>
      <c r="S657" s="9"/>
      <c r="T657" s="9"/>
      <c r="U657" s="9"/>
      <c r="V657" s="9"/>
      <c r="W657" s="9"/>
      <c r="X657" s="9"/>
      <c r="Y657" s="9"/>
      <c r="Z657" s="9"/>
      <c r="AA657" s="9"/>
      <c r="AB657" s="9" t="str">
        <f>IFERROR(__xludf.DUMMYFUNCTION("""COMPUTED_VALUE"""),"Chad Cunningham")</f>
        <v>Chad Cunningham</v>
      </c>
      <c r="AC657" s="9"/>
      <c r="AD657" s="9"/>
      <c r="AE657" s="9">
        <f t="shared" si="8"/>
        <v>4</v>
      </c>
      <c r="AF657" s="19">
        <f t="shared" si="13"/>
        <v>4</v>
      </c>
      <c r="AG657" s="9"/>
      <c r="AH657" s="9"/>
      <c r="AI657" s="9"/>
    </row>
    <row r="658" ht="15.0" customHeight="1">
      <c r="A658" s="11">
        <v>657.0</v>
      </c>
      <c r="B658" s="12">
        <f t="shared" si="112"/>
        <v>39919</v>
      </c>
      <c r="C658" s="13">
        <v>2009.0</v>
      </c>
      <c r="D658" s="11" t="s">
        <v>23</v>
      </c>
      <c r="E658" s="11">
        <v>37.0</v>
      </c>
      <c r="F658" s="21" t="s">
        <v>204</v>
      </c>
      <c r="G658" s="15">
        <v>0.0307574304889741</v>
      </c>
      <c r="H658" s="11" t="s">
        <v>24</v>
      </c>
      <c r="I658" s="16">
        <v>1.192</v>
      </c>
      <c r="J658" s="11" t="s">
        <v>387</v>
      </c>
      <c r="K658" s="11" t="s">
        <v>61</v>
      </c>
      <c r="L658" s="11" t="s">
        <v>41</v>
      </c>
      <c r="M658" s="11" t="s">
        <v>28</v>
      </c>
      <c r="N658" s="11" t="s">
        <v>42</v>
      </c>
      <c r="O658" s="11" t="s">
        <v>1141</v>
      </c>
      <c r="P658" s="11" t="s">
        <v>38</v>
      </c>
      <c r="Q658" s="20">
        <v>39921.0</v>
      </c>
      <c r="R658" s="17">
        <f t="shared" si="2"/>
        <v>3.109330163</v>
      </c>
      <c r="S658" s="9"/>
      <c r="T658" s="9"/>
      <c r="U658" s="9"/>
      <c r="V658" s="9"/>
      <c r="W658" s="9"/>
      <c r="X658" s="9"/>
      <c r="Y658" s="9"/>
      <c r="Z658" s="9"/>
      <c r="AA658" s="9"/>
      <c r="AB658" s="9" t="str">
        <f>IFERROR(__xludf.DUMMYFUNCTION("""COMPUTED_VALUE"""),"Brenda Bowman")</f>
        <v>Brenda Bowman</v>
      </c>
      <c r="AC658" s="9"/>
      <c r="AD658" s="9"/>
      <c r="AE658" s="9">
        <f t="shared" si="8"/>
        <v>3</v>
      </c>
      <c r="AF658" s="19">
        <f t="shared" si="13"/>
        <v>4</v>
      </c>
      <c r="AG658" s="9"/>
      <c r="AH658" s="9"/>
      <c r="AI658" s="9"/>
    </row>
    <row r="659" ht="15.0" customHeight="1">
      <c r="A659" s="11">
        <v>658.0</v>
      </c>
      <c r="B659" s="12">
        <f t="shared" si="112"/>
        <v>39919</v>
      </c>
      <c r="C659" s="13">
        <v>2009.0</v>
      </c>
      <c r="D659" s="11" t="s">
        <v>23</v>
      </c>
      <c r="E659" s="11">
        <v>6.0</v>
      </c>
      <c r="F659" s="21" t="s">
        <v>1127</v>
      </c>
      <c r="G659" s="15">
        <v>0.09127049544875034</v>
      </c>
      <c r="H659" s="11" t="s">
        <v>45</v>
      </c>
      <c r="I659" s="16">
        <v>23.76</v>
      </c>
      <c r="J659" s="11" t="s">
        <v>387</v>
      </c>
      <c r="K659" s="11" t="s">
        <v>61</v>
      </c>
      <c r="L659" s="11" t="s">
        <v>41</v>
      </c>
      <c r="M659" s="11" t="s">
        <v>66</v>
      </c>
      <c r="N659" s="11" t="s">
        <v>69</v>
      </c>
      <c r="O659" s="11" t="s">
        <v>1128</v>
      </c>
      <c r="P659" s="11" t="s">
        <v>52</v>
      </c>
      <c r="Q659" s="20">
        <v>39921.0</v>
      </c>
      <c r="R659" s="17">
        <f t="shared" si="2"/>
        <v>1398.66193</v>
      </c>
      <c r="S659" s="9"/>
      <c r="T659" s="9"/>
      <c r="U659" s="9"/>
      <c r="V659" s="9"/>
      <c r="W659" s="9"/>
      <c r="X659" s="9"/>
      <c r="Y659" s="9"/>
      <c r="Z659" s="9"/>
      <c r="AA659" s="9"/>
      <c r="AB659" s="9" t="str">
        <f>IFERROR(__xludf.DUMMYFUNCTION("""COMPUTED_VALUE"""),"Michael Paige")</f>
        <v>Michael Paige</v>
      </c>
      <c r="AC659" s="9"/>
      <c r="AD659" s="9"/>
      <c r="AE659" s="9">
        <f t="shared" si="8"/>
        <v>3</v>
      </c>
      <c r="AF659" s="19">
        <f t="shared" si="13"/>
        <v>4</v>
      </c>
      <c r="AG659" s="9"/>
      <c r="AH659" s="9"/>
      <c r="AI659" s="9"/>
    </row>
    <row r="660" ht="15.0" customHeight="1">
      <c r="A660" s="11">
        <v>659.0</v>
      </c>
      <c r="B660" s="12">
        <f t="shared" ref="B660:B663" si="113">DATE(2012,12,31)-1354</f>
        <v>39920</v>
      </c>
      <c r="C660" s="13">
        <v>2009.0</v>
      </c>
      <c r="D660" s="11" t="s">
        <v>39</v>
      </c>
      <c r="E660" s="11">
        <v>25.0</v>
      </c>
      <c r="F660" s="21" t="s">
        <v>933</v>
      </c>
      <c r="G660" s="15">
        <v>0.0577828602179469</v>
      </c>
      <c r="H660" s="11" t="s">
        <v>33</v>
      </c>
      <c r="I660" s="16">
        <v>3.2</v>
      </c>
      <c r="J660" s="11" t="s">
        <v>1142</v>
      </c>
      <c r="K660" s="11" t="s">
        <v>47</v>
      </c>
      <c r="L660" s="11" t="s">
        <v>36</v>
      </c>
      <c r="M660" s="11" t="s">
        <v>66</v>
      </c>
      <c r="N660" s="11" t="s">
        <v>67</v>
      </c>
      <c r="O660" s="11" t="s">
        <v>935</v>
      </c>
      <c r="P660" s="11" t="s">
        <v>38</v>
      </c>
      <c r="Q660" s="20">
        <v>39921.0</v>
      </c>
      <c r="R660" s="17">
        <f t="shared" si="2"/>
        <v>80.93645231</v>
      </c>
      <c r="S660" s="9"/>
      <c r="T660" s="9"/>
      <c r="U660" s="9"/>
      <c r="V660" s="9"/>
      <c r="W660" s="9"/>
      <c r="X660" s="9"/>
      <c r="Y660" s="9"/>
      <c r="Z660" s="9"/>
      <c r="AA660" s="9"/>
      <c r="AB660" s="9" t="str">
        <f>IFERROR(__xludf.DUMMYFUNCTION("""COMPUTED_VALUE"""),"Joni Sundaresam")</f>
        <v>Joni Sundaresam</v>
      </c>
      <c r="AC660" s="9"/>
      <c r="AD660" s="9"/>
      <c r="AE660" s="9">
        <f t="shared" si="8"/>
        <v>2</v>
      </c>
      <c r="AF660" s="19">
        <f t="shared" si="13"/>
        <v>3</v>
      </c>
      <c r="AG660" s="9"/>
      <c r="AH660" s="9"/>
      <c r="AI660" s="9"/>
    </row>
    <row r="661" ht="15.0" customHeight="1">
      <c r="A661" s="11">
        <v>660.0</v>
      </c>
      <c r="B661" s="12">
        <f t="shared" si="113"/>
        <v>39920</v>
      </c>
      <c r="C661" s="13">
        <v>2009.0</v>
      </c>
      <c r="D661" s="11" t="s">
        <v>39</v>
      </c>
      <c r="E661" s="11">
        <v>42.0</v>
      </c>
      <c r="F661" s="21" t="s">
        <v>314</v>
      </c>
      <c r="G661" s="15">
        <v>0.06558533145275063</v>
      </c>
      <c r="H661" s="11" t="s">
        <v>33</v>
      </c>
      <c r="I661" s="16">
        <v>0.4</v>
      </c>
      <c r="J661" s="11" t="s">
        <v>1142</v>
      </c>
      <c r="K661" s="11" t="s">
        <v>47</v>
      </c>
      <c r="L661" s="11" t="s">
        <v>36</v>
      </c>
      <c r="M661" s="11" t="s">
        <v>28</v>
      </c>
      <c r="N661" s="11" t="s">
        <v>188</v>
      </c>
      <c r="O661" s="11" t="s">
        <v>1143</v>
      </c>
      <c r="P661" s="11" t="s">
        <v>38</v>
      </c>
      <c r="Q661" s="20">
        <v>39921.0</v>
      </c>
      <c r="R661" s="17">
        <f t="shared" si="2"/>
        <v>17.38011283</v>
      </c>
      <c r="S661" s="9"/>
      <c r="T661" s="9"/>
      <c r="U661" s="9"/>
      <c r="V661" s="9"/>
      <c r="W661" s="9"/>
      <c r="X661" s="9"/>
      <c r="Y661" s="9"/>
      <c r="Z661" s="9"/>
      <c r="AA661" s="9"/>
      <c r="AB661" s="9" t="str">
        <f>IFERROR(__xludf.DUMMYFUNCTION("""COMPUTED_VALUE"""),"Ted Trevino")</f>
        <v>Ted Trevino</v>
      </c>
      <c r="AC661" s="9"/>
      <c r="AD661" s="9"/>
      <c r="AE661" s="9">
        <f t="shared" si="8"/>
        <v>2</v>
      </c>
      <c r="AF661" s="19">
        <f t="shared" si="13"/>
        <v>3</v>
      </c>
      <c r="AG661" s="9"/>
      <c r="AH661" s="9"/>
      <c r="AI661" s="9"/>
    </row>
    <row r="662" ht="15.0" customHeight="1">
      <c r="A662" s="11">
        <v>661.0</v>
      </c>
      <c r="B662" s="12">
        <f t="shared" si="113"/>
        <v>39920</v>
      </c>
      <c r="C662" s="13">
        <v>2009.0</v>
      </c>
      <c r="D662" s="11" t="s">
        <v>32</v>
      </c>
      <c r="E662" s="11">
        <v>2.0</v>
      </c>
      <c r="F662" s="21" t="s">
        <v>128</v>
      </c>
      <c r="G662" s="15">
        <v>0.017108159392789302</v>
      </c>
      <c r="H662" s="11" t="s">
        <v>33</v>
      </c>
      <c r="I662" s="16">
        <v>7.192</v>
      </c>
      <c r="J662" s="11" t="s">
        <v>193</v>
      </c>
      <c r="K662" s="11" t="s">
        <v>61</v>
      </c>
      <c r="L662" s="11" t="s">
        <v>48</v>
      </c>
      <c r="M662" s="11" t="s">
        <v>66</v>
      </c>
      <c r="N662" s="11" t="s">
        <v>80</v>
      </c>
      <c r="O662" s="11" t="s">
        <v>214</v>
      </c>
      <c r="P662" s="11" t="s">
        <v>38</v>
      </c>
      <c r="Q662" s="20">
        <v>39921.0</v>
      </c>
      <c r="R662" s="17">
        <f t="shared" si="2"/>
        <v>4.430876417</v>
      </c>
      <c r="S662" s="9"/>
      <c r="T662" s="9"/>
      <c r="U662" s="9"/>
      <c r="V662" s="9"/>
      <c r="W662" s="9"/>
      <c r="X662" s="9"/>
      <c r="Y662" s="9"/>
      <c r="Z662" s="9"/>
      <c r="AA662" s="9"/>
      <c r="AB662" s="9" t="str">
        <f>IFERROR(__xludf.DUMMYFUNCTION("""COMPUTED_VALUE"""),"Maureen Gastineau")</f>
        <v>Maureen Gastineau</v>
      </c>
      <c r="AC662" s="9"/>
      <c r="AD662" s="9"/>
      <c r="AE662" s="9">
        <f t="shared" si="8"/>
        <v>4</v>
      </c>
      <c r="AF662" s="19">
        <f t="shared" si="13"/>
        <v>4</v>
      </c>
      <c r="AG662" s="9"/>
      <c r="AH662" s="9"/>
      <c r="AI662" s="9"/>
    </row>
    <row r="663" ht="15.0" customHeight="1">
      <c r="A663" s="11">
        <v>662.0</v>
      </c>
      <c r="B663" s="12">
        <f t="shared" si="113"/>
        <v>39920</v>
      </c>
      <c r="C663" s="13">
        <v>2009.0</v>
      </c>
      <c r="D663" s="11" t="s">
        <v>44</v>
      </c>
      <c r="E663" s="11">
        <v>41.0</v>
      </c>
      <c r="F663" s="21" t="s">
        <v>1144</v>
      </c>
      <c r="G663" s="15">
        <v>0.020045011936709847</v>
      </c>
      <c r="H663" s="11" t="s">
        <v>33</v>
      </c>
      <c r="I663" s="16">
        <v>15.991999999999999</v>
      </c>
      <c r="J663" s="11" t="s">
        <v>1145</v>
      </c>
      <c r="K663" s="11" t="s">
        <v>65</v>
      </c>
      <c r="L663" s="11" t="s">
        <v>48</v>
      </c>
      <c r="M663" s="11" t="s">
        <v>28</v>
      </c>
      <c r="N663" s="11" t="s">
        <v>29</v>
      </c>
      <c r="O663" s="11" t="s">
        <v>1146</v>
      </c>
      <c r="P663" s="11" t="s">
        <v>38</v>
      </c>
      <c r="Q663" s="20">
        <v>39921.0</v>
      </c>
      <c r="R663" s="17">
        <f t="shared" si="2"/>
        <v>344.7560044</v>
      </c>
      <c r="S663" s="9"/>
      <c r="T663" s="9"/>
      <c r="U663" s="9"/>
      <c r="V663" s="9"/>
      <c r="W663" s="9"/>
      <c r="X663" s="9"/>
      <c r="Y663" s="9"/>
      <c r="Z663" s="9"/>
      <c r="AA663" s="9"/>
      <c r="AB663" s="9" t="str">
        <f>IFERROR(__xludf.DUMMYFUNCTION("""COMPUTED_VALUE"""),"Roland Murray")</f>
        <v>Roland Murray</v>
      </c>
      <c r="AC663" s="9"/>
      <c r="AD663" s="9"/>
      <c r="AE663" s="9">
        <f t="shared" si="8"/>
        <v>4</v>
      </c>
      <c r="AF663" s="19">
        <f t="shared" si="13"/>
        <v>5</v>
      </c>
      <c r="AG663" s="9"/>
      <c r="AH663" s="9"/>
      <c r="AI663" s="9"/>
    </row>
    <row r="664" ht="15.0" customHeight="1">
      <c r="A664" s="11">
        <v>663.0</v>
      </c>
      <c r="B664" s="12">
        <f t="shared" ref="B664:B671" si="114">DATE(2012,12,31)-1353</f>
        <v>39921</v>
      </c>
      <c r="C664" s="13">
        <v>2009.0</v>
      </c>
      <c r="D664" s="11" t="s">
        <v>102</v>
      </c>
      <c r="E664" s="11">
        <v>14.0</v>
      </c>
      <c r="F664" s="21" t="s">
        <v>740</v>
      </c>
      <c r="G664" s="15">
        <v>0.09142241750667722</v>
      </c>
      <c r="H664" s="11" t="s">
        <v>33</v>
      </c>
      <c r="I664" s="16">
        <v>5.744</v>
      </c>
      <c r="J664" s="11" t="s">
        <v>196</v>
      </c>
      <c r="K664" s="11" t="s">
        <v>65</v>
      </c>
      <c r="L664" s="11" t="s">
        <v>27</v>
      </c>
      <c r="M664" s="11" t="s">
        <v>66</v>
      </c>
      <c r="N664" s="11" t="s">
        <v>67</v>
      </c>
      <c r="O664" s="11" t="s">
        <v>1147</v>
      </c>
      <c r="P664" s="11" t="s">
        <v>38</v>
      </c>
      <c r="Q664" s="20">
        <v>39922.0</v>
      </c>
      <c r="R664" s="17">
        <f t="shared" si="2"/>
        <v>385.6512064</v>
      </c>
      <c r="S664" s="9"/>
      <c r="T664" s="9"/>
      <c r="U664" s="9"/>
      <c r="V664" s="9"/>
      <c r="W664" s="9"/>
      <c r="X664" s="9"/>
      <c r="Y664" s="9"/>
      <c r="Z664" s="9"/>
      <c r="AA664" s="9"/>
      <c r="AB664" s="9" t="str">
        <f>IFERROR(__xludf.DUMMYFUNCTION("""COMPUTED_VALUE"""),"Liz Thompson")</f>
        <v>Liz Thompson</v>
      </c>
      <c r="AC664" s="9"/>
      <c r="AD664" s="9"/>
      <c r="AE664" s="9">
        <f t="shared" si="8"/>
        <v>1</v>
      </c>
      <c r="AF664" s="19">
        <f t="shared" si="13"/>
        <v>5</v>
      </c>
      <c r="AG664" s="9"/>
      <c r="AH664" s="9"/>
      <c r="AI664" s="9"/>
    </row>
    <row r="665" ht="15.0" customHeight="1">
      <c r="A665" s="11">
        <v>664.0</v>
      </c>
      <c r="B665" s="12">
        <f t="shared" si="114"/>
        <v>39921</v>
      </c>
      <c r="C665" s="13">
        <v>2009.0</v>
      </c>
      <c r="D665" s="11" t="s">
        <v>102</v>
      </c>
      <c r="E665" s="11">
        <v>40.0</v>
      </c>
      <c r="F665" s="21" t="s">
        <v>1148</v>
      </c>
      <c r="G665" s="15">
        <v>0.05905458837415166</v>
      </c>
      <c r="H665" s="11" t="s">
        <v>33</v>
      </c>
      <c r="I665" s="16">
        <v>2.4320000000000004</v>
      </c>
      <c r="J665" s="11" t="s">
        <v>196</v>
      </c>
      <c r="K665" s="11" t="s">
        <v>65</v>
      </c>
      <c r="L665" s="11" t="s">
        <v>27</v>
      </c>
      <c r="M665" s="11" t="s">
        <v>49</v>
      </c>
      <c r="N665" s="11" t="s">
        <v>73</v>
      </c>
      <c r="O665" s="11" t="s">
        <v>1149</v>
      </c>
      <c r="P665" s="11" t="s">
        <v>58</v>
      </c>
      <c r="Q665" s="20">
        <v>39922.0</v>
      </c>
      <c r="R665" s="17">
        <f t="shared" si="2"/>
        <v>94.15852545</v>
      </c>
      <c r="S665" s="9"/>
      <c r="T665" s="9"/>
      <c r="U665" s="9"/>
      <c r="V665" s="9"/>
      <c r="W665" s="9"/>
      <c r="X665" s="9"/>
      <c r="Y665" s="9"/>
      <c r="Z665" s="9"/>
      <c r="AA665" s="9"/>
      <c r="AB665" s="9" t="str">
        <f>IFERROR(__xludf.DUMMYFUNCTION("""COMPUTED_VALUE"""),"Scott Williamson")</f>
        <v>Scott Williamson</v>
      </c>
      <c r="AC665" s="9"/>
      <c r="AD665" s="9"/>
      <c r="AE665" s="9">
        <f t="shared" si="8"/>
        <v>1</v>
      </c>
      <c r="AF665" s="19">
        <f t="shared" si="13"/>
        <v>5</v>
      </c>
      <c r="AG665" s="9"/>
      <c r="AH665" s="9"/>
      <c r="AI665" s="9"/>
    </row>
    <row r="666" ht="15.0" customHeight="1">
      <c r="A666" s="11">
        <v>665.0</v>
      </c>
      <c r="B666" s="12">
        <f t="shared" si="114"/>
        <v>39921</v>
      </c>
      <c r="C666" s="13">
        <v>2009.0</v>
      </c>
      <c r="D666" s="11" t="s">
        <v>39</v>
      </c>
      <c r="E666" s="11">
        <v>23.0</v>
      </c>
      <c r="F666" s="21" t="s">
        <v>766</v>
      </c>
      <c r="G666" s="15">
        <v>0.02210550059613956</v>
      </c>
      <c r="H666" s="11" t="s">
        <v>45</v>
      </c>
      <c r="I666" s="16">
        <v>24.0</v>
      </c>
      <c r="J666" s="11" t="s">
        <v>332</v>
      </c>
      <c r="K666" s="11" t="s">
        <v>65</v>
      </c>
      <c r="L666" s="11" t="s">
        <v>48</v>
      </c>
      <c r="M666" s="11" t="s">
        <v>49</v>
      </c>
      <c r="N666" s="11" t="s">
        <v>50</v>
      </c>
      <c r="O666" s="11" t="s">
        <v>1150</v>
      </c>
      <c r="P666" s="11" t="s">
        <v>52</v>
      </c>
      <c r="Q666" s="20">
        <v>39922.0</v>
      </c>
      <c r="R666" s="17">
        <f t="shared" si="2"/>
        <v>67.08356266</v>
      </c>
      <c r="S666" s="9"/>
      <c r="T666" s="9"/>
      <c r="U666" s="9"/>
      <c r="V666" s="9"/>
      <c r="W666" s="9"/>
      <c r="X666" s="9"/>
      <c r="Y666" s="9"/>
      <c r="Z666" s="9"/>
      <c r="AA666" s="9"/>
      <c r="AB666" s="9" t="str">
        <f>IFERROR(__xludf.DUMMYFUNCTION("""COMPUTED_VALUE"""),"David Wiener")</f>
        <v>David Wiener</v>
      </c>
      <c r="AC666" s="9"/>
      <c r="AD666" s="9"/>
      <c r="AE666" s="9">
        <f t="shared" si="8"/>
        <v>4</v>
      </c>
      <c r="AF666" s="19">
        <f t="shared" si="13"/>
        <v>5</v>
      </c>
      <c r="AG666" s="9"/>
      <c r="AH666" s="9"/>
      <c r="AI666" s="9"/>
    </row>
    <row r="667" ht="15.0" customHeight="1">
      <c r="A667" s="11">
        <v>666.0</v>
      </c>
      <c r="B667" s="12">
        <f t="shared" si="114"/>
        <v>39921</v>
      </c>
      <c r="C667" s="13">
        <v>2009.0</v>
      </c>
      <c r="D667" s="11" t="s">
        <v>102</v>
      </c>
      <c r="E667" s="11">
        <v>25.0</v>
      </c>
      <c r="F667" s="21" t="s">
        <v>1151</v>
      </c>
      <c r="G667" s="15">
        <v>0.08682946357085672</v>
      </c>
      <c r="H667" s="11" t="s">
        <v>45</v>
      </c>
      <c r="I667" s="16">
        <v>33.6</v>
      </c>
      <c r="J667" s="11" t="s">
        <v>1152</v>
      </c>
      <c r="K667" s="11" t="s">
        <v>65</v>
      </c>
      <c r="L667" s="11" t="s">
        <v>41</v>
      </c>
      <c r="M667" s="11" t="s">
        <v>49</v>
      </c>
      <c r="N667" s="11" t="s">
        <v>50</v>
      </c>
      <c r="O667" s="11" t="s">
        <v>1153</v>
      </c>
      <c r="P667" s="11" t="s">
        <v>52</v>
      </c>
      <c r="Q667" s="20">
        <v>39922.0</v>
      </c>
      <c r="R667" s="17">
        <f t="shared" si="2"/>
        <v>198.0666894</v>
      </c>
      <c r="S667" s="9"/>
      <c r="T667" s="9"/>
      <c r="U667" s="9"/>
      <c r="V667" s="9"/>
      <c r="W667" s="9"/>
      <c r="X667" s="9"/>
      <c r="Y667" s="9"/>
      <c r="Z667" s="9"/>
      <c r="AA667" s="9"/>
      <c r="AB667" s="9" t="str">
        <f>IFERROR(__xludf.DUMMYFUNCTION("""COMPUTED_VALUE"""),"Anemone Ratner")</f>
        <v>Anemone Ratner</v>
      </c>
      <c r="AC667" s="9"/>
      <c r="AD667" s="9"/>
      <c r="AE667" s="9">
        <f t="shared" si="8"/>
        <v>3</v>
      </c>
      <c r="AF667" s="19">
        <f t="shared" si="13"/>
        <v>5</v>
      </c>
      <c r="AG667" s="9"/>
      <c r="AH667" s="9"/>
      <c r="AI667" s="9"/>
    </row>
    <row r="668" ht="15.0" customHeight="1">
      <c r="A668" s="11">
        <v>667.0</v>
      </c>
      <c r="B668" s="12">
        <f t="shared" si="114"/>
        <v>39921</v>
      </c>
      <c r="C668" s="13">
        <v>2009.0</v>
      </c>
      <c r="D668" s="11" t="s">
        <v>102</v>
      </c>
      <c r="E668" s="11">
        <v>28.0</v>
      </c>
      <c r="F668" s="21" t="s">
        <v>1154</v>
      </c>
      <c r="G668" s="15">
        <v>0.09480532043530834</v>
      </c>
      <c r="H668" s="11" t="s">
        <v>24</v>
      </c>
      <c r="I668" s="16">
        <v>15.991999999999999</v>
      </c>
      <c r="J668" s="11" t="s">
        <v>690</v>
      </c>
      <c r="K668" s="11" t="s">
        <v>61</v>
      </c>
      <c r="L668" s="11" t="s">
        <v>48</v>
      </c>
      <c r="M668" s="11" t="s">
        <v>28</v>
      </c>
      <c r="N668" s="11" t="s">
        <v>29</v>
      </c>
      <c r="O668" s="11" t="s">
        <v>1155</v>
      </c>
      <c r="P668" s="11" t="s">
        <v>38</v>
      </c>
      <c r="Q668" s="20">
        <v>39922.0</v>
      </c>
      <c r="R668" s="17">
        <f t="shared" si="2"/>
        <v>141.9417673</v>
      </c>
      <c r="S668" s="9"/>
      <c r="T668" s="9"/>
      <c r="U668" s="9"/>
      <c r="V668" s="9"/>
      <c r="W668" s="9"/>
      <c r="X668" s="9"/>
      <c r="Y668" s="9"/>
      <c r="Z668" s="9"/>
      <c r="AA668" s="9"/>
      <c r="AB668" s="9" t="str">
        <f>IFERROR(__xludf.DUMMYFUNCTION("""COMPUTED_VALUE"""),"Herbert Flentye")</f>
        <v>Herbert Flentye</v>
      </c>
      <c r="AC668" s="9"/>
      <c r="AD668" s="9"/>
      <c r="AE668" s="9">
        <f t="shared" si="8"/>
        <v>4</v>
      </c>
      <c r="AF668" s="19">
        <f t="shared" si="13"/>
        <v>4</v>
      </c>
      <c r="AG668" s="9"/>
      <c r="AH668" s="9"/>
      <c r="AI668" s="9"/>
    </row>
    <row r="669" ht="15.0" customHeight="1">
      <c r="A669" s="11">
        <v>668.0</v>
      </c>
      <c r="B669" s="12">
        <f t="shared" si="114"/>
        <v>39921</v>
      </c>
      <c r="C669" s="13">
        <v>2009.0</v>
      </c>
      <c r="D669" s="11" t="s">
        <v>102</v>
      </c>
      <c r="E669" s="11">
        <v>8.0</v>
      </c>
      <c r="F669" s="21" t="s">
        <v>163</v>
      </c>
      <c r="G669" s="15">
        <v>0.07842281516690072</v>
      </c>
      <c r="H669" s="11" t="s">
        <v>45</v>
      </c>
      <c r="I669" s="16">
        <v>45.904</v>
      </c>
      <c r="J669" s="11" t="s">
        <v>690</v>
      </c>
      <c r="K669" s="11" t="s">
        <v>61</v>
      </c>
      <c r="L669" s="11" t="s">
        <v>48</v>
      </c>
      <c r="M669" s="11" t="s">
        <v>49</v>
      </c>
      <c r="N669" s="11" t="s">
        <v>156</v>
      </c>
      <c r="O669" s="11" t="s">
        <v>852</v>
      </c>
      <c r="P669" s="11" t="s">
        <v>87</v>
      </c>
      <c r="Q669" s="20">
        <v>39922.0</v>
      </c>
      <c r="R669" s="17">
        <f t="shared" si="2"/>
        <v>66.90281731</v>
      </c>
      <c r="S669" s="9"/>
      <c r="T669" s="9"/>
      <c r="U669" s="9"/>
      <c r="V669" s="9"/>
      <c r="W669" s="9"/>
      <c r="X669" s="9"/>
      <c r="Y669" s="9"/>
      <c r="Z669" s="9"/>
      <c r="AA669" s="9"/>
      <c r="AB669" s="9" t="str">
        <f>IFERROR(__xludf.DUMMYFUNCTION("""COMPUTED_VALUE"""),"Patricia Hirasaki")</f>
        <v>Patricia Hirasaki</v>
      </c>
      <c r="AC669" s="9"/>
      <c r="AD669" s="9"/>
      <c r="AE669" s="9">
        <f t="shared" si="8"/>
        <v>4</v>
      </c>
      <c r="AF669" s="19">
        <f t="shared" si="13"/>
        <v>4</v>
      </c>
      <c r="AG669" s="9"/>
      <c r="AH669" s="9"/>
      <c r="AI669" s="9"/>
    </row>
    <row r="670" ht="15.0" customHeight="1">
      <c r="A670" s="11">
        <v>669.0</v>
      </c>
      <c r="B670" s="12">
        <f t="shared" si="114"/>
        <v>39921</v>
      </c>
      <c r="C670" s="13">
        <v>2009.0</v>
      </c>
      <c r="D670" s="11" t="s">
        <v>102</v>
      </c>
      <c r="E670" s="11">
        <v>20.0</v>
      </c>
      <c r="F670" s="21" t="s">
        <v>869</v>
      </c>
      <c r="G670" s="15">
        <v>0.030245994132250154</v>
      </c>
      <c r="H670" s="11" t="s">
        <v>33</v>
      </c>
      <c r="I670" s="16">
        <v>0.792</v>
      </c>
      <c r="J670" s="11" t="s">
        <v>690</v>
      </c>
      <c r="K670" s="11" t="s">
        <v>61</v>
      </c>
      <c r="L670" s="11" t="s">
        <v>48</v>
      </c>
      <c r="M670" s="11" t="s">
        <v>66</v>
      </c>
      <c r="N670" s="11" t="s">
        <v>80</v>
      </c>
      <c r="O670" s="11" t="s">
        <v>1055</v>
      </c>
      <c r="P670" s="11" t="s">
        <v>58</v>
      </c>
      <c r="Q670" s="20">
        <v>39923.0</v>
      </c>
      <c r="R670" s="17">
        <f t="shared" si="2"/>
        <v>51.98657275</v>
      </c>
      <c r="S670" s="9"/>
      <c r="T670" s="9"/>
      <c r="U670" s="9"/>
      <c r="V670" s="9"/>
      <c r="W670" s="9"/>
      <c r="X670" s="9"/>
      <c r="Y670" s="9"/>
      <c r="Z670" s="9"/>
      <c r="AA670" s="9"/>
      <c r="AB670" s="9" t="str">
        <f>IFERROR(__xludf.DUMMYFUNCTION("""COMPUTED_VALUE"""),"Doug Jacobs")</f>
        <v>Doug Jacobs</v>
      </c>
      <c r="AC670" s="9"/>
      <c r="AD670" s="9"/>
      <c r="AE670" s="9">
        <f t="shared" si="8"/>
        <v>4</v>
      </c>
      <c r="AF670" s="19">
        <f t="shared" si="13"/>
        <v>4</v>
      </c>
      <c r="AG670" s="9"/>
      <c r="AH670" s="9"/>
      <c r="AI670" s="9"/>
    </row>
    <row r="671" ht="15.0" customHeight="1">
      <c r="A671" s="11">
        <v>670.0</v>
      </c>
      <c r="B671" s="12">
        <f t="shared" si="114"/>
        <v>39921</v>
      </c>
      <c r="C671" s="13">
        <v>2009.0</v>
      </c>
      <c r="D671" s="11" t="s">
        <v>102</v>
      </c>
      <c r="E671" s="11">
        <v>36.0</v>
      </c>
      <c r="F671" s="21" t="s">
        <v>1156</v>
      </c>
      <c r="G671" s="15">
        <v>0.057276680040962175</v>
      </c>
      <c r="H671" s="11" t="s">
        <v>33</v>
      </c>
      <c r="I671" s="16">
        <v>3.12</v>
      </c>
      <c r="J671" s="11" t="s">
        <v>993</v>
      </c>
      <c r="K671" s="11" t="s">
        <v>83</v>
      </c>
      <c r="L671" s="11" t="s">
        <v>48</v>
      </c>
      <c r="M671" s="11" t="s">
        <v>66</v>
      </c>
      <c r="N671" s="11" t="s">
        <v>80</v>
      </c>
      <c r="O671" s="11" t="s">
        <v>1157</v>
      </c>
      <c r="P671" s="11" t="s">
        <v>38</v>
      </c>
      <c r="Q671" s="20">
        <v>39923.0</v>
      </c>
      <c r="R671" s="17">
        <f t="shared" si="2"/>
        <v>321.6383423</v>
      </c>
      <c r="S671" s="9"/>
      <c r="T671" s="9"/>
      <c r="U671" s="9"/>
      <c r="V671" s="9"/>
      <c r="W671" s="9"/>
      <c r="X671" s="9"/>
      <c r="Y671" s="9"/>
      <c r="Z671" s="9"/>
      <c r="AA671" s="9"/>
      <c r="AB671" s="9" t="str">
        <f>IFERROR(__xludf.DUMMYFUNCTION("""COMPUTED_VALUE"""),"Tom Ashbrook")</f>
        <v>Tom Ashbrook</v>
      </c>
      <c r="AC671" s="9"/>
      <c r="AD671" s="9"/>
      <c r="AE671" s="9">
        <f t="shared" si="8"/>
        <v>4</v>
      </c>
      <c r="AF671" s="19" t="b">
        <f t="shared" si="13"/>
        <v>0</v>
      </c>
      <c r="AG671" s="9"/>
      <c r="AH671" s="9"/>
      <c r="AI671" s="9"/>
    </row>
    <row r="672" ht="15.0" customHeight="1">
      <c r="A672" s="11">
        <v>671.0</v>
      </c>
      <c r="B672" s="12">
        <f t="shared" ref="B672:B678" si="115">DATE(2012,12,31)-1352</f>
        <v>39922</v>
      </c>
      <c r="C672" s="13">
        <v>2009.0</v>
      </c>
      <c r="D672" s="11" t="s">
        <v>44</v>
      </c>
      <c r="E672" s="11">
        <v>38.0</v>
      </c>
      <c r="F672" s="21" t="s">
        <v>1158</v>
      </c>
      <c r="G672" s="15">
        <v>0.07947909527073341</v>
      </c>
      <c r="H672" s="11" t="s">
        <v>33</v>
      </c>
      <c r="I672" s="16">
        <v>1.304</v>
      </c>
      <c r="J672" s="11" t="s">
        <v>1089</v>
      </c>
      <c r="K672" s="11" t="s">
        <v>35</v>
      </c>
      <c r="L672" s="11" t="s">
        <v>48</v>
      </c>
      <c r="M672" s="11" t="s">
        <v>28</v>
      </c>
      <c r="N672" s="11" t="s">
        <v>216</v>
      </c>
      <c r="O672" s="11" t="s">
        <v>1159</v>
      </c>
      <c r="P672" s="11" t="s">
        <v>58</v>
      </c>
      <c r="Q672" s="20">
        <v>39923.0</v>
      </c>
      <c r="R672" s="17">
        <f t="shared" si="2"/>
        <v>10.67436041</v>
      </c>
      <c r="S672" s="9"/>
      <c r="T672" s="9"/>
      <c r="U672" s="9"/>
      <c r="V672" s="9"/>
      <c r="W672" s="9"/>
      <c r="X672" s="9"/>
      <c r="Y672" s="9"/>
      <c r="Z672" s="9"/>
      <c r="AA672" s="9"/>
      <c r="AB672" s="9" t="str">
        <f>IFERROR(__xludf.DUMMYFUNCTION("""COMPUTED_VALUE"""),"Theresa Coyne")</f>
        <v>Theresa Coyne</v>
      </c>
      <c r="AC672" s="9"/>
      <c r="AD672" s="9"/>
      <c r="AE672" s="9">
        <f t="shared" si="8"/>
        <v>4</v>
      </c>
      <c r="AF672" s="19">
        <f t="shared" si="13"/>
        <v>2</v>
      </c>
      <c r="AG672" s="9"/>
      <c r="AH672" s="9"/>
      <c r="AI672" s="9"/>
    </row>
    <row r="673" ht="15.0" customHeight="1">
      <c r="A673" s="11">
        <v>672.0</v>
      </c>
      <c r="B673" s="12">
        <f t="shared" si="115"/>
        <v>39922</v>
      </c>
      <c r="C673" s="13">
        <v>2009.0</v>
      </c>
      <c r="D673" s="11" t="s">
        <v>44</v>
      </c>
      <c r="E673" s="11">
        <v>30.0</v>
      </c>
      <c r="F673" s="21" t="s">
        <v>1160</v>
      </c>
      <c r="G673" s="15">
        <v>0.014051503193523439</v>
      </c>
      <c r="H673" s="11" t="s">
        <v>33</v>
      </c>
      <c r="I673" s="16">
        <v>38.56</v>
      </c>
      <c r="J673" s="11" t="s">
        <v>320</v>
      </c>
      <c r="K673" s="11" t="s">
        <v>65</v>
      </c>
      <c r="L673" s="11" t="s">
        <v>27</v>
      </c>
      <c r="M673" s="11" t="s">
        <v>49</v>
      </c>
      <c r="N673" s="11" t="s">
        <v>73</v>
      </c>
      <c r="O673" s="11" t="s">
        <v>1161</v>
      </c>
      <c r="P673" s="11" t="s">
        <v>75</v>
      </c>
      <c r="Q673" s="20">
        <v>39923.0</v>
      </c>
      <c r="R673" s="17">
        <f t="shared" si="2"/>
        <v>34.05466108</v>
      </c>
      <c r="S673" s="9"/>
      <c r="T673" s="9"/>
      <c r="U673" s="9"/>
      <c r="V673" s="9"/>
      <c r="W673" s="9"/>
      <c r="X673" s="9"/>
      <c r="Y673" s="9"/>
      <c r="Z673" s="9"/>
      <c r="AA673" s="9"/>
      <c r="AB673" s="9" t="str">
        <f>IFERROR(__xludf.DUMMYFUNCTION("""COMPUTED_VALUE"""),"Jennifer Halladay")</f>
        <v>Jennifer Halladay</v>
      </c>
      <c r="AC673" s="9"/>
      <c r="AD673" s="9"/>
      <c r="AE673" s="9">
        <f t="shared" si="8"/>
        <v>1</v>
      </c>
      <c r="AF673" s="19">
        <f t="shared" si="13"/>
        <v>5</v>
      </c>
      <c r="AG673" s="9"/>
      <c r="AH673" s="9"/>
      <c r="AI673" s="9"/>
    </row>
    <row r="674" ht="15.0" customHeight="1">
      <c r="A674" s="11">
        <v>673.0</v>
      </c>
      <c r="B674" s="12">
        <f t="shared" si="115"/>
        <v>39922</v>
      </c>
      <c r="C674" s="13">
        <v>2009.0</v>
      </c>
      <c r="D674" s="11" t="s">
        <v>32</v>
      </c>
      <c r="E674" s="11">
        <v>20.0</v>
      </c>
      <c r="F674" s="21" t="s">
        <v>450</v>
      </c>
      <c r="G674" s="15">
        <v>0.08407988327557897</v>
      </c>
      <c r="H674" s="11" t="s">
        <v>24</v>
      </c>
      <c r="I674" s="16">
        <v>19.592</v>
      </c>
      <c r="J674" s="11" t="s">
        <v>25</v>
      </c>
      <c r="K674" s="11" t="s">
        <v>26</v>
      </c>
      <c r="L674" s="11" t="s">
        <v>27</v>
      </c>
      <c r="M674" s="11" t="s">
        <v>66</v>
      </c>
      <c r="N674" s="11" t="s">
        <v>170</v>
      </c>
      <c r="O674" s="11" t="s">
        <v>451</v>
      </c>
      <c r="P674" s="11" t="s">
        <v>31</v>
      </c>
      <c r="Q674" s="20">
        <v>39924.0</v>
      </c>
      <c r="R674" s="17">
        <f t="shared" si="2"/>
        <v>337.7986664</v>
      </c>
      <c r="S674" s="9"/>
      <c r="T674" s="9"/>
      <c r="U674" s="9"/>
      <c r="V674" s="9"/>
      <c r="W674" s="9"/>
      <c r="X674" s="9"/>
      <c r="Y674" s="9"/>
      <c r="Z674" s="9"/>
      <c r="AA674" s="9"/>
      <c r="AB674" s="9" t="str">
        <f>IFERROR(__xludf.DUMMYFUNCTION("""COMPUTED_VALUE"""),"Kelly Collister")</f>
        <v>Kelly Collister</v>
      </c>
      <c r="AC674" s="9"/>
      <c r="AD674" s="9"/>
      <c r="AE674" s="9">
        <f t="shared" si="8"/>
        <v>1</v>
      </c>
      <c r="AF674" s="19">
        <f t="shared" si="13"/>
        <v>1</v>
      </c>
      <c r="AG674" s="9"/>
      <c r="AH674" s="9"/>
      <c r="AI674" s="9"/>
    </row>
    <row r="675" ht="15.0" customHeight="1">
      <c r="A675" s="11">
        <v>674.0</v>
      </c>
      <c r="B675" s="12">
        <f t="shared" si="115"/>
        <v>39922</v>
      </c>
      <c r="C675" s="13">
        <v>2009.0</v>
      </c>
      <c r="D675" s="11" t="s">
        <v>32</v>
      </c>
      <c r="E675" s="11">
        <v>40.0</v>
      </c>
      <c r="F675" s="21" t="s">
        <v>1071</v>
      </c>
      <c r="G675" s="15">
        <v>0.025897822216134795</v>
      </c>
      <c r="H675" s="11" t="s">
        <v>33</v>
      </c>
      <c r="I675" s="16">
        <v>7.192</v>
      </c>
      <c r="J675" s="11" t="s">
        <v>25</v>
      </c>
      <c r="K675" s="11" t="s">
        <v>26</v>
      </c>
      <c r="L675" s="11" t="s">
        <v>27</v>
      </c>
      <c r="M675" s="11" t="s">
        <v>49</v>
      </c>
      <c r="N675" s="11" t="s">
        <v>73</v>
      </c>
      <c r="O675" s="11" t="s">
        <v>1073</v>
      </c>
      <c r="P675" s="11" t="s">
        <v>99</v>
      </c>
      <c r="Q675" s="20">
        <v>39924.0</v>
      </c>
      <c r="R675" s="17">
        <f t="shared" si="2"/>
        <v>18.41832398</v>
      </c>
      <c r="S675" s="9"/>
      <c r="T675" s="9"/>
      <c r="U675" s="9"/>
      <c r="V675" s="9"/>
      <c r="W675" s="9"/>
      <c r="X675" s="9"/>
      <c r="Y675" s="9"/>
      <c r="Z675" s="9"/>
      <c r="AA675" s="9"/>
      <c r="AB675" s="9" t="str">
        <f>IFERROR(__xludf.DUMMYFUNCTION("""COMPUTED_VALUE"""),"Lori Olson")</f>
        <v>Lori Olson</v>
      </c>
      <c r="AC675" s="9"/>
      <c r="AD675" s="9"/>
      <c r="AE675" s="9">
        <f t="shared" si="8"/>
        <v>1</v>
      </c>
      <c r="AF675" s="19">
        <f t="shared" si="13"/>
        <v>1</v>
      </c>
      <c r="AG675" s="9"/>
      <c r="AH675" s="9"/>
      <c r="AI675" s="9"/>
    </row>
    <row r="676" ht="15.0" customHeight="1">
      <c r="A676" s="11">
        <v>675.0</v>
      </c>
      <c r="B676" s="12">
        <f t="shared" si="115"/>
        <v>39922</v>
      </c>
      <c r="C676" s="13">
        <v>2009.0</v>
      </c>
      <c r="D676" s="11" t="s">
        <v>44</v>
      </c>
      <c r="E676" s="11">
        <v>29.0</v>
      </c>
      <c r="F676" s="21" t="s">
        <v>509</v>
      </c>
      <c r="G676" s="15">
        <v>0.035588126568869546</v>
      </c>
      <c r="H676" s="11" t="s">
        <v>33</v>
      </c>
      <c r="I676" s="16">
        <v>11.192</v>
      </c>
      <c r="J676" s="11" t="s">
        <v>942</v>
      </c>
      <c r="K676" s="11" t="s">
        <v>61</v>
      </c>
      <c r="L676" s="11" t="s">
        <v>48</v>
      </c>
      <c r="M676" s="11" t="s">
        <v>28</v>
      </c>
      <c r="N676" s="11" t="s">
        <v>197</v>
      </c>
      <c r="O676" s="11" t="s">
        <v>511</v>
      </c>
      <c r="P676" s="11" t="s">
        <v>75</v>
      </c>
      <c r="Q676" s="20">
        <v>39924.0</v>
      </c>
      <c r="R676" s="17">
        <f t="shared" si="2"/>
        <v>81.51787801</v>
      </c>
      <c r="S676" s="9"/>
      <c r="T676" s="9"/>
      <c r="U676" s="9"/>
      <c r="V676" s="9"/>
      <c r="W676" s="9"/>
      <c r="X676" s="9"/>
      <c r="Y676" s="9"/>
      <c r="Z676" s="9"/>
      <c r="AA676" s="9"/>
      <c r="AB676" s="9" t="str">
        <f>IFERROR(__xludf.DUMMYFUNCTION("""COMPUTED_VALUE"""),"Barry French")</f>
        <v>Barry French</v>
      </c>
      <c r="AC676" s="9"/>
      <c r="AD676" s="9"/>
      <c r="AE676" s="9">
        <f t="shared" si="8"/>
        <v>4</v>
      </c>
      <c r="AF676" s="19">
        <f t="shared" si="13"/>
        <v>4</v>
      </c>
      <c r="AG676" s="9"/>
      <c r="AH676" s="9"/>
      <c r="AI676" s="9"/>
    </row>
    <row r="677" ht="15.0" customHeight="1">
      <c r="A677" s="11">
        <v>676.0</v>
      </c>
      <c r="B677" s="12">
        <f t="shared" si="115"/>
        <v>39922</v>
      </c>
      <c r="C677" s="13">
        <v>2009.0</v>
      </c>
      <c r="D677" s="11" t="s">
        <v>44</v>
      </c>
      <c r="E677" s="11">
        <v>41.0</v>
      </c>
      <c r="F677" s="21" t="s">
        <v>536</v>
      </c>
      <c r="G677" s="15">
        <v>0.07728277011119558</v>
      </c>
      <c r="H677" s="11" t="s">
        <v>45</v>
      </c>
      <c r="I677" s="16">
        <v>56.160000000000004</v>
      </c>
      <c r="J677" s="11" t="s">
        <v>942</v>
      </c>
      <c r="K677" s="11" t="s">
        <v>61</v>
      </c>
      <c r="L677" s="11" t="s">
        <v>48</v>
      </c>
      <c r="M677" s="11" t="s">
        <v>49</v>
      </c>
      <c r="N677" s="11" t="s">
        <v>50</v>
      </c>
      <c r="O677" s="11" t="s">
        <v>537</v>
      </c>
      <c r="P677" s="11" t="s">
        <v>52</v>
      </c>
      <c r="Q677" s="20">
        <v>39924.0</v>
      </c>
      <c r="R677" s="17">
        <f t="shared" si="2"/>
        <v>393.7603507</v>
      </c>
      <c r="S677" s="9"/>
      <c r="T677" s="9"/>
      <c r="U677" s="9"/>
      <c r="V677" s="9"/>
      <c r="W677" s="9"/>
      <c r="X677" s="9"/>
      <c r="Y677" s="9"/>
      <c r="Z677" s="9"/>
      <c r="AA677" s="9"/>
      <c r="AB677" s="9" t="str">
        <f>IFERROR(__xludf.DUMMYFUNCTION("""COMPUTED_VALUE"""),"Alyssa Crouse")</f>
        <v>Alyssa Crouse</v>
      </c>
      <c r="AC677" s="9"/>
      <c r="AD677" s="9"/>
      <c r="AE677" s="9">
        <f t="shared" si="8"/>
        <v>4</v>
      </c>
      <c r="AF677" s="19">
        <f t="shared" si="13"/>
        <v>4</v>
      </c>
      <c r="AG677" s="9"/>
      <c r="AH677" s="9"/>
      <c r="AI677" s="9"/>
    </row>
    <row r="678" ht="15.0" customHeight="1">
      <c r="A678" s="11">
        <v>677.0</v>
      </c>
      <c r="B678" s="12">
        <f t="shared" si="115"/>
        <v>39922</v>
      </c>
      <c r="C678" s="13">
        <v>2009.0</v>
      </c>
      <c r="D678" s="11" t="s">
        <v>23</v>
      </c>
      <c r="E678" s="11">
        <v>36.0</v>
      </c>
      <c r="F678" s="21" t="s">
        <v>1162</v>
      </c>
      <c r="G678" s="15">
        <v>0.08289973476855189</v>
      </c>
      <c r="H678" s="11" t="s">
        <v>33</v>
      </c>
      <c r="I678" s="16">
        <v>15.991999999999999</v>
      </c>
      <c r="J678" s="11" t="s">
        <v>535</v>
      </c>
      <c r="K678" s="11" t="s">
        <v>35</v>
      </c>
      <c r="L678" s="11" t="s">
        <v>41</v>
      </c>
      <c r="M678" s="11" t="s">
        <v>28</v>
      </c>
      <c r="N678" s="11" t="s">
        <v>42</v>
      </c>
      <c r="O678" s="11" t="s">
        <v>1163</v>
      </c>
      <c r="P678" s="11" t="s">
        <v>38</v>
      </c>
      <c r="Q678" s="20">
        <v>39924.0</v>
      </c>
      <c r="R678" s="17">
        <f t="shared" si="2"/>
        <v>1570.816671</v>
      </c>
      <c r="S678" s="9"/>
      <c r="T678" s="9"/>
      <c r="U678" s="9"/>
      <c r="V678" s="9"/>
      <c r="W678" s="9"/>
      <c r="X678" s="9"/>
      <c r="Y678" s="9"/>
      <c r="Z678" s="9"/>
      <c r="AA678" s="9"/>
      <c r="AB678" s="9" t="str">
        <f>IFERROR(__xludf.DUMMYFUNCTION("""COMPUTED_VALUE"""),"Frank Carlisle")</f>
        <v>Frank Carlisle</v>
      </c>
      <c r="AC678" s="9"/>
      <c r="AD678" s="9"/>
      <c r="AE678" s="9">
        <f t="shared" si="8"/>
        <v>3</v>
      </c>
      <c r="AF678" s="19">
        <f t="shared" si="13"/>
        <v>2</v>
      </c>
      <c r="AG678" s="9"/>
      <c r="AH678" s="9"/>
      <c r="AI678" s="9"/>
    </row>
    <row r="679" ht="15.0" customHeight="1">
      <c r="A679" s="11">
        <v>678.0</v>
      </c>
      <c r="B679" s="12">
        <f t="shared" ref="B679:B684" si="116">DATE(2012,12,31)-1351</f>
        <v>39923</v>
      </c>
      <c r="C679" s="13">
        <v>2009.0</v>
      </c>
      <c r="D679" s="11" t="s">
        <v>32</v>
      </c>
      <c r="E679" s="11">
        <v>20.0</v>
      </c>
      <c r="F679" s="21" t="s">
        <v>103</v>
      </c>
      <c r="G679" s="15">
        <v>0.09774436090225563</v>
      </c>
      <c r="H679" s="11" t="s">
        <v>33</v>
      </c>
      <c r="I679" s="16">
        <v>2.0</v>
      </c>
      <c r="J679" s="11" t="s">
        <v>320</v>
      </c>
      <c r="K679" s="11" t="s">
        <v>65</v>
      </c>
      <c r="L679" s="11" t="s">
        <v>27</v>
      </c>
      <c r="M679" s="11" t="s">
        <v>28</v>
      </c>
      <c r="N679" s="11" t="s">
        <v>236</v>
      </c>
      <c r="O679" s="11" t="s">
        <v>1164</v>
      </c>
      <c r="P679" s="11" t="s">
        <v>38</v>
      </c>
      <c r="Q679" s="20">
        <v>39924.0</v>
      </c>
      <c r="R679" s="17">
        <f t="shared" si="2"/>
        <v>11.72932331</v>
      </c>
      <c r="S679" s="9"/>
      <c r="T679" s="9"/>
      <c r="U679" s="9"/>
      <c r="V679" s="9"/>
      <c r="W679" s="9"/>
      <c r="X679" s="9"/>
      <c r="Y679" s="9"/>
      <c r="Z679" s="9"/>
      <c r="AA679" s="9"/>
      <c r="AB679" s="9" t="str">
        <f>IFERROR(__xludf.DUMMYFUNCTION("""COMPUTED_VALUE"""),"Cari Schnelling")</f>
        <v>Cari Schnelling</v>
      </c>
      <c r="AC679" s="9"/>
      <c r="AD679" s="9"/>
      <c r="AE679" s="9">
        <f t="shared" si="8"/>
        <v>1</v>
      </c>
      <c r="AF679" s="19">
        <f t="shared" si="13"/>
        <v>5</v>
      </c>
      <c r="AG679" s="9"/>
      <c r="AH679" s="9"/>
      <c r="AI679" s="9"/>
    </row>
    <row r="680" ht="15.0" customHeight="1">
      <c r="A680" s="11">
        <v>679.0</v>
      </c>
      <c r="B680" s="12">
        <f t="shared" si="116"/>
        <v>39923</v>
      </c>
      <c r="C680" s="13">
        <v>2009.0</v>
      </c>
      <c r="D680" s="11" t="s">
        <v>23</v>
      </c>
      <c r="E680" s="11">
        <v>35.0</v>
      </c>
      <c r="F680" s="21" t="s">
        <v>163</v>
      </c>
      <c r="G680" s="15">
        <v>0.026153197739559122</v>
      </c>
      <c r="H680" s="11" t="s">
        <v>45</v>
      </c>
      <c r="I680" s="16">
        <v>28.672000000000004</v>
      </c>
      <c r="J680" s="11" t="s">
        <v>1165</v>
      </c>
      <c r="K680" s="11" t="s">
        <v>35</v>
      </c>
      <c r="L680" s="11" t="s">
        <v>48</v>
      </c>
      <c r="M680" s="11" t="s">
        <v>49</v>
      </c>
      <c r="N680" s="11" t="s">
        <v>156</v>
      </c>
      <c r="O680" s="11" t="s">
        <v>165</v>
      </c>
      <c r="P680" s="11" t="s">
        <v>87</v>
      </c>
      <c r="Q680" s="20">
        <v>39924.0</v>
      </c>
      <c r="R680" s="17">
        <f t="shared" si="2"/>
        <v>93.1098823</v>
      </c>
      <c r="S680" s="9"/>
      <c r="T680" s="9"/>
      <c r="U680" s="9"/>
      <c r="V680" s="9"/>
      <c r="W680" s="9"/>
      <c r="X680" s="9"/>
      <c r="Y680" s="9"/>
      <c r="Z680" s="9"/>
      <c r="AA680" s="9"/>
      <c r="AB680" s="9" t="str">
        <f>IFERROR(__xludf.DUMMYFUNCTION("""COMPUTED_VALUE"""),"Julie Creighton")</f>
        <v>Julie Creighton</v>
      </c>
      <c r="AC680" s="9"/>
      <c r="AD680" s="9"/>
      <c r="AE680" s="9">
        <f t="shared" si="8"/>
        <v>4</v>
      </c>
      <c r="AF680" s="19">
        <f t="shared" si="13"/>
        <v>2</v>
      </c>
      <c r="AG680" s="9"/>
      <c r="AH680" s="9"/>
      <c r="AI680" s="9"/>
    </row>
    <row r="681" ht="15.0" customHeight="1">
      <c r="A681" s="11">
        <v>680.0</v>
      </c>
      <c r="B681" s="12">
        <f t="shared" si="116"/>
        <v>39923</v>
      </c>
      <c r="C681" s="13">
        <v>2009.0</v>
      </c>
      <c r="D681" s="11" t="s">
        <v>23</v>
      </c>
      <c r="E681" s="11">
        <v>50.0</v>
      </c>
      <c r="F681" s="21" t="s">
        <v>1166</v>
      </c>
      <c r="G681" s="15">
        <v>0.09747809523809521</v>
      </c>
      <c r="H681" s="11" t="s">
        <v>33</v>
      </c>
      <c r="I681" s="16">
        <v>1.9120000000000001</v>
      </c>
      <c r="J681" s="11" t="s">
        <v>1165</v>
      </c>
      <c r="K681" s="11" t="s">
        <v>35</v>
      </c>
      <c r="L681" s="11" t="s">
        <v>48</v>
      </c>
      <c r="M681" s="11" t="s">
        <v>66</v>
      </c>
      <c r="N681" s="11" t="s">
        <v>67</v>
      </c>
      <c r="O681" s="11" t="s">
        <v>1167</v>
      </c>
      <c r="P681" s="11" t="s">
        <v>99</v>
      </c>
      <c r="Q681" s="20">
        <v>39924.0</v>
      </c>
      <c r="R681" s="17">
        <f t="shared" si="2"/>
        <v>23.0937305</v>
      </c>
      <c r="S681" s="9"/>
      <c r="T681" s="9"/>
      <c r="U681" s="9"/>
      <c r="V681" s="9"/>
      <c r="W681" s="9"/>
      <c r="X681" s="9"/>
      <c r="Y681" s="9"/>
      <c r="Z681" s="9"/>
      <c r="AA681" s="9"/>
      <c r="AB681" s="9" t="str">
        <f>IFERROR(__xludf.DUMMYFUNCTION("""COMPUTED_VALUE"""),"George Bell")</f>
        <v>George Bell</v>
      </c>
      <c r="AC681" s="9"/>
      <c r="AD681" s="9"/>
      <c r="AE681" s="9">
        <f t="shared" si="8"/>
        <v>4</v>
      </c>
      <c r="AF681" s="19">
        <f t="shared" si="13"/>
        <v>2</v>
      </c>
      <c r="AG681" s="9"/>
      <c r="AH681" s="9"/>
      <c r="AI681" s="9"/>
    </row>
    <row r="682" ht="15.0" customHeight="1">
      <c r="A682" s="11">
        <v>681.0</v>
      </c>
      <c r="B682" s="12">
        <f t="shared" si="116"/>
        <v>39923</v>
      </c>
      <c r="C682" s="13">
        <v>2009.0</v>
      </c>
      <c r="D682" s="11" t="s">
        <v>102</v>
      </c>
      <c r="E682" s="11">
        <v>13.0</v>
      </c>
      <c r="F682" s="21" t="s">
        <v>306</v>
      </c>
      <c r="G682" s="15">
        <v>0.09823287671232886</v>
      </c>
      <c r="H682" s="11" t="s">
        <v>24</v>
      </c>
      <c r="I682" s="16">
        <v>4.616</v>
      </c>
      <c r="J682" s="11" t="s">
        <v>1168</v>
      </c>
      <c r="K682" s="11" t="s">
        <v>61</v>
      </c>
      <c r="L682" s="11" t="s">
        <v>36</v>
      </c>
      <c r="M682" s="11" t="s">
        <v>28</v>
      </c>
      <c r="N682" s="11" t="s">
        <v>56</v>
      </c>
      <c r="O682" s="11" t="s">
        <v>1169</v>
      </c>
      <c r="P682" s="11" t="s">
        <v>38</v>
      </c>
      <c r="Q682" s="20">
        <v>39925.0</v>
      </c>
      <c r="R682" s="17">
        <f t="shared" si="2"/>
        <v>25.86628816</v>
      </c>
      <c r="S682" s="9"/>
      <c r="T682" s="9"/>
      <c r="U682" s="9"/>
      <c r="V682" s="9"/>
      <c r="W682" s="9"/>
      <c r="X682" s="9"/>
      <c r="Y682" s="9"/>
      <c r="Z682" s="9"/>
      <c r="AA682" s="9"/>
      <c r="AB682" s="9" t="str">
        <f>IFERROR(__xludf.DUMMYFUNCTION("""COMPUTED_VALUE"""),"Vivek Sundaresam")</f>
        <v>Vivek Sundaresam</v>
      </c>
      <c r="AC682" s="9"/>
      <c r="AD682" s="9"/>
      <c r="AE682" s="9">
        <f t="shared" si="8"/>
        <v>2</v>
      </c>
      <c r="AF682" s="19">
        <f t="shared" si="13"/>
        <v>4</v>
      </c>
      <c r="AG682" s="9"/>
      <c r="AH682" s="9"/>
      <c r="AI682" s="9"/>
    </row>
    <row r="683" ht="15.0" customHeight="1">
      <c r="A683" s="11">
        <v>682.0</v>
      </c>
      <c r="B683" s="12">
        <f t="shared" si="116"/>
        <v>39923</v>
      </c>
      <c r="C683" s="13">
        <v>2009.0</v>
      </c>
      <c r="D683" s="11" t="s">
        <v>102</v>
      </c>
      <c r="E683" s="11">
        <v>43.0</v>
      </c>
      <c r="F683" s="21" t="s">
        <v>577</v>
      </c>
      <c r="G683" s="15">
        <v>0.05775549621269386</v>
      </c>
      <c r="H683" s="11" t="s">
        <v>45</v>
      </c>
      <c r="I683" s="16">
        <v>53.336000000000006</v>
      </c>
      <c r="J683" s="11" t="s">
        <v>1168</v>
      </c>
      <c r="K683" s="11" t="s">
        <v>61</v>
      </c>
      <c r="L683" s="11" t="s">
        <v>36</v>
      </c>
      <c r="M683" s="11" t="s">
        <v>49</v>
      </c>
      <c r="N683" s="11" t="s">
        <v>85</v>
      </c>
      <c r="O683" s="11" t="s">
        <v>579</v>
      </c>
      <c r="P683" s="11" t="s">
        <v>87</v>
      </c>
      <c r="Q683" s="20">
        <v>39925.0</v>
      </c>
      <c r="R683" s="17">
        <f t="shared" si="2"/>
        <v>648.0418489</v>
      </c>
      <c r="S683" s="9"/>
      <c r="T683" s="9"/>
      <c r="U683" s="9"/>
      <c r="V683" s="9"/>
      <c r="W683" s="9"/>
      <c r="X683" s="9"/>
      <c r="Y683" s="9"/>
      <c r="Z683" s="9"/>
      <c r="AA683" s="9"/>
      <c r="AB683" s="9" t="str">
        <f>IFERROR(__xludf.DUMMYFUNCTION("""COMPUTED_VALUE"""),"Ross DeVincentis")</f>
        <v>Ross DeVincentis</v>
      </c>
      <c r="AC683" s="9"/>
      <c r="AD683" s="9"/>
      <c r="AE683" s="9">
        <f t="shared" si="8"/>
        <v>2</v>
      </c>
      <c r="AF683" s="19">
        <f t="shared" si="13"/>
        <v>4</v>
      </c>
      <c r="AG683" s="9"/>
      <c r="AH683" s="9"/>
      <c r="AI683" s="9"/>
    </row>
    <row r="684" ht="15.0" customHeight="1">
      <c r="A684" s="11">
        <v>683.0</v>
      </c>
      <c r="B684" s="12">
        <f t="shared" si="116"/>
        <v>39923</v>
      </c>
      <c r="C684" s="13">
        <v>2009.0</v>
      </c>
      <c r="D684" s="11" t="s">
        <v>32</v>
      </c>
      <c r="E684" s="11">
        <v>35.0</v>
      </c>
      <c r="F684" s="21" t="s">
        <v>758</v>
      </c>
      <c r="G684" s="15">
        <v>0.055350553505535055</v>
      </c>
      <c r="H684" s="11" t="s">
        <v>24</v>
      </c>
      <c r="I684" s="16">
        <v>2.0</v>
      </c>
      <c r="J684" s="11" t="s">
        <v>1170</v>
      </c>
      <c r="K684" s="11" t="s">
        <v>61</v>
      </c>
      <c r="L684" s="11" t="s">
        <v>27</v>
      </c>
      <c r="M684" s="11" t="s">
        <v>28</v>
      </c>
      <c r="N684" s="11" t="s">
        <v>236</v>
      </c>
      <c r="O684" s="11" t="s">
        <v>1171</v>
      </c>
      <c r="P684" s="11" t="s">
        <v>38</v>
      </c>
      <c r="Q684" s="20">
        <v>39925.0</v>
      </c>
      <c r="R684" s="17">
        <f t="shared" si="2"/>
        <v>7.084870849</v>
      </c>
      <c r="S684" s="9"/>
      <c r="T684" s="9"/>
      <c r="U684" s="9"/>
      <c r="V684" s="9"/>
      <c r="W684" s="9"/>
      <c r="X684" s="9"/>
      <c r="Y684" s="9"/>
      <c r="Z684" s="9"/>
      <c r="AA684" s="9"/>
      <c r="AB684" s="9" t="str">
        <f>IFERROR(__xludf.DUMMYFUNCTION("""COMPUTED_VALUE"""),"Paul Stevenson")</f>
        <v>Paul Stevenson</v>
      </c>
      <c r="AC684" s="9"/>
      <c r="AD684" s="9"/>
      <c r="AE684" s="9">
        <f t="shared" si="8"/>
        <v>1</v>
      </c>
      <c r="AF684" s="19">
        <f t="shared" si="13"/>
        <v>4</v>
      </c>
      <c r="AG684" s="9"/>
      <c r="AH684" s="9"/>
      <c r="AI684" s="9"/>
    </row>
    <row r="685" ht="15.0" customHeight="1">
      <c r="A685" s="11">
        <v>684.0</v>
      </c>
      <c r="B685" s="12">
        <f t="shared" ref="B685:B692" si="117">DATE(2012,12,31)-1350</f>
        <v>39924</v>
      </c>
      <c r="C685" s="13">
        <v>2009.0</v>
      </c>
      <c r="D685" s="11" t="s">
        <v>32</v>
      </c>
      <c r="E685" s="11">
        <v>26.0</v>
      </c>
      <c r="F685" s="21" t="s">
        <v>270</v>
      </c>
      <c r="G685" s="15">
        <v>0.06167566626023363</v>
      </c>
      <c r="H685" s="11" t="s">
        <v>33</v>
      </c>
      <c r="I685" s="16">
        <v>13.984000000000002</v>
      </c>
      <c r="J685" s="11" t="s">
        <v>849</v>
      </c>
      <c r="K685" s="11" t="s">
        <v>65</v>
      </c>
      <c r="L685" s="11" t="s">
        <v>36</v>
      </c>
      <c r="M685" s="11" t="s">
        <v>28</v>
      </c>
      <c r="N685" s="11" t="s">
        <v>56</v>
      </c>
      <c r="O685" s="11" t="s">
        <v>1172</v>
      </c>
      <c r="P685" s="11" t="s">
        <v>38</v>
      </c>
      <c r="Q685" s="20">
        <v>39925.0</v>
      </c>
      <c r="R685" s="17">
        <f t="shared" si="2"/>
        <v>66.44837602</v>
      </c>
      <c r="S685" s="9"/>
      <c r="T685" s="9"/>
      <c r="U685" s="9"/>
      <c r="V685" s="9"/>
      <c r="W685" s="9"/>
      <c r="X685" s="9"/>
      <c r="Y685" s="9"/>
      <c r="Z685" s="9"/>
      <c r="AA685" s="9"/>
      <c r="AB685" s="9" t="str">
        <f>IFERROR(__xludf.DUMMYFUNCTION("""COMPUTED_VALUE"""),"Ritsa Hightower")</f>
        <v>Ritsa Hightower</v>
      </c>
      <c r="AC685" s="9"/>
      <c r="AD685" s="9"/>
      <c r="AE685" s="9">
        <f t="shared" si="8"/>
        <v>2</v>
      </c>
      <c r="AF685" s="19">
        <f t="shared" si="13"/>
        <v>5</v>
      </c>
      <c r="AG685" s="9"/>
      <c r="AH685" s="9"/>
      <c r="AI685" s="9"/>
    </row>
    <row r="686" ht="15.0" customHeight="1">
      <c r="A686" s="11">
        <v>685.0</v>
      </c>
      <c r="B686" s="12">
        <f t="shared" si="117"/>
        <v>39924</v>
      </c>
      <c r="C686" s="13">
        <v>2009.0</v>
      </c>
      <c r="D686" s="11" t="s">
        <v>39</v>
      </c>
      <c r="E686" s="11">
        <v>21.0</v>
      </c>
      <c r="F686" s="21" t="s">
        <v>1173</v>
      </c>
      <c r="G686" s="15">
        <v>0.04824147635295001</v>
      </c>
      <c r="H686" s="11" t="s">
        <v>24</v>
      </c>
      <c r="I686" s="16">
        <v>15.991999999999999</v>
      </c>
      <c r="J686" s="11" t="s">
        <v>148</v>
      </c>
      <c r="K686" s="11" t="s">
        <v>65</v>
      </c>
      <c r="L686" s="11" t="s">
        <v>48</v>
      </c>
      <c r="M686" s="11" t="s">
        <v>28</v>
      </c>
      <c r="N686" s="11" t="s">
        <v>197</v>
      </c>
      <c r="O686" s="11" t="s">
        <v>1174</v>
      </c>
      <c r="P686" s="11" t="s">
        <v>38</v>
      </c>
      <c r="Q686" s="20">
        <v>39926.0</v>
      </c>
      <c r="R686" s="17">
        <f t="shared" si="2"/>
        <v>368.7188661</v>
      </c>
      <c r="S686" s="9"/>
      <c r="T686" s="9"/>
      <c r="U686" s="9"/>
      <c r="V686" s="9"/>
      <c r="W686" s="9"/>
      <c r="X686" s="9"/>
      <c r="Y686" s="9"/>
      <c r="Z686" s="9"/>
      <c r="AA686" s="9"/>
      <c r="AB686" s="9" t="str">
        <f>IFERROR(__xludf.DUMMYFUNCTION("""COMPUTED_VALUE"""),"Hallie Redmond")</f>
        <v>Hallie Redmond</v>
      </c>
      <c r="AC686" s="9"/>
      <c r="AD686" s="9"/>
      <c r="AE686" s="9">
        <f t="shared" si="8"/>
        <v>4</v>
      </c>
      <c r="AF686" s="19">
        <f t="shared" si="13"/>
        <v>5</v>
      </c>
      <c r="AG686" s="9"/>
      <c r="AH686" s="9"/>
      <c r="AI686" s="9"/>
    </row>
    <row r="687" ht="15.0" customHeight="1">
      <c r="A687" s="11">
        <v>686.0</v>
      </c>
      <c r="B687" s="12">
        <f t="shared" si="117"/>
        <v>39924</v>
      </c>
      <c r="C687" s="13">
        <v>2009.0</v>
      </c>
      <c r="D687" s="11" t="s">
        <v>39</v>
      </c>
      <c r="E687" s="11">
        <v>21.0</v>
      </c>
      <c r="F687" s="21" t="s">
        <v>881</v>
      </c>
      <c r="G687" s="15">
        <v>0.0716348931253611</v>
      </c>
      <c r="H687" s="11" t="s">
        <v>24</v>
      </c>
      <c r="I687" s="16">
        <v>3.2</v>
      </c>
      <c r="J687" s="11" t="s">
        <v>148</v>
      </c>
      <c r="K687" s="11" t="s">
        <v>65</v>
      </c>
      <c r="L687" s="11" t="s">
        <v>48</v>
      </c>
      <c r="M687" s="11" t="s">
        <v>49</v>
      </c>
      <c r="N687" s="11" t="s">
        <v>73</v>
      </c>
      <c r="O687" s="11" t="s">
        <v>883</v>
      </c>
      <c r="P687" s="11" t="s">
        <v>58</v>
      </c>
      <c r="Q687" s="20">
        <v>39926.0</v>
      </c>
      <c r="R687" s="17">
        <f t="shared" si="2"/>
        <v>11.51172733</v>
      </c>
      <c r="S687" s="9"/>
      <c r="T687" s="9"/>
      <c r="U687" s="9"/>
      <c r="V687" s="9"/>
      <c r="W687" s="9"/>
      <c r="X687" s="9"/>
      <c r="Y687" s="9"/>
      <c r="Z687" s="9"/>
      <c r="AA687" s="9"/>
      <c r="AB687" s="9" t="str">
        <f>IFERROR(__xludf.DUMMYFUNCTION("""COMPUTED_VALUE"""),"Eric Murdock")</f>
        <v>Eric Murdock</v>
      </c>
      <c r="AC687" s="9"/>
      <c r="AD687" s="9"/>
      <c r="AE687" s="9">
        <f t="shared" si="8"/>
        <v>4</v>
      </c>
      <c r="AF687" s="19">
        <f t="shared" si="13"/>
        <v>5</v>
      </c>
      <c r="AG687" s="9"/>
      <c r="AH687" s="9"/>
      <c r="AI687" s="9"/>
    </row>
    <row r="688" ht="15.0" customHeight="1">
      <c r="A688" s="11">
        <v>687.0</v>
      </c>
      <c r="B688" s="12">
        <f t="shared" si="117"/>
        <v>39924</v>
      </c>
      <c r="C688" s="13">
        <v>2009.0</v>
      </c>
      <c r="D688" s="11" t="s">
        <v>44</v>
      </c>
      <c r="E688" s="11">
        <v>12.0</v>
      </c>
      <c r="F688" s="21" t="s">
        <v>130</v>
      </c>
      <c r="G688" s="15">
        <v>0.054403600900225134</v>
      </c>
      <c r="H688" s="11" t="s">
        <v>24</v>
      </c>
      <c r="I688" s="16">
        <v>7.344</v>
      </c>
      <c r="J688" s="11" t="s">
        <v>1045</v>
      </c>
      <c r="K688" s="11" t="s">
        <v>35</v>
      </c>
      <c r="L688" s="11" t="s">
        <v>36</v>
      </c>
      <c r="M688" s="11" t="s">
        <v>28</v>
      </c>
      <c r="N688" s="11" t="s">
        <v>56</v>
      </c>
      <c r="O688" s="11" t="s">
        <v>1175</v>
      </c>
      <c r="P688" s="11" t="s">
        <v>38</v>
      </c>
      <c r="Q688" s="20">
        <v>39926.0</v>
      </c>
      <c r="R688" s="17">
        <f t="shared" si="2"/>
        <v>20.57239526</v>
      </c>
      <c r="S688" s="9"/>
      <c r="T688" s="9"/>
      <c r="U688" s="9"/>
      <c r="V688" s="9"/>
      <c r="W688" s="9"/>
      <c r="X688" s="9"/>
      <c r="Y688" s="9"/>
      <c r="Z688" s="9"/>
      <c r="AA688" s="9"/>
      <c r="AB688" s="9" t="str">
        <f>IFERROR(__xludf.DUMMYFUNCTION("""COMPUTED_VALUE"""),"Russell D'Ascenzo")</f>
        <v>Russell D'Ascenzo</v>
      </c>
      <c r="AC688" s="9"/>
      <c r="AD688" s="9"/>
      <c r="AE688" s="9">
        <f t="shared" si="8"/>
        <v>2</v>
      </c>
      <c r="AF688" s="19">
        <f t="shared" si="13"/>
        <v>2</v>
      </c>
      <c r="AG688" s="9"/>
      <c r="AH688" s="9"/>
      <c r="AI688" s="9"/>
    </row>
    <row r="689" ht="15.0" customHeight="1">
      <c r="A689" s="11">
        <v>688.0</v>
      </c>
      <c r="B689" s="12">
        <f t="shared" si="117"/>
        <v>39924</v>
      </c>
      <c r="C689" s="13">
        <v>2009.0</v>
      </c>
      <c r="D689" s="11" t="s">
        <v>44</v>
      </c>
      <c r="E689" s="11">
        <v>37.0</v>
      </c>
      <c r="F689" s="21" t="s">
        <v>1136</v>
      </c>
      <c r="G689" s="15">
        <v>0.05329935741192118</v>
      </c>
      <c r="H689" s="11" t="s">
        <v>33</v>
      </c>
      <c r="I689" s="16">
        <v>7.192</v>
      </c>
      <c r="J689" s="11" t="s">
        <v>1045</v>
      </c>
      <c r="K689" s="11" t="s">
        <v>35</v>
      </c>
      <c r="L689" s="11" t="s">
        <v>36</v>
      </c>
      <c r="M689" s="11" t="s">
        <v>28</v>
      </c>
      <c r="N689" s="11" t="s">
        <v>62</v>
      </c>
      <c r="O689" s="11" t="s">
        <v>1176</v>
      </c>
      <c r="P689" s="11" t="s">
        <v>99</v>
      </c>
      <c r="Q689" s="20">
        <v>39926.0</v>
      </c>
      <c r="R689" s="17">
        <f t="shared" si="2"/>
        <v>45.54387451</v>
      </c>
      <c r="S689" s="9"/>
      <c r="T689" s="9"/>
      <c r="U689" s="9"/>
      <c r="V689" s="9"/>
      <c r="W689" s="9"/>
      <c r="X689" s="9"/>
      <c r="Y689" s="9"/>
      <c r="Z689" s="9"/>
      <c r="AA689" s="9"/>
      <c r="AB689" s="9" t="str">
        <f>IFERROR(__xludf.DUMMYFUNCTION("""COMPUTED_VALUE"""),"Richard Eichhorn")</f>
        <v>Richard Eichhorn</v>
      </c>
      <c r="AC689" s="9"/>
      <c r="AD689" s="9"/>
      <c r="AE689" s="9">
        <f t="shared" si="8"/>
        <v>2</v>
      </c>
      <c r="AF689" s="19">
        <f t="shared" si="13"/>
        <v>2</v>
      </c>
      <c r="AG689" s="9"/>
      <c r="AH689" s="9"/>
      <c r="AI689" s="9"/>
    </row>
    <row r="690" ht="15.0" customHeight="1">
      <c r="A690" s="11">
        <v>689.0</v>
      </c>
      <c r="B690" s="12">
        <f t="shared" si="117"/>
        <v>39924</v>
      </c>
      <c r="C690" s="13">
        <v>2009.0</v>
      </c>
      <c r="D690" s="11" t="s">
        <v>44</v>
      </c>
      <c r="E690" s="11">
        <v>1.0</v>
      </c>
      <c r="F690" s="21" t="s">
        <v>950</v>
      </c>
      <c r="G690" s="15">
        <v>0.09489177489177489</v>
      </c>
      <c r="H690" s="11" t="s">
        <v>33</v>
      </c>
      <c r="I690" s="16">
        <v>6.008</v>
      </c>
      <c r="J690" s="11" t="s">
        <v>1045</v>
      </c>
      <c r="K690" s="11" t="s">
        <v>35</v>
      </c>
      <c r="L690" s="11" t="s">
        <v>36</v>
      </c>
      <c r="M690" s="11" t="s">
        <v>28</v>
      </c>
      <c r="N690" s="11" t="s">
        <v>29</v>
      </c>
      <c r="O690" s="11" t="s">
        <v>1177</v>
      </c>
      <c r="P690" s="11" t="s">
        <v>38</v>
      </c>
      <c r="Q690" s="20">
        <v>39926.0</v>
      </c>
      <c r="R690" s="17">
        <f t="shared" si="2"/>
        <v>1.983997229</v>
      </c>
      <c r="S690" s="9"/>
      <c r="T690" s="9"/>
      <c r="U690" s="9"/>
      <c r="V690" s="9"/>
      <c r="W690" s="9"/>
      <c r="X690" s="9"/>
      <c r="Y690" s="9"/>
      <c r="Z690" s="9"/>
      <c r="AA690" s="9"/>
      <c r="AB690" s="9" t="str">
        <f>IFERROR(__xludf.DUMMYFUNCTION("""COMPUTED_VALUE"""),"Tracy Zic")</f>
        <v>Tracy Zic</v>
      </c>
      <c r="AC690" s="9"/>
      <c r="AD690" s="9"/>
      <c r="AE690" s="9">
        <f t="shared" si="8"/>
        <v>2</v>
      </c>
      <c r="AF690" s="19">
        <f t="shared" si="13"/>
        <v>2</v>
      </c>
      <c r="AG690" s="9"/>
      <c r="AH690" s="9"/>
      <c r="AI690" s="9"/>
    </row>
    <row r="691" ht="15.0" customHeight="1">
      <c r="A691" s="11">
        <v>690.0</v>
      </c>
      <c r="B691" s="12">
        <f t="shared" si="117"/>
        <v>39924</v>
      </c>
      <c r="C691" s="13">
        <v>2009.0</v>
      </c>
      <c r="D691" s="11" t="s">
        <v>44</v>
      </c>
      <c r="E691" s="11">
        <v>33.0</v>
      </c>
      <c r="F691" s="21" t="s">
        <v>1178</v>
      </c>
      <c r="G691" s="15">
        <v>0.041430306301443794</v>
      </c>
      <c r="H691" s="11" t="s">
        <v>45</v>
      </c>
      <c r="I691" s="16">
        <v>88.16000000000001</v>
      </c>
      <c r="J691" s="11" t="s">
        <v>1045</v>
      </c>
      <c r="K691" s="11" t="s">
        <v>35</v>
      </c>
      <c r="L691" s="11" t="s">
        <v>36</v>
      </c>
      <c r="M691" s="11" t="s">
        <v>49</v>
      </c>
      <c r="N691" s="11" t="s">
        <v>85</v>
      </c>
      <c r="O691" s="11" t="s">
        <v>86</v>
      </c>
      <c r="P691" s="11" t="s">
        <v>87</v>
      </c>
      <c r="Q691" s="20">
        <v>39926.0</v>
      </c>
      <c r="R691" s="17">
        <f t="shared" si="2"/>
        <v>294.3192388</v>
      </c>
      <c r="S691" s="9"/>
      <c r="T691" s="9"/>
      <c r="U691" s="9"/>
      <c r="V691" s="9"/>
      <c r="W691" s="9"/>
      <c r="X691" s="9"/>
      <c r="Y691" s="9"/>
      <c r="Z691" s="9"/>
      <c r="AA691" s="9"/>
      <c r="AB691" s="9" t="str">
        <f>IFERROR(__xludf.DUMMYFUNCTION("""COMPUTED_VALUE"""),"Andy Yotov")</f>
        <v>Andy Yotov</v>
      </c>
      <c r="AC691" s="9"/>
      <c r="AD691" s="9"/>
      <c r="AE691" s="9">
        <f t="shared" si="8"/>
        <v>2</v>
      </c>
      <c r="AF691" s="19">
        <f t="shared" si="13"/>
        <v>2</v>
      </c>
      <c r="AG691" s="9"/>
      <c r="AH691" s="9"/>
      <c r="AI691" s="9"/>
    </row>
    <row r="692" ht="15.0" customHeight="1">
      <c r="A692" s="11">
        <v>691.0</v>
      </c>
      <c r="B692" s="12">
        <f t="shared" si="117"/>
        <v>39924</v>
      </c>
      <c r="C692" s="13">
        <v>2009.0</v>
      </c>
      <c r="D692" s="11" t="s">
        <v>32</v>
      </c>
      <c r="E692" s="11">
        <v>1.0</v>
      </c>
      <c r="F692" s="21" t="s">
        <v>1088</v>
      </c>
      <c r="G692" s="15">
        <v>0.07547619047619052</v>
      </c>
      <c r="H692" s="11" t="s">
        <v>33</v>
      </c>
      <c r="I692" s="16">
        <v>3.696</v>
      </c>
      <c r="J692" s="11" t="s">
        <v>1179</v>
      </c>
      <c r="K692" s="11" t="s">
        <v>61</v>
      </c>
      <c r="L692" s="11" t="s">
        <v>41</v>
      </c>
      <c r="M692" s="11" t="s">
        <v>28</v>
      </c>
      <c r="N692" s="11" t="s">
        <v>197</v>
      </c>
      <c r="O692" s="11" t="s">
        <v>1090</v>
      </c>
      <c r="P692" s="11" t="s">
        <v>38</v>
      </c>
      <c r="Q692" s="20">
        <v>39927.0</v>
      </c>
      <c r="R692" s="17">
        <f t="shared" si="2"/>
        <v>3.516888571</v>
      </c>
      <c r="S692" s="9"/>
      <c r="T692" s="9"/>
      <c r="U692" s="9"/>
      <c r="V692" s="9"/>
      <c r="W692" s="9"/>
      <c r="X692" s="9"/>
      <c r="Y692" s="9"/>
      <c r="Z692" s="9"/>
      <c r="AA692" s="9"/>
      <c r="AB692" s="9" t="str">
        <f>IFERROR(__xludf.DUMMYFUNCTION("""COMPUTED_VALUE"""),"Maribeth Yedwab")</f>
        <v>Maribeth Yedwab</v>
      </c>
      <c r="AC692" s="9"/>
      <c r="AD692" s="9"/>
      <c r="AE692" s="9">
        <f t="shared" si="8"/>
        <v>3</v>
      </c>
      <c r="AF692" s="19">
        <f t="shared" si="13"/>
        <v>4</v>
      </c>
      <c r="AG692" s="9"/>
      <c r="AH692" s="9"/>
      <c r="AI692" s="9"/>
    </row>
    <row r="693" ht="15.0" customHeight="1">
      <c r="A693" s="11">
        <v>692.0</v>
      </c>
      <c r="B693" s="12">
        <f t="shared" ref="B693:B698" si="118">DATE(2012,12,31)-1349</f>
        <v>39925</v>
      </c>
      <c r="C693" s="13">
        <v>2009.0</v>
      </c>
      <c r="D693" s="11" t="s">
        <v>102</v>
      </c>
      <c r="E693" s="11">
        <v>18.0</v>
      </c>
      <c r="F693" s="21" t="s">
        <v>962</v>
      </c>
      <c r="G693" s="15">
        <v>0.046566566566566624</v>
      </c>
      <c r="H693" s="11" t="s">
        <v>24</v>
      </c>
      <c r="I693" s="16">
        <v>8.544</v>
      </c>
      <c r="J693" s="11" t="s">
        <v>603</v>
      </c>
      <c r="K693" s="11" t="s">
        <v>61</v>
      </c>
      <c r="L693" s="11" t="s">
        <v>48</v>
      </c>
      <c r="M693" s="11" t="s">
        <v>28</v>
      </c>
      <c r="N693" s="11" t="s">
        <v>29</v>
      </c>
      <c r="O693" s="11" t="s">
        <v>1180</v>
      </c>
      <c r="P693" s="11" t="s">
        <v>38</v>
      </c>
      <c r="Q693" s="20">
        <v>39927.0</v>
      </c>
      <c r="R693" s="17">
        <f t="shared" si="2"/>
        <v>13.306117</v>
      </c>
      <c r="S693" s="9"/>
      <c r="T693" s="9"/>
      <c r="U693" s="9"/>
      <c r="V693" s="9"/>
      <c r="W693" s="9"/>
      <c r="X693" s="9"/>
      <c r="Y693" s="9"/>
      <c r="Z693" s="9"/>
      <c r="AA693" s="9"/>
      <c r="AB693" s="9" t="str">
        <f>IFERROR(__xludf.DUMMYFUNCTION("""COMPUTED_VALUE"""),"Joel Jenkins")</f>
        <v>Joel Jenkins</v>
      </c>
      <c r="AC693" s="9"/>
      <c r="AD693" s="9"/>
      <c r="AE693" s="9">
        <f t="shared" si="8"/>
        <v>4</v>
      </c>
      <c r="AF693" s="19">
        <f t="shared" si="13"/>
        <v>4</v>
      </c>
      <c r="AG693" s="9"/>
      <c r="AH693" s="9"/>
      <c r="AI693" s="9"/>
    </row>
    <row r="694" ht="15.0" customHeight="1">
      <c r="A694" s="11">
        <v>693.0</v>
      </c>
      <c r="B694" s="12">
        <f t="shared" si="118"/>
        <v>39925</v>
      </c>
      <c r="C694" s="13">
        <v>2009.0</v>
      </c>
      <c r="D694" s="11" t="s">
        <v>23</v>
      </c>
      <c r="E694" s="11">
        <v>33.0</v>
      </c>
      <c r="F694" s="21" t="s">
        <v>163</v>
      </c>
      <c r="G694" s="15">
        <v>0.0487554186630161</v>
      </c>
      <c r="H694" s="11" t="s">
        <v>33</v>
      </c>
      <c r="I694" s="16">
        <v>5.744</v>
      </c>
      <c r="J694" s="11" t="s">
        <v>1130</v>
      </c>
      <c r="K694" s="11" t="s">
        <v>61</v>
      </c>
      <c r="L694" s="11" t="s">
        <v>36</v>
      </c>
      <c r="M694" s="11" t="s">
        <v>66</v>
      </c>
      <c r="N694" s="11" t="s">
        <v>67</v>
      </c>
      <c r="O694" s="11" t="s">
        <v>1181</v>
      </c>
      <c r="P694" s="11" t="s">
        <v>38</v>
      </c>
      <c r="Q694" s="20">
        <v>39927.0</v>
      </c>
      <c r="R694" s="17">
        <f t="shared" si="2"/>
        <v>162.6209686</v>
      </c>
      <c r="S694" s="9"/>
      <c r="T694" s="9"/>
      <c r="U694" s="9"/>
      <c r="V694" s="9"/>
      <c r="W694" s="9"/>
      <c r="X694" s="9"/>
      <c r="Y694" s="9"/>
      <c r="Z694" s="9"/>
      <c r="AA694" s="9"/>
      <c r="AB694" s="9" t="str">
        <f>IFERROR(__xludf.DUMMYFUNCTION("""COMPUTED_VALUE"""),"Vivek Gonzalez")</f>
        <v>Vivek Gonzalez</v>
      </c>
      <c r="AC694" s="9"/>
      <c r="AD694" s="9"/>
      <c r="AE694" s="9">
        <f t="shared" si="8"/>
        <v>2</v>
      </c>
      <c r="AF694" s="19">
        <f t="shared" si="13"/>
        <v>4</v>
      </c>
      <c r="AG694" s="9"/>
      <c r="AH694" s="9"/>
      <c r="AI694" s="9"/>
    </row>
    <row r="695" ht="15.0" customHeight="1">
      <c r="A695" s="11">
        <v>694.0</v>
      </c>
      <c r="B695" s="12">
        <f t="shared" si="118"/>
        <v>39925</v>
      </c>
      <c r="C695" s="13">
        <v>2009.0</v>
      </c>
      <c r="D695" s="11" t="s">
        <v>44</v>
      </c>
      <c r="E695" s="11">
        <v>29.0</v>
      </c>
      <c r="F695" s="21" t="s">
        <v>1182</v>
      </c>
      <c r="G695" s="15">
        <v>0.07162241887905596</v>
      </c>
      <c r="H695" s="11" t="s">
        <v>33</v>
      </c>
      <c r="I695" s="16">
        <v>0.76</v>
      </c>
      <c r="J695" s="11" t="s">
        <v>528</v>
      </c>
      <c r="K695" s="11" t="s">
        <v>83</v>
      </c>
      <c r="L695" s="11" t="s">
        <v>41</v>
      </c>
      <c r="M695" s="11" t="s">
        <v>28</v>
      </c>
      <c r="N695" s="11" t="s">
        <v>56</v>
      </c>
      <c r="O695" s="11" t="s">
        <v>1183</v>
      </c>
      <c r="P695" s="11" t="s">
        <v>58</v>
      </c>
      <c r="Q695" s="20">
        <v>39927.0</v>
      </c>
      <c r="R695" s="17">
        <f t="shared" si="2"/>
        <v>11.27050383</v>
      </c>
      <c r="S695" s="9"/>
      <c r="T695" s="9"/>
      <c r="U695" s="9"/>
      <c r="V695" s="9"/>
      <c r="W695" s="9"/>
      <c r="X695" s="9"/>
      <c r="Y695" s="9"/>
      <c r="Z695" s="9"/>
      <c r="AA695" s="9"/>
      <c r="AB695" s="9" t="str">
        <f>IFERROR(__xludf.DUMMYFUNCTION("""COMPUTED_VALUE"""),"Thomas Thornton")</f>
        <v>Thomas Thornton</v>
      </c>
      <c r="AC695" s="9"/>
      <c r="AD695" s="9"/>
      <c r="AE695" s="9">
        <f t="shared" si="8"/>
        <v>3</v>
      </c>
      <c r="AF695" s="19" t="b">
        <f t="shared" si="13"/>
        <v>0</v>
      </c>
      <c r="AG695" s="9"/>
      <c r="AH695" s="9"/>
      <c r="AI695" s="9"/>
    </row>
    <row r="696" ht="15.0" customHeight="1">
      <c r="A696" s="11">
        <v>695.0</v>
      </c>
      <c r="B696" s="12">
        <f t="shared" si="118"/>
        <v>39925</v>
      </c>
      <c r="C696" s="13">
        <v>2009.0</v>
      </c>
      <c r="D696" s="11" t="s">
        <v>102</v>
      </c>
      <c r="E696" s="11">
        <v>14.0</v>
      </c>
      <c r="F696" s="21" t="s">
        <v>1184</v>
      </c>
      <c r="G696" s="15">
        <v>0.02384793694946675</v>
      </c>
      <c r="H696" s="11" t="s">
        <v>33</v>
      </c>
      <c r="I696" s="16">
        <v>5.312</v>
      </c>
      <c r="J696" s="11" t="s">
        <v>1185</v>
      </c>
      <c r="K696" s="11" t="s">
        <v>83</v>
      </c>
      <c r="L696" s="11" t="s">
        <v>48</v>
      </c>
      <c r="M696" s="11" t="s">
        <v>28</v>
      </c>
      <c r="N696" s="11" t="s">
        <v>29</v>
      </c>
      <c r="O696" s="11" t="s">
        <v>1186</v>
      </c>
      <c r="P696" s="11" t="s">
        <v>38</v>
      </c>
      <c r="Q696" s="20">
        <v>39927.0</v>
      </c>
      <c r="R696" s="17">
        <f t="shared" si="2"/>
        <v>10.04265242</v>
      </c>
      <c r="S696" s="9"/>
      <c r="T696" s="9"/>
      <c r="U696" s="9"/>
      <c r="V696" s="9"/>
      <c r="W696" s="9"/>
      <c r="X696" s="9"/>
      <c r="Y696" s="9"/>
      <c r="Z696" s="9"/>
      <c r="AA696" s="9"/>
      <c r="AB696" s="9" t="str">
        <f>IFERROR(__xludf.DUMMYFUNCTION("""COMPUTED_VALUE"""),"Frank Price")</f>
        <v>Frank Price</v>
      </c>
      <c r="AC696" s="9"/>
      <c r="AD696" s="9"/>
      <c r="AE696" s="9">
        <f t="shared" si="8"/>
        <v>4</v>
      </c>
      <c r="AF696" s="19" t="b">
        <f t="shared" si="13"/>
        <v>0</v>
      </c>
      <c r="AG696" s="9"/>
      <c r="AH696" s="9"/>
      <c r="AI696" s="9"/>
    </row>
    <row r="697" ht="15.0" customHeight="1">
      <c r="A697" s="11">
        <v>696.0</v>
      </c>
      <c r="B697" s="12">
        <f t="shared" si="118"/>
        <v>39925</v>
      </c>
      <c r="C697" s="13">
        <v>2009.0</v>
      </c>
      <c r="D697" s="11" t="s">
        <v>102</v>
      </c>
      <c r="E697" s="11">
        <v>43.0</v>
      </c>
      <c r="F697" s="21" t="s">
        <v>1187</v>
      </c>
      <c r="G697" s="15">
        <v>0.07555296177414643</v>
      </c>
      <c r="H697" s="11" t="s">
        <v>33</v>
      </c>
      <c r="I697" s="16">
        <v>4.424</v>
      </c>
      <c r="J697" s="11" t="s">
        <v>1185</v>
      </c>
      <c r="K697" s="11" t="s">
        <v>83</v>
      </c>
      <c r="L697" s="11" t="s">
        <v>48</v>
      </c>
      <c r="M697" s="11" t="s">
        <v>28</v>
      </c>
      <c r="N697" s="11" t="s">
        <v>62</v>
      </c>
      <c r="O697" s="11" t="s">
        <v>1188</v>
      </c>
      <c r="P697" s="11" t="s">
        <v>99</v>
      </c>
      <c r="Q697" s="20">
        <v>39927.0</v>
      </c>
      <c r="R697" s="17">
        <f t="shared" si="2"/>
        <v>71.80734814</v>
      </c>
      <c r="S697" s="9"/>
      <c r="T697" s="9"/>
      <c r="U697" s="9"/>
      <c r="V697" s="9"/>
      <c r="W697" s="9"/>
      <c r="X697" s="9"/>
      <c r="Y697" s="9"/>
      <c r="Z697" s="9"/>
      <c r="AA697" s="9"/>
      <c r="AB697" s="9" t="str">
        <f>IFERROR(__xludf.DUMMYFUNCTION("""COMPUTED_VALUE"""),"Helen Abelman")</f>
        <v>Helen Abelman</v>
      </c>
      <c r="AC697" s="9"/>
      <c r="AD697" s="9"/>
      <c r="AE697" s="9">
        <f t="shared" si="8"/>
        <v>4</v>
      </c>
      <c r="AF697" s="19" t="b">
        <f t="shared" si="13"/>
        <v>0</v>
      </c>
      <c r="AG697" s="9"/>
      <c r="AH697" s="9"/>
      <c r="AI697" s="9"/>
    </row>
    <row r="698" ht="15.0" customHeight="1">
      <c r="A698" s="11">
        <v>697.0</v>
      </c>
      <c r="B698" s="12">
        <f t="shared" si="118"/>
        <v>39925</v>
      </c>
      <c r="C698" s="13">
        <v>2009.0</v>
      </c>
      <c r="D698" s="11" t="s">
        <v>44</v>
      </c>
      <c r="E698" s="11">
        <v>45.0</v>
      </c>
      <c r="F698" s="21" t="s">
        <v>956</v>
      </c>
      <c r="G698" s="15">
        <v>0.038866171003717365</v>
      </c>
      <c r="H698" s="11" t="s">
        <v>33</v>
      </c>
      <c r="I698" s="16">
        <v>4.336</v>
      </c>
      <c r="J698" s="11" t="s">
        <v>332</v>
      </c>
      <c r="K698" s="11" t="s">
        <v>65</v>
      </c>
      <c r="L698" s="11" t="s">
        <v>48</v>
      </c>
      <c r="M698" s="11" t="s">
        <v>28</v>
      </c>
      <c r="N698" s="11" t="s">
        <v>42</v>
      </c>
      <c r="O698" s="11" t="s">
        <v>1189</v>
      </c>
      <c r="P698" s="11" t="s">
        <v>38</v>
      </c>
      <c r="Q698" s="20">
        <v>39928.0</v>
      </c>
      <c r="R698" s="17">
        <f t="shared" si="2"/>
        <v>8.038923346</v>
      </c>
      <c r="S698" s="9"/>
      <c r="T698" s="9"/>
      <c r="U698" s="9"/>
      <c r="V698" s="9"/>
      <c r="W698" s="9"/>
      <c r="X698" s="9"/>
      <c r="Y698" s="9"/>
      <c r="Z698" s="9"/>
      <c r="AA698" s="9"/>
      <c r="AB698" s="9" t="str">
        <f>IFERROR(__xludf.DUMMYFUNCTION("""COMPUTED_VALUE"""),"Emily Burns")</f>
        <v>Emily Burns</v>
      </c>
      <c r="AC698" s="9"/>
      <c r="AD698" s="9"/>
      <c r="AE698" s="9">
        <f t="shared" si="8"/>
        <v>4</v>
      </c>
      <c r="AF698" s="19">
        <f t="shared" si="13"/>
        <v>5</v>
      </c>
      <c r="AG698" s="9"/>
      <c r="AH698" s="9"/>
      <c r="AI698" s="9"/>
    </row>
    <row r="699" ht="15.0" customHeight="1">
      <c r="A699" s="11">
        <v>698.0</v>
      </c>
      <c r="B699" s="12">
        <f t="shared" ref="B699:B704" si="119">DATE(2012,12,31)-1348</f>
        <v>39926</v>
      </c>
      <c r="C699" s="13">
        <v>2009.0</v>
      </c>
      <c r="D699" s="11" t="s">
        <v>39</v>
      </c>
      <c r="E699" s="11">
        <v>2.0</v>
      </c>
      <c r="F699" s="21" t="s">
        <v>319</v>
      </c>
      <c r="G699" s="15">
        <v>0.1056716417910448</v>
      </c>
      <c r="H699" s="11" t="s">
        <v>33</v>
      </c>
      <c r="I699" s="16">
        <v>0.392</v>
      </c>
      <c r="J699" s="11" t="s">
        <v>977</v>
      </c>
      <c r="K699" s="11" t="s">
        <v>83</v>
      </c>
      <c r="L699" s="11" t="s">
        <v>48</v>
      </c>
      <c r="M699" s="11" t="s">
        <v>28</v>
      </c>
      <c r="N699" s="11" t="s">
        <v>188</v>
      </c>
      <c r="O699" s="11" t="s">
        <v>1190</v>
      </c>
      <c r="P699" s="11" t="s">
        <v>38</v>
      </c>
      <c r="Q699" s="20">
        <v>39928.0</v>
      </c>
      <c r="R699" s="17">
        <f t="shared" si="2"/>
        <v>0.6331844776</v>
      </c>
      <c r="S699" s="9"/>
      <c r="T699" s="9"/>
      <c r="U699" s="9"/>
      <c r="V699" s="9"/>
      <c r="W699" s="9"/>
      <c r="X699" s="9"/>
      <c r="Y699" s="9"/>
      <c r="Z699" s="9"/>
      <c r="AA699" s="9"/>
      <c r="AB699" s="9" t="str">
        <f>IFERROR(__xludf.DUMMYFUNCTION("""COMPUTED_VALUE"""),"Fred Chung")</f>
        <v>Fred Chung</v>
      </c>
      <c r="AC699" s="9"/>
      <c r="AD699" s="9"/>
      <c r="AE699" s="9">
        <f t="shared" si="8"/>
        <v>4</v>
      </c>
      <c r="AF699" s="19" t="b">
        <f t="shared" si="13"/>
        <v>0</v>
      </c>
      <c r="AG699" s="9"/>
      <c r="AH699" s="9"/>
      <c r="AI699" s="9"/>
    </row>
    <row r="700" ht="15.0" customHeight="1">
      <c r="A700" s="11">
        <v>699.0</v>
      </c>
      <c r="B700" s="12">
        <f t="shared" si="119"/>
        <v>39926</v>
      </c>
      <c r="C700" s="13">
        <v>2009.0</v>
      </c>
      <c r="D700" s="11" t="s">
        <v>44</v>
      </c>
      <c r="E700" s="11">
        <v>50.0</v>
      </c>
      <c r="F700" s="21" t="s">
        <v>1191</v>
      </c>
      <c r="G700" s="15">
        <v>0.021873565616524128</v>
      </c>
      <c r="H700" s="11" t="s">
        <v>33</v>
      </c>
      <c r="I700" s="16">
        <v>4.08</v>
      </c>
      <c r="J700" s="11" t="s">
        <v>1192</v>
      </c>
      <c r="K700" s="11" t="s">
        <v>35</v>
      </c>
      <c r="L700" s="11" t="s">
        <v>27</v>
      </c>
      <c r="M700" s="11" t="s">
        <v>28</v>
      </c>
      <c r="N700" s="11" t="s">
        <v>197</v>
      </c>
      <c r="O700" s="11" t="s">
        <v>1193</v>
      </c>
      <c r="P700" s="11" t="s">
        <v>75</v>
      </c>
      <c r="Q700" s="20">
        <v>39928.0</v>
      </c>
      <c r="R700" s="17">
        <f t="shared" si="2"/>
        <v>51.27338769</v>
      </c>
      <c r="S700" s="9"/>
      <c r="T700" s="9"/>
      <c r="U700" s="9"/>
      <c r="V700" s="9"/>
      <c r="W700" s="9"/>
      <c r="X700" s="9"/>
      <c r="Y700" s="9"/>
      <c r="Z700" s="9"/>
      <c r="AA700" s="9"/>
      <c r="AB700" s="9" t="str">
        <f>IFERROR(__xludf.DUMMYFUNCTION("""COMPUTED_VALUE"""),"Dorothy Dickinson")</f>
        <v>Dorothy Dickinson</v>
      </c>
      <c r="AC700" s="9"/>
      <c r="AD700" s="9"/>
      <c r="AE700" s="9">
        <f t="shared" si="8"/>
        <v>1</v>
      </c>
      <c r="AF700" s="19">
        <f t="shared" si="13"/>
        <v>2</v>
      </c>
      <c r="AG700" s="9"/>
      <c r="AH700" s="9"/>
      <c r="AI700" s="9"/>
    </row>
    <row r="701" ht="15.0" customHeight="1">
      <c r="A701" s="11">
        <v>700.0</v>
      </c>
      <c r="B701" s="12">
        <f t="shared" si="119"/>
        <v>39926</v>
      </c>
      <c r="C701" s="13">
        <v>2009.0</v>
      </c>
      <c r="D701" s="11" t="s">
        <v>44</v>
      </c>
      <c r="E701" s="11">
        <v>19.0</v>
      </c>
      <c r="F701" s="21" t="s">
        <v>394</v>
      </c>
      <c r="G701" s="15">
        <v>0.050669379736177494</v>
      </c>
      <c r="H701" s="11" t="s">
        <v>45</v>
      </c>
      <c r="I701" s="16">
        <v>28.872000000000003</v>
      </c>
      <c r="J701" s="11" t="s">
        <v>1192</v>
      </c>
      <c r="K701" s="11" t="s">
        <v>35</v>
      </c>
      <c r="L701" s="11" t="s">
        <v>27</v>
      </c>
      <c r="M701" s="11" t="s">
        <v>49</v>
      </c>
      <c r="N701" s="11" t="s">
        <v>156</v>
      </c>
      <c r="O701" s="11" t="s">
        <v>1194</v>
      </c>
      <c r="P701" s="11" t="s">
        <v>87</v>
      </c>
      <c r="Q701" s="20">
        <v>39928.0</v>
      </c>
      <c r="R701" s="17">
        <f t="shared" si="2"/>
        <v>137.1099228</v>
      </c>
      <c r="S701" s="9"/>
      <c r="T701" s="9"/>
      <c r="U701" s="9"/>
      <c r="V701" s="9"/>
      <c r="W701" s="9"/>
      <c r="X701" s="9"/>
      <c r="Y701" s="9"/>
      <c r="Z701" s="9"/>
      <c r="AA701" s="9"/>
      <c r="AB701" s="9" t="str">
        <f>IFERROR(__xludf.DUMMYFUNCTION("""COMPUTED_VALUE"""),"Bryan Spruell")</f>
        <v>Bryan Spruell</v>
      </c>
      <c r="AC701" s="9"/>
      <c r="AD701" s="9"/>
      <c r="AE701" s="9">
        <f t="shared" si="8"/>
        <v>1</v>
      </c>
      <c r="AF701" s="19">
        <f t="shared" si="13"/>
        <v>2</v>
      </c>
      <c r="AG701" s="9"/>
      <c r="AH701" s="9"/>
      <c r="AI701" s="9"/>
    </row>
    <row r="702" ht="15.0" customHeight="1">
      <c r="A702" s="11">
        <v>701.0</v>
      </c>
      <c r="B702" s="12">
        <f t="shared" si="119"/>
        <v>39926</v>
      </c>
      <c r="C702" s="13">
        <v>2009.0</v>
      </c>
      <c r="D702" s="11" t="s">
        <v>44</v>
      </c>
      <c r="E702" s="11">
        <v>49.0</v>
      </c>
      <c r="F702" s="21" t="s">
        <v>1178</v>
      </c>
      <c r="G702" s="15">
        <v>0.0928076129288533</v>
      </c>
      <c r="H702" s="11" t="s">
        <v>45</v>
      </c>
      <c r="I702" s="16">
        <v>88.16000000000001</v>
      </c>
      <c r="J702" s="11" t="s">
        <v>1192</v>
      </c>
      <c r="K702" s="11" t="s">
        <v>35</v>
      </c>
      <c r="L702" s="11" t="s">
        <v>27</v>
      </c>
      <c r="M702" s="11" t="s">
        <v>49</v>
      </c>
      <c r="N702" s="11" t="s">
        <v>85</v>
      </c>
      <c r="O702" s="11" t="s">
        <v>86</v>
      </c>
      <c r="P702" s="11" t="s">
        <v>87</v>
      </c>
      <c r="Q702" s="20">
        <v>39928.0</v>
      </c>
      <c r="R702" s="17">
        <f t="shared" si="2"/>
        <v>974.9959461</v>
      </c>
      <c r="S702" s="9"/>
      <c r="T702" s="9"/>
      <c r="U702" s="9"/>
      <c r="V702" s="9"/>
      <c r="W702" s="9"/>
      <c r="X702" s="9"/>
      <c r="Y702" s="9"/>
      <c r="Z702" s="9"/>
      <c r="AA702" s="9"/>
      <c r="AB702" s="9" t="str">
        <f>IFERROR(__xludf.DUMMYFUNCTION("""COMPUTED_VALUE"""),"Barry Pond")</f>
        <v>Barry Pond</v>
      </c>
      <c r="AC702" s="9"/>
      <c r="AD702" s="9"/>
      <c r="AE702" s="9">
        <f t="shared" si="8"/>
        <v>1</v>
      </c>
      <c r="AF702" s="19">
        <f t="shared" si="13"/>
        <v>2</v>
      </c>
      <c r="AG702" s="9"/>
      <c r="AH702" s="9"/>
      <c r="AI702" s="9"/>
    </row>
    <row r="703" ht="15.0" customHeight="1">
      <c r="A703" s="11">
        <v>702.0</v>
      </c>
      <c r="B703" s="12">
        <f t="shared" si="119"/>
        <v>39926</v>
      </c>
      <c r="C703" s="13">
        <v>2009.0</v>
      </c>
      <c r="D703" s="11" t="s">
        <v>102</v>
      </c>
      <c r="E703" s="11">
        <v>5.0</v>
      </c>
      <c r="F703" s="21" t="s">
        <v>1195</v>
      </c>
      <c r="G703" s="15">
        <v>0.07331306990881456</v>
      </c>
      <c r="H703" s="11" t="s">
        <v>33</v>
      </c>
      <c r="I703" s="16">
        <v>4.488</v>
      </c>
      <c r="J703" s="11" t="s">
        <v>1196</v>
      </c>
      <c r="K703" s="11" t="s">
        <v>61</v>
      </c>
      <c r="L703" s="11" t="s">
        <v>41</v>
      </c>
      <c r="M703" s="11" t="s">
        <v>28</v>
      </c>
      <c r="N703" s="11" t="s">
        <v>56</v>
      </c>
      <c r="O703" s="11" t="s">
        <v>1197</v>
      </c>
      <c r="P703" s="11" t="s">
        <v>38</v>
      </c>
      <c r="Q703" s="20">
        <v>39929.0</v>
      </c>
      <c r="R703" s="17">
        <f t="shared" si="2"/>
        <v>2.235168875</v>
      </c>
      <c r="S703" s="9"/>
      <c r="T703" s="9"/>
      <c r="U703" s="9"/>
      <c r="V703" s="9"/>
      <c r="W703" s="9"/>
      <c r="X703" s="9"/>
      <c r="Y703" s="9"/>
      <c r="Z703" s="9"/>
      <c r="AA703" s="9"/>
      <c r="AB703" s="9" t="str">
        <f>IFERROR(__xludf.DUMMYFUNCTION("""COMPUTED_VALUE"""),"Fred McMath")</f>
        <v>Fred McMath</v>
      </c>
      <c r="AC703" s="9"/>
      <c r="AD703" s="9"/>
      <c r="AE703" s="9">
        <f t="shared" si="8"/>
        <v>3</v>
      </c>
      <c r="AF703" s="19">
        <f t="shared" si="13"/>
        <v>4</v>
      </c>
      <c r="AG703" s="9"/>
      <c r="AH703" s="9"/>
      <c r="AI703" s="9"/>
    </row>
    <row r="704" ht="15.0" customHeight="1">
      <c r="A704" s="11">
        <v>703.0</v>
      </c>
      <c r="B704" s="12">
        <f t="shared" si="119"/>
        <v>39926</v>
      </c>
      <c r="C704" s="13">
        <v>2009.0</v>
      </c>
      <c r="D704" s="11" t="s">
        <v>102</v>
      </c>
      <c r="E704" s="11">
        <v>10.0</v>
      </c>
      <c r="F704" s="21" t="s">
        <v>319</v>
      </c>
      <c r="G704" s="15">
        <v>0.10126582278481021</v>
      </c>
      <c r="H704" s="11" t="s">
        <v>33</v>
      </c>
      <c r="I704" s="16">
        <v>0.4</v>
      </c>
      <c r="J704" s="11" t="s">
        <v>681</v>
      </c>
      <c r="K704" s="11" t="s">
        <v>61</v>
      </c>
      <c r="L704" s="11" t="s">
        <v>41</v>
      </c>
      <c r="M704" s="11" t="s">
        <v>28</v>
      </c>
      <c r="N704" s="11" t="s">
        <v>188</v>
      </c>
      <c r="O704" s="11" t="s">
        <v>1198</v>
      </c>
      <c r="P704" s="11" t="s">
        <v>38</v>
      </c>
      <c r="Q704" s="20">
        <v>39929.0</v>
      </c>
      <c r="R704" s="17">
        <f t="shared" si="2"/>
        <v>2.875949367</v>
      </c>
      <c r="S704" s="9"/>
      <c r="T704" s="9"/>
      <c r="U704" s="9"/>
      <c r="V704" s="9"/>
      <c r="W704" s="9"/>
      <c r="X704" s="9"/>
      <c r="Y704" s="9"/>
      <c r="Z704" s="9"/>
      <c r="AA704" s="9"/>
      <c r="AB704" s="9" t="str">
        <f>IFERROR(__xludf.DUMMYFUNCTION("""COMPUTED_VALUE"""),"Erin Smith")</f>
        <v>Erin Smith</v>
      </c>
      <c r="AC704" s="9"/>
      <c r="AD704" s="9"/>
      <c r="AE704" s="9">
        <f t="shared" si="8"/>
        <v>3</v>
      </c>
      <c r="AF704" s="19">
        <f t="shared" si="13"/>
        <v>4</v>
      </c>
      <c r="AG704" s="9"/>
      <c r="AH704" s="9"/>
      <c r="AI704" s="9"/>
    </row>
    <row r="705" ht="15.0" customHeight="1">
      <c r="A705" s="11">
        <v>704.0</v>
      </c>
      <c r="B705" s="12">
        <f t="shared" ref="B705:B710" si="120">DATE(2012,12,31)-1347</f>
        <v>39927</v>
      </c>
      <c r="C705" s="13">
        <v>2009.0</v>
      </c>
      <c r="D705" s="11" t="s">
        <v>23</v>
      </c>
      <c r="E705" s="11">
        <v>1.0</v>
      </c>
      <c r="F705" s="21" t="s">
        <v>319</v>
      </c>
      <c r="G705" s="15">
        <v>0.040000000000000036</v>
      </c>
      <c r="H705" s="11" t="s">
        <v>24</v>
      </c>
      <c r="I705" s="16">
        <v>0.5599999999999999</v>
      </c>
      <c r="J705" s="11" t="s">
        <v>232</v>
      </c>
      <c r="K705" s="11" t="s">
        <v>47</v>
      </c>
      <c r="L705" s="11" t="s">
        <v>41</v>
      </c>
      <c r="M705" s="11" t="s">
        <v>28</v>
      </c>
      <c r="N705" s="11" t="s">
        <v>62</v>
      </c>
      <c r="O705" s="11" t="s">
        <v>383</v>
      </c>
      <c r="P705" s="11" t="s">
        <v>58</v>
      </c>
      <c r="Q705" s="20">
        <v>39929.0</v>
      </c>
      <c r="R705" s="17">
        <f t="shared" si="2"/>
        <v>0.1344</v>
      </c>
      <c r="S705" s="9"/>
      <c r="T705" s="9"/>
      <c r="U705" s="9"/>
      <c r="V705" s="9"/>
      <c r="W705" s="9"/>
      <c r="X705" s="9"/>
      <c r="Y705" s="9"/>
      <c r="Z705" s="9"/>
      <c r="AA705" s="9"/>
      <c r="AB705" s="9" t="str">
        <f>IFERROR(__xludf.DUMMYFUNCTION("""COMPUTED_VALUE"""),"Luke Weiss")</f>
        <v>Luke Weiss</v>
      </c>
      <c r="AC705" s="9"/>
      <c r="AD705" s="9"/>
      <c r="AE705" s="9">
        <f t="shared" si="8"/>
        <v>3</v>
      </c>
      <c r="AF705" s="19">
        <f t="shared" si="13"/>
        <v>3</v>
      </c>
      <c r="AG705" s="9"/>
      <c r="AH705" s="9"/>
      <c r="AI705" s="9"/>
    </row>
    <row r="706" ht="15.0" customHeight="1">
      <c r="A706" s="11">
        <v>705.0</v>
      </c>
      <c r="B706" s="12">
        <f t="shared" si="120"/>
        <v>39927</v>
      </c>
      <c r="C706" s="13">
        <v>2009.0</v>
      </c>
      <c r="D706" s="11" t="s">
        <v>44</v>
      </c>
      <c r="E706" s="11">
        <v>38.0</v>
      </c>
      <c r="F706" s="21" t="s">
        <v>1091</v>
      </c>
      <c r="G706" s="15">
        <v>0.029618848620217554</v>
      </c>
      <c r="H706" s="11" t="s">
        <v>33</v>
      </c>
      <c r="I706" s="16">
        <v>1.592</v>
      </c>
      <c r="J706" s="11" t="s">
        <v>1199</v>
      </c>
      <c r="K706" s="11" t="s">
        <v>83</v>
      </c>
      <c r="L706" s="11" t="s">
        <v>36</v>
      </c>
      <c r="M706" s="11" t="s">
        <v>66</v>
      </c>
      <c r="N706" s="11" t="s">
        <v>67</v>
      </c>
      <c r="O706" s="11" t="s">
        <v>1200</v>
      </c>
      <c r="P706" s="11" t="s">
        <v>99</v>
      </c>
      <c r="Q706" s="20">
        <v>39929.0</v>
      </c>
      <c r="R706" s="17">
        <f t="shared" si="2"/>
        <v>39.89042837</v>
      </c>
      <c r="S706" s="9"/>
      <c r="T706" s="9"/>
      <c r="U706" s="9"/>
      <c r="V706" s="9"/>
      <c r="W706" s="9"/>
      <c r="X706" s="9"/>
      <c r="Y706" s="9"/>
      <c r="Z706" s="9"/>
      <c r="AA706" s="9"/>
      <c r="AB706" s="9" t="str">
        <f>IFERROR(__xludf.DUMMYFUNCTION("""COMPUTED_VALUE"""),"Anna Haberlin")</f>
        <v>Anna Haberlin</v>
      </c>
      <c r="AC706" s="9"/>
      <c r="AD706" s="9"/>
      <c r="AE706" s="9">
        <f t="shared" si="8"/>
        <v>2</v>
      </c>
      <c r="AF706" s="19" t="b">
        <f t="shared" si="13"/>
        <v>0</v>
      </c>
      <c r="AG706" s="9"/>
      <c r="AH706" s="9"/>
      <c r="AI706" s="9"/>
    </row>
    <row r="707" ht="15.0" customHeight="1">
      <c r="A707" s="11">
        <v>706.0</v>
      </c>
      <c r="B707" s="12">
        <f t="shared" si="120"/>
        <v>39927</v>
      </c>
      <c r="C707" s="13">
        <v>2009.0</v>
      </c>
      <c r="D707" s="11" t="s">
        <v>44</v>
      </c>
      <c r="E707" s="11">
        <v>45.0</v>
      </c>
      <c r="F707" s="21" t="s">
        <v>1201</v>
      </c>
      <c r="G707" s="15">
        <v>0.0485949700414855</v>
      </c>
      <c r="H707" s="11" t="s">
        <v>33</v>
      </c>
      <c r="I707" s="16">
        <v>15.991999999999999</v>
      </c>
      <c r="J707" s="11" t="s">
        <v>1199</v>
      </c>
      <c r="K707" s="11" t="s">
        <v>83</v>
      </c>
      <c r="L707" s="11" t="s">
        <v>36</v>
      </c>
      <c r="M707" s="11" t="s">
        <v>28</v>
      </c>
      <c r="N707" s="11" t="s">
        <v>29</v>
      </c>
      <c r="O707" s="11" t="s">
        <v>1202</v>
      </c>
      <c r="P707" s="11" t="s">
        <v>38</v>
      </c>
      <c r="Q707" s="20">
        <v>39929.0</v>
      </c>
      <c r="R707" s="17">
        <f t="shared" si="2"/>
        <v>313.0484082</v>
      </c>
      <c r="S707" s="9"/>
      <c r="T707" s="9"/>
      <c r="U707" s="9"/>
      <c r="V707" s="9"/>
      <c r="W707" s="9"/>
      <c r="X707" s="9"/>
      <c r="Y707" s="9"/>
      <c r="Z707" s="9"/>
      <c r="AA707" s="9"/>
      <c r="AB707" s="9" t="str">
        <f>IFERROR(__xludf.DUMMYFUNCTION("""COMPUTED_VALUE"""),"Shui Tom")</f>
        <v>Shui Tom</v>
      </c>
      <c r="AC707" s="9"/>
      <c r="AD707" s="9"/>
      <c r="AE707" s="9">
        <f t="shared" si="8"/>
        <v>2</v>
      </c>
      <c r="AF707" s="19" t="b">
        <f t="shared" si="13"/>
        <v>0</v>
      </c>
      <c r="AG707" s="9"/>
      <c r="AH707" s="9"/>
      <c r="AI707" s="9"/>
    </row>
    <row r="708" ht="15.0" customHeight="1">
      <c r="A708" s="11">
        <v>707.0</v>
      </c>
      <c r="B708" s="12">
        <f t="shared" si="120"/>
        <v>39927</v>
      </c>
      <c r="C708" s="13">
        <v>2009.0</v>
      </c>
      <c r="D708" s="11" t="s">
        <v>32</v>
      </c>
      <c r="E708" s="11">
        <v>11.0</v>
      </c>
      <c r="F708" s="21" t="s">
        <v>1203</v>
      </c>
      <c r="G708" s="15">
        <v>0.061562774363476735</v>
      </c>
      <c r="H708" s="11" t="s">
        <v>33</v>
      </c>
      <c r="I708" s="16">
        <v>7.888</v>
      </c>
      <c r="J708" s="11" t="s">
        <v>94</v>
      </c>
      <c r="K708" s="11" t="s">
        <v>26</v>
      </c>
      <c r="L708" s="11" t="s">
        <v>27</v>
      </c>
      <c r="M708" s="11" t="s">
        <v>28</v>
      </c>
      <c r="N708" s="11" t="s">
        <v>56</v>
      </c>
      <c r="O708" s="11" t="s">
        <v>1204</v>
      </c>
      <c r="P708" s="11" t="s">
        <v>38</v>
      </c>
      <c r="Q708" s="20">
        <v>39930.0</v>
      </c>
      <c r="R708" s="17">
        <f t="shared" si="2"/>
        <v>6.580321826</v>
      </c>
      <c r="S708" s="9"/>
      <c r="T708" s="9"/>
      <c r="U708" s="9"/>
      <c r="V708" s="9"/>
      <c r="W708" s="9"/>
      <c r="X708" s="9"/>
      <c r="Y708" s="9"/>
      <c r="Z708" s="9"/>
      <c r="AA708" s="9"/>
      <c r="AB708" s="9" t="str">
        <f>IFERROR(__xludf.DUMMYFUNCTION("""COMPUTED_VALUE"""),"Lindsay Shagiari")</f>
        <v>Lindsay Shagiari</v>
      </c>
      <c r="AC708" s="9"/>
      <c r="AD708" s="9"/>
      <c r="AE708" s="9">
        <f t="shared" si="8"/>
        <v>1</v>
      </c>
      <c r="AF708" s="19">
        <f t="shared" si="13"/>
        <v>1</v>
      </c>
      <c r="AG708" s="9"/>
      <c r="AH708" s="9"/>
      <c r="AI708" s="9"/>
    </row>
    <row r="709" ht="15.0" customHeight="1">
      <c r="A709" s="11">
        <v>708.0</v>
      </c>
      <c r="B709" s="12">
        <f t="shared" si="120"/>
        <v>39927</v>
      </c>
      <c r="C709" s="13">
        <v>2009.0</v>
      </c>
      <c r="D709" s="11" t="s">
        <v>32</v>
      </c>
      <c r="E709" s="11">
        <v>13.0</v>
      </c>
      <c r="F709" s="21" t="s">
        <v>641</v>
      </c>
      <c r="G709" s="15">
        <v>0.04982035928143717</v>
      </c>
      <c r="H709" s="11" t="s">
        <v>33</v>
      </c>
      <c r="I709" s="16">
        <v>5.816</v>
      </c>
      <c r="J709" s="11" t="s">
        <v>94</v>
      </c>
      <c r="K709" s="11" t="s">
        <v>26</v>
      </c>
      <c r="L709" s="11" t="s">
        <v>27</v>
      </c>
      <c r="M709" s="11" t="s">
        <v>28</v>
      </c>
      <c r="N709" s="11" t="s">
        <v>42</v>
      </c>
      <c r="O709" s="11" t="s">
        <v>642</v>
      </c>
      <c r="P709" s="11" t="s">
        <v>38</v>
      </c>
      <c r="Q709" s="20">
        <v>39930.0</v>
      </c>
      <c r="R709" s="17">
        <f t="shared" si="2"/>
        <v>9.486593533</v>
      </c>
      <c r="S709" s="9"/>
      <c r="T709" s="9"/>
      <c r="U709" s="9"/>
      <c r="V709" s="9"/>
      <c r="W709" s="9"/>
      <c r="X709" s="9"/>
      <c r="Y709" s="9"/>
      <c r="Z709" s="9"/>
      <c r="AA709" s="9"/>
      <c r="AB709" s="9" t="str">
        <f>IFERROR(__xludf.DUMMYFUNCTION("""COMPUTED_VALUE"""),"Deirdre Greer")</f>
        <v>Deirdre Greer</v>
      </c>
      <c r="AC709" s="9"/>
      <c r="AD709" s="9"/>
      <c r="AE709" s="9">
        <f t="shared" si="8"/>
        <v>1</v>
      </c>
      <c r="AF709" s="19">
        <f t="shared" si="13"/>
        <v>1</v>
      </c>
      <c r="AG709" s="9"/>
      <c r="AH709" s="9"/>
      <c r="AI709" s="9"/>
    </row>
    <row r="710" ht="15.0" customHeight="1">
      <c r="A710" s="11">
        <v>709.0</v>
      </c>
      <c r="B710" s="12">
        <f t="shared" si="120"/>
        <v>39927</v>
      </c>
      <c r="C710" s="13">
        <v>2009.0</v>
      </c>
      <c r="D710" s="11" t="s">
        <v>32</v>
      </c>
      <c r="E710" s="11">
        <v>28.0</v>
      </c>
      <c r="F710" s="21" t="s">
        <v>126</v>
      </c>
      <c r="G710" s="15">
        <v>0.03166783954961275</v>
      </c>
      <c r="H710" s="11" t="s">
        <v>33</v>
      </c>
      <c r="I710" s="16">
        <v>0.4</v>
      </c>
      <c r="J710" s="11" t="s">
        <v>94</v>
      </c>
      <c r="K710" s="11" t="s">
        <v>26</v>
      </c>
      <c r="L710" s="11" t="s">
        <v>27</v>
      </c>
      <c r="M710" s="11" t="s">
        <v>28</v>
      </c>
      <c r="N710" s="11" t="s">
        <v>188</v>
      </c>
      <c r="O710" s="11" t="s">
        <v>410</v>
      </c>
      <c r="P710" s="11" t="s">
        <v>38</v>
      </c>
      <c r="Q710" s="20">
        <v>39930.0</v>
      </c>
      <c r="R710" s="17">
        <f t="shared" si="2"/>
        <v>4.357494722</v>
      </c>
      <c r="S710" s="9"/>
      <c r="T710" s="9"/>
      <c r="U710" s="9"/>
      <c r="V710" s="9"/>
      <c r="W710" s="9"/>
      <c r="X710" s="9"/>
      <c r="Y710" s="9"/>
      <c r="Z710" s="9"/>
      <c r="AA710" s="9"/>
      <c r="AB710" s="9" t="str">
        <f>IFERROR(__xludf.DUMMYFUNCTION("""COMPUTED_VALUE"""),"Maureen Grace")</f>
        <v>Maureen Grace</v>
      </c>
      <c r="AC710" s="9"/>
      <c r="AD710" s="9"/>
      <c r="AE710" s="9">
        <f t="shared" si="8"/>
        <v>1</v>
      </c>
      <c r="AF710" s="19">
        <f t="shared" si="13"/>
        <v>1</v>
      </c>
      <c r="AG710" s="9"/>
      <c r="AH710" s="9"/>
      <c r="AI710" s="9"/>
    </row>
    <row r="711" ht="15.0" customHeight="1">
      <c r="A711" s="11">
        <v>710.0</v>
      </c>
      <c r="B711" s="12">
        <f>DATE(2012,12,31)-1346</f>
        <v>39928</v>
      </c>
      <c r="C711" s="13">
        <v>2009.0</v>
      </c>
      <c r="D711" s="11" t="s">
        <v>39</v>
      </c>
      <c r="E711" s="11">
        <v>5.0</v>
      </c>
      <c r="F711" s="21" t="s">
        <v>350</v>
      </c>
      <c r="G711" s="15">
        <v>0.014358135731807034</v>
      </c>
      <c r="H711" s="11" t="s">
        <v>33</v>
      </c>
      <c r="I711" s="16">
        <v>6.5440000000000005</v>
      </c>
      <c r="J711" s="11" t="s">
        <v>72</v>
      </c>
      <c r="K711" s="11" t="s">
        <v>61</v>
      </c>
      <c r="L711" s="11" t="s">
        <v>27</v>
      </c>
      <c r="M711" s="11" t="s">
        <v>28</v>
      </c>
      <c r="N711" s="11" t="s">
        <v>56</v>
      </c>
      <c r="O711" s="11" t="s">
        <v>351</v>
      </c>
      <c r="P711" s="11" t="s">
        <v>38</v>
      </c>
      <c r="Q711" s="20">
        <v>39930.0</v>
      </c>
      <c r="R711" s="17">
        <f t="shared" si="2"/>
        <v>1.730787114</v>
      </c>
      <c r="S711" s="9"/>
      <c r="T711" s="9"/>
      <c r="U711" s="9"/>
      <c r="V711" s="9"/>
      <c r="W711" s="9"/>
      <c r="X711" s="9"/>
      <c r="Y711" s="9"/>
      <c r="Z711" s="9"/>
      <c r="AA711" s="9"/>
      <c r="AB711" s="9" t="str">
        <f>IFERROR(__xludf.DUMMYFUNCTION("""COMPUTED_VALUE"""),"Bradley Talbott")</f>
        <v>Bradley Talbott</v>
      </c>
      <c r="AC711" s="9"/>
      <c r="AD711" s="9"/>
      <c r="AE711" s="9">
        <f t="shared" si="8"/>
        <v>1</v>
      </c>
      <c r="AF711" s="19">
        <f t="shared" si="13"/>
        <v>4</v>
      </c>
      <c r="AG711" s="9"/>
      <c r="AH711" s="9"/>
      <c r="AI711" s="9"/>
    </row>
    <row r="712" ht="15.0" customHeight="1">
      <c r="A712" s="11">
        <v>711.0</v>
      </c>
      <c r="B712" s="12">
        <f t="shared" ref="B712:B715" si="121">DATE(2012,12,31)-1345</f>
        <v>39929</v>
      </c>
      <c r="C712" s="13">
        <v>2009.0</v>
      </c>
      <c r="D712" s="11" t="s">
        <v>44</v>
      </c>
      <c r="E712" s="11">
        <v>9.0</v>
      </c>
      <c r="F712" s="21" t="s">
        <v>290</v>
      </c>
      <c r="G712" s="15">
        <v>0.07770334928229643</v>
      </c>
      <c r="H712" s="11" t="s">
        <v>33</v>
      </c>
      <c r="I712" s="16">
        <v>0.752</v>
      </c>
      <c r="J712" s="11" t="s">
        <v>617</v>
      </c>
      <c r="K712" s="11" t="s">
        <v>61</v>
      </c>
      <c r="L712" s="11" t="s">
        <v>41</v>
      </c>
      <c r="M712" s="11" t="s">
        <v>28</v>
      </c>
      <c r="N712" s="11" t="s">
        <v>62</v>
      </c>
      <c r="O712" s="11" t="s">
        <v>291</v>
      </c>
      <c r="P712" s="11" t="s">
        <v>58</v>
      </c>
      <c r="Q712" s="20">
        <v>39931.0</v>
      </c>
      <c r="R712" s="17">
        <f t="shared" si="2"/>
        <v>2.995619522</v>
      </c>
      <c r="S712" s="9"/>
      <c r="T712" s="9"/>
      <c r="U712" s="9"/>
      <c r="V712" s="9"/>
      <c r="W712" s="9"/>
      <c r="X712" s="9"/>
      <c r="Y712" s="9"/>
      <c r="Z712" s="9"/>
      <c r="AA712" s="9"/>
      <c r="AB712" s="9" t="str">
        <f>IFERROR(__xludf.DUMMYFUNCTION("""COMPUTED_VALUE"""),"Andrew Gjertsen")</f>
        <v>Andrew Gjertsen</v>
      </c>
      <c r="AC712" s="9"/>
      <c r="AD712" s="9"/>
      <c r="AE712" s="9">
        <f t="shared" si="8"/>
        <v>3</v>
      </c>
      <c r="AF712" s="19">
        <f t="shared" si="13"/>
        <v>4</v>
      </c>
      <c r="AG712" s="9"/>
      <c r="AH712" s="9"/>
      <c r="AI712" s="9"/>
    </row>
    <row r="713" ht="15.0" customHeight="1">
      <c r="A713" s="11">
        <v>712.0</v>
      </c>
      <c r="B713" s="12">
        <f t="shared" si="121"/>
        <v>39929</v>
      </c>
      <c r="C713" s="13">
        <v>2009.0</v>
      </c>
      <c r="D713" s="11" t="s">
        <v>23</v>
      </c>
      <c r="E713" s="11">
        <v>34.0</v>
      </c>
      <c r="F713" s="21" t="s">
        <v>894</v>
      </c>
      <c r="G713" s="15">
        <v>0.08820678513731828</v>
      </c>
      <c r="H713" s="11" t="s">
        <v>33</v>
      </c>
      <c r="I713" s="16">
        <v>0.68</v>
      </c>
      <c r="J713" s="11" t="s">
        <v>1205</v>
      </c>
      <c r="K713" s="11" t="s">
        <v>61</v>
      </c>
      <c r="L713" s="11" t="s">
        <v>36</v>
      </c>
      <c r="M713" s="11" t="s">
        <v>28</v>
      </c>
      <c r="N713" s="11" t="s">
        <v>62</v>
      </c>
      <c r="O713" s="11" t="s">
        <v>1206</v>
      </c>
      <c r="P713" s="11" t="s">
        <v>58</v>
      </c>
      <c r="Q713" s="20">
        <v>39931.0</v>
      </c>
      <c r="R713" s="17">
        <f t="shared" si="2"/>
        <v>9.956781906</v>
      </c>
      <c r="S713" s="9"/>
      <c r="T713" s="9"/>
      <c r="U713" s="9"/>
      <c r="V713" s="9"/>
      <c r="W713" s="9"/>
      <c r="X713" s="9"/>
      <c r="Y713" s="9"/>
      <c r="Z713" s="9"/>
      <c r="AA713" s="9"/>
      <c r="AB713" s="9" t="str">
        <f>IFERROR(__xludf.DUMMYFUNCTION("""COMPUTED_VALUE"""),"Bruce Money")</f>
        <v>Bruce Money</v>
      </c>
      <c r="AC713" s="9"/>
      <c r="AD713" s="9"/>
      <c r="AE713" s="9">
        <f t="shared" si="8"/>
        <v>2</v>
      </c>
      <c r="AF713" s="19">
        <f t="shared" si="13"/>
        <v>4</v>
      </c>
      <c r="AG713" s="9"/>
      <c r="AH713" s="9"/>
      <c r="AI713" s="9"/>
    </row>
    <row r="714" ht="15.0" customHeight="1">
      <c r="A714" s="11">
        <v>713.0</v>
      </c>
      <c r="B714" s="12">
        <f t="shared" si="121"/>
        <v>39929</v>
      </c>
      <c r="C714" s="13">
        <v>2009.0</v>
      </c>
      <c r="D714" s="11" t="s">
        <v>102</v>
      </c>
      <c r="E714" s="11">
        <v>20.0</v>
      </c>
      <c r="F714" s="21" t="s">
        <v>1144</v>
      </c>
      <c r="G714" s="15">
        <v>0.03912035606814717</v>
      </c>
      <c r="H714" s="11" t="s">
        <v>33</v>
      </c>
      <c r="I714" s="16">
        <v>15.991999999999999</v>
      </c>
      <c r="J714" s="11" t="s">
        <v>617</v>
      </c>
      <c r="K714" s="11" t="s">
        <v>61</v>
      </c>
      <c r="L714" s="11" t="s">
        <v>27</v>
      </c>
      <c r="M714" s="11" t="s">
        <v>28</v>
      </c>
      <c r="N714" s="11" t="s">
        <v>29</v>
      </c>
      <c r="O714" s="11" t="s">
        <v>1146</v>
      </c>
      <c r="P714" s="11" t="s">
        <v>38</v>
      </c>
      <c r="Q714" s="20">
        <v>39931.0</v>
      </c>
      <c r="R714" s="17">
        <f t="shared" si="2"/>
        <v>328.5324373</v>
      </c>
      <c r="S714" s="9"/>
      <c r="T714" s="9"/>
      <c r="U714" s="9"/>
      <c r="V714" s="9"/>
      <c r="W714" s="9"/>
      <c r="X714" s="9"/>
      <c r="Y714" s="9"/>
      <c r="Z714" s="9"/>
      <c r="AA714" s="9"/>
      <c r="AB714" s="9" t="str">
        <f>IFERROR(__xludf.DUMMYFUNCTION("""COMPUTED_VALUE"""),"Christine Phan")</f>
        <v>Christine Phan</v>
      </c>
      <c r="AC714" s="9"/>
      <c r="AD714" s="9"/>
      <c r="AE714" s="9">
        <f t="shared" si="8"/>
        <v>1</v>
      </c>
      <c r="AF714" s="19">
        <f t="shared" si="13"/>
        <v>4</v>
      </c>
      <c r="AG714" s="9"/>
      <c r="AH714" s="9"/>
      <c r="AI714" s="9"/>
    </row>
    <row r="715" ht="15.0" customHeight="1">
      <c r="A715" s="11">
        <v>714.0</v>
      </c>
      <c r="B715" s="12">
        <f t="shared" si="121"/>
        <v>39929</v>
      </c>
      <c r="C715" s="13">
        <v>2009.0</v>
      </c>
      <c r="D715" s="11" t="s">
        <v>44</v>
      </c>
      <c r="E715" s="11">
        <v>18.0</v>
      </c>
      <c r="F715" s="21" t="s">
        <v>1207</v>
      </c>
      <c r="G715" s="15">
        <v>0.031085356118617468</v>
      </c>
      <c r="H715" s="11" t="s">
        <v>45</v>
      </c>
      <c r="I715" s="16">
        <v>20.96</v>
      </c>
      <c r="J715" s="11" t="s">
        <v>741</v>
      </c>
      <c r="K715" s="11" t="s">
        <v>35</v>
      </c>
      <c r="L715" s="11" t="s">
        <v>41</v>
      </c>
      <c r="M715" s="11" t="s">
        <v>49</v>
      </c>
      <c r="N715" s="11" t="s">
        <v>50</v>
      </c>
      <c r="O715" s="11" t="s">
        <v>1208</v>
      </c>
      <c r="P715" s="11" t="s">
        <v>52</v>
      </c>
      <c r="Q715" s="20">
        <v>39931.0</v>
      </c>
      <c r="R715" s="17">
        <f t="shared" si="2"/>
        <v>101.8716857</v>
      </c>
      <c r="S715" s="9"/>
      <c r="T715" s="9"/>
      <c r="U715" s="9"/>
      <c r="V715" s="9"/>
      <c r="W715" s="9"/>
      <c r="X715" s="9"/>
      <c r="Y715" s="9"/>
      <c r="Z715" s="9"/>
      <c r="AA715" s="9"/>
      <c r="AB715" s="9" t="str">
        <f>IFERROR(__xludf.DUMMYFUNCTION("""COMPUTED_VALUE"""),"Sung Pak")</f>
        <v>Sung Pak</v>
      </c>
      <c r="AC715" s="9"/>
      <c r="AD715" s="9"/>
      <c r="AE715" s="9">
        <f t="shared" si="8"/>
        <v>3</v>
      </c>
      <c r="AF715" s="19">
        <f t="shared" si="13"/>
        <v>2</v>
      </c>
      <c r="AG715" s="9"/>
      <c r="AH715" s="9"/>
      <c r="AI715" s="9"/>
    </row>
    <row r="716" ht="15.0" customHeight="1">
      <c r="A716" s="11">
        <v>715.0</v>
      </c>
      <c r="B716" s="12">
        <f t="shared" ref="B716:B720" si="122">DATE(2012,12,31)-1344</f>
        <v>39930</v>
      </c>
      <c r="C716" s="13">
        <v>2009.0</v>
      </c>
      <c r="D716" s="11" t="s">
        <v>39</v>
      </c>
      <c r="E716" s="11">
        <v>10.0</v>
      </c>
      <c r="F716" s="21" t="s">
        <v>369</v>
      </c>
      <c r="G716" s="15">
        <v>0.08301779807843751</v>
      </c>
      <c r="H716" s="11" t="s">
        <v>24</v>
      </c>
      <c r="I716" s="16">
        <v>1.192</v>
      </c>
      <c r="J716" s="11" t="s">
        <v>1209</v>
      </c>
      <c r="K716" s="11" t="s">
        <v>65</v>
      </c>
      <c r="L716" s="11" t="s">
        <v>27</v>
      </c>
      <c r="M716" s="11" t="s">
        <v>28</v>
      </c>
      <c r="N716" s="11" t="s">
        <v>42</v>
      </c>
      <c r="O716" s="11" t="s">
        <v>371</v>
      </c>
      <c r="P716" s="11" t="s">
        <v>38</v>
      </c>
      <c r="Q716" s="20">
        <v>39931.0</v>
      </c>
      <c r="R716" s="17">
        <f t="shared" si="2"/>
        <v>48.3322979</v>
      </c>
      <c r="S716" s="9"/>
      <c r="T716" s="9"/>
      <c r="U716" s="9"/>
      <c r="V716" s="9"/>
      <c r="W716" s="9"/>
      <c r="X716" s="9"/>
      <c r="Y716" s="9"/>
      <c r="Z716" s="9"/>
      <c r="AA716" s="9"/>
      <c r="AB716" s="9" t="str">
        <f>IFERROR(__xludf.DUMMYFUNCTION("""COMPUTED_VALUE"""),"Justin Deggeller")</f>
        <v>Justin Deggeller</v>
      </c>
      <c r="AC716" s="9"/>
      <c r="AD716" s="9"/>
      <c r="AE716" s="9">
        <f t="shared" si="8"/>
        <v>1</v>
      </c>
      <c r="AF716" s="19">
        <f t="shared" si="13"/>
        <v>5</v>
      </c>
      <c r="AG716" s="9"/>
      <c r="AH716" s="9"/>
      <c r="AI716" s="9"/>
    </row>
    <row r="717" ht="15.0" customHeight="1">
      <c r="A717" s="11">
        <v>716.0</v>
      </c>
      <c r="B717" s="12">
        <f t="shared" si="122"/>
        <v>39930</v>
      </c>
      <c r="C717" s="13">
        <v>2009.0</v>
      </c>
      <c r="D717" s="11" t="s">
        <v>39</v>
      </c>
      <c r="E717" s="11">
        <v>14.0</v>
      </c>
      <c r="F717" s="21" t="s">
        <v>473</v>
      </c>
      <c r="G717" s="15">
        <v>0.014330131004366727</v>
      </c>
      <c r="H717" s="11" t="s">
        <v>33</v>
      </c>
      <c r="I717" s="16">
        <v>5.696000000000001</v>
      </c>
      <c r="J717" s="11" t="s">
        <v>1209</v>
      </c>
      <c r="K717" s="11" t="s">
        <v>65</v>
      </c>
      <c r="L717" s="11" t="s">
        <v>27</v>
      </c>
      <c r="M717" s="11" t="s">
        <v>66</v>
      </c>
      <c r="N717" s="11" t="s">
        <v>67</v>
      </c>
      <c r="O717" s="11" t="s">
        <v>475</v>
      </c>
      <c r="P717" s="11" t="s">
        <v>38</v>
      </c>
      <c r="Q717" s="20">
        <v>39932.0</v>
      </c>
      <c r="R717" s="17">
        <f t="shared" si="2"/>
        <v>8.086435605</v>
      </c>
      <c r="S717" s="9"/>
      <c r="T717" s="9"/>
      <c r="U717" s="9"/>
      <c r="V717" s="9"/>
      <c r="W717" s="9"/>
      <c r="X717" s="9"/>
      <c r="Y717" s="9"/>
      <c r="Z717" s="9"/>
      <c r="AA717" s="9"/>
      <c r="AB717" s="9" t="str">
        <f>IFERROR(__xludf.DUMMYFUNCTION("""COMPUTED_VALUE"""),"Chris McAfee")</f>
        <v>Chris McAfee</v>
      </c>
      <c r="AC717" s="9"/>
      <c r="AD717" s="9"/>
      <c r="AE717" s="9">
        <f t="shared" si="8"/>
        <v>1</v>
      </c>
      <c r="AF717" s="19">
        <f t="shared" si="13"/>
        <v>5</v>
      </c>
      <c r="AG717" s="9"/>
      <c r="AH717" s="9"/>
      <c r="AI717" s="9"/>
    </row>
    <row r="718" ht="15.0" customHeight="1">
      <c r="A718" s="11">
        <v>717.0</v>
      </c>
      <c r="B718" s="12">
        <f t="shared" si="122"/>
        <v>39930</v>
      </c>
      <c r="C718" s="13">
        <v>2009.0</v>
      </c>
      <c r="D718" s="11" t="s">
        <v>44</v>
      </c>
      <c r="E718" s="11">
        <v>38.0</v>
      </c>
      <c r="F718" s="21" t="s">
        <v>740</v>
      </c>
      <c r="G718" s="15">
        <v>0.08289690556357227</v>
      </c>
      <c r="H718" s="11" t="s">
        <v>33</v>
      </c>
      <c r="I718" s="16">
        <v>5.744</v>
      </c>
      <c r="J718" s="11" t="s">
        <v>1210</v>
      </c>
      <c r="K718" s="11" t="s">
        <v>47</v>
      </c>
      <c r="L718" s="11" t="s">
        <v>48</v>
      </c>
      <c r="M718" s="11" t="s">
        <v>66</v>
      </c>
      <c r="N718" s="11" t="s">
        <v>67</v>
      </c>
      <c r="O718" s="11" t="s">
        <v>1147</v>
      </c>
      <c r="P718" s="11" t="s">
        <v>38</v>
      </c>
      <c r="Q718" s="20">
        <v>39932.0</v>
      </c>
      <c r="R718" s="17">
        <f t="shared" si="2"/>
        <v>948.3359574</v>
      </c>
      <c r="S718" s="9"/>
      <c r="T718" s="9"/>
      <c r="U718" s="9"/>
      <c r="V718" s="9"/>
      <c r="W718" s="9"/>
      <c r="X718" s="9"/>
      <c r="Y718" s="9"/>
      <c r="Z718" s="9"/>
      <c r="AA718" s="9"/>
      <c r="AB718" s="9" t="str">
        <f>IFERROR(__xludf.DUMMYFUNCTION("""COMPUTED_VALUE"""),"Natalie DeCherney")</f>
        <v>Natalie DeCherney</v>
      </c>
      <c r="AC718" s="9"/>
      <c r="AD718" s="9"/>
      <c r="AE718" s="9">
        <f t="shared" si="8"/>
        <v>4</v>
      </c>
      <c r="AF718" s="19">
        <f t="shared" si="13"/>
        <v>3</v>
      </c>
      <c r="AG718" s="9"/>
      <c r="AH718" s="9"/>
      <c r="AI718" s="9"/>
    </row>
    <row r="719" ht="15.0" customHeight="1">
      <c r="A719" s="11">
        <v>718.0</v>
      </c>
      <c r="B719" s="12">
        <f t="shared" si="122"/>
        <v>39930</v>
      </c>
      <c r="C719" s="13">
        <v>2009.0</v>
      </c>
      <c r="D719" s="11" t="s">
        <v>23</v>
      </c>
      <c r="E719" s="11">
        <v>13.0</v>
      </c>
      <c r="F719" s="21" t="s">
        <v>610</v>
      </c>
      <c r="G719" s="15">
        <v>0.09376464026770781</v>
      </c>
      <c r="H719" s="11" t="s">
        <v>33</v>
      </c>
      <c r="I719" s="16">
        <v>3.8880000000000003</v>
      </c>
      <c r="J719" s="11" t="s">
        <v>1211</v>
      </c>
      <c r="K719" s="11" t="s">
        <v>35</v>
      </c>
      <c r="L719" s="11" t="s">
        <v>48</v>
      </c>
      <c r="M719" s="11" t="s">
        <v>28</v>
      </c>
      <c r="N719" s="11" t="s">
        <v>56</v>
      </c>
      <c r="O719" s="11" t="s">
        <v>976</v>
      </c>
      <c r="P719" s="11" t="s">
        <v>38</v>
      </c>
      <c r="Q719" s="20">
        <v>39932.0</v>
      </c>
      <c r="R719" s="17">
        <f t="shared" si="2"/>
        <v>15.23562887</v>
      </c>
      <c r="S719" s="9"/>
      <c r="T719" s="9"/>
      <c r="U719" s="9"/>
      <c r="V719" s="9"/>
      <c r="W719" s="9"/>
      <c r="X719" s="9"/>
      <c r="Y719" s="9"/>
      <c r="Z719" s="9"/>
      <c r="AA719" s="9"/>
      <c r="AB719" s="9" t="str">
        <f>IFERROR(__xludf.DUMMYFUNCTION("""COMPUTED_VALUE"""),"Maureen Fritzler")</f>
        <v>Maureen Fritzler</v>
      </c>
      <c r="AC719" s="9"/>
      <c r="AD719" s="9"/>
      <c r="AE719" s="9">
        <f t="shared" si="8"/>
        <v>4</v>
      </c>
      <c r="AF719" s="19">
        <f t="shared" si="13"/>
        <v>2</v>
      </c>
      <c r="AG719" s="9"/>
      <c r="AH719" s="9"/>
      <c r="AI719" s="9"/>
    </row>
    <row r="720" ht="15.0" customHeight="1">
      <c r="A720" s="11">
        <v>719.0</v>
      </c>
      <c r="B720" s="12">
        <f t="shared" si="122"/>
        <v>39930</v>
      </c>
      <c r="C720" s="13">
        <v>2009.0</v>
      </c>
      <c r="D720" s="11" t="s">
        <v>23</v>
      </c>
      <c r="E720" s="11">
        <v>40.0</v>
      </c>
      <c r="F720" s="21" t="s">
        <v>178</v>
      </c>
      <c r="G720" s="15">
        <v>0.03108797653958944</v>
      </c>
      <c r="H720" s="11" t="s">
        <v>33</v>
      </c>
      <c r="I720" s="16">
        <v>7.192</v>
      </c>
      <c r="J720" s="11" t="s">
        <v>1212</v>
      </c>
      <c r="K720" s="11" t="s">
        <v>117</v>
      </c>
      <c r="L720" s="11" t="s">
        <v>27</v>
      </c>
      <c r="M720" s="11" t="s">
        <v>66</v>
      </c>
      <c r="N720" s="11" t="s">
        <v>80</v>
      </c>
      <c r="O720" s="11" t="s">
        <v>1213</v>
      </c>
      <c r="P720" s="11" t="s">
        <v>38</v>
      </c>
      <c r="Q720" s="20">
        <v>39933.0</v>
      </c>
      <c r="R720" s="17">
        <f t="shared" si="2"/>
        <v>82.17149089</v>
      </c>
      <c r="S720" s="9"/>
      <c r="T720" s="9"/>
      <c r="U720" s="9"/>
      <c r="V720" s="9"/>
      <c r="W720" s="9"/>
      <c r="X720" s="9"/>
      <c r="Y720" s="9"/>
      <c r="Z720" s="9"/>
      <c r="AA720" s="9"/>
      <c r="AB720" s="9" t="str">
        <f>IFERROR(__xludf.DUMMYFUNCTION("""COMPUTED_VALUE"""),"Harry Marie")</f>
        <v>Harry Marie</v>
      </c>
      <c r="AC720" s="9"/>
      <c r="AD720" s="9"/>
      <c r="AE720" s="9">
        <f t="shared" si="8"/>
        <v>1</v>
      </c>
      <c r="AF720" s="19" t="b">
        <f t="shared" si="13"/>
        <v>0</v>
      </c>
      <c r="AG720" s="9"/>
      <c r="AH720" s="9"/>
      <c r="AI720" s="9"/>
    </row>
    <row r="721" ht="15.0" customHeight="1">
      <c r="A721" s="11">
        <v>720.0</v>
      </c>
      <c r="B721" s="12">
        <f t="shared" ref="B721:B726" si="123">DATE(2012,12,31)-1343</f>
        <v>39931</v>
      </c>
      <c r="C721" s="13">
        <v>2009.0</v>
      </c>
      <c r="D721" s="11" t="s">
        <v>32</v>
      </c>
      <c r="E721" s="11">
        <v>28.0</v>
      </c>
      <c r="F721" s="21" t="s">
        <v>186</v>
      </c>
      <c r="G721" s="15">
        <v>0.04627062706270642</v>
      </c>
      <c r="H721" s="11" t="s">
        <v>24</v>
      </c>
      <c r="I721" s="16">
        <v>0.792</v>
      </c>
      <c r="J721" s="11" t="s">
        <v>1214</v>
      </c>
      <c r="K721" s="11" t="s">
        <v>35</v>
      </c>
      <c r="L721" s="11" t="s">
        <v>27</v>
      </c>
      <c r="M721" s="11" t="s">
        <v>28</v>
      </c>
      <c r="N721" s="11" t="s">
        <v>188</v>
      </c>
      <c r="O721" s="11" t="s">
        <v>189</v>
      </c>
      <c r="P721" s="11" t="s">
        <v>38</v>
      </c>
      <c r="Q721" s="20">
        <v>39933.0</v>
      </c>
      <c r="R721" s="17">
        <f t="shared" si="2"/>
        <v>5.348514323</v>
      </c>
      <c r="S721" s="9"/>
      <c r="T721" s="9"/>
      <c r="U721" s="9"/>
      <c r="V721" s="9"/>
      <c r="W721" s="9"/>
      <c r="X721" s="9"/>
      <c r="Y721" s="9"/>
      <c r="Z721" s="9"/>
      <c r="AA721" s="9"/>
      <c r="AB721" s="9" t="str">
        <f>IFERROR(__xludf.DUMMYFUNCTION("""COMPUTED_VALUE"""),"Keith Herrera")</f>
        <v>Keith Herrera</v>
      </c>
      <c r="AC721" s="9"/>
      <c r="AD721" s="9"/>
      <c r="AE721" s="9">
        <f t="shared" si="8"/>
        <v>1</v>
      </c>
      <c r="AF721" s="19">
        <f t="shared" si="13"/>
        <v>2</v>
      </c>
      <c r="AG721" s="9"/>
      <c r="AH721" s="9"/>
      <c r="AI721" s="9"/>
    </row>
    <row r="722" ht="15.0" customHeight="1">
      <c r="A722" s="11">
        <v>721.0</v>
      </c>
      <c r="B722" s="12">
        <f t="shared" si="123"/>
        <v>39931</v>
      </c>
      <c r="C722" s="13">
        <v>2009.0</v>
      </c>
      <c r="D722" s="11" t="s">
        <v>32</v>
      </c>
      <c r="E722" s="11">
        <v>46.0</v>
      </c>
      <c r="F722" s="21" t="s">
        <v>490</v>
      </c>
      <c r="G722" s="15">
        <v>0.05898614123442268</v>
      </c>
      <c r="H722" s="11" t="s">
        <v>33</v>
      </c>
      <c r="I722" s="16">
        <v>11.440000000000001</v>
      </c>
      <c r="J722" s="11" t="s">
        <v>1214</v>
      </c>
      <c r="K722" s="11" t="s">
        <v>35</v>
      </c>
      <c r="L722" s="11" t="s">
        <v>27</v>
      </c>
      <c r="M722" s="11" t="s">
        <v>28</v>
      </c>
      <c r="N722" s="11" t="s">
        <v>56</v>
      </c>
      <c r="O722" s="11" t="s">
        <v>492</v>
      </c>
      <c r="P722" s="11" t="s">
        <v>38</v>
      </c>
      <c r="Q722" s="20">
        <v>39933.0</v>
      </c>
      <c r="R722" s="17">
        <f t="shared" si="2"/>
        <v>150.9950838</v>
      </c>
      <c r="S722" s="9"/>
      <c r="T722" s="9"/>
      <c r="U722" s="9"/>
      <c r="V722" s="9"/>
      <c r="W722" s="9"/>
      <c r="X722" s="9"/>
      <c r="Y722" s="9"/>
      <c r="Z722" s="9"/>
      <c r="AA722" s="9"/>
      <c r="AB722" s="9" t="str">
        <f>IFERROR(__xludf.DUMMYFUNCTION("""COMPUTED_VALUE"""),"Jamie Kunitz")</f>
        <v>Jamie Kunitz</v>
      </c>
      <c r="AC722" s="9"/>
      <c r="AD722" s="9"/>
      <c r="AE722" s="9">
        <f t="shared" si="8"/>
        <v>1</v>
      </c>
      <c r="AF722" s="19">
        <f t="shared" si="13"/>
        <v>2</v>
      </c>
      <c r="AG722" s="9"/>
      <c r="AH722" s="9"/>
      <c r="AI722" s="9"/>
    </row>
    <row r="723" ht="15.0" customHeight="1">
      <c r="A723" s="11">
        <v>722.0</v>
      </c>
      <c r="B723" s="12">
        <f t="shared" si="123"/>
        <v>39931</v>
      </c>
      <c r="C723" s="13">
        <v>2009.0</v>
      </c>
      <c r="D723" s="11" t="s">
        <v>44</v>
      </c>
      <c r="E723" s="11">
        <v>30.0</v>
      </c>
      <c r="F723" s="21" t="s">
        <v>894</v>
      </c>
      <c r="G723" s="15">
        <v>0.07982471516213839</v>
      </c>
      <c r="H723" s="11" t="s">
        <v>24</v>
      </c>
      <c r="I723" s="16">
        <v>5.992000000000001</v>
      </c>
      <c r="J723" s="11" t="s">
        <v>576</v>
      </c>
      <c r="K723" s="11" t="s">
        <v>117</v>
      </c>
      <c r="L723" s="11" t="s">
        <v>36</v>
      </c>
      <c r="M723" s="11" t="s">
        <v>28</v>
      </c>
      <c r="N723" s="11" t="s">
        <v>62</v>
      </c>
      <c r="O723" s="11" t="s">
        <v>1215</v>
      </c>
      <c r="P723" s="11" t="s">
        <v>58</v>
      </c>
      <c r="Q723" s="20">
        <v>39933.0</v>
      </c>
      <c r="R723" s="17">
        <f t="shared" si="2"/>
        <v>8.380956494</v>
      </c>
      <c r="S723" s="9"/>
      <c r="T723" s="9"/>
      <c r="U723" s="9"/>
      <c r="V723" s="9"/>
      <c r="W723" s="9"/>
      <c r="X723" s="9"/>
      <c r="Y723" s="9"/>
      <c r="Z723" s="9"/>
      <c r="AA723" s="9"/>
      <c r="AB723" s="9" t="str">
        <f>IFERROR(__xludf.DUMMYFUNCTION("""COMPUTED_VALUE"""),"Annie Cyprus")</f>
        <v>Annie Cyprus</v>
      </c>
      <c r="AC723" s="9"/>
      <c r="AD723" s="9"/>
      <c r="AE723" s="9">
        <f t="shared" si="8"/>
        <v>2</v>
      </c>
      <c r="AF723" s="19" t="b">
        <f t="shared" si="13"/>
        <v>0</v>
      </c>
      <c r="AG723" s="9"/>
      <c r="AH723" s="9"/>
      <c r="AI723" s="9"/>
    </row>
    <row r="724" ht="15.0" customHeight="1">
      <c r="A724" s="11">
        <v>723.0</v>
      </c>
      <c r="B724" s="12">
        <f t="shared" si="123"/>
        <v>39931</v>
      </c>
      <c r="C724" s="13">
        <v>2009.0</v>
      </c>
      <c r="D724" s="11" t="s">
        <v>39</v>
      </c>
      <c r="E724" s="11">
        <v>11.0</v>
      </c>
      <c r="F724" s="21" t="s">
        <v>158</v>
      </c>
      <c r="G724" s="15">
        <v>0.0728659286592865</v>
      </c>
      <c r="H724" s="11" t="s">
        <v>33</v>
      </c>
      <c r="I724" s="16">
        <v>4.976</v>
      </c>
      <c r="J724" s="11" t="s">
        <v>423</v>
      </c>
      <c r="K724" s="11" t="s">
        <v>35</v>
      </c>
      <c r="L724" s="11" t="s">
        <v>48</v>
      </c>
      <c r="M724" s="11" t="s">
        <v>28</v>
      </c>
      <c r="N724" s="11" t="s">
        <v>56</v>
      </c>
      <c r="O724" s="11" t="s">
        <v>1216</v>
      </c>
      <c r="P724" s="11" t="s">
        <v>38</v>
      </c>
      <c r="Q724" s="20">
        <v>39933.0</v>
      </c>
      <c r="R724" s="17">
        <f t="shared" si="2"/>
        <v>5.492342239</v>
      </c>
      <c r="S724" s="9"/>
      <c r="T724" s="9"/>
      <c r="U724" s="9"/>
      <c r="V724" s="9"/>
      <c r="W724" s="9"/>
      <c r="X724" s="9"/>
      <c r="Y724" s="9"/>
      <c r="Z724" s="9"/>
      <c r="AA724" s="9"/>
      <c r="AB724" s="9" t="str">
        <f>IFERROR(__xludf.DUMMYFUNCTION("""COMPUTED_VALUE"""),"Frank Atkinson")</f>
        <v>Frank Atkinson</v>
      </c>
      <c r="AC724" s="9"/>
      <c r="AD724" s="9"/>
      <c r="AE724" s="9">
        <f t="shared" si="8"/>
        <v>4</v>
      </c>
      <c r="AF724" s="19">
        <f t="shared" si="13"/>
        <v>2</v>
      </c>
      <c r="AG724" s="9"/>
      <c r="AH724" s="9"/>
      <c r="AI724" s="9"/>
    </row>
    <row r="725" ht="15.0" customHeight="1">
      <c r="A725" s="11">
        <v>724.0</v>
      </c>
      <c r="B725" s="12">
        <f t="shared" si="123"/>
        <v>39931</v>
      </c>
      <c r="C725" s="13">
        <v>2009.0</v>
      </c>
      <c r="D725" s="11" t="s">
        <v>102</v>
      </c>
      <c r="E725" s="11">
        <v>30.0</v>
      </c>
      <c r="F725" s="21" t="s">
        <v>218</v>
      </c>
      <c r="G725" s="15">
        <v>0.025942591155934787</v>
      </c>
      <c r="H725" s="11" t="s">
        <v>33</v>
      </c>
      <c r="I725" s="16">
        <v>2.112</v>
      </c>
      <c r="J725" s="11" t="s">
        <v>1217</v>
      </c>
      <c r="K725" s="11" t="s">
        <v>26</v>
      </c>
      <c r="L725" s="11" t="s">
        <v>36</v>
      </c>
      <c r="M725" s="11" t="s">
        <v>28</v>
      </c>
      <c r="N725" s="11" t="s">
        <v>442</v>
      </c>
      <c r="O725" s="11" t="s">
        <v>512</v>
      </c>
      <c r="P725" s="11" t="s">
        <v>99</v>
      </c>
      <c r="Q725" s="20">
        <v>39933.0</v>
      </c>
      <c r="R725" s="17">
        <f t="shared" si="2"/>
        <v>6.51449595</v>
      </c>
      <c r="S725" s="9"/>
      <c r="T725" s="9"/>
      <c r="U725" s="9"/>
      <c r="V725" s="9"/>
      <c r="W725" s="9"/>
      <c r="X725" s="9"/>
      <c r="Y725" s="9"/>
      <c r="Z725" s="9"/>
      <c r="AA725" s="9"/>
      <c r="AB725" s="9" t="str">
        <f>IFERROR(__xludf.DUMMYFUNCTION("""COMPUTED_VALUE"""),"Sonia Cooley")</f>
        <v>Sonia Cooley</v>
      </c>
      <c r="AC725" s="9"/>
      <c r="AD725" s="9"/>
      <c r="AE725" s="9">
        <f t="shared" si="8"/>
        <v>2</v>
      </c>
      <c r="AF725" s="19">
        <f t="shared" si="13"/>
        <v>1</v>
      </c>
      <c r="AG725" s="9"/>
      <c r="AH725" s="9"/>
      <c r="AI725" s="9"/>
    </row>
    <row r="726" ht="15.0" customHeight="1">
      <c r="A726" s="11">
        <v>725.0</v>
      </c>
      <c r="B726" s="12">
        <f t="shared" si="123"/>
        <v>39931</v>
      </c>
      <c r="C726" s="13">
        <v>2009.0</v>
      </c>
      <c r="D726" s="11" t="s">
        <v>102</v>
      </c>
      <c r="E726" s="11">
        <v>41.0</v>
      </c>
      <c r="F726" s="21" t="s">
        <v>766</v>
      </c>
      <c r="G726" s="15">
        <v>0.08413040892951186</v>
      </c>
      <c r="H726" s="11" t="s">
        <v>45</v>
      </c>
      <c r="I726" s="16">
        <v>24.0</v>
      </c>
      <c r="J726" s="11" t="s">
        <v>1217</v>
      </c>
      <c r="K726" s="11" t="s">
        <v>26</v>
      </c>
      <c r="L726" s="11" t="s">
        <v>36</v>
      </c>
      <c r="M726" s="11" t="s">
        <v>49</v>
      </c>
      <c r="N726" s="11" t="s">
        <v>50</v>
      </c>
      <c r="O726" s="11" t="s">
        <v>1150</v>
      </c>
      <c r="P726" s="11" t="s">
        <v>52</v>
      </c>
      <c r="Q726" s="20">
        <v>39933.0</v>
      </c>
      <c r="R726" s="17">
        <f t="shared" si="2"/>
        <v>453.5386215</v>
      </c>
      <c r="S726" s="9"/>
      <c r="T726" s="9"/>
      <c r="U726" s="9"/>
      <c r="V726" s="9"/>
      <c r="W726" s="9"/>
      <c r="X726" s="9"/>
      <c r="Y726" s="9"/>
      <c r="Z726" s="9"/>
      <c r="AA726" s="9"/>
      <c r="AB726" s="9" t="str">
        <f>IFERROR(__xludf.DUMMYFUNCTION("""COMPUTED_VALUE"""),"Adrian Hane")</f>
        <v>Adrian Hane</v>
      </c>
      <c r="AC726" s="9"/>
      <c r="AD726" s="9"/>
      <c r="AE726" s="9">
        <f t="shared" si="8"/>
        <v>2</v>
      </c>
      <c r="AF726" s="19">
        <f t="shared" si="13"/>
        <v>1</v>
      </c>
      <c r="AG726" s="9"/>
      <c r="AH726" s="9"/>
      <c r="AI726" s="9"/>
    </row>
    <row r="727" ht="15.0" customHeight="1">
      <c r="A727" s="11">
        <v>726.0</v>
      </c>
      <c r="B727" s="12">
        <f t="shared" ref="B727:B730" si="124">DATE(2012,12,31)-1342</f>
        <v>39932</v>
      </c>
      <c r="C727" s="13">
        <v>2009.0</v>
      </c>
      <c r="D727" s="11" t="s">
        <v>102</v>
      </c>
      <c r="E727" s="11">
        <v>28.0</v>
      </c>
      <c r="F727" s="21" t="s">
        <v>128</v>
      </c>
      <c r="G727" s="15">
        <v>0.0751264993976218</v>
      </c>
      <c r="H727" s="11" t="s">
        <v>33</v>
      </c>
      <c r="I727" s="16">
        <v>6.152000000000001</v>
      </c>
      <c r="J727" s="11" t="s">
        <v>1218</v>
      </c>
      <c r="K727" s="11" t="s">
        <v>61</v>
      </c>
      <c r="L727" s="11" t="s">
        <v>41</v>
      </c>
      <c r="M727" s="11" t="s">
        <v>66</v>
      </c>
      <c r="N727" s="11" t="s">
        <v>80</v>
      </c>
      <c r="O727" s="11" t="s">
        <v>1100</v>
      </c>
      <c r="P727" s="11" t="s">
        <v>38</v>
      </c>
      <c r="Q727" s="20">
        <v>39933.0</v>
      </c>
      <c r="R727" s="17">
        <f t="shared" si="2"/>
        <v>265.2981139</v>
      </c>
      <c r="S727" s="9"/>
      <c r="T727" s="9"/>
      <c r="U727" s="9"/>
      <c r="V727" s="9"/>
      <c r="W727" s="9"/>
      <c r="X727" s="9"/>
      <c r="Y727" s="9"/>
      <c r="Z727" s="9"/>
      <c r="AA727" s="9"/>
      <c r="AB727" s="9" t="str">
        <f>IFERROR(__xludf.DUMMYFUNCTION("""COMPUTED_VALUE"""),"Charles McCrossin")</f>
        <v>Charles McCrossin</v>
      </c>
      <c r="AC727" s="9"/>
      <c r="AD727" s="9"/>
      <c r="AE727" s="9">
        <f t="shared" si="8"/>
        <v>3</v>
      </c>
      <c r="AF727" s="19">
        <f t="shared" si="13"/>
        <v>4</v>
      </c>
      <c r="AG727" s="9"/>
      <c r="AH727" s="9"/>
      <c r="AI727" s="9"/>
    </row>
    <row r="728" ht="15.0" customHeight="1">
      <c r="A728" s="11">
        <v>727.0</v>
      </c>
      <c r="B728" s="12">
        <f t="shared" si="124"/>
        <v>39932</v>
      </c>
      <c r="C728" s="13">
        <v>2009.0</v>
      </c>
      <c r="D728" s="11" t="s">
        <v>32</v>
      </c>
      <c r="E728" s="11">
        <v>32.0</v>
      </c>
      <c r="F728" s="21" t="s">
        <v>1219</v>
      </c>
      <c r="G728" s="15">
        <v>0.04103913978494611</v>
      </c>
      <c r="H728" s="11" t="s">
        <v>33</v>
      </c>
      <c r="I728" s="16">
        <v>4.392</v>
      </c>
      <c r="J728" s="11" t="s">
        <v>164</v>
      </c>
      <c r="K728" s="11" t="s">
        <v>83</v>
      </c>
      <c r="L728" s="11" t="s">
        <v>36</v>
      </c>
      <c r="M728" s="11" t="s">
        <v>28</v>
      </c>
      <c r="N728" s="11" t="s">
        <v>29</v>
      </c>
      <c r="O728" s="11" t="s">
        <v>1220</v>
      </c>
      <c r="P728" s="11" t="s">
        <v>38</v>
      </c>
      <c r="Q728" s="20">
        <v>39933.0</v>
      </c>
      <c r="R728" s="17">
        <f t="shared" si="2"/>
        <v>45.75010472</v>
      </c>
      <c r="S728" s="9"/>
      <c r="T728" s="9"/>
      <c r="U728" s="9"/>
      <c r="V728" s="9"/>
      <c r="W728" s="9"/>
      <c r="X728" s="9"/>
      <c r="Y728" s="9"/>
      <c r="Z728" s="9"/>
      <c r="AA728" s="9"/>
      <c r="AB728" s="9" t="str">
        <f>IFERROR(__xludf.DUMMYFUNCTION("""COMPUTED_VALUE"""),"Sanjit Chand")</f>
        <v>Sanjit Chand</v>
      </c>
      <c r="AC728" s="9"/>
      <c r="AD728" s="9"/>
      <c r="AE728" s="9">
        <f t="shared" si="8"/>
        <v>2</v>
      </c>
      <c r="AF728" s="19" t="b">
        <f t="shared" si="13"/>
        <v>0</v>
      </c>
      <c r="AG728" s="9"/>
      <c r="AH728" s="9"/>
      <c r="AI728" s="9"/>
    </row>
    <row r="729" ht="15.0" customHeight="1">
      <c r="A729" s="11">
        <v>728.0</v>
      </c>
      <c r="B729" s="12">
        <f t="shared" si="124"/>
        <v>39932</v>
      </c>
      <c r="C729" s="13">
        <v>2009.0</v>
      </c>
      <c r="D729" s="11" t="s">
        <v>102</v>
      </c>
      <c r="E729" s="11">
        <v>49.0</v>
      </c>
      <c r="F729" s="21" t="s">
        <v>532</v>
      </c>
      <c r="G729" s="15">
        <v>0.09272976680384094</v>
      </c>
      <c r="H729" s="11" t="s">
        <v>33</v>
      </c>
      <c r="I729" s="16">
        <v>55.2</v>
      </c>
      <c r="J729" s="11" t="s">
        <v>1221</v>
      </c>
      <c r="K729" s="11" t="s">
        <v>61</v>
      </c>
      <c r="L729" s="11" t="s">
        <v>48</v>
      </c>
      <c r="M729" s="11" t="s">
        <v>49</v>
      </c>
      <c r="N729" s="11" t="s">
        <v>85</v>
      </c>
      <c r="O729" s="11" t="s">
        <v>534</v>
      </c>
      <c r="P729" s="11" t="s">
        <v>31</v>
      </c>
      <c r="Q729" s="20">
        <v>39934.0</v>
      </c>
      <c r="R729" s="17">
        <f t="shared" si="2"/>
        <v>705.3118793</v>
      </c>
      <c r="S729" s="9"/>
      <c r="T729" s="9"/>
      <c r="U729" s="9"/>
      <c r="V729" s="9"/>
      <c r="W729" s="9"/>
      <c r="X729" s="9"/>
      <c r="Y729" s="9"/>
      <c r="Z729" s="9"/>
      <c r="AA729" s="9"/>
      <c r="AB729" s="9" t="str">
        <f>IFERROR(__xludf.DUMMYFUNCTION("""COMPUTED_VALUE"""),"Joy Daniels")</f>
        <v>Joy Daniels</v>
      </c>
      <c r="AC729" s="9"/>
      <c r="AD729" s="9"/>
      <c r="AE729" s="9">
        <f t="shared" si="8"/>
        <v>4</v>
      </c>
      <c r="AF729" s="19">
        <f t="shared" si="13"/>
        <v>4</v>
      </c>
      <c r="AG729" s="9"/>
      <c r="AH729" s="9"/>
      <c r="AI729" s="9"/>
    </row>
    <row r="730" ht="15.0" customHeight="1">
      <c r="A730" s="11">
        <v>729.0</v>
      </c>
      <c r="B730" s="12">
        <f t="shared" si="124"/>
        <v>39932</v>
      </c>
      <c r="C730" s="13">
        <v>2009.0</v>
      </c>
      <c r="D730" s="11" t="s">
        <v>23</v>
      </c>
      <c r="E730" s="11">
        <v>29.0</v>
      </c>
      <c r="F730" s="21" t="s">
        <v>163</v>
      </c>
      <c r="G730" s="15">
        <v>0.030346606694006947</v>
      </c>
      <c r="H730" s="11" t="s">
        <v>33</v>
      </c>
      <c r="I730" s="16">
        <v>5.744</v>
      </c>
      <c r="J730" s="11" t="s">
        <v>1222</v>
      </c>
      <c r="K730" s="11" t="s">
        <v>83</v>
      </c>
      <c r="L730" s="11" t="s">
        <v>48</v>
      </c>
      <c r="M730" s="11" t="s">
        <v>66</v>
      </c>
      <c r="N730" s="11" t="s">
        <v>67</v>
      </c>
      <c r="O730" s="11" t="s">
        <v>1181</v>
      </c>
      <c r="P730" s="11" t="s">
        <v>38</v>
      </c>
      <c r="Q730" s="20">
        <v>39934.0</v>
      </c>
      <c r="R730" s="17">
        <f t="shared" si="2"/>
        <v>88.97151676</v>
      </c>
      <c r="S730" s="9"/>
      <c r="T730" s="9"/>
      <c r="U730" s="9"/>
      <c r="V730" s="9"/>
      <c r="W730" s="9"/>
      <c r="X730" s="9"/>
      <c r="Y730" s="9"/>
      <c r="Z730" s="9"/>
      <c r="AA730" s="9"/>
      <c r="AB730" s="9" t="str">
        <f>IFERROR(__xludf.DUMMYFUNCTION("""COMPUTED_VALUE"""),"Jill Fjeld")</f>
        <v>Jill Fjeld</v>
      </c>
      <c r="AC730" s="9"/>
      <c r="AD730" s="9"/>
      <c r="AE730" s="9">
        <f t="shared" si="8"/>
        <v>4</v>
      </c>
      <c r="AF730" s="19" t="b">
        <f t="shared" si="13"/>
        <v>0</v>
      </c>
      <c r="AG730" s="9"/>
      <c r="AH730" s="9"/>
      <c r="AI730" s="9"/>
    </row>
    <row r="731" ht="15.0" customHeight="1">
      <c r="A731" s="11">
        <v>730.0</v>
      </c>
      <c r="B731" s="12">
        <f t="shared" ref="B731:B733" si="125">DATE(2012,12,31)-1341</f>
        <v>39933</v>
      </c>
      <c r="C731" s="13">
        <v>2009.0</v>
      </c>
      <c r="D731" s="11" t="s">
        <v>44</v>
      </c>
      <c r="E731" s="11">
        <v>43.0</v>
      </c>
      <c r="F731" s="21" t="s">
        <v>1223</v>
      </c>
      <c r="G731" s="15">
        <v>0.023688075292170853</v>
      </c>
      <c r="H731" s="11" t="s">
        <v>33</v>
      </c>
      <c r="I731" s="16">
        <v>2.2960000000000003</v>
      </c>
      <c r="J731" s="11" t="s">
        <v>1224</v>
      </c>
      <c r="K731" s="11" t="s">
        <v>61</v>
      </c>
      <c r="L731" s="11" t="s">
        <v>48</v>
      </c>
      <c r="M731" s="11" t="s">
        <v>28</v>
      </c>
      <c r="N731" s="11" t="s">
        <v>62</v>
      </c>
      <c r="O731" s="11" t="s">
        <v>1225</v>
      </c>
      <c r="P731" s="11" t="s">
        <v>99</v>
      </c>
      <c r="Q731" s="20">
        <v>39934.0</v>
      </c>
      <c r="R731" s="17">
        <f t="shared" si="2"/>
        <v>22.36144832</v>
      </c>
      <c r="S731" s="9"/>
      <c r="T731" s="9"/>
      <c r="U731" s="9"/>
      <c r="V731" s="9"/>
      <c r="W731" s="9"/>
      <c r="X731" s="9"/>
      <c r="Y731" s="9"/>
      <c r="Z731" s="9"/>
      <c r="AA731" s="9"/>
      <c r="AB731" s="9" t="str">
        <f>IFERROR(__xludf.DUMMYFUNCTION("""COMPUTED_VALUE"""),"Kean Thornton")</f>
        <v>Kean Thornton</v>
      </c>
      <c r="AC731" s="9"/>
      <c r="AD731" s="9"/>
      <c r="AE731" s="9">
        <f t="shared" si="8"/>
        <v>4</v>
      </c>
      <c r="AF731" s="19">
        <f t="shared" si="13"/>
        <v>4</v>
      </c>
      <c r="AG731" s="9"/>
      <c r="AH731" s="9"/>
      <c r="AI731" s="9"/>
    </row>
    <row r="732" ht="15.0" customHeight="1">
      <c r="A732" s="11">
        <v>731.0</v>
      </c>
      <c r="B732" s="12">
        <f t="shared" si="125"/>
        <v>39933</v>
      </c>
      <c r="C732" s="13">
        <v>2009.0</v>
      </c>
      <c r="D732" s="11" t="s">
        <v>39</v>
      </c>
      <c r="E732" s="11">
        <v>34.0</v>
      </c>
      <c r="F732" s="21" t="s">
        <v>178</v>
      </c>
      <c r="G732" s="15">
        <v>0.05861953426034494</v>
      </c>
      <c r="H732" s="11" t="s">
        <v>24</v>
      </c>
      <c r="I732" s="16">
        <v>7.040000000000001</v>
      </c>
      <c r="J732" s="11" t="s">
        <v>657</v>
      </c>
      <c r="K732" s="11" t="s">
        <v>61</v>
      </c>
      <c r="L732" s="11" t="s">
        <v>41</v>
      </c>
      <c r="M732" s="11" t="s">
        <v>66</v>
      </c>
      <c r="N732" s="11" t="s">
        <v>80</v>
      </c>
      <c r="O732" s="11" t="s">
        <v>812</v>
      </c>
      <c r="P732" s="11" t="s">
        <v>38</v>
      </c>
      <c r="Q732" s="20">
        <v>39934.0</v>
      </c>
      <c r="R732" s="17">
        <f t="shared" si="2"/>
        <v>131.75561</v>
      </c>
      <c r="S732" s="9"/>
      <c r="T732" s="9"/>
      <c r="U732" s="9"/>
      <c r="V732" s="9"/>
      <c r="W732" s="9"/>
      <c r="X732" s="9"/>
      <c r="Y732" s="9"/>
      <c r="Z732" s="9"/>
      <c r="AA732" s="9"/>
      <c r="AB732" s="9" t="str">
        <f>IFERROR(__xludf.DUMMYFUNCTION("""COMPUTED_VALUE"""),"Stewart Visinsky")</f>
        <v>Stewart Visinsky</v>
      </c>
      <c r="AC732" s="9"/>
      <c r="AD732" s="9"/>
      <c r="AE732" s="9">
        <f t="shared" si="8"/>
        <v>3</v>
      </c>
      <c r="AF732" s="19">
        <f t="shared" si="13"/>
        <v>4</v>
      </c>
      <c r="AG732" s="9"/>
      <c r="AH732" s="9"/>
      <c r="AI732" s="9"/>
    </row>
    <row r="733" ht="15.0" customHeight="1">
      <c r="A733" s="11">
        <v>732.0</v>
      </c>
      <c r="B733" s="12">
        <f t="shared" si="125"/>
        <v>39933</v>
      </c>
      <c r="C733" s="13">
        <v>2009.0</v>
      </c>
      <c r="D733" s="11" t="s">
        <v>39</v>
      </c>
      <c r="E733" s="11">
        <v>24.0</v>
      </c>
      <c r="F733" s="21" t="s">
        <v>569</v>
      </c>
      <c r="G733" s="15">
        <v>0.06062448225323388</v>
      </c>
      <c r="H733" s="11" t="s">
        <v>24</v>
      </c>
      <c r="I733" s="16">
        <v>3.3600000000000003</v>
      </c>
      <c r="J733" s="11" t="s">
        <v>657</v>
      </c>
      <c r="K733" s="11" t="s">
        <v>61</v>
      </c>
      <c r="L733" s="11" t="s">
        <v>41</v>
      </c>
      <c r="M733" s="11" t="s">
        <v>66</v>
      </c>
      <c r="N733" s="11" t="s">
        <v>80</v>
      </c>
      <c r="O733" s="11" t="s">
        <v>1226</v>
      </c>
      <c r="P733" s="11" t="s">
        <v>38</v>
      </c>
      <c r="Q733" s="20">
        <v>39935.0</v>
      </c>
      <c r="R733" s="17">
        <f t="shared" si="2"/>
        <v>285.235764</v>
      </c>
      <c r="S733" s="9"/>
      <c r="T733" s="9"/>
      <c r="U733" s="9"/>
      <c r="V733" s="9"/>
      <c r="W733" s="9"/>
      <c r="X733" s="9"/>
      <c r="Y733" s="9"/>
      <c r="Z733" s="9"/>
      <c r="AA733" s="9"/>
      <c r="AB733" s="9" t="str">
        <f>IFERROR(__xludf.DUMMYFUNCTION("""COMPUTED_VALUE"""),"Tiffany House")</f>
        <v>Tiffany House</v>
      </c>
      <c r="AC733" s="9"/>
      <c r="AD733" s="9"/>
      <c r="AE733" s="9">
        <f t="shared" si="8"/>
        <v>3</v>
      </c>
      <c r="AF733" s="19">
        <f t="shared" si="13"/>
        <v>4</v>
      </c>
      <c r="AG733" s="9"/>
      <c r="AH733" s="9"/>
      <c r="AI733" s="9"/>
    </row>
    <row r="734" ht="15.0" customHeight="1">
      <c r="A734" s="11">
        <v>733.0</v>
      </c>
      <c r="B734" s="12">
        <f t="shared" ref="B734:B740" si="126">DATE(2012,12,31)-1340</f>
        <v>39934</v>
      </c>
      <c r="C734" s="13">
        <v>2009.0</v>
      </c>
      <c r="D734" s="11" t="s">
        <v>102</v>
      </c>
      <c r="E734" s="11">
        <v>33.0</v>
      </c>
      <c r="F734" s="21" t="s">
        <v>1227</v>
      </c>
      <c r="G734" s="15">
        <v>0.05272049689440976</v>
      </c>
      <c r="H734" s="11" t="s">
        <v>33</v>
      </c>
      <c r="I734" s="16">
        <v>3.6560000000000006</v>
      </c>
      <c r="J734" s="11" t="s">
        <v>1228</v>
      </c>
      <c r="K734" s="11" t="s">
        <v>83</v>
      </c>
      <c r="L734" s="11" t="s">
        <v>41</v>
      </c>
      <c r="M734" s="11" t="s">
        <v>49</v>
      </c>
      <c r="N734" s="11" t="s">
        <v>73</v>
      </c>
      <c r="O734" s="11" t="s">
        <v>1229</v>
      </c>
      <c r="P734" s="11" t="s">
        <v>99</v>
      </c>
      <c r="Q734" s="20">
        <v>39935.0</v>
      </c>
      <c r="R734" s="17">
        <f t="shared" si="2"/>
        <v>4.020254211</v>
      </c>
      <c r="S734" s="9"/>
      <c r="T734" s="9"/>
      <c r="U734" s="9"/>
      <c r="V734" s="9"/>
      <c r="W734" s="9"/>
      <c r="X734" s="9"/>
      <c r="Y734" s="9"/>
      <c r="Z734" s="9"/>
      <c r="AA734" s="9"/>
      <c r="AB734" s="9" t="str">
        <f>IFERROR(__xludf.DUMMYFUNCTION("""COMPUTED_VALUE"""),"Gary Hansen")</f>
        <v>Gary Hansen</v>
      </c>
      <c r="AC734" s="9"/>
      <c r="AD734" s="9"/>
      <c r="AE734" s="9">
        <f t="shared" si="8"/>
        <v>3</v>
      </c>
      <c r="AF734" s="19" t="b">
        <f t="shared" si="13"/>
        <v>0</v>
      </c>
      <c r="AG734" s="9"/>
      <c r="AH734" s="9"/>
      <c r="AI734" s="9"/>
    </row>
    <row r="735" ht="15.0" customHeight="1">
      <c r="A735" s="11">
        <v>734.0</v>
      </c>
      <c r="B735" s="12">
        <f t="shared" si="126"/>
        <v>39934</v>
      </c>
      <c r="C735" s="13">
        <v>2009.0</v>
      </c>
      <c r="D735" s="11" t="s">
        <v>44</v>
      </c>
      <c r="E735" s="11">
        <v>19.0</v>
      </c>
      <c r="F735" s="21" t="s">
        <v>722</v>
      </c>
      <c r="G735" s="15">
        <v>0.09305590234429179</v>
      </c>
      <c r="H735" s="11" t="s">
        <v>33</v>
      </c>
      <c r="I735" s="16">
        <v>4.016</v>
      </c>
      <c r="J735" s="11" t="s">
        <v>1099</v>
      </c>
      <c r="K735" s="11" t="s">
        <v>47</v>
      </c>
      <c r="L735" s="11" t="s">
        <v>48</v>
      </c>
      <c r="M735" s="11" t="s">
        <v>49</v>
      </c>
      <c r="N735" s="11" t="s">
        <v>73</v>
      </c>
      <c r="O735" s="11" t="s">
        <v>723</v>
      </c>
      <c r="P735" s="11" t="s">
        <v>38</v>
      </c>
      <c r="Q735" s="20">
        <v>39935.0</v>
      </c>
      <c r="R735" s="17">
        <f t="shared" si="2"/>
        <v>60.84143785</v>
      </c>
      <c r="S735" s="9"/>
      <c r="T735" s="9"/>
      <c r="U735" s="9"/>
      <c r="V735" s="9"/>
      <c r="W735" s="9"/>
      <c r="X735" s="9"/>
      <c r="Y735" s="9"/>
      <c r="Z735" s="9"/>
      <c r="AA735" s="9"/>
      <c r="AB735" s="9" t="str">
        <f>IFERROR(__xludf.DUMMYFUNCTION("""COMPUTED_VALUE"""),"Nicole Fjeld")</f>
        <v>Nicole Fjeld</v>
      </c>
      <c r="AC735" s="9"/>
      <c r="AD735" s="9"/>
      <c r="AE735" s="9">
        <f t="shared" si="8"/>
        <v>4</v>
      </c>
      <c r="AF735" s="19">
        <f t="shared" si="13"/>
        <v>3</v>
      </c>
      <c r="AG735" s="9"/>
      <c r="AH735" s="9"/>
      <c r="AI735" s="9"/>
    </row>
    <row r="736" ht="15.0" customHeight="1">
      <c r="A736" s="11">
        <v>735.0</v>
      </c>
      <c r="B736" s="12">
        <f t="shared" si="126"/>
        <v>39934</v>
      </c>
      <c r="C736" s="13">
        <v>2009.0</v>
      </c>
      <c r="D736" s="11" t="s">
        <v>39</v>
      </c>
      <c r="E736" s="11">
        <v>28.0</v>
      </c>
      <c r="F736" s="21" t="s">
        <v>126</v>
      </c>
      <c r="G736" s="15">
        <v>0.07999999999999986</v>
      </c>
      <c r="H736" s="11" t="s">
        <v>33</v>
      </c>
      <c r="I736" s="16">
        <v>5.952000000000001</v>
      </c>
      <c r="J736" s="11" t="s">
        <v>360</v>
      </c>
      <c r="K736" s="11" t="s">
        <v>65</v>
      </c>
      <c r="L736" s="11" t="s">
        <v>27</v>
      </c>
      <c r="M736" s="11" t="s">
        <v>28</v>
      </c>
      <c r="N736" s="11" t="s">
        <v>56</v>
      </c>
      <c r="O736" s="11" t="s">
        <v>1230</v>
      </c>
      <c r="P736" s="11" t="s">
        <v>38</v>
      </c>
      <c r="Q736" s="20">
        <v>39935.0</v>
      </c>
      <c r="R736" s="17">
        <f t="shared" si="2"/>
        <v>11.45216</v>
      </c>
      <c r="S736" s="9"/>
      <c r="T736" s="9"/>
      <c r="U736" s="9"/>
      <c r="V736" s="9"/>
      <c r="W736" s="9"/>
      <c r="X736" s="9"/>
      <c r="Y736" s="9"/>
      <c r="Z736" s="9"/>
      <c r="AA736" s="9"/>
      <c r="AB736" s="9" t="str">
        <f>IFERROR(__xludf.DUMMYFUNCTION("""COMPUTED_VALUE"""),"Cyra Reiten")</f>
        <v>Cyra Reiten</v>
      </c>
      <c r="AC736" s="9"/>
      <c r="AD736" s="9"/>
      <c r="AE736" s="9">
        <f t="shared" si="8"/>
        <v>1</v>
      </c>
      <c r="AF736" s="19">
        <f t="shared" si="13"/>
        <v>5</v>
      </c>
      <c r="AG736" s="9"/>
      <c r="AH736" s="9"/>
      <c r="AI736" s="9"/>
    </row>
    <row r="737" ht="15.0" customHeight="1">
      <c r="A737" s="11">
        <v>736.0</v>
      </c>
      <c r="B737" s="12">
        <f t="shared" si="126"/>
        <v>39934</v>
      </c>
      <c r="C737" s="13">
        <v>2009.0</v>
      </c>
      <c r="D737" s="11" t="s">
        <v>39</v>
      </c>
      <c r="E737" s="11">
        <v>49.0</v>
      </c>
      <c r="F737" s="21" t="s">
        <v>158</v>
      </c>
      <c r="G737" s="15">
        <v>0.02622371228284055</v>
      </c>
      <c r="H737" s="11" t="s">
        <v>33</v>
      </c>
      <c r="I737" s="16">
        <v>5.896000000000001</v>
      </c>
      <c r="J737" s="11" t="s">
        <v>360</v>
      </c>
      <c r="K737" s="11" t="s">
        <v>65</v>
      </c>
      <c r="L737" s="11" t="s">
        <v>27</v>
      </c>
      <c r="M737" s="11" t="s">
        <v>28</v>
      </c>
      <c r="N737" s="11" t="s">
        <v>56</v>
      </c>
      <c r="O737" s="11" t="s">
        <v>860</v>
      </c>
      <c r="P737" s="11" t="s">
        <v>38</v>
      </c>
      <c r="Q737" s="20">
        <v>39935.0</v>
      </c>
      <c r="R737" s="17">
        <f t="shared" si="2"/>
        <v>8.37837118</v>
      </c>
      <c r="S737" s="9"/>
      <c r="T737" s="9"/>
      <c r="U737" s="9"/>
      <c r="V737" s="9"/>
      <c r="W737" s="9"/>
      <c r="X737" s="9"/>
      <c r="Y737" s="9"/>
      <c r="Z737" s="9"/>
      <c r="AA737" s="9"/>
      <c r="AB737" s="9" t="str">
        <f>IFERROR(__xludf.DUMMYFUNCTION("""COMPUTED_VALUE"""),"Bart Watters")</f>
        <v>Bart Watters</v>
      </c>
      <c r="AC737" s="9"/>
      <c r="AD737" s="9"/>
      <c r="AE737" s="9">
        <f t="shared" si="8"/>
        <v>1</v>
      </c>
      <c r="AF737" s="19">
        <f t="shared" si="13"/>
        <v>5</v>
      </c>
      <c r="AG737" s="9"/>
      <c r="AH737" s="9"/>
      <c r="AI737" s="9"/>
    </row>
    <row r="738" ht="15.0" customHeight="1">
      <c r="A738" s="11">
        <v>737.0</v>
      </c>
      <c r="B738" s="12">
        <f t="shared" si="126"/>
        <v>39934</v>
      </c>
      <c r="C738" s="13">
        <v>2009.0</v>
      </c>
      <c r="D738" s="11" t="s">
        <v>39</v>
      </c>
      <c r="E738" s="11">
        <v>43.0</v>
      </c>
      <c r="F738" s="21" t="s">
        <v>455</v>
      </c>
      <c r="G738" s="15">
        <v>0.012059166991047041</v>
      </c>
      <c r="H738" s="11" t="s">
        <v>33</v>
      </c>
      <c r="I738" s="16">
        <v>4.5040000000000004</v>
      </c>
      <c r="J738" s="11" t="s">
        <v>1231</v>
      </c>
      <c r="K738" s="11" t="s">
        <v>65</v>
      </c>
      <c r="L738" s="11" t="s">
        <v>48</v>
      </c>
      <c r="M738" s="11" t="s">
        <v>28</v>
      </c>
      <c r="N738" s="11" t="s">
        <v>42</v>
      </c>
      <c r="O738" s="11" t="s">
        <v>1232</v>
      </c>
      <c r="P738" s="11" t="s">
        <v>38</v>
      </c>
      <c r="Q738" s="20">
        <v>39936.0</v>
      </c>
      <c r="R738" s="17">
        <f t="shared" si="2"/>
        <v>6.121281401</v>
      </c>
      <c r="S738" s="9"/>
      <c r="T738" s="9"/>
      <c r="U738" s="9"/>
      <c r="V738" s="9"/>
      <c r="W738" s="9"/>
      <c r="X738" s="9"/>
      <c r="Y738" s="9"/>
      <c r="Z738" s="9"/>
      <c r="AA738" s="9"/>
      <c r="AB738" s="9" t="str">
        <f>IFERROR(__xludf.DUMMYFUNCTION("""COMPUTED_VALUE"""),"Corey Catlett")</f>
        <v>Corey Catlett</v>
      </c>
      <c r="AC738" s="9"/>
      <c r="AD738" s="9"/>
      <c r="AE738" s="9">
        <f t="shared" si="8"/>
        <v>4</v>
      </c>
      <c r="AF738" s="19">
        <f t="shared" si="13"/>
        <v>5</v>
      </c>
      <c r="AG738" s="9"/>
      <c r="AH738" s="9"/>
      <c r="AI738" s="9"/>
    </row>
    <row r="739" ht="15.0" customHeight="1">
      <c r="A739" s="11">
        <v>738.0</v>
      </c>
      <c r="B739" s="12">
        <f t="shared" si="126"/>
        <v>39934</v>
      </c>
      <c r="C739" s="13">
        <v>2009.0</v>
      </c>
      <c r="D739" s="11" t="s">
        <v>39</v>
      </c>
      <c r="E739" s="11">
        <v>24.0</v>
      </c>
      <c r="F739" s="21" t="s">
        <v>956</v>
      </c>
      <c r="G739" s="15">
        <v>0.04217543859649129</v>
      </c>
      <c r="H739" s="11" t="s">
        <v>33</v>
      </c>
      <c r="I739" s="16">
        <v>1.192</v>
      </c>
      <c r="J739" s="11" t="s">
        <v>1231</v>
      </c>
      <c r="K739" s="11" t="s">
        <v>65</v>
      </c>
      <c r="L739" s="11" t="s">
        <v>48</v>
      </c>
      <c r="M739" s="11" t="s">
        <v>28</v>
      </c>
      <c r="N739" s="11" t="s">
        <v>42</v>
      </c>
      <c r="O739" s="11" t="s">
        <v>957</v>
      </c>
      <c r="P739" s="11" t="s">
        <v>38</v>
      </c>
      <c r="Q739" s="20">
        <v>39936.0</v>
      </c>
      <c r="R739" s="17">
        <f t="shared" si="2"/>
        <v>4.605220491</v>
      </c>
      <c r="S739" s="9"/>
      <c r="T739" s="9"/>
      <c r="U739" s="9"/>
      <c r="V739" s="9"/>
      <c r="W739" s="9"/>
      <c r="X739" s="9"/>
      <c r="Y739" s="9"/>
      <c r="Z739" s="9"/>
      <c r="AA739" s="9"/>
      <c r="AB739" s="9" t="str">
        <f>IFERROR(__xludf.DUMMYFUNCTION("""COMPUTED_VALUE"""),"Steven Cartwright")</f>
        <v>Steven Cartwright</v>
      </c>
      <c r="AC739" s="9"/>
      <c r="AD739" s="9"/>
      <c r="AE739" s="9">
        <f t="shared" si="8"/>
        <v>4</v>
      </c>
      <c r="AF739" s="19">
        <f t="shared" si="13"/>
        <v>5</v>
      </c>
      <c r="AG739" s="9"/>
      <c r="AH739" s="9"/>
      <c r="AI739" s="9"/>
    </row>
    <row r="740" ht="15.0" customHeight="1">
      <c r="A740" s="11">
        <v>739.0</v>
      </c>
      <c r="B740" s="12">
        <f t="shared" si="126"/>
        <v>39934</v>
      </c>
      <c r="C740" s="13">
        <v>2009.0</v>
      </c>
      <c r="D740" s="11" t="s">
        <v>23</v>
      </c>
      <c r="E740" s="11">
        <v>2.0</v>
      </c>
      <c r="F740" s="21" t="s">
        <v>1233</v>
      </c>
      <c r="G740" s="15">
        <v>0.06806784170269371</v>
      </c>
      <c r="H740" s="11" t="s">
        <v>33</v>
      </c>
      <c r="I740" s="16">
        <v>9.096</v>
      </c>
      <c r="J740" s="11" t="s">
        <v>910</v>
      </c>
      <c r="K740" s="11" t="s">
        <v>117</v>
      </c>
      <c r="L740" s="11" t="s">
        <v>48</v>
      </c>
      <c r="M740" s="11" t="s">
        <v>28</v>
      </c>
      <c r="N740" s="11" t="s">
        <v>29</v>
      </c>
      <c r="O740" s="11" t="s">
        <v>1234</v>
      </c>
      <c r="P740" s="11" t="s">
        <v>38</v>
      </c>
      <c r="Q740" s="20">
        <v>39936.0</v>
      </c>
      <c r="R740" s="17">
        <f t="shared" si="2"/>
        <v>57.22436225</v>
      </c>
      <c r="S740" s="9"/>
      <c r="T740" s="9"/>
      <c r="U740" s="9"/>
      <c r="V740" s="9"/>
      <c r="W740" s="9"/>
      <c r="X740" s="9"/>
      <c r="Y740" s="9"/>
      <c r="Z740" s="9"/>
      <c r="AA740" s="9"/>
      <c r="AB740" s="9" t="str">
        <f>IFERROR(__xludf.DUMMYFUNCTION("""COMPUTED_VALUE"""),"Logan Currie")</f>
        <v>Logan Currie</v>
      </c>
      <c r="AC740" s="9"/>
      <c r="AD740" s="9"/>
      <c r="AE740" s="9">
        <f t="shared" si="8"/>
        <v>4</v>
      </c>
      <c r="AF740" s="19" t="b">
        <f t="shared" si="13"/>
        <v>0</v>
      </c>
      <c r="AG740" s="9"/>
      <c r="AH740" s="9"/>
      <c r="AI740" s="9"/>
    </row>
    <row r="741" ht="15.0" customHeight="1">
      <c r="A741" s="11">
        <v>740.0</v>
      </c>
      <c r="B741" s="12">
        <f t="shared" ref="B741:B745" si="127">DATE(2012,12,31)-1339</f>
        <v>39935</v>
      </c>
      <c r="C741" s="13">
        <v>2009.0</v>
      </c>
      <c r="D741" s="11" t="s">
        <v>23</v>
      </c>
      <c r="E741" s="11">
        <v>25.0</v>
      </c>
      <c r="F741" s="21" t="s">
        <v>638</v>
      </c>
      <c r="G741" s="15">
        <v>0.08829999999999999</v>
      </c>
      <c r="H741" s="11" t="s">
        <v>33</v>
      </c>
      <c r="I741" s="16">
        <v>4.84</v>
      </c>
      <c r="J741" s="11" t="s">
        <v>1235</v>
      </c>
      <c r="K741" s="11" t="s">
        <v>35</v>
      </c>
      <c r="L741" s="11" t="s">
        <v>41</v>
      </c>
      <c r="M741" s="11" t="s">
        <v>28</v>
      </c>
      <c r="N741" s="11" t="s">
        <v>42</v>
      </c>
      <c r="O741" s="11" t="s">
        <v>640</v>
      </c>
      <c r="P741" s="11" t="s">
        <v>38</v>
      </c>
      <c r="Q741" s="20">
        <v>39936.0</v>
      </c>
      <c r="R741" s="17">
        <f t="shared" si="2"/>
        <v>16.100622</v>
      </c>
      <c r="S741" s="9"/>
      <c r="T741" s="9"/>
      <c r="U741" s="9"/>
      <c r="V741" s="9"/>
      <c r="W741" s="9"/>
      <c r="X741" s="9"/>
      <c r="Y741" s="9"/>
      <c r="Z741" s="9"/>
      <c r="AA741" s="9"/>
      <c r="AB741" s="9" t="str">
        <f>IFERROR(__xludf.DUMMYFUNCTION("""COMPUTED_VALUE"""),"Giulietta Baptist")</f>
        <v>Giulietta Baptist</v>
      </c>
      <c r="AC741" s="9"/>
      <c r="AD741" s="9"/>
      <c r="AE741" s="9">
        <f t="shared" si="8"/>
        <v>3</v>
      </c>
      <c r="AF741" s="19">
        <f t="shared" si="13"/>
        <v>2</v>
      </c>
      <c r="AG741" s="9"/>
      <c r="AH741" s="9"/>
      <c r="AI741" s="9"/>
    </row>
    <row r="742" ht="15.0" customHeight="1">
      <c r="A742" s="11">
        <v>741.0</v>
      </c>
      <c r="B742" s="12">
        <f t="shared" si="127"/>
        <v>39935</v>
      </c>
      <c r="C742" s="13">
        <v>2009.0</v>
      </c>
      <c r="D742" s="11" t="s">
        <v>23</v>
      </c>
      <c r="E742" s="11">
        <v>19.0</v>
      </c>
      <c r="F742" s="21" t="s">
        <v>128</v>
      </c>
      <c r="G742" s="15">
        <v>0.020497504295884098</v>
      </c>
      <c r="H742" s="11" t="s">
        <v>33</v>
      </c>
      <c r="I742" s="16">
        <v>2.0</v>
      </c>
      <c r="J742" s="11" t="s">
        <v>1235</v>
      </c>
      <c r="K742" s="11" t="s">
        <v>35</v>
      </c>
      <c r="L742" s="11" t="s">
        <v>41</v>
      </c>
      <c r="M742" s="11" t="s">
        <v>66</v>
      </c>
      <c r="N742" s="11" t="s">
        <v>80</v>
      </c>
      <c r="O742" s="11" t="s">
        <v>862</v>
      </c>
      <c r="P742" s="11" t="s">
        <v>38</v>
      </c>
      <c r="Q742" s="20">
        <v>39936.0</v>
      </c>
      <c r="R742" s="17">
        <f t="shared" si="2"/>
        <v>49.07307503</v>
      </c>
      <c r="S742" s="9"/>
      <c r="T742" s="9"/>
      <c r="U742" s="9"/>
      <c r="V742" s="9"/>
      <c r="W742" s="9"/>
      <c r="X742" s="9"/>
      <c r="Y742" s="9"/>
      <c r="Z742" s="9"/>
      <c r="AA742" s="9"/>
      <c r="AB742" s="9" t="str">
        <f>IFERROR(__xludf.DUMMYFUNCTION("""COMPUTED_VALUE"""),"Paul Gonzalez")</f>
        <v>Paul Gonzalez</v>
      </c>
      <c r="AC742" s="9"/>
      <c r="AD742" s="9"/>
      <c r="AE742" s="9">
        <f t="shared" si="8"/>
        <v>3</v>
      </c>
      <c r="AF742" s="19">
        <f t="shared" si="13"/>
        <v>2</v>
      </c>
      <c r="AG742" s="9"/>
      <c r="AH742" s="9"/>
      <c r="AI742" s="9"/>
    </row>
    <row r="743" ht="15.0" customHeight="1">
      <c r="A743" s="11">
        <v>742.0</v>
      </c>
      <c r="B743" s="12">
        <f t="shared" si="127"/>
        <v>39935</v>
      </c>
      <c r="C743" s="13">
        <v>2009.0</v>
      </c>
      <c r="D743" s="11" t="s">
        <v>102</v>
      </c>
      <c r="E743" s="11">
        <v>43.0</v>
      </c>
      <c r="F743" s="21" t="s">
        <v>558</v>
      </c>
      <c r="G743" s="15">
        <v>0.05076058005326999</v>
      </c>
      <c r="H743" s="11" t="s">
        <v>33</v>
      </c>
      <c r="I743" s="16">
        <v>1.592</v>
      </c>
      <c r="J743" s="11" t="s">
        <v>1014</v>
      </c>
      <c r="K743" s="11" t="s">
        <v>61</v>
      </c>
      <c r="L743" s="11" t="s">
        <v>36</v>
      </c>
      <c r="M743" s="11" t="s">
        <v>66</v>
      </c>
      <c r="N743" s="11" t="s">
        <v>67</v>
      </c>
      <c r="O743" s="11" t="s">
        <v>559</v>
      </c>
      <c r="P743" s="11" t="s">
        <v>99</v>
      </c>
      <c r="Q743" s="20">
        <v>39937.0</v>
      </c>
      <c r="R743" s="17">
        <f t="shared" si="2"/>
        <v>65.12541812</v>
      </c>
      <c r="S743" s="9"/>
      <c r="T743" s="9"/>
      <c r="U743" s="9"/>
      <c r="V743" s="9"/>
      <c r="W743" s="9"/>
      <c r="X743" s="9"/>
      <c r="Y743" s="9"/>
      <c r="Z743" s="9"/>
      <c r="AA743" s="9"/>
      <c r="AB743" s="9" t="str">
        <f>IFERROR(__xludf.DUMMYFUNCTION("""COMPUTED_VALUE"""),"Neoma Murray")</f>
        <v>Neoma Murray</v>
      </c>
      <c r="AC743" s="9"/>
      <c r="AD743" s="9"/>
      <c r="AE743" s="9">
        <f t="shared" si="8"/>
        <v>2</v>
      </c>
      <c r="AF743" s="19">
        <f t="shared" si="13"/>
        <v>4</v>
      </c>
      <c r="AG743" s="9"/>
      <c r="AH743" s="9"/>
      <c r="AI743" s="9"/>
    </row>
    <row r="744" ht="15.0" customHeight="1">
      <c r="A744" s="11">
        <v>743.0</v>
      </c>
      <c r="B744" s="12">
        <f t="shared" si="127"/>
        <v>39935</v>
      </c>
      <c r="C744" s="13">
        <v>2009.0</v>
      </c>
      <c r="D744" s="11" t="s">
        <v>102</v>
      </c>
      <c r="E744" s="11">
        <v>39.0</v>
      </c>
      <c r="F744" s="21" t="s">
        <v>856</v>
      </c>
      <c r="G744" s="15">
        <v>0.07514723203769151</v>
      </c>
      <c r="H744" s="11" t="s">
        <v>33</v>
      </c>
      <c r="I744" s="16">
        <v>1.04</v>
      </c>
      <c r="J744" s="11" t="s">
        <v>1014</v>
      </c>
      <c r="K744" s="11" t="s">
        <v>61</v>
      </c>
      <c r="L744" s="11" t="s">
        <v>36</v>
      </c>
      <c r="M744" s="11" t="s">
        <v>28</v>
      </c>
      <c r="N744" s="11" t="s">
        <v>56</v>
      </c>
      <c r="O744" s="11" t="s">
        <v>858</v>
      </c>
      <c r="P744" s="11" t="s">
        <v>58</v>
      </c>
      <c r="Q744" s="20">
        <v>39937.0</v>
      </c>
      <c r="R744" s="17">
        <f t="shared" si="2"/>
        <v>11.80112132</v>
      </c>
      <c r="S744" s="9"/>
      <c r="T744" s="9"/>
      <c r="U744" s="9"/>
      <c r="V744" s="9"/>
      <c r="W744" s="9"/>
      <c r="X744" s="9"/>
      <c r="Y744" s="9"/>
      <c r="Z744" s="9"/>
      <c r="AA744" s="9"/>
      <c r="AB744" s="9" t="str">
        <f>IFERROR(__xludf.DUMMYFUNCTION("""COMPUTED_VALUE"""),"Allen Golden")</f>
        <v>Allen Golden</v>
      </c>
      <c r="AC744" s="9"/>
      <c r="AD744" s="9"/>
      <c r="AE744" s="9">
        <f t="shared" si="8"/>
        <v>2</v>
      </c>
      <c r="AF744" s="19">
        <f t="shared" si="13"/>
        <v>4</v>
      </c>
      <c r="AG744" s="9"/>
      <c r="AH744" s="9"/>
      <c r="AI744" s="9"/>
    </row>
    <row r="745" ht="15.0" customHeight="1">
      <c r="A745" s="11">
        <v>744.0</v>
      </c>
      <c r="B745" s="12">
        <f t="shared" si="127"/>
        <v>39935</v>
      </c>
      <c r="C745" s="13">
        <v>2009.0</v>
      </c>
      <c r="D745" s="11" t="s">
        <v>32</v>
      </c>
      <c r="E745" s="11">
        <v>24.0</v>
      </c>
      <c r="F745" s="21" t="s">
        <v>135</v>
      </c>
      <c r="G745" s="15">
        <v>0.07320410490307885</v>
      </c>
      <c r="H745" s="11" t="s">
        <v>33</v>
      </c>
      <c r="I745" s="16">
        <v>4.16</v>
      </c>
      <c r="J745" s="11" t="s">
        <v>1236</v>
      </c>
      <c r="K745" s="11" t="s">
        <v>83</v>
      </c>
      <c r="L745" s="11" t="s">
        <v>36</v>
      </c>
      <c r="M745" s="11" t="s">
        <v>28</v>
      </c>
      <c r="N745" s="11" t="s">
        <v>56</v>
      </c>
      <c r="O745" s="11" t="s">
        <v>1237</v>
      </c>
      <c r="P745" s="11" t="s">
        <v>38</v>
      </c>
      <c r="Q745" s="20">
        <v>39937.0</v>
      </c>
      <c r="R745" s="17">
        <f t="shared" si="2"/>
        <v>11.90005929</v>
      </c>
      <c r="S745" s="9"/>
      <c r="T745" s="9"/>
      <c r="U745" s="9"/>
      <c r="V745" s="9"/>
      <c r="W745" s="9"/>
      <c r="X745" s="9"/>
      <c r="Y745" s="9"/>
      <c r="Z745" s="9"/>
      <c r="AA745" s="9"/>
      <c r="AB745" s="9" t="str">
        <f>IFERROR(__xludf.DUMMYFUNCTION("""COMPUTED_VALUE"""),"Greg Hansen")</f>
        <v>Greg Hansen</v>
      </c>
      <c r="AC745" s="9"/>
      <c r="AD745" s="9"/>
      <c r="AE745" s="9">
        <f t="shared" si="8"/>
        <v>2</v>
      </c>
      <c r="AF745" s="19" t="b">
        <f t="shared" si="13"/>
        <v>0</v>
      </c>
      <c r="AG745" s="9"/>
      <c r="AH745" s="9"/>
      <c r="AI745" s="9"/>
    </row>
    <row r="746" ht="15.0" customHeight="1">
      <c r="A746" s="11">
        <v>745.0</v>
      </c>
      <c r="B746" s="12">
        <f t="shared" ref="B746:B749" si="128">DATE(2012,12,31)-1338</f>
        <v>39936</v>
      </c>
      <c r="C746" s="13">
        <v>2009.0</v>
      </c>
      <c r="D746" s="11" t="s">
        <v>23</v>
      </c>
      <c r="E746" s="11">
        <v>27.0</v>
      </c>
      <c r="F746" s="21" t="s">
        <v>316</v>
      </c>
      <c r="G746" s="15">
        <v>0.090519427402863</v>
      </c>
      <c r="H746" s="11" t="s">
        <v>33</v>
      </c>
      <c r="I746" s="16">
        <v>6.368</v>
      </c>
      <c r="J746" s="11" t="s">
        <v>1238</v>
      </c>
      <c r="K746" s="11" t="s">
        <v>61</v>
      </c>
      <c r="L746" s="11" t="s">
        <v>41</v>
      </c>
      <c r="M746" s="11" t="s">
        <v>49</v>
      </c>
      <c r="N746" s="11" t="s">
        <v>73</v>
      </c>
      <c r="O746" s="11" t="s">
        <v>318</v>
      </c>
      <c r="P746" s="11" t="s">
        <v>38</v>
      </c>
      <c r="Q746" s="20">
        <v>39937.0</v>
      </c>
      <c r="R746" s="17">
        <f t="shared" si="2"/>
        <v>20.12862403</v>
      </c>
      <c r="S746" s="9"/>
      <c r="T746" s="9"/>
      <c r="U746" s="9"/>
      <c r="V746" s="9"/>
      <c r="W746" s="9"/>
      <c r="X746" s="9"/>
      <c r="Y746" s="9"/>
      <c r="Z746" s="9"/>
      <c r="AA746" s="9"/>
      <c r="AB746" s="9" t="str">
        <f>IFERROR(__xludf.DUMMYFUNCTION("""COMPUTED_VALUE"""),"Shirley Schmidt")</f>
        <v>Shirley Schmidt</v>
      </c>
      <c r="AC746" s="9"/>
      <c r="AD746" s="9"/>
      <c r="AE746" s="9">
        <f t="shared" si="8"/>
        <v>3</v>
      </c>
      <c r="AF746" s="19">
        <f t="shared" si="13"/>
        <v>4</v>
      </c>
      <c r="AG746" s="9"/>
      <c r="AH746" s="9"/>
      <c r="AI746" s="9"/>
    </row>
    <row r="747" ht="15.0" customHeight="1">
      <c r="A747" s="11">
        <v>746.0</v>
      </c>
      <c r="B747" s="12">
        <f t="shared" si="128"/>
        <v>39936</v>
      </c>
      <c r="C747" s="13">
        <v>2009.0</v>
      </c>
      <c r="D747" s="11" t="s">
        <v>102</v>
      </c>
      <c r="E747" s="11">
        <v>15.0</v>
      </c>
      <c r="F747" s="21" t="s">
        <v>115</v>
      </c>
      <c r="G747" s="15">
        <v>0.08354335872471369</v>
      </c>
      <c r="H747" s="11" t="s">
        <v>24</v>
      </c>
      <c r="I747" s="16">
        <v>3.192</v>
      </c>
      <c r="J747" s="11" t="s">
        <v>593</v>
      </c>
      <c r="K747" s="11" t="s">
        <v>65</v>
      </c>
      <c r="L747" s="11" t="s">
        <v>48</v>
      </c>
      <c r="M747" s="11" t="s">
        <v>28</v>
      </c>
      <c r="N747" s="11" t="s">
        <v>197</v>
      </c>
      <c r="O747" s="11" t="s">
        <v>1239</v>
      </c>
      <c r="P747" s="11" t="s">
        <v>38</v>
      </c>
      <c r="Q747" s="20">
        <v>39937.0</v>
      </c>
      <c r="R747" s="17">
        <f t="shared" si="2"/>
        <v>151.7725514</v>
      </c>
      <c r="S747" s="9"/>
      <c r="T747" s="9"/>
      <c r="U747" s="9"/>
      <c r="V747" s="9"/>
      <c r="W747" s="9"/>
      <c r="X747" s="9"/>
      <c r="Y747" s="9"/>
      <c r="Z747" s="9"/>
      <c r="AA747" s="9"/>
      <c r="AB747" s="9" t="str">
        <f>IFERROR(__xludf.DUMMYFUNCTION("""COMPUTED_VALUE"""),"Toby Carlisle")</f>
        <v>Toby Carlisle</v>
      </c>
      <c r="AC747" s="9"/>
      <c r="AD747" s="9"/>
      <c r="AE747" s="9">
        <f t="shared" si="8"/>
        <v>4</v>
      </c>
      <c r="AF747" s="19">
        <f t="shared" si="13"/>
        <v>5</v>
      </c>
      <c r="AG747" s="9"/>
      <c r="AH747" s="9"/>
      <c r="AI747" s="9"/>
    </row>
    <row r="748" ht="15.0" customHeight="1">
      <c r="A748" s="11">
        <v>747.0</v>
      </c>
      <c r="B748" s="12">
        <f t="shared" si="128"/>
        <v>39936</v>
      </c>
      <c r="C748" s="13">
        <v>2009.0</v>
      </c>
      <c r="D748" s="11" t="s">
        <v>44</v>
      </c>
      <c r="E748" s="11">
        <v>49.0</v>
      </c>
      <c r="F748" s="21" t="s">
        <v>130</v>
      </c>
      <c r="G748" s="15">
        <v>0.08723193507965883</v>
      </c>
      <c r="H748" s="11" t="s">
        <v>33</v>
      </c>
      <c r="I748" s="16">
        <v>15.608000000000002</v>
      </c>
      <c r="J748" s="11" t="s">
        <v>1240</v>
      </c>
      <c r="K748" s="11" t="s">
        <v>35</v>
      </c>
      <c r="L748" s="11" t="s">
        <v>41</v>
      </c>
      <c r="M748" s="11" t="s">
        <v>28</v>
      </c>
      <c r="N748" s="11" t="s">
        <v>236</v>
      </c>
      <c r="O748" s="11" t="s">
        <v>1241</v>
      </c>
      <c r="P748" s="11" t="s">
        <v>38</v>
      </c>
      <c r="Q748" s="20">
        <v>39938.0</v>
      </c>
      <c r="R748" s="17">
        <f t="shared" si="2"/>
        <v>133.4393889</v>
      </c>
      <c r="S748" s="9"/>
      <c r="T748" s="9"/>
      <c r="U748" s="9"/>
      <c r="V748" s="9"/>
      <c r="W748" s="9"/>
      <c r="X748" s="9"/>
      <c r="Y748" s="9"/>
      <c r="Z748" s="9"/>
      <c r="AA748" s="9"/>
      <c r="AB748" s="9" t="str">
        <f>IFERROR(__xludf.DUMMYFUNCTION("""COMPUTED_VALUE"""),"Lena Hernandez")</f>
        <v>Lena Hernandez</v>
      </c>
      <c r="AC748" s="9"/>
      <c r="AD748" s="9"/>
      <c r="AE748" s="9">
        <f t="shared" si="8"/>
        <v>3</v>
      </c>
      <c r="AF748" s="19">
        <f t="shared" si="13"/>
        <v>2</v>
      </c>
      <c r="AG748" s="9"/>
      <c r="AH748" s="9"/>
      <c r="AI748" s="9"/>
    </row>
    <row r="749" ht="15.0" customHeight="1">
      <c r="A749" s="11">
        <v>748.0</v>
      </c>
      <c r="B749" s="12">
        <f t="shared" si="128"/>
        <v>39936</v>
      </c>
      <c r="C749" s="13">
        <v>2009.0</v>
      </c>
      <c r="D749" s="11" t="s">
        <v>44</v>
      </c>
      <c r="E749" s="11">
        <v>47.0</v>
      </c>
      <c r="F749" s="21" t="s">
        <v>1242</v>
      </c>
      <c r="G749" s="15">
        <v>0.030761535575841017</v>
      </c>
      <c r="H749" s="11" t="s">
        <v>33</v>
      </c>
      <c r="I749" s="16">
        <v>8.200000000000001</v>
      </c>
      <c r="J749" s="11" t="s">
        <v>1240</v>
      </c>
      <c r="K749" s="11" t="s">
        <v>35</v>
      </c>
      <c r="L749" s="11" t="s">
        <v>41</v>
      </c>
      <c r="M749" s="11" t="s">
        <v>49</v>
      </c>
      <c r="N749" s="11" t="s">
        <v>73</v>
      </c>
      <c r="O749" s="11" t="s">
        <v>1243</v>
      </c>
      <c r="P749" s="11" t="s">
        <v>31</v>
      </c>
      <c r="Q749" s="20">
        <v>39938.0</v>
      </c>
      <c r="R749" s="17">
        <f t="shared" si="2"/>
        <v>71.52979867</v>
      </c>
      <c r="S749" s="9"/>
      <c r="T749" s="9"/>
      <c r="U749" s="9"/>
      <c r="V749" s="9"/>
      <c r="W749" s="9"/>
      <c r="X749" s="9"/>
      <c r="Y749" s="9"/>
      <c r="Z749" s="9"/>
      <c r="AA749" s="9"/>
      <c r="AB749" s="9" t="str">
        <f>IFERROR(__xludf.DUMMYFUNCTION("""COMPUTED_VALUE"""),"Phillip Breyer")</f>
        <v>Phillip Breyer</v>
      </c>
      <c r="AC749" s="9"/>
      <c r="AD749" s="9"/>
      <c r="AE749" s="9">
        <f t="shared" si="8"/>
        <v>3</v>
      </c>
      <c r="AF749" s="19">
        <f t="shared" si="13"/>
        <v>2</v>
      </c>
      <c r="AG749" s="9"/>
      <c r="AH749" s="9"/>
      <c r="AI749" s="9"/>
    </row>
    <row r="750" ht="15.0" customHeight="1">
      <c r="A750" s="11">
        <v>749.0</v>
      </c>
      <c r="B750" s="12">
        <f t="shared" ref="B750:B756" si="129">DATE(2012,12,31)-1337</f>
        <v>39937</v>
      </c>
      <c r="C750" s="13">
        <v>2009.0</v>
      </c>
      <c r="D750" s="11" t="s">
        <v>39</v>
      </c>
      <c r="E750" s="11">
        <v>39.0</v>
      </c>
      <c r="F750" s="21" t="s">
        <v>1244</v>
      </c>
      <c r="G750" s="15">
        <v>0.05702621461027614</v>
      </c>
      <c r="H750" s="11" t="s">
        <v>33</v>
      </c>
      <c r="I750" s="16">
        <v>19.592</v>
      </c>
      <c r="J750" s="11" t="s">
        <v>1245</v>
      </c>
      <c r="K750" s="11" t="s">
        <v>61</v>
      </c>
      <c r="L750" s="11" t="s">
        <v>48</v>
      </c>
      <c r="M750" s="11" t="s">
        <v>49</v>
      </c>
      <c r="N750" s="11" t="s">
        <v>50</v>
      </c>
      <c r="O750" s="11" t="s">
        <v>1246</v>
      </c>
      <c r="P750" s="11" t="s">
        <v>31</v>
      </c>
      <c r="Q750" s="20">
        <v>39938.0</v>
      </c>
      <c r="R750" s="17">
        <f t="shared" si="2"/>
        <v>615.3922361</v>
      </c>
      <c r="S750" s="9"/>
      <c r="T750" s="9"/>
      <c r="U750" s="9"/>
      <c r="V750" s="9"/>
      <c r="W750" s="9"/>
      <c r="X750" s="9"/>
      <c r="Y750" s="9"/>
      <c r="Z750" s="9"/>
      <c r="AA750" s="9"/>
      <c r="AB750" s="9" t="str">
        <f>IFERROR(__xludf.DUMMYFUNCTION("""COMPUTED_VALUE"""),"Pete Armstrong")</f>
        <v>Pete Armstrong</v>
      </c>
      <c r="AC750" s="9"/>
      <c r="AD750" s="9"/>
      <c r="AE750" s="9">
        <f t="shared" si="8"/>
        <v>4</v>
      </c>
      <c r="AF750" s="19">
        <f t="shared" si="13"/>
        <v>4</v>
      </c>
      <c r="AG750" s="9"/>
      <c r="AH750" s="9"/>
      <c r="AI750" s="9"/>
    </row>
    <row r="751" ht="15.0" customHeight="1">
      <c r="A751" s="11">
        <v>750.0</v>
      </c>
      <c r="B751" s="12">
        <f t="shared" si="129"/>
        <v>39937</v>
      </c>
      <c r="C751" s="13">
        <v>2009.0</v>
      </c>
      <c r="D751" s="11" t="s">
        <v>39</v>
      </c>
      <c r="E751" s="11">
        <v>2.0</v>
      </c>
      <c r="F751" s="21" t="s">
        <v>1247</v>
      </c>
      <c r="G751" s="15">
        <v>0.14268041237113388</v>
      </c>
      <c r="H751" s="11" t="s">
        <v>33</v>
      </c>
      <c r="I751" s="16">
        <v>4.232</v>
      </c>
      <c r="J751" s="11" t="s">
        <v>1245</v>
      </c>
      <c r="K751" s="11" t="s">
        <v>61</v>
      </c>
      <c r="L751" s="11" t="s">
        <v>48</v>
      </c>
      <c r="M751" s="11" t="s">
        <v>49</v>
      </c>
      <c r="N751" s="11" t="s">
        <v>73</v>
      </c>
      <c r="O751" s="11" t="s">
        <v>1248</v>
      </c>
      <c r="P751" s="11" t="s">
        <v>38</v>
      </c>
      <c r="Q751" s="20">
        <v>39938.0</v>
      </c>
      <c r="R751" s="17">
        <f t="shared" si="2"/>
        <v>2.373060619</v>
      </c>
      <c r="S751" s="9"/>
      <c r="T751" s="9"/>
      <c r="U751" s="9"/>
      <c r="V751" s="9"/>
      <c r="W751" s="9"/>
      <c r="X751" s="9"/>
      <c r="Y751" s="9"/>
      <c r="Z751" s="9"/>
      <c r="AA751" s="9"/>
      <c r="AB751" s="9" t="str">
        <f>IFERROR(__xludf.DUMMYFUNCTION("""COMPUTED_VALUE"""),"Tracy Poddar")</f>
        <v>Tracy Poddar</v>
      </c>
      <c r="AC751" s="9"/>
      <c r="AD751" s="9"/>
      <c r="AE751" s="9">
        <f t="shared" si="8"/>
        <v>4</v>
      </c>
      <c r="AF751" s="19">
        <f t="shared" si="13"/>
        <v>4</v>
      </c>
      <c r="AG751" s="9"/>
      <c r="AH751" s="9"/>
      <c r="AI751" s="9"/>
    </row>
    <row r="752" ht="15.0" customHeight="1">
      <c r="A752" s="11">
        <v>751.0</v>
      </c>
      <c r="B752" s="12">
        <f t="shared" si="129"/>
        <v>39937</v>
      </c>
      <c r="C752" s="13">
        <v>2009.0</v>
      </c>
      <c r="D752" s="11" t="s">
        <v>32</v>
      </c>
      <c r="E752" s="11">
        <v>25.0</v>
      </c>
      <c r="F752" s="21" t="s">
        <v>565</v>
      </c>
      <c r="G752" s="15">
        <v>0.04883505461345573</v>
      </c>
      <c r="H752" s="11" t="s">
        <v>24</v>
      </c>
      <c r="I752" s="16">
        <v>15.991999999999999</v>
      </c>
      <c r="J752" s="11" t="s">
        <v>1249</v>
      </c>
      <c r="K752" s="11" t="s">
        <v>83</v>
      </c>
      <c r="L752" s="11" t="s">
        <v>41</v>
      </c>
      <c r="M752" s="11" t="s">
        <v>28</v>
      </c>
      <c r="N752" s="11" t="s">
        <v>29</v>
      </c>
      <c r="O752" s="11" t="s">
        <v>566</v>
      </c>
      <c r="P752" s="11" t="s">
        <v>38</v>
      </c>
      <c r="Q752" s="20">
        <v>39938.0</v>
      </c>
      <c r="R752" s="17">
        <f t="shared" si="2"/>
        <v>218.5853138</v>
      </c>
      <c r="S752" s="9"/>
      <c r="T752" s="9"/>
      <c r="U752" s="9"/>
      <c r="V752" s="9"/>
      <c r="W752" s="9"/>
      <c r="X752" s="9"/>
      <c r="Y752" s="9"/>
      <c r="Z752" s="9"/>
      <c r="AA752" s="9"/>
      <c r="AB752" s="9" t="str">
        <f>IFERROR(__xludf.DUMMYFUNCTION("""COMPUTED_VALUE"""),"Fred Hopkins")</f>
        <v>Fred Hopkins</v>
      </c>
      <c r="AC752" s="9"/>
      <c r="AD752" s="9"/>
      <c r="AE752" s="9">
        <f t="shared" si="8"/>
        <v>3</v>
      </c>
      <c r="AF752" s="19" t="b">
        <f t="shared" si="13"/>
        <v>0</v>
      </c>
      <c r="AG752" s="9"/>
      <c r="AH752" s="9"/>
      <c r="AI752" s="9"/>
    </row>
    <row r="753" ht="15.0" customHeight="1">
      <c r="A753" s="11">
        <v>752.0</v>
      </c>
      <c r="B753" s="12">
        <f t="shared" si="129"/>
        <v>39937</v>
      </c>
      <c r="C753" s="13">
        <v>2009.0</v>
      </c>
      <c r="D753" s="11" t="s">
        <v>102</v>
      </c>
      <c r="E753" s="11">
        <v>35.0</v>
      </c>
      <c r="F753" s="21" t="s">
        <v>207</v>
      </c>
      <c r="G753" s="15">
        <v>0.07765048543689325</v>
      </c>
      <c r="H753" s="11" t="s">
        <v>33</v>
      </c>
      <c r="I753" s="16">
        <v>4.5040000000000004</v>
      </c>
      <c r="J753" s="11" t="s">
        <v>771</v>
      </c>
      <c r="K753" s="11" t="s">
        <v>61</v>
      </c>
      <c r="L753" s="11" t="s">
        <v>48</v>
      </c>
      <c r="M753" s="11" t="s">
        <v>28</v>
      </c>
      <c r="N753" s="11" t="s">
        <v>42</v>
      </c>
      <c r="O753" s="11" t="s">
        <v>911</v>
      </c>
      <c r="P753" s="11" t="s">
        <v>38</v>
      </c>
      <c r="Q753" s="20">
        <v>39938.0</v>
      </c>
      <c r="R753" s="17">
        <f t="shared" si="2"/>
        <v>14.75390283</v>
      </c>
      <c r="S753" s="9"/>
      <c r="T753" s="9"/>
      <c r="U753" s="9"/>
      <c r="V753" s="9"/>
      <c r="W753" s="9"/>
      <c r="X753" s="9"/>
      <c r="Y753" s="9"/>
      <c r="Z753" s="9"/>
      <c r="AA753" s="9"/>
      <c r="AB753" s="9" t="str">
        <f>IFERROR(__xludf.DUMMYFUNCTION("""COMPUTED_VALUE"""),"Jane Waco")</f>
        <v>Jane Waco</v>
      </c>
      <c r="AC753" s="9"/>
      <c r="AD753" s="9"/>
      <c r="AE753" s="9">
        <f t="shared" si="8"/>
        <v>4</v>
      </c>
      <c r="AF753" s="19">
        <f t="shared" si="13"/>
        <v>4</v>
      </c>
      <c r="AG753" s="9"/>
      <c r="AH753" s="9"/>
      <c r="AI753" s="9"/>
    </row>
    <row r="754" ht="15.0" customHeight="1">
      <c r="A754" s="11">
        <v>753.0</v>
      </c>
      <c r="B754" s="12">
        <f t="shared" si="129"/>
        <v>39937</v>
      </c>
      <c r="C754" s="13">
        <v>2009.0</v>
      </c>
      <c r="D754" s="11" t="s">
        <v>102</v>
      </c>
      <c r="E754" s="11">
        <v>49.0</v>
      </c>
      <c r="F754" s="21" t="s">
        <v>513</v>
      </c>
      <c r="G754" s="15">
        <v>0.030335356507878074</v>
      </c>
      <c r="H754" s="11" t="s">
        <v>45</v>
      </c>
      <c r="I754" s="16">
        <v>24.0</v>
      </c>
      <c r="J754" s="11" t="s">
        <v>771</v>
      </c>
      <c r="K754" s="11" t="s">
        <v>61</v>
      </c>
      <c r="L754" s="11" t="s">
        <v>48</v>
      </c>
      <c r="M754" s="11" t="s">
        <v>49</v>
      </c>
      <c r="N754" s="11" t="s">
        <v>50</v>
      </c>
      <c r="O754" s="11" t="s">
        <v>515</v>
      </c>
      <c r="P754" s="11" t="s">
        <v>52</v>
      </c>
      <c r="Q754" s="20">
        <v>39938.0</v>
      </c>
      <c r="R754" s="17">
        <f t="shared" si="2"/>
        <v>239.8950328</v>
      </c>
      <c r="S754" s="9"/>
      <c r="T754" s="9"/>
      <c r="U754" s="9"/>
      <c r="V754" s="9"/>
      <c r="W754" s="9"/>
      <c r="X754" s="9"/>
      <c r="Y754" s="9"/>
      <c r="Z754" s="9"/>
      <c r="AA754" s="9"/>
      <c r="AB754" s="9" t="str">
        <f>IFERROR(__xludf.DUMMYFUNCTION("""COMPUTED_VALUE"""),"Jill Stevenson")</f>
        <v>Jill Stevenson</v>
      </c>
      <c r="AC754" s="9"/>
      <c r="AD754" s="9"/>
      <c r="AE754" s="9">
        <f t="shared" si="8"/>
        <v>4</v>
      </c>
      <c r="AF754" s="19">
        <f t="shared" si="13"/>
        <v>4</v>
      </c>
      <c r="AG754" s="9"/>
      <c r="AH754" s="9"/>
      <c r="AI754" s="9"/>
    </row>
    <row r="755" ht="15.0" customHeight="1">
      <c r="A755" s="11">
        <v>754.0</v>
      </c>
      <c r="B755" s="12">
        <f t="shared" si="129"/>
        <v>39937</v>
      </c>
      <c r="C755" s="13">
        <v>2009.0</v>
      </c>
      <c r="D755" s="11" t="s">
        <v>102</v>
      </c>
      <c r="E755" s="11">
        <v>42.0</v>
      </c>
      <c r="F755" s="21" t="s">
        <v>178</v>
      </c>
      <c r="G755" s="15">
        <v>0.0401274149989612</v>
      </c>
      <c r="H755" s="11" t="s">
        <v>24</v>
      </c>
      <c r="I755" s="16">
        <v>4.5040000000000004</v>
      </c>
      <c r="J755" s="11" t="s">
        <v>771</v>
      </c>
      <c r="K755" s="11" t="s">
        <v>61</v>
      </c>
      <c r="L755" s="11" t="s">
        <v>48</v>
      </c>
      <c r="M755" s="11" t="s">
        <v>66</v>
      </c>
      <c r="N755" s="11" t="s">
        <v>80</v>
      </c>
      <c r="O755" s="11" t="s">
        <v>1250</v>
      </c>
      <c r="P755" s="11" t="s">
        <v>38</v>
      </c>
      <c r="Q755" s="20">
        <v>39938.0</v>
      </c>
      <c r="R755" s="17">
        <f t="shared" si="2"/>
        <v>111.2453931</v>
      </c>
      <c r="S755" s="9"/>
      <c r="T755" s="9"/>
      <c r="U755" s="9"/>
      <c r="V755" s="9"/>
      <c r="W755" s="9"/>
      <c r="X755" s="9"/>
      <c r="Y755" s="9"/>
      <c r="Z755" s="9"/>
      <c r="AA755" s="9"/>
      <c r="AB755" s="9" t="str">
        <f>IFERROR(__xludf.DUMMYFUNCTION("""COMPUTED_VALUE"""),"Rob Lucas")</f>
        <v>Rob Lucas</v>
      </c>
      <c r="AC755" s="9"/>
      <c r="AD755" s="9"/>
      <c r="AE755" s="9">
        <f t="shared" si="8"/>
        <v>4</v>
      </c>
      <c r="AF755" s="19">
        <f t="shared" si="13"/>
        <v>4</v>
      </c>
      <c r="AG755" s="9"/>
      <c r="AH755" s="9"/>
      <c r="AI755" s="9"/>
    </row>
    <row r="756" ht="15.0" customHeight="1">
      <c r="A756" s="11">
        <v>755.0</v>
      </c>
      <c r="B756" s="12">
        <f t="shared" si="129"/>
        <v>39937</v>
      </c>
      <c r="C756" s="13">
        <v>2009.0</v>
      </c>
      <c r="D756" s="11" t="s">
        <v>102</v>
      </c>
      <c r="E756" s="11">
        <v>6.0</v>
      </c>
      <c r="F756" s="21" t="s">
        <v>100</v>
      </c>
      <c r="G756" s="15">
        <v>0.05835707790239453</v>
      </c>
      <c r="H756" s="11" t="s">
        <v>33</v>
      </c>
      <c r="I756" s="16">
        <v>7.192</v>
      </c>
      <c r="J756" s="11" t="s">
        <v>1228</v>
      </c>
      <c r="K756" s="11" t="s">
        <v>83</v>
      </c>
      <c r="L756" s="11" t="s">
        <v>41</v>
      </c>
      <c r="M756" s="11" t="s">
        <v>66</v>
      </c>
      <c r="N756" s="11" t="s">
        <v>80</v>
      </c>
      <c r="O756" s="11" t="s">
        <v>615</v>
      </c>
      <c r="P756" s="11" t="s">
        <v>38</v>
      </c>
      <c r="Q756" s="20">
        <v>39938.0</v>
      </c>
      <c r="R756" s="17">
        <f t="shared" si="2"/>
        <v>72.51403814</v>
      </c>
      <c r="S756" s="9"/>
      <c r="T756" s="9"/>
      <c r="U756" s="9"/>
      <c r="V756" s="9"/>
      <c r="W756" s="9"/>
      <c r="X756" s="9"/>
      <c r="Y756" s="9"/>
      <c r="Z756" s="9"/>
      <c r="AA756" s="9"/>
      <c r="AB756" s="9" t="str">
        <f>IFERROR(__xludf.DUMMYFUNCTION("""COMPUTED_VALUE"""),"Ivan Liston")</f>
        <v>Ivan Liston</v>
      </c>
      <c r="AC756" s="9"/>
      <c r="AD756" s="9"/>
      <c r="AE756" s="9">
        <f t="shared" si="8"/>
        <v>3</v>
      </c>
      <c r="AF756" s="19" t="b">
        <f t="shared" si="13"/>
        <v>0</v>
      </c>
      <c r="AG756" s="9"/>
      <c r="AH756" s="9"/>
      <c r="AI756" s="9"/>
    </row>
    <row r="757" ht="15.0" customHeight="1">
      <c r="A757" s="11">
        <v>756.0</v>
      </c>
      <c r="B757" s="12">
        <f t="shared" ref="B757:B762" si="130">DATE(2012,12,31)-1336</f>
        <v>39938</v>
      </c>
      <c r="C757" s="13">
        <v>2009.0</v>
      </c>
      <c r="D757" s="11" t="s">
        <v>44</v>
      </c>
      <c r="E757" s="11">
        <v>33.0</v>
      </c>
      <c r="F757" s="21" t="s">
        <v>536</v>
      </c>
      <c r="G757" s="15">
        <v>0.05819813568338993</v>
      </c>
      <c r="H757" s="11" t="s">
        <v>33</v>
      </c>
      <c r="I757" s="16">
        <v>15.991999999999999</v>
      </c>
      <c r="J757" s="11" t="s">
        <v>1205</v>
      </c>
      <c r="K757" s="11" t="s">
        <v>61</v>
      </c>
      <c r="L757" s="11" t="s">
        <v>36</v>
      </c>
      <c r="M757" s="11" t="s">
        <v>28</v>
      </c>
      <c r="N757" s="11" t="s">
        <v>42</v>
      </c>
      <c r="O757" s="11" t="s">
        <v>1251</v>
      </c>
      <c r="P757" s="11" t="s">
        <v>38</v>
      </c>
      <c r="Q757" s="20">
        <v>39939.0</v>
      </c>
      <c r="R757" s="17">
        <f t="shared" si="2"/>
        <v>236.9648835</v>
      </c>
      <c r="S757" s="9"/>
      <c r="T757" s="9"/>
      <c r="U757" s="9"/>
      <c r="V757" s="9"/>
      <c r="W757" s="9"/>
      <c r="X757" s="9"/>
      <c r="Y757" s="9"/>
      <c r="Z757" s="9"/>
      <c r="AA757" s="9"/>
      <c r="AB757" s="9" t="str">
        <f>IFERROR(__xludf.DUMMYFUNCTION("""COMPUTED_VALUE"""),"Harry Greene")</f>
        <v>Harry Greene</v>
      </c>
      <c r="AC757" s="9"/>
      <c r="AD757" s="9"/>
      <c r="AE757" s="9">
        <f t="shared" si="8"/>
        <v>2</v>
      </c>
      <c r="AF757" s="19">
        <f t="shared" si="13"/>
        <v>4</v>
      </c>
      <c r="AG757" s="9"/>
      <c r="AH757" s="9"/>
      <c r="AI757" s="9"/>
    </row>
    <row r="758" ht="15.0" customHeight="1">
      <c r="A758" s="11">
        <v>757.0</v>
      </c>
      <c r="B758" s="12">
        <f t="shared" si="130"/>
        <v>39938</v>
      </c>
      <c r="C758" s="13">
        <v>2009.0</v>
      </c>
      <c r="D758" s="11" t="s">
        <v>44</v>
      </c>
      <c r="E758" s="11">
        <v>47.0</v>
      </c>
      <c r="F758" s="21" t="s">
        <v>886</v>
      </c>
      <c r="G758" s="15">
        <v>0.07755446240337319</v>
      </c>
      <c r="H758" s="11" t="s">
        <v>45</v>
      </c>
      <c r="I758" s="16">
        <v>48.0</v>
      </c>
      <c r="J758" s="11" t="s">
        <v>1205</v>
      </c>
      <c r="K758" s="11" t="s">
        <v>61</v>
      </c>
      <c r="L758" s="11" t="s">
        <v>36</v>
      </c>
      <c r="M758" s="11" t="s">
        <v>28</v>
      </c>
      <c r="N758" s="11" t="s">
        <v>197</v>
      </c>
      <c r="O758" s="11" t="s">
        <v>888</v>
      </c>
      <c r="P758" s="11" t="s">
        <v>52</v>
      </c>
      <c r="Q758" s="20">
        <v>39939.0</v>
      </c>
      <c r="R758" s="17">
        <f t="shared" si="2"/>
        <v>254.5027238</v>
      </c>
      <c r="S758" s="9"/>
      <c r="T758" s="9"/>
      <c r="U758" s="9"/>
      <c r="V758" s="9"/>
      <c r="W758" s="9"/>
      <c r="X758" s="9"/>
      <c r="Y758" s="9"/>
      <c r="Z758" s="9"/>
      <c r="AA758" s="9"/>
      <c r="AB758" s="9" t="str">
        <f>IFERROR(__xludf.DUMMYFUNCTION("""COMPUTED_VALUE"""),"Rick Bensley")</f>
        <v>Rick Bensley</v>
      </c>
      <c r="AC758" s="9"/>
      <c r="AD758" s="9"/>
      <c r="AE758" s="9">
        <f t="shared" si="8"/>
        <v>2</v>
      </c>
      <c r="AF758" s="19">
        <f t="shared" si="13"/>
        <v>4</v>
      </c>
      <c r="AG758" s="9"/>
      <c r="AH758" s="9"/>
      <c r="AI758" s="9"/>
    </row>
    <row r="759" ht="15.0" customHeight="1">
      <c r="A759" s="11">
        <v>758.0</v>
      </c>
      <c r="B759" s="12">
        <f t="shared" si="130"/>
        <v>39938</v>
      </c>
      <c r="C759" s="13">
        <v>2009.0</v>
      </c>
      <c r="D759" s="11" t="s">
        <v>102</v>
      </c>
      <c r="E759" s="11">
        <v>40.0</v>
      </c>
      <c r="F759" s="21" t="s">
        <v>130</v>
      </c>
      <c r="G759" s="15">
        <v>0.0513893339436942</v>
      </c>
      <c r="H759" s="11" t="s">
        <v>33</v>
      </c>
      <c r="I759" s="16">
        <v>7.344</v>
      </c>
      <c r="J759" s="11" t="s">
        <v>1252</v>
      </c>
      <c r="K759" s="11" t="s">
        <v>35</v>
      </c>
      <c r="L759" s="11" t="s">
        <v>27</v>
      </c>
      <c r="M759" s="11" t="s">
        <v>28</v>
      </c>
      <c r="N759" s="11" t="s">
        <v>56</v>
      </c>
      <c r="O759" s="11" t="s">
        <v>1175</v>
      </c>
      <c r="P759" s="11" t="s">
        <v>38</v>
      </c>
      <c r="Q759" s="20">
        <v>39939.0</v>
      </c>
      <c r="R759" s="17">
        <f t="shared" si="2"/>
        <v>63.89462002</v>
      </c>
      <c r="S759" s="9"/>
      <c r="T759" s="9"/>
      <c r="U759" s="9"/>
      <c r="V759" s="9"/>
      <c r="W759" s="9"/>
      <c r="X759" s="9"/>
      <c r="Y759" s="9"/>
      <c r="Z759" s="9"/>
      <c r="AA759" s="9"/>
      <c r="AB759" s="9" t="str">
        <f>IFERROR(__xludf.DUMMYFUNCTION("""COMPUTED_VALUE"""),"Kalyca Meade")</f>
        <v>Kalyca Meade</v>
      </c>
      <c r="AC759" s="9"/>
      <c r="AD759" s="9"/>
      <c r="AE759" s="9">
        <f t="shared" si="8"/>
        <v>1</v>
      </c>
      <c r="AF759" s="19">
        <f t="shared" si="13"/>
        <v>2</v>
      </c>
      <c r="AG759" s="9"/>
      <c r="AH759" s="9"/>
      <c r="AI759" s="9"/>
    </row>
    <row r="760" ht="15.0" customHeight="1">
      <c r="A760" s="11">
        <v>759.0</v>
      </c>
      <c r="B760" s="12">
        <f t="shared" si="130"/>
        <v>39938</v>
      </c>
      <c r="C760" s="13">
        <v>2009.0</v>
      </c>
      <c r="D760" s="11" t="s">
        <v>44</v>
      </c>
      <c r="E760" s="11">
        <v>47.0</v>
      </c>
      <c r="F760" s="21" t="s">
        <v>115</v>
      </c>
      <c r="G760" s="15">
        <v>0.0392233337839665</v>
      </c>
      <c r="H760" s="11" t="s">
        <v>33</v>
      </c>
      <c r="I760" s="16">
        <v>3.192</v>
      </c>
      <c r="J760" s="11" t="s">
        <v>1253</v>
      </c>
      <c r="K760" s="11" t="s">
        <v>35</v>
      </c>
      <c r="L760" s="11" t="s">
        <v>48</v>
      </c>
      <c r="M760" s="11" t="s">
        <v>28</v>
      </c>
      <c r="N760" s="11" t="s">
        <v>197</v>
      </c>
      <c r="O760" s="11" t="s">
        <v>1239</v>
      </c>
      <c r="P760" s="11" t="s">
        <v>38</v>
      </c>
      <c r="Q760" s="20">
        <v>39940.0</v>
      </c>
      <c r="R760" s="17">
        <f t="shared" si="2"/>
        <v>223.0039504</v>
      </c>
      <c r="S760" s="9"/>
      <c r="T760" s="9"/>
      <c r="U760" s="9"/>
      <c r="V760" s="9"/>
      <c r="W760" s="9"/>
      <c r="X760" s="9"/>
      <c r="Y760" s="9"/>
      <c r="Z760" s="9"/>
      <c r="AA760" s="9"/>
      <c r="AB760" s="9" t="str">
        <f>IFERROR(__xludf.DUMMYFUNCTION("""COMPUTED_VALUE"""),"Frank Gastineau")</f>
        <v>Frank Gastineau</v>
      </c>
      <c r="AC760" s="9"/>
      <c r="AD760" s="9"/>
      <c r="AE760" s="9">
        <f t="shared" si="8"/>
        <v>4</v>
      </c>
      <c r="AF760" s="19">
        <f t="shared" si="13"/>
        <v>2</v>
      </c>
      <c r="AG760" s="9"/>
      <c r="AH760" s="9"/>
      <c r="AI760" s="9"/>
    </row>
    <row r="761" ht="15.0" customHeight="1">
      <c r="A761" s="11">
        <v>760.0</v>
      </c>
      <c r="B761" s="12">
        <f t="shared" si="130"/>
        <v>39938</v>
      </c>
      <c r="C761" s="13">
        <v>2009.0</v>
      </c>
      <c r="D761" s="11" t="s">
        <v>44</v>
      </c>
      <c r="E761" s="11">
        <v>10.0</v>
      </c>
      <c r="F761" s="21" t="s">
        <v>933</v>
      </c>
      <c r="G761" s="15">
        <v>0.02273910779378584</v>
      </c>
      <c r="H761" s="11" t="s">
        <v>33</v>
      </c>
      <c r="I761" s="16">
        <v>4.0</v>
      </c>
      <c r="J761" s="11" t="s">
        <v>1253</v>
      </c>
      <c r="K761" s="11" t="s">
        <v>35</v>
      </c>
      <c r="L761" s="11" t="s">
        <v>48</v>
      </c>
      <c r="M761" s="11" t="s">
        <v>66</v>
      </c>
      <c r="N761" s="11" t="s">
        <v>80</v>
      </c>
      <c r="O761" s="11" t="s">
        <v>1026</v>
      </c>
      <c r="P761" s="11" t="s">
        <v>99</v>
      </c>
      <c r="Q761" s="20">
        <v>39940.0</v>
      </c>
      <c r="R761" s="17">
        <f t="shared" si="2"/>
        <v>12.80211769</v>
      </c>
      <c r="S761" s="9"/>
      <c r="T761" s="9"/>
      <c r="U761" s="9"/>
      <c r="V761" s="9"/>
      <c r="W761" s="9"/>
      <c r="X761" s="9"/>
      <c r="Y761" s="9"/>
      <c r="Z761" s="9"/>
      <c r="AA761" s="9"/>
      <c r="AB761" s="9" t="str">
        <f>IFERROR(__xludf.DUMMYFUNCTION("""COMPUTED_VALUE"""),"Greg Tran")</f>
        <v>Greg Tran</v>
      </c>
      <c r="AC761" s="9"/>
      <c r="AD761" s="9"/>
      <c r="AE761" s="9">
        <f t="shared" si="8"/>
        <v>4</v>
      </c>
      <c r="AF761" s="19">
        <f t="shared" si="13"/>
        <v>2</v>
      </c>
      <c r="AG761" s="9"/>
      <c r="AH761" s="9"/>
      <c r="AI761" s="9"/>
    </row>
    <row r="762" ht="15.0" customHeight="1">
      <c r="A762" s="11">
        <v>761.0</v>
      </c>
      <c r="B762" s="12">
        <f t="shared" si="130"/>
        <v>39938</v>
      </c>
      <c r="C762" s="13">
        <v>2009.0</v>
      </c>
      <c r="D762" s="11" t="s">
        <v>44</v>
      </c>
      <c r="E762" s="11">
        <v>32.0</v>
      </c>
      <c r="F762" s="21" t="s">
        <v>1254</v>
      </c>
      <c r="G762" s="15">
        <v>0.05490091185410342</v>
      </c>
      <c r="H762" s="11" t="s">
        <v>45</v>
      </c>
      <c r="I762" s="16">
        <v>12.544</v>
      </c>
      <c r="J762" s="11" t="s">
        <v>1253</v>
      </c>
      <c r="K762" s="11" t="s">
        <v>35</v>
      </c>
      <c r="L762" s="11" t="s">
        <v>48</v>
      </c>
      <c r="M762" s="11" t="s">
        <v>49</v>
      </c>
      <c r="N762" s="11" t="s">
        <v>73</v>
      </c>
      <c r="O762" s="11" t="s">
        <v>1255</v>
      </c>
      <c r="P762" s="11" t="s">
        <v>52</v>
      </c>
      <c r="Q762" s="20">
        <v>39940.0</v>
      </c>
      <c r="R762" s="17">
        <f t="shared" si="2"/>
        <v>42.67689442</v>
      </c>
      <c r="S762" s="9"/>
      <c r="T762" s="9"/>
      <c r="U762" s="9"/>
      <c r="V762" s="9"/>
      <c r="W762" s="9"/>
      <c r="X762" s="9"/>
      <c r="Y762" s="9"/>
      <c r="Z762" s="9"/>
      <c r="AA762" s="9"/>
      <c r="AB762" s="9" t="str">
        <f>IFERROR(__xludf.DUMMYFUNCTION("""COMPUTED_VALUE"""),"Jason Gross")</f>
        <v>Jason Gross</v>
      </c>
      <c r="AC762" s="9"/>
      <c r="AD762" s="9"/>
      <c r="AE762" s="9">
        <f t="shared" si="8"/>
        <v>4</v>
      </c>
      <c r="AF762" s="19">
        <f t="shared" si="13"/>
        <v>2</v>
      </c>
      <c r="AG762" s="9"/>
      <c r="AH762" s="9"/>
      <c r="AI762" s="9"/>
    </row>
    <row r="763" ht="15.0" customHeight="1">
      <c r="A763" s="11">
        <v>762.0</v>
      </c>
      <c r="B763" s="12">
        <f t="shared" ref="B763:B765" si="131">DATE(2012,12,31)-1335</f>
        <v>39939</v>
      </c>
      <c r="C763" s="13">
        <v>2009.0</v>
      </c>
      <c r="D763" s="11" t="s">
        <v>39</v>
      </c>
      <c r="E763" s="11">
        <v>37.0</v>
      </c>
      <c r="F763" s="21" t="s">
        <v>270</v>
      </c>
      <c r="G763" s="15">
        <v>0.026272908873137747</v>
      </c>
      <c r="H763" s="11" t="s">
        <v>33</v>
      </c>
      <c r="I763" s="16">
        <v>5.976</v>
      </c>
      <c r="J763" s="11" t="s">
        <v>1256</v>
      </c>
      <c r="K763" s="11" t="s">
        <v>83</v>
      </c>
      <c r="L763" s="11" t="s">
        <v>36</v>
      </c>
      <c r="M763" s="11" t="s">
        <v>28</v>
      </c>
      <c r="N763" s="11" t="s">
        <v>42</v>
      </c>
      <c r="O763" s="11" t="s">
        <v>750</v>
      </c>
      <c r="P763" s="11" t="s">
        <v>38</v>
      </c>
      <c r="Q763" s="20">
        <v>39940.0</v>
      </c>
      <c r="R763" s="17">
        <f t="shared" si="2"/>
        <v>39.9157999</v>
      </c>
      <c r="S763" s="9"/>
      <c r="T763" s="9"/>
      <c r="U763" s="9"/>
      <c r="V763" s="9"/>
      <c r="W763" s="9"/>
      <c r="X763" s="9"/>
      <c r="Y763" s="9"/>
      <c r="Z763" s="9"/>
      <c r="AA763" s="9"/>
      <c r="AB763" s="9" t="str">
        <f>IFERROR(__xludf.DUMMYFUNCTION("""COMPUTED_VALUE"""),"Muhammed Lee")</f>
        <v>Muhammed Lee</v>
      </c>
      <c r="AC763" s="9"/>
      <c r="AD763" s="9"/>
      <c r="AE763" s="9">
        <f t="shared" si="8"/>
        <v>2</v>
      </c>
      <c r="AF763" s="19" t="b">
        <f t="shared" si="13"/>
        <v>0</v>
      </c>
      <c r="AG763" s="9"/>
      <c r="AH763" s="9"/>
      <c r="AI763" s="9"/>
    </row>
    <row r="764" ht="15.0" customHeight="1">
      <c r="A764" s="11">
        <v>763.0</v>
      </c>
      <c r="B764" s="12">
        <f t="shared" si="131"/>
        <v>39939</v>
      </c>
      <c r="C764" s="13">
        <v>2009.0</v>
      </c>
      <c r="D764" s="11" t="s">
        <v>39</v>
      </c>
      <c r="E764" s="11">
        <v>2.0</v>
      </c>
      <c r="F764" s="21" t="s">
        <v>670</v>
      </c>
      <c r="G764" s="15">
        <v>0.03578539107950886</v>
      </c>
      <c r="H764" s="11" t="s">
        <v>45</v>
      </c>
      <c r="I764" s="16">
        <v>60.184000000000005</v>
      </c>
      <c r="J764" s="11" t="s">
        <v>1256</v>
      </c>
      <c r="K764" s="11" t="s">
        <v>83</v>
      </c>
      <c r="L764" s="11" t="s">
        <v>36</v>
      </c>
      <c r="M764" s="11" t="s">
        <v>49</v>
      </c>
      <c r="N764" s="11" t="s">
        <v>85</v>
      </c>
      <c r="O764" s="11" t="s">
        <v>671</v>
      </c>
      <c r="P764" s="11" t="s">
        <v>87</v>
      </c>
      <c r="Q764" s="20">
        <v>39940.0</v>
      </c>
      <c r="R764" s="17">
        <f t="shared" si="2"/>
        <v>32.02735245</v>
      </c>
      <c r="S764" s="9"/>
      <c r="T764" s="9"/>
      <c r="U764" s="9"/>
      <c r="V764" s="9"/>
      <c r="W764" s="9"/>
      <c r="X764" s="9"/>
      <c r="Y764" s="9"/>
      <c r="Z764" s="9"/>
      <c r="AA764" s="9"/>
      <c r="AB764" s="9" t="str">
        <f>IFERROR(__xludf.DUMMYFUNCTION("""COMPUTED_VALUE"""),"Maris LaWare")</f>
        <v>Maris LaWare</v>
      </c>
      <c r="AC764" s="9"/>
      <c r="AD764" s="9"/>
      <c r="AE764" s="9">
        <f t="shared" si="8"/>
        <v>2</v>
      </c>
      <c r="AF764" s="19" t="b">
        <f t="shared" si="13"/>
        <v>0</v>
      </c>
      <c r="AG764" s="9"/>
      <c r="AH764" s="9"/>
      <c r="AI764" s="9"/>
    </row>
    <row r="765" ht="15.0" customHeight="1">
      <c r="A765" s="11">
        <v>764.0</v>
      </c>
      <c r="B765" s="12">
        <f t="shared" si="131"/>
        <v>39939</v>
      </c>
      <c r="C765" s="13">
        <v>2009.0</v>
      </c>
      <c r="D765" s="11" t="s">
        <v>32</v>
      </c>
      <c r="E765" s="11">
        <v>29.0</v>
      </c>
      <c r="F765" s="21" t="s">
        <v>924</v>
      </c>
      <c r="G765" s="15">
        <v>0.04073672806067163</v>
      </c>
      <c r="H765" s="11" t="s">
        <v>33</v>
      </c>
      <c r="I765" s="16">
        <v>1.72</v>
      </c>
      <c r="J765" s="11" t="s">
        <v>145</v>
      </c>
      <c r="K765" s="11" t="s">
        <v>83</v>
      </c>
      <c r="L765" s="11" t="s">
        <v>41</v>
      </c>
      <c r="M765" s="11" t="s">
        <v>28</v>
      </c>
      <c r="N765" s="11" t="s">
        <v>56</v>
      </c>
      <c r="O765" s="11" t="s">
        <v>57</v>
      </c>
      <c r="P765" s="11" t="s">
        <v>58</v>
      </c>
      <c r="Q765" s="20">
        <v>39941.0</v>
      </c>
      <c r="R765" s="17">
        <f t="shared" si="2"/>
        <v>10.82048971</v>
      </c>
      <c r="S765" s="9"/>
      <c r="T765" s="9"/>
      <c r="U765" s="9"/>
      <c r="V765" s="9"/>
      <c r="W765" s="9"/>
      <c r="X765" s="9"/>
      <c r="Y765" s="9"/>
      <c r="Z765" s="9"/>
      <c r="AA765" s="9"/>
      <c r="AB765" s="9" t="str">
        <f>IFERROR(__xludf.DUMMYFUNCTION("""COMPUTED_VALUE"""),"Valerie Mitchum")</f>
        <v>Valerie Mitchum</v>
      </c>
      <c r="AC765" s="9"/>
      <c r="AD765" s="9"/>
      <c r="AE765" s="9">
        <f t="shared" si="8"/>
        <v>3</v>
      </c>
      <c r="AF765" s="19" t="b">
        <f t="shared" si="13"/>
        <v>0</v>
      </c>
      <c r="AG765" s="9"/>
      <c r="AH765" s="9"/>
      <c r="AI765" s="9"/>
    </row>
    <row r="766" ht="15.0" customHeight="1">
      <c r="A766" s="11">
        <v>765.0</v>
      </c>
      <c r="B766" s="12">
        <f t="shared" ref="B766:B773" si="132">DATE(2012,12,31)-1334</f>
        <v>39940</v>
      </c>
      <c r="C766" s="13">
        <v>2009.0</v>
      </c>
      <c r="D766" s="11" t="s">
        <v>32</v>
      </c>
      <c r="E766" s="11">
        <v>26.0</v>
      </c>
      <c r="F766" s="21" t="s">
        <v>142</v>
      </c>
      <c r="G766" s="15">
        <v>0.0501423342822286</v>
      </c>
      <c r="H766" s="11" t="s">
        <v>33</v>
      </c>
      <c r="I766" s="16">
        <v>0.8800000000000001</v>
      </c>
      <c r="J766" s="11" t="s">
        <v>1257</v>
      </c>
      <c r="K766" s="11" t="s">
        <v>35</v>
      </c>
      <c r="L766" s="11" t="s">
        <v>48</v>
      </c>
      <c r="M766" s="11" t="s">
        <v>66</v>
      </c>
      <c r="N766" s="11" t="s">
        <v>80</v>
      </c>
      <c r="O766" s="11" t="s">
        <v>143</v>
      </c>
      <c r="P766" s="11" t="s">
        <v>38</v>
      </c>
      <c r="Q766" s="20">
        <v>39941.0</v>
      </c>
      <c r="R766" s="17">
        <f t="shared" si="2"/>
        <v>46.84698007</v>
      </c>
      <c r="S766" s="9"/>
      <c r="T766" s="9"/>
      <c r="U766" s="9"/>
      <c r="V766" s="9"/>
      <c r="W766" s="9"/>
      <c r="X766" s="9"/>
      <c r="Y766" s="9"/>
      <c r="Z766" s="9"/>
      <c r="AA766" s="9"/>
      <c r="AB766" s="9" t="str">
        <f>IFERROR(__xludf.DUMMYFUNCTION("""COMPUTED_VALUE"""),"Anthony Jacobs")</f>
        <v>Anthony Jacobs</v>
      </c>
      <c r="AC766" s="9"/>
      <c r="AD766" s="9"/>
      <c r="AE766" s="9">
        <f t="shared" si="8"/>
        <v>4</v>
      </c>
      <c r="AF766" s="19">
        <f t="shared" si="13"/>
        <v>2</v>
      </c>
      <c r="AG766" s="9"/>
      <c r="AH766" s="9"/>
      <c r="AI766" s="9"/>
    </row>
    <row r="767" ht="15.0" customHeight="1">
      <c r="A767" s="11">
        <v>766.0</v>
      </c>
      <c r="B767" s="12">
        <f t="shared" si="132"/>
        <v>39940</v>
      </c>
      <c r="C767" s="13">
        <v>2009.0</v>
      </c>
      <c r="D767" s="11" t="s">
        <v>32</v>
      </c>
      <c r="E767" s="11">
        <v>48.0</v>
      </c>
      <c r="F767" s="21" t="s">
        <v>204</v>
      </c>
      <c r="G767" s="15">
        <v>0.09361053361053348</v>
      </c>
      <c r="H767" s="11" t="s">
        <v>33</v>
      </c>
      <c r="I767" s="16">
        <v>1.192</v>
      </c>
      <c r="J767" s="11" t="s">
        <v>1024</v>
      </c>
      <c r="K767" s="11" t="s">
        <v>26</v>
      </c>
      <c r="L767" s="11" t="s">
        <v>36</v>
      </c>
      <c r="M767" s="11" t="s">
        <v>28</v>
      </c>
      <c r="N767" s="11" t="s">
        <v>42</v>
      </c>
      <c r="O767" s="11" t="s">
        <v>1141</v>
      </c>
      <c r="P767" s="11" t="s">
        <v>38</v>
      </c>
      <c r="Q767" s="20">
        <v>39941.0</v>
      </c>
      <c r="R767" s="17">
        <f t="shared" si="2"/>
        <v>12.24350891</v>
      </c>
      <c r="S767" s="9"/>
      <c r="T767" s="9"/>
      <c r="U767" s="9"/>
      <c r="V767" s="9"/>
      <c r="W767" s="9"/>
      <c r="X767" s="9"/>
      <c r="Y767" s="9"/>
      <c r="Z767" s="9"/>
      <c r="AA767" s="9"/>
      <c r="AB767" s="9" t="str">
        <f>IFERROR(__xludf.DUMMYFUNCTION("""COMPUTED_VALUE"""),"Anne McFarland")</f>
        <v>Anne McFarland</v>
      </c>
      <c r="AC767" s="9"/>
      <c r="AD767" s="9"/>
      <c r="AE767" s="9">
        <f t="shared" si="8"/>
        <v>2</v>
      </c>
      <c r="AF767" s="19">
        <f t="shared" si="13"/>
        <v>1</v>
      </c>
      <c r="AG767" s="9"/>
      <c r="AH767" s="9"/>
      <c r="AI767" s="9"/>
    </row>
    <row r="768" ht="15.0" customHeight="1">
      <c r="A768" s="11">
        <v>767.0</v>
      </c>
      <c r="B768" s="12">
        <f t="shared" si="132"/>
        <v>39940</v>
      </c>
      <c r="C768" s="13">
        <v>2009.0</v>
      </c>
      <c r="D768" s="11" t="s">
        <v>102</v>
      </c>
      <c r="E768" s="11">
        <v>19.0</v>
      </c>
      <c r="F768" s="21" t="s">
        <v>356</v>
      </c>
      <c r="G768" s="15">
        <v>0.01573852922690144</v>
      </c>
      <c r="H768" s="11" t="s">
        <v>33</v>
      </c>
      <c r="I768" s="16">
        <v>1.592</v>
      </c>
      <c r="J768" s="11" t="s">
        <v>459</v>
      </c>
      <c r="K768" s="11" t="s">
        <v>65</v>
      </c>
      <c r="L768" s="11" t="s">
        <v>41</v>
      </c>
      <c r="M768" s="11" t="s">
        <v>66</v>
      </c>
      <c r="N768" s="11" t="s">
        <v>67</v>
      </c>
      <c r="O768" s="11" t="s">
        <v>358</v>
      </c>
      <c r="P768" s="11" t="s">
        <v>99</v>
      </c>
      <c r="Q768" s="20">
        <v>39941.0</v>
      </c>
      <c r="R768" s="17">
        <f t="shared" si="2"/>
        <v>4.929181446</v>
      </c>
      <c r="S768" s="9"/>
      <c r="T768" s="9"/>
      <c r="U768" s="9"/>
      <c r="V768" s="9"/>
      <c r="W768" s="9"/>
      <c r="X768" s="9"/>
      <c r="Y768" s="9"/>
      <c r="Z768" s="9"/>
      <c r="AA768" s="9"/>
      <c r="AB768" s="9" t="str">
        <f>IFERROR(__xludf.DUMMYFUNCTION("""COMPUTED_VALUE"""),"Ken Heidel")</f>
        <v>Ken Heidel</v>
      </c>
      <c r="AC768" s="9"/>
      <c r="AD768" s="9"/>
      <c r="AE768" s="9">
        <f t="shared" si="8"/>
        <v>3</v>
      </c>
      <c r="AF768" s="19">
        <f t="shared" si="13"/>
        <v>5</v>
      </c>
      <c r="AG768" s="9"/>
      <c r="AH768" s="9"/>
      <c r="AI768" s="9"/>
    </row>
    <row r="769" ht="15.0" customHeight="1">
      <c r="A769" s="11">
        <v>768.0</v>
      </c>
      <c r="B769" s="12">
        <f t="shared" si="132"/>
        <v>39940</v>
      </c>
      <c r="C769" s="13">
        <v>2009.0</v>
      </c>
      <c r="D769" s="11" t="s">
        <v>32</v>
      </c>
      <c r="E769" s="11">
        <v>27.0</v>
      </c>
      <c r="F769" s="21" t="s">
        <v>1166</v>
      </c>
      <c r="G769" s="15">
        <v>0.07800578034682085</v>
      </c>
      <c r="H769" s="11" t="s">
        <v>24</v>
      </c>
      <c r="I769" s="16">
        <v>0.7040000000000001</v>
      </c>
      <c r="J769" s="11" t="s">
        <v>1179</v>
      </c>
      <c r="K769" s="11" t="s">
        <v>61</v>
      </c>
      <c r="L769" s="11" t="s">
        <v>41</v>
      </c>
      <c r="M769" s="11" t="s">
        <v>28</v>
      </c>
      <c r="N769" s="11" t="s">
        <v>56</v>
      </c>
      <c r="O769" s="11" t="s">
        <v>1258</v>
      </c>
      <c r="P769" s="11" t="s">
        <v>58</v>
      </c>
      <c r="Q769" s="20">
        <v>39942.0</v>
      </c>
      <c r="R769" s="17">
        <f t="shared" si="2"/>
        <v>9.953849595</v>
      </c>
      <c r="S769" s="9"/>
      <c r="T769" s="9"/>
      <c r="U769" s="9"/>
      <c r="V769" s="9"/>
      <c r="W769" s="9"/>
      <c r="X769" s="9"/>
      <c r="Y769" s="9"/>
      <c r="Z769" s="9"/>
      <c r="AA769" s="9"/>
      <c r="AB769" s="9" t="str">
        <f>IFERROR(__xludf.DUMMYFUNCTION("""COMPUTED_VALUE"""),"Aimee Bixby")</f>
        <v>Aimee Bixby</v>
      </c>
      <c r="AC769" s="9"/>
      <c r="AD769" s="9"/>
      <c r="AE769" s="9">
        <f t="shared" si="8"/>
        <v>3</v>
      </c>
      <c r="AF769" s="19">
        <f t="shared" si="13"/>
        <v>4</v>
      </c>
      <c r="AG769" s="9"/>
      <c r="AH769" s="9"/>
      <c r="AI769" s="9"/>
    </row>
    <row r="770" ht="15.0" customHeight="1">
      <c r="A770" s="11">
        <v>769.0</v>
      </c>
      <c r="B770" s="12">
        <f t="shared" si="132"/>
        <v>39940</v>
      </c>
      <c r="C770" s="13">
        <v>2009.0</v>
      </c>
      <c r="D770" s="11" t="s">
        <v>32</v>
      </c>
      <c r="E770" s="11">
        <v>18.0</v>
      </c>
      <c r="F770" s="21" t="s">
        <v>158</v>
      </c>
      <c r="G770" s="15">
        <v>0.09688888888888887</v>
      </c>
      <c r="H770" s="11" t="s">
        <v>33</v>
      </c>
      <c r="I770" s="16">
        <v>6.720000000000001</v>
      </c>
      <c r="J770" s="11" t="s">
        <v>1259</v>
      </c>
      <c r="K770" s="11" t="s">
        <v>65</v>
      </c>
      <c r="L770" s="11" t="s">
        <v>41</v>
      </c>
      <c r="M770" s="11" t="s">
        <v>28</v>
      </c>
      <c r="N770" s="11" t="s">
        <v>56</v>
      </c>
      <c r="O770" s="11" t="s">
        <v>1260</v>
      </c>
      <c r="P770" s="11" t="s">
        <v>38</v>
      </c>
      <c r="Q770" s="20">
        <v>39942.0</v>
      </c>
      <c r="R770" s="17">
        <f t="shared" si="2"/>
        <v>11.81269333</v>
      </c>
      <c r="S770" s="9"/>
      <c r="T770" s="9"/>
      <c r="U770" s="9"/>
      <c r="V770" s="9"/>
      <c r="W770" s="9"/>
      <c r="X770" s="9"/>
      <c r="Y770" s="9"/>
      <c r="Z770" s="9"/>
      <c r="AA770" s="9"/>
      <c r="AB770" s="9" t="str">
        <f>IFERROR(__xludf.DUMMYFUNCTION("""COMPUTED_VALUE"""),"Cassandra Brandow")</f>
        <v>Cassandra Brandow</v>
      </c>
      <c r="AC770" s="9"/>
      <c r="AD770" s="9"/>
      <c r="AE770" s="9">
        <f t="shared" si="8"/>
        <v>3</v>
      </c>
      <c r="AF770" s="19">
        <f t="shared" si="13"/>
        <v>5</v>
      </c>
      <c r="AG770" s="9"/>
      <c r="AH770" s="9"/>
      <c r="AI770" s="9"/>
    </row>
    <row r="771" ht="15.0" customHeight="1">
      <c r="A771" s="11">
        <v>770.0</v>
      </c>
      <c r="B771" s="12">
        <f t="shared" si="132"/>
        <v>39940</v>
      </c>
      <c r="C771" s="13">
        <v>2009.0</v>
      </c>
      <c r="D771" s="11" t="s">
        <v>32</v>
      </c>
      <c r="E771" s="11">
        <v>2.0</v>
      </c>
      <c r="F771" s="21" t="s">
        <v>1261</v>
      </c>
      <c r="G771" s="15">
        <v>0.0705128205128205</v>
      </c>
      <c r="H771" s="11" t="s">
        <v>33</v>
      </c>
      <c r="I771" s="16">
        <v>3.2</v>
      </c>
      <c r="J771" s="11" t="s">
        <v>253</v>
      </c>
      <c r="K771" s="11" t="s">
        <v>61</v>
      </c>
      <c r="L771" s="11" t="s">
        <v>36</v>
      </c>
      <c r="M771" s="11" t="s">
        <v>66</v>
      </c>
      <c r="N771" s="11" t="s">
        <v>67</v>
      </c>
      <c r="O771" s="11" t="s">
        <v>1262</v>
      </c>
      <c r="P771" s="11" t="s">
        <v>38</v>
      </c>
      <c r="Q771" s="20">
        <v>39942.0</v>
      </c>
      <c r="R771" s="17">
        <f t="shared" si="2"/>
        <v>4.08974359</v>
      </c>
      <c r="S771" s="9"/>
      <c r="T771" s="9"/>
      <c r="U771" s="9"/>
      <c r="V771" s="9"/>
      <c r="W771" s="9"/>
      <c r="X771" s="9"/>
      <c r="Y771" s="9"/>
      <c r="Z771" s="9"/>
      <c r="AA771" s="9"/>
      <c r="AB771" s="9" t="str">
        <f>IFERROR(__xludf.DUMMYFUNCTION("""COMPUTED_VALUE"""),"Matt Hagelstein")</f>
        <v>Matt Hagelstein</v>
      </c>
      <c r="AC771" s="9"/>
      <c r="AD771" s="9"/>
      <c r="AE771" s="9">
        <f t="shared" si="8"/>
        <v>2</v>
      </c>
      <c r="AF771" s="19">
        <f t="shared" si="13"/>
        <v>4</v>
      </c>
      <c r="AG771" s="9"/>
      <c r="AH771" s="9"/>
      <c r="AI771" s="9"/>
    </row>
    <row r="772" ht="15.0" customHeight="1">
      <c r="A772" s="11">
        <v>771.0</v>
      </c>
      <c r="B772" s="12">
        <f t="shared" si="132"/>
        <v>39940</v>
      </c>
      <c r="C772" s="13">
        <v>2009.0</v>
      </c>
      <c r="D772" s="11" t="s">
        <v>39</v>
      </c>
      <c r="E772" s="11">
        <v>43.0</v>
      </c>
      <c r="F772" s="21" t="s">
        <v>178</v>
      </c>
      <c r="G772" s="15">
        <v>0.08438070068005271</v>
      </c>
      <c r="H772" s="11" t="s">
        <v>24</v>
      </c>
      <c r="I772" s="16">
        <v>7.192</v>
      </c>
      <c r="J772" s="11" t="s">
        <v>213</v>
      </c>
      <c r="K772" s="11" t="s">
        <v>47</v>
      </c>
      <c r="L772" s="11" t="s">
        <v>48</v>
      </c>
      <c r="M772" s="11" t="s">
        <v>66</v>
      </c>
      <c r="N772" s="11" t="s">
        <v>80</v>
      </c>
      <c r="O772" s="11" t="s">
        <v>1263</v>
      </c>
      <c r="P772" s="11" t="s">
        <v>38</v>
      </c>
      <c r="Q772" s="20">
        <v>39942.0</v>
      </c>
      <c r="R772" s="17">
        <f t="shared" si="2"/>
        <v>239.7164575</v>
      </c>
      <c r="S772" s="9"/>
      <c r="T772" s="9"/>
      <c r="U772" s="9"/>
      <c r="V772" s="9"/>
      <c r="W772" s="9"/>
      <c r="X772" s="9"/>
      <c r="Y772" s="9"/>
      <c r="Z772" s="9"/>
      <c r="AA772" s="9"/>
      <c r="AB772" s="9" t="str">
        <f>IFERROR(__xludf.DUMMYFUNCTION("""COMPUTED_VALUE"""),"Katrina Edelman")</f>
        <v>Katrina Edelman</v>
      </c>
      <c r="AC772" s="9"/>
      <c r="AD772" s="9"/>
      <c r="AE772" s="9">
        <f t="shared" si="8"/>
        <v>4</v>
      </c>
      <c r="AF772" s="19">
        <f t="shared" si="13"/>
        <v>3</v>
      </c>
      <c r="AG772" s="9"/>
      <c r="AH772" s="9"/>
      <c r="AI772" s="9"/>
    </row>
    <row r="773" ht="15.0" customHeight="1">
      <c r="A773" s="11">
        <v>772.0</v>
      </c>
      <c r="B773" s="12">
        <f t="shared" si="132"/>
        <v>39940</v>
      </c>
      <c r="C773" s="13">
        <v>2009.0</v>
      </c>
      <c r="D773" s="11" t="s">
        <v>102</v>
      </c>
      <c r="E773" s="11">
        <v>5.0</v>
      </c>
      <c r="F773" s="21" t="s">
        <v>740</v>
      </c>
      <c r="G773" s="15">
        <v>0.06648287798244533</v>
      </c>
      <c r="H773" s="11" t="s">
        <v>33</v>
      </c>
      <c r="I773" s="16">
        <v>5.744</v>
      </c>
      <c r="J773" s="11" t="s">
        <v>1264</v>
      </c>
      <c r="K773" s="11" t="s">
        <v>35</v>
      </c>
      <c r="L773" s="11" t="s">
        <v>36</v>
      </c>
      <c r="M773" s="11" t="s">
        <v>66</v>
      </c>
      <c r="N773" s="11" t="s">
        <v>67</v>
      </c>
      <c r="O773" s="11" t="s">
        <v>1147</v>
      </c>
      <c r="P773" s="11" t="s">
        <v>38</v>
      </c>
      <c r="Q773" s="20">
        <v>39942.0</v>
      </c>
      <c r="R773" s="17">
        <f t="shared" si="2"/>
        <v>100.4053676</v>
      </c>
      <c r="S773" s="9"/>
      <c r="T773" s="9"/>
      <c r="U773" s="9"/>
      <c r="V773" s="9"/>
      <c r="W773" s="9"/>
      <c r="X773" s="9"/>
      <c r="Y773" s="9"/>
      <c r="Z773" s="9"/>
      <c r="AA773" s="9"/>
      <c r="AB773" s="9" t="str">
        <f>IFERROR(__xludf.DUMMYFUNCTION("""COMPUTED_VALUE"""),"Michelle Lonsdale")</f>
        <v>Michelle Lonsdale</v>
      </c>
      <c r="AC773" s="9"/>
      <c r="AD773" s="9"/>
      <c r="AE773" s="9">
        <f t="shared" si="8"/>
        <v>2</v>
      </c>
      <c r="AF773" s="19">
        <f t="shared" si="13"/>
        <v>2</v>
      </c>
      <c r="AG773" s="9"/>
      <c r="AH773" s="9"/>
      <c r="AI773" s="9"/>
    </row>
    <row r="774" ht="15.0" customHeight="1">
      <c r="A774" s="11">
        <v>773.0</v>
      </c>
      <c r="B774" s="12">
        <f t="shared" ref="B774:B776" si="133">DATE(2012,12,31)-1333</f>
        <v>39941</v>
      </c>
      <c r="C774" s="13">
        <v>2009.0</v>
      </c>
      <c r="D774" s="11" t="s">
        <v>32</v>
      </c>
      <c r="E774" s="11">
        <v>15.0</v>
      </c>
      <c r="F774" s="21" t="s">
        <v>1265</v>
      </c>
      <c r="G774" s="15">
        <v>0.09511508072827222</v>
      </c>
      <c r="H774" s="11" t="s">
        <v>33</v>
      </c>
      <c r="I774" s="16">
        <v>9.912</v>
      </c>
      <c r="J774" s="11" t="s">
        <v>1266</v>
      </c>
      <c r="K774" s="11" t="s">
        <v>65</v>
      </c>
      <c r="L774" s="11" t="s">
        <v>48</v>
      </c>
      <c r="M774" s="11" t="s">
        <v>28</v>
      </c>
      <c r="N774" s="11" t="s">
        <v>236</v>
      </c>
      <c r="O774" s="11" t="s">
        <v>1267</v>
      </c>
      <c r="P774" s="11" t="s">
        <v>38</v>
      </c>
      <c r="Q774" s="20">
        <v>39942.0</v>
      </c>
      <c r="R774" s="17">
        <f t="shared" si="2"/>
        <v>25.05445364</v>
      </c>
      <c r="S774" s="9"/>
      <c r="T774" s="9"/>
      <c r="U774" s="9"/>
      <c r="V774" s="9"/>
      <c r="W774" s="9"/>
      <c r="X774" s="9"/>
      <c r="Y774" s="9"/>
      <c r="Z774" s="9"/>
      <c r="AA774" s="9"/>
      <c r="AB774" s="9" t="str">
        <f>IFERROR(__xludf.DUMMYFUNCTION("""COMPUTED_VALUE"""),"Jim Karlsson")</f>
        <v>Jim Karlsson</v>
      </c>
      <c r="AC774" s="9"/>
      <c r="AD774" s="9"/>
      <c r="AE774" s="9">
        <f t="shared" si="8"/>
        <v>4</v>
      </c>
      <c r="AF774" s="19">
        <f t="shared" si="13"/>
        <v>5</v>
      </c>
      <c r="AG774" s="9"/>
      <c r="AH774" s="9"/>
      <c r="AI774" s="9"/>
    </row>
    <row r="775" ht="15.0" customHeight="1">
      <c r="A775" s="11">
        <v>774.0</v>
      </c>
      <c r="B775" s="12">
        <f t="shared" si="133"/>
        <v>39941</v>
      </c>
      <c r="C775" s="13">
        <v>2009.0</v>
      </c>
      <c r="D775" s="11" t="s">
        <v>23</v>
      </c>
      <c r="E775" s="11">
        <v>2.0</v>
      </c>
      <c r="F775" s="21" t="s">
        <v>1268</v>
      </c>
      <c r="G775" s="15">
        <v>0.05261313868613138</v>
      </c>
      <c r="H775" s="11" t="s">
        <v>33</v>
      </c>
      <c r="I775" s="16">
        <v>6.296</v>
      </c>
      <c r="J775" s="11" t="s">
        <v>1108</v>
      </c>
      <c r="K775" s="11" t="s">
        <v>47</v>
      </c>
      <c r="L775" s="11" t="s">
        <v>48</v>
      </c>
      <c r="M775" s="11" t="s">
        <v>49</v>
      </c>
      <c r="N775" s="11" t="s">
        <v>73</v>
      </c>
      <c r="O775" s="11" t="s">
        <v>1269</v>
      </c>
      <c r="P775" s="11" t="s">
        <v>38</v>
      </c>
      <c r="Q775" s="20">
        <v>39942.0</v>
      </c>
      <c r="R775" s="17">
        <f t="shared" si="2"/>
        <v>3.414382248</v>
      </c>
      <c r="S775" s="9"/>
      <c r="T775" s="9"/>
      <c r="U775" s="9"/>
      <c r="V775" s="9"/>
      <c r="W775" s="9"/>
      <c r="X775" s="9"/>
      <c r="Y775" s="9"/>
      <c r="Z775" s="9"/>
      <c r="AA775" s="9"/>
      <c r="AB775" s="9" t="str">
        <f>IFERROR(__xludf.DUMMYFUNCTION("""COMPUTED_VALUE"""),"Brian DeCherney")</f>
        <v>Brian DeCherney</v>
      </c>
      <c r="AC775" s="9"/>
      <c r="AD775" s="9"/>
      <c r="AE775" s="9">
        <f t="shared" si="8"/>
        <v>4</v>
      </c>
      <c r="AF775" s="19">
        <f t="shared" si="13"/>
        <v>3</v>
      </c>
      <c r="AG775" s="9"/>
      <c r="AH775" s="9"/>
      <c r="AI775" s="9"/>
    </row>
    <row r="776" ht="15.0" customHeight="1">
      <c r="A776" s="11">
        <v>775.0</v>
      </c>
      <c r="B776" s="12">
        <f t="shared" si="133"/>
        <v>39941</v>
      </c>
      <c r="C776" s="13">
        <v>2009.0</v>
      </c>
      <c r="D776" s="11" t="s">
        <v>44</v>
      </c>
      <c r="E776" s="11">
        <v>1.0</v>
      </c>
      <c r="F776" s="21" t="s">
        <v>740</v>
      </c>
      <c r="G776" s="15">
        <v>0.06110226576852424</v>
      </c>
      <c r="H776" s="11" t="s">
        <v>33</v>
      </c>
      <c r="I776" s="16">
        <v>5.744</v>
      </c>
      <c r="J776" s="11" t="s">
        <v>494</v>
      </c>
      <c r="K776" s="11" t="s">
        <v>83</v>
      </c>
      <c r="L776" s="11" t="s">
        <v>48</v>
      </c>
      <c r="M776" s="11" t="s">
        <v>66</v>
      </c>
      <c r="N776" s="11" t="s">
        <v>67</v>
      </c>
      <c r="O776" s="11" t="s">
        <v>1147</v>
      </c>
      <c r="P776" s="11" t="s">
        <v>38</v>
      </c>
      <c r="Q776" s="20">
        <v>39942.0</v>
      </c>
      <c r="R776" s="17">
        <f t="shared" si="2"/>
        <v>18.73664318</v>
      </c>
      <c r="S776" s="9"/>
      <c r="T776" s="9"/>
      <c r="U776" s="9"/>
      <c r="V776" s="9"/>
      <c r="W776" s="9"/>
      <c r="X776" s="9"/>
      <c r="Y776" s="9"/>
      <c r="Z776" s="9"/>
      <c r="AA776" s="9"/>
      <c r="AB776" s="9" t="str">
        <f>IFERROR(__xludf.DUMMYFUNCTION("""COMPUTED_VALUE"""),"Alan Shonely")</f>
        <v>Alan Shonely</v>
      </c>
      <c r="AC776" s="9"/>
      <c r="AD776" s="9"/>
      <c r="AE776" s="9">
        <f t="shared" si="8"/>
        <v>4</v>
      </c>
      <c r="AF776" s="19" t="b">
        <f t="shared" si="13"/>
        <v>0</v>
      </c>
      <c r="AG776" s="9"/>
      <c r="AH776" s="9"/>
      <c r="AI776" s="9"/>
    </row>
    <row r="777" ht="15.0" customHeight="1">
      <c r="A777" s="11">
        <v>776.0</v>
      </c>
      <c r="B777" s="12">
        <f t="shared" ref="B777:B781" si="134">DATE(2012,12,31)-1332</f>
        <v>39942</v>
      </c>
      <c r="C777" s="13">
        <v>2009.0</v>
      </c>
      <c r="D777" s="11" t="s">
        <v>39</v>
      </c>
      <c r="E777" s="11">
        <v>24.0</v>
      </c>
      <c r="F777" s="21" t="s">
        <v>158</v>
      </c>
      <c r="G777" s="15">
        <v>0.06853828306264485</v>
      </c>
      <c r="H777" s="11" t="s">
        <v>33</v>
      </c>
      <c r="I777" s="16">
        <v>6.984000000000001</v>
      </c>
      <c r="J777" s="11" t="s">
        <v>703</v>
      </c>
      <c r="K777" s="11" t="s">
        <v>35</v>
      </c>
      <c r="L777" s="11" t="s">
        <v>41</v>
      </c>
      <c r="M777" s="11" t="s">
        <v>28</v>
      </c>
      <c r="N777" s="11" t="s">
        <v>56</v>
      </c>
      <c r="O777" s="11" t="s">
        <v>160</v>
      </c>
      <c r="P777" s="11" t="s">
        <v>38</v>
      </c>
      <c r="Q777" s="20">
        <v>39943.0</v>
      </c>
      <c r="R777" s="17">
        <f t="shared" si="2"/>
        <v>11.00615165</v>
      </c>
      <c r="S777" s="9"/>
      <c r="T777" s="9"/>
      <c r="U777" s="9"/>
      <c r="V777" s="9"/>
      <c r="W777" s="9"/>
      <c r="X777" s="9"/>
      <c r="Y777" s="9"/>
      <c r="Z777" s="9"/>
      <c r="AA777" s="9"/>
      <c r="AB777" s="9" t="str">
        <f>IFERROR(__xludf.DUMMYFUNCTION("""COMPUTED_VALUE"""),"Mike Caudle")</f>
        <v>Mike Caudle</v>
      </c>
      <c r="AC777" s="9"/>
      <c r="AD777" s="9"/>
      <c r="AE777" s="9">
        <f t="shared" si="8"/>
        <v>3</v>
      </c>
      <c r="AF777" s="19">
        <f t="shared" si="13"/>
        <v>2</v>
      </c>
      <c r="AG777" s="9"/>
      <c r="AH777" s="9"/>
      <c r="AI777" s="9"/>
    </row>
    <row r="778" ht="15.0" customHeight="1">
      <c r="A778" s="11">
        <v>777.0</v>
      </c>
      <c r="B778" s="12">
        <f t="shared" si="134"/>
        <v>39942</v>
      </c>
      <c r="C778" s="13">
        <v>2009.0</v>
      </c>
      <c r="D778" s="11" t="s">
        <v>32</v>
      </c>
      <c r="E778" s="11">
        <v>41.0</v>
      </c>
      <c r="F778" s="21" t="s">
        <v>158</v>
      </c>
      <c r="G778" s="15">
        <v>0.06106458481192324</v>
      </c>
      <c r="H778" s="11" t="s">
        <v>33</v>
      </c>
      <c r="I778" s="16">
        <v>2.192</v>
      </c>
      <c r="J778" s="11" t="s">
        <v>738</v>
      </c>
      <c r="K778" s="11" t="s">
        <v>65</v>
      </c>
      <c r="L778" s="11" t="s">
        <v>48</v>
      </c>
      <c r="M778" s="11" t="s">
        <v>66</v>
      </c>
      <c r="N778" s="11" t="s">
        <v>67</v>
      </c>
      <c r="O778" s="11" t="s">
        <v>1270</v>
      </c>
      <c r="P778" s="11" t="s">
        <v>99</v>
      </c>
      <c r="Q778" s="20">
        <v>39943.0</v>
      </c>
      <c r="R778" s="17">
        <f t="shared" si="2"/>
        <v>16.15720062</v>
      </c>
      <c r="S778" s="9"/>
      <c r="T778" s="9"/>
      <c r="U778" s="9"/>
      <c r="V778" s="9"/>
      <c r="W778" s="9"/>
      <c r="X778" s="9"/>
      <c r="Y778" s="9"/>
      <c r="Z778" s="9"/>
      <c r="AA778" s="9"/>
      <c r="AB778" s="9" t="str">
        <f>IFERROR(__xludf.DUMMYFUNCTION("""COMPUTED_VALUE"""),"Janet Molinari")</f>
        <v>Janet Molinari</v>
      </c>
      <c r="AC778" s="9"/>
      <c r="AD778" s="9"/>
      <c r="AE778" s="9">
        <f t="shared" si="8"/>
        <v>4</v>
      </c>
      <c r="AF778" s="19">
        <f t="shared" si="13"/>
        <v>5</v>
      </c>
      <c r="AG778" s="9"/>
      <c r="AH778" s="9"/>
      <c r="AI778" s="9"/>
    </row>
    <row r="779" ht="15.0" customHeight="1">
      <c r="A779" s="11">
        <v>778.0</v>
      </c>
      <c r="B779" s="12">
        <f t="shared" si="134"/>
        <v>39942</v>
      </c>
      <c r="C779" s="13">
        <v>2009.0</v>
      </c>
      <c r="D779" s="11" t="s">
        <v>32</v>
      </c>
      <c r="E779" s="11">
        <v>18.0</v>
      </c>
      <c r="F779" s="21" t="s">
        <v>624</v>
      </c>
      <c r="G779" s="15">
        <v>0.08485586682907026</v>
      </c>
      <c r="H779" s="11" t="s">
        <v>33</v>
      </c>
      <c r="I779" s="16">
        <v>0.4</v>
      </c>
      <c r="J779" s="11" t="s">
        <v>738</v>
      </c>
      <c r="K779" s="11" t="s">
        <v>65</v>
      </c>
      <c r="L779" s="11" t="s">
        <v>48</v>
      </c>
      <c r="M779" s="11" t="s">
        <v>28</v>
      </c>
      <c r="N779" s="11" t="s">
        <v>188</v>
      </c>
      <c r="O779" s="11" t="s">
        <v>1083</v>
      </c>
      <c r="P779" s="11" t="s">
        <v>38</v>
      </c>
      <c r="Q779" s="20">
        <v>39943.0</v>
      </c>
      <c r="R779" s="17">
        <f t="shared" si="2"/>
        <v>19.12651238</v>
      </c>
      <c r="S779" s="9"/>
      <c r="T779" s="9"/>
      <c r="U779" s="9"/>
      <c r="V779" s="9"/>
      <c r="W779" s="9"/>
      <c r="X779" s="9"/>
      <c r="Y779" s="9"/>
      <c r="Z779" s="9"/>
      <c r="AA779" s="9"/>
      <c r="AB779" s="9" t="str">
        <f>IFERROR(__xludf.DUMMYFUNCTION("""COMPUTED_VALUE"""),"Jay Kimmel")</f>
        <v>Jay Kimmel</v>
      </c>
      <c r="AC779" s="9"/>
      <c r="AD779" s="9"/>
      <c r="AE779" s="9">
        <f t="shared" si="8"/>
        <v>4</v>
      </c>
      <c r="AF779" s="19">
        <f t="shared" si="13"/>
        <v>5</v>
      </c>
      <c r="AG779" s="9"/>
      <c r="AH779" s="9"/>
      <c r="AI779" s="9"/>
    </row>
    <row r="780" ht="15.0" customHeight="1">
      <c r="A780" s="11">
        <v>779.0</v>
      </c>
      <c r="B780" s="12">
        <f t="shared" si="134"/>
        <v>39942</v>
      </c>
      <c r="C780" s="13">
        <v>2009.0</v>
      </c>
      <c r="D780" s="11" t="s">
        <v>32</v>
      </c>
      <c r="E780" s="11">
        <v>44.0</v>
      </c>
      <c r="F780" s="21" t="s">
        <v>135</v>
      </c>
      <c r="G780" s="15">
        <v>0.07084489281210604</v>
      </c>
      <c r="H780" s="11" t="s">
        <v>33</v>
      </c>
      <c r="I780" s="16">
        <v>4.328</v>
      </c>
      <c r="J780" s="11" t="s">
        <v>738</v>
      </c>
      <c r="K780" s="11" t="s">
        <v>65</v>
      </c>
      <c r="L780" s="11" t="s">
        <v>48</v>
      </c>
      <c r="M780" s="11" t="s">
        <v>28</v>
      </c>
      <c r="N780" s="11" t="s">
        <v>56</v>
      </c>
      <c r="O780" s="11" t="s">
        <v>1271</v>
      </c>
      <c r="P780" s="11" t="s">
        <v>38</v>
      </c>
      <c r="Q780" s="20">
        <v>39943.0</v>
      </c>
      <c r="R780" s="17">
        <f t="shared" si="2"/>
        <v>20.87997357</v>
      </c>
      <c r="S780" s="9"/>
      <c r="T780" s="9"/>
      <c r="U780" s="9"/>
      <c r="V780" s="9"/>
      <c r="W780" s="9"/>
      <c r="X780" s="9"/>
      <c r="Y780" s="9"/>
      <c r="Z780" s="9"/>
      <c r="AA780" s="9"/>
      <c r="AB780" s="9" t="str">
        <f>IFERROR(__xludf.DUMMYFUNCTION("""COMPUTED_VALUE"""),"Darren Koutras")</f>
        <v>Darren Koutras</v>
      </c>
      <c r="AC780" s="9"/>
      <c r="AD780" s="9"/>
      <c r="AE780" s="9">
        <f t="shared" si="8"/>
        <v>4</v>
      </c>
      <c r="AF780" s="19">
        <f t="shared" si="13"/>
        <v>5</v>
      </c>
      <c r="AG780" s="9"/>
      <c r="AH780" s="9"/>
      <c r="AI780" s="9"/>
    </row>
    <row r="781" ht="15.0" customHeight="1">
      <c r="A781" s="11">
        <v>780.0</v>
      </c>
      <c r="B781" s="12">
        <f t="shared" si="134"/>
        <v>39942</v>
      </c>
      <c r="C781" s="13">
        <v>2009.0</v>
      </c>
      <c r="D781" s="11" t="s">
        <v>32</v>
      </c>
      <c r="E781" s="11">
        <v>22.0</v>
      </c>
      <c r="F781" s="21" t="s">
        <v>178</v>
      </c>
      <c r="G781" s="15">
        <v>0.07645030425963471</v>
      </c>
      <c r="H781" s="11" t="s">
        <v>24</v>
      </c>
      <c r="I781" s="16">
        <v>7.192</v>
      </c>
      <c r="J781" s="11" t="s">
        <v>738</v>
      </c>
      <c r="K781" s="11" t="s">
        <v>65</v>
      </c>
      <c r="L781" s="11" t="s">
        <v>48</v>
      </c>
      <c r="M781" s="11" t="s">
        <v>66</v>
      </c>
      <c r="N781" s="11" t="s">
        <v>80</v>
      </c>
      <c r="O781" s="11" t="s">
        <v>1272</v>
      </c>
      <c r="P781" s="11" t="s">
        <v>38</v>
      </c>
      <c r="Q781" s="20">
        <v>39944.0</v>
      </c>
      <c r="R781" s="17">
        <f t="shared" si="2"/>
        <v>111.3874817</v>
      </c>
      <c r="S781" s="9"/>
      <c r="T781" s="9"/>
      <c r="U781" s="9"/>
      <c r="V781" s="9"/>
      <c r="W781" s="9"/>
      <c r="X781" s="9"/>
      <c r="Y781" s="9"/>
      <c r="Z781" s="9"/>
      <c r="AA781" s="9"/>
      <c r="AB781" s="9" t="str">
        <f>IFERROR(__xludf.DUMMYFUNCTION("""COMPUTED_VALUE"""),"Thea Hendricks")</f>
        <v>Thea Hendricks</v>
      </c>
      <c r="AC781" s="9"/>
      <c r="AD781" s="9"/>
      <c r="AE781" s="9">
        <f t="shared" si="8"/>
        <v>4</v>
      </c>
      <c r="AF781" s="19">
        <f t="shared" si="13"/>
        <v>5</v>
      </c>
      <c r="AG781" s="9"/>
      <c r="AH781" s="9"/>
      <c r="AI781" s="9"/>
    </row>
    <row r="782" ht="15.0" customHeight="1">
      <c r="A782" s="11">
        <v>781.0</v>
      </c>
      <c r="B782" s="12">
        <f t="shared" ref="B782:B783" si="135">DATE(2012,12,31)-1331</f>
        <v>39943</v>
      </c>
      <c r="C782" s="13">
        <v>2009.0</v>
      </c>
      <c r="D782" s="11" t="s">
        <v>44</v>
      </c>
      <c r="E782" s="11">
        <v>23.0</v>
      </c>
      <c r="F782" s="21" t="s">
        <v>718</v>
      </c>
      <c r="G782" s="15">
        <v>0.09490433031218545</v>
      </c>
      <c r="H782" s="11" t="s">
        <v>33</v>
      </c>
      <c r="I782" s="16">
        <v>6.184000000000001</v>
      </c>
      <c r="J782" s="11" t="s">
        <v>1209</v>
      </c>
      <c r="K782" s="11" t="s">
        <v>65</v>
      </c>
      <c r="L782" s="11" t="s">
        <v>27</v>
      </c>
      <c r="M782" s="11" t="s">
        <v>28</v>
      </c>
      <c r="N782" s="11" t="s">
        <v>62</v>
      </c>
      <c r="O782" s="11" t="s">
        <v>720</v>
      </c>
      <c r="P782" s="11" t="s">
        <v>38</v>
      </c>
      <c r="Q782" s="20">
        <v>39944.0</v>
      </c>
      <c r="R782" s="17">
        <f t="shared" si="2"/>
        <v>76.76659432</v>
      </c>
      <c r="S782" s="9"/>
      <c r="T782" s="9"/>
      <c r="U782" s="9"/>
      <c r="V782" s="9"/>
      <c r="W782" s="9"/>
      <c r="X782" s="9"/>
      <c r="Y782" s="9"/>
      <c r="Z782" s="9"/>
      <c r="AA782" s="9"/>
      <c r="AB782" s="9" t="str">
        <f>IFERROR(__xludf.DUMMYFUNCTION("""COMPUTED_VALUE"""),"Shahid Hopkins")</f>
        <v>Shahid Hopkins</v>
      </c>
      <c r="AC782" s="9"/>
      <c r="AD782" s="9"/>
      <c r="AE782" s="9">
        <f t="shared" si="8"/>
        <v>1</v>
      </c>
      <c r="AF782" s="19">
        <f t="shared" si="13"/>
        <v>5</v>
      </c>
      <c r="AG782" s="9"/>
      <c r="AH782" s="9"/>
      <c r="AI782" s="9"/>
    </row>
    <row r="783" ht="15.0" customHeight="1">
      <c r="A783" s="11">
        <v>782.0</v>
      </c>
      <c r="B783" s="12">
        <f t="shared" si="135"/>
        <v>39943</v>
      </c>
      <c r="C783" s="13">
        <v>2009.0</v>
      </c>
      <c r="D783" s="11" t="s">
        <v>44</v>
      </c>
      <c r="E783" s="11">
        <v>49.0</v>
      </c>
      <c r="F783" s="21" t="s">
        <v>158</v>
      </c>
      <c r="G783" s="15">
        <v>0.08677848467322145</v>
      </c>
      <c r="H783" s="11" t="s">
        <v>33</v>
      </c>
      <c r="I783" s="16">
        <v>2.192</v>
      </c>
      <c r="J783" s="11" t="s">
        <v>131</v>
      </c>
      <c r="K783" s="11" t="s">
        <v>35</v>
      </c>
      <c r="L783" s="11" t="s">
        <v>27</v>
      </c>
      <c r="M783" s="11" t="s">
        <v>66</v>
      </c>
      <c r="N783" s="11" t="s">
        <v>67</v>
      </c>
      <c r="O783" s="11" t="s">
        <v>1270</v>
      </c>
      <c r="P783" s="11" t="s">
        <v>99</v>
      </c>
      <c r="Q783" s="20">
        <v>39944.0</v>
      </c>
      <c r="R783" s="17">
        <f t="shared" si="2"/>
        <v>27.40395123</v>
      </c>
      <c r="S783" s="9"/>
      <c r="T783" s="9"/>
      <c r="U783" s="9"/>
      <c r="V783" s="9"/>
      <c r="W783" s="9"/>
      <c r="X783" s="9"/>
      <c r="Y783" s="9"/>
      <c r="Z783" s="9"/>
      <c r="AA783" s="9"/>
      <c r="AB783" s="9" t="str">
        <f>IFERROR(__xludf.DUMMYFUNCTION("""COMPUTED_VALUE"""),"Todd Sumrall")</f>
        <v>Todd Sumrall</v>
      </c>
      <c r="AC783" s="9"/>
      <c r="AD783" s="9"/>
      <c r="AE783" s="9">
        <f t="shared" si="8"/>
        <v>1</v>
      </c>
      <c r="AF783" s="19">
        <f t="shared" si="13"/>
        <v>2</v>
      </c>
      <c r="AG783" s="9"/>
      <c r="AH783" s="9"/>
      <c r="AI783" s="9"/>
    </row>
    <row r="784" ht="15.0" customHeight="1">
      <c r="A784" s="11">
        <v>783.0</v>
      </c>
      <c r="B784" s="12">
        <f t="shared" ref="B784:B792" si="136">DATE(2012,12,31)-1330</f>
        <v>39944</v>
      </c>
      <c r="C784" s="13">
        <v>2009.0</v>
      </c>
      <c r="D784" s="11" t="s">
        <v>44</v>
      </c>
      <c r="E784" s="11">
        <v>30.0</v>
      </c>
      <c r="F784" s="21" t="s">
        <v>1273</v>
      </c>
      <c r="G784" s="15">
        <v>0.014884502309953728</v>
      </c>
      <c r="H784" s="11" t="s">
        <v>24</v>
      </c>
      <c r="I784" s="16">
        <v>1.1119999999999999</v>
      </c>
      <c r="J784" s="11" t="s">
        <v>441</v>
      </c>
      <c r="K784" s="11" t="s">
        <v>83</v>
      </c>
      <c r="L784" s="11" t="s">
        <v>41</v>
      </c>
      <c r="M784" s="11" t="s">
        <v>28</v>
      </c>
      <c r="N784" s="11" t="s">
        <v>236</v>
      </c>
      <c r="O784" s="11" t="s">
        <v>1274</v>
      </c>
      <c r="P784" s="11" t="s">
        <v>38</v>
      </c>
      <c r="Q784" s="20">
        <v>39944.0</v>
      </c>
      <c r="R784" s="17">
        <f t="shared" si="2"/>
        <v>6.982498648</v>
      </c>
      <c r="S784" s="9"/>
      <c r="T784" s="9"/>
      <c r="U784" s="9"/>
      <c r="V784" s="9"/>
      <c r="W784" s="9"/>
      <c r="X784" s="9"/>
      <c r="Y784" s="9"/>
      <c r="Z784" s="9"/>
      <c r="AA784" s="9"/>
      <c r="AB784" s="9" t="str">
        <f>IFERROR(__xludf.DUMMYFUNCTION("""COMPUTED_VALUE"""),"Toby Grace")</f>
        <v>Toby Grace</v>
      </c>
      <c r="AC784" s="9"/>
      <c r="AD784" s="9"/>
      <c r="AE784" s="9">
        <f t="shared" si="8"/>
        <v>3</v>
      </c>
      <c r="AF784" s="19" t="b">
        <f t="shared" si="13"/>
        <v>0</v>
      </c>
      <c r="AG784" s="9"/>
      <c r="AH784" s="9"/>
      <c r="AI784" s="9"/>
    </row>
    <row r="785" ht="15.0" customHeight="1">
      <c r="A785" s="11">
        <v>784.0</v>
      </c>
      <c r="B785" s="12">
        <f t="shared" si="136"/>
        <v>39944</v>
      </c>
      <c r="C785" s="13">
        <v>2009.0</v>
      </c>
      <c r="D785" s="11" t="s">
        <v>32</v>
      </c>
      <c r="E785" s="11">
        <v>35.0</v>
      </c>
      <c r="F785" s="21" t="s">
        <v>1084</v>
      </c>
      <c r="G785" s="15">
        <v>0.13051305130513052</v>
      </c>
      <c r="H785" s="11" t="s">
        <v>33</v>
      </c>
      <c r="I785" s="16">
        <v>39.2</v>
      </c>
      <c r="J785" s="11" t="s">
        <v>1086</v>
      </c>
      <c r="K785" s="11" t="s">
        <v>61</v>
      </c>
      <c r="L785" s="11" t="s">
        <v>41</v>
      </c>
      <c r="M785" s="11" t="s">
        <v>28</v>
      </c>
      <c r="N785" s="11" t="s">
        <v>197</v>
      </c>
      <c r="O785" s="11" t="s">
        <v>1096</v>
      </c>
      <c r="P785" s="11" t="s">
        <v>31</v>
      </c>
      <c r="Q785" s="20">
        <v>39944.0</v>
      </c>
      <c r="R785" s="17">
        <f t="shared" si="2"/>
        <v>25.21512151</v>
      </c>
      <c r="S785" s="9"/>
      <c r="T785" s="9"/>
      <c r="U785" s="9"/>
      <c r="V785" s="9"/>
      <c r="W785" s="9"/>
      <c r="X785" s="9"/>
      <c r="Y785" s="9"/>
      <c r="Z785" s="9"/>
      <c r="AA785" s="9"/>
      <c r="AB785" s="9" t="str">
        <f>IFERROR(__xludf.DUMMYFUNCTION("""COMPUTED_VALUE"""),"Philisse Overcash")</f>
        <v>Philisse Overcash</v>
      </c>
      <c r="AC785" s="9"/>
      <c r="AD785" s="9"/>
      <c r="AE785" s="9">
        <f t="shared" si="8"/>
        <v>3</v>
      </c>
      <c r="AF785" s="19">
        <f t="shared" si="13"/>
        <v>4</v>
      </c>
      <c r="AG785" s="9"/>
      <c r="AH785" s="9"/>
      <c r="AI785" s="9"/>
    </row>
    <row r="786" ht="15.0" customHeight="1">
      <c r="A786" s="11">
        <v>785.0</v>
      </c>
      <c r="B786" s="12">
        <f t="shared" si="136"/>
        <v>39944</v>
      </c>
      <c r="C786" s="13">
        <v>2009.0</v>
      </c>
      <c r="D786" s="11" t="s">
        <v>32</v>
      </c>
      <c r="E786" s="11">
        <v>18.0</v>
      </c>
      <c r="F786" s="21" t="s">
        <v>144</v>
      </c>
      <c r="G786" s="15">
        <v>0.0770562770562771</v>
      </c>
      <c r="H786" s="11" t="s">
        <v>33</v>
      </c>
      <c r="I786" s="16">
        <v>4.84</v>
      </c>
      <c r="J786" s="11" t="s">
        <v>1086</v>
      </c>
      <c r="K786" s="11" t="s">
        <v>61</v>
      </c>
      <c r="L786" s="11" t="s">
        <v>41</v>
      </c>
      <c r="M786" s="11" t="s">
        <v>28</v>
      </c>
      <c r="N786" s="11" t="s">
        <v>42</v>
      </c>
      <c r="O786" s="11" t="s">
        <v>542</v>
      </c>
      <c r="P786" s="11" t="s">
        <v>38</v>
      </c>
      <c r="Q786" s="20">
        <v>39945.0</v>
      </c>
      <c r="R786" s="17">
        <f t="shared" si="2"/>
        <v>3.285679654</v>
      </c>
      <c r="S786" s="9"/>
      <c r="T786" s="9"/>
      <c r="U786" s="9"/>
      <c r="V786" s="9"/>
      <c r="W786" s="9"/>
      <c r="X786" s="9"/>
      <c r="Y786" s="9"/>
      <c r="Z786" s="9"/>
      <c r="AA786" s="9"/>
      <c r="AB786" s="9" t="str">
        <f>IFERROR(__xludf.DUMMYFUNCTION("""COMPUTED_VALUE"""),"Ricardo Emerson")</f>
        <v>Ricardo Emerson</v>
      </c>
      <c r="AC786" s="9"/>
      <c r="AD786" s="9"/>
      <c r="AE786" s="9">
        <f t="shared" si="8"/>
        <v>3</v>
      </c>
      <c r="AF786" s="19">
        <f t="shared" si="13"/>
        <v>4</v>
      </c>
      <c r="AG786" s="9"/>
      <c r="AH786" s="9"/>
      <c r="AI786" s="9"/>
    </row>
    <row r="787" ht="15.0" customHeight="1">
      <c r="A787" s="11">
        <v>786.0</v>
      </c>
      <c r="B787" s="12">
        <f t="shared" si="136"/>
        <v>39944</v>
      </c>
      <c r="C787" s="13">
        <v>2009.0</v>
      </c>
      <c r="D787" s="11" t="s">
        <v>32</v>
      </c>
      <c r="E787" s="11">
        <v>5.0</v>
      </c>
      <c r="F787" s="21" t="s">
        <v>413</v>
      </c>
      <c r="G787" s="15">
        <v>0.06097152428810721</v>
      </c>
      <c r="H787" s="11" t="s">
        <v>33</v>
      </c>
      <c r="I787" s="16">
        <v>7.56</v>
      </c>
      <c r="J787" s="11" t="s">
        <v>1086</v>
      </c>
      <c r="K787" s="11" t="s">
        <v>61</v>
      </c>
      <c r="L787" s="11" t="s">
        <v>41</v>
      </c>
      <c r="M787" s="11" t="s">
        <v>28</v>
      </c>
      <c r="N787" s="11" t="s">
        <v>29</v>
      </c>
      <c r="O787" s="11" t="s">
        <v>660</v>
      </c>
      <c r="P787" s="11" t="s">
        <v>38</v>
      </c>
      <c r="Q787" s="20">
        <v>39945.0</v>
      </c>
      <c r="R787" s="17">
        <f t="shared" si="2"/>
        <v>3.418063652</v>
      </c>
      <c r="S787" s="9"/>
      <c r="T787" s="9"/>
      <c r="U787" s="9"/>
      <c r="V787" s="9"/>
      <c r="W787" s="9"/>
      <c r="X787" s="9"/>
      <c r="Y787" s="9"/>
      <c r="Z787" s="9"/>
      <c r="AA787" s="9"/>
      <c r="AB787" s="9" t="str">
        <f>IFERROR(__xludf.DUMMYFUNCTION("""COMPUTED_VALUE"""),"Bryan Davis")</f>
        <v>Bryan Davis</v>
      </c>
      <c r="AC787" s="9"/>
      <c r="AD787" s="9"/>
      <c r="AE787" s="9">
        <f t="shared" si="8"/>
        <v>3</v>
      </c>
      <c r="AF787" s="19">
        <f t="shared" si="13"/>
        <v>4</v>
      </c>
      <c r="AG787" s="9"/>
      <c r="AH787" s="9"/>
      <c r="AI787" s="9"/>
    </row>
    <row r="788" ht="15.0" customHeight="1">
      <c r="A788" s="11">
        <v>787.0</v>
      </c>
      <c r="B788" s="12">
        <f t="shared" si="136"/>
        <v>39944</v>
      </c>
      <c r="C788" s="13">
        <v>2009.0</v>
      </c>
      <c r="D788" s="11" t="s">
        <v>32</v>
      </c>
      <c r="E788" s="11">
        <v>13.0</v>
      </c>
      <c r="F788" s="21" t="s">
        <v>933</v>
      </c>
      <c r="G788" s="15">
        <v>0.08430854410469374</v>
      </c>
      <c r="H788" s="11" t="s">
        <v>33</v>
      </c>
      <c r="I788" s="16">
        <v>1.0</v>
      </c>
      <c r="J788" s="11" t="s">
        <v>1086</v>
      </c>
      <c r="K788" s="11" t="s">
        <v>61</v>
      </c>
      <c r="L788" s="11" t="s">
        <v>41</v>
      </c>
      <c r="M788" s="11" t="s">
        <v>66</v>
      </c>
      <c r="N788" s="11" t="s">
        <v>80</v>
      </c>
      <c r="O788" s="11" t="s">
        <v>1275</v>
      </c>
      <c r="P788" s="11" t="s">
        <v>99</v>
      </c>
      <c r="Q788" s="20">
        <v>39945.0</v>
      </c>
      <c r="R788" s="17">
        <f t="shared" si="2"/>
        <v>61.35132754</v>
      </c>
      <c r="S788" s="9"/>
      <c r="T788" s="9"/>
      <c r="U788" s="9"/>
      <c r="V788" s="9"/>
      <c r="W788" s="9"/>
      <c r="X788" s="9"/>
      <c r="Y788" s="9"/>
      <c r="Z788" s="9"/>
      <c r="AA788" s="9"/>
      <c r="AB788" s="9" t="str">
        <f>IFERROR(__xludf.DUMMYFUNCTION("""COMPUTED_VALUE"""),"Brian Derr")</f>
        <v>Brian Derr</v>
      </c>
      <c r="AC788" s="9"/>
      <c r="AD788" s="9"/>
      <c r="AE788" s="9">
        <f t="shared" si="8"/>
        <v>3</v>
      </c>
      <c r="AF788" s="19">
        <f t="shared" si="13"/>
        <v>4</v>
      </c>
      <c r="AG788" s="9"/>
      <c r="AH788" s="9"/>
      <c r="AI788" s="9"/>
    </row>
    <row r="789" ht="15.0" customHeight="1">
      <c r="A789" s="11">
        <v>788.0</v>
      </c>
      <c r="B789" s="12">
        <f t="shared" si="136"/>
        <v>39944</v>
      </c>
      <c r="C789" s="13">
        <v>2009.0</v>
      </c>
      <c r="D789" s="11" t="s">
        <v>44</v>
      </c>
      <c r="E789" s="11">
        <v>14.0</v>
      </c>
      <c r="F789" s="21" t="s">
        <v>666</v>
      </c>
      <c r="G789" s="15">
        <v>0.023482944344703893</v>
      </c>
      <c r="H789" s="11" t="s">
        <v>33</v>
      </c>
      <c r="I789" s="16">
        <v>1.192</v>
      </c>
      <c r="J789" s="11" t="s">
        <v>1276</v>
      </c>
      <c r="K789" s="11" t="s">
        <v>47</v>
      </c>
      <c r="L789" s="11" t="s">
        <v>36</v>
      </c>
      <c r="M789" s="11" t="s">
        <v>28</v>
      </c>
      <c r="N789" s="11" t="s">
        <v>42</v>
      </c>
      <c r="O789" s="11" t="s">
        <v>667</v>
      </c>
      <c r="P789" s="11" t="s">
        <v>38</v>
      </c>
      <c r="Q789" s="20">
        <v>39946.0</v>
      </c>
      <c r="R789" s="17">
        <f t="shared" si="2"/>
        <v>1.277284309</v>
      </c>
      <c r="S789" s="9"/>
      <c r="T789" s="9"/>
      <c r="U789" s="9"/>
      <c r="V789" s="9"/>
      <c r="W789" s="9"/>
      <c r="X789" s="9"/>
      <c r="Y789" s="9"/>
      <c r="Z789" s="9"/>
      <c r="AA789" s="9"/>
      <c r="AB789" s="9" t="str">
        <f>IFERROR(__xludf.DUMMYFUNCTION("""COMPUTED_VALUE"""),"Sample Company A")</f>
        <v>Sample Company A</v>
      </c>
      <c r="AC789" s="9"/>
      <c r="AD789" s="9"/>
      <c r="AE789" s="9">
        <f t="shared" si="8"/>
        <v>2</v>
      </c>
      <c r="AF789" s="19">
        <f t="shared" si="13"/>
        <v>3</v>
      </c>
      <c r="AG789" s="9"/>
      <c r="AH789" s="9"/>
      <c r="AI789" s="9"/>
    </row>
    <row r="790" ht="15.0" customHeight="1">
      <c r="A790" s="11">
        <v>789.0</v>
      </c>
      <c r="B790" s="12">
        <f t="shared" si="136"/>
        <v>39944</v>
      </c>
      <c r="C790" s="13">
        <v>2009.0</v>
      </c>
      <c r="D790" s="11" t="s">
        <v>44</v>
      </c>
      <c r="E790" s="11">
        <v>32.0</v>
      </c>
      <c r="F790" s="21" t="s">
        <v>158</v>
      </c>
      <c r="G790" s="15">
        <v>0.0385454545454545</v>
      </c>
      <c r="H790" s="11" t="s">
        <v>33</v>
      </c>
      <c r="I790" s="16">
        <v>6.720000000000001</v>
      </c>
      <c r="J790" s="11" t="s">
        <v>1276</v>
      </c>
      <c r="K790" s="11" t="s">
        <v>47</v>
      </c>
      <c r="L790" s="11" t="s">
        <v>36</v>
      </c>
      <c r="M790" s="11" t="s">
        <v>28</v>
      </c>
      <c r="N790" s="11" t="s">
        <v>56</v>
      </c>
      <c r="O790" s="11" t="s">
        <v>1260</v>
      </c>
      <c r="P790" s="11" t="s">
        <v>38</v>
      </c>
      <c r="Q790" s="20">
        <v>39946.0</v>
      </c>
      <c r="R790" s="17">
        <f t="shared" si="2"/>
        <v>8.153134545</v>
      </c>
      <c r="S790" s="9"/>
      <c r="T790" s="9"/>
      <c r="U790" s="9"/>
      <c r="V790" s="9"/>
      <c r="W790" s="9"/>
      <c r="X790" s="9"/>
      <c r="Y790" s="9"/>
      <c r="Z790" s="9"/>
      <c r="AA790" s="9"/>
      <c r="AB790" s="9" t="str">
        <f>IFERROR(__xludf.DUMMYFUNCTION("""COMPUTED_VALUE"""),"Adrian Barton")</f>
        <v>Adrian Barton</v>
      </c>
      <c r="AC790" s="9"/>
      <c r="AD790" s="9"/>
      <c r="AE790" s="9">
        <f t="shared" si="8"/>
        <v>2</v>
      </c>
      <c r="AF790" s="19">
        <f t="shared" si="13"/>
        <v>3</v>
      </c>
      <c r="AG790" s="9"/>
      <c r="AH790" s="9"/>
      <c r="AI790" s="9"/>
    </row>
    <row r="791" ht="15.0" customHeight="1">
      <c r="A791" s="11">
        <v>790.0</v>
      </c>
      <c r="B791" s="12">
        <f t="shared" si="136"/>
        <v>39944</v>
      </c>
      <c r="C791" s="13">
        <v>2009.0</v>
      </c>
      <c r="D791" s="11" t="s">
        <v>32</v>
      </c>
      <c r="E791" s="11">
        <v>11.0</v>
      </c>
      <c r="F791" s="21" t="s">
        <v>147</v>
      </c>
      <c r="G791" s="15">
        <v>0.1318577075098815</v>
      </c>
      <c r="H791" s="11" t="s">
        <v>24</v>
      </c>
      <c r="I791" s="16">
        <v>3.2640000000000002</v>
      </c>
      <c r="J791" s="11" t="s">
        <v>1277</v>
      </c>
      <c r="K791" s="11" t="s">
        <v>65</v>
      </c>
      <c r="L791" s="11" t="s">
        <v>41</v>
      </c>
      <c r="M791" s="11" t="s">
        <v>49</v>
      </c>
      <c r="N791" s="11" t="s">
        <v>73</v>
      </c>
      <c r="O791" s="11" t="s">
        <v>458</v>
      </c>
      <c r="P791" s="11" t="s">
        <v>99</v>
      </c>
      <c r="Q791" s="20">
        <v>39946.0</v>
      </c>
      <c r="R791" s="17">
        <f t="shared" si="2"/>
        <v>2.896122688</v>
      </c>
      <c r="S791" s="9"/>
      <c r="T791" s="9"/>
      <c r="U791" s="9"/>
      <c r="V791" s="9"/>
      <c r="W791" s="9"/>
      <c r="X791" s="9"/>
      <c r="Y791" s="9"/>
      <c r="Z791" s="9"/>
      <c r="AA791" s="9"/>
      <c r="AB791" s="9" t="str">
        <f>IFERROR(__xludf.DUMMYFUNCTION("""COMPUTED_VALUE"""),"Mark Hamilton")</f>
        <v>Mark Hamilton</v>
      </c>
      <c r="AC791" s="9"/>
      <c r="AD791" s="9"/>
      <c r="AE791" s="9">
        <f t="shared" si="8"/>
        <v>3</v>
      </c>
      <c r="AF791" s="19">
        <f t="shared" si="13"/>
        <v>5</v>
      </c>
      <c r="AG791" s="9"/>
      <c r="AH791" s="9"/>
      <c r="AI791" s="9"/>
    </row>
    <row r="792" ht="15.0" customHeight="1">
      <c r="A792" s="11">
        <v>791.0</v>
      </c>
      <c r="B792" s="12">
        <f t="shared" si="136"/>
        <v>39944</v>
      </c>
      <c r="C792" s="13">
        <v>2009.0</v>
      </c>
      <c r="D792" s="11" t="s">
        <v>32</v>
      </c>
      <c r="E792" s="11">
        <v>45.0</v>
      </c>
      <c r="F792" s="21" t="s">
        <v>1278</v>
      </c>
      <c r="G792" s="15">
        <v>0.07486172705967185</v>
      </c>
      <c r="H792" s="11" t="s">
        <v>45</v>
      </c>
      <c r="I792" s="16">
        <v>25.983999999999998</v>
      </c>
      <c r="J792" s="11" t="s">
        <v>1277</v>
      </c>
      <c r="K792" s="11" t="s">
        <v>65</v>
      </c>
      <c r="L792" s="11" t="s">
        <v>41</v>
      </c>
      <c r="M792" s="11" t="s">
        <v>49</v>
      </c>
      <c r="N792" s="11" t="s">
        <v>85</v>
      </c>
      <c r="O792" s="11" t="s">
        <v>1279</v>
      </c>
      <c r="P792" s="11" t="s">
        <v>87</v>
      </c>
      <c r="Q792" s="20">
        <v>39946.0</v>
      </c>
      <c r="R792" s="17">
        <f t="shared" si="2"/>
        <v>768.3421379</v>
      </c>
      <c r="S792" s="9"/>
      <c r="T792" s="9"/>
      <c r="U792" s="9"/>
      <c r="V792" s="9"/>
      <c r="W792" s="9"/>
      <c r="X792" s="9"/>
      <c r="Y792" s="9"/>
      <c r="Z792" s="9"/>
      <c r="AA792" s="9"/>
      <c r="AB792" s="9" t="str">
        <f>IFERROR(__xludf.DUMMYFUNCTION("""COMPUTED_VALUE"""),"Shirley Daniels")</f>
        <v>Shirley Daniels</v>
      </c>
      <c r="AC792" s="9"/>
      <c r="AD792" s="9"/>
      <c r="AE792" s="9">
        <f t="shared" si="8"/>
        <v>3</v>
      </c>
      <c r="AF792" s="19">
        <f t="shared" si="13"/>
        <v>5</v>
      </c>
      <c r="AG792" s="9"/>
      <c r="AH792" s="9"/>
      <c r="AI792" s="9"/>
    </row>
    <row r="793" ht="15.0" customHeight="1">
      <c r="A793" s="11">
        <v>792.0</v>
      </c>
      <c r="B793" s="12">
        <f t="shared" ref="B793:B800" si="137">DATE(2012,12,31)-1329</f>
        <v>39945</v>
      </c>
      <c r="C793" s="13">
        <v>2009.0</v>
      </c>
      <c r="D793" s="11" t="s">
        <v>102</v>
      </c>
      <c r="E793" s="11">
        <v>4.0</v>
      </c>
      <c r="F793" s="21" t="s">
        <v>1280</v>
      </c>
      <c r="G793" s="15">
        <v>0.026280193236715</v>
      </c>
      <c r="H793" s="11" t="s">
        <v>33</v>
      </c>
      <c r="I793" s="16">
        <v>3.512</v>
      </c>
      <c r="J793" s="11" t="s">
        <v>690</v>
      </c>
      <c r="K793" s="11" t="s">
        <v>61</v>
      </c>
      <c r="L793" s="11" t="s">
        <v>48</v>
      </c>
      <c r="M793" s="11" t="s">
        <v>28</v>
      </c>
      <c r="N793" s="11" t="s">
        <v>56</v>
      </c>
      <c r="O793" s="11" t="s">
        <v>1281</v>
      </c>
      <c r="P793" s="11" t="s">
        <v>58</v>
      </c>
      <c r="Q793" s="20">
        <v>39946.0</v>
      </c>
      <c r="R793" s="17">
        <f t="shared" si="2"/>
        <v>1.05940715</v>
      </c>
      <c r="S793" s="9"/>
      <c r="T793" s="9"/>
      <c r="U793" s="9"/>
      <c r="V793" s="9"/>
      <c r="W793" s="9"/>
      <c r="X793" s="9"/>
      <c r="Y793" s="9"/>
      <c r="Z793" s="9"/>
      <c r="AA793" s="9"/>
      <c r="AB793" s="9" t="str">
        <f>IFERROR(__xludf.DUMMYFUNCTION("""COMPUTED_VALUE"""),"Anthony Witt")</f>
        <v>Anthony Witt</v>
      </c>
      <c r="AC793" s="9"/>
      <c r="AD793" s="9"/>
      <c r="AE793" s="9">
        <f t="shared" si="8"/>
        <v>4</v>
      </c>
      <c r="AF793" s="19">
        <f t="shared" si="13"/>
        <v>4</v>
      </c>
      <c r="AG793" s="9"/>
      <c r="AH793" s="9"/>
      <c r="AI793" s="9"/>
    </row>
    <row r="794" ht="15.0" customHeight="1">
      <c r="A794" s="11">
        <v>793.0</v>
      </c>
      <c r="B794" s="12">
        <f t="shared" si="137"/>
        <v>39945</v>
      </c>
      <c r="C794" s="13">
        <v>2009.0</v>
      </c>
      <c r="D794" s="11" t="s">
        <v>23</v>
      </c>
      <c r="E794" s="11">
        <v>7.0</v>
      </c>
      <c r="F794" s="21" t="s">
        <v>1282</v>
      </c>
      <c r="G794" s="15">
        <v>0.07687925948530175</v>
      </c>
      <c r="H794" s="11" t="s">
        <v>33</v>
      </c>
      <c r="I794" s="16">
        <v>10.120000000000001</v>
      </c>
      <c r="J794" s="11" t="s">
        <v>606</v>
      </c>
      <c r="K794" s="11" t="s">
        <v>65</v>
      </c>
      <c r="L794" s="11" t="s">
        <v>48</v>
      </c>
      <c r="M794" s="11" t="s">
        <v>49</v>
      </c>
      <c r="N794" s="11" t="s">
        <v>50</v>
      </c>
      <c r="O794" s="11" t="s">
        <v>1283</v>
      </c>
      <c r="P794" s="11" t="s">
        <v>75</v>
      </c>
      <c r="Q794" s="20">
        <v>39946.0</v>
      </c>
      <c r="R794" s="17">
        <f t="shared" si="2"/>
        <v>69.76946557</v>
      </c>
      <c r="S794" s="9"/>
      <c r="T794" s="9"/>
      <c r="U794" s="9"/>
      <c r="V794" s="9"/>
      <c r="W794" s="9"/>
      <c r="X794" s="9"/>
      <c r="Y794" s="9"/>
      <c r="Z794" s="9"/>
      <c r="AA794" s="9"/>
      <c r="AB794" s="9" t="str">
        <f>IFERROR(__xludf.DUMMYFUNCTION("""COMPUTED_VALUE"""),"Hunter Glantz")</f>
        <v>Hunter Glantz</v>
      </c>
      <c r="AC794" s="9"/>
      <c r="AD794" s="9"/>
      <c r="AE794" s="9">
        <f t="shared" si="8"/>
        <v>4</v>
      </c>
      <c r="AF794" s="19">
        <f t="shared" si="13"/>
        <v>5</v>
      </c>
      <c r="AG794" s="9"/>
      <c r="AH794" s="9"/>
      <c r="AI794" s="9"/>
    </row>
    <row r="795" ht="15.0" customHeight="1">
      <c r="A795" s="11">
        <v>794.0</v>
      </c>
      <c r="B795" s="12">
        <f t="shared" si="137"/>
        <v>39945</v>
      </c>
      <c r="C795" s="13">
        <v>2009.0</v>
      </c>
      <c r="D795" s="11" t="s">
        <v>23</v>
      </c>
      <c r="E795" s="11">
        <v>31.0</v>
      </c>
      <c r="F795" s="21" t="s">
        <v>103</v>
      </c>
      <c r="G795" s="15">
        <v>0.05522554485555</v>
      </c>
      <c r="H795" s="11" t="s">
        <v>33</v>
      </c>
      <c r="I795" s="16">
        <v>3.504</v>
      </c>
      <c r="J795" s="11" t="s">
        <v>606</v>
      </c>
      <c r="K795" s="11" t="s">
        <v>65</v>
      </c>
      <c r="L795" s="11" t="s">
        <v>48</v>
      </c>
      <c r="M795" s="11" t="s">
        <v>66</v>
      </c>
      <c r="N795" s="11" t="s">
        <v>67</v>
      </c>
      <c r="O795" s="11" t="s">
        <v>1284</v>
      </c>
      <c r="P795" s="11" t="s">
        <v>99</v>
      </c>
      <c r="Q795" s="20">
        <v>39946.0</v>
      </c>
      <c r="R795" s="17">
        <f t="shared" si="2"/>
        <v>10.29426246</v>
      </c>
      <c r="S795" s="9"/>
      <c r="T795" s="9"/>
      <c r="U795" s="9"/>
      <c r="V795" s="9"/>
      <c r="W795" s="9"/>
      <c r="X795" s="9"/>
      <c r="Y795" s="9"/>
      <c r="Z795" s="9"/>
      <c r="AA795" s="9"/>
      <c r="AB795" s="9" t="str">
        <f>IFERROR(__xludf.DUMMYFUNCTION("""COMPUTED_VALUE"""),"Clay Ludtke")</f>
        <v>Clay Ludtke</v>
      </c>
      <c r="AC795" s="9"/>
      <c r="AD795" s="9"/>
      <c r="AE795" s="9">
        <f t="shared" si="8"/>
        <v>4</v>
      </c>
      <c r="AF795" s="19">
        <f t="shared" si="13"/>
        <v>5</v>
      </c>
      <c r="AG795" s="9"/>
      <c r="AH795" s="9"/>
      <c r="AI795" s="9"/>
    </row>
    <row r="796" ht="15.0" customHeight="1">
      <c r="A796" s="11">
        <v>795.0</v>
      </c>
      <c r="B796" s="12">
        <f t="shared" si="137"/>
        <v>39945</v>
      </c>
      <c r="C796" s="13">
        <v>2009.0</v>
      </c>
      <c r="D796" s="11" t="s">
        <v>102</v>
      </c>
      <c r="E796" s="11">
        <v>44.0</v>
      </c>
      <c r="F796" s="21" t="s">
        <v>509</v>
      </c>
      <c r="G796" s="15">
        <v>0.08465052559475196</v>
      </c>
      <c r="H796" s="11" t="s">
        <v>33</v>
      </c>
      <c r="I796" s="16">
        <v>15.991999999999999</v>
      </c>
      <c r="J796" s="11" t="s">
        <v>407</v>
      </c>
      <c r="K796" s="11" t="s">
        <v>26</v>
      </c>
      <c r="L796" s="11" t="s">
        <v>36</v>
      </c>
      <c r="M796" s="11" t="s">
        <v>49</v>
      </c>
      <c r="N796" s="11" t="s">
        <v>73</v>
      </c>
      <c r="O796" s="11" t="s">
        <v>664</v>
      </c>
      <c r="P796" s="11" t="s">
        <v>38</v>
      </c>
      <c r="Q796" s="20">
        <v>39946.0</v>
      </c>
      <c r="R796" s="17">
        <f t="shared" si="2"/>
        <v>294.1091089</v>
      </c>
      <c r="S796" s="9"/>
      <c r="T796" s="9"/>
      <c r="U796" s="9"/>
      <c r="V796" s="9"/>
      <c r="W796" s="9"/>
      <c r="X796" s="9"/>
      <c r="Y796" s="9"/>
      <c r="Z796" s="9"/>
      <c r="AA796" s="9"/>
      <c r="AB796" s="9" t="str">
        <f>IFERROR(__xludf.DUMMYFUNCTION("""COMPUTED_VALUE"""),"Craig Carreira")</f>
        <v>Craig Carreira</v>
      </c>
      <c r="AC796" s="9"/>
      <c r="AD796" s="9"/>
      <c r="AE796" s="9">
        <f t="shared" si="8"/>
        <v>2</v>
      </c>
      <c r="AF796" s="19">
        <f t="shared" si="13"/>
        <v>1</v>
      </c>
      <c r="AG796" s="9"/>
      <c r="AH796" s="9"/>
      <c r="AI796" s="9"/>
    </row>
    <row r="797" ht="15.0" customHeight="1">
      <c r="A797" s="11">
        <v>796.0</v>
      </c>
      <c r="B797" s="12">
        <f t="shared" si="137"/>
        <v>39945</v>
      </c>
      <c r="C797" s="13">
        <v>2009.0</v>
      </c>
      <c r="D797" s="11" t="s">
        <v>102</v>
      </c>
      <c r="E797" s="11">
        <v>11.0</v>
      </c>
      <c r="F797" s="21" t="s">
        <v>158</v>
      </c>
      <c r="G797" s="15">
        <v>0.04020025031289115</v>
      </c>
      <c r="H797" s="11" t="s">
        <v>33</v>
      </c>
      <c r="I797" s="16">
        <v>6.288</v>
      </c>
      <c r="J797" s="11" t="s">
        <v>407</v>
      </c>
      <c r="K797" s="11" t="s">
        <v>26</v>
      </c>
      <c r="L797" s="11" t="s">
        <v>36</v>
      </c>
      <c r="M797" s="11" t="s">
        <v>28</v>
      </c>
      <c r="N797" s="11" t="s">
        <v>56</v>
      </c>
      <c r="O797" s="11" t="s">
        <v>1285</v>
      </c>
      <c r="P797" s="11" t="s">
        <v>38</v>
      </c>
      <c r="Q797" s="20">
        <v>39947.0</v>
      </c>
      <c r="R797" s="17">
        <f t="shared" si="2"/>
        <v>3.082876796</v>
      </c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>
        <f t="shared" si="8"/>
        <v>2</v>
      </c>
      <c r="AF797" s="19">
        <f t="shared" si="13"/>
        <v>1</v>
      </c>
      <c r="AG797" s="9"/>
      <c r="AH797" s="9"/>
      <c r="AI797" s="9"/>
    </row>
    <row r="798" ht="15.0" customHeight="1">
      <c r="A798" s="11">
        <v>797.0</v>
      </c>
      <c r="B798" s="12">
        <f t="shared" si="137"/>
        <v>39945</v>
      </c>
      <c r="C798" s="13">
        <v>2009.0</v>
      </c>
      <c r="D798" s="11" t="s">
        <v>102</v>
      </c>
      <c r="E798" s="11">
        <v>18.0</v>
      </c>
      <c r="F798" s="21" t="s">
        <v>151</v>
      </c>
      <c r="G798" s="15">
        <v>0.10199395770392752</v>
      </c>
      <c r="H798" s="11" t="s">
        <v>33</v>
      </c>
      <c r="I798" s="16">
        <v>1.848</v>
      </c>
      <c r="J798" s="11" t="s">
        <v>407</v>
      </c>
      <c r="K798" s="11" t="s">
        <v>26</v>
      </c>
      <c r="L798" s="11" t="s">
        <v>36</v>
      </c>
      <c r="M798" s="11" t="s">
        <v>28</v>
      </c>
      <c r="N798" s="11" t="s">
        <v>62</v>
      </c>
      <c r="O798" s="11" t="s">
        <v>1286</v>
      </c>
      <c r="P798" s="11" t="s">
        <v>58</v>
      </c>
      <c r="Q798" s="20">
        <v>39947.0</v>
      </c>
      <c r="R798" s="17">
        <f t="shared" si="2"/>
        <v>6.063336798</v>
      </c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>
        <f t="shared" si="8"/>
        <v>2</v>
      </c>
      <c r="AF798" s="19">
        <f t="shared" si="13"/>
        <v>1</v>
      </c>
      <c r="AG798" s="9"/>
      <c r="AH798" s="9"/>
      <c r="AI798" s="9"/>
    </row>
    <row r="799" ht="15.0" customHeight="1">
      <c r="A799" s="11">
        <v>798.0</v>
      </c>
      <c r="B799" s="12">
        <f t="shared" si="137"/>
        <v>39945</v>
      </c>
      <c r="C799" s="13">
        <v>2009.0</v>
      </c>
      <c r="D799" s="11" t="s">
        <v>102</v>
      </c>
      <c r="E799" s="11">
        <v>12.0</v>
      </c>
      <c r="F799" s="21" t="s">
        <v>151</v>
      </c>
      <c r="G799" s="15">
        <v>0.08621444201312904</v>
      </c>
      <c r="H799" s="11" t="s">
        <v>33</v>
      </c>
      <c r="I799" s="16">
        <v>3.3600000000000003</v>
      </c>
      <c r="J799" s="11" t="s">
        <v>407</v>
      </c>
      <c r="K799" s="11" t="s">
        <v>26</v>
      </c>
      <c r="L799" s="11" t="s">
        <v>36</v>
      </c>
      <c r="M799" s="11" t="s">
        <v>28</v>
      </c>
      <c r="N799" s="11" t="s">
        <v>62</v>
      </c>
      <c r="O799" s="11" t="s">
        <v>1287</v>
      </c>
      <c r="P799" s="11" t="s">
        <v>58</v>
      </c>
      <c r="Q799" s="20">
        <v>39947.0</v>
      </c>
      <c r="R799" s="17">
        <f t="shared" si="2"/>
        <v>3.600315098</v>
      </c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>
        <f t="shared" si="8"/>
        <v>2</v>
      </c>
      <c r="AF799" s="19">
        <f t="shared" si="13"/>
        <v>1</v>
      </c>
      <c r="AG799" s="9"/>
      <c r="AH799" s="9"/>
      <c r="AI799" s="9"/>
    </row>
    <row r="800" ht="15.0" customHeight="1">
      <c r="A800" s="11">
        <v>799.0</v>
      </c>
      <c r="B800" s="12">
        <f t="shared" si="137"/>
        <v>39945</v>
      </c>
      <c r="C800" s="13">
        <v>2009.0</v>
      </c>
      <c r="D800" s="11" t="s">
        <v>102</v>
      </c>
      <c r="E800" s="11">
        <v>10.0</v>
      </c>
      <c r="F800" s="21" t="s">
        <v>1158</v>
      </c>
      <c r="G800" s="15">
        <v>0.07623409669211184</v>
      </c>
      <c r="H800" s="11" t="s">
        <v>33</v>
      </c>
      <c r="I800" s="16">
        <v>1.304</v>
      </c>
      <c r="J800" s="11" t="s">
        <v>407</v>
      </c>
      <c r="K800" s="11" t="s">
        <v>26</v>
      </c>
      <c r="L800" s="11" t="s">
        <v>36</v>
      </c>
      <c r="M800" s="11" t="s">
        <v>28</v>
      </c>
      <c r="N800" s="11" t="s">
        <v>216</v>
      </c>
      <c r="O800" s="11" t="s">
        <v>1159</v>
      </c>
      <c r="P800" s="11" t="s">
        <v>58</v>
      </c>
      <c r="Q800" s="20">
        <v>39947.0</v>
      </c>
      <c r="R800" s="17">
        <f t="shared" si="2"/>
        <v>2.767602646</v>
      </c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>
        <f t="shared" si="8"/>
        <v>2</v>
      </c>
      <c r="AF800" s="19">
        <f t="shared" si="13"/>
        <v>1</v>
      </c>
      <c r="AG800" s="9"/>
      <c r="AH800" s="9"/>
      <c r="AI800" s="9"/>
    </row>
    <row r="801" ht="15.0" customHeight="1">
      <c r="A801" s="11">
        <v>800.0</v>
      </c>
      <c r="B801" s="12">
        <f t="shared" ref="B801:B808" si="138">DATE(2012,12,31)-1328</f>
        <v>39946</v>
      </c>
      <c r="C801" s="13">
        <v>2009.0</v>
      </c>
      <c r="D801" s="11" t="s">
        <v>102</v>
      </c>
      <c r="E801" s="11">
        <v>33.0</v>
      </c>
      <c r="F801" s="21" t="s">
        <v>933</v>
      </c>
      <c r="G801" s="15">
        <v>0.01197156752712301</v>
      </c>
      <c r="H801" s="11" t="s">
        <v>33</v>
      </c>
      <c r="I801" s="16">
        <v>4.0</v>
      </c>
      <c r="J801" s="11" t="s">
        <v>1288</v>
      </c>
      <c r="K801" s="11" t="s">
        <v>83</v>
      </c>
      <c r="L801" s="11" t="s">
        <v>48</v>
      </c>
      <c r="M801" s="11" t="s">
        <v>66</v>
      </c>
      <c r="N801" s="11" t="s">
        <v>80</v>
      </c>
      <c r="O801" s="11" t="s">
        <v>1023</v>
      </c>
      <c r="P801" s="11" t="s">
        <v>99</v>
      </c>
      <c r="Q801" s="20">
        <v>39947.0</v>
      </c>
      <c r="R801" s="17">
        <f t="shared" si="2"/>
        <v>22.13183689</v>
      </c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>
        <f t="shared" si="8"/>
        <v>4</v>
      </c>
      <c r="AF801" s="19" t="b">
        <f t="shared" si="13"/>
        <v>0</v>
      </c>
      <c r="AG801" s="9"/>
      <c r="AH801" s="9"/>
      <c r="AI801" s="9"/>
    </row>
    <row r="802" ht="15.0" customHeight="1">
      <c r="A802" s="11">
        <v>801.0</v>
      </c>
      <c r="B802" s="12">
        <f t="shared" si="138"/>
        <v>39946</v>
      </c>
      <c r="C802" s="13">
        <v>2009.0</v>
      </c>
      <c r="D802" s="11" t="s">
        <v>102</v>
      </c>
      <c r="E802" s="11">
        <v>34.0</v>
      </c>
      <c r="F802" s="21" t="s">
        <v>605</v>
      </c>
      <c r="G802" s="15">
        <v>0.05958349705304514</v>
      </c>
      <c r="H802" s="11" t="s">
        <v>33</v>
      </c>
      <c r="I802" s="16">
        <v>6.072</v>
      </c>
      <c r="J802" s="11" t="s">
        <v>1288</v>
      </c>
      <c r="K802" s="11" t="s">
        <v>26</v>
      </c>
      <c r="L802" s="11" t="s">
        <v>48</v>
      </c>
      <c r="M802" s="11" t="s">
        <v>28</v>
      </c>
      <c r="N802" s="11" t="s">
        <v>442</v>
      </c>
      <c r="O802" s="11" t="s">
        <v>1289</v>
      </c>
      <c r="P802" s="11" t="s">
        <v>99</v>
      </c>
      <c r="Q802" s="20">
        <v>39947.0</v>
      </c>
      <c r="R802" s="17">
        <f t="shared" si="2"/>
        <v>28.5209517</v>
      </c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>
        <f t="shared" si="8"/>
        <v>4</v>
      </c>
      <c r="AF802" s="19">
        <f t="shared" si="13"/>
        <v>1</v>
      </c>
      <c r="AG802" s="9"/>
      <c r="AH802" s="9"/>
      <c r="AI802" s="9"/>
    </row>
    <row r="803" ht="15.0" customHeight="1">
      <c r="A803" s="11">
        <v>802.0</v>
      </c>
      <c r="B803" s="12">
        <f t="shared" si="138"/>
        <v>39946</v>
      </c>
      <c r="C803" s="13">
        <v>2009.0</v>
      </c>
      <c r="D803" s="11" t="s">
        <v>102</v>
      </c>
      <c r="E803" s="11">
        <v>7.0</v>
      </c>
      <c r="F803" s="21" t="s">
        <v>234</v>
      </c>
      <c r="G803" s="15">
        <v>0.03263448506651053</v>
      </c>
      <c r="H803" s="11" t="s">
        <v>33</v>
      </c>
      <c r="I803" s="16">
        <v>15.991999999999999</v>
      </c>
      <c r="J803" s="11" t="s">
        <v>1288</v>
      </c>
      <c r="K803" s="11" t="s">
        <v>83</v>
      </c>
      <c r="L803" s="11" t="s">
        <v>48</v>
      </c>
      <c r="M803" s="11" t="s">
        <v>28</v>
      </c>
      <c r="N803" s="11" t="s">
        <v>236</v>
      </c>
      <c r="O803" s="11" t="s">
        <v>237</v>
      </c>
      <c r="P803" s="11" t="s">
        <v>38</v>
      </c>
      <c r="Q803" s="20">
        <v>39947.0</v>
      </c>
      <c r="R803" s="17">
        <f t="shared" si="2"/>
        <v>37.73499401</v>
      </c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>
        <f t="shared" si="8"/>
        <v>4</v>
      </c>
      <c r="AF803" s="19" t="b">
        <f t="shared" si="13"/>
        <v>0</v>
      </c>
      <c r="AG803" s="9"/>
      <c r="AH803" s="9"/>
      <c r="AI803" s="9"/>
    </row>
    <row r="804" ht="15.0" customHeight="1">
      <c r="A804" s="11">
        <v>803.0</v>
      </c>
      <c r="B804" s="12">
        <f t="shared" si="138"/>
        <v>39946</v>
      </c>
      <c r="C804" s="13">
        <v>2009.0</v>
      </c>
      <c r="D804" s="11" t="s">
        <v>102</v>
      </c>
      <c r="E804" s="11">
        <v>6.0</v>
      </c>
      <c r="F804" s="21" t="s">
        <v>245</v>
      </c>
      <c r="G804" s="15">
        <v>0.0306192358366273</v>
      </c>
      <c r="H804" s="11" t="s">
        <v>33</v>
      </c>
      <c r="I804" s="16">
        <v>4.576</v>
      </c>
      <c r="J804" s="11" t="s">
        <v>1288</v>
      </c>
      <c r="K804" s="11" t="s">
        <v>83</v>
      </c>
      <c r="L804" s="11" t="s">
        <v>48</v>
      </c>
      <c r="M804" s="11" t="s">
        <v>28</v>
      </c>
      <c r="N804" s="11" t="s">
        <v>236</v>
      </c>
      <c r="O804" s="11" t="s">
        <v>376</v>
      </c>
      <c r="P804" s="11" t="s">
        <v>38</v>
      </c>
      <c r="Q804" s="20">
        <v>39947.0</v>
      </c>
      <c r="R804" s="17">
        <f t="shared" si="2"/>
        <v>2.252840896</v>
      </c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>
        <f t="shared" si="8"/>
        <v>4</v>
      </c>
      <c r="AF804" s="19" t="b">
        <f t="shared" si="13"/>
        <v>0</v>
      </c>
      <c r="AG804" s="9"/>
      <c r="AH804" s="9"/>
      <c r="AI804" s="9"/>
    </row>
    <row r="805" ht="15.0" customHeight="1">
      <c r="A805" s="11">
        <v>804.0</v>
      </c>
      <c r="B805" s="12">
        <f t="shared" si="138"/>
        <v>39946</v>
      </c>
      <c r="C805" s="13">
        <v>2009.0</v>
      </c>
      <c r="D805" s="11" t="s">
        <v>32</v>
      </c>
      <c r="E805" s="11">
        <v>34.0</v>
      </c>
      <c r="F805" s="21" t="s">
        <v>210</v>
      </c>
      <c r="G805" s="15">
        <v>0.08206185567010303</v>
      </c>
      <c r="H805" s="11" t="s">
        <v>24</v>
      </c>
      <c r="I805" s="16">
        <v>0.6400000000000001</v>
      </c>
      <c r="J805" s="11" t="s">
        <v>232</v>
      </c>
      <c r="K805" s="11" t="s">
        <v>47</v>
      </c>
      <c r="L805" s="11" t="s">
        <v>36</v>
      </c>
      <c r="M805" s="11" t="s">
        <v>28</v>
      </c>
      <c r="N805" s="11" t="s">
        <v>216</v>
      </c>
      <c r="O805" s="11" t="s">
        <v>1290</v>
      </c>
      <c r="P805" s="11" t="s">
        <v>58</v>
      </c>
      <c r="Q805" s="20">
        <v>39947.0</v>
      </c>
      <c r="R805" s="17">
        <f t="shared" si="2"/>
        <v>7.306787629</v>
      </c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>
        <f t="shared" si="8"/>
        <v>2</v>
      </c>
      <c r="AF805" s="19">
        <f t="shared" si="13"/>
        <v>3</v>
      </c>
      <c r="AG805" s="9"/>
      <c r="AH805" s="9"/>
      <c r="AI805" s="9"/>
    </row>
    <row r="806" ht="15.0" customHeight="1">
      <c r="A806" s="11">
        <v>805.0</v>
      </c>
      <c r="B806" s="12">
        <f t="shared" si="138"/>
        <v>39946</v>
      </c>
      <c r="C806" s="13">
        <v>2009.0</v>
      </c>
      <c r="D806" s="11" t="s">
        <v>102</v>
      </c>
      <c r="E806" s="11">
        <v>43.0</v>
      </c>
      <c r="F806" s="21" t="s">
        <v>1291</v>
      </c>
      <c r="G806" s="15">
        <v>0.027618134149341722</v>
      </c>
      <c r="H806" s="11" t="s">
        <v>33</v>
      </c>
      <c r="I806" s="16">
        <v>41.760000000000005</v>
      </c>
      <c r="J806" s="11" t="s">
        <v>1292</v>
      </c>
      <c r="K806" s="11" t="s">
        <v>61</v>
      </c>
      <c r="L806" s="11" t="s">
        <v>27</v>
      </c>
      <c r="M806" s="11" t="s">
        <v>49</v>
      </c>
      <c r="N806" s="11" t="s">
        <v>73</v>
      </c>
      <c r="O806" s="11" t="s">
        <v>1293</v>
      </c>
      <c r="P806" s="11" t="s">
        <v>75</v>
      </c>
      <c r="Q806" s="20">
        <v>39948.0</v>
      </c>
      <c r="R806" s="17">
        <f t="shared" si="2"/>
        <v>67.06401043</v>
      </c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>
        <f t="shared" si="8"/>
        <v>1</v>
      </c>
      <c r="AF806" s="19">
        <f t="shared" si="13"/>
        <v>4</v>
      </c>
      <c r="AG806" s="9"/>
      <c r="AH806" s="9"/>
      <c r="AI806" s="9"/>
    </row>
    <row r="807" ht="15.0" customHeight="1">
      <c r="A807" s="11">
        <v>806.0</v>
      </c>
      <c r="B807" s="12">
        <f t="shared" si="138"/>
        <v>39946</v>
      </c>
      <c r="C807" s="13">
        <v>2009.0</v>
      </c>
      <c r="D807" s="11" t="s">
        <v>23</v>
      </c>
      <c r="E807" s="11">
        <v>28.0</v>
      </c>
      <c r="F807" s="21" t="s">
        <v>226</v>
      </c>
      <c r="G807" s="15">
        <v>0.059078947368421175</v>
      </c>
      <c r="H807" s="11" t="s">
        <v>33</v>
      </c>
      <c r="I807" s="16">
        <v>6.920000000000001</v>
      </c>
      <c r="J807" s="11" t="s">
        <v>94</v>
      </c>
      <c r="K807" s="11" t="s">
        <v>26</v>
      </c>
      <c r="L807" s="11" t="s">
        <v>48</v>
      </c>
      <c r="M807" s="11" t="s">
        <v>66</v>
      </c>
      <c r="N807" s="11" t="s">
        <v>67</v>
      </c>
      <c r="O807" s="11" t="s">
        <v>228</v>
      </c>
      <c r="P807" s="11" t="s">
        <v>38</v>
      </c>
      <c r="Q807" s="20">
        <v>39948.0</v>
      </c>
      <c r="R807" s="17">
        <f t="shared" si="2"/>
        <v>50.69682632</v>
      </c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>
        <f t="shared" si="8"/>
        <v>4</v>
      </c>
      <c r="AF807" s="19">
        <f t="shared" si="13"/>
        <v>1</v>
      </c>
      <c r="AG807" s="9"/>
      <c r="AH807" s="9"/>
      <c r="AI807" s="9"/>
    </row>
    <row r="808" ht="15.0" customHeight="1">
      <c r="A808" s="11">
        <v>807.0</v>
      </c>
      <c r="B808" s="12">
        <f t="shared" si="138"/>
        <v>39946</v>
      </c>
      <c r="C808" s="13">
        <v>2009.0</v>
      </c>
      <c r="D808" s="11" t="s">
        <v>23</v>
      </c>
      <c r="E808" s="11">
        <v>22.0</v>
      </c>
      <c r="F808" s="21" t="s">
        <v>1038</v>
      </c>
      <c r="G808" s="15">
        <v>0.021758318739054386</v>
      </c>
      <c r="H808" s="11" t="s">
        <v>33</v>
      </c>
      <c r="I808" s="16">
        <v>4.064</v>
      </c>
      <c r="J808" s="11" t="s">
        <v>94</v>
      </c>
      <c r="K808" s="11" t="s">
        <v>26</v>
      </c>
      <c r="L808" s="11" t="s">
        <v>48</v>
      </c>
      <c r="M808" s="11" t="s">
        <v>28</v>
      </c>
      <c r="N808" s="11" t="s">
        <v>56</v>
      </c>
      <c r="O808" s="11" t="s">
        <v>1040</v>
      </c>
      <c r="P808" s="11" t="s">
        <v>58</v>
      </c>
      <c r="Q808" s="20">
        <v>39948.0</v>
      </c>
      <c r="R808" s="17">
        <f t="shared" si="2"/>
        <v>18.23051197</v>
      </c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>
        <f t="shared" si="8"/>
        <v>4</v>
      </c>
      <c r="AF808" s="19">
        <f t="shared" si="13"/>
        <v>1</v>
      </c>
      <c r="AG808" s="9"/>
      <c r="AH808" s="9"/>
      <c r="AI808" s="9"/>
    </row>
    <row r="809" ht="15.0" customHeight="1">
      <c r="A809" s="11">
        <v>808.0</v>
      </c>
      <c r="B809" s="12">
        <f t="shared" ref="B809:B814" si="139">DATE(2012,12,31)-1327</f>
        <v>39947</v>
      </c>
      <c r="C809" s="13">
        <v>2009.0</v>
      </c>
      <c r="D809" s="11" t="s">
        <v>44</v>
      </c>
      <c r="E809" s="11">
        <v>46.0</v>
      </c>
      <c r="F809" s="21" t="s">
        <v>948</v>
      </c>
      <c r="G809" s="15">
        <v>0.09450443190975027</v>
      </c>
      <c r="H809" s="11" t="s">
        <v>24</v>
      </c>
      <c r="I809" s="16">
        <v>3.944</v>
      </c>
      <c r="J809" s="11" t="s">
        <v>1294</v>
      </c>
      <c r="K809" s="11" t="s">
        <v>47</v>
      </c>
      <c r="L809" s="11" t="s">
        <v>27</v>
      </c>
      <c r="M809" s="11" t="s">
        <v>66</v>
      </c>
      <c r="N809" s="11" t="s">
        <v>67</v>
      </c>
      <c r="O809" s="11" t="s">
        <v>1295</v>
      </c>
      <c r="P809" s="11" t="s">
        <v>99</v>
      </c>
      <c r="Q809" s="20">
        <v>39948.0</v>
      </c>
      <c r="R809" s="17">
        <f t="shared" si="2"/>
        <v>21.23930405</v>
      </c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>
        <f t="shared" si="8"/>
        <v>1</v>
      </c>
      <c r="AF809" s="19">
        <f t="shared" si="13"/>
        <v>3</v>
      </c>
      <c r="AG809" s="9"/>
      <c r="AH809" s="9"/>
      <c r="AI809" s="9"/>
    </row>
    <row r="810" ht="15.0" customHeight="1">
      <c r="A810" s="11">
        <v>809.0</v>
      </c>
      <c r="B810" s="12">
        <f t="shared" si="139"/>
        <v>39947</v>
      </c>
      <c r="C810" s="13">
        <v>2009.0</v>
      </c>
      <c r="D810" s="11" t="s">
        <v>44</v>
      </c>
      <c r="E810" s="11">
        <v>45.0</v>
      </c>
      <c r="F810" s="21" t="s">
        <v>135</v>
      </c>
      <c r="G810" s="15">
        <v>0.08043768996960486</v>
      </c>
      <c r="H810" s="11" t="s">
        <v>33</v>
      </c>
      <c r="I810" s="16">
        <v>5.5360000000000005</v>
      </c>
      <c r="J810" s="11" t="s">
        <v>1294</v>
      </c>
      <c r="K810" s="11" t="s">
        <v>47</v>
      </c>
      <c r="L810" s="11" t="s">
        <v>27</v>
      </c>
      <c r="M810" s="11" t="s">
        <v>28</v>
      </c>
      <c r="N810" s="11" t="s">
        <v>56</v>
      </c>
      <c r="O810" s="11" t="s">
        <v>1296</v>
      </c>
      <c r="P810" s="11" t="s">
        <v>38</v>
      </c>
      <c r="Q810" s="20">
        <v>39948.0</v>
      </c>
      <c r="R810" s="17">
        <f t="shared" si="2"/>
        <v>24.33529697</v>
      </c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>
        <f t="shared" si="8"/>
        <v>1</v>
      </c>
      <c r="AF810" s="19">
        <f t="shared" si="13"/>
        <v>3</v>
      </c>
      <c r="AG810" s="9"/>
      <c r="AH810" s="9"/>
      <c r="AI810" s="9"/>
    </row>
    <row r="811" ht="15.0" customHeight="1">
      <c r="A811" s="11">
        <v>810.0</v>
      </c>
      <c r="B811" s="12">
        <f t="shared" si="139"/>
        <v>39947</v>
      </c>
      <c r="C811" s="13">
        <v>2009.0</v>
      </c>
      <c r="D811" s="11" t="s">
        <v>39</v>
      </c>
      <c r="E811" s="11">
        <v>40.0</v>
      </c>
      <c r="F811" s="21" t="s">
        <v>1195</v>
      </c>
      <c r="G811" s="15">
        <v>0.019889298892988985</v>
      </c>
      <c r="H811" s="11" t="s">
        <v>33</v>
      </c>
      <c r="I811" s="16">
        <v>4.488</v>
      </c>
      <c r="J811" s="11" t="s">
        <v>520</v>
      </c>
      <c r="K811" s="11" t="s">
        <v>35</v>
      </c>
      <c r="L811" s="11" t="s">
        <v>48</v>
      </c>
      <c r="M811" s="11" t="s">
        <v>28</v>
      </c>
      <c r="N811" s="11" t="s">
        <v>56</v>
      </c>
      <c r="O811" s="11" t="s">
        <v>1197</v>
      </c>
      <c r="P811" s="11" t="s">
        <v>38</v>
      </c>
      <c r="Q811" s="20">
        <v>39948.0</v>
      </c>
      <c r="R811" s="17">
        <f t="shared" si="2"/>
        <v>4.226237343</v>
      </c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>
        <f t="shared" si="8"/>
        <v>4</v>
      </c>
      <c r="AF811" s="19">
        <f t="shared" si="13"/>
        <v>2</v>
      </c>
      <c r="AG811" s="9"/>
      <c r="AH811" s="9"/>
      <c r="AI811" s="9"/>
    </row>
    <row r="812" ht="15.0" customHeight="1">
      <c r="A812" s="11">
        <v>811.0</v>
      </c>
      <c r="B812" s="12">
        <f t="shared" si="139"/>
        <v>39947</v>
      </c>
      <c r="C812" s="13">
        <v>2009.0</v>
      </c>
      <c r="D812" s="11" t="s">
        <v>39</v>
      </c>
      <c r="E812" s="11">
        <v>35.0</v>
      </c>
      <c r="F812" s="21" t="s">
        <v>498</v>
      </c>
      <c r="G812" s="15">
        <v>0.011088549483534868</v>
      </c>
      <c r="H812" s="11" t="s">
        <v>33</v>
      </c>
      <c r="I812" s="16">
        <v>3.9200000000000004</v>
      </c>
      <c r="J812" s="11" t="s">
        <v>418</v>
      </c>
      <c r="K812" s="11" t="s">
        <v>61</v>
      </c>
      <c r="L812" s="11" t="s">
        <v>48</v>
      </c>
      <c r="M812" s="11" t="s">
        <v>66</v>
      </c>
      <c r="N812" s="11" t="s">
        <v>80</v>
      </c>
      <c r="O812" s="11" t="s">
        <v>500</v>
      </c>
      <c r="P812" s="11" t="s">
        <v>38</v>
      </c>
      <c r="Q812" s="20">
        <v>39948.0</v>
      </c>
      <c r="R812" s="17">
        <f t="shared" si="2"/>
        <v>37.26218346</v>
      </c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>
        <f t="shared" si="8"/>
        <v>4</v>
      </c>
      <c r="AF812" s="19">
        <f t="shared" si="13"/>
        <v>4</v>
      </c>
      <c r="AG812" s="9"/>
      <c r="AH812" s="9"/>
      <c r="AI812" s="9"/>
    </row>
    <row r="813" ht="15.0" customHeight="1">
      <c r="A813" s="11">
        <v>812.0</v>
      </c>
      <c r="B813" s="12">
        <f t="shared" si="139"/>
        <v>39947</v>
      </c>
      <c r="C813" s="13">
        <v>2009.0</v>
      </c>
      <c r="D813" s="11" t="s">
        <v>23</v>
      </c>
      <c r="E813" s="11">
        <v>8.0</v>
      </c>
      <c r="F813" s="21" t="s">
        <v>126</v>
      </c>
      <c r="G813" s="15">
        <v>0.03770419426048546</v>
      </c>
      <c r="H813" s="11" t="s">
        <v>33</v>
      </c>
      <c r="I813" s="16">
        <v>4.392</v>
      </c>
      <c r="J813" s="11" t="s">
        <v>1108</v>
      </c>
      <c r="K813" s="11" t="s">
        <v>47</v>
      </c>
      <c r="L813" s="11" t="s">
        <v>27</v>
      </c>
      <c r="M813" s="11" t="s">
        <v>28</v>
      </c>
      <c r="N813" s="11" t="s">
        <v>56</v>
      </c>
      <c r="O813" s="11" t="s">
        <v>1297</v>
      </c>
      <c r="P813" s="11" t="s">
        <v>38</v>
      </c>
      <c r="Q813" s="20">
        <v>39949.0</v>
      </c>
      <c r="R813" s="17">
        <f t="shared" si="2"/>
        <v>1.643601236</v>
      </c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>
        <f t="shared" si="8"/>
        <v>1</v>
      </c>
      <c r="AF813" s="19">
        <f t="shared" si="13"/>
        <v>3</v>
      </c>
      <c r="AG813" s="9"/>
      <c r="AH813" s="9"/>
      <c r="AI813" s="9"/>
    </row>
    <row r="814" ht="15.0" customHeight="1">
      <c r="A814" s="11">
        <v>813.0</v>
      </c>
      <c r="B814" s="12">
        <f t="shared" si="139"/>
        <v>39947</v>
      </c>
      <c r="C814" s="13">
        <v>2009.0</v>
      </c>
      <c r="D814" s="11" t="s">
        <v>23</v>
      </c>
      <c r="E814" s="11">
        <v>29.0</v>
      </c>
      <c r="F814" s="21" t="s">
        <v>126</v>
      </c>
      <c r="G814" s="15">
        <v>0.0678849840255589</v>
      </c>
      <c r="H814" s="11" t="s">
        <v>33</v>
      </c>
      <c r="I814" s="16">
        <v>3.776</v>
      </c>
      <c r="J814" s="11" t="s">
        <v>1298</v>
      </c>
      <c r="K814" s="11" t="s">
        <v>47</v>
      </c>
      <c r="L814" s="11" t="s">
        <v>48</v>
      </c>
      <c r="M814" s="11" t="s">
        <v>28</v>
      </c>
      <c r="N814" s="11" t="s">
        <v>56</v>
      </c>
      <c r="O814" s="11" t="s">
        <v>1299</v>
      </c>
      <c r="P814" s="11" t="s">
        <v>38</v>
      </c>
      <c r="Q814" s="20">
        <v>39949.0</v>
      </c>
      <c r="R814" s="17">
        <f t="shared" si="2"/>
        <v>9.90278993</v>
      </c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>
        <f t="shared" si="8"/>
        <v>4</v>
      </c>
      <c r="AF814" s="19">
        <f t="shared" si="13"/>
        <v>3</v>
      </c>
      <c r="AG814" s="9"/>
      <c r="AH814" s="9"/>
      <c r="AI814" s="9"/>
    </row>
    <row r="815" ht="15.0" customHeight="1">
      <c r="A815" s="11">
        <v>814.0</v>
      </c>
      <c r="B815" s="12">
        <f t="shared" ref="B815:B823" si="140">DATE(2012,12,31)-1326</f>
        <v>39948</v>
      </c>
      <c r="C815" s="13">
        <v>2009.0</v>
      </c>
      <c r="D815" s="11" t="s">
        <v>39</v>
      </c>
      <c r="E815" s="11">
        <v>45.0</v>
      </c>
      <c r="F815" s="21" t="s">
        <v>1300</v>
      </c>
      <c r="G815" s="15">
        <v>0.02226657795520063</v>
      </c>
      <c r="H815" s="11" t="s">
        <v>33</v>
      </c>
      <c r="I815" s="16">
        <v>8.440000000000001</v>
      </c>
      <c r="J815" s="11" t="s">
        <v>823</v>
      </c>
      <c r="K815" s="11" t="s">
        <v>61</v>
      </c>
      <c r="L815" s="11" t="s">
        <v>36</v>
      </c>
      <c r="M815" s="11" t="s">
        <v>28</v>
      </c>
      <c r="N815" s="11" t="s">
        <v>42</v>
      </c>
      <c r="O815" s="11" t="s">
        <v>1301</v>
      </c>
      <c r="P815" s="11" t="s">
        <v>38</v>
      </c>
      <c r="Q815" s="20">
        <v>39949.0</v>
      </c>
      <c r="R815" s="17">
        <f t="shared" si="2"/>
        <v>39.26577423</v>
      </c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>
        <f t="shared" si="8"/>
        <v>2</v>
      </c>
      <c r="AF815" s="19">
        <f t="shared" si="13"/>
        <v>4</v>
      </c>
      <c r="AG815" s="9"/>
      <c r="AH815" s="9"/>
      <c r="AI815" s="9"/>
    </row>
    <row r="816" ht="15.0" customHeight="1">
      <c r="A816" s="11">
        <v>815.0</v>
      </c>
      <c r="B816" s="12">
        <f t="shared" si="140"/>
        <v>39948</v>
      </c>
      <c r="C816" s="13">
        <v>2009.0</v>
      </c>
      <c r="D816" s="11" t="s">
        <v>39</v>
      </c>
      <c r="E816" s="11">
        <v>50.0</v>
      </c>
      <c r="F816" s="21" t="s">
        <v>731</v>
      </c>
      <c r="G816" s="15">
        <v>0.09115808735012258</v>
      </c>
      <c r="H816" s="11" t="s">
        <v>33</v>
      </c>
      <c r="I816" s="16">
        <v>2.3920000000000003</v>
      </c>
      <c r="J816" s="11" t="s">
        <v>823</v>
      </c>
      <c r="K816" s="11" t="s">
        <v>61</v>
      </c>
      <c r="L816" s="11" t="s">
        <v>36</v>
      </c>
      <c r="M816" s="11" t="s">
        <v>28</v>
      </c>
      <c r="N816" s="11" t="s">
        <v>42</v>
      </c>
      <c r="O816" s="11" t="s">
        <v>1302</v>
      </c>
      <c r="P816" s="11" t="s">
        <v>38</v>
      </c>
      <c r="Q816" s="20">
        <v>39949.0</v>
      </c>
      <c r="R816" s="17">
        <f t="shared" si="2"/>
        <v>172.0510448</v>
      </c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>
        <f t="shared" si="8"/>
        <v>2</v>
      </c>
      <c r="AF816" s="19">
        <f t="shared" si="13"/>
        <v>4</v>
      </c>
      <c r="AG816" s="9"/>
      <c r="AH816" s="9"/>
      <c r="AI816" s="9"/>
    </row>
    <row r="817" ht="15.0" customHeight="1">
      <c r="A817" s="11">
        <v>816.0</v>
      </c>
      <c r="B817" s="12">
        <f t="shared" si="140"/>
        <v>39948</v>
      </c>
      <c r="C817" s="13">
        <v>2009.0</v>
      </c>
      <c r="D817" s="11" t="s">
        <v>102</v>
      </c>
      <c r="E817" s="11">
        <v>34.0</v>
      </c>
      <c r="F817" s="21" t="s">
        <v>218</v>
      </c>
      <c r="G817" s="15">
        <v>0.06019186238835583</v>
      </c>
      <c r="H817" s="11" t="s">
        <v>33</v>
      </c>
      <c r="I817" s="16">
        <v>1.904</v>
      </c>
      <c r="J817" s="11" t="s">
        <v>1303</v>
      </c>
      <c r="K817" s="11" t="s">
        <v>61</v>
      </c>
      <c r="L817" s="11" t="s">
        <v>41</v>
      </c>
      <c r="M817" s="11" t="s">
        <v>66</v>
      </c>
      <c r="N817" s="11" t="s">
        <v>67</v>
      </c>
      <c r="O817" s="11" t="s">
        <v>773</v>
      </c>
      <c r="P817" s="11" t="s">
        <v>99</v>
      </c>
      <c r="Q817" s="20">
        <v>39949.0</v>
      </c>
      <c r="R817" s="17">
        <f t="shared" si="2"/>
        <v>17.10074887</v>
      </c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>
        <f t="shared" si="8"/>
        <v>3</v>
      </c>
      <c r="AF817" s="19">
        <f t="shared" si="13"/>
        <v>4</v>
      </c>
      <c r="AG817" s="9"/>
      <c r="AH817" s="9"/>
      <c r="AI817" s="9"/>
    </row>
    <row r="818" ht="15.0" customHeight="1">
      <c r="A818" s="11">
        <v>817.0</v>
      </c>
      <c r="B818" s="12">
        <f t="shared" si="140"/>
        <v>39948</v>
      </c>
      <c r="C818" s="13">
        <v>2009.0</v>
      </c>
      <c r="D818" s="11" t="s">
        <v>102</v>
      </c>
      <c r="E818" s="11">
        <v>16.0</v>
      </c>
      <c r="F818" s="21" t="s">
        <v>333</v>
      </c>
      <c r="G818" s="15">
        <v>0.08942084942084938</v>
      </c>
      <c r="H818" s="11" t="s">
        <v>33</v>
      </c>
      <c r="I818" s="16">
        <v>0.768</v>
      </c>
      <c r="J818" s="11" t="s">
        <v>1303</v>
      </c>
      <c r="K818" s="11" t="s">
        <v>61</v>
      </c>
      <c r="L818" s="11" t="s">
        <v>41</v>
      </c>
      <c r="M818" s="11" t="s">
        <v>28</v>
      </c>
      <c r="N818" s="11" t="s">
        <v>62</v>
      </c>
      <c r="O818" s="11" t="s">
        <v>549</v>
      </c>
      <c r="P818" s="11" t="s">
        <v>58</v>
      </c>
      <c r="Q818" s="20">
        <v>39949.0</v>
      </c>
      <c r="R818" s="17">
        <f t="shared" si="2"/>
        <v>4.217802625</v>
      </c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>
        <f t="shared" si="8"/>
        <v>3</v>
      </c>
      <c r="AF818" s="19">
        <f t="shared" si="13"/>
        <v>4</v>
      </c>
      <c r="AG818" s="9"/>
      <c r="AH818" s="9"/>
      <c r="AI818" s="9"/>
    </row>
    <row r="819" ht="15.0" customHeight="1">
      <c r="A819" s="11">
        <v>818.0</v>
      </c>
      <c r="B819" s="12">
        <f t="shared" si="140"/>
        <v>39948</v>
      </c>
      <c r="C819" s="13">
        <v>2009.0</v>
      </c>
      <c r="D819" s="11" t="s">
        <v>23</v>
      </c>
      <c r="E819" s="11">
        <v>46.0</v>
      </c>
      <c r="F819" s="21" t="s">
        <v>176</v>
      </c>
      <c r="G819" s="15">
        <v>0.0752799217306229</v>
      </c>
      <c r="H819" s="11" t="s">
        <v>33</v>
      </c>
      <c r="I819" s="16">
        <v>3.2</v>
      </c>
      <c r="J819" s="11" t="s">
        <v>546</v>
      </c>
      <c r="K819" s="11" t="s">
        <v>61</v>
      </c>
      <c r="L819" s="11" t="s">
        <v>48</v>
      </c>
      <c r="M819" s="11" t="s">
        <v>66</v>
      </c>
      <c r="N819" s="11" t="s">
        <v>67</v>
      </c>
      <c r="O819" s="11" t="s">
        <v>445</v>
      </c>
      <c r="P819" s="11" t="s">
        <v>38</v>
      </c>
      <c r="Q819" s="20">
        <v>39950.0</v>
      </c>
      <c r="R819" s="17">
        <f t="shared" si="2"/>
        <v>256.1474617</v>
      </c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>
        <f t="shared" si="8"/>
        <v>4</v>
      </c>
      <c r="AF819" s="19">
        <f t="shared" si="13"/>
        <v>4</v>
      </c>
      <c r="AG819" s="9"/>
      <c r="AH819" s="9"/>
      <c r="AI819" s="9"/>
    </row>
    <row r="820" ht="15.0" customHeight="1">
      <c r="A820" s="11">
        <v>819.0</v>
      </c>
      <c r="B820" s="12">
        <f t="shared" si="140"/>
        <v>39948</v>
      </c>
      <c r="C820" s="13">
        <v>2009.0</v>
      </c>
      <c r="D820" s="11" t="s">
        <v>23</v>
      </c>
      <c r="E820" s="11">
        <v>21.0</v>
      </c>
      <c r="F820" s="21" t="s">
        <v>758</v>
      </c>
      <c r="G820" s="15">
        <v>0.0429962546816478</v>
      </c>
      <c r="H820" s="11" t="s">
        <v>33</v>
      </c>
      <c r="I820" s="16">
        <v>1.056</v>
      </c>
      <c r="J820" s="11" t="s">
        <v>546</v>
      </c>
      <c r="K820" s="11" t="s">
        <v>61</v>
      </c>
      <c r="L820" s="11" t="s">
        <v>48</v>
      </c>
      <c r="M820" s="11" t="s">
        <v>28</v>
      </c>
      <c r="N820" s="11" t="s">
        <v>442</v>
      </c>
      <c r="O820" s="11" t="s">
        <v>1304</v>
      </c>
      <c r="P820" s="11" t="s">
        <v>58</v>
      </c>
      <c r="Q820" s="20">
        <v>39950.0</v>
      </c>
      <c r="R820" s="17">
        <f t="shared" si="2"/>
        <v>3.295920899</v>
      </c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>
        <f t="shared" si="8"/>
        <v>4</v>
      </c>
      <c r="AF820" s="19">
        <f t="shared" si="13"/>
        <v>4</v>
      </c>
      <c r="AG820" s="9"/>
      <c r="AH820" s="9"/>
      <c r="AI820" s="9"/>
    </row>
    <row r="821" ht="15.0" customHeight="1">
      <c r="A821" s="11">
        <v>820.0</v>
      </c>
      <c r="B821" s="12">
        <f t="shared" si="140"/>
        <v>39948</v>
      </c>
      <c r="C821" s="13">
        <v>2009.0</v>
      </c>
      <c r="D821" s="11" t="s">
        <v>32</v>
      </c>
      <c r="E821" s="11">
        <v>30.0</v>
      </c>
      <c r="F821" s="21" t="s">
        <v>130</v>
      </c>
      <c r="G821" s="15">
        <v>0.013753702920016927</v>
      </c>
      <c r="H821" s="11" t="s">
        <v>33</v>
      </c>
      <c r="I821" s="16">
        <v>5.2</v>
      </c>
      <c r="J821" s="11" t="s">
        <v>72</v>
      </c>
      <c r="K821" s="11" t="s">
        <v>61</v>
      </c>
      <c r="L821" s="11" t="s">
        <v>48</v>
      </c>
      <c r="M821" s="11" t="s">
        <v>66</v>
      </c>
      <c r="N821" s="11" t="s">
        <v>67</v>
      </c>
      <c r="O821" s="11" t="s">
        <v>1305</v>
      </c>
      <c r="P821" s="11" t="s">
        <v>38</v>
      </c>
      <c r="Q821" s="20">
        <v>39950.0</v>
      </c>
      <c r="R821" s="17">
        <f t="shared" si="2"/>
        <v>12.82120186</v>
      </c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>
        <f t="shared" si="8"/>
        <v>4</v>
      </c>
      <c r="AF821" s="19">
        <f t="shared" si="13"/>
        <v>4</v>
      </c>
      <c r="AG821" s="9"/>
      <c r="AH821" s="9"/>
      <c r="AI821" s="9"/>
    </row>
    <row r="822" ht="15.0" customHeight="1">
      <c r="A822" s="11">
        <v>821.0</v>
      </c>
      <c r="B822" s="12">
        <f t="shared" si="140"/>
        <v>39948</v>
      </c>
      <c r="C822" s="13">
        <v>2009.0</v>
      </c>
      <c r="D822" s="11" t="s">
        <v>32</v>
      </c>
      <c r="E822" s="11">
        <v>29.0</v>
      </c>
      <c r="F822" s="21" t="s">
        <v>270</v>
      </c>
      <c r="G822" s="15">
        <v>0.015243712623904459</v>
      </c>
      <c r="H822" s="11" t="s">
        <v>33</v>
      </c>
      <c r="I822" s="16">
        <v>15.991999999999999</v>
      </c>
      <c r="J822" s="11" t="s">
        <v>72</v>
      </c>
      <c r="K822" s="11" t="s">
        <v>61</v>
      </c>
      <c r="L822" s="11" t="s">
        <v>48</v>
      </c>
      <c r="M822" s="11" t="s">
        <v>28</v>
      </c>
      <c r="N822" s="11" t="s">
        <v>56</v>
      </c>
      <c r="O822" s="11" t="s">
        <v>1306</v>
      </c>
      <c r="P822" s="11" t="s">
        <v>38</v>
      </c>
      <c r="Q822" s="20">
        <v>39950.0</v>
      </c>
      <c r="R822" s="17">
        <f t="shared" si="2"/>
        <v>18.324345</v>
      </c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>
        <f t="shared" si="8"/>
        <v>4</v>
      </c>
      <c r="AF822" s="19">
        <f t="shared" si="13"/>
        <v>4</v>
      </c>
      <c r="AG822" s="9"/>
      <c r="AH822" s="9"/>
      <c r="AI822" s="9"/>
    </row>
    <row r="823" ht="15.0" customHeight="1">
      <c r="A823" s="11">
        <v>822.0</v>
      </c>
      <c r="B823" s="12">
        <f t="shared" si="140"/>
        <v>39948</v>
      </c>
      <c r="C823" s="13">
        <v>2009.0</v>
      </c>
      <c r="D823" s="11" t="s">
        <v>32</v>
      </c>
      <c r="E823" s="11">
        <v>48.0</v>
      </c>
      <c r="F823" s="21" t="s">
        <v>1307</v>
      </c>
      <c r="G823" s="15">
        <v>0.051465196005365955</v>
      </c>
      <c r="H823" s="11" t="s">
        <v>33</v>
      </c>
      <c r="I823" s="16">
        <v>5.5440000000000005</v>
      </c>
      <c r="J823" s="11" t="s">
        <v>1308</v>
      </c>
      <c r="K823" s="11" t="s">
        <v>61</v>
      </c>
      <c r="L823" s="11" t="s">
        <v>36</v>
      </c>
      <c r="M823" s="11" t="s">
        <v>49</v>
      </c>
      <c r="N823" s="11" t="s">
        <v>73</v>
      </c>
      <c r="O823" s="11" t="s">
        <v>1309</v>
      </c>
      <c r="P823" s="11" t="s">
        <v>38</v>
      </c>
      <c r="Q823" s="20">
        <v>39950.0</v>
      </c>
      <c r="R823" s="17">
        <f t="shared" si="2"/>
        <v>65.50201942</v>
      </c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>
        <f t="shared" si="8"/>
        <v>2</v>
      </c>
      <c r="AF823" s="19">
        <f t="shared" si="13"/>
        <v>4</v>
      </c>
      <c r="AG823" s="9"/>
      <c r="AH823" s="9"/>
      <c r="AI823" s="9"/>
    </row>
    <row r="824" ht="15.0" customHeight="1">
      <c r="A824" s="11">
        <v>823.0</v>
      </c>
      <c r="B824" s="12">
        <f t="shared" ref="B824:B828" si="141">DATE(2012,12,31)-1325</f>
        <v>39949</v>
      </c>
      <c r="C824" s="13">
        <v>2009.0</v>
      </c>
      <c r="D824" s="11" t="s">
        <v>32</v>
      </c>
      <c r="E824" s="11">
        <v>25.0</v>
      </c>
      <c r="F824" s="21" t="s">
        <v>1182</v>
      </c>
      <c r="G824" s="15">
        <v>0.09239074550128538</v>
      </c>
      <c r="H824" s="11" t="s">
        <v>33</v>
      </c>
      <c r="I824" s="16">
        <v>6.224</v>
      </c>
      <c r="J824" s="11" t="s">
        <v>1310</v>
      </c>
      <c r="K824" s="11" t="s">
        <v>83</v>
      </c>
      <c r="L824" s="11" t="s">
        <v>48</v>
      </c>
      <c r="M824" s="11" t="s">
        <v>28</v>
      </c>
      <c r="N824" s="11" t="s">
        <v>42</v>
      </c>
      <c r="O824" s="11" t="s">
        <v>1311</v>
      </c>
      <c r="P824" s="11" t="s">
        <v>38</v>
      </c>
      <c r="Q824" s="20">
        <v>39950.0</v>
      </c>
      <c r="R824" s="17">
        <f t="shared" si="2"/>
        <v>13.04779064</v>
      </c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>
        <f t="shared" si="8"/>
        <v>4</v>
      </c>
      <c r="AF824" s="19" t="b">
        <f t="shared" si="13"/>
        <v>0</v>
      </c>
      <c r="AG824" s="9"/>
      <c r="AH824" s="9"/>
      <c r="AI824" s="9"/>
    </row>
    <row r="825" ht="15.0" customHeight="1">
      <c r="A825" s="11">
        <v>824.0</v>
      </c>
      <c r="B825" s="12">
        <f t="shared" si="141"/>
        <v>39949</v>
      </c>
      <c r="C825" s="13">
        <v>2009.0</v>
      </c>
      <c r="D825" s="11" t="s">
        <v>32</v>
      </c>
      <c r="E825" s="11">
        <v>18.0</v>
      </c>
      <c r="F825" s="21" t="s">
        <v>1002</v>
      </c>
      <c r="G825" s="15">
        <v>0.03055806938159874</v>
      </c>
      <c r="H825" s="11" t="s">
        <v>33</v>
      </c>
      <c r="I825" s="16">
        <v>1.192</v>
      </c>
      <c r="J825" s="11" t="s">
        <v>771</v>
      </c>
      <c r="K825" s="11" t="s">
        <v>61</v>
      </c>
      <c r="L825" s="11" t="s">
        <v>48</v>
      </c>
      <c r="M825" s="11" t="s">
        <v>28</v>
      </c>
      <c r="N825" s="11" t="s">
        <v>42</v>
      </c>
      <c r="O825" s="11" t="s">
        <v>1003</v>
      </c>
      <c r="P825" s="11" t="s">
        <v>38</v>
      </c>
      <c r="Q825" s="20">
        <v>39951.0</v>
      </c>
      <c r="R825" s="17">
        <f t="shared" si="2"/>
        <v>15.71271481</v>
      </c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>
        <f t="shared" si="8"/>
        <v>4</v>
      </c>
      <c r="AF825" s="19">
        <f t="shared" si="13"/>
        <v>4</v>
      </c>
      <c r="AG825" s="9"/>
      <c r="AH825" s="9"/>
      <c r="AI825" s="9"/>
    </row>
    <row r="826" ht="15.0" customHeight="1">
      <c r="A826" s="11">
        <v>825.0</v>
      </c>
      <c r="B826" s="12">
        <f t="shared" si="141"/>
        <v>39949</v>
      </c>
      <c r="C826" s="13">
        <v>2009.0</v>
      </c>
      <c r="D826" s="11" t="s">
        <v>32</v>
      </c>
      <c r="E826" s="11">
        <v>16.0</v>
      </c>
      <c r="F826" s="21" t="s">
        <v>103</v>
      </c>
      <c r="G826" s="15">
        <v>0.08981818181818178</v>
      </c>
      <c r="H826" s="11" t="s">
        <v>33</v>
      </c>
      <c r="I826" s="16">
        <v>5.720000000000001</v>
      </c>
      <c r="J826" s="11" t="s">
        <v>771</v>
      </c>
      <c r="K826" s="11" t="s">
        <v>61</v>
      </c>
      <c r="L826" s="11" t="s">
        <v>48</v>
      </c>
      <c r="M826" s="11" t="s">
        <v>28</v>
      </c>
      <c r="N826" s="11" t="s">
        <v>56</v>
      </c>
      <c r="O826" s="11" t="s">
        <v>1312</v>
      </c>
      <c r="P826" s="11" t="s">
        <v>38</v>
      </c>
      <c r="Q826" s="20">
        <v>39951.0</v>
      </c>
      <c r="R826" s="17">
        <f t="shared" si="2"/>
        <v>8.992596364</v>
      </c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>
        <f t="shared" si="8"/>
        <v>4</v>
      </c>
      <c r="AF826" s="19">
        <f t="shared" si="13"/>
        <v>4</v>
      </c>
      <c r="AG826" s="9"/>
      <c r="AH826" s="9"/>
      <c r="AI826" s="9"/>
    </row>
    <row r="827" ht="15.0" customHeight="1">
      <c r="A827" s="11">
        <v>826.0</v>
      </c>
      <c r="B827" s="12">
        <f t="shared" si="141"/>
        <v>39949</v>
      </c>
      <c r="C827" s="13">
        <v>2009.0</v>
      </c>
      <c r="D827" s="11" t="s">
        <v>39</v>
      </c>
      <c r="E827" s="11">
        <v>17.0</v>
      </c>
      <c r="F827" s="21" t="s">
        <v>256</v>
      </c>
      <c r="G827" s="15">
        <v>0.0063542494042890954</v>
      </c>
      <c r="H827" s="11" t="s">
        <v>24</v>
      </c>
      <c r="I827" s="16">
        <v>5.4</v>
      </c>
      <c r="J827" s="11" t="s">
        <v>1142</v>
      </c>
      <c r="K827" s="11" t="s">
        <v>47</v>
      </c>
      <c r="L827" s="11" t="s">
        <v>36</v>
      </c>
      <c r="M827" s="11" t="s">
        <v>28</v>
      </c>
      <c r="N827" s="11" t="s">
        <v>197</v>
      </c>
      <c r="O827" s="11" t="s">
        <v>257</v>
      </c>
      <c r="P827" s="11" t="s">
        <v>75</v>
      </c>
      <c r="Q827" s="20">
        <v>39951.0</v>
      </c>
      <c r="R827" s="17">
        <f t="shared" si="2"/>
        <v>1.589833201</v>
      </c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>
        <f t="shared" si="8"/>
        <v>2</v>
      </c>
      <c r="AF827" s="19">
        <f t="shared" si="13"/>
        <v>3</v>
      </c>
      <c r="AG827" s="9"/>
      <c r="AH827" s="9"/>
      <c r="AI827" s="9"/>
    </row>
    <row r="828" ht="15.0" customHeight="1">
      <c r="A828" s="11">
        <v>827.0</v>
      </c>
      <c r="B828" s="12">
        <f t="shared" si="141"/>
        <v>39949</v>
      </c>
      <c r="C828" s="13">
        <v>2009.0</v>
      </c>
      <c r="D828" s="11" t="s">
        <v>39</v>
      </c>
      <c r="E828" s="11">
        <v>27.0</v>
      </c>
      <c r="F828" s="21" t="s">
        <v>124</v>
      </c>
      <c r="G828" s="15">
        <v>0.06654667389910758</v>
      </c>
      <c r="H828" s="11" t="s">
        <v>33</v>
      </c>
      <c r="I828" s="16">
        <v>28.0</v>
      </c>
      <c r="J828" s="11" t="s">
        <v>561</v>
      </c>
      <c r="K828" s="11" t="s">
        <v>65</v>
      </c>
      <c r="L828" s="11" t="s">
        <v>36</v>
      </c>
      <c r="M828" s="11" t="s">
        <v>28</v>
      </c>
      <c r="N828" s="11" t="s">
        <v>29</v>
      </c>
      <c r="O828" s="11" t="s">
        <v>1313</v>
      </c>
      <c r="P828" s="11" t="s">
        <v>31</v>
      </c>
      <c r="Q828" s="20">
        <v>39951.0</v>
      </c>
      <c r="R828" s="17">
        <f t="shared" si="2"/>
        <v>503.8781054</v>
      </c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>
        <f t="shared" si="8"/>
        <v>2</v>
      </c>
      <c r="AF828" s="19">
        <f t="shared" si="13"/>
        <v>5</v>
      </c>
      <c r="AG828" s="9"/>
      <c r="AH828" s="9"/>
      <c r="AI828" s="9"/>
    </row>
    <row r="829" ht="15.0" customHeight="1">
      <c r="A829" s="11">
        <v>828.0</v>
      </c>
      <c r="B829" s="12">
        <f t="shared" ref="B829:B833" si="142">DATE(2012,12,31)-1324</f>
        <v>39950</v>
      </c>
      <c r="C829" s="13">
        <v>2009.0</v>
      </c>
      <c r="D829" s="11" t="s">
        <v>102</v>
      </c>
      <c r="E829" s="11">
        <v>7.0</v>
      </c>
      <c r="F829" s="21" t="s">
        <v>333</v>
      </c>
      <c r="G829" s="15">
        <v>0.07596491228070172</v>
      </c>
      <c r="H829" s="11" t="s">
        <v>33</v>
      </c>
      <c r="I829" s="16">
        <v>0.768</v>
      </c>
      <c r="J829" s="11" t="s">
        <v>1123</v>
      </c>
      <c r="K829" s="11" t="s">
        <v>61</v>
      </c>
      <c r="L829" s="11" t="s">
        <v>48</v>
      </c>
      <c r="M829" s="11" t="s">
        <v>28</v>
      </c>
      <c r="N829" s="11" t="s">
        <v>62</v>
      </c>
      <c r="O829" s="11" t="s">
        <v>549</v>
      </c>
      <c r="P829" s="11" t="s">
        <v>58</v>
      </c>
      <c r="Q829" s="20">
        <v>39951.0</v>
      </c>
      <c r="R829" s="17">
        <f t="shared" si="2"/>
        <v>1.600428772</v>
      </c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>
        <f t="shared" si="8"/>
        <v>4</v>
      </c>
      <c r="AF829" s="19">
        <f t="shared" si="13"/>
        <v>4</v>
      </c>
      <c r="AG829" s="9"/>
      <c r="AH829" s="9"/>
      <c r="AI829" s="9"/>
    </row>
    <row r="830" ht="15.0" customHeight="1">
      <c r="A830" s="11">
        <v>829.0</v>
      </c>
      <c r="B830" s="12">
        <f t="shared" si="142"/>
        <v>39950</v>
      </c>
      <c r="C830" s="13">
        <v>2009.0</v>
      </c>
      <c r="D830" s="11" t="s">
        <v>32</v>
      </c>
      <c r="E830" s="11">
        <v>43.0</v>
      </c>
      <c r="F830" s="21" t="s">
        <v>218</v>
      </c>
      <c r="G830" s="15">
        <v>0.07049844236760111</v>
      </c>
      <c r="H830" s="11" t="s">
        <v>33</v>
      </c>
      <c r="I830" s="16">
        <v>1.144</v>
      </c>
      <c r="J830" s="11" t="s">
        <v>1314</v>
      </c>
      <c r="K830" s="11" t="s">
        <v>47</v>
      </c>
      <c r="L830" s="11" t="s">
        <v>27</v>
      </c>
      <c r="M830" s="11" t="s">
        <v>28</v>
      </c>
      <c r="N830" s="11" t="s">
        <v>56</v>
      </c>
      <c r="O830" s="11" t="s">
        <v>1315</v>
      </c>
      <c r="P830" s="11" t="s">
        <v>58</v>
      </c>
      <c r="Q830" s="20">
        <v>39951.0</v>
      </c>
      <c r="R830" s="17">
        <f t="shared" si="2"/>
        <v>25.2415443</v>
      </c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>
        <f t="shared" si="8"/>
        <v>1</v>
      </c>
      <c r="AF830" s="19">
        <f t="shared" si="13"/>
        <v>3</v>
      </c>
      <c r="AG830" s="9"/>
      <c r="AH830" s="9"/>
      <c r="AI830" s="9"/>
    </row>
    <row r="831" ht="15.0" customHeight="1">
      <c r="A831" s="11">
        <v>830.0</v>
      </c>
      <c r="B831" s="12">
        <f t="shared" si="142"/>
        <v>39950</v>
      </c>
      <c r="C831" s="13">
        <v>2009.0</v>
      </c>
      <c r="D831" s="11" t="s">
        <v>32</v>
      </c>
      <c r="E831" s="11">
        <v>26.0</v>
      </c>
      <c r="F831" s="21" t="s">
        <v>126</v>
      </c>
      <c r="G831" s="15">
        <v>0.10456330399458355</v>
      </c>
      <c r="H831" s="11" t="s">
        <v>33</v>
      </c>
      <c r="I831" s="16">
        <v>4.856000000000001</v>
      </c>
      <c r="J831" s="11" t="s">
        <v>1314</v>
      </c>
      <c r="K831" s="11" t="s">
        <v>47</v>
      </c>
      <c r="L831" s="11" t="s">
        <v>27</v>
      </c>
      <c r="M831" s="11" t="s">
        <v>28</v>
      </c>
      <c r="N831" s="11" t="s">
        <v>56</v>
      </c>
      <c r="O831" s="11" t="s">
        <v>1316</v>
      </c>
      <c r="P831" s="11" t="s">
        <v>38</v>
      </c>
      <c r="Q831" s="20">
        <v>39951.0</v>
      </c>
      <c r="R831" s="17">
        <f t="shared" si="2"/>
        <v>13.82912433</v>
      </c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>
        <f t="shared" si="8"/>
        <v>1</v>
      </c>
      <c r="AF831" s="19">
        <f t="shared" si="13"/>
        <v>3</v>
      </c>
      <c r="AG831" s="9"/>
      <c r="AH831" s="9"/>
      <c r="AI831" s="9"/>
    </row>
    <row r="832" ht="15.0" customHeight="1">
      <c r="A832" s="11">
        <v>831.0</v>
      </c>
      <c r="B832" s="12">
        <f t="shared" si="142"/>
        <v>39950</v>
      </c>
      <c r="C832" s="13">
        <v>2009.0</v>
      </c>
      <c r="D832" s="11" t="s">
        <v>32</v>
      </c>
      <c r="E832" s="11">
        <v>26.0</v>
      </c>
      <c r="F832" s="21" t="s">
        <v>1317</v>
      </c>
      <c r="G832" s="15">
        <v>0.06870393672478864</v>
      </c>
      <c r="H832" s="11" t="s">
        <v>33</v>
      </c>
      <c r="I832" s="16">
        <v>3.28</v>
      </c>
      <c r="J832" s="11" t="s">
        <v>1314</v>
      </c>
      <c r="K832" s="11" t="s">
        <v>47</v>
      </c>
      <c r="L832" s="11" t="s">
        <v>27</v>
      </c>
      <c r="M832" s="11" t="s">
        <v>28</v>
      </c>
      <c r="N832" s="11" t="s">
        <v>62</v>
      </c>
      <c r="O832" s="11" t="s">
        <v>1318</v>
      </c>
      <c r="P832" s="11" t="s">
        <v>58</v>
      </c>
      <c r="Q832" s="20">
        <v>39951.0</v>
      </c>
      <c r="R832" s="17">
        <f t="shared" si="2"/>
        <v>35.59413554</v>
      </c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>
        <f t="shared" si="8"/>
        <v>1</v>
      </c>
      <c r="AF832" s="19">
        <f t="shared" si="13"/>
        <v>3</v>
      </c>
      <c r="AG832" s="9"/>
      <c r="AH832" s="9"/>
      <c r="AI832" s="9"/>
    </row>
    <row r="833" ht="15.0" customHeight="1">
      <c r="A833" s="11">
        <v>832.0</v>
      </c>
      <c r="B833" s="12">
        <f t="shared" si="142"/>
        <v>39950</v>
      </c>
      <c r="C833" s="13">
        <v>2009.0</v>
      </c>
      <c r="D833" s="11" t="s">
        <v>44</v>
      </c>
      <c r="E833" s="11">
        <v>30.0</v>
      </c>
      <c r="F833" s="21" t="s">
        <v>814</v>
      </c>
      <c r="G833" s="15">
        <v>0.04078276140830156</v>
      </c>
      <c r="H833" s="11" t="s">
        <v>45</v>
      </c>
      <c r="I833" s="16">
        <v>24.0</v>
      </c>
      <c r="J833" s="11" t="s">
        <v>1319</v>
      </c>
      <c r="K833" s="11" t="s">
        <v>65</v>
      </c>
      <c r="L833" s="11" t="s">
        <v>48</v>
      </c>
      <c r="M833" s="11" t="s">
        <v>49</v>
      </c>
      <c r="N833" s="11" t="s">
        <v>50</v>
      </c>
      <c r="O833" s="11" t="s">
        <v>816</v>
      </c>
      <c r="P833" s="11" t="s">
        <v>52</v>
      </c>
      <c r="Q833" s="20">
        <v>39951.0</v>
      </c>
      <c r="R833" s="17">
        <f t="shared" si="2"/>
        <v>140.333482</v>
      </c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>
        <f t="shared" si="8"/>
        <v>4</v>
      </c>
      <c r="AF833" s="19">
        <f t="shared" si="13"/>
        <v>5</v>
      </c>
      <c r="AG833" s="9"/>
      <c r="AH833" s="9"/>
      <c r="AI833" s="9"/>
    </row>
    <row r="834" ht="15.0" customHeight="1">
      <c r="A834" s="11">
        <v>833.0</v>
      </c>
      <c r="B834" s="12">
        <f t="shared" ref="B834:B840" si="143">DATE(2012,12,31)-1323</f>
        <v>39951</v>
      </c>
      <c r="C834" s="13">
        <v>2009.0</v>
      </c>
      <c r="D834" s="11" t="s">
        <v>23</v>
      </c>
      <c r="E834" s="11">
        <v>47.0</v>
      </c>
      <c r="F834" s="21" t="s">
        <v>176</v>
      </c>
      <c r="G834" s="15">
        <v>0.0355299250523768</v>
      </c>
      <c r="H834" s="11" t="s">
        <v>24</v>
      </c>
      <c r="I834" s="16">
        <v>9.712000000000002</v>
      </c>
      <c r="J834" s="11" t="s">
        <v>1320</v>
      </c>
      <c r="K834" s="11" t="s">
        <v>35</v>
      </c>
      <c r="L834" s="11" t="s">
        <v>48</v>
      </c>
      <c r="M834" s="11" t="s">
        <v>66</v>
      </c>
      <c r="N834" s="11" t="s">
        <v>67</v>
      </c>
      <c r="O834" s="11" t="s">
        <v>445</v>
      </c>
      <c r="P834" s="11" t="s">
        <v>38</v>
      </c>
      <c r="Q834" s="20">
        <v>39952.0</v>
      </c>
      <c r="R834" s="17">
        <f t="shared" si="2"/>
        <v>123.7511553</v>
      </c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>
        <f t="shared" si="8"/>
        <v>4</v>
      </c>
      <c r="AF834" s="19">
        <f t="shared" si="13"/>
        <v>2</v>
      </c>
      <c r="AG834" s="9"/>
      <c r="AH834" s="9"/>
      <c r="AI834" s="9"/>
    </row>
    <row r="835" ht="15.0" customHeight="1">
      <c r="A835" s="11">
        <v>834.0</v>
      </c>
      <c r="B835" s="12">
        <f t="shared" si="143"/>
        <v>39951</v>
      </c>
      <c r="C835" s="13">
        <v>2009.0</v>
      </c>
      <c r="D835" s="11" t="s">
        <v>102</v>
      </c>
      <c r="E835" s="11">
        <v>38.0</v>
      </c>
      <c r="F835" s="21" t="s">
        <v>122</v>
      </c>
      <c r="G835" s="15">
        <v>0.08663602941176472</v>
      </c>
      <c r="H835" s="11" t="s">
        <v>33</v>
      </c>
      <c r="I835" s="16">
        <v>0.792</v>
      </c>
      <c r="J835" s="11" t="s">
        <v>900</v>
      </c>
      <c r="K835" s="11" t="s">
        <v>61</v>
      </c>
      <c r="L835" s="11" t="s">
        <v>48</v>
      </c>
      <c r="M835" s="11" t="s">
        <v>66</v>
      </c>
      <c r="N835" s="11" t="s">
        <v>80</v>
      </c>
      <c r="O835" s="11" t="s">
        <v>1321</v>
      </c>
      <c r="P835" s="11" t="s">
        <v>58</v>
      </c>
      <c r="Q835" s="20">
        <v>39952.0</v>
      </c>
      <c r="R835" s="17">
        <f t="shared" si="2"/>
        <v>68.87495029</v>
      </c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>
        <f t="shared" si="8"/>
        <v>4</v>
      </c>
      <c r="AF835" s="19">
        <f t="shared" si="13"/>
        <v>4</v>
      </c>
      <c r="AG835" s="9"/>
      <c r="AH835" s="9"/>
      <c r="AI835" s="9"/>
    </row>
    <row r="836" ht="15.0" customHeight="1">
      <c r="A836" s="11">
        <v>835.0</v>
      </c>
      <c r="B836" s="12">
        <f t="shared" si="143"/>
        <v>39951</v>
      </c>
      <c r="C836" s="13">
        <v>2009.0</v>
      </c>
      <c r="D836" s="11" t="s">
        <v>102</v>
      </c>
      <c r="E836" s="11">
        <v>15.0</v>
      </c>
      <c r="F836" s="21" t="s">
        <v>894</v>
      </c>
      <c r="G836" s="15">
        <v>0.12494382022471909</v>
      </c>
      <c r="H836" s="11" t="s">
        <v>24</v>
      </c>
      <c r="I836" s="16">
        <v>5.016</v>
      </c>
      <c r="J836" s="11" t="s">
        <v>900</v>
      </c>
      <c r="K836" s="11" t="s">
        <v>61</v>
      </c>
      <c r="L836" s="11" t="s">
        <v>48</v>
      </c>
      <c r="M836" s="11" t="s">
        <v>28</v>
      </c>
      <c r="N836" s="11" t="s">
        <v>42</v>
      </c>
      <c r="O836" s="11" t="s">
        <v>89</v>
      </c>
      <c r="P836" s="11" t="s">
        <v>38</v>
      </c>
      <c r="Q836" s="20">
        <v>39952.0</v>
      </c>
      <c r="R836" s="17">
        <f t="shared" si="2"/>
        <v>6.811437303</v>
      </c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>
        <f t="shared" si="8"/>
        <v>4</v>
      </c>
      <c r="AF836" s="19">
        <f t="shared" si="13"/>
        <v>4</v>
      </c>
      <c r="AG836" s="9"/>
      <c r="AH836" s="9"/>
      <c r="AI836" s="9"/>
    </row>
    <row r="837" ht="15.0" customHeight="1">
      <c r="A837" s="11">
        <v>836.0</v>
      </c>
      <c r="B837" s="12">
        <f t="shared" si="143"/>
        <v>39951</v>
      </c>
      <c r="C837" s="13">
        <v>2009.0</v>
      </c>
      <c r="D837" s="11" t="s">
        <v>102</v>
      </c>
      <c r="E837" s="11">
        <v>5.0</v>
      </c>
      <c r="F837" s="21" t="s">
        <v>610</v>
      </c>
      <c r="G837" s="15">
        <v>0.08350282485875696</v>
      </c>
      <c r="H837" s="11" t="s">
        <v>33</v>
      </c>
      <c r="I837" s="16">
        <v>3.8880000000000003</v>
      </c>
      <c r="J837" s="11" t="s">
        <v>900</v>
      </c>
      <c r="K837" s="11" t="s">
        <v>61</v>
      </c>
      <c r="L837" s="11" t="s">
        <v>48</v>
      </c>
      <c r="M837" s="11" t="s">
        <v>28</v>
      </c>
      <c r="N837" s="11" t="s">
        <v>56</v>
      </c>
      <c r="O837" s="11" t="s">
        <v>976</v>
      </c>
      <c r="P837" s="11" t="s">
        <v>38</v>
      </c>
      <c r="Q837" s="20">
        <v>39953.0</v>
      </c>
      <c r="R837" s="17">
        <f t="shared" si="2"/>
        <v>5.418331299</v>
      </c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>
        <f t="shared" si="8"/>
        <v>4</v>
      </c>
      <c r="AF837" s="19">
        <f t="shared" si="13"/>
        <v>4</v>
      </c>
      <c r="AG837" s="9"/>
      <c r="AH837" s="9"/>
      <c r="AI837" s="9"/>
    </row>
    <row r="838" ht="15.0" customHeight="1">
      <c r="A838" s="11">
        <v>837.0</v>
      </c>
      <c r="B838" s="12">
        <f t="shared" si="143"/>
        <v>39951</v>
      </c>
      <c r="C838" s="13">
        <v>2009.0</v>
      </c>
      <c r="D838" s="11" t="s">
        <v>32</v>
      </c>
      <c r="E838" s="11">
        <v>41.0</v>
      </c>
      <c r="F838" s="21" t="s">
        <v>810</v>
      </c>
      <c r="G838" s="15">
        <v>0.047020961253440546</v>
      </c>
      <c r="H838" s="11" t="s">
        <v>33</v>
      </c>
      <c r="I838" s="16">
        <v>3.192</v>
      </c>
      <c r="J838" s="11" t="s">
        <v>945</v>
      </c>
      <c r="K838" s="11" t="s">
        <v>65</v>
      </c>
      <c r="L838" s="11" t="s">
        <v>36</v>
      </c>
      <c r="M838" s="11" t="s">
        <v>28</v>
      </c>
      <c r="N838" s="11" t="s">
        <v>197</v>
      </c>
      <c r="O838" s="11" t="s">
        <v>1322</v>
      </c>
      <c r="P838" s="11" t="s">
        <v>38</v>
      </c>
      <c r="Q838" s="20">
        <v>39953.0</v>
      </c>
      <c r="R838" s="17">
        <f t="shared" si="2"/>
        <v>21.16375849</v>
      </c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>
        <f t="shared" si="8"/>
        <v>2</v>
      </c>
      <c r="AF838" s="19">
        <f t="shared" si="13"/>
        <v>5</v>
      </c>
      <c r="AG838" s="9"/>
      <c r="AH838" s="9"/>
      <c r="AI838" s="9"/>
    </row>
    <row r="839" ht="15.0" customHeight="1">
      <c r="A839" s="11">
        <v>838.0</v>
      </c>
      <c r="B839" s="12">
        <f t="shared" si="143"/>
        <v>39951</v>
      </c>
      <c r="C839" s="13">
        <v>2009.0</v>
      </c>
      <c r="D839" s="11" t="s">
        <v>39</v>
      </c>
      <c r="E839" s="11">
        <v>3.0</v>
      </c>
      <c r="F839" s="21" t="s">
        <v>333</v>
      </c>
      <c r="G839" s="15">
        <v>0.1259649122807019</v>
      </c>
      <c r="H839" s="11" t="s">
        <v>33</v>
      </c>
      <c r="I839" s="16">
        <v>1.2640000000000002</v>
      </c>
      <c r="J839" s="11" t="s">
        <v>1101</v>
      </c>
      <c r="K839" s="11" t="s">
        <v>65</v>
      </c>
      <c r="L839" s="11" t="s">
        <v>48</v>
      </c>
      <c r="M839" s="11" t="s">
        <v>28</v>
      </c>
      <c r="N839" s="11" t="s">
        <v>216</v>
      </c>
      <c r="O839" s="11" t="s">
        <v>643</v>
      </c>
      <c r="P839" s="11" t="s">
        <v>58</v>
      </c>
      <c r="Q839" s="20">
        <v>39953.0</v>
      </c>
      <c r="R839" s="17">
        <f t="shared" si="2"/>
        <v>1.255114386</v>
      </c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>
        <f t="shared" si="8"/>
        <v>4</v>
      </c>
      <c r="AF839" s="19">
        <f t="shared" si="13"/>
        <v>5</v>
      </c>
      <c r="AG839" s="9"/>
      <c r="AH839" s="9"/>
      <c r="AI839" s="9"/>
    </row>
    <row r="840" ht="15.0" customHeight="1">
      <c r="A840" s="11">
        <v>839.0</v>
      </c>
      <c r="B840" s="12">
        <f t="shared" si="143"/>
        <v>39951</v>
      </c>
      <c r="C840" s="13">
        <v>2009.0</v>
      </c>
      <c r="D840" s="11" t="s">
        <v>39</v>
      </c>
      <c r="E840" s="11">
        <v>42.0</v>
      </c>
      <c r="F840" s="21" t="s">
        <v>799</v>
      </c>
      <c r="G840" s="15">
        <v>0.021237542076430537</v>
      </c>
      <c r="H840" s="11" t="s">
        <v>45</v>
      </c>
      <c r="I840" s="16">
        <v>65.584</v>
      </c>
      <c r="J840" s="11" t="s">
        <v>337</v>
      </c>
      <c r="K840" s="11" t="s">
        <v>117</v>
      </c>
      <c r="L840" s="11" t="s">
        <v>48</v>
      </c>
      <c r="M840" s="11" t="s">
        <v>49</v>
      </c>
      <c r="N840" s="11" t="s">
        <v>85</v>
      </c>
      <c r="O840" s="11" t="s">
        <v>1323</v>
      </c>
      <c r="P840" s="11" t="s">
        <v>87</v>
      </c>
      <c r="Q840" s="20">
        <v>39954.0</v>
      </c>
      <c r="R840" s="17">
        <f t="shared" si="2"/>
        <v>251.9491169</v>
      </c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>
        <f t="shared" si="8"/>
        <v>4</v>
      </c>
      <c r="AF840" s="19" t="b">
        <f t="shared" si="13"/>
        <v>0</v>
      </c>
      <c r="AG840" s="9"/>
      <c r="AH840" s="9"/>
      <c r="AI840" s="9"/>
    </row>
    <row r="841" ht="15.0" customHeight="1">
      <c r="A841" s="11">
        <v>840.0</v>
      </c>
      <c r="B841" s="12">
        <f t="shared" ref="B841:B843" si="144">DATE(2012,12,31)-1322</f>
        <v>39952</v>
      </c>
      <c r="C841" s="13">
        <v>2009.0</v>
      </c>
      <c r="D841" s="11" t="s">
        <v>102</v>
      </c>
      <c r="E841" s="11">
        <v>14.0</v>
      </c>
      <c r="F841" s="21" t="s">
        <v>573</v>
      </c>
      <c r="G841" s="15">
        <v>0.06113015873015882</v>
      </c>
      <c r="H841" s="11" t="s">
        <v>33</v>
      </c>
      <c r="I841" s="16">
        <v>9.272</v>
      </c>
      <c r="J841" s="11" t="s">
        <v>1324</v>
      </c>
      <c r="K841" s="11" t="s">
        <v>61</v>
      </c>
      <c r="L841" s="11" t="s">
        <v>48</v>
      </c>
      <c r="M841" s="11" t="s">
        <v>28</v>
      </c>
      <c r="N841" s="11" t="s">
        <v>56</v>
      </c>
      <c r="O841" s="11" t="s">
        <v>1325</v>
      </c>
      <c r="P841" s="11" t="s">
        <v>38</v>
      </c>
      <c r="Q841" s="20">
        <v>39954.0</v>
      </c>
      <c r="R841" s="17">
        <f t="shared" si="2"/>
        <v>9.039438832</v>
      </c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>
        <f t="shared" si="8"/>
        <v>4</v>
      </c>
      <c r="AF841" s="19">
        <f t="shared" si="13"/>
        <v>4</v>
      </c>
      <c r="AG841" s="9"/>
      <c r="AH841" s="9"/>
      <c r="AI841" s="9"/>
    </row>
    <row r="842" ht="15.0" customHeight="1">
      <c r="A842" s="11">
        <v>841.0</v>
      </c>
      <c r="B842" s="12">
        <f t="shared" si="144"/>
        <v>39952</v>
      </c>
      <c r="C842" s="13">
        <v>2009.0</v>
      </c>
      <c r="D842" s="11" t="s">
        <v>44</v>
      </c>
      <c r="E842" s="11">
        <v>2.0</v>
      </c>
      <c r="F842" s="21" t="s">
        <v>344</v>
      </c>
      <c r="G842" s="15">
        <v>0.0630630630630629</v>
      </c>
      <c r="H842" s="11" t="s">
        <v>33</v>
      </c>
      <c r="I842" s="16">
        <v>4.4</v>
      </c>
      <c r="J842" s="11" t="s">
        <v>1326</v>
      </c>
      <c r="K842" s="11" t="s">
        <v>26</v>
      </c>
      <c r="L842" s="11" t="s">
        <v>27</v>
      </c>
      <c r="M842" s="11" t="s">
        <v>28</v>
      </c>
      <c r="N842" s="11" t="s">
        <v>29</v>
      </c>
      <c r="O842" s="11" t="s">
        <v>346</v>
      </c>
      <c r="P842" s="11" t="s">
        <v>38</v>
      </c>
      <c r="Q842" s="20">
        <v>39954.0</v>
      </c>
      <c r="R842" s="17">
        <f t="shared" si="2"/>
        <v>1.967567568</v>
      </c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>
        <f t="shared" si="8"/>
        <v>1</v>
      </c>
      <c r="AF842" s="19">
        <f t="shared" si="13"/>
        <v>1</v>
      </c>
      <c r="AG842" s="9"/>
      <c r="AH842" s="9"/>
      <c r="AI842" s="9"/>
    </row>
    <row r="843" ht="15.0" customHeight="1">
      <c r="A843" s="11">
        <v>842.0</v>
      </c>
      <c r="B843" s="12">
        <f t="shared" si="144"/>
        <v>39952</v>
      </c>
      <c r="C843" s="13">
        <v>2009.0</v>
      </c>
      <c r="D843" s="11" t="s">
        <v>44</v>
      </c>
      <c r="E843" s="11">
        <v>3.0</v>
      </c>
      <c r="F843" s="21" t="s">
        <v>1327</v>
      </c>
      <c r="G843" s="15">
        <v>0.07268123482483527</v>
      </c>
      <c r="H843" s="11" t="s">
        <v>33</v>
      </c>
      <c r="I843" s="16">
        <v>15.991999999999999</v>
      </c>
      <c r="J843" s="11" t="s">
        <v>1326</v>
      </c>
      <c r="K843" s="11" t="s">
        <v>26</v>
      </c>
      <c r="L843" s="11" t="s">
        <v>27</v>
      </c>
      <c r="M843" s="11" t="s">
        <v>28</v>
      </c>
      <c r="N843" s="11" t="s">
        <v>42</v>
      </c>
      <c r="O843" s="11" t="s">
        <v>1328</v>
      </c>
      <c r="P843" s="11" t="s">
        <v>38</v>
      </c>
      <c r="Q843" s="20">
        <v>39954.0</v>
      </c>
      <c r="R843" s="17">
        <f t="shared" si="2"/>
        <v>38.86207481</v>
      </c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>
        <f t="shared" si="8"/>
        <v>1</v>
      </c>
      <c r="AF843" s="19">
        <f t="shared" si="13"/>
        <v>1</v>
      </c>
      <c r="AG843" s="9"/>
      <c r="AH843" s="9"/>
      <c r="AI843" s="9"/>
    </row>
    <row r="844" ht="15.0" customHeight="1">
      <c r="A844" s="11">
        <v>843.0</v>
      </c>
      <c r="B844" s="12">
        <f t="shared" ref="B844:B852" si="145">DATE(2012,12,31)-1321</f>
        <v>39953</v>
      </c>
      <c r="C844" s="13">
        <v>2009.0</v>
      </c>
      <c r="D844" s="11" t="s">
        <v>23</v>
      </c>
      <c r="E844" s="11">
        <v>39.0</v>
      </c>
      <c r="F844" s="21" t="s">
        <v>178</v>
      </c>
      <c r="G844" s="15">
        <v>0.011926084956294939</v>
      </c>
      <c r="H844" s="11" t="s">
        <v>24</v>
      </c>
      <c r="I844" s="16">
        <v>7.192</v>
      </c>
      <c r="J844" s="11" t="s">
        <v>1061</v>
      </c>
      <c r="K844" s="11" t="s">
        <v>26</v>
      </c>
      <c r="L844" s="11" t="s">
        <v>36</v>
      </c>
      <c r="M844" s="11" t="s">
        <v>66</v>
      </c>
      <c r="N844" s="11" t="s">
        <v>80</v>
      </c>
      <c r="O844" s="11" t="s">
        <v>1329</v>
      </c>
      <c r="P844" s="11" t="s">
        <v>38</v>
      </c>
      <c r="Q844" s="20">
        <v>39954.0</v>
      </c>
      <c r="R844" s="17">
        <f t="shared" si="2"/>
        <v>30.73700335</v>
      </c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>
        <f t="shared" si="8"/>
        <v>2</v>
      </c>
      <c r="AF844" s="19">
        <f t="shared" si="13"/>
        <v>1</v>
      </c>
      <c r="AG844" s="9"/>
      <c r="AH844" s="9"/>
      <c r="AI844" s="9"/>
    </row>
    <row r="845" ht="15.0" customHeight="1">
      <c r="A845" s="11">
        <v>844.0</v>
      </c>
      <c r="B845" s="12">
        <f t="shared" si="145"/>
        <v>39953</v>
      </c>
      <c r="C845" s="13">
        <v>2009.0</v>
      </c>
      <c r="D845" s="11" t="s">
        <v>102</v>
      </c>
      <c r="E845" s="11">
        <v>15.0</v>
      </c>
      <c r="F845" s="21" t="s">
        <v>1330</v>
      </c>
      <c r="G845" s="15">
        <v>0.08968100673105064</v>
      </c>
      <c r="H845" s="11" t="s">
        <v>33</v>
      </c>
      <c r="I845" s="16">
        <v>5.056000000000001</v>
      </c>
      <c r="J845" s="11" t="s">
        <v>243</v>
      </c>
      <c r="K845" s="11" t="s">
        <v>61</v>
      </c>
      <c r="L845" s="11" t="s">
        <v>41</v>
      </c>
      <c r="M845" s="11" t="s">
        <v>28</v>
      </c>
      <c r="N845" s="11" t="s">
        <v>197</v>
      </c>
      <c r="O845" s="11" t="s">
        <v>1331</v>
      </c>
      <c r="P845" s="11" t="s">
        <v>38</v>
      </c>
      <c r="Q845" s="20">
        <v>39954.0</v>
      </c>
      <c r="R845" s="17">
        <f t="shared" si="2"/>
        <v>27.89581523</v>
      </c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>
        <f t="shared" si="8"/>
        <v>3</v>
      </c>
      <c r="AF845" s="19">
        <f t="shared" si="13"/>
        <v>4</v>
      </c>
      <c r="AG845" s="9"/>
      <c r="AH845" s="9"/>
      <c r="AI845" s="9"/>
    </row>
    <row r="846" ht="15.0" customHeight="1">
      <c r="A846" s="11">
        <v>845.0</v>
      </c>
      <c r="B846" s="12">
        <f t="shared" si="145"/>
        <v>39953</v>
      </c>
      <c r="C846" s="13">
        <v>2009.0</v>
      </c>
      <c r="D846" s="11" t="s">
        <v>102</v>
      </c>
      <c r="E846" s="11">
        <v>7.0</v>
      </c>
      <c r="F846" s="21" t="s">
        <v>1273</v>
      </c>
      <c r="G846" s="15">
        <v>0.06276975361087515</v>
      </c>
      <c r="H846" s="11" t="s">
        <v>33</v>
      </c>
      <c r="I846" s="16">
        <v>1.1119999999999999</v>
      </c>
      <c r="J846" s="11" t="s">
        <v>243</v>
      </c>
      <c r="K846" s="11" t="s">
        <v>61</v>
      </c>
      <c r="L846" s="11" t="s">
        <v>41</v>
      </c>
      <c r="M846" s="11" t="s">
        <v>28</v>
      </c>
      <c r="N846" s="11" t="s">
        <v>236</v>
      </c>
      <c r="O846" s="11" t="s">
        <v>1274</v>
      </c>
      <c r="P846" s="11" t="s">
        <v>38</v>
      </c>
      <c r="Q846" s="20">
        <v>39954.0</v>
      </c>
      <c r="R846" s="17">
        <f t="shared" si="2"/>
        <v>6.92425706</v>
      </c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>
        <f t="shared" si="8"/>
        <v>3</v>
      </c>
      <c r="AF846" s="19">
        <f t="shared" si="13"/>
        <v>4</v>
      </c>
      <c r="AG846" s="9"/>
      <c r="AH846" s="9"/>
      <c r="AI846" s="9"/>
    </row>
    <row r="847" ht="15.0" customHeight="1">
      <c r="A847" s="11">
        <v>846.0</v>
      </c>
      <c r="B847" s="12">
        <f t="shared" si="145"/>
        <v>39953</v>
      </c>
      <c r="C847" s="13">
        <v>2009.0</v>
      </c>
      <c r="D847" s="11" t="s">
        <v>102</v>
      </c>
      <c r="E847" s="11">
        <v>25.0</v>
      </c>
      <c r="F847" s="21" t="s">
        <v>397</v>
      </c>
      <c r="G847" s="15">
        <v>0.08650580468927842</v>
      </c>
      <c r="H847" s="11" t="s">
        <v>24</v>
      </c>
      <c r="I847" s="16">
        <v>10.096</v>
      </c>
      <c r="J847" s="11" t="s">
        <v>1332</v>
      </c>
      <c r="K847" s="11" t="s">
        <v>35</v>
      </c>
      <c r="L847" s="11" t="s">
        <v>36</v>
      </c>
      <c r="M847" s="11" t="s">
        <v>28</v>
      </c>
      <c r="N847" s="11" t="s">
        <v>42</v>
      </c>
      <c r="O847" s="11" t="s">
        <v>1333</v>
      </c>
      <c r="P847" s="11" t="s">
        <v>38</v>
      </c>
      <c r="Q847" s="20">
        <v>39954.0</v>
      </c>
      <c r="R847" s="17">
        <f t="shared" si="2"/>
        <v>69.42921282</v>
      </c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>
        <f t="shared" si="8"/>
        <v>2</v>
      </c>
      <c r="AF847" s="19">
        <f t="shared" si="13"/>
        <v>2</v>
      </c>
      <c r="AG847" s="9"/>
      <c r="AH847" s="9"/>
      <c r="AI847" s="9"/>
    </row>
    <row r="848" ht="15.0" customHeight="1">
      <c r="A848" s="11">
        <v>847.0</v>
      </c>
      <c r="B848" s="12">
        <f t="shared" si="145"/>
        <v>39953</v>
      </c>
      <c r="C848" s="13">
        <v>2009.0</v>
      </c>
      <c r="D848" s="11" t="s">
        <v>102</v>
      </c>
      <c r="E848" s="11">
        <v>36.0</v>
      </c>
      <c r="F848" s="21" t="s">
        <v>314</v>
      </c>
      <c r="G848" s="15">
        <v>0.04683417085427146</v>
      </c>
      <c r="H848" s="11" t="s">
        <v>33</v>
      </c>
      <c r="I848" s="16">
        <v>0.8160000000000001</v>
      </c>
      <c r="J848" s="11" t="s">
        <v>1332</v>
      </c>
      <c r="K848" s="11" t="s">
        <v>35</v>
      </c>
      <c r="L848" s="11" t="s">
        <v>36</v>
      </c>
      <c r="M848" s="11" t="s">
        <v>28</v>
      </c>
      <c r="N848" s="11" t="s">
        <v>56</v>
      </c>
      <c r="O848" s="11" t="s">
        <v>315</v>
      </c>
      <c r="P848" s="11" t="s">
        <v>58</v>
      </c>
      <c r="Q848" s="20">
        <v>39955.0</v>
      </c>
      <c r="R848" s="17">
        <f t="shared" si="2"/>
        <v>10.66020663</v>
      </c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>
        <f t="shared" si="8"/>
        <v>2</v>
      </c>
      <c r="AF848" s="19">
        <f t="shared" si="13"/>
        <v>2</v>
      </c>
      <c r="AG848" s="9"/>
      <c r="AH848" s="9"/>
      <c r="AI848" s="9"/>
    </row>
    <row r="849" ht="15.0" customHeight="1">
      <c r="A849" s="11">
        <v>848.0</v>
      </c>
      <c r="B849" s="12">
        <f t="shared" si="145"/>
        <v>39953</v>
      </c>
      <c r="C849" s="13">
        <v>2009.0</v>
      </c>
      <c r="D849" s="11" t="s">
        <v>102</v>
      </c>
      <c r="E849" s="11">
        <v>21.0</v>
      </c>
      <c r="F849" s="21" t="s">
        <v>178</v>
      </c>
      <c r="G849" s="15">
        <v>0.022148179389849438</v>
      </c>
      <c r="H849" s="11" t="s">
        <v>24</v>
      </c>
      <c r="I849" s="16">
        <v>7.192</v>
      </c>
      <c r="J849" s="11" t="s">
        <v>1332</v>
      </c>
      <c r="K849" s="11" t="s">
        <v>35</v>
      </c>
      <c r="L849" s="11" t="s">
        <v>36</v>
      </c>
      <c r="M849" s="11" t="s">
        <v>66</v>
      </c>
      <c r="N849" s="11" t="s">
        <v>80</v>
      </c>
      <c r="O849" s="11" t="s">
        <v>1263</v>
      </c>
      <c r="P849" s="11" t="s">
        <v>38</v>
      </c>
      <c r="Q849" s="20">
        <v>39955.0</v>
      </c>
      <c r="R849" s="17">
        <f t="shared" si="2"/>
        <v>30.81015516</v>
      </c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>
        <f t="shared" si="8"/>
        <v>2</v>
      </c>
      <c r="AF849" s="19">
        <f t="shared" si="13"/>
        <v>2</v>
      </c>
      <c r="AG849" s="9"/>
      <c r="AH849" s="9"/>
      <c r="AI849" s="9"/>
    </row>
    <row r="850" ht="15.0" customHeight="1">
      <c r="A850" s="11">
        <v>849.0</v>
      </c>
      <c r="B850" s="12">
        <f t="shared" si="145"/>
        <v>39953</v>
      </c>
      <c r="C850" s="13">
        <v>2009.0</v>
      </c>
      <c r="D850" s="11" t="s">
        <v>32</v>
      </c>
      <c r="E850" s="11">
        <v>4.0</v>
      </c>
      <c r="F850" s="21" t="s">
        <v>163</v>
      </c>
      <c r="G850" s="15">
        <v>0.05472993658429907</v>
      </c>
      <c r="H850" s="11" t="s">
        <v>45</v>
      </c>
      <c r="I850" s="16">
        <v>28.672000000000004</v>
      </c>
      <c r="J850" s="11" t="s">
        <v>55</v>
      </c>
      <c r="K850" s="11" t="s">
        <v>26</v>
      </c>
      <c r="L850" s="11" t="s">
        <v>41</v>
      </c>
      <c r="M850" s="11" t="s">
        <v>49</v>
      </c>
      <c r="N850" s="11" t="s">
        <v>156</v>
      </c>
      <c r="O850" s="11" t="s">
        <v>165</v>
      </c>
      <c r="P850" s="11" t="s">
        <v>87</v>
      </c>
      <c r="Q850" s="20">
        <v>39955.0</v>
      </c>
      <c r="R850" s="17">
        <f t="shared" si="2"/>
        <v>23.65821915</v>
      </c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>
        <f t="shared" si="8"/>
        <v>3</v>
      </c>
      <c r="AF850" s="19">
        <f t="shared" si="13"/>
        <v>1</v>
      </c>
      <c r="AG850" s="9"/>
      <c r="AH850" s="9"/>
      <c r="AI850" s="9"/>
    </row>
    <row r="851" ht="15.0" customHeight="1">
      <c r="A851" s="11">
        <v>850.0</v>
      </c>
      <c r="B851" s="12">
        <f t="shared" si="145"/>
        <v>39953</v>
      </c>
      <c r="C851" s="13">
        <v>2009.0</v>
      </c>
      <c r="D851" s="11" t="s">
        <v>23</v>
      </c>
      <c r="E851" s="11">
        <v>34.0</v>
      </c>
      <c r="F851" s="21" t="s">
        <v>103</v>
      </c>
      <c r="G851" s="15">
        <v>0.02507713884992976</v>
      </c>
      <c r="H851" s="11" t="s">
        <v>33</v>
      </c>
      <c r="I851" s="16">
        <v>7.936</v>
      </c>
      <c r="J851" s="11" t="s">
        <v>879</v>
      </c>
      <c r="K851" s="11" t="s">
        <v>61</v>
      </c>
      <c r="L851" s="11" t="s">
        <v>27</v>
      </c>
      <c r="M851" s="11" t="s">
        <v>28</v>
      </c>
      <c r="N851" s="11" t="s">
        <v>42</v>
      </c>
      <c r="O851" s="11" t="s">
        <v>1334</v>
      </c>
      <c r="P851" s="11" t="s">
        <v>38</v>
      </c>
      <c r="Q851" s="20">
        <v>39955.0</v>
      </c>
      <c r="R851" s="17">
        <f t="shared" si="2"/>
        <v>5.229486227</v>
      </c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>
        <f t="shared" si="8"/>
        <v>1</v>
      </c>
      <c r="AF851" s="19">
        <f t="shared" si="13"/>
        <v>4</v>
      </c>
      <c r="AG851" s="9"/>
      <c r="AH851" s="9"/>
      <c r="AI851" s="9"/>
    </row>
    <row r="852" ht="15.0" customHeight="1">
      <c r="A852" s="11">
        <v>851.0</v>
      </c>
      <c r="B852" s="12">
        <f t="shared" si="145"/>
        <v>39953</v>
      </c>
      <c r="C852" s="13">
        <v>2009.0</v>
      </c>
      <c r="D852" s="11" t="s">
        <v>23</v>
      </c>
      <c r="E852" s="11">
        <v>50.0</v>
      </c>
      <c r="F852" s="21" t="s">
        <v>158</v>
      </c>
      <c r="G852" s="15">
        <v>0.01522941355211182</v>
      </c>
      <c r="H852" s="11" t="s">
        <v>33</v>
      </c>
      <c r="I852" s="16">
        <v>4.088</v>
      </c>
      <c r="J852" s="11" t="s">
        <v>879</v>
      </c>
      <c r="K852" s="11" t="s">
        <v>61</v>
      </c>
      <c r="L852" s="11" t="s">
        <v>27</v>
      </c>
      <c r="M852" s="11" t="s">
        <v>28</v>
      </c>
      <c r="N852" s="11" t="s">
        <v>56</v>
      </c>
      <c r="O852" s="11" t="s">
        <v>1335</v>
      </c>
      <c r="P852" s="11" t="s">
        <v>38</v>
      </c>
      <c r="Q852" s="20">
        <v>39955.0</v>
      </c>
      <c r="R852" s="17">
        <f t="shared" si="2"/>
        <v>4.935670179</v>
      </c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>
        <f t="shared" si="8"/>
        <v>1</v>
      </c>
      <c r="AF852" s="19">
        <f t="shared" si="13"/>
        <v>4</v>
      </c>
      <c r="AG852" s="9"/>
      <c r="AH852" s="9"/>
      <c r="AI852" s="9"/>
    </row>
    <row r="853" ht="15.0" customHeight="1">
      <c r="A853" s="11">
        <v>852.0</v>
      </c>
      <c r="B853" s="12">
        <f t="shared" ref="B853:B863" si="146">DATE(2012,12,31)-1320</f>
        <v>39954</v>
      </c>
      <c r="C853" s="13">
        <v>2009.0</v>
      </c>
      <c r="D853" s="11" t="s">
        <v>102</v>
      </c>
      <c r="E853" s="11">
        <v>36.0</v>
      </c>
      <c r="F853" s="21" t="s">
        <v>93</v>
      </c>
      <c r="G853" s="15">
        <v>0.025498403689251468</v>
      </c>
      <c r="H853" s="11" t="s">
        <v>33</v>
      </c>
      <c r="I853" s="16">
        <v>1.1119999999999999</v>
      </c>
      <c r="J853" s="11" t="s">
        <v>608</v>
      </c>
      <c r="K853" s="11" t="s">
        <v>35</v>
      </c>
      <c r="L853" s="11" t="s">
        <v>27</v>
      </c>
      <c r="M853" s="11" t="s">
        <v>28</v>
      </c>
      <c r="N853" s="11" t="s">
        <v>236</v>
      </c>
      <c r="O853" s="11" t="s">
        <v>833</v>
      </c>
      <c r="P853" s="11" t="s">
        <v>38</v>
      </c>
      <c r="Q853" s="20">
        <v>39955.0</v>
      </c>
      <c r="R853" s="17">
        <f t="shared" si="2"/>
        <v>7.004717474</v>
      </c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>
        <f t="shared" si="8"/>
        <v>1</v>
      </c>
      <c r="AF853" s="19">
        <f t="shared" si="13"/>
        <v>2</v>
      </c>
      <c r="AG853" s="9"/>
      <c r="AH853" s="9"/>
      <c r="AI853" s="9"/>
    </row>
    <row r="854" ht="15.0" customHeight="1">
      <c r="A854" s="11">
        <v>853.0</v>
      </c>
      <c r="B854" s="12">
        <f t="shared" si="146"/>
        <v>39954</v>
      </c>
      <c r="C854" s="13">
        <v>2009.0</v>
      </c>
      <c r="D854" s="11" t="s">
        <v>23</v>
      </c>
      <c r="E854" s="11">
        <v>20.0</v>
      </c>
      <c r="F854" s="21" t="s">
        <v>1336</v>
      </c>
      <c r="G854" s="15">
        <v>0.05771842150611738</v>
      </c>
      <c r="H854" s="11" t="s">
        <v>24</v>
      </c>
      <c r="I854" s="16">
        <v>14.448</v>
      </c>
      <c r="J854" s="11" t="s">
        <v>1018</v>
      </c>
      <c r="K854" s="11" t="s">
        <v>61</v>
      </c>
      <c r="L854" s="11" t="s">
        <v>41</v>
      </c>
      <c r="M854" s="11" t="s">
        <v>49</v>
      </c>
      <c r="N854" s="11" t="s">
        <v>50</v>
      </c>
      <c r="O854" s="11" t="s">
        <v>1337</v>
      </c>
      <c r="P854" s="11" t="s">
        <v>31</v>
      </c>
      <c r="Q854" s="20">
        <v>39955.0</v>
      </c>
      <c r="R854" s="17">
        <f t="shared" si="2"/>
        <v>252.4862335</v>
      </c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>
        <f t="shared" si="8"/>
        <v>3</v>
      </c>
      <c r="AF854" s="19">
        <f t="shared" si="13"/>
        <v>4</v>
      </c>
      <c r="AG854" s="9"/>
      <c r="AH854" s="9"/>
      <c r="AI854" s="9"/>
    </row>
    <row r="855" ht="15.0" customHeight="1">
      <c r="A855" s="11">
        <v>854.0</v>
      </c>
      <c r="B855" s="12">
        <f t="shared" si="146"/>
        <v>39954</v>
      </c>
      <c r="C855" s="13">
        <v>2009.0</v>
      </c>
      <c r="D855" s="11" t="s">
        <v>32</v>
      </c>
      <c r="E855" s="11">
        <v>40.0</v>
      </c>
      <c r="F855" s="21" t="s">
        <v>126</v>
      </c>
      <c r="G855" s="15">
        <v>0.04543689320388356</v>
      </c>
      <c r="H855" s="11" t="s">
        <v>33</v>
      </c>
      <c r="I855" s="16">
        <v>0.6400000000000001</v>
      </c>
      <c r="J855" s="11" t="s">
        <v>1338</v>
      </c>
      <c r="K855" s="11" t="s">
        <v>61</v>
      </c>
      <c r="L855" s="11" t="s">
        <v>36</v>
      </c>
      <c r="M855" s="11" t="s">
        <v>28</v>
      </c>
      <c r="N855" s="11" t="s">
        <v>56</v>
      </c>
      <c r="O855" s="11" t="s">
        <v>517</v>
      </c>
      <c r="P855" s="11" t="s">
        <v>58</v>
      </c>
      <c r="Q855" s="20">
        <v>39956.0</v>
      </c>
      <c r="R855" s="17">
        <f t="shared" si="2"/>
        <v>8.93471068</v>
      </c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>
        <f t="shared" si="8"/>
        <v>2</v>
      </c>
      <c r="AF855" s="19">
        <f t="shared" si="13"/>
        <v>4</v>
      </c>
      <c r="AG855" s="9"/>
      <c r="AH855" s="9"/>
      <c r="AI855" s="9"/>
    </row>
    <row r="856" ht="15.0" customHeight="1">
      <c r="A856" s="11">
        <v>855.0</v>
      </c>
      <c r="B856" s="12">
        <f t="shared" si="146"/>
        <v>39954</v>
      </c>
      <c r="C856" s="13">
        <v>2009.0</v>
      </c>
      <c r="D856" s="11" t="s">
        <v>44</v>
      </c>
      <c r="E856" s="11">
        <v>1.0</v>
      </c>
      <c r="F856" s="21" t="s">
        <v>486</v>
      </c>
      <c r="G856" s="15">
        <v>0.07780821917808227</v>
      </c>
      <c r="H856" s="11" t="s">
        <v>24</v>
      </c>
      <c r="I856" s="16">
        <v>1.6320000000000001</v>
      </c>
      <c r="J856" s="11" t="s">
        <v>1339</v>
      </c>
      <c r="K856" s="11" t="s">
        <v>61</v>
      </c>
      <c r="L856" s="11" t="s">
        <v>36</v>
      </c>
      <c r="M856" s="11" t="s">
        <v>28</v>
      </c>
      <c r="N856" s="11" t="s">
        <v>56</v>
      </c>
      <c r="O856" s="11" t="s">
        <v>1340</v>
      </c>
      <c r="P856" s="11" t="s">
        <v>58</v>
      </c>
      <c r="Q856" s="20">
        <v>39956.0</v>
      </c>
      <c r="R856" s="17">
        <f t="shared" si="2"/>
        <v>0.5238049315</v>
      </c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>
        <f t="shared" si="8"/>
        <v>2</v>
      </c>
      <c r="AF856" s="19">
        <f t="shared" si="13"/>
        <v>4</v>
      </c>
      <c r="AG856" s="9"/>
      <c r="AH856" s="9"/>
      <c r="AI856" s="9"/>
    </row>
    <row r="857" ht="15.0" customHeight="1">
      <c r="A857" s="11">
        <v>856.0</v>
      </c>
      <c r="B857" s="12">
        <f t="shared" si="146"/>
        <v>39954</v>
      </c>
      <c r="C857" s="13">
        <v>2009.0</v>
      </c>
      <c r="D857" s="11" t="s">
        <v>44</v>
      </c>
      <c r="E857" s="11">
        <v>4.0</v>
      </c>
      <c r="F857" s="21" t="s">
        <v>336</v>
      </c>
      <c r="G857" s="15">
        <v>0.09262357414448669</v>
      </c>
      <c r="H857" s="11" t="s">
        <v>33</v>
      </c>
      <c r="I857" s="16">
        <v>0.664</v>
      </c>
      <c r="J857" s="11" t="s">
        <v>1339</v>
      </c>
      <c r="K857" s="11" t="s">
        <v>61</v>
      </c>
      <c r="L857" s="11" t="s">
        <v>36</v>
      </c>
      <c r="M857" s="11" t="s">
        <v>28</v>
      </c>
      <c r="N857" s="11" t="s">
        <v>62</v>
      </c>
      <c r="O857" s="11" t="s">
        <v>1341</v>
      </c>
      <c r="P857" s="11" t="s">
        <v>58</v>
      </c>
      <c r="Q857" s="20">
        <v>39956.0</v>
      </c>
      <c r="R857" s="17">
        <f t="shared" si="2"/>
        <v>2.210368973</v>
      </c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>
        <f t="shared" si="8"/>
        <v>2</v>
      </c>
      <c r="AF857" s="19">
        <f t="shared" si="13"/>
        <v>4</v>
      </c>
      <c r="AG857" s="9"/>
      <c r="AH857" s="9"/>
      <c r="AI857" s="9"/>
    </row>
    <row r="858" ht="15.0" customHeight="1">
      <c r="A858" s="11">
        <v>857.0</v>
      </c>
      <c r="B858" s="12">
        <f t="shared" si="146"/>
        <v>39954</v>
      </c>
      <c r="C858" s="13">
        <v>2009.0</v>
      </c>
      <c r="D858" s="11" t="s">
        <v>39</v>
      </c>
      <c r="E858" s="11">
        <v>46.0</v>
      </c>
      <c r="F858" s="21" t="s">
        <v>552</v>
      </c>
      <c r="G858" s="15">
        <v>0.04394222599830082</v>
      </c>
      <c r="H858" s="11" t="s">
        <v>33</v>
      </c>
      <c r="I858" s="16">
        <v>6.384</v>
      </c>
      <c r="J858" s="11" t="s">
        <v>1342</v>
      </c>
      <c r="K858" s="11" t="s">
        <v>61</v>
      </c>
      <c r="L858" s="11" t="s">
        <v>27</v>
      </c>
      <c r="M858" s="11" t="s">
        <v>49</v>
      </c>
      <c r="N858" s="11" t="s">
        <v>73</v>
      </c>
      <c r="O858" s="11" t="s">
        <v>1343</v>
      </c>
      <c r="P858" s="11" t="s">
        <v>58</v>
      </c>
      <c r="Q858" s="20">
        <v>39956.0</v>
      </c>
      <c r="R858" s="17">
        <f t="shared" si="2"/>
        <v>14.83419242</v>
      </c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>
        <f t="shared" si="8"/>
        <v>1</v>
      </c>
      <c r="AF858" s="19">
        <f t="shared" si="13"/>
        <v>4</v>
      </c>
      <c r="AG858" s="9"/>
      <c r="AH858" s="9"/>
      <c r="AI858" s="9"/>
    </row>
    <row r="859" ht="15.0" customHeight="1">
      <c r="A859" s="11">
        <v>858.0</v>
      </c>
      <c r="B859" s="12">
        <f t="shared" si="146"/>
        <v>39954</v>
      </c>
      <c r="C859" s="13">
        <v>2009.0</v>
      </c>
      <c r="D859" s="11" t="s">
        <v>102</v>
      </c>
      <c r="E859" s="11">
        <v>44.0</v>
      </c>
      <c r="F859" s="21" t="s">
        <v>284</v>
      </c>
      <c r="G859" s="15">
        <v>0.07764219234746648</v>
      </c>
      <c r="H859" s="11" t="s">
        <v>33</v>
      </c>
      <c r="I859" s="16">
        <v>1.192</v>
      </c>
      <c r="J859" s="11" t="s">
        <v>1192</v>
      </c>
      <c r="K859" s="11" t="s">
        <v>35</v>
      </c>
      <c r="L859" s="11" t="s">
        <v>27</v>
      </c>
      <c r="M859" s="11" t="s">
        <v>28</v>
      </c>
      <c r="N859" s="11" t="s">
        <v>42</v>
      </c>
      <c r="O859" s="11" t="s">
        <v>1344</v>
      </c>
      <c r="P859" s="11" t="s">
        <v>38</v>
      </c>
      <c r="Q859" s="20">
        <v>39956.0</v>
      </c>
      <c r="R859" s="17">
        <f t="shared" si="2"/>
        <v>6.92506242</v>
      </c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>
        <f t="shared" si="8"/>
        <v>1</v>
      </c>
      <c r="AF859" s="19">
        <f t="shared" si="13"/>
        <v>2</v>
      </c>
      <c r="AG859" s="9"/>
      <c r="AH859" s="9"/>
      <c r="AI859" s="9"/>
    </row>
    <row r="860" ht="15.0" customHeight="1">
      <c r="A860" s="11">
        <v>859.0</v>
      </c>
      <c r="B860" s="12">
        <f t="shared" si="146"/>
        <v>39954</v>
      </c>
      <c r="C860" s="13">
        <v>2009.0</v>
      </c>
      <c r="D860" s="11" t="s">
        <v>39</v>
      </c>
      <c r="E860" s="11">
        <v>26.0</v>
      </c>
      <c r="F860" s="21" t="s">
        <v>933</v>
      </c>
      <c r="G860" s="15">
        <v>0.031306081754735884</v>
      </c>
      <c r="H860" s="11" t="s">
        <v>33</v>
      </c>
      <c r="I860" s="16">
        <v>4.0</v>
      </c>
      <c r="J860" s="11" t="s">
        <v>1345</v>
      </c>
      <c r="K860" s="11" t="s">
        <v>83</v>
      </c>
      <c r="L860" s="11" t="s">
        <v>48</v>
      </c>
      <c r="M860" s="11" t="s">
        <v>66</v>
      </c>
      <c r="N860" s="11" t="s">
        <v>80</v>
      </c>
      <c r="O860" s="11" t="s">
        <v>1026</v>
      </c>
      <c r="P860" s="11" t="s">
        <v>99</v>
      </c>
      <c r="Q860" s="20">
        <v>39956.0</v>
      </c>
      <c r="R860" s="17">
        <f t="shared" si="2"/>
        <v>45.62548355</v>
      </c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>
        <f t="shared" si="8"/>
        <v>4</v>
      </c>
      <c r="AF860" s="19" t="b">
        <f t="shared" si="13"/>
        <v>0</v>
      </c>
      <c r="AG860" s="9"/>
      <c r="AH860" s="9"/>
      <c r="AI860" s="9"/>
    </row>
    <row r="861" ht="15.0" customHeight="1">
      <c r="A861" s="11">
        <v>860.0</v>
      </c>
      <c r="B861" s="12">
        <f t="shared" si="146"/>
        <v>39954</v>
      </c>
      <c r="C861" s="13">
        <v>2009.0</v>
      </c>
      <c r="D861" s="11" t="s">
        <v>39</v>
      </c>
      <c r="E861" s="11">
        <v>7.0</v>
      </c>
      <c r="F861" s="21" t="s">
        <v>166</v>
      </c>
      <c r="G861" s="15">
        <v>0.08211920529801327</v>
      </c>
      <c r="H861" s="11" t="s">
        <v>24</v>
      </c>
      <c r="I861" s="16">
        <v>0.5599999999999999</v>
      </c>
      <c r="J861" s="11" t="s">
        <v>1345</v>
      </c>
      <c r="K861" s="11" t="s">
        <v>83</v>
      </c>
      <c r="L861" s="11" t="s">
        <v>48</v>
      </c>
      <c r="M861" s="11" t="s">
        <v>28</v>
      </c>
      <c r="N861" s="11" t="s">
        <v>216</v>
      </c>
      <c r="O861" s="11" t="s">
        <v>266</v>
      </c>
      <c r="P861" s="11" t="s">
        <v>58</v>
      </c>
      <c r="Q861" s="20">
        <v>39956.0</v>
      </c>
      <c r="R861" s="17">
        <f t="shared" si="2"/>
        <v>1.138172185</v>
      </c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>
        <f t="shared" si="8"/>
        <v>4</v>
      </c>
      <c r="AF861" s="19" t="b">
        <f t="shared" si="13"/>
        <v>0</v>
      </c>
      <c r="AG861" s="9"/>
      <c r="AH861" s="9"/>
      <c r="AI861" s="9"/>
    </row>
    <row r="862" ht="15.0" customHeight="1">
      <c r="A862" s="11">
        <v>861.0</v>
      </c>
      <c r="B862" s="12">
        <f t="shared" si="146"/>
        <v>39954</v>
      </c>
      <c r="C862" s="13">
        <v>2009.0</v>
      </c>
      <c r="D862" s="11" t="s">
        <v>23</v>
      </c>
      <c r="E862" s="11">
        <v>40.0</v>
      </c>
      <c r="F862" s="21" t="s">
        <v>1346</v>
      </c>
      <c r="G862" s="15">
        <v>0.0769034608378871</v>
      </c>
      <c r="H862" s="11" t="s">
        <v>33</v>
      </c>
      <c r="I862" s="16">
        <v>2.712</v>
      </c>
      <c r="J862" s="11" t="s">
        <v>1308</v>
      </c>
      <c r="K862" s="11" t="s">
        <v>61</v>
      </c>
      <c r="L862" s="11" t="s">
        <v>36</v>
      </c>
      <c r="M862" s="11" t="s">
        <v>28</v>
      </c>
      <c r="N862" s="11" t="s">
        <v>216</v>
      </c>
      <c r="O862" s="11" t="s">
        <v>1347</v>
      </c>
      <c r="P862" s="11" t="s">
        <v>58</v>
      </c>
      <c r="Q862" s="20">
        <v>39956.0</v>
      </c>
      <c r="R862" s="17">
        <f t="shared" si="2"/>
        <v>15.58925435</v>
      </c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>
        <f t="shared" si="8"/>
        <v>2</v>
      </c>
      <c r="AF862" s="19">
        <f t="shared" si="13"/>
        <v>4</v>
      </c>
      <c r="AG862" s="9"/>
      <c r="AH862" s="9"/>
      <c r="AI862" s="9"/>
    </row>
    <row r="863" ht="15.0" customHeight="1">
      <c r="A863" s="11">
        <v>862.0</v>
      </c>
      <c r="B863" s="12">
        <f t="shared" si="146"/>
        <v>39954</v>
      </c>
      <c r="C863" s="13">
        <v>2009.0</v>
      </c>
      <c r="D863" s="11" t="s">
        <v>23</v>
      </c>
      <c r="E863" s="11">
        <v>49.0</v>
      </c>
      <c r="F863" s="21" t="s">
        <v>254</v>
      </c>
      <c r="G863" s="15">
        <v>0.07444364057299953</v>
      </c>
      <c r="H863" s="11" t="s">
        <v>33</v>
      </c>
      <c r="I863" s="16">
        <v>7.552</v>
      </c>
      <c r="J863" s="11" t="s">
        <v>1308</v>
      </c>
      <c r="K863" s="11" t="s">
        <v>61</v>
      </c>
      <c r="L863" s="11" t="s">
        <v>36</v>
      </c>
      <c r="M863" s="11" t="s">
        <v>66</v>
      </c>
      <c r="N863" s="11" t="s">
        <v>69</v>
      </c>
      <c r="O863" s="11" t="s">
        <v>1348</v>
      </c>
      <c r="P863" s="11" t="s">
        <v>75</v>
      </c>
      <c r="Q863" s="20">
        <v>39956.0</v>
      </c>
      <c r="R863" s="17">
        <f t="shared" si="2"/>
        <v>47.61802358</v>
      </c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>
        <f t="shared" si="8"/>
        <v>2</v>
      </c>
      <c r="AF863" s="19">
        <f t="shared" si="13"/>
        <v>4</v>
      </c>
      <c r="AG863" s="9"/>
      <c r="AH863" s="9"/>
      <c r="AI863" s="9"/>
    </row>
    <row r="864" ht="15.0" customHeight="1">
      <c r="A864" s="11">
        <v>863.0</v>
      </c>
      <c r="B864" s="12">
        <f t="shared" ref="B864:B870" si="147">DATE(2012,12,31)-1319</f>
        <v>39955</v>
      </c>
      <c r="C864" s="13">
        <v>2009.0</v>
      </c>
      <c r="D864" s="11" t="s">
        <v>102</v>
      </c>
      <c r="E864" s="11">
        <v>15.0</v>
      </c>
      <c r="F864" s="21" t="s">
        <v>287</v>
      </c>
      <c r="G864" s="15">
        <v>0.016807982799492836</v>
      </c>
      <c r="H864" s="11" t="s">
        <v>45</v>
      </c>
      <c r="I864" s="16">
        <v>44.912000000000006</v>
      </c>
      <c r="J864" s="11" t="s">
        <v>1170</v>
      </c>
      <c r="K864" s="11" t="s">
        <v>61</v>
      </c>
      <c r="L864" s="11" t="s">
        <v>27</v>
      </c>
      <c r="M864" s="11" t="s">
        <v>66</v>
      </c>
      <c r="N864" s="11" t="s">
        <v>69</v>
      </c>
      <c r="O864" s="11" t="s">
        <v>289</v>
      </c>
      <c r="P864" s="11" t="s">
        <v>52</v>
      </c>
      <c r="Q864" s="20">
        <v>39957.0</v>
      </c>
      <c r="R864" s="17">
        <f t="shared" si="2"/>
        <v>29.97555822</v>
      </c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>
        <f t="shared" si="8"/>
        <v>1</v>
      </c>
      <c r="AF864" s="19">
        <f t="shared" si="13"/>
        <v>4</v>
      </c>
      <c r="AG864" s="9"/>
      <c r="AH864" s="9"/>
      <c r="AI864" s="9"/>
    </row>
    <row r="865" ht="15.0" customHeight="1">
      <c r="A865" s="11">
        <v>864.0</v>
      </c>
      <c r="B865" s="12">
        <f t="shared" si="147"/>
        <v>39955</v>
      </c>
      <c r="C865" s="13">
        <v>2009.0</v>
      </c>
      <c r="D865" s="11" t="s">
        <v>39</v>
      </c>
      <c r="E865" s="11">
        <v>50.0</v>
      </c>
      <c r="F865" s="21" t="s">
        <v>766</v>
      </c>
      <c r="G865" s="15">
        <v>0.09229089803645203</v>
      </c>
      <c r="H865" s="11" t="s">
        <v>45</v>
      </c>
      <c r="I865" s="16">
        <v>24.0</v>
      </c>
      <c r="J865" s="11" t="s">
        <v>1349</v>
      </c>
      <c r="K865" s="11" t="s">
        <v>61</v>
      </c>
      <c r="L865" s="11" t="s">
        <v>36</v>
      </c>
      <c r="M865" s="11" t="s">
        <v>49</v>
      </c>
      <c r="N865" s="11" t="s">
        <v>50</v>
      </c>
      <c r="O865" s="11" t="s">
        <v>1150</v>
      </c>
      <c r="P865" s="11" t="s">
        <v>52</v>
      </c>
      <c r="Q865" s="20">
        <v>39957.0</v>
      </c>
      <c r="R865" s="17">
        <f t="shared" si="2"/>
        <v>606.2589092</v>
      </c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>
        <f t="shared" si="8"/>
        <v>2</v>
      </c>
      <c r="AF865" s="19">
        <f t="shared" si="13"/>
        <v>4</v>
      </c>
      <c r="AG865" s="9"/>
      <c r="AH865" s="9"/>
      <c r="AI865" s="9"/>
    </row>
    <row r="866" ht="15.0" customHeight="1">
      <c r="A866" s="11">
        <v>865.0</v>
      </c>
      <c r="B866" s="12">
        <f t="shared" si="147"/>
        <v>39955</v>
      </c>
      <c r="C866" s="13">
        <v>2009.0</v>
      </c>
      <c r="D866" s="11" t="s">
        <v>44</v>
      </c>
      <c r="E866" s="11">
        <v>19.0</v>
      </c>
      <c r="F866" s="21" t="s">
        <v>306</v>
      </c>
      <c r="G866" s="15">
        <v>0.07965242577842156</v>
      </c>
      <c r="H866" s="11" t="s">
        <v>33</v>
      </c>
      <c r="I866" s="16">
        <v>3.2</v>
      </c>
      <c r="J866" s="11" t="s">
        <v>1349</v>
      </c>
      <c r="K866" s="11" t="s">
        <v>61</v>
      </c>
      <c r="L866" s="11" t="s">
        <v>36</v>
      </c>
      <c r="M866" s="11" t="s">
        <v>66</v>
      </c>
      <c r="N866" s="11" t="s">
        <v>67</v>
      </c>
      <c r="O866" s="11" t="s">
        <v>920</v>
      </c>
      <c r="P866" s="11" t="s">
        <v>38</v>
      </c>
      <c r="Q866" s="20">
        <v>39957.0</v>
      </c>
      <c r="R866" s="17">
        <f t="shared" si="2"/>
        <v>30.37146995</v>
      </c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>
        <f t="shared" si="8"/>
        <v>2</v>
      </c>
      <c r="AF866" s="19">
        <f t="shared" si="13"/>
        <v>4</v>
      </c>
      <c r="AG866" s="9"/>
      <c r="AH866" s="9"/>
      <c r="AI866" s="9"/>
    </row>
    <row r="867" ht="15.0" customHeight="1">
      <c r="A867" s="11">
        <v>866.0</v>
      </c>
      <c r="B867" s="12">
        <f t="shared" si="147"/>
        <v>39955</v>
      </c>
      <c r="C867" s="13">
        <v>2009.0</v>
      </c>
      <c r="D867" s="11" t="s">
        <v>39</v>
      </c>
      <c r="E867" s="11">
        <v>43.0</v>
      </c>
      <c r="F867" s="21" t="s">
        <v>126</v>
      </c>
      <c r="G867" s="15">
        <v>0.07553832902670096</v>
      </c>
      <c r="H867" s="11" t="s">
        <v>33</v>
      </c>
      <c r="I867" s="16">
        <v>3.9600000000000004</v>
      </c>
      <c r="J867" s="11" t="s">
        <v>803</v>
      </c>
      <c r="K867" s="11" t="s">
        <v>61</v>
      </c>
      <c r="L867" s="11" t="s">
        <v>48</v>
      </c>
      <c r="M867" s="11" t="s">
        <v>28</v>
      </c>
      <c r="N867" s="11" t="s">
        <v>42</v>
      </c>
      <c r="O867" s="11" t="s">
        <v>1350</v>
      </c>
      <c r="P867" s="11" t="s">
        <v>38</v>
      </c>
      <c r="Q867" s="20">
        <v>39957.0</v>
      </c>
      <c r="R867" s="17">
        <f t="shared" si="2"/>
        <v>16.21505771</v>
      </c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>
        <f t="shared" si="8"/>
        <v>4</v>
      </c>
      <c r="AF867" s="19">
        <f t="shared" si="13"/>
        <v>4</v>
      </c>
      <c r="AG867" s="9"/>
      <c r="AH867" s="9"/>
      <c r="AI867" s="9"/>
    </row>
    <row r="868" ht="15.0" customHeight="1">
      <c r="A868" s="11">
        <v>867.0</v>
      </c>
      <c r="B868" s="12">
        <f t="shared" si="147"/>
        <v>39955</v>
      </c>
      <c r="C868" s="13">
        <v>2009.0</v>
      </c>
      <c r="D868" s="11" t="s">
        <v>44</v>
      </c>
      <c r="E868" s="11">
        <v>22.0</v>
      </c>
      <c r="F868" s="21" t="s">
        <v>1351</v>
      </c>
      <c r="G868" s="15">
        <v>0.029837700731803522</v>
      </c>
      <c r="H868" s="11" t="s">
        <v>33</v>
      </c>
      <c r="I868" s="16">
        <v>9.0</v>
      </c>
      <c r="J868" s="11" t="s">
        <v>1051</v>
      </c>
      <c r="K868" s="11" t="s">
        <v>35</v>
      </c>
      <c r="L868" s="11" t="s">
        <v>27</v>
      </c>
      <c r="M868" s="11" t="s">
        <v>66</v>
      </c>
      <c r="N868" s="11" t="s">
        <v>67</v>
      </c>
      <c r="O868" s="11" t="s">
        <v>1352</v>
      </c>
      <c r="P868" s="11" t="s">
        <v>38</v>
      </c>
      <c r="Q868" s="20">
        <v>39958.0</v>
      </c>
      <c r="R868" s="17">
        <f t="shared" si="2"/>
        <v>168.9052563</v>
      </c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>
        <f t="shared" si="8"/>
        <v>1</v>
      </c>
      <c r="AF868" s="19">
        <f t="shared" si="13"/>
        <v>2</v>
      </c>
      <c r="AG868" s="9"/>
      <c r="AH868" s="9"/>
      <c r="AI868" s="9"/>
    </row>
    <row r="869" ht="15.0" customHeight="1">
      <c r="A869" s="11">
        <v>868.0</v>
      </c>
      <c r="B869" s="12">
        <f t="shared" si="147"/>
        <v>39955</v>
      </c>
      <c r="C869" s="13">
        <v>2009.0</v>
      </c>
      <c r="D869" s="11" t="s">
        <v>23</v>
      </c>
      <c r="E869" s="11">
        <v>45.0</v>
      </c>
      <c r="F869" s="21" t="s">
        <v>469</v>
      </c>
      <c r="G869" s="15">
        <v>0.032720350906231946</v>
      </c>
      <c r="H869" s="11" t="s">
        <v>33</v>
      </c>
      <c r="I869" s="16">
        <v>3.2640000000000002</v>
      </c>
      <c r="J869" s="11" t="s">
        <v>1353</v>
      </c>
      <c r="K869" s="11" t="s">
        <v>26</v>
      </c>
      <c r="L869" s="11" t="s">
        <v>36</v>
      </c>
      <c r="M869" s="11" t="s">
        <v>28</v>
      </c>
      <c r="N869" s="11" t="s">
        <v>62</v>
      </c>
      <c r="O869" s="11" t="s">
        <v>1354</v>
      </c>
      <c r="P869" s="11" t="s">
        <v>99</v>
      </c>
      <c r="Q869" s="20">
        <v>39958.0</v>
      </c>
      <c r="R869" s="17">
        <f t="shared" si="2"/>
        <v>38.24236821</v>
      </c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>
        <f t="shared" si="8"/>
        <v>2</v>
      </c>
      <c r="AF869" s="19">
        <f t="shared" si="13"/>
        <v>1</v>
      </c>
      <c r="AG869" s="9"/>
      <c r="AH869" s="9"/>
      <c r="AI869" s="9"/>
    </row>
    <row r="870" ht="15.0" customHeight="1">
      <c r="A870" s="11">
        <v>869.0</v>
      </c>
      <c r="B870" s="12">
        <f t="shared" si="147"/>
        <v>39955</v>
      </c>
      <c r="C870" s="13">
        <v>2009.0</v>
      </c>
      <c r="D870" s="11" t="s">
        <v>23</v>
      </c>
      <c r="E870" s="11">
        <v>44.0</v>
      </c>
      <c r="F870" s="21" t="s">
        <v>122</v>
      </c>
      <c r="G870" s="15">
        <v>0.10401043121914888</v>
      </c>
      <c r="H870" s="11" t="s">
        <v>45</v>
      </c>
      <c r="I870" s="16">
        <v>42.42400000000001</v>
      </c>
      <c r="J870" s="11" t="s">
        <v>1353</v>
      </c>
      <c r="K870" s="11" t="s">
        <v>26</v>
      </c>
      <c r="L870" s="11" t="s">
        <v>36</v>
      </c>
      <c r="M870" s="11" t="s">
        <v>28</v>
      </c>
      <c r="N870" s="11" t="s">
        <v>29</v>
      </c>
      <c r="O870" s="11" t="s">
        <v>725</v>
      </c>
      <c r="P870" s="11" t="s">
        <v>52</v>
      </c>
      <c r="Q870" s="20">
        <v>39958.0</v>
      </c>
      <c r="R870" s="17">
        <f t="shared" si="2"/>
        <v>100.0605311</v>
      </c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>
        <f t="shared" si="8"/>
        <v>2</v>
      </c>
      <c r="AF870" s="19">
        <f t="shared" si="13"/>
        <v>1</v>
      </c>
      <c r="AG870" s="9"/>
      <c r="AH870" s="9"/>
      <c r="AI870" s="9"/>
    </row>
    <row r="871" ht="15.0" customHeight="1">
      <c r="A871" s="11">
        <v>870.0</v>
      </c>
      <c r="B871" s="12">
        <f t="shared" ref="B871:B875" si="148">DATE(2012,12,31)-1318</f>
        <v>39956</v>
      </c>
      <c r="C871" s="13">
        <v>2009.0</v>
      </c>
      <c r="D871" s="11" t="s">
        <v>32</v>
      </c>
      <c r="E871" s="11">
        <v>40.0</v>
      </c>
      <c r="F871" s="21" t="s">
        <v>210</v>
      </c>
      <c r="G871" s="15">
        <v>0.06951871657754008</v>
      </c>
      <c r="H871" s="11" t="s">
        <v>33</v>
      </c>
      <c r="I871" s="16">
        <v>0.4</v>
      </c>
      <c r="J871" s="11" t="s">
        <v>1355</v>
      </c>
      <c r="K871" s="11" t="s">
        <v>61</v>
      </c>
      <c r="L871" s="11" t="s">
        <v>27</v>
      </c>
      <c r="M871" s="11" t="s">
        <v>28</v>
      </c>
      <c r="N871" s="11" t="s">
        <v>188</v>
      </c>
      <c r="O871" s="11" t="s">
        <v>1356</v>
      </c>
      <c r="P871" s="11" t="s">
        <v>38</v>
      </c>
      <c r="Q871" s="20">
        <v>39958.0</v>
      </c>
      <c r="R871" s="17">
        <f t="shared" si="2"/>
        <v>7.257754011</v>
      </c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>
        <f t="shared" si="8"/>
        <v>1</v>
      </c>
      <c r="AF871" s="19">
        <f t="shared" si="13"/>
        <v>4</v>
      </c>
      <c r="AG871" s="9"/>
      <c r="AH871" s="9"/>
      <c r="AI871" s="9"/>
    </row>
    <row r="872" ht="15.0" customHeight="1">
      <c r="A872" s="11">
        <v>871.0</v>
      </c>
      <c r="B872" s="12">
        <f t="shared" si="148"/>
        <v>39956</v>
      </c>
      <c r="C872" s="13">
        <v>2009.0</v>
      </c>
      <c r="D872" s="11" t="s">
        <v>23</v>
      </c>
      <c r="E872" s="11">
        <v>4.0</v>
      </c>
      <c r="F872" s="21" t="s">
        <v>186</v>
      </c>
      <c r="G872" s="15">
        <v>0.09235602094240852</v>
      </c>
      <c r="H872" s="11" t="s">
        <v>33</v>
      </c>
      <c r="I872" s="16">
        <v>0.9359999999999999</v>
      </c>
      <c r="J872" s="11" t="s">
        <v>1357</v>
      </c>
      <c r="K872" s="11" t="s">
        <v>35</v>
      </c>
      <c r="L872" s="11" t="s">
        <v>27</v>
      </c>
      <c r="M872" s="11" t="s">
        <v>28</v>
      </c>
      <c r="N872" s="11" t="s">
        <v>62</v>
      </c>
      <c r="O872" s="11" t="s">
        <v>1358</v>
      </c>
      <c r="P872" s="11" t="s">
        <v>58</v>
      </c>
      <c r="Q872" s="20">
        <v>39958.0</v>
      </c>
      <c r="R872" s="17">
        <f t="shared" si="2"/>
        <v>1.601083979</v>
      </c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>
        <f t="shared" si="8"/>
        <v>1</v>
      </c>
      <c r="AF872" s="19">
        <f t="shared" si="13"/>
        <v>2</v>
      </c>
      <c r="AG872" s="9"/>
      <c r="AH872" s="9"/>
      <c r="AI872" s="9"/>
    </row>
    <row r="873" ht="15.0" customHeight="1">
      <c r="A873" s="11">
        <v>872.0</v>
      </c>
      <c r="B873" s="12">
        <f t="shared" si="148"/>
        <v>39956</v>
      </c>
      <c r="C873" s="13">
        <v>2009.0</v>
      </c>
      <c r="D873" s="11" t="s">
        <v>23</v>
      </c>
      <c r="E873" s="11">
        <v>46.0</v>
      </c>
      <c r="F873" s="21" t="s">
        <v>1359</v>
      </c>
      <c r="G873" s="15">
        <v>0.08288996838615159</v>
      </c>
      <c r="H873" s="11" t="s">
        <v>24</v>
      </c>
      <c r="I873" s="16">
        <v>3.2</v>
      </c>
      <c r="J873" s="11" t="s">
        <v>1360</v>
      </c>
      <c r="K873" s="11" t="s">
        <v>65</v>
      </c>
      <c r="L873" s="11" t="s">
        <v>27</v>
      </c>
      <c r="M873" s="11" t="s">
        <v>66</v>
      </c>
      <c r="N873" s="11" t="s">
        <v>67</v>
      </c>
      <c r="O873" s="11" t="s">
        <v>1361</v>
      </c>
      <c r="P873" s="11" t="s">
        <v>38</v>
      </c>
      <c r="Q873" s="20">
        <v>39958.0</v>
      </c>
      <c r="R873" s="17">
        <f t="shared" si="2"/>
        <v>295.7679852</v>
      </c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>
        <f t="shared" si="8"/>
        <v>1</v>
      </c>
      <c r="AF873" s="19">
        <f t="shared" si="13"/>
        <v>5</v>
      </c>
      <c r="AG873" s="9"/>
      <c r="AH873" s="9"/>
      <c r="AI873" s="9"/>
    </row>
    <row r="874" ht="15.0" customHeight="1">
      <c r="A874" s="11">
        <v>873.0</v>
      </c>
      <c r="B874" s="12">
        <f t="shared" si="148"/>
        <v>39956</v>
      </c>
      <c r="C874" s="13">
        <v>2009.0</v>
      </c>
      <c r="D874" s="11" t="s">
        <v>23</v>
      </c>
      <c r="E874" s="11">
        <v>37.0</v>
      </c>
      <c r="F874" s="21" t="s">
        <v>319</v>
      </c>
      <c r="G874" s="15">
        <v>0.028358208955223937</v>
      </c>
      <c r="H874" s="11" t="s">
        <v>33</v>
      </c>
      <c r="I874" s="16">
        <v>0.5599999999999999</v>
      </c>
      <c r="J874" s="11" t="s">
        <v>1360</v>
      </c>
      <c r="K874" s="11" t="s">
        <v>65</v>
      </c>
      <c r="L874" s="11" t="s">
        <v>27</v>
      </c>
      <c r="M874" s="11" t="s">
        <v>28</v>
      </c>
      <c r="N874" s="11" t="s">
        <v>62</v>
      </c>
      <c r="O874" s="11" t="s">
        <v>383</v>
      </c>
      <c r="P874" s="11" t="s">
        <v>58</v>
      </c>
      <c r="Q874" s="20">
        <v>39958.0</v>
      </c>
      <c r="R874" s="17">
        <f t="shared" si="2"/>
        <v>2.953791045</v>
      </c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>
        <f t="shared" si="8"/>
        <v>1</v>
      </c>
      <c r="AF874" s="19">
        <f t="shared" si="13"/>
        <v>5</v>
      </c>
      <c r="AG874" s="9"/>
      <c r="AH874" s="9"/>
      <c r="AI874" s="9"/>
    </row>
    <row r="875" ht="15.0" customHeight="1">
      <c r="A875" s="11">
        <v>874.0</v>
      </c>
      <c r="B875" s="12">
        <f t="shared" si="148"/>
        <v>39956</v>
      </c>
      <c r="C875" s="13">
        <v>2009.0</v>
      </c>
      <c r="D875" s="11" t="s">
        <v>32</v>
      </c>
      <c r="E875" s="11">
        <v>44.0</v>
      </c>
      <c r="F875" s="21" t="s">
        <v>1362</v>
      </c>
      <c r="G875" s="15">
        <v>0.029396201163329475</v>
      </c>
      <c r="H875" s="11" t="s">
        <v>33</v>
      </c>
      <c r="I875" s="16">
        <v>2.3920000000000003</v>
      </c>
      <c r="J875" s="11" t="s">
        <v>1024</v>
      </c>
      <c r="K875" s="11" t="s">
        <v>26</v>
      </c>
      <c r="L875" s="11" t="s">
        <v>48</v>
      </c>
      <c r="M875" s="11" t="s">
        <v>28</v>
      </c>
      <c r="N875" s="11" t="s">
        <v>42</v>
      </c>
      <c r="O875" s="11" t="s">
        <v>1363</v>
      </c>
      <c r="P875" s="11" t="s">
        <v>38</v>
      </c>
      <c r="Q875" s="20">
        <v>39958.0</v>
      </c>
      <c r="R875" s="17">
        <f t="shared" si="2"/>
        <v>55.42924174</v>
      </c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>
        <f t="shared" si="8"/>
        <v>4</v>
      </c>
      <c r="AF875" s="19">
        <f t="shared" si="13"/>
        <v>1</v>
      </c>
      <c r="AG875" s="9"/>
      <c r="AH875" s="9"/>
      <c r="AI875" s="9"/>
    </row>
    <row r="876" ht="15.0" customHeight="1">
      <c r="A876" s="11">
        <v>875.0</v>
      </c>
      <c r="B876" s="12">
        <f t="shared" ref="B876:B882" si="149">DATE(2012,12,31)-1317</f>
        <v>39957</v>
      </c>
      <c r="C876" s="13">
        <v>2009.0</v>
      </c>
      <c r="D876" s="11" t="s">
        <v>23</v>
      </c>
      <c r="E876" s="11">
        <v>34.0</v>
      </c>
      <c r="F876" s="21" t="s">
        <v>137</v>
      </c>
      <c r="G876" s="15">
        <v>0.04971338165495418</v>
      </c>
      <c r="H876" s="11" t="s">
        <v>45</v>
      </c>
      <c r="I876" s="16">
        <v>34.968</v>
      </c>
      <c r="J876" s="11" t="s">
        <v>1364</v>
      </c>
      <c r="K876" s="11" t="s">
        <v>35</v>
      </c>
      <c r="L876" s="11" t="s">
        <v>27</v>
      </c>
      <c r="M876" s="11" t="s">
        <v>49</v>
      </c>
      <c r="N876" s="11" t="s">
        <v>50</v>
      </c>
      <c r="O876" s="11" t="s">
        <v>1365</v>
      </c>
      <c r="P876" s="11" t="s">
        <v>52</v>
      </c>
      <c r="Q876" s="20">
        <v>39958.0</v>
      </c>
      <c r="R876" s="17">
        <f t="shared" si="2"/>
        <v>256.7978534</v>
      </c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>
        <f t="shared" si="8"/>
        <v>1</v>
      </c>
      <c r="AF876" s="19">
        <f t="shared" si="13"/>
        <v>2</v>
      </c>
      <c r="AG876" s="9"/>
      <c r="AH876" s="9"/>
      <c r="AI876" s="9"/>
    </row>
    <row r="877" ht="15.0" customHeight="1">
      <c r="A877" s="11">
        <v>876.0</v>
      </c>
      <c r="B877" s="12">
        <f t="shared" si="149"/>
        <v>39957</v>
      </c>
      <c r="C877" s="13">
        <v>2009.0</v>
      </c>
      <c r="D877" s="11" t="s">
        <v>44</v>
      </c>
      <c r="E877" s="11">
        <v>31.0</v>
      </c>
      <c r="F877" s="21" t="s">
        <v>422</v>
      </c>
      <c r="G877" s="15">
        <v>0.0940743388134381</v>
      </c>
      <c r="H877" s="11" t="s">
        <v>45</v>
      </c>
      <c r="I877" s="16">
        <v>26.880000000000003</v>
      </c>
      <c r="J877" s="11" t="s">
        <v>639</v>
      </c>
      <c r="K877" s="11" t="s">
        <v>35</v>
      </c>
      <c r="L877" s="11" t="s">
        <v>27</v>
      </c>
      <c r="M877" s="11" t="s">
        <v>66</v>
      </c>
      <c r="N877" s="11" t="s">
        <v>69</v>
      </c>
      <c r="O877" s="11" t="s">
        <v>526</v>
      </c>
      <c r="P877" s="11" t="s">
        <v>52</v>
      </c>
      <c r="Q877" s="20">
        <v>39958.0</v>
      </c>
      <c r="R877" s="17">
        <f t="shared" si="2"/>
        <v>238.4577525</v>
      </c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>
        <f t="shared" si="8"/>
        <v>1</v>
      </c>
      <c r="AF877" s="19">
        <f t="shared" si="13"/>
        <v>2</v>
      </c>
      <c r="AG877" s="9"/>
      <c r="AH877" s="9"/>
      <c r="AI877" s="9"/>
    </row>
    <row r="878" ht="15.0" customHeight="1">
      <c r="A878" s="11">
        <v>877.0</v>
      </c>
      <c r="B878" s="12">
        <f t="shared" si="149"/>
        <v>39957</v>
      </c>
      <c r="C878" s="13">
        <v>2009.0</v>
      </c>
      <c r="D878" s="11" t="s">
        <v>44</v>
      </c>
      <c r="E878" s="11">
        <v>22.0</v>
      </c>
      <c r="F878" s="21" t="s">
        <v>158</v>
      </c>
      <c r="G878" s="15">
        <v>0.03792828685258957</v>
      </c>
      <c r="H878" s="11" t="s">
        <v>33</v>
      </c>
      <c r="I878" s="16">
        <v>4.088</v>
      </c>
      <c r="J878" s="11" t="s">
        <v>639</v>
      </c>
      <c r="K878" s="11" t="s">
        <v>35</v>
      </c>
      <c r="L878" s="11" t="s">
        <v>27</v>
      </c>
      <c r="M878" s="11" t="s">
        <v>28</v>
      </c>
      <c r="N878" s="11" t="s">
        <v>56</v>
      </c>
      <c r="O878" s="11" t="s">
        <v>1335</v>
      </c>
      <c r="P878" s="11" t="s">
        <v>38</v>
      </c>
      <c r="Q878" s="20">
        <v>39959.0</v>
      </c>
      <c r="R878" s="17">
        <f t="shared" si="2"/>
        <v>5.495353625</v>
      </c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>
        <f t="shared" si="8"/>
        <v>1</v>
      </c>
      <c r="AF878" s="19">
        <f t="shared" si="13"/>
        <v>2</v>
      </c>
      <c r="AG878" s="9"/>
      <c r="AH878" s="9"/>
      <c r="AI878" s="9"/>
    </row>
    <row r="879" ht="15.0" customHeight="1">
      <c r="A879" s="11">
        <v>878.0</v>
      </c>
      <c r="B879" s="12">
        <f t="shared" si="149"/>
        <v>39957</v>
      </c>
      <c r="C879" s="13">
        <v>2009.0</v>
      </c>
      <c r="D879" s="11" t="s">
        <v>32</v>
      </c>
      <c r="E879" s="11">
        <v>8.0</v>
      </c>
      <c r="F879" s="21" t="s">
        <v>270</v>
      </c>
      <c r="G879" s="15">
        <v>0.07971254836926488</v>
      </c>
      <c r="H879" s="11" t="s">
        <v>24</v>
      </c>
      <c r="I879" s="16">
        <v>5.760000000000001</v>
      </c>
      <c r="J879" s="11" t="s">
        <v>385</v>
      </c>
      <c r="K879" s="11" t="s">
        <v>35</v>
      </c>
      <c r="L879" s="11" t="s">
        <v>41</v>
      </c>
      <c r="M879" s="11" t="s">
        <v>28</v>
      </c>
      <c r="N879" s="11" t="s">
        <v>197</v>
      </c>
      <c r="O879" s="11" t="s">
        <v>1366</v>
      </c>
      <c r="P879" s="11" t="s">
        <v>38</v>
      </c>
      <c r="Q879" s="20">
        <v>39959.0</v>
      </c>
      <c r="R879" s="17">
        <f t="shared" si="2"/>
        <v>26.54109011</v>
      </c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>
        <f t="shared" si="8"/>
        <v>3</v>
      </c>
      <c r="AF879" s="19">
        <f t="shared" si="13"/>
        <v>2</v>
      </c>
      <c r="AG879" s="9"/>
      <c r="AH879" s="9"/>
      <c r="AI879" s="9"/>
    </row>
    <row r="880" ht="15.0" customHeight="1">
      <c r="A880" s="11">
        <v>879.0</v>
      </c>
      <c r="B880" s="12">
        <f t="shared" si="149"/>
        <v>39957</v>
      </c>
      <c r="C880" s="13">
        <v>2009.0</v>
      </c>
      <c r="D880" s="11" t="s">
        <v>32</v>
      </c>
      <c r="E880" s="11">
        <v>32.0</v>
      </c>
      <c r="F880" s="21" t="s">
        <v>891</v>
      </c>
      <c r="G880" s="15">
        <v>0.07805359661495072</v>
      </c>
      <c r="H880" s="11" t="s">
        <v>24</v>
      </c>
      <c r="I880" s="16">
        <v>2.2640000000000002</v>
      </c>
      <c r="J880" s="11" t="s">
        <v>385</v>
      </c>
      <c r="K880" s="11" t="s">
        <v>35</v>
      </c>
      <c r="L880" s="11" t="s">
        <v>41</v>
      </c>
      <c r="M880" s="11" t="s">
        <v>66</v>
      </c>
      <c r="N880" s="11" t="s">
        <v>67</v>
      </c>
      <c r="O880" s="11" t="s">
        <v>893</v>
      </c>
      <c r="P880" s="11" t="s">
        <v>99</v>
      </c>
      <c r="Q880" s="20">
        <v>39959.0</v>
      </c>
      <c r="R880" s="17">
        <f t="shared" si="2"/>
        <v>20.40820559</v>
      </c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>
        <f t="shared" si="8"/>
        <v>3</v>
      </c>
      <c r="AF880" s="19">
        <f t="shared" si="13"/>
        <v>2</v>
      </c>
      <c r="AG880" s="9"/>
      <c r="AH880" s="9"/>
      <c r="AI880" s="9"/>
    </row>
    <row r="881" ht="15.0" customHeight="1">
      <c r="A881" s="11">
        <v>880.0</v>
      </c>
      <c r="B881" s="12">
        <f t="shared" si="149"/>
        <v>39957</v>
      </c>
      <c r="C881" s="13">
        <v>2009.0</v>
      </c>
      <c r="D881" s="11" t="s">
        <v>32</v>
      </c>
      <c r="E881" s="11">
        <v>26.0</v>
      </c>
      <c r="F881" s="21" t="s">
        <v>1367</v>
      </c>
      <c r="G881" s="15">
        <v>0.02142635172698892</v>
      </c>
      <c r="H881" s="11" t="s">
        <v>45</v>
      </c>
      <c r="I881" s="16">
        <v>50.19200000000001</v>
      </c>
      <c r="J881" s="11" t="s">
        <v>385</v>
      </c>
      <c r="K881" s="11" t="s">
        <v>35</v>
      </c>
      <c r="L881" s="11" t="s">
        <v>41</v>
      </c>
      <c r="M881" s="11" t="s">
        <v>49</v>
      </c>
      <c r="N881" s="11" t="s">
        <v>85</v>
      </c>
      <c r="O881" s="11" t="s">
        <v>1368</v>
      </c>
      <c r="P881" s="11" t="s">
        <v>87</v>
      </c>
      <c r="Q881" s="20">
        <v>39959.0</v>
      </c>
      <c r="R881" s="17">
        <f t="shared" si="2"/>
        <v>147.0874479</v>
      </c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>
        <f t="shared" si="8"/>
        <v>3</v>
      </c>
      <c r="AF881" s="19">
        <f t="shared" si="13"/>
        <v>2</v>
      </c>
      <c r="AG881" s="9"/>
      <c r="AH881" s="9"/>
      <c r="AI881" s="9"/>
    </row>
    <row r="882" ht="15.0" customHeight="1">
      <c r="A882" s="11">
        <v>881.0</v>
      </c>
      <c r="B882" s="12">
        <f t="shared" si="149"/>
        <v>39957</v>
      </c>
      <c r="C882" s="13">
        <v>2009.0</v>
      </c>
      <c r="D882" s="11" t="s">
        <v>102</v>
      </c>
      <c r="E882" s="11">
        <v>32.0</v>
      </c>
      <c r="F882" s="21" t="s">
        <v>1336</v>
      </c>
      <c r="G882" s="15">
        <v>0.09170135911228912</v>
      </c>
      <c r="H882" s="11" t="s">
        <v>24</v>
      </c>
      <c r="I882" s="16">
        <v>14.448</v>
      </c>
      <c r="J882" s="11" t="s">
        <v>1054</v>
      </c>
      <c r="K882" s="11" t="s">
        <v>61</v>
      </c>
      <c r="L882" s="11" t="s">
        <v>41</v>
      </c>
      <c r="M882" s="11" t="s">
        <v>49</v>
      </c>
      <c r="N882" s="11" t="s">
        <v>50</v>
      </c>
      <c r="O882" s="11" t="s">
        <v>1337</v>
      </c>
      <c r="P882" s="11" t="s">
        <v>31</v>
      </c>
      <c r="Q882" s="20">
        <v>39959.0</v>
      </c>
      <c r="R882" s="17">
        <f t="shared" si="2"/>
        <v>641.0335824</v>
      </c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>
        <f t="shared" si="8"/>
        <v>3</v>
      </c>
      <c r="AF882" s="19">
        <f t="shared" si="13"/>
        <v>4</v>
      </c>
      <c r="AG882" s="9"/>
      <c r="AH882" s="9"/>
      <c r="AI882" s="9"/>
    </row>
    <row r="883" ht="15.0" customHeight="1">
      <c r="A883" s="11">
        <v>882.0</v>
      </c>
      <c r="B883" s="12">
        <f t="shared" ref="B883:B893" si="150">DATE(2012,12,31)-1316</f>
        <v>39958</v>
      </c>
      <c r="C883" s="13">
        <v>2009.0</v>
      </c>
      <c r="D883" s="11" t="s">
        <v>32</v>
      </c>
      <c r="E883" s="11">
        <v>23.0</v>
      </c>
      <c r="F883" s="21" t="s">
        <v>1369</v>
      </c>
      <c r="G883" s="15">
        <v>0.02592391304347828</v>
      </c>
      <c r="H883" s="11" t="s">
        <v>33</v>
      </c>
      <c r="I883" s="16">
        <v>0.392</v>
      </c>
      <c r="J883" s="11" t="s">
        <v>1370</v>
      </c>
      <c r="K883" s="11" t="s">
        <v>83</v>
      </c>
      <c r="L883" s="11" t="s">
        <v>27</v>
      </c>
      <c r="M883" s="11" t="s">
        <v>28</v>
      </c>
      <c r="N883" s="11" t="s">
        <v>188</v>
      </c>
      <c r="O883" s="11" t="s">
        <v>1371</v>
      </c>
      <c r="P883" s="11" t="s">
        <v>38</v>
      </c>
      <c r="Q883" s="20">
        <v>39959.0</v>
      </c>
      <c r="R883" s="17">
        <f t="shared" si="2"/>
        <v>1.858537174</v>
      </c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>
        <f t="shared" si="8"/>
        <v>1</v>
      </c>
      <c r="AF883" s="19" t="b">
        <f t="shared" si="13"/>
        <v>0</v>
      </c>
      <c r="AG883" s="9"/>
      <c r="AH883" s="9"/>
      <c r="AI883" s="9"/>
    </row>
    <row r="884" ht="15.0" customHeight="1">
      <c r="A884" s="11">
        <v>883.0</v>
      </c>
      <c r="B884" s="12">
        <f t="shared" si="150"/>
        <v>39958</v>
      </c>
      <c r="C884" s="13">
        <v>2009.0</v>
      </c>
      <c r="D884" s="11" t="s">
        <v>102</v>
      </c>
      <c r="E884" s="11">
        <v>5.0</v>
      </c>
      <c r="F884" s="21" t="s">
        <v>853</v>
      </c>
      <c r="G884" s="15">
        <v>0.06081538461538466</v>
      </c>
      <c r="H884" s="11" t="s">
        <v>33</v>
      </c>
      <c r="I884" s="16">
        <v>4.688000000000001</v>
      </c>
      <c r="J884" s="11" t="s">
        <v>721</v>
      </c>
      <c r="K884" s="11" t="s">
        <v>61</v>
      </c>
      <c r="L884" s="11" t="s">
        <v>41</v>
      </c>
      <c r="M884" s="11" t="s">
        <v>28</v>
      </c>
      <c r="N884" s="11" t="s">
        <v>56</v>
      </c>
      <c r="O884" s="11" t="s">
        <v>1034</v>
      </c>
      <c r="P884" s="11" t="s">
        <v>38</v>
      </c>
      <c r="Q884" s="20">
        <v>39960.0</v>
      </c>
      <c r="R884" s="17">
        <f t="shared" si="2"/>
        <v>14.85038714</v>
      </c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>
        <f t="shared" si="8"/>
        <v>3</v>
      </c>
      <c r="AF884" s="19">
        <f t="shared" si="13"/>
        <v>4</v>
      </c>
      <c r="AG884" s="9"/>
      <c r="AH884" s="9"/>
      <c r="AI884" s="9"/>
    </row>
    <row r="885" ht="15.0" customHeight="1">
      <c r="A885" s="11">
        <v>884.0</v>
      </c>
      <c r="B885" s="12">
        <f t="shared" si="150"/>
        <v>39958</v>
      </c>
      <c r="C885" s="13">
        <v>2009.0</v>
      </c>
      <c r="D885" s="11" t="s">
        <v>23</v>
      </c>
      <c r="E885" s="11">
        <v>10.0</v>
      </c>
      <c r="F885" s="21" t="s">
        <v>183</v>
      </c>
      <c r="G885" s="15">
        <v>0.09286249331193148</v>
      </c>
      <c r="H885" s="11" t="s">
        <v>24</v>
      </c>
      <c r="I885" s="16">
        <v>10.544</v>
      </c>
      <c r="J885" s="11" t="s">
        <v>193</v>
      </c>
      <c r="K885" s="11" t="s">
        <v>61</v>
      </c>
      <c r="L885" s="11" t="s">
        <v>48</v>
      </c>
      <c r="M885" s="11" t="s">
        <v>28</v>
      </c>
      <c r="N885" s="11" t="s">
        <v>42</v>
      </c>
      <c r="O885" s="11" t="s">
        <v>185</v>
      </c>
      <c r="P885" s="11" t="s">
        <v>38</v>
      </c>
      <c r="Q885" s="20">
        <v>39960.0</v>
      </c>
      <c r="R885" s="17">
        <f t="shared" si="2"/>
        <v>15.74427857</v>
      </c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>
        <f t="shared" si="8"/>
        <v>4</v>
      </c>
      <c r="AF885" s="19">
        <f t="shared" si="13"/>
        <v>4</v>
      </c>
      <c r="AG885" s="9"/>
      <c r="AH885" s="9"/>
      <c r="AI885" s="9"/>
    </row>
    <row r="886" ht="15.0" customHeight="1">
      <c r="A886" s="11">
        <v>885.0</v>
      </c>
      <c r="B886" s="12">
        <f t="shared" si="150"/>
        <v>39958</v>
      </c>
      <c r="C886" s="13">
        <v>2009.0</v>
      </c>
      <c r="D886" s="11" t="s">
        <v>44</v>
      </c>
      <c r="E886" s="11">
        <v>48.0</v>
      </c>
      <c r="F886" s="21" t="s">
        <v>352</v>
      </c>
      <c r="G886" s="15">
        <v>0.07623031372054935</v>
      </c>
      <c r="H886" s="11" t="s">
        <v>33</v>
      </c>
      <c r="I886" s="16">
        <v>2.3920000000000003</v>
      </c>
      <c r="J886" s="11" t="s">
        <v>1372</v>
      </c>
      <c r="K886" s="11" t="s">
        <v>61</v>
      </c>
      <c r="L886" s="11" t="s">
        <v>36</v>
      </c>
      <c r="M886" s="11" t="s">
        <v>28</v>
      </c>
      <c r="N886" s="11" t="s">
        <v>42</v>
      </c>
      <c r="O886" s="11" t="s">
        <v>594</v>
      </c>
      <c r="P886" s="11" t="s">
        <v>38</v>
      </c>
      <c r="Q886" s="20">
        <v>39960.0</v>
      </c>
      <c r="R886" s="17">
        <f t="shared" si="2"/>
        <v>111.7835222</v>
      </c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>
        <f t="shared" si="8"/>
        <v>2</v>
      </c>
      <c r="AF886" s="19">
        <f t="shared" si="13"/>
        <v>4</v>
      </c>
      <c r="AG886" s="9"/>
      <c r="AH886" s="9"/>
      <c r="AI886" s="9"/>
    </row>
    <row r="887" ht="15.0" customHeight="1">
      <c r="A887" s="11">
        <v>886.0</v>
      </c>
      <c r="B887" s="12">
        <f t="shared" si="150"/>
        <v>39958</v>
      </c>
      <c r="C887" s="13">
        <v>2009.0</v>
      </c>
      <c r="D887" s="11" t="s">
        <v>32</v>
      </c>
      <c r="E887" s="11">
        <v>34.0</v>
      </c>
      <c r="F887" s="21" t="s">
        <v>872</v>
      </c>
      <c r="G887" s="15">
        <v>0.08909413854351705</v>
      </c>
      <c r="H887" s="11" t="s">
        <v>33</v>
      </c>
      <c r="I887" s="16">
        <v>6.808</v>
      </c>
      <c r="J887" s="11" t="s">
        <v>1373</v>
      </c>
      <c r="K887" s="11" t="s">
        <v>47</v>
      </c>
      <c r="L887" s="11" t="s">
        <v>27</v>
      </c>
      <c r="M887" s="11" t="s">
        <v>66</v>
      </c>
      <c r="N887" s="11" t="s">
        <v>69</v>
      </c>
      <c r="O887" s="11" t="s">
        <v>1000</v>
      </c>
      <c r="P887" s="11" t="s">
        <v>75</v>
      </c>
      <c r="Q887" s="20">
        <v>39960.0</v>
      </c>
      <c r="R887" s="17">
        <f t="shared" si="2"/>
        <v>54.82924561</v>
      </c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>
        <f t="shared" si="8"/>
        <v>1</v>
      </c>
      <c r="AF887" s="19">
        <f t="shared" si="13"/>
        <v>3</v>
      </c>
      <c r="AG887" s="9"/>
      <c r="AH887" s="9"/>
      <c r="AI887" s="9"/>
    </row>
    <row r="888" ht="15.0" customHeight="1">
      <c r="A888" s="11">
        <v>887.0</v>
      </c>
      <c r="B888" s="12">
        <f t="shared" si="150"/>
        <v>39958</v>
      </c>
      <c r="C888" s="13">
        <v>2009.0</v>
      </c>
      <c r="D888" s="11" t="s">
        <v>23</v>
      </c>
      <c r="E888" s="11">
        <v>24.0</v>
      </c>
      <c r="F888" s="21" t="s">
        <v>1166</v>
      </c>
      <c r="G888" s="15">
        <v>0.07340872374798045</v>
      </c>
      <c r="H888" s="11" t="s">
        <v>33</v>
      </c>
      <c r="I888" s="16">
        <v>1.9120000000000001</v>
      </c>
      <c r="J888" s="11" t="s">
        <v>1374</v>
      </c>
      <c r="K888" s="11" t="s">
        <v>26</v>
      </c>
      <c r="L888" s="11" t="s">
        <v>48</v>
      </c>
      <c r="M888" s="11" t="s">
        <v>66</v>
      </c>
      <c r="N888" s="11" t="s">
        <v>67</v>
      </c>
      <c r="O888" s="11" t="s">
        <v>1167</v>
      </c>
      <c r="P888" s="11" t="s">
        <v>99</v>
      </c>
      <c r="Q888" s="20">
        <v>39960.0</v>
      </c>
      <c r="R888" s="17">
        <f t="shared" si="2"/>
        <v>8.420861519</v>
      </c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>
        <f t="shared" si="8"/>
        <v>4</v>
      </c>
      <c r="AF888" s="19">
        <f t="shared" si="13"/>
        <v>1</v>
      </c>
      <c r="AG888" s="9"/>
      <c r="AH888" s="9"/>
      <c r="AI888" s="9"/>
    </row>
    <row r="889" ht="15.0" customHeight="1">
      <c r="A889" s="11">
        <v>888.0</v>
      </c>
      <c r="B889" s="12">
        <f t="shared" si="150"/>
        <v>39958</v>
      </c>
      <c r="C889" s="13">
        <v>2009.0</v>
      </c>
      <c r="D889" s="11" t="s">
        <v>23</v>
      </c>
      <c r="E889" s="11">
        <v>34.0</v>
      </c>
      <c r="F889" s="21" t="s">
        <v>1375</v>
      </c>
      <c r="G889" s="15">
        <v>0.09509117503656749</v>
      </c>
      <c r="H889" s="11" t="s">
        <v>33</v>
      </c>
      <c r="I889" s="16">
        <v>6.5840000000000005</v>
      </c>
      <c r="J889" s="11" t="s">
        <v>1374</v>
      </c>
      <c r="K889" s="11" t="s">
        <v>26</v>
      </c>
      <c r="L889" s="11" t="s">
        <v>48</v>
      </c>
      <c r="M889" s="11" t="s">
        <v>28</v>
      </c>
      <c r="N889" s="11" t="s">
        <v>236</v>
      </c>
      <c r="O889" s="11" t="s">
        <v>1376</v>
      </c>
      <c r="P889" s="11" t="s">
        <v>38</v>
      </c>
      <c r="Q889" s="20">
        <v>39960.0</v>
      </c>
      <c r="R889" s="17">
        <f t="shared" si="2"/>
        <v>88.24308898</v>
      </c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>
        <f t="shared" si="8"/>
        <v>4</v>
      </c>
      <c r="AF889" s="19">
        <f t="shared" si="13"/>
        <v>1</v>
      </c>
      <c r="AG889" s="9"/>
      <c r="AH889" s="9"/>
      <c r="AI889" s="9"/>
    </row>
    <row r="890" ht="15.0" customHeight="1">
      <c r="A890" s="11">
        <v>889.0</v>
      </c>
      <c r="B890" s="12">
        <f t="shared" si="150"/>
        <v>39958</v>
      </c>
      <c r="C890" s="13">
        <v>2009.0</v>
      </c>
      <c r="D890" s="11" t="s">
        <v>23</v>
      </c>
      <c r="E890" s="11">
        <v>12.0</v>
      </c>
      <c r="F890" s="21" t="s">
        <v>1182</v>
      </c>
      <c r="G890" s="15">
        <v>0.055166889185580645</v>
      </c>
      <c r="H890" s="11" t="s">
        <v>24</v>
      </c>
      <c r="I890" s="16">
        <v>5.968</v>
      </c>
      <c r="J890" s="11" t="s">
        <v>1377</v>
      </c>
      <c r="K890" s="11" t="s">
        <v>47</v>
      </c>
      <c r="L890" s="11" t="s">
        <v>48</v>
      </c>
      <c r="M890" s="11" t="s">
        <v>28</v>
      </c>
      <c r="N890" s="11" t="s">
        <v>42</v>
      </c>
      <c r="O890" s="11" t="s">
        <v>1378</v>
      </c>
      <c r="P890" s="11" t="s">
        <v>38</v>
      </c>
      <c r="Q890" s="20">
        <v>39960.0</v>
      </c>
      <c r="R890" s="17">
        <f t="shared" si="2"/>
        <v>3.904050414</v>
      </c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>
        <f t="shared" si="8"/>
        <v>4</v>
      </c>
      <c r="AF890" s="19">
        <f t="shared" si="13"/>
        <v>3</v>
      </c>
      <c r="AG890" s="9"/>
      <c r="AH890" s="9"/>
      <c r="AI890" s="9"/>
    </row>
    <row r="891" ht="15.0" customHeight="1">
      <c r="A891" s="11">
        <v>890.0</v>
      </c>
      <c r="B891" s="12">
        <f t="shared" si="150"/>
        <v>39958</v>
      </c>
      <c r="C891" s="13">
        <v>2009.0</v>
      </c>
      <c r="D891" s="11" t="s">
        <v>23</v>
      </c>
      <c r="E891" s="11">
        <v>22.0</v>
      </c>
      <c r="F891" s="21" t="s">
        <v>1379</v>
      </c>
      <c r="G891" s="15">
        <v>0.0785967130214916</v>
      </c>
      <c r="H891" s="11" t="s">
        <v>33</v>
      </c>
      <c r="I891" s="16">
        <v>4.464</v>
      </c>
      <c r="J891" s="11" t="s">
        <v>1377</v>
      </c>
      <c r="K891" s="11" t="s">
        <v>47</v>
      </c>
      <c r="L891" s="11" t="s">
        <v>48</v>
      </c>
      <c r="M891" s="11" t="s">
        <v>28</v>
      </c>
      <c r="N891" s="11" t="s">
        <v>56</v>
      </c>
      <c r="O891" s="11" t="s">
        <v>1380</v>
      </c>
      <c r="P891" s="11" t="s">
        <v>38</v>
      </c>
      <c r="Q891" s="20">
        <v>39960.0</v>
      </c>
      <c r="R891" s="17">
        <f t="shared" si="2"/>
        <v>45.82691388</v>
      </c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>
        <f t="shared" si="8"/>
        <v>4</v>
      </c>
      <c r="AF891" s="19">
        <f t="shared" si="13"/>
        <v>3</v>
      </c>
      <c r="AG891" s="9"/>
      <c r="AH891" s="9"/>
      <c r="AI891" s="9"/>
    </row>
    <row r="892" ht="15.0" customHeight="1">
      <c r="A892" s="11">
        <v>891.0</v>
      </c>
      <c r="B892" s="12">
        <f t="shared" si="150"/>
        <v>39958</v>
      </c>
      <c r="C892" s="13">
        <v>2009.0</v>
      </c>
      <c r="D892" s="11" t="s">
        <v>23</v>
      </c>
      <c r="E892" s="11">
        <v>2.0</v>
      </c>
      <c r="F892" s="21" t="s">
        <v>122</v>
      </c>
      <c r="G892" s="15">
        <v>0.070063694267516</v>
      </c>
      <c r="H892" s="11" t="s">
        <v>33</v>
      </c>
      <c r="I892" s="16">
        <v>2.0</v>
      </c>
      <c r="J892" s="11" t="s">
        <v>1377</v>
      </c>
      <c r="K892" s="11" t="s">
        <v>47</v>
      </c>
      <c r="L892" s="11" t="s">
        <v>48</v>
      </c>
      <c r="M892" s="11" t="s">
        <v>66</v>
      </c>
      <c r="N892" s="11" t="s">
        <v>80</v>
      </c>
      <c r="O892" s="11" t="s">
        <v>1381</v>
      </c>
      <c r="P892" s="11" t="s">
        <v>58</v>
      </c>
      <c r="Q892" s="20">
        <v>39960.0</v>
      </c>
      <c r="R892" s="17">
        <f t="shared" si="2"/>
        <v>3.068789809</v>
      </c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>
        <f t="shared" si="8"/>
        <v>4</v>
      </c>
      <c r="AF892" s="19">
        <f t="shared" si="13"/>
        <v>3</v>
      </c>
      <c r="AG892" s="9"/>
      <c r="AH892" s="9"/>
      <c r="AI892" s="9"/>
    </row>
    <row r="893" ht="15.0" customHeight="1">
      <c r="A893" s="11">
        <v>892.0</v>
      </c>
      <c r="B893" s="12">
        <f t="shared" si="150"/>
        <v>39958</v>
      </c>
      <c r="C893" s="13">
        <v>2009.0</v>
      </c>
      <c r="D893" s="11" t="s">
        <v>23</v>
      </c>
      <c r="E893" s="11">
        <v>38.0</v>
      </c>
      <c r="F893" s="21" t="s">
        <v>128</v>
      </c>
      <c r="G893" s="15">
        <v>0.04839445642351649</v>
      </c>
      <c r="H893" s="11" t="s">
        <v>33</v>
      </c>
      <c r="I893" s="16">
        <v>2.0</v>
      </c>
      <c r="J893" s="11" t="s">
        <v>1377</v>
      </c>
      <c r="K893" s="11" t="s">
        <v>47</v>
      </c>
      <c r="L893" s="11" t="s">
        <v>48</v>
      </c>
      <c r="M893" s="11" t="s">
        <v>66</v>
      </c>
      <c r="N893" s="11" t="s">
        <v>80</v>
      </c>
      <c r="O893" s="11" t="s">
        <v>1382</v>
      </c>
      <c r="P893" s="11" t="s">
        <v>38</v>
      </c>
      <c r="Q893" s="20">
        <v>39960.0</v>
      </c>
      <c r="R893" s="17">
        <f t="shared" si="2"/>
        <v>231.6255473</v>
      </c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>
        <f t="shared" si="8"/>
        <v>4</v>
      </c>
      <c r="AF893" s="19">
        <f t="shared" si="13"/>
        <v>3</v>
      </c>
      <c r="AG893" s="9"/>
      <c r="AH893" s="9"/>
      <c r="AI893" s="9"/>
    </row>
    <row r="894" ht="15.0" customHeight="1">
      <c r="A894" s="11">
        <v>893.0</v>
      </c>
      <c r="B894" s="12">
        <f t="shared" ref="B894:B899" si="151">DATE(2012,12,31)-1315</f>
        <v>39959</v>
      </c>
      <c r="C894" s="13">
        <v>2009.0</v>
      </c>
      <c r="D894" s="11" t="s">
        <v>23</v>
      </c>
      <c r="E894" s="11">
        <v>40.0</v>
      </c>
      <c r="F894" s="21" t="s">
        <v>1097</v>
      </c>
      <c r="G894" s="15">
        <v>0.010882827983608703</v>
      </c>
      <c r="H894" s="11" t="s">
        <v>45</v>
      </c>
      <c r="I894" s="16">
        <v>48.0</v>
      </c>
      <c r="J894" s="11" t="s">
        <v>934</v>
      </c>
      <c r="K894" s="11" t="s">
        <v>61</v>
      </c>
      <c r="L894" s="11" t="s">
        <v>41</v>
      </c>
      <c r="M894" s="11" t="s">
        <v>49</v>
      </c>
      <c r="N894" s="11" t="s">
        <v>85</v>
      </c>
      <c r="O894" s="11" t="s">
        <v>1098</v>
      </c>
      <c r="P894" s="11" t="s">
        <v>52</v>
      </c>
      <c r="Q894" s="20">
        <v>39960.0</v>
      </c>
      <c r="R894" s="17">
        <f t="shared" si="2"/>
        <v>152.6207796</v>
      </c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>
        <f t="shared" si="8"/>
        <v>3</v>
      </c>
      <c r="AF894" s="19">
        <f t="shared" si="13"/>
        <v>4</v>
      </c>
      <c r="AG894" s="9"/>
      <c r="AH894" s="9"/>
      <c r="AI894" s="9"/>
    </row>
    <row r="895" ht="15.0" customHeight="1">
      <c r="A895" s="11">
        <v>894.0</v>
      </c>
      <c r="B895" s="12">
        <f t="shared" si="151"/>
        <v>39959</v>
      </c>
      <c r="C895" s="13">
        <v>2009.0</v>
      </c>
      <c r="D895" s="11" t="s">
        <v>39</v>
      </c>
      <c r="E895" s="11">
        <v>21.0</v>
      </c>
      <c r="F895" s="21" t="s">
        <v>210</v>
      </c>
      <c r="G895" s="15">
        <v>0.05733788395904436</v>
      </c>
      <c r="H895" s="11" t="s">
        <v>33</v>
      </c>
      <c r="I895" s="16">
        <v>0.6400000000000001</v>
      </c>
      <c r="J895" s="11" t="s">
        <v>1276</v>
      </c>
      <c r="K895" s="11" t="s">
        <v>47</v>
      </c>
      <c r="L895" s="11" t="s">
        <v>36</v>
      </c>
      <c r="M895" s="11" t="s">
        <v>28</v>
      </c>
      <c r="N895" s="11" t="s">
        <v>216</v>
      </c>
      <c r="O895" s="11" t="s">
        <v>1290</v>
      </c>
      <c r="P895" s="11" t="s">
        <v>58</v>
      </c>
      <c r="Q895" s="20">
        <v>39960.0</v>
      </c>
      <c r="R895" s="17">
        <f t="shared" si="2"/>
        <v>3.16734471</v>
      </c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>
        <f t="shared" si="8"/>
        <v>2</v>
      </c>
      <c r="AF895" s="19">
        <f t="shared" si="13"/>
        <v>3</v>
      </c>
      <c r="AG895" s="9"/>
      <c r="AH895" s="9"/>
      <c r="AI895" s="9"/>
    </row>
    <row r="896" ht="15.0" customHeight="1">
      <c r="A896" s="11">
        <v>895.0</v>
      </c>
      <c r="B896" s="12">
        <f t="shared" si="151"/>
        <v>39959</v>
      </c>
      <c r="C896" s="13">
        <v>2009.0</v>
      </c>
      <c r="D896" s="11" t="s">
        <v>44</v>
      </c>
      <c r="E896" s="11">
        <v>37.0</v>
      </c>
      <c r="F896" s="21" t="s">
        <v>103</v>
      </c>
      <c r="G896" s="15">
        <v>0.024424320827943023</v>
      </c>
      <c r="H896" s="11" t="s">
        <v>33</v>
      </c>
      <c r="I896" s="16">
        <v>7.936</v>
      </c>
      <c r="J896" s="11" t="s">
        <v>1168</v>
      </c>
      <c r="K896" s="11" t="s">
        <v>61</v>
      </c>
      <c r="L896" s="11" t="s">
        <v>36</v>
      </c>
      <c r="M896" s="11" t="s">
        <v>28</v>
      </c>
      <c r="N896" s="11" t="s">
        <v>42</v>
      </c>
      <c r="O896" s="11" t="s">
        <v>1334</v>
      </c>
      <c r="P896" s="11" t="s">
        <v>38</v>
      </c>
      <c r="Q896" s="20">
        <v>39961.0</v>
      </c>
      <c r="R896" s="17">
        <f t="shared" si="2"/>
        <v>5.525660647</v>
      </c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>
        <f t="shared" si="8"/>
        <v>2</v>
      </c>
      <c r="AF896" s="19">
        <f t="shared" si="13"/>
        <v>4</v>
      </c>
      <c r="AG896" s="9"/>
      <c r="AH896" s="9"/>
      <c r="AI896" s="9"/>
    </row>
    <row r="897" ht="15.0" customHeight="1">
      <c r="A897" s="11">
        <v>896.0</v>
      </c>
      <c r="B897" s="12">
        <f t="shared" si="151"/>
        <v>39959</v>
      </c>
      <c r="C897" s="13">
        <v>2009.0</v>
      </c>
      <c r="D897" s="11" t="s">
        <v>44</v>
      </c>
      <c r="E897" s="11">
        <v>21.0</v>
      </c>
      <c r="F897" s="21" t="s">
        <v>128</v>
      </c>
      <c r="G897" s="15">
        <v>0.0205056075804122</v>
      </c>
      <c r="H897" s="11" t="s">
        <v>33</v>
      </c>
      <c r="I897" s="16">
        <v>2.4000000000000004</v>
      </c>
      <c r="J897" s="11" t="s">
        <v>1168</v>
      </c>
      <c r="K897" s="11" t="s">
        <v>61</v>
      </c>
      <c r="L897" s="11" t="s">
        <v>36</v>
      </c>
      <c r="M897" s="11" t="s">
        <v>66</v>
      </c>
      <c r="N897" s="11" t="s">
        <v>80</v>
      </c>
      <c r="O897" s="11" t="s">
        <v>1383</v>
      </c>
      <c r="P897" s="11" t="s">
        <v>38</v>
      </c>
      <c r="Q897" s="20">
        <v>39961.0</v>
      </c>
      <c r="R897" s="17">
        <f t="shared" si="2"/>
        <v>54.26398934</v>
      </c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>
        <f t="shared" si="8"/>
        <v>2</v>
      </c>
      <c r="AF897" s="19">
        <f t="shared" si="13"/>
        <v>4</v>
      </c>
      <c r="AG897" s="9"/>
      <c r="AH897" s="9"/>
      <c r="AI897" s="9"/>
    </row>
    <row r="898" ht="15.0" customHeight="1">
      <c r="A898" s="11">
        <v>897.0</v>
      </c>
      <c r="B898" s="12">
        <f t="shared" si="151"/>
        <v>39959</v>
      </c>
      <c r="C898" s="13">
        <v>2009.0</v>
      </c>
      <c r="D898" s="11" t="s">
        <v>39</v>
      </c>
      <c r="E898" s="11">
        <v>9.0</v>
      </c>
      <c r="F898" s="21" t="s">
        <v>259</v>
      </c>
      <c r="G898" s="15">
        <v>0.03270417422867513</v>
      </c>
      <c r="H898" s="11" t="s">
        <v>33</v>
      </c>
      <c r="I898" s="16">
        <v>4.896000000000001</v>
      </c>
      <c r="J898" s="11" t="s">
        <v>1384</v>
      </c>
      <c r="K898" s="11" t="s">
        <v>35</v>
      </c>
      <c r="L898" s="11" t="s">
        <v>48</v>
      </c>
      <c r="M898" s="11" t="s">
        <v>28</v>
      </c>
      <c r="N898" s="11" t="s">
        <v>197</v>
      </c>
      <c r="O898" s="11" t="s">
        <v>1029</v>
      </c>
      <c r="P898" s="11" t="s">
        <v>75</v>
      </c>
      <c r="Q898" s="20">
        <v>39961.0</v>
      </c>
      <c r="R898" s="17">
        <f t="shared" si="2"/>
        <v>3.486134156</v>
      </c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>
        <f t="shared" si="8"/>
        <v>4</v>
      </c>
      <c r="AF898" s="19">
        <f t="shared" si="13"/>
        <v>2</v>
      </c>
      <c r="AG898" s="9"/>
      <c r="AH898" s="9"/>
      <c r="AI898" s="9"/>
    </row>
    <row r="899" ht="15.0" customHeight="1">
      <c r="A899" s="11">
        <v>898.0</v>
      </c>
      <c r="B899" s="12">
        <f t="shared" si="151"/>
        <v>39959</v>
      </c>
      <c r="C899" s="13">
        <v>2009.0</v>
      </c>
      <c r="D899" s="11" t="s">
        <v>39</v>
      </c>
      <c r="E899" s="11">
        <v>45.0</v>
      </c>
      <c r="F899" s="21" t="s">
        <v>1273</v>
      </c>
      <c r="G899" s="15">
        <v>0.014697309417040437</v>
      </c>
      <c r="H899" s="11" t="s">
        <v>33</v>
      </c>
      <c r="I899" s="16">
        <v>1.1119999999999999</v>
      </c>
      <c r="J899" s="11" t="s">
        <v>1384</v>
      </c>
      <c r="K899" s="11" t="s">
        <v>35</v>
      </c>
      <c r="L899" s="11" t="s">
        <v>48</v>
      </c>
      <c r="M899" s="11" t="s">
        <v>28</v>
      </c>
      <c r="N899" s="11" t="s">
        <v>236</v>
      </c>
      <c r="O899" s="11" t="s">
        <v>1274</v>
      </c>
      <c r="P899" s="11" t="s">
        <v>38</v>
      </c>
      <c r="Q899" s="20">
        <v>39961.0</v>
      </c>
      <c r="R899" s="17">
        <f t="shared" si="2"/>
        <v>10.33385462</v>
      </c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>
        <f t="shared" si="8"/>
        <v>4</v>
      </c>
      <c r="AF899" s="19">
        <f t="shared" si="13"/>
        <v>2</v>
      </c>
      <c r="AG899" s="9"/>
      <c r="AH899" s="9"/>
      <c r="AI899" s="9"/>
    </row>
    <row r="900" ht="15.0" customHeight="1">
      <c r="A900" s="11">
        <v>899.0</v>
      </c>
      <c r="B900" s="12">
        <f t="shared" ref="B900:B904" si="152">DATE(2012,12,31)-1314</f>
        <v>39960</v>
      </c>
      <c r="C900" s="13">
        <v>2009.0</v>
      </c>
      <c r="D900" s="11" t="s">
        <v>23</v>
      </c>
      <c r="E900" s="11">
        <v>26.0</v>
      </c>
      <c r="F900" s="21" t="s">
        <v>1182</v>
      </c>
      <c r="G900" s="15">
        <v>0.05708038585209006</v>
      </c>
      <c r="H900" s="11" t="s">
        <v>24</v>
      </c>
      <c r="I900" s="16">
        <v>6.224</v>
      </c>
      <c r="J900" s="11" t="s">
        <v>1385</v>
      </c>
      <c r="K900" s="11" t="s">
        <v>61</v>
      </c>
      <c r="L900" s="11" t="s">
        <v>48</v>
      </c>
      <c r="M900" s="11" t="s">
        <v>28</v>
      </c>
      <c r="N900" s="11" t="s">
        <v>42</v>
      </c>
      <c r="O900" s="11" t="s">
        <v>1311</v>
      </c>
      <c r="P900" s="11" t="s">
        <v>38</v>
      </c>
      <c r="Q900" s="20">
        <v>39961.0</v>
      </c>
      <c r="R900" s="17">
        <f t="shared" si="2"/>
        <v>8.369354495</v>
      </c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>
        <f t="shared" si="8"/>
        <v>4</v>
      </c>
      <c r="AF900" s="19">
        <f t="shared" si="13"/>
        <v>4</v>
      </c>
      <c r="AG900" s="9"/>
      <c r="AH900" s="9"/>
      <c r="AI900" s="9"/>
    </row>
    <row r="901" ht="15.0" customHeight="1">
      <c r="A901" s="11">
        <v>900.0</v>
      </c>
      <c r="B901" s="12">
        <f t="shared" si="152"/>
        <v>39960</v>
      </c>
      <c r="C901" s="13">
        <v>2009.0</v>
      </c>
      <c r="D901" s="11" t="s">
        <v>23</v>
      </c>
      <c r="E901" s="11">
        <v>41.0</v>
      </c>
      <c r="F901" s="21" t="s">
        <v>122</v>
      </c>
      <c r="G901" s="15">
        <v>0.024869151467089737</v>
      </c>
      <c r="H901" s="11" t="s">
        <v>33</v>
      </c>
      <c r="I901" s="16">
        <v>3.848</v>
      </c>
      <c r="J901" s="11" t="s">
        <v>1385</v>
      </c>
      <c r="K901" s="11" t="s">
        <v>61</v>
      </c>
      <c r="L901" s="11" t="s">
        <v>48</v>
      </c>
      <c r="M901" s="11" t="s">
        <v>66</v>
      </c>
      <c r="N901" s="11" t="s">
        <v>80</v>
      </c>
      <c r="O901" s="11" t="s">
        <v>899</v>
      </c>
      <c r="P901" s="11" t="s">
        <v>75</v>
      </c>
      <c r="Q901" s="20">
        <v>39961.0</v>
      </c>
      <c r="R901" s="17">
        <f t="shared" si="2"/>
        <v>21.40607239</v>
      </c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>
        <f t="shared" si="8"/>
        <v>4</v>
      </c>
      <c r="AF901" s="19">
        <f t="shared" si="13"/>
        <v>4</v>
      </c>
      <c r="AG901" s="9"/>
      <c r="AH901" s="9"/>
      <c r="AI901" s="9"/>
    </row>
    <row r="902" ht="15.0" customHeight="1">
      <c r="A902" s="11">
        <v>901.0</v>
      </c>
      <c r="B902" s="12">
        <f t="shared" si="152"/>
        <v>39960</v>
      </c>
      <c r="C902" s="13">
        <v>2009.0</v>
      </c>
      <c r="D902" s="11" t="s">
        <v>39</v>
      </c>
      <c r="E902" s="11">
        <v>33.0</v>
      </c>
      <c r="F902" s="21" t="s">
        <v>731</v>
      </c>
      <c r="G902" s="15">
        <v>0.0388680700131081</v>
      </c>
      <c r="H902" s="11" t="s">
        <v>33</v>
      </c>
      <c r="I902" s="16">
        <v>2.3920000000000003</v>
      </c>
      <c r="J902" s="11" t="s">
        <v>1108</v>
      </c>
      <c r="K902" s="11" t="s">
        <v>47</v>
      </c>
      <c r="L902" s="11" t="s">
        <v>27</v>
      </c>
      <c r="M902" s="11" t="s">
        <v>28</v>
      </c>
      <c r="N902" s="11" t="s">
        <v>42</v>
      </c>
      <c r="O902" s="11" t="s">
        <v>1302</v>
      </c>
      <c r="P902" s="11" t="s">
        <v>38</v>
      </c>
      <c r="Q902" s="20">
        <v>39962.0</v>
      </c>
      <c r="R902" s="17">
        <f t="shared" si="2"/>
        <v>48.44873833</v>
      </c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>
        <f t="shared" si="8"/>
        <v>1</v>
      </c>
      <c r="AF902" s="19">
        <f t="shared" si="13"/>
        <v>3</v>
      </c>
      <c r="AG902" s="9"/>
      <c r="AH902" s="9"/>
      <c r="AI902" s="9"/>
    </row>
    <row r="903" ht="15.0" customHeight="1">
      <c r="A903" s="11">
        <v>902.0</v>
      </c>
      <c r="B903" s="12">
        <f t="shared" si="152"/>
        <v>39960</v>
      </c>
      <c r="C903" s="13">
        <v>2009.0</v>
      </c>
      <c r="D903" s="11" t="s">
        <v>39</v>
      </c>
      <c r="E903" s="11">
        <v>1.0</v>
      </c>
      <c r="F903" s="21" t="s">
        <v>933</v>
      </c>
      <c r="G903" s="15">
        <v>0.02601626016260165</v>
      </c>
      <c r="H903" s="11" t="s">
        <v>33</v>
      </c>
      <c r="I903" s="16">
        <v>4.0</v>
      </c>
      <c r="J903" s="11" t="s">
        <v>1108</v>
      </c>
      <c r="K903" s="11" t="s">
        <v>47</v>
      </c>
      <c r="L903" s="11" t="s">
        <v>27</v>
      </c>
      <c r="M903" s="11" t="s">
        <v>66</v>
      </c>
      <c r="N903" s="11" t="s">
        <v>80</v>
      </c>
      <c r="O903" s="11" t="s">
        <v>1026</v>
      </c>
      <c r="P903" s="11" t="s">
        <v>99</v>
      </c>
      <c r="Q903" s="20">
        <v>39962.0</v>
      </c>
      <c r="R903" s="17">
        <f t="shared" si="2"/>
        <v>1.558373984</v>
      </c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>
        <f t="shared" si="8"/>
        <v>1</v>
      </c>
      <c r="AF903" s="19">
        <f t="shared" si="13"/>
        <v>3</v>
      </c>
      <c r="AG903" s="9"/>
      <c r="AH903" s="9"/>
      <c r="AI903" s="9"/>
    </row>
    <row r="904" ht="15.0" customHeight="1">
      <c r="A904" s="11">
        <v>903.0</v>
      </c>
      <c r="B904" s="12">
        <f t="shared" si="152"/>
        <v>39960</v>
      </c>
      <c r="C904" s="13">
        <v>2009.0</v>
      </c>
      <c r="D904" s="11" t="s">
        <v>39</v>
      </c>
      <c r="E904" s="11">
        <v>50.0</v>
      </c>
      <c r="F904" s="21" t="s">
        <v>641</v>
      </c>
      <c r="G904" s="15">
        <v>0.03048730826659432</v>
      </c>
      <c r="H904" s="11" t="s">
        <v>33</v>
      </c>
      <c r="I904" s="16">
        <v>4.24</v>
      </c>
      <c r="J904" s="11" t="s">
        <v>1386</v>
      </c>
      <c r="K904" s="11" t="s">
        <v>83</v>
      </c>
      <c r="L904" s="11" t="s">
        <v>48</v>
      </c>
      <c r="M904" s="11" t="s">
        <v>49</v>
      </c>
      <c r="N904" s="11" t="s">
        <v>73</v>
      </c>
      <c r="O904" s="11" t="s">
        <v>880</v>
      </c>
      <c r="P904" s="11" t="s">
        <v>58</v>
      </c>
      <c r="Q904" s="20">
        <v>39962.0</v>
      </c>
      <c r="R904" s="17">
        <f t="shared" si="2"/>
        <v>21.77525506</v>
      </c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>
        <f t="shared" si="8"/>
        <v>4</v>
      </c>
      <c r="AF904" s="19" t="b">
        <f t="shared" si="13"/>
        <v>0</v>
      </c>
      <c r="AG904" s="9"/>
      <c r="AH904" s="9"/>
      <c r="AI904" s="9"/>
    </row>
    <row r="905" ht="15.0" customHeight="1">
      <c r="A905" s="11">
        <v>904.0</v>
      </c>
      <c r="B905" s="12">
        <f t="shared" ref="B905:B910" si="153">DATE(2012,12,31)-1313</f>
        <v>39961</v>
      </c>
      <c r="C905" s="13">
        <v>2009.0</v>
      </c>
      <c r="D905" s="11" t="s">
        <v>102</v>
      </c>
      <c r="E905" s="11">
        <v>1.0</v>
      </c>
      <c r="F905" s="21" t="s">
        <v>619</v>
      </c>
      <c r="G905" s="15">
        <v>0.07857142857142857</v>
      </c>
      <c r="H905" s="11" t="s">
        <v>33</v>
      </c>
      <c r="I905" s="16">
        <v>3.6</v>
      </c>
      <c r="J905" s="11" t="s">
        <v>1387</v>
      </c>
      <c r="K905" s="11" t="s">
        <v>26</v>
      </c>
      <c r="L905" s="11" t="s">
        <v>41</v>
      </c>
      <c r="M905" s="11" t="s">
        <v>28</v>
      </c>
      <c r="N905" s="11" t="s">
        <v>197</v>
      </c>
      <c r="O905" s="11" t="s">
        <v>1388</v>
      </c>
      <c r="P905" s="11" t="s">
        <v>38</v>
      </c>
      <c r="Q905" s="20">
        <v>39962.0</v>
      </c>
      <c r="R905" s="17">
        <f t="shared" si="2"/>
        <v>5.067857143</v>
      </c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>
        <f t="shared" si="8"/>
        <v>3</v>
      </c>
      <c r="AF905" s="19">
        <f t="shared" si="13"/>
        <v>1</v>
      </c>
      <c r="AG905" s="9"/>
      <c r="AH905" s="9"/>
      <c r="AI905" s="9"/>
    </row>
    <row r="906" ht="15.0" customHeight="1">
      <c r="A906" s="11">
        <v>905.0</v>
      </c>
      <c r="B906" s="12">
        <f t="shared" si="153"/>
        <v>39961</v>
      </c>
      <c r="C906" s="13">
        <v>2009.0</v>
      </c>
      <c r="D906" s="11" t="s">
        <v>102</v>
      </c>
      <c r="E906" s="11">
        <v>42.0</v>
      </c>
      <c r="F906" s="21" t="s">
        <v>461</v>
      </c>
      <c r="G906" s="15">
        <v>0.027099640858329298</v>
      </c>
      <c r="H906" s="11" t="s">
        <v>33</v>
      </c>
      <c r="I906" s="16">
        <v>44.96000000000001</v>
      </c>
      <c r="J906" s="11" t="s">
        <v>1387</v>
      </c>
      <c r="K906" s="11" t="s">
        <v>26</v>
      </c>
      <c r="L906" s="11" t="s">
        <v>41</v>
      </c>
      <c r="M906" s="11" t="s">
        <v>49</v>
      </c>
      <c r="N906" s="11" t="s">
        <v>73</v>
      </c>
      <c r="O906" s="11" t="s">
        <v>463</v>
      </c>
      <c r="P906" s="11" t="s">
        <v>75</v>
      </c>
      <c r="Q906" s="20">
        <v>39963.0</v>
      </c>
      <c r="R906" s="17">
        <f t="shared" si="2"/>
        <v>104.6794087</v>
      </c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>
        <f t="shared" si="8"/>
        <v>3</v>
      </c>
      <c r="AF906" s="19">
        <f t="shared" si="13"/>
        <v>1</v>
      </c>
      <c r="AG906" s="9"/>
      <c r="AH906" s="9"/>
      <c r="AI906" s="9"/>
    </row>
    <row r="907" ht="15.0" customHeight="1">
      <c r="A907" s="11">
        <v>906.0</v>
      </c>
      <c r="B907" s="12">
        <f t="shared" si="153"/>
        <v>39961</v>
      </c>
      <c r="C907" s="13">
        <v>2009.0</v>
      </c>
      <c r="D907" s="11" t="s">
        <v>39</v>
      </c>
      <c r="E907" s="11">
        <v>30.0</v>
      </c>
      <c r="F907" s="21" t="s">
        <v>591</v>
      </c>
      <c r="G907" s="15">
        <v>0.03238232123607618</v>
      </c>
      <c r="H907" s="11" t="s">
        <v>33</v>
      </c>
      <c r="I907" s="16">
        <v>7.5760000000000005</v>
      </c>
      <c r="J907" s="11" t="s">
        <v>392</v>
      </c>
      <c r="K907" s="11" t="s">
        <v>65</v>
      </c>
      <c r="L907" s="11" t="s">
        <v>41</v>
      </c>
      <c r="M907" s="11" t="s">
        <v>28</v>
      </c>
      <c r="N907" s="11" t="s">
        <v>29</v>
      </c>
      <c r="O907" s="11" t="s">
        <v>592</v>
      </c>
      <c r="P907" s="11" t="s">
        <v>38</v>
      </c>
      <c r="Q907" s="20">
        <v>39963.0</v>
      </c>
      <c r="R907" s="17">
        <f t="shared" si="2"/>
        <v>17.44034104</v>
      </c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>
        <f t="shared" si="8"/>
        <v>3</v>
      </c>
      <c r="AF907" s="19">
        <f t="shared" si="13"/>
        <v>5</v>
      </c>
      <c r="AG907" s="9"/>
      <c r="AH907" s="9"/>
      <c r="AI907" s="9"/>
    </row>
    <row r="908" ht="15.0" customHeight="1">
      <c r="A908" s="11">
        <v>907.0</v>
      </c>
      <c r="B908" s="12">
        <f t="shared" si="153"/>
        <v>39961</v>
      </c>
      <c r="C908" s="13">
        <v>2009.0</v>
      </c>
      <c r="D908" s="11" t="s">
        <v>102</v>
      </c>
      <c r="E908" s="11">
        <v>28.0</v>
      </c>
      <c r="F908" s="21" t="s">
        <v>142</v>
      </c>
      <c r="G908" s="15">
        <v>0.012288143876454029</v>
      </c>
      <c r="H908" s="11" t="s">
        <v>33</v>
      </c>
      <c r="I908" s="16">
        <v>5.328</v>
      </c>
      <c r="J908" s="11" t="s">
        <v>407</v>
      </c>
      <c r="K908" s="11" t="s">
        <v>26</v>
      </c>
      <c r="L908" s="11" t="s">
        <v>36</v>
      </c>
      <c r="M908" s="11" t="s">
        <v>28</v>
      </c>
      <c r="N908" s="11" t="s">
        <v>236</v>
      </c>
      <c r="O908" s="11" t="s">
        <v>1389</v>
      </c>
      <c r="P908" s="11" t="s">
        <v>38</v>
      </c>
      <c r="Q908" s="20">
        <v>39963.0</v>
      </c>
      <c r="R908" s="17">
        <f t="shared" si="2"/>
        <v>12.41751346</v>
      </c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>
        <f t="shared" si="8"/>
        <v>2</v>
      </c>
      <c r="AF908" s="19">
        <f t="shared" si="13"/>
        <v>1</v>
      </c>
      <c r="AG908" s="9"/>
      <c r="AH908" s="9"/>
      <c r="AI908" s="9"/>
    </row>
    <row r="909" ht="15.0" customHeight="1">
      <c r="A909" s="11">
        <v>908.0</v>
      </c>
      <c r="B909" s="12">
        <f t="shared" si="153"/>
        <v>39961</v>
      </c>
      <c r="C909" s="13">
        <v>2009.0</v>
      </c>
      <c r="D909" s="11" t="s">
        <v>39</v>
      </c>
      <c r="E909" s="11">
        <v>11.0</v>
      </c>
      <c r="F909" s="21" t="s">
        <v>103</v>
      </c>
      <c r="G909" s="15">
        <v>0.05491803278688519</v>
      </c>
      <c r="H909" s="11" t="s">
        <v>33</v>
      </c>
      <c r="I909" s="16">
        <v>4.28</v>
      </c>
      <c r="J909" s="11" t="s">
        <v>1390</v>
      </c>
      <c r="K909" s="11" t="s">
        <v>26</v>
      </c>
      <c r="L909" s="11" t="s">
        <v>48</v>
      </c>
      <c r="M909" s="11" t="s">
        <v>28</v>
      </c>
      <c r="N909" s="11" t="s">
        <v>56</v>
      </c>
      <c r="O909" s="11" t="s">
        <v>464</v>
      </c>
      <c r="P909" s="11" t="s">
        <v>38</v>
      </c>
      <c r="Q909" s="20">
        <v>39963.0</v>
      </c>
      <c r="R909" s="17">
        <f t="shared" si="2"/>
        <v>3.799229508</v>
      </c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>
        <f t="shared" si="8"/>
        <v>4</v>
      </c>
      <c r="AF909" s="19">
        <f t="shared" si="13"/>
        <v>1</v>
      </c>
      <c r="AG909" s="9"/>
      <c r="AH909" s="9"/>
      <c r="AI909" s="9"/>
    </row>
    <row r="910" ht="15.0" customHeight="1">
      <c r="A910" s="11">
        <v>909.0</v>
      </c>
      <c r="B910" s="12">
        <f t="shared" si="153"/>
        <v>39961</v>
      </c>
      <c r="C910" s="13">
        <v>2009.0</v>
      </c>
      <c r="D910" s="11" t="s">
        <v>44</v>
      </c>
      <c r="E910" s="11">
        <v>18.0</v>
      </c>
      <c r="F910" s="21" t="s">
        <v>336</v>
      </c>
      <c r="G910" s="15">
        <v>0.040505871725384</v>
      </c>
      <c r="H910" s="11" t="s">
        <v>33</v>
      </c>
      <c r="I910" s="16">
        <v>1.816</v>
      </c>
      <c r="J910" s="11" t="s">
        <v>1185</v>
      </c>
      <c r="K910" s="11" t="s">
        <v>83</v>
      </c>
      <c r="L910" s="11" t="s">
        <v>48</v>
      </c>
      <c r="M910" s="11" t="s">
        <v>28</v>
      </c>
      <c r="N910" s="11" t="s">
        <v>62</v>
      </c>
      <c r="O910" s="11" t="s">
        <v>1391</v>
      </c>
      <c r="P910" s="11" t="s">
        <v>58</v>
      </c>
      <c r="Q910" s="20">
        <v>39964.0</v>
      </c>
      <c r="R910" s="17">
        <f t="shared" si="2"/>
        <v>4.302371671</v>
      </c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>
        <f t="shared" si="8"/>
        <v>4</v>
      </c>
      <c r="AF910" s="19" t="b">
        <f t="shared" si="13"/>
        <v>0</v>
      </c>
      <c r="AG910" s="9"/>
      <c r="AH910" s="9"/>
      <c r="AI910" s="9"/>
    </row>
    <row r="911" ht="15.0" customHeight="1">
      <c r="A911" s="11">
        <v>910.0</v>
      </c>
      <c r="B911" s="12">
        <f t="shared" ref="B911:B913" si="154">DATE(2012,12,31)-1312</f>
        <v>39962</v>
      </c>
      <c r="C911" s="13">
        <v>2009.0</v>
      </c>
      <c r="D911" s="11" t="s">
        <v>102</v>
      </c>
      <c r="E911" s="11">
        <v>5.0</v>
      </c>
      <c r="F911" s="21" t="s">
        <v>158</v>
      </c>
      <c r="G911" s="15">
        <v>0.06744525547445251</v>
      </c>
      <c r="H911" s="11" t="s">
        <v>33</v>
      </c>
      <c r="I911" s="16">
        <v>6.328</v>
      </c>
      <c r="J911" s="11" t="s">
        <v>1231</v>
      </c>
      <c r="K911" s="11" t="s">
        <v>65</v>
      </c>
      <c r="L911" s="11" t="s">
        <v>48</v>
      </c>
      <c r="M911" s="11" t="s">
        <v>28</v>
      </c>
      <c r="N911" s="11" t="s">
        <v>56</v>
      </c>
      <c r="O911" s="11" t="s">
        <v>1392</v>
      </c>
      <c r="P911" s="11" t="s">
        <v>38</v>
      </c>
      <c r="Q911" s="20">
        <v>39964.0</v>
      </c>
      <c r="R911" s="17">
        <f t="shared" si="2"/>
        <v>2.585041752</v>
      </c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>
        <f t="shared" si="8"/>
        <v>4</v>
      </c>
      <c r="AF911" s="19">
        <f t="shared" si="13"/>
        <v>5</v>
      </c>
      <c r="AG911" s="9"/>
      <c r="AH911" s="9"/>
      <c r="AI911" s="9"/>
    </row>
    <row r="912" ht="15.0" customHeight="1">
      <c r="A912" s="11">
        <v>911.0</v>
      </c>
      <c r="B912" s="12">
        <f t="shared" si="154"/>
        <v>39962</v>
      </c>
      <c r="C912" s="13">
        <v>2009.0</v>
      </c>
      <c r="D912" s="11" t="s">
        <v>44</v>
      </c>
      <c r="E912" s="11">
        <v>13.0</v>
      </c>
      <c r="F912" s="21" t="s">
        <v>122</v>
      </c>
      <c r="G912" s="15">
        <v>0.006374501992032045</v>
      </c>
      <c r="H912" s="11" t="s">
        <v>33</v>
      </c>
      <c r="I912" s="16">
        <v>2.64</v>
      </c>
      <c r="J912" s="11" t="s">
        <v>1393</v>
      </c>
      <c r="K912" s="11" t="s">
        <v>117</v>
      </c>
      <c r="L912" s="11" t="s">
        <v>36</v>
      </c>
      <c r="M912" s="11" t="s">
        <v>66</v>
      </c>
      <c r="N912" s="11" t="s">
        <v>80</v>
      </c>
      <c r="O912" s="11" t="s">
        <v>848</v>
      </c>
      <c r="P912" s="11" t="s">
        <v>99</v>
      </c>
      <c r="Q912" s="20">
        <v>39964.0</v>
      </c>
      <c r="R912" s="17">
        <f t="shared" si="2"/>
        <v>1.748780876</v>
      </c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>
        <f t="shared" si="8"/>
        <v>2</v>
      </c>
      <c r="AF912" s="19" t="b">
        <f t="shared" si="13"/>
        <v>0</v>
      </c>
      <c r="AG912" s="9"/>
      <c r="AH912" s="9"/>
      <c r="AI912" s="9"/>
    </row>
    <row r="913" ht="15.0" customHeight="1">
      <c r="A913" s="11">
        <v>912.0</v>
      </c>
      <c r="B913" s="12">
        <f t="shared" si="154"/>
        <v>39962</v>
      </c>
      <c r="C913" s="13">
        <v>2009.0</v>
      </c>
      <c r="D913" s="11" t="s">
        <v>32</v>
      </c>
      <c r="E913" s="11">
        <v>31.0</v>
      </c>
      <c r="F913" s="21" t="s">
        <v>1254</v>
      </c>
      <c r="G913" s="15">
        <v>0.015130710324795401</v>
      </c>
      <c r="H913" s="11" t="s">
        <v>33</v>
      </c>
      <c r="I913" s="16">
        <v>5.04</v>
      </c>
      <c r="J913" s="11" t="s">
        <v>882</v>
      </c>
      <c r="K913" s="11" t="s">
        <v>65</v>
      </c>
      <c r="L913" s="11" t="s">
        <v>48</v>
      </c>
      <c r="M913" s="11" t="s">
        <v>66</v>
      </c>
      <c r="N913" s="11" t="s">
        <v>69</v>
      </c>
      <c r="O913" s="11" t="s">
        <v>1394</v>
      </c>
      <c r="P913" s="11" t="s">
        <v>75</v>
      </c>
      <c r="Q913" s="20">
        <v>39965.0</v>
      </c>
      <c r="R913" s="17">
        <f t="shared" si="2"/>
        <v>11.28660206</v>
      </c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>
        <f t="shared" si="8"/>
        <v>4</v>
      </c>
      <c r="AF913" s="19">
        <f t="shared" si="13"/>
        <v>5</v>
      </c>
      <c r="AG913" s="9"/>
      <c r="AH913" s="9"/>
      <c r="AI913" s="9"/>
    </row>
    <row r="914" ht="15.0" customHeight="1">
      <c r="A914" s="11">
        <v>913.0</v>
      </c>
      <c r="B914" s="12">
        <f t="shared" ref="B914:B915" si="155">DATE(2012,12,31)-1311</f>
        <v>39963</v>
      </c>
      <c r="C914" s="13">
        <v>2009.0</v>
      </c>
      <c r="D914" s="11" t="s">
        <v>39</v>
      </c>
      <c r="E914" s="11">
        <v>4.0</v>
      </c>
      <c r="F914" s="21" t="s">
        <v>192</v>
      </c>
      <c r="G914" s="15">
        <v>0.04875749016709344</v>
      </c>
      <c r="H914" s="11" t="s">
        <v>33</v>
      </c>
      <c r="I914" s="16">
        <v>15.991999999999999</v>
      </c>
      <c r="J914" s="11" t="s">
        <v>116</v>
      </c>
      <c r="K914" s="11" t="s">
        <v>117</v>
      </c>
      <c r="L914" s="11" t="s">
        <v>27</v>
      </c>
      <c r="M914" s="11" t="s">
        <v>28</v>
      </c>
      <c r="N914" s="11" t="s">
        <v>42</v>
      </c>
      <c r="O914" s="11" t="s">
        <v>194</v>
      </c>
      <c r="P914" s="11" t="s">
        <v>38</v>
      </c>
      <c r="Q914" s="20">
        <v>39965.0</v>
      </c>
      <c r="R914" s="17">
        <f t="shared" si="2"/>
        <v>175.7021015</v>
      </c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>
        <f t="shared" si="8"/>
        <v>1</v>
      </c>
      <c r="AF914" s="19" t="b">
        <f t="shared" si="13"/>
        <v>0</v>
      </c>
      <c r="AG914" s="9"/>
      <c r="AH914" s="9"/>
      <c r="AI914" s="9"/>
    </row>
    <row r="915" ht="15.0" customHeight="1">
      <c r="A915" s="11">
        <v>914.0</v>
      </c>
      <c r="B915" s="12">
        <f t="shared" si="155"/>
        <v>39963</v>
      </c>
      <c r="C915" s="13">
        <v>2009.0</v>
      </c>
      <c r="D915" s="11" t="s">
        <v>23</v>
      </c>
      <c r="E915" s="11">
        <v>30.0</v>
      </c>
      <c r="F915" s="21" t="s">
        <v>115</v>
      </c>
      <c r="G915" s="15">
        <v>0.04869879328848528</v>
      </c>
      <c r="H915" s="11" t="s">
        <v>33</v>
      </c>
      <c r="I915" s="16">
        <v>7.256</v>
      </c>
      <c r="J915" s="11" t="s">
        <v>116</v>
      </c>
      <c r="K915" s="11" t="s">
        <v>117</v>
      </c>
      <c r="L915" s="11" t="s">
        <v>27</v>
      </c>
      <c r="M915" s="11" t="s">
        <v>28</v>
      </c>
      <c r="N915" s="11" t="s">
        <v>42</v>
      </c>
      <c r="O915" s="11" t="s">
        <v>772</v>
      </c>
      <c r="P915" s="11" t="s">
        <v>38</v>
      </c>
      <c r="Q915" s="20">
        <v>39966.0</v>
      </c>
      <c r="R915" s="17">
        <f t="shared" si="2"/>
        <v>176.9838817</v>
      </c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>
        <f t="shared" si="8"/>
        <v>1</v>
      </c>
      <c r="AF915" s="19" t="b">
        <f t="shared" si="13"/>
        <v>0</v>
      </c>
      <c r="AG915" s="9"/>
      <c r="AH915" s="9"/>
      <c r="AI915" s="9"/>
    </row>
    <row r="916" ht="15.0" customHeight="1">
      <c r="A916" s="11">
        <v>915.0</v>
      </c>
      <c r="B916" s="12">
        <f t="shared" ref="B916:B927" si="156">DATE(2012,12,31)-1309</f>
        <v>39965</v>
      </c>
      <c r="C916" s="13">
        <v>2009.0</v>
      </c>
      <c r="D916" s="11" t="s">
        <v>23</v>
      </c>
      <c r="E916" s="11">
        <v>16.0</v>
      </c>
      <c r="F916" s="21" t="s">
        <v>319</v>
      </c>
      <c r="G916" s="15">
        <v>0.08816000000000003</v>
      </c>
      <c r="H916" s="11" t="s">
        <v>33</v>
      </c>
      <c r="I916" s="16">
        <v>0.792</v>
      </c>
      <c r="J916" s="11" t="s">
        <v>1137</v>
      </c>
      <c r="K916" s="11" t="s">
        <v>83</v>
      </c>
      <c r="L916" s="11" t="s">
        <v>41</v>
      </c>
      <c r="M916" s="11" t="s">
        <v>28</v>
      </c>
      <c r="N916" s="11" t="s">
        <v>188</v>
      </c>
      <c r="O916" s="11" t="s">
        <v>1395</v>
      </c>
      <c r="P916" s="11" t="s">
        <v>38</v>
      </c>
      <c r="Q916" s="20">
        <v>39966.0</v>
      </c>
      <c r="R916" s="17">
        <f t="shared" si="2"/>
        <v>4.01939072</v>
      </c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>
        <f t="shared" si="8"/>
        <v>3</v>
      </c>
      <c r="AF916" s="19" t="b">
        <f t="shared" si="13"/>
        <v>0</v>
      </c>
      <c r="AG916" s="9"/>
      <c r="AH916" s="9"/>
      <c r="AI916" s="9"/>
    </row>
    <row r="917" ht="15.0" customHeight="1">
      <c r="A917" s="11">
        <v>916.0</v>
      </c>
      <c r="B917" s="12">
        <f t="shared" si="156"/>
        <v>39965</v>
      </c>
      <c r="C917" s="13">
        <v>2009.0</v>
      </c>
      <c r="D917" s="11" t="s">
        <v>23</v>
      </c>
      <c r="E917" s="11">
        <v>25.0</v>
      </c>
      <c r="F917" s="21" t="s">
        <v>350</v>
      </c>
      <c r="G917" s="15">
        <v>0.07926879669368948</v>
      </c>
      <c r="H917" s="11" t="s">
        <v>33</v>
      </c>
      <c r="I917" s="16">
        <v>9.232</v>
      </c>
      <c r="J917" s="11" t="s">
        <v>1137</v>
      </c>
      <c r="K917" s="11" t="s">
        <v>83</v>
      </c>
      <c r="L917" s="11" t="s">
        <v>41</v>
      </c>
      <c r="M917" s="11" t="s">
        <v>28</v>
      </c>
      <c r="N917" s="11" t="s">
        <v>56</v>
      </c>
      <c r="O917" s="11" t="s">
        <v>969</v>
      </c>
      <c r="P917" s="11" t="s">
        <v>38</v>
      </c>
      <c r="Q917" s="20">
        <v>39966.0</v>
      </c>
      <c r="R917" s="17">
        <f t="shared" si="2"/>
        <v>45.91502365</v>
      </c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>
        <f t="shared" si="8"/>
        <v>3</v>
      </c>
      <c r="AF917" s="19" t="b">
        <f t="shared" si="13"/>
        <v>0</v>
      </c>
      <c r="AG917" s="9"/>
      <c r="AH917" s="9"/>
      <c r="AI917" s="9"/>
    </row>
    <row r="918" ht="15.0" customHeight="1">
      <c r="A918" s="11">
        <v>917.0</v>
      </c>
      <c r="B918" s="12">
        <f t="shared" si="156"/>
        <v>39965</v>
      </c>
      <c r="C918" s="13">
        <v>2009.0</v>
      </c>
      <c r="D918" s="11" t="s">
        <v>102</v>
      </c>
      <c r="E918" s="11">
        <v>31.0</v>
      </c>
      <c r="F918" s="21" t="s">
        <v>1396</v>
      </c>
      <c r="G918" s="15">
        <v>0.03309762957010848</v>
      </c>
      <c r="H918" s="11" t="s">
        <v>33</v>
      </c>
      <c r="I918" s="16">
        <v>7.024</v>
      </c>
      <c r="J918" s="11" t="s">
        <v>1130</v>
      </c>
      <c r="K918" s="11" t="s">
        <v>61</v>
      </c>
      <c r="L918" s="11" t="s">
        <v>36</v>
      </c>
      <c r="M918" s="11" t="s">
        <v>28</v>
      </c>
      <c r="N918" s="11" t="s">
        <v>29</v>
      </c>
      <c r="O918" s="11" t="s">
        <v>1397</v>
      </c>
      <c r="P918" s="11" t="s">
        <v>38</v>
      </c>
      <c r="Q918" s="20">
        <v>39966.0</v>
      </c>
      <c r="R918" s="17">
        <f t="shared" si="2"/>
        <v>15.93068346</v>
      </c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>
        <f t="shared" si="8"/>
        <v>2</v>
      </c>
      <c r="AF918" s="19">
        <f t="shared" si="13"/>
        <v>4</v>
      </c>
      <c r="AG918" s="9"/>
      <c r="AH918" s="9"/>
      <c r="AI918" s="9"/>
    </row>
    <row r="919" ht="15.0" customHeight="1">
      <c r="A919" s="11">
        <v>918.0</v>
      </c>
      <c r="B919" s="12">
        <f t="shared" si="156"/>
        <v>39965</v>
      </c>
      <c r="C919" s="13">
        <v>2009.0</v>
      </c>
      <c r="D919" s="11" t="s">
        <v>23</v>
      </c>
      <c r="E919" s="11">
        <v>6.0</v>
      </c>
      <c r="F919" s="21" t="s">
        <v>924</v>
      </c>
      <c r="G919" s="15">
        <v>0.045685279187817424</v>
      </c>
      <c r="H919" s="11" t="s">
        <v>33</v>
      </c>
      <c r="I919" s="16">
        <v>1.8</v>
      </c>
      <c r="J919" s="11" t="s">
        <v>843</v>
      </c>
      <c r="K919" s="11" t="s">
        <v>61</v>
      </c>
      <c r="L919" s="11" t="s">
        <v>48</v>
      </c>
      <c r="M919" s="11" t="s">
        <v>28</v>
      </c>
      <c r="N919" s="11" t="s">
        <v>62</v>
      </c>
      <c r="O919" s="11" t="s">
        <v>1398</v>
      </c>
      <c r="P919" s="11" t="s">
        <v>58</v>
      </c>
      <c r="Q919" s="20">
        <v>39966.0</v>
      </c>
      <c r="R919" s="17">
        <f t="shared" si="2"/>
        <v>2.576649746</v>
      </c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>
        <f t="shared" si="8"/>
        <v>4</v>
      </c>
      <c r="AF919" s="19">
        <f t="shared" si="13"/>
        <v>4</v>
      </c>
      <c r="AG919" s="9"/>
      <c r="AH919" s="9"/>
      <c r="AI919" s="9"/>
    </row>
    <row r="920" ht="15.0" customHeight="1">
      <c r="A920" s="11">
        <v>919.0</v>
      </c>
      <c r="B920" s="12">
        <f t="shared" si="156"/>
        <v>39965</v>
      </c>
      <c r="C920" s="13">
        <v>2009.0</v>
      </c>
      <c r="D920" s="11" t="s">
        <v>23</v>
      </c>
      <c r="E920" s="11">
        <v>34.0</v>
      </c>
      <c r="F920" s="21" t="s">
        <v>1399</v>
      </c>
      <c r="G920" s="15">
        <v>0.06905499288524335</v>
      </c>
      <c r="H920" s="11" t="s">
        <v>33</v>
      </c>
      <c r="I920" s="16">
        <v>28.0</v>
      </c>
      <c r="J920" s="11" t="s">
        <v>843</v>
      </c>
      <c r="K920" s="11" t="s">
        <v>61</v>
      </c>
      <c r="L920" s="11" t="s">
        <v>48</v>
      </c>
      <c r="M920" s="11" t="s">
        <v>28</v>
      </c>
      <c r="N920" s="11" t="s">
        <v>29</v>
      </c>
      <c r="O920" s="11" t="s">
        <v>1400</v>
      </c>
      <c r="P920" s="11" t="s">
        <v>31</v>
      </c>
      <c r="Q920" s="20">
        <v>39966.0</v>
      </c>
      <c r="R920" s="17">
        <f t="shared" si="2"/>
        <v>153.6059262</v>
      </c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>
        <f t="shared" si="8"/>
        <v>4</v>
      </c>
      <c r="AF920" s="19">
        <f t="shared" si="13"/>
        <v>4</v>
      </c>
      <c r="AG920" s="9"/>
      <c r="AH920" s="9"/>
      <c r="AI920" s="9"/>
    </row>
    <row r="921" ht="15.0" customHeight="1">
      <c r="A921" s="11">
        <v>920.0</v>
      </c>
      <c r="B921" s="12">
        <f t="shared" si="156"/>
        <v>39965</v>
      </c>
      <c r="C921" s="13">
        <v>2009.0</v>
      </c>
      <c r="D921" s="11" t="s">
        <v>32</v>
      </c>
      <c r="E921" s="11">
        <v>41.0</v>
      </c>
      <c r="F921" s="21" t="s">
        <v>115</v>
      </c>
      <c r="G921" s="15">
        <v>0.03091559982878704</v>
      </c>
      <c r="H921" s="11" t="s">
        <v>45</v>
      </c>
      <c r="I921" s="16">
        <v>24.0</v>
      </c>
      <c r="J921" s="11" t="s">
        <v>1401</v>
      </c>
      <c r="K921" s="11" t="s">
        <v>83</v>
      </c>
      <c r="L921" s="11" t="s">
        <v>41</v>
      </c>
      <c r="M921" s="11" t="s">
        <v>49</v>
      </c>
      <c r="N921" s="11" t="s">
        <v>50</v>
      </c>
      <c r="O921" s="11" t="s">
        <v>1402</v>
      </c>
      <c r="P921" s="11" t="s">
        <v>52</v>
      </c>
      <c r="Q921" s="20">
        <v>39967.0</v>
      </c>
      <c r="R921" s="17">
        <f t="shared" si="2"/>
        <v>153.9875112</v>
      </c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>
        <f t="shared" si="8"/>
        <v>3</v>
      </c>
      <c r="AF921" s="19" t="b">
        <f t="shared" si="13"/>
        <v>0</v>
      </c>
      <c r="AG921" s="9"/>
      <c r="AH921" s="9"/>
      <c r="AI921" s="9"/>
    </row>
    <row r="922" ht="15.0" customHeight="1">
      <c r="A922" s="11">
        <v>921.0</v>
      </c>
      <c r="B922" s="12">
        <f t="shared" si="156"/>
        <v>39965</v>
      </c>
      <c r="C922" s="13">
        <v>2009.0</v>
      </c>
      <c r="D922" s="11" t="s">
        <v>32</v>
      </c>
      <c r="E922" s="11">
        <v>32.0</v>
      </c>
      <c r="F922" s="21" t="s">
        <v>1273</v>
      </c>
      <c r="G922" s="15">
        <v>0.016289911851126406</v>
      </c>
      <c r="H922" s="11" t="s">
        <v>33</v>
      </c>
      <c r="I922" s="16">
        <v>2.984</v>
      </c>
      <c r="J922" s="11" t="s">
        <v>1401</v>
      </c>
      <c r="K922" s="11" t="s">
        <v>83</v>
      </c>
      <c r="L922" s="11" t="s">
        <v>41</v>
      </c>
      <c r="M922" s="11" t="s">
        <v>49</v>
      </c>
      <c r="N922" s="11" t="s">
        <v>73</v>
      </c>
      <c r="O922" s="11" t="s">
        <v>1403</v>
      </c>
      <c r="P922" s="11" t="s">
        <v>99</v>
      </c>
      <c r="Q922" s="20">
        <v>39967.0</v>
      </c>
      <c r="R922" s="17">
        <f t="shared" si="2"/>
        <v>8.180533093</v>
      </c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>
        <f t="shared" si="8"/>
        <v>3</v>
      </c>
      <c r="AF922" s="19" t="b">
        <f t="shared" si="13"/>
        <v>0</v>
      </c>
      <c r="AG922" s="9"/>
      <c r="AH922" s="9"/>
      <c r="AI922" s="9"/>
    </row>
    <row r="923" ht="15.0" customHeight="1">
      <c r="A923" s="11">
        <v>922.0</v>
      </c>
      <c r="B923" s="12">
        <f t="shared" si="156"/>
        <v>39965</v>
      </c>
      <c r="C923" s="13">
        <v>2009.0</v>
      </c>
      <c r="D923" s="11" t="s">
        <v>39</v>
      </c>
      <c r="E923" s="11">
        <v>11.0</v>
      </c>
      <c r="F923" s="21" t="s">
        <v>1084</v>
      </c>
      <c r="G923" s="15">
        <v>0.09668488160291426</v>
      </c>
      <c r="H923" s="11" t="s">
        <v>33</v>
      </c>
      <c r="I923" s="16">
        <v>1.192</v>
      </c>
      <c r="J923" s="11" t="s">
        <v>181</v>
      </c>
      <c r="K923" s="11" t="s">
        <v>65</v>
      </c>
      <c r="L923" s="11" t="s">
        <v>48</v>
      </c>
      <c r="M923" s="11" t="s">
        <v>28</v>
      </c>
      <c r="N923" s="11" t="s">
        <v>42</v>
      </c>
      <c r="O923" s="11" t="s">
        <v>1404</v>
      </c>
      <c r="P923" s="11" t="s">
        <v>38</v>
      </c>
      <c r="Q923" s="20">
        <v>39967.0</v>
      </c>
      <c r="R923" s="17">
        <f t="shared" si="2"/>
        <v>4.794796648</v>
      </c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>
        <f t="shared" si="8"/>
        <v>4</v>
      </c>
      <c r="AF923" s="19">
        <f t="shared" si="13"/>
        <v>5</v>
      </c>
      <c r="AG923" s="9"/>
      <c r="AH923" s="9"/>
      <c r="AI923" s="9"/>
    </row>
    <row r="924" ht="15.0" customHeight="1">
      <c r="A924" s="11">
        <v>923.0</v>
      </c>
      <c r="B924" s="12">
        <f t="shared" si="156"/>
        <v>39965</v>
      </c>
      <c r="C924" s="13">
        <v>2009.0</v>
      </c>
      <c r="D924" s="11" t="s">
        <v>39</v>
      </c>
      <c r="E924" s="11">
        <v>30.0</v>
      </c>
      <c r="F924" s="21" t="s">
        <v>758</v>
      </c>
      <c r="G924" s="15">
        <v>0.060671834625322975</v>
      </c>
      <c r="H924" s="11" t="s">
        <v>33</v>
      </c>
      <c r="I924" s="16">
        <v>1.056</v>
      </c>
      <c r="J924" s="11" t="s">
        <v>181</v>
      </c>
      <c r="K924" s="11" t="s">
        <v>65</v>
      </c>
      <c r="L924" s="11" t="s">
        <v>48</v>
      </c>
      <c r="M924" s="11" t="s">
        <v>28</v>
      </c>
      <c r="N924" s="11" t="s">
        <v>442</v>
      </c>
      <c r="O924" s="11" t="s">
        <v>1304</v>
      </c>
      <c r="P924" s="11" t="s">
        <v>58</v>
      </c>
      <c r="Q924" s="20">
        <v>39967.0</v>
      </c>
      <c r="R924" s="17">
        <f t="shared" si="2"/>
        <v>6.616627597</v>
      </c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>
        <f t="shared" si="8"/>
        <v>4</v>
      </c>
      <c r="AF924" s="19">
        <f t="shared" si="13"/>
        <v>5</v>
      </c>
      <c r="AG924" s="9"/>
      <c r="AH924" s="9"/>
      <c r="AI924" s="9"/>
    </row>
    <row r="925" ht="15.0" customHeight="1">
      <c r="A925" s="11">
        <v>924.0</v>
      </c>
      <c r="B925" s="12">
        <f t="shared" si="156"/>
        <v>39965</v>
      </c>
      <c r="C925" s="13">
        <v>2009.0</v>
      </c>
      <c r="D925" s="11" t="s">
        <v>32</v>
      </c>
      <c r="E925" s="11">
        <v>4.0</v>
      </c>
      <c r="F925" s="21" t="s">
        <v>1166</v>
      </c>
      <c r="G925" s="15">
        <v>0.055609756097561004</v>
      </c>
      <c r="H925" s="11" t="s">
        <v>24</v>
      </c>
      <c r="I925" s="16">
        <v>0.5599999999999999</v>
      </c>
      <c r="J925" s="11" t="s">
        <v>1405</v>
      </c>
      <c r="K925" s="11" t="s">
        <v>35</v>
      </c>
      <c r="L925" s="11" t="s">
        <v>48</v>
      </c>
      <c r="M925" s="11" t="s">
        <v>28</v>
      </c>
      <c r="N925" s="11" t="s">
        <v>216</v>
      </c>
      <c r="O925" s="11" t="s">
        <v>1406</v>
      </c>
      <c r="P925" s="11" t="s">
        <v>58</v>
      </c>
      <c r="Q925" s="20">
        <v>39967.0</v>
      </c>
      <c r="R925" s="17">
        <f t="shared" si="2"/>
        <v>1.076604878</v>
      </c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>
        <f t="shared" si="8"/>
        <v>4</v>
      </c>
      <c r="AF925" s="19">
        <f t="shared" si="13"/>
        <v>2</v>
      </c>
      <c r="AG925" s="9"/>
      <c r="AH925" s="9"/>
      <c r="AI925" s="9"/>
    </row>
    <row r="926" ht="15.0" customHeight="1">
      <c r="A926" s="11">
        <v>925.0</v>
      </c>
      <c r="B926" s="12">
        <f t="shared" si="156"/>
        <v>39965</v>
      </c>
      <c r="C926" s="13">
        <v>2009.0</v>
      </c>
      <c r="D926" s="11" t="s">
        <v>32</v>
      </c>
      <c r="E926" s="11">
        <v>7.0</v>
      </c>
      <c r="F926" s="21" t="s">
        <v>933</v>
      </c>
      <c r="G926" s="15">
        <v>0.04059672291513809</v>
      </c>
      <c r="H926" s="11" t="s">
        <v>24</v>
      </c>
      <c r="I926" s="16">
        <v>1.0</v>
      </c>
      <c r="J926" s="11" t="s">
        <v>1405</v>
      </c>
      <c r="K926" s="11" t="s">
        <v>35</v>
      </c>
      <c r="L926" s="11" t="s">
        <v>48</v>
      </c>
      <c r="M926" s="11" t="s">
        <v>66</v>
      </c>
      <c r="N926" s="11" t="s">
        <v>80</v>
      </c>
      <c r="O926" s="11" t="s">
        <v>1407</v>
      </c>
      <c r="P926" s="11" t="s">
        <v>99</v>
      </c>
      <c r="Q926" s="20">
        <v>39967.0</v>
      </c>
      <c r="R926" s="17">
        <f t="shared" si="2"/>
        <v>15.9260944</v>
      </c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>
        <f t="shared" si="8"/>
        <v>4</v>
      </c>
      <c r="AF926" s="19">
        <f t="shared" si="13"/>
        <v>2</v>
      </c>
      <c r="AG926" s="9"/>
      <c r="AH926" s="9"/>
      <c r="AI926" s="9"/>
    </row>
    <row r="927" ht="15.0" customHeight="1">
      <c r="A927" s="11">
        <v>926.0</v>
      </c>
      <c r="B927" s="12">
        <f t="shared" si="156"/>
        <v>39965</v>
      </c>
      <c r="C927" s="13">
        <v>2009.0</v>
      </c>
      <c r="D927" s="11" t="s">
        <v>39</v>
      </c>
      <c r="E927" s="11">
        <v>17.0</v>
      </c>
      <c r="F927" s="21" t="s">
        <v>299</v>
      </c>
      <c r="G927" s="15">
        <v>0.09468664850136244</v>
      </c>
      <c r="H927" s="11" t="s">
        <v>33</v>
      </c>
      <c r="I927" s="16">
        <v>2.0</v>
      </c>
      <c r="J927" s="11" t="s">
        <v>429</v>
      </c>
      <c r="K927" s="11" t="s">
        <v>83</v>
      </c>
      <c r="L927" s="11" t="s">
        <v>48</v>
      </c>
      <c r="M927" s="11" t="s">
        <v>28</v>
      </c>
      <c r="N927" s="11" t="s">
        <v>236</v>
      </c>
      <c r="O927" s="11" t="s">
        <v>1408</v>
      </c>
      <c r="P927" s="11" t="s">
        <v>38</v>
      </c>
      <c r="Q927" s="20">
        <v>39967.0</v>
      </c>
      <c r="R927" s="17">
        <f t="shared" si="2"/>
        <v>12.58385559</v>
      </c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>
        <f t="shared" si="8"/>
        <v>4</v>
      </c>
      <c r="AF927" s="19" t="b">
        <f t="shared" si="13"/>
        <v>0</v>
      </c>
      <c r="AG927" s="9"/>
      <c r="AH927" s="9"/>
      <c r="AI927" s="9"/>
    </row>
    <row r="928" ht="15.0" customHeight="1">
      <c r="A928" s="11">
        <v>927.0</v>
      </c>
      <c r="B928" s="12">
        <f t="shared" ref="B928:B933" si="157">DATE(2012,12,31)-1308</f>
        <v>39966</v>
      </c>
      <c r="C928" s="13">
        <v>2009.0</v>
      </c>
      <c r="D928" s="11" t="s">
        <v>102</v>
      </c>
      <c r="E928" s="11">
        <v>21.0</v>
      </c>
      <c r="F928" s="21" t="s">
        <v>342</v>
      </c>
      <c r="G928" s="15">
        <v>0.011907520484317119</v>
      </c>
      <c r="H928" s="11" t="s">
        <v>45</v>
      </c>
      <c r="I928" s="16">
        <v>23.368000000000002</v>
      </c>
      <c r="J928" s="11" t="s">
        <v>1409</v>
      </c>
      <c r="K928" s="11" t="s">
        <v>26</v>
      </c>
      <c r="L928" s="11" t="s">
        <v>48</v>
      </c>
      <c r="M928" s="11" t="s">
        <v>49</v>
      </c>
      <c r="N928" s="11" t="s">
        <v>85</v>
      </c>
      <c r="O928" s="11" t="s">
        <v>343</v>
      </c>
      <c r="P928" s="11" t="s">
        <v>87</v>
      </c>
      <c r="Q928" s="20">
        <v>39967.0</v>
      </c>
      <c r="R928" s="17">
        <f t="shared" si="2"/>
        <v>45.08863603</v>
      </c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>
        <f t="shared" si="8"/>
        <v>4</v>
      </c>
      <c r="AF928" s="19">
        <f t="shared" si="13"/>
        <v>1</v>
      </c>
      <c r="AG928" s="9"/>
      <c r="AH928" s="9"/>
      <c r="AI928" s="9"/>
    </row>
    <row r="929" ht="15.0" customHeight="1">
      <c r="A929" s="11">
        <v>928.0</v>
      </c>
      <c r="B929" s="12">
        <f t="shared" si="157"/>
        <v>39966</v>
      </c>
      <c r="C929" s="13">
        <v>2009.0</v>
      </c>
      <c r="D929" s="11" t="s">
        <v>23</v>
      </c>
      <c r="E929" s="11">
        <v>50.0</v>
      </c>
      <c r="F929" s="21" t="s">
        <v>413</v>
      </c>
      <c r="G929" s="15">
        <v>0.09052946679139388</v>
      </c>
      <c r="H929" s="11" t="s">
        <v>33</v>
      </c>
      <c r="I929" s="16">
        <v>1.1119999999999999</v>
      </c>
      <c r="J929" s="11" t="s">
        <v>1410</v>
      </c>
      <c r="K929" s="11" t="s">
        <v>83</v>
      </c>
      <c r="L929" s="11" t="s">
        <v>41</v>
      </c>
      <c r="M929" s="11" t="s">
        <v>28</v>
      </c>
      <c r="N929" s="11" t="s">
        <v>236</v>
      </c>
      <c r="O929" s="11" t="s">
        <v>809</v>
      </c>
      <c r="P929" s="11" t="s">
        <v>38</v>
      </c>
      <c r="Q929" s="20">
        <v>39967.0</v>
      </c>
      <c r="R929" s="17">
        <f t="shared" si="2"/>
        <v>44.00746016</v>
      </c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>
        <f t="shared" si="8"/>
        <v>3</v>
      </c>
      <c r="AF929" s="19" t="b">
        <f t="shared" si="13"/>
        <v>0</v>
      </c>
      <c r="AG929" s="9"/>
      <c r="AH929" s="9"/>
      <c r="AI929" s="9"/>
    </row>
    <row r="930" ht="15.0" customHeight="1">
      <c r="A930" s="11">
        <v>929.0</v>
      </c>
      <c r="B930" s="12">
        <f t="shared" si="157"/>
        <v>39966</v>
      </c>
      <c r="C930" s="13">
        <v>2009.0</v>
      </c>
      <c r="D930" s="11" t="s">
        <v>23</v>
      </c>
      <c r="E930" s="11">
        <v>15.0</v>
      </c>
      <c r="F930" s="21" t="s">
        <v>865</v>
      </c>
      <c r="G930" s="15">
        <v>0.04854405025763659</v>
      </c>
      <c r="H930" s="11" t="s">
        <v>33</v>
      </c>
      <c r="I930" s="16">
        <v>6.464</v>
      </c>
      <c r="J930" s="11" t="s">
        <v>1410</v>
      </c>
      <c r="K930" s="11" t="s">
        <v>83</v>
      </c>
      <c r="L930" s="11" t="s">
        <v>41</v>
      </c>
      <c r="M930" s="11" t="s">
        <v>66</v>
      </c>
      <c r="N930" s="11" t="s">
        <v>80</v>
      </c>
      <c r="O930" s="11" t="s">
        <v>1411</v>
      </c>
      <c r="P930" s="11" t="s">
        <v>38</v>
      </c>
      <c r="Q930" s="20">
        <v>39967.0</v>
      </c>
      <c r="R930" s="17">
        <f t="shared" si="2"/>
        <v>146.6012842</v>
      </c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>
        <f t="shared" si="8"/>
        <v>3</v>
      </c>
      <c r="AF930" s="19" t="b">
        <f t="shared" si="13"/>
        <v>0</v>
      </c>
      <c r="AG930" s="9"/>
      <c r="AH930" s="9"/>
      <c r="AI930" s="9"/>
    </row>
    <row r="931" ht="15.0" customHeight="1">
      <c r="A931" s="11">
        <v>930.0</v>
      </c>
      <c r="B931" s="12">
        <f t="shared" si="157"/>
        <v>39966</v>
      </c>
      <c r="C931" s="13">
        <v>2009.0</v>
      </c>
      <c r="D931" s="11" t="s">
        <v>39</v>
      </c>
      <c r="E931" s="11">
        <v>34.0</v>
      </c>
      <c r="F931" s="21" t="s">
        <v>350</v>
      </c>
      <c r="G931" s="15">
        <v>0.03359369225083162</v>
      </c>
      <c r="H931" s="11" t="s">
        <v>33</v>
      </c>
      <c r="I931" s="16">
        <v>9.232</v>
      </c>
      <c r="J931" s="11" t="s">
        <v>326</v>
      </c>
      <c r="K931" s="11" t="s">
        <v>35</v>
      </c>
      <c r="L931" s="11" t="s">
        <v>36</v>
      </c>
      <c r="M931" s="11" t="s">
        <v>28</v>
      </c>
      <c r="N931" s="11" t="s">
        <v>56</v>
      </c>
      <c r="O931" s="11" t="s">
        <v>969</v>
      </c>
      <c r="P931" s="11" t="s">
        <v>38</v>
      </c>
      <c r="Q931" s="20">
        <v>39967.0</v>
      </c>
      <c r="R931" s="17">
        <f t="shared" si="2"/>
        <v>26.3519672</v>
      </c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>
        <f t="shared" si="8"/>
        <v>2</v>
      </c>
      <c r="AF931" s="19">
        <f t="shared" si="13"/>
        <v>2</v>
      </c>
      <c r="AG931" s="9"/>
      <c r="AH931" s="9"/>
      <c r="AI931" s="9"/>
    </row>
    <row r="932" ht="15.0" customHeight="1">
      <c r="A932" s="11">
        <v>931.0</v>
      </c>
      <c r="B932" s="12">
        <f t="shared" si="157"/>
        <v>39966</v>
      </c>
      <c r="C932" s="13">
        <v>2009.0</v>
      </c>
      <c r="D932" s="11" t="s">
        <v>39</v>
      </c>
      <c r="E932" s="11">
        <v>2.0</v>
      </c>
      <c r="F932" s="21" t="s">
        <v>573</v>
      </c>
      <c r="G932" s="15">
        <v>0.10498194945848367</v>
      </c>
      <c r="H932" s="11" t="s">
        <v>33</v>
      </c>
      <c r="I932" s="16">
        <v>4.992000000000001</v>
      </c>
      <c r="J932" s="11" t="s">
        <v>326</v>
      </c>
      <c r="K932" s="11" t="s">
        <v>35</v>
      </c>
      <c r="L932" s="11" t="s">
        <v>36</v>
      </c>
      <c r="M932" s="11" t="s">
        <v>66</v>
      </c>
      <c r="N932" s="11" t="s">
        <v>69</v>
      </c>
      <c r="O932" s="11" t="s">
        <v>1412</v>
      </c>
      <c r="P932" s="11" t="s">
        <v>75</v>
      </c>
      <c r="Q932" s="20">
        <v>39968.0</v>
      </c>
      <c r="R932" s="17">
        <f t="shared" si="2"/>
        <v>2.602712491</v>
      </c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>
        <f t="shared" si="8"/>
        <v>2</v>
      </c>
      <c r="AF932" s="19">
        <f t="shared" si="13"/>
        <v>2</v>
      </c>
      <c r="AG932" s="9"/>
      <c r="AH932" s="9"/>
      <c r="AI932" s="9"/>
    </row>
    <row r="933" ht="15.0" customHeight="1">
      <c r="A933" s="11">
        <v>932.0</v>
      </c>
      <c r="B933" s="12">
        <f t="shared" si="157"/>
        <v>39966</v>
      </c>
      <c r="C933" s="13">
        <v>2009.0</v>
      </c>
      <c r="D933" s="11" t="s">
        <v>39</v>
      </c>
      <c r="E933" s="11">
        <v>17.0</v>
      </c>
      <c r="F933" s="21" t="s">
        <v>810</v>
      </c>
      <c r="G933" s="15">
        <v>0.05766416040100246</v>
      </c>
      <c r="H933" s="11" t="s">
        <v>33</v>
      </c>
      <c r="I933" s="16">
        <v>2.696</v>
      </c>
      <c r="J933" s="11" t="s">
        <v>326</v>
      </c>
      <c r="K933" s="11" t="s">
        <v>35</v>
      </c>
      <c r="L933" s="11" t="s">
        <v>36</v>
      </c>
      <c r="M933" s="11" t="s">
        <v>28</v>
      </c>
      <c r="N933" s="11" t="s">
        <v>442</v>
      </c>
      <c r="O933" s="11" t="s">
        <v>1111</v>
      </c>
      <c r="P933" s="11" t="s">
        <v>99</v>
      </c>
      <c r="Q933" s="20">
        <v>39968.0</v>
      </c>
      <c r="R933" s="17">
        <f t="shared" si="2"/>
        <v>10.8406315</v>
      </c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>
        <f t="shared" si="8"/>
        <v>2</v>
      </c>
      <c r="AF933" s="19">
        <f t="shared" si="13"/>
        <v>2</v>
      </c>
      <c r="AG933" s="9"/>
      <c r="AH933" s="9"/>
      <c r="AI933" s="9"/>
    </row>
    <row r="934" ht="15.0" customHeight="1">
      <c r="A934" s="11">
        <v>933.0</v>
      </c>
      <c r="B934" s="12">
        <f t="shared" ref="B934:B943" si="158">DATE(2012,12,31)-1307</f>
        <v>39967</v>
      </c>
      <c r="C934" s="13">
        <v>2009.0</v>
      </c>
      <c r="D934" s="11" t="s">
        <v>23</v>
      </c>
      <c r="E934" s="11">
        <v>42.0</v>
      </c>
      <c r="F934" s="21" t="s">
        <v>130</v>
      </c>
      <c r="G934" s="15">
        <v>0.0839769046613154</v>
      </c>
      <c r="H934" s="11" t="s">
        <v>33</v>
      </c>
      <c r="I934" s="16">
        <v>3.136</v>
      </c>
      <c r="J934" s="11" t="s">
        <v>1008</v>
      </c>
      <c r="K934" s="11" t="s">
        <v>65</v>
      </c>
      <c r="L934" s="11" t="s">
        <v>48</v>
      </c>
      <c r="M934" s="11" t="s">
        <v>49</v>
      </c>
      <c r="N934" s="11" t="s">
        <v>73</v>
      </c>
      <c r="O934" s="11" t="s">
        <v>877</v>
      </c>
      <c r="P934" s="11" t="s">
        <v>99</v>
      </c>
      <c r="Q934" s="20">
        <v>39968.0</v>
      </c>
      <c r="R934" s="17">
        <f t="shared" si="2"/>
        <v>109.2485784</v>
      </c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>
        <f t="shared" si="8"/>
        <v>4</v>
      </c>
      <c r="AF934" s="19">
        <f t="shared" si="13"/>
        <v>5</v>
      </c>
      <c r="AG934" s="9"/>
      <c r="AH934" s="9"/>
      <c r="AI934" s="9"/>
    </row>
    <row r="935" ht="15.0" customHeight="1">
      <c r="A935" s="11">
        <v>934.0</v>
      </c>
      <c r="B935" s="12">
        <f t="shared" si="158"/>
        <v>39967</v>
      </c>
      <c r="C935" s="13">
        <v>2009.0</v>
      </c>
      <c r="D935" s="11" t="s">
        <v>23</v>
      </c>
      <c r="E935" s="11">
        <v>28.0</v>
      </c>
      <c r="F935" s="21" t="s">
        <v>277</v>
      </c>
      <c r="G935" s="15">
        <v>0.07617107942973513</v>
      </c>
      <c r="H935" s="11" t="s">
        <v>24</v>
      </c>
      <c r="I935" s="16">
        <v>0.5599999999999999</v>
      </c>
      <c r="J935" s="11" t="s">
        <v>1008</v>
      </c>
      <c r="K935" s="11" t="s">
        <v>65</v>
      </c>
      <c r="L935" s="11" t="s">
        <v>48</v>
      </c>
      <c r="M935" s="11" t="s">
        <v>28</v>
      </c>
      <c r="N935" s="11" t="s">
        <v>62</v>
      </c>
      <c r="O935" s="11" t="s">
        <v>1413</v>
      </c>
      <c r="P935" s="11" t="s">
        <v>58</v>
      </c>
      <c r="Q935" s="20">
        <v>39969.0</v>
      </c>
      <c r="R935" s="17">
        <f t="shared" si="2"/>
        <v>3.455120163</v>
      </c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>
        <f t="shared" si="8"/>
        <v>4</v>
      </c>
      <c r="AF935" s="19">
        <f t="shared" si="13"/>
        <v>5</v>
      </c>
      <c r="AG935" s="9"/>
      <c r="AH935" s="9"/>
      <c r="AI935" s="9"/>
    </row>
    <row r="936" ht="15.0" customHeight="1">
      <c r="A936" s="11">
        <v>935.0</v>
      </c>
      <c r="B936" s="12">
        <f t="shared" si="158"/>
        <v>39967</v>
      </c>
      <c r="C936" s="13">
        <v>2009.0</v>
      </c>
      <c r="D936" s="11" t="s">
        <v>102</v>
      </c>
      <c r="E936" s="11">
        <v>23.0</v>
      </c>
      <c r="F936" s="21" t="s">
        <v>128</v>
      </c>
      <c r="G936" s="15">
        <v>0.03032413286105714</v>
      </c>
      <c r="H936" s="11" t="s">
        <v>33</v>
      </c>
      <c r="I936" s="16">
        <v>6.152000000000001</v>
      </c>
      <c r="J936" s="11" t="s">
        <v>1414</v>
      </c>
      <c r="K936" s="11" t="s">
        <v>35</v>
      </c>
      <c r="L936" s="11" t="s">
        <v>27</v>
      </c>
      <c r="M936" s="11" t="s">
        <v>66</v>
      </c>
      <c r="N936" s="11" t="s">
        <v>80</v>
      </c>
      <c r="O936" s="11" t="s">
        <v>589</v>
      </c>
      <c r="P936" s="11" t="s">
        <v>38</v>
      </c>
      <c r="Q936" s="20">
        <v>39969.0</v>
      </c>
      <c r="R936" s="17">
        <f t="shared" si="2"/>
        <v>87.99614559</v>
      </c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>
        <f t="shared" si="8"/>
        <v>1</v>
      </c>
      <c r="AF936" s="19">
        <f t="shared" si="13"/>
        <v>2</v>
      </c>
      <c r="AG936" s="9"/>
      <c r="AH936" s="9"/>
      <c r="AI936" s="9"/>
    </row>
    <row r="937" ht="15.0" customHeight="1">
      <c r="A937" s="11">
        <v>936.0</v>
      </c>
      <c r="B937" s="12">
        <f t="shared" si="158"/>
        <v>39967</v>
      </c>
      <c r="C937" s="13">
        <v>2009.0</v>
      </c>
      <c r="D937" s="11" t="s">
        <v>44</v>
      </c>
      <c r="E937" s="11">
        <v>46.0</v>
      </c>
      <c r="F937" s="21" t="s">
        <v>577</v>
      </c>
      <c r="G937" s="15">
        <v>0.07513037312224945</v>
      </c>
      <c r="H937" s="11" t="s">
        <v>45</v>
      </c>
      <c r="I937" s="16">
        <v>53.336000000000006</v>
      </c>
      <c r="J937" s="11" t="s">
        <v>1415</v>
      </c>
      <c r="K937" s="11" t="s">
        <v>65</v>
      </c>
      <c r="L937" s="11" t="s">
        <v>36</v>
      </c>
      <c r="M937" s="11" t="s">
        <v>49</v>
      </c>
      <c r="N937" s="11" t="s">
        <v>85</v>
      </c>
      <c r="O937" s="11" t="s">
        <v>579</v>
      </c>
      <c r="P937" s="11" t="s">
        <v>87</v>
      </c>
      <c r="Q937" s="20">
        <v>39969.0</v>
      </c>
      <c r="R937" s="17">
        <f t="shared" si="2"/>
        <v>901.529617</v>
      </c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>
        <f t="shared" si="8"/>
        <v>2</v>
      </c>
      <c r="AF937" s="19">
        <f t="shared" si="13"/>
        <v>5</v>
      </c>
      <c r="AG937" s="9"/>
      <c r="AH937" s="9"/>
      <c r="AI937" s="9"/>
    </row>
    <row r="938" ht="15.0" customHeight="1">
      <c r="A938" s="11">
        <v>937.0</v>
      </c>
      <c r="B938" s="12">
        <f t="shared" si="158"/>
        <v>39967</v>
      </c>
      <c r="C938" s="13">
        <v>2009.0</v>
      </c>
      <c r="D938" s="11" t="s">
        <v>32</v>
      </c>
      <c r="E938" s="11">
        <v>45.0</v>
      </c>
      <c r="F938" s="21" t="s">
        <v>210</v>
      </c>
      <c r="G938" s="15">
        <v>0.0863813229571984</v>
      </c>
      <c r="H938" s="11" t="s">
        <v>33</v>
      </c>
      <c r="I938" s="16">
        <v>0.4</v>
      </c>
      <c r="J938" s="11" t="s">
        <v>232</v>
      </c>
      <c r="K938" s="11" t="s">
        <v>47</v>
      </c>
      <c r="L938" s="11" t="s">
        <v>41</v>
      </c>
      <c r="M938" s="11" t="s">
        <v>28</v>
      </c>
      <c r="N938" s="11" t="s">
        <v>188</v>
      </c>
      <c r="O938" s="11" t="s">
        <v>1356</v>
      </c>
      <c r="P938" s="11" t="s">
        <v>38</v>
      </c>
      <c r="Q938" s="20">
        <v>39969.0</v>
      </c>
      <c r="R938" s="17">
        <f t="shared" si="2"/>
        <v>10.14116732</v>
      </c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>
        <f t="shared" si="8"/>
        <v>3</v>
      </c>
      <c r="AF938" s="19">
        <f t="shared" si="13"/>
        <v>3</v>
      </c>
      <c r="AG938" s="9"/>
      <c r="AH938" s="9"/>
      <c r="AI938" s="9"/>
    </row>
    <row r="939" ht="15.0" customHeight="1">
      <c r="A939" s="11">
        <v>938.0</v>
      </c>
      <c r="B939" s="12">
        <f t="shared" si="158"/>
        <v>39967</v>
      </c>
      <c r="C939" s="13">
        <v>2009.0</v>
      </c>
      <c r="D939" s="11" t="s">
        <v>23</v>
      </c>
      <c r="E939" s="11">
        <v>23.0</v>
      </c>
      <c r="F939" s="21" t="s">
        <v>1416</v>
      </c>
      <c r="G939" s="15">
        <v>0.013101783168979118</v>
      </c>
      <c r="H939" s="11" t="s">
        <v>45</v>
      </c>
      <c r="I939" s="16">
        <v>36.96</v>
      </c>
      <c r="J939" s="11" t="s">
        <v>1417</v>
      </c>
      <c r="K939" s="11" t="s">
        <v>47</v>
      </c>
      <c r="L939" s="11" t="s">
        <v>48</v>
      </c>
      <c r="M939" s="11" t="s">
        <v>49</v>
      </c>
      <c r="N939" s="11" t="s">
        <v>85</v>
      </c>
      <c r="O939" s="11" t="s">
        <v>1418</v>
      </c>
      <c r="P939" s="11" t="s">
        <v>87</v>
      </c>
      <c r="Q939" s="20">
        <v>39969.0</v>
      </c>
      <c r="R939" s="17">
        <f t="shared" si="2"/>
        <v>44.44989569</v>
      </c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>
        <f t="shared" si="8"/>
        <v>4</v>
      </c>
      <c r="AF939" s="19">
        <f t="shared" si="13"/>
        <v>3</v>
      </c>
      <c r="AG939" s="9"/>
      <c r="AH939" s="9"/>
      <c r="AI939" s="9"/>
    </row>
    <row r="940" ht="15.0" customHeight="1">
      <c r="A940" s="11">
        <v>939.0</v>
      </c>
      <c r="B940" s="12">
        <f t="shared" si="158"/>
        <v>39967</v>
      </c>
      <c r="C940" s="13">
        <v>2009.0</v>
      </c>
      <c r="D940" s="11" t="s">
        <v>44</v>
      </c>
      <c r="E940" s="11">
        <v>15.0</v>
      </c>
      <c r="F940" s="21" t="s">
        <v>158</v>
      </c>
      <c r="G940" s="15">
        <v>0.1087285223367698</v>
      </c>
      <c r="H940" s="11" t="s">
        <v>24</v>
      </c>
      <c r="I940" s="16">
        <v>7.744</v>
      </c>
      <c r="J940" s="11" t="s">
        <v>1419</v>
      </c>
      <c r="K940" s="11" t="s">
        <v>61</v>
      </c>
      <c r="L940" s="11" t="s">
        <v>41</v>
      </c>
      <c r="M940" s="11" t="s">
        <v>28</v>
      </c>
      <c r="N940" s="11" t="s">
        <v>56</v>
      </c>
      <c r="O940" s="11" t="s">
        <v>635</v>
      </c>
      <c r="P940" s="11" t="s">
        <v>38</v>
      </c>
      <c r="Q940" s="20">
        <v>39969.0</v>
      </c>
      <c r="R940" s="17">
        <f t="shared" si="2"/>
        <v>11.27993182</v>
      </c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>
        <f t="shared" si="8"/>
        <v>3</v>
      </c>
      <c r="AF940" s="19">
        <f t="shared" si="13"/>
        <v>4</v>
      </c>
      <c r="AG940" s="9"/>
      <c r="AH940" s="9"/>
      <c r="AI940" s="9"/>
    </row>
    <row r="941" ht="15.0" customHeight="1">
      <c r="A941" s="11">
        <v>940.0</v>
      </c>
      <c r="B941" s="12">
        <f t="shared" si="158"/>
        <v>39967</v>
      </c>
      <c r="C941" s="13">
        <v>2009.0</v>
      </c>
      <c r="D941" s="11" t="s">
        <v>44</v>
      </c>
      <c r="E941" s="11">
        <v>13.0</v>
      </c>
      <c r="F941" s="21" t="s">
        <v>122</v>
      </c>
      <c r="G941" s="15">
        <v>0.11146404851285019</v>
      </c>
      <c r="H941" s="11" t="s">
        <v>45</v>
      </c>
      <c r="I941" s="16">
        <v>36.0</v>
      </c>
      <c r="J941" s="11" t="s">
        <v>1419</v>
      </c>
      <c r="K941" s="11" t="s">
        <v>61</v>
      </c>
      <c r="L941" s="11" t="s">
        <v>41</v>
      </c>
      <c r="M941" s="11" t="s">
        <v>28</v>
      </c>
      <c r="N941" s="11" t="s">
        <v>29</v>
      </c>
      <c r="O941" s="11" t="s">
        <v>1420</v>
      </c>
      <c r="P941" s="11" t="s">
        <v>52</v>
      </c>
      <c r="Q941" s="20">
        <v>39969.0</v>
      </c>
      <c r="R941" s="17">
        <f t="shared" si="2"/>
        <v>34.29748773</v>
      </c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>
        <f t="shared" si="8"/>
        <v>3</v>
      </c>
      <c r="AF941" s="19">
        <f t="shared" si="13"/>
        <v>4</v>
      </c>
      <c r="AG941" s="9"/>
      <c r="AH941" s="9"/>
      <c r="AI941" s="9"/>
    </row>
    <row r="942" ht="15.0" customHeight="1">
      <c r="A942" s="11">
        <v>941.0</v>
      </c>
      <c r="B942" s="12">
        <f t="shared" si="158"/>
        <v>39967</v>
      </c>
      <c r="C942" s="13">
        <v>2009.0</v>
      </c>
      <c r="D942" s="11" t="s">
        <v>44</v>
      </c>
      <c r="E942" s="11">
        <v>8.0</v>
      </c>
      <c r="F942" s="21" t="s">
        <v>178</v>
      </c>
      <c r="G942" s="15">
        <v>0.042822855095826444</v>
      </c>
      <c r="H942" s="11" t="s">
        <v>33</v>
      </c>
      <c r="I942" s="16">
        <v>7.192</v>
      </c>
      <c r="J942" s="11" t="s">
        <v>1419</v>
      </c>
      <c r="K942" s="11" t="s">
        <v>61</v>
      </c>
      <c r="L942" s="11" t="s">
        <v>41</v>
      </c>
      <c r="M942" s="11" t="s">
        <v>66</v>
      </c>
      <c r="N942" s="11" t="s">
        <v>80</v>
      </c>
      <c r="O942" s="11" t="s">
        <v>1421</v>
      </c>
      <c r="P942" s="11" t="s">
        <v>38</v>
      </c>
      <c r="Q942" s="20">
        <v>39969.0</v>
      </c>
      <c r="R942" s="17">
        <f t="shared" si="2"/>
        <v>22.88419118</v>
      </c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>
        <f t="shared" si="8"/>
        <v>3</v>
      </c>
      <c r="AF942" s="19">
        <f t="shared" si="13"/>
        <v>4</v>
      </c>
      <c r="AG942" s="9"/>
      <c r="AH942" s="9"/>
      <c r="AI942" s="9"/>
    </row>
    <row r="943" ht="15.0" customHeight="1">
      <c r="A943" s="11">
        <v>942.0</v>
      </c>
      <c r="B943" s="12">
        <f t="shared" si="158"/>
        <v>39967</v>
      </c>
      <c r="C943" s="13">
        <v>2009.0</v>
      </c>
      <c r="D943" s="11" t="s">
        <v>44</v>
      </c>
      <c r="E943" s="11">
        <v>50.0</v>
      </c>
      <c r="F943" s="21" t="s">
        <v>229</v>
      </c>
      <c r="G943" s="15">
        <v>0.04837608647071959</v>
      </c>
      <c r="H943" s="11" t="s">
        <v>33</v>
      </c>
      <c r="I943" s="16">
        <v>15.991999999999999</v>
      </c>
      <c r="J943" s="11" t="s">
        <v>1422</v>
      </c>
      <c r="K943" s="11" t="s">
        <v>61</v>
      </c>
      <c r="L943" s="11" t="s">
        <v>48</v>
      </c>
      <c r="M943" s="11" t="s">
        <v>28</v>
      </c>
      <c r="N943" s="11" t="s">
        <v>29</v>
      </c>
      <c r="O943" s="11" t="s">
        <v>230</v>
      </c>
      <c r="P943" s="11" t="s">
        <v>38</v>
      </c>
      <c r="Q943" s="20">
        <v>39970.0</v>
      </c>
      <c r="R943" s="17">
        <f t="shared" si="2"/>
        <v>391.4105286</v>
      </c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>
        <f t="shared" si="8"/>
        <v>4</v>
      </c>
      <c r="AF943" s="19">
        <f t="shared" si="13"/>
        <v>4</v>
      </c>
      <c r="AG943" s="9"/>
      <c r="AH943" s="9"/>
      <c r="AI943" s="9"/>
    </row>
    <row r="944" ht="15.0" customHeight="1">
      <c r="A944" s="11">
        <v>943.0</v>
      </c>
      <c r="B944" s="12">
        <f t="shared" ref="B944:B948" si="159">DATE(2012,12,31)-1306</f>
        <v>39968</v>
      </c>
      <c r="C944" s="13">
        <v>2009.0</v>
      </c>
      <c r="D944" s="11" t="s">
        <v>44</v>
      </c>
      <c r="E944" s="11">
        <v>13.0</v>
      </c>
      <c r="F944" s="21" t="s">
        <v>287</v>
      </c>
      <c r="G944" s="15">
        <v>0.05806057584444707</v>
      </c>
      <c r="H944" s="11" t="s">
        <v>33</v>
      </c>
      <c r="I944" s="16">
        <v>4.736</v>
      </c>
      <c r="J944" s="11" t="s">
        <v>1423</v>
      </c>
      <c r="K944" s="11" t="s">
        <v>61</v>
      </c>
      <c r="L944" s="11" t="s">
        <v>48</v>
      </c>
      <c r="M944" s="11" t="s">
        <v>66</v>
      </c>
      <c r="N944" s="11" t="s">
        <v>80</v>
      </c>
      <c r="O944" s="11" t="s">
        <v>435</v>
      </c>
      <c r="P944" s="11" t="s">
        <v>38</v>
      </c>
      <c r="Q944" s="20">
        <v>39970.0</v>
      </c>
      <c r="R944" s="17">
        <f t="shared" si="2"/>
        <v>87.75484451</v>
      </c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>
        <f t="shared" si="8"/>
        <v>4</v>
      </c>
      <c r="AF944" s="19">
        <f t="shared" si="13"/>
        <v>4</v>
      </c>
      <c r="AG944" s="9"/>
      <c r="AH944" s="9"/>
      <c r="AI944" s="9"/>
    </row>
    <row r="945" ht="15.0" customHeight="1">
      <c r="A945" s="11">
        <v>944.0</v>
      </c>
      <c r="B945" s="12">
        <f t="shared" si="159"/>
        <v>39968</v>
      </c>
      <c r="C945" s="13">
        <v>2009.0</v>
      </c>
      <c r="D945" s="11" t="s">
        <v>23</v>
      </c>
      <c r="E945" s="11">
        <v>3.0</v>
      </c>
      <c r="F945" s="21" t="s">
        <v>580</v>
      </c>
      <c r="G945" s="15">
        <v>0.048569564193838524</v>
      </c>
      <c r="H945" s="11" t="s">
        <v>33</v>
      </c>
      <c r="I945" s="16">
        <v>11.192</v>
      </c>
      <c r="J945" s="11" t="s">
        <v>1374</v>
      </c>
      <c r="K945" s="11" t="s">
        <v>26</v>
      </c>
      <c r="L945" s="11" t="s">
        <v>48</v>
      </c>
      <c r="M945" s="11" t="s">
        <v>66</v>
      </c>
      <c r="N945" s="11" t="s">
        <v>69</v>
      </c>
      <c r="O945" s="11" t="s">
        <v>582</v>
      </c>
      <c r="P945" s="11" t="s">
        <v>75</v>
      </c>
      <c r="Q945" s="20">
        <v>39970.0</v>
      </c>
      <c r="R945" s="17">
        <f t="shared" si="2"/>
        <v>146.2377123</v>
      </c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>
        <f t="shared" si="8"/>
        <v>4</v>
      </c>
      <c r="AF945" s="19">
        <f t="shared" si="13"/>
        <v>1</v>
      </c>
      <c r="AG945" s="9"/>
      <c r="AH945" s="9"/>
      <c r="AI945" s="9"/>
    </row>
    <row r="946" ht="15.0" customHeight="1">
      <c r="A946" s="11">
        <v>945.0</v>
      </c>
      <c r="B946" s="12">
        <f t="shared" si="159"/>
        <v>39968</v>
      </c>
      <c r="C946" s="13">
        <v>2009.0</v>
      </c>
      <c r="D946" s="11" t="s">
        <v>23</v>
      </c>
      <c r="E946" s="11">
        <v>34.0</v>
      </c>
      <c r="F946" s="21" t="s">
        <v>158</v>
      </c>
      <c r="G946" s="15">
        <v>0.06332065906210381</v>
      </c>
      <c r="H946" s="11" t="s">
        <v>24</v>
      </c>
      <c r="I946" s="16">
        <v>4.112</v>
      </c>
      <c r="J946" s="11" t="s">
        <v>1374</v>
      </c>
      <c r="K946" s="11" t="s">
        <v>26</v>
      </c>
      <c r="L946" s="11" t="s">
        <v>48</v>
      </c>
      <c r="M946" s="11" t="s">
        <v>28</v>
      </c>
      <c r="N946" s="11" t="s">
        <v>56</v>
      </c>
      <c r="O946" s="11" t="s">
        <v>1424</v>
      </c>
      <c r="P946" s="11" t="s">
        <v>38</v>
      </c>
      <c r="Q946" s="20">
        <v>39970.0</v>
      </c>
      <c r="R946" s="17">
        <f t="shared" si="2"/>
        <v>14.03894996</v>
      </c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>
        <f t="shared" si="8"/>
        <v>4</v>
      </c>
      <c r="AF946" s="19">
        <f t="shared" si="13"/>
        <v>1</v>
      </c>
      <c r="AG946" s="9"/>
      <c r="AH946" s="9"/>
      <c r="AI946" s="9"/>
    </row>
    <row r="947" ht="15.0" customHeight="1">
      <c r="A947" s="11">
        <v>946.0</v>
      </c>
      <c r="B947" s="12">
        <f t="shared" si="159"/>
        <v>39968</v>
      </c>
      <c r="C947" s="13">
        <v>2009.0</v>
      </c>
      <c r="D947" s="11" t="s">
        <v>39</v>
      </c>
      <c r="E947" s="11">
        <v>32.0</v>
      </c>
      <c r="F947" s="21" t="s">
        <v>518</v>
      </c>
      <c r="G947" s="15">
        <v>0.08644386541293768</v>
      </c>
      <c r="H947" s="11" t="s">
        <v>24</v>
      </c>
      <c r="I947" s="16">
        <v>15.991999999999999</v>
      </c>
      <c r="J947" s="11" t="s">
        <v>300</v>
      </c>
      <c r="K947" s="11" t="s">
        <v>35</v>
      </c>
      <c r="L947" s="11" t="s">
        <v>36</v>
      </c>
      <c r="M947" s="11" t="s">
        <v>66</v>
      </c>
      <c r="N947" s="11" t="s">
        <v>67</v>
      </c>
      <c r="O947" s="11" t="s">
        <v>519</v>
      </c>
      <c r="P947" s="11" t="s">
        <v>38</v>
      </c>
      <c r="Q947" s="20">
        <v>39971.0</v>
      </c>
      <c r="R947" s="17">
        <f t="shared" si="2"/>
        <v>139.4159746</v>
      </c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>
        <f t="shared" si="8"/>
        <v>2</v>
      </c>
      <c r="AF947" s="19">
        <f t="shared" si="13"/>
        <v>2</v>
      </c>
      <c r="AG947" s="9"/>
      <c r="AH947" s="9"/>
      <c r="AI947" s="9"/>
    </row>
    <row r="948" ht="15.0" customHeight="1">
      <c r="A948" s="11">
        <v>947.0</v>
      </c>
      <c r="B948" s="12">
        <f t="shared" si="159"/>
        <v>39968</v>
      </c>
      <c r="C948" s="13">
        <v>2009.0</v>
      </c>
      <c r="D948" s="11" t="s">
        <v>32</v>
      </c>
      <c r="E948" s="11">
        <v>11.0</v>
      </c>
      <c r="F948" s="21" t="s">
        <v>521</v>
      </c>
      <c r="G948" s="15">
        <v>0.06210486206370991</v>
      </c>
      <c r="H948" s="11" t="s">
        <v>45</v>
      </c>
      <c r="I948" s="16">
        <v>55.712</v>
      </c>
      <c r="J948" s="11" t="s">
        <v>1425</v>
      </c>
      <c r="K948" s="11" t="s">
        <v>47</v>
      </c>
      <c r="L948" s="11" t="s">
        <v>48</v>
      </c>
      <c r="M948" s="11" t="s">
        <v>49</v>
      </c>
      <c r="N948" s="11" t="s">
        <v>85</v>
      </c>
      <c r="O948" s="11" t="s">
        <v>522</v>
      </c>
      <c r="P948" s="11" t="s">
        <v>87</v>
      </c>
      <c r="Q948" s="20">
        <v>39971.0</v>
      </c>
      <c r="R948" s="17">
        <f t="shared" si="2"/>
        <v>152.8656527</v>
      </c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>
        <f t="shared" si="8"/>
        <v>4</v>
      </c>
      <c r="AF948" s="19">
        <f t="shared" si="13"/>
        <v>3</v>
      </c>
      <c r="AG948" s="9"/>
      <c r="AH948" s="9"/>
      <c r="AI948" s="9"/>
    </row>
    <row r="949" ht="15.0" customHeight="1">
      <c r="A949" s="11">
        <v>948.0</v>
      </c>
      <c r="B949" s="12">
        <f>DATE(2012,12,31)-1305</f>
        <v>39969</v>
      </c>
      <c r="C949" s="13">
        <v>2009.0</v>
      </c>
      <c r="D949" s="11" t="s">
        <v>32</v>
      </c>
      <c r="E949" s="11">
        <v>14.0</v>
      </c>
      <c r="F949" s="21" t="s">
        <v>1173</v>
      </c>
      <c r="G949" s="15">
        <v>0.0833991626084924</v>
      </c>
      <c r="H949" s="11" t="s">
        <v>33</v>
      </c>
      <c r="I949" s="16">
        <v>15.991999999999999</v>
      </c>
      <c r="J949" s="11" t="s">
        <v>703</v>
      </c>
      <c r="K949" s="11" t="s">
        <v>35</v>
      </c>
      <c r="L949" s="11" t="s">
        <v>41</v>
      </c>
      <c r="M949" s="11" t="s">
        <v>28</v>
      </c>
      <c r="N949" s="11" t="s">
        <v>197</v>
      </c>
      <c r="O949" s="11" t="s">
        <v>1174</v>
      </c>
      <c r="P949" s="11" t="s">
        <v>38</v>
      </c>
      <c r="Q949" s="20">
        <v>39971.0</v>
      </c>
      <c r="R949" s="17">
        <f t="shared" si="2"/>
        <v>425.4017814</v>
      </c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>
        <f t="shared" si="8"/>
        <v>3</v>
      </c>
      <c r="AF949" s="19">
        <f t="shared" si="13"/>
        <v>2</v>
      </c>
      <c r="AG949" s="9"/>
      <c r="AH949" s="9"/>
      <c r="AI949" s="9"/>
    </row>
    <row r="950" ht="15.0" customHeight="1">
      <c r="A950" s="11">
        <v>949.0</v>
      </c>
      <c r="B950" s="12">
        <f t="shared" ref="B950:B951" si="160">DATE(2012,12,31)-1304</f>
        <v>39970</v>
      </c>
      <c r="C950" s="13">
        <v>2009.0</v>
      </c>
      <c r="D950" s="11" t="s">
        <v>39</v>
      </c>
      <c r="E950" s="11">
        <v>20.0</v>
      </c>
      <c r="F950" s="21" t="s">
        <v>158</v>
      </c>
      <c r="G950" s="15">
        <v>0.03171171171171164</v>
      </c>
      <c r="H950" s="11" t="s">
        <v>33</v>
      </c>
      <c r="I950" s="16">
        <v>0.976</v>
      </c>
      <c r="J950" s="11" t="s">
        <v>1196</v>
      </c>
      <c r="K950" s="11" t="s">
        <v>61</v>
      </c>
      <c r="L950" s="11" t="s">
        <v>41</v>
      </c>
      <c r="M950" s="11" t="s">
        <v>28</v>
      </c>
      <c r="N950" s="11" t="s">
        <v>62</v>
      </c>
      <c r="O950" s="11" t="s">
        <v>1426</v>
      </c>
      <c r="P950" s="11" t="s">
        <v>58</v>
      </c>
      <c r="Q950" s="20">
        <v>39972.0</v>
      </c>
      <c r="R950" s="17">
        <f t="shared" si="2"/>
        <v>4.09004973</v>
      </c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>
        <f t="shared" si="8"/>
        <v>3</v>
      </c>
      <c r="AF950" s="19">
        <f t="shared" si="13"/>
        <v>4</v>
      </c>
      <c r="AG950" s="9"/>
      <c r="AH950" s="9"/>
      <c r="AI950" s="9"/>
    </row>
    <row r="951" ht="15.0" customHeight="1">
      <c r="A951" s="11">
        <v>950.0</v>
      </c>
      <c r="B951" s="12">
        <f t="shared" si="160"/>
        <v>39970</v>
      </c>
      <c r="C951" s="13">
        <v>2009.0</v>
      </c>
      <c r="D951" s="11" t="s">
        <v>39</v>
      </c>
      <c r="E951" s="11">
        <v>39.0</v>
      </c>
      <c r="F951" s="21" t="s">
        <v>319</v>
      </c>
      <c r="G951" s="15">
        <v>0.07996652719665281</v>
      </c>
      <c r="H951" s="11" t="s">
        <v>33</v>
      </c>
      <c r="I951" s="16">
        <v>0.7440000000000001</v>
      </c>
      <c r="J951" s="11" t="s">
        <v>1196</v>
      </c>
      <c r="K951" s="11" t="s">
        <v>61</v>
      </c>
      <c r="L951" s="11" t="s">
        <v>41</v>
      </c>
      <c r="M951" s="11" t="s">
        <v>28</v>
      </c>
      <c r="N951" s="11" t="s">
        <v>62</v>
      </c>
      <c r="O951" s="11" t="s">
        <v>1427</v>
      </c>
      <c r="P951" s="11" t="s">
        <v>58</v>
      </c>
      <c r="Q951" s="20">
        <v>39972.0</v>
      </c>
      <c r="R951" s="17">
        <f t="shared" si="2"/>
        <v>8.791839866</v>
      </c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>
        <f t="shared" si="8"/>
        <v>3</v>
      </c>
      <c r="AF951" s="19">
        <f t="shared" si="13"/>
        <v>4</v>
      </c>
      <c r="AG951" s="9"/>
      <c r="AH951" s="9"/>
      <c r="AI951" s="9"/>
    </row>
    <row r="952" ht="15.0" customHeight="1">
      <c r="A952" s="11">
        <v>951.0</v>
      </c>
      <c r="B952" s="12">
        <f t="shared" ref="B952:B960" si="161">DATE(2012,12,31)-1303</f>
        <v>39971</v>
      </c>
      <c r="C952" s="13">
        <v>2009.0</v>
      </c>
      <c r="D952" s="11" t="s">
        <v>32</v>
      </c>
      <c r="E952" s="11">
        <v>13.0</v>
      </c>
      <c r="F952" s="21" t="s">
        <v>1166</v>
      </c>
      <c r="G952" s="15">
        <v>0.07892697466467948</v>
      </c>
      <c r="H952" s="11" t="s">
        <v>33</v>
      </c>
      <c r="I952" s="16">
        <v>0.7040000000000001</v>
      </c>
      <c r="J952" s="11" t="s">
        <v>239</v>
      </c>
      <c r="K952" s="11" t="s">
        <v>61</v>
      </c>
      <c r="L952" s="11" t="s">
        <v>48</v>
      </c>
      <c r="M952" s="11" t="s">
        <v>28</v>
      </c>
      <c r="N952" s="11" t="s">
        <v>56</v>
      </c>
      <c r="O952" s="11" t="s">
        <v>1258</v>
      </c>
      <c r="P952" s="11" t="s">
        <v>58</v>
      </c>
      <c r="Q952" s="20">
        <v>39972.0</v>
      </c>
      <c r="R952" s="17">
        <f t="shared" si="2"/>
        <v>4.878002742</v>
      </c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>
        <f t="shared" si="8"/>
        <v>4</v>
      </c>
      <c r="AF952" s="19">
        <f t="shared" si="13"/>
        <v>4</v>
      </c>
      <c r="AG952" s="9"/>
      <c r="AH952" s="9"/>
      <c r="AI952" s="9"/>
    </row>
    <row r="953" ht="15.0" customHeight="1">
      <c r="A953" s="11">
        <v>952.0</v>
      </c>
      <c r="B953" s="12">
        <f t="shared" si="161"/>
        <v>39971</v>
      </c>
      <c r="C953" s="13">
        <v>2009.0</v>
      </c>
      <c r="D953" s="11" t="s">
        <v>44</v>
      </c>
      <c r="E953" s="11">
        <v>18.0</v>
      </c>
      <c r="F953" s="21" t="s">
        <v>1428</v>
      </c>
      <c r="G953" s="15">
        <v>0.06024491435858478</v>
      </c>
      <c r="H953" s="11" t="s">
        <v>33</v>
      </c>
      <c r="I953" s="16">
        <v>15.991999999999999</v>
      </c>
      <c r="J953" s="11" t="s">
        <v>1017</v>
      </c>
      <c r="K953" s="11" t="s">
        <v>117</v>
      </c>
      <c r="L953" s="11" t="s">
        <v>36</v>
      </c>
      <c r="M953" s="11" t="s">
        <v>28</v>
      </c>
      <c r="N953" s="11" t="s">
        <v>42</v>
      </c>
      <c r="O953" s="11" t="s">
        <v>1429</v>
      </c>
      <c r="P953" s="11" t="s">
        <v>38</v>
      </c>
      <c r="Q953" s="20">
        <v>39972.0</v>
      </c>
      <c r="R953" s="17">
        <f t="shared" si="2"/>
        <v>1379.138147</v>
      </c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>
        <f t="shared" si="8"/>
        <v>2</v>
      </c>
      <c r="AF953" s="19" t="b">
        <f t="shared" si="13"/>
        <v>0</v>
      </c>
      <c r="AG953" s="9"/>
      <c r="AH953" s="9"/>
      <c r="AI953" s="9"/>
    </row>
    <row r="954" ht="15.0" customHeight="1">
      <c r="A954" s="11">
        <v>953.0</v>
      </c>
      <c r="B954" s="12">
        <f t="shared" si="161"/>
        <v>39971</v>
      </c>
      <c r="C954" s="13">
        <v>2009.0</v>
      </c>
      <c r="D954" s="11" t="s">
        <v>44</v>
      </c>
      <c r="E954" s="11">
        <v>33.0</v>
      </c>
      <c r="F954" s="21" t="s">
        <v>280</v>
      </c>
      <c r="G954" s="15">
        <v>0.021115287448394866</v>
      </c>
      <c r="H954" s="11" t="s">
        <v>33</v>
      </c>
      <c r="I954" s="16">
        <v>4.632000000000001</v>
      </c>
      <c r="J954" s="11" t="s">
        <v>873</v>
      </c>
      <c r="K954" s="11" t="s">
        <v>83</v>
      </c>
      <c r="L954" s="11" t="s">
        <v>41</v>
      </c>
      <c r="M954" s="11" t="s">
        <v>28</v>
      </c>
      <c r="N954" s="11" t="s">
        <v>56</v>
      </c>
      <c r="O954" s="11" t="s">
        <v>1430</v>
      </c>
      <c r="P954" s="11" t="s">
        <v>38</v>
      </c>
      <c r="Q954" s="20">
        <v>39972.0</v>
      </c>
      <c r="R954" s="17">
        <f t="shared" si="2"/>
        <v>33.54442133</v>
      </c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>
        <f t="shared" si="8"/>
        <v>3</v>
      </c>
      <c r="AF954" s="19" t="b">
        <f t="shared" si="13"/>
        <v>0</v>
      </c>
      <c r="AG954" s="9"/>
      <c r="AH954" s="9"/>
      <c r="AI954" s="9"/>
    </row>
    <row r="955" ht="15.0" customHeight="1">
      <c r="A955" s="11">
        <v>954.0</v>
      </c>
      <c r="B955" s="12">
        <f t="shared" si="161"/>
        <v>39971</v>
      </c>
      <c r="C955" s="13">
        <v>2009.0</v>
      </c>
      <c r="D955" s="11" t="s">
        <v>44</v>
      </c>
      <c r="E955" s="11">
        <v>48.0</v>
      </c>
      <c r="F955" s="21" t="s">
        <v>782</v>
      </c>
      <c r="G955" s="15">
        <v>0.04054253792983533</v>
      </c>
      <c r="H955" s="11" t="s">
        <v>33</v>
      </c>
      <c r="I955" s="16">
        <v>3.84</v>
      </c>
      <c r="J955" s="11" t="s">
        <v>873</v>
      </c>
      <c r="K955" s="11" t="s">
        <v>83</v>
      </c>
      <c r="L955" s="11" t="s">
        <v>41</v>
      </c>
      <c r="M955" s="11" t="s">
        <v>49</v>
      </c>
      <c r="N955" s="11" t="s">
        <v>73</v>
      </c>
      <c r="O955" s="11" t="s">
        <v>1431</v>
      </c>
      <c r="P955" s="11" t="s">
        <v>58</v>
      </c>
      <c r="Q955" s="20">
        <v>39972.0</v>
      </c>
      <c r="R955" s="17">
        <f t="shared" si="2"/>
        <v>89.47900291</v>
      </c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>
        <f t="shared" si="8"/>
        <v>3</v>
      </c>
      <c r="AF955" s="19" t="b">
        <f t="shared" si="13"/>
        <v>0</v>
      </c>
      <c r="AG955" s="9"/>
      <c r="AH955" s="9"/>
      <c r="AI955" s="9"/>
    </row>
    <row r="956" ht="15.0" customHeight="1">
      <c r="A956" s="11">
        <v>955.0</v>
      </c>
      <c r="B956" s="12">
        <f t="shared" si="161"/>
        <v>39971</v>
      </c>
      <c r="C956" s="13">
        <v>2009.0</v>
      </c>
      <c r="D956" s="11" t="s">
        <v>39</v>
      </c>
      <c r="E956" s="11">
        <v>1.0</v>
      </c>
      <c r="F956" s="21" t="s">
        <v>1432</v>
      </c>
      <c r="G956" s="15">
        <v>0.06958250497017893</v>
      </c>
      <c r="H956" s="11" t="s">
        <v>33</v>
      </c>
      <c r="I956" s="16">
        <v>2.8000000000000003</v>
      </c>
      <c r="J956" s="11" t="s">
        <v>1433</v>
      </c>
      <c r="K956" s="11" t="s">
        <v>61</v>
      </c>
      <c r="L956" s="11" t="s">
        <v>27</v>
      </c>
      <c r="M956" s="11" t="s">
        <v>28</v>
      </c>
      <c r="N956" s="11" t="s">
        <v>197</v>
      </c>
      <c r="O956" s="11" t="s">
        <v>1434</v>
      </c>
      <c r="P956" s="11" t="s">
        <v>38</v>
      </c>
      <c r="Q956" s="20">
        <v>39973.0</v>
      </c>
      <c r="R956" s="17">
        <f t="shared" si="2"/>
        <v>3.256461233</v>
      </c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>
        <f t="shared" si="8"/>
        <v>1</v>
      </c>
      <c r="AF956" s="19">
        <f t="shared" si="13"/>
        <v>4</v>
      </c>
      <c r="AG956" s="9"/>
      <c r="AH956" s="9"/>
      <c r="AI956" s="9"/>
    </row>
    <row r="957" ht="15.0" customHeight="1">
      <c r="A957" s="11">
        <v>956.0</v>
      </c>
      <c r="B957" s="12">
        <f t="shared" si="161"/>
        <v>39971</v>
      </c>
      <c r="C957" s="13">
        <v>2009.0</v>
      </c>
      <c r="D957" s="11" t="s">
        <v>39</v>
      </c>
      <c r="E957" s="11">
        <v>22.0</v>
      </c>
      <c r="F957" s="21" t="s">
        <v>702</v>
      </c>
      <c r="G957" s="15">
        <v>0.09123420796890189</v>
      </c>
      <c r="H957" s="11" t="s">
        <v>33</v>
      </c>
      <c r="I957" s="16">
        <v>5.5120000000000005</v>
      </c>
      <c r="J957" s="11" t="s">
        <v>1433</v>
      </c>
      <c r="K957" s="11" t="s">
        <v>61</v>
      </c>
      <c r="L957" s="11" t="s">
        <v>27</v>
      </c>
      <c r="M957" s="11" t="s">
        <v>28</v>
      </c>
      <c r="N957" s="11" t="s">
        <v>197</v>
      </c>
      <c r="O957" s="11" t="s">
        <v>704</v>
      </c>
      <c r="P957" s="11" t="s">
        <v>38</v>
      </c>
      <c r="Q957" s="20">
        <v>39973.0</v>
      </c>
      <c r="R957" s="17">
        <f t="shared" si="2"/>
        <v>8.531493256</v>
      </c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>
        <f t="shared" si="8"/>
        <v>1</v>
      </c>
      <c r="AF957" s="19">
        <f t="shared" si="13"/>
        <v>4</v>
      </c>
      <c r="AG957" s="9"/>
      <c r="AH957" s="9"/>
      <c r="AI957" s="9"/>
    </row>
    <row r="958" ht="15.0" customHeight="1">
      <c r="A958" s="11">
        <v>957.0</v>
      </c>
      <c r="B958" s="12">
        <f t="shared" si="161"/>
        <v>39971</v>
      </c>
      <c r="C958" s="13">
        <v>2009.0</v>
      </c>
      <c r="D958" s="11" t="s">
        <v>39</v>
      </c>
      <c r="E958" s="11">
        <v>10.0</v>
      </c>
      <c r="F958" s="21" t="s">
        <v>1435</v>
      </c>
      <c r="G958" s="15">
        <v>0.13972602739726023</v>
      </c>
      <c r="H958" s="11" t="s">
        <v>33</v>
      </c>
      <c r="I958" s="16">
        <v>0.5599999999999999</v>
      </c>
      <c r="J958" s="11" t="s">
        <v>1433</v>
      </c>
      <c r="K958" s="11" t="s">
        <v>61</v>
      </c>
      <c r="L958" s="11" t="s">
        <v>27</v>
      </c>
      <c r="M958" s="11" t="s">
        <v>28</v>
      </c>
      <c r="N958" s="11" t="s">
        <v>216</v>
      </c>
      <c r="O958" s="11" t="s">
        <v>1436</v>
      </c>
      <c r="P958" s="11" t="s">
        <v>58</v>
      </c>
      <c r="Q958" s="20">
        <v>39973.0</v>
      </c>
      <c r="R958" s="17">
        <f t="shared" si="2"/>
        <v>1.754958904</v>
      </c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>
        <f t="shared" si="8"/>
        <v>1</v>
      </c>
      <c r="AF958" s="19">
        <f t="shared" si="13"/>
        <v>4</v>
      </c>
      <c r="AG958" s="9"/>
      <c r="AH958" s="9"/>
      <c r="AI958" s="9"/>
    </row>
    <row r="959" ht="15.0" customHeight="1">
      <c r="A959" s="11">
        <v>958.0</v>
      </c>
      <c r="B959" s="12">
        <f t="shared" si="161"/>
        <v>39971</v>
      </c>
      <c r="C959" s="13">
        <v>2009.0</v>
      </c>
      <c r="D959" s="11" t="s">
        <v>44</v>
      </c>
      <c r="E959" s="11">
        <v>7.0</v>
      </c>
      <c r="F959" s="21" t="s">
        <v>1437</v>
      </c>
      <c r="G959" s="15">
        <v>0.026434270516717474</v>
      </c>
      <c r="H959" s="11" t="s">
        <v>45</v>
      </c>
      <c r="I959" s="16">
        <v>55.64</v>
      </c>
      <c r="J959" s="11" t="s">
        <v>1199</v>
      </c>
      <c r="K959" s="11" t="s">
        <v>83</v>
      </c>
      <c r="L959" s="11" t="s">
        <v>36</v>
      </c>
      <c r="M959" s="11" t="s">
        <v>49</v>
      </c>
      <c r="N959" s="11" t="s">
        <v>50</v>
      </c>
      <c r="O959" s="11" t="s">
        <v>1438</v>
      </c>
      <c r="P959" s="11" t="s">
        <v>52</v>
      </c>
      <c r="Q959" s="20">
        <v>39973.0</v>
      </c>
      <c r="R959" s="17">
        <f t="shared" si="2"/>
        <v>54.1886685</v>
      </c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>
        <f t="shared" si="8"/>
        <v>2</v>
      </c>
      <c r="AF959" s="19" t="b">
        <f t="shared" si="13"/>
        <v>0</v>
      </c>
      <c r="AG959" s="9"/>
      <c r="AH959" s="9"/>
      <c r="AI959" s="9"/>
    </row>
    <row r="960" ht="15.0" customHeight="1">
      <c r="A960" s="11">
        <v>959.0</v>
      </c>
      <c r="B960" s="12">
        <f t="shared" si="161"/>
        <v>39971</v>
      </c>
      <c r="C960" s="13">
        <v>2009.0</v>
      </c>
      <c r="D960" s="11" t="s">
        <v>44</v>
      </c>
      <c r="E960" s="11">
        <v>45.0</v>
      </c>
      <c r="F960" s="21" t="s">
        <v>490</v>
      </c>
      <c r="G960" s="15">
        <v>0.07643175867536961</v>
      </c>
      <c r="H960" s="11" t="s">
        <v>33</v>
      </c>
      <c r="I960" s="16">
        <v>11.440000000000001</v>
      </c>
      <c r="J960" s="11" t="s">
        <v>1199</v>
      </c>
      <c r="K960" s="11" t="s">
        <v>83</v>
      </c>
      <c r="L960" s="11" t="s">
        <v>36</v>
      </c>
      <c r="M960" s="11" t="s">
        <v>28</v>
      </c>
      <c r="N960" s="11" t="s">
        <v>56</v>
      </c>
      <c r="O960" s="11" t="s">
        <v>492</v>
      </c>
      <c r="P960" s="11" t="s">
        <v>38</v>
      </c>
      <c r="Q960" s="20">
        <v>39974.0</v>
      </c>
      <c r="R960" s="17">
        <f t="shared" si="2"/>
        <v>191.4187537</v>
      </c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>
        <f t="shared" si="8"/>
        <v>2</v>
      </c>
      <c r="AF960" s="19" t="b">
        <f t="shared" si="13"/>
        <v>0</v>
      </c>
      <c r="AG960" s="9"/>
      <c r="AH960" s="9"/>
      <c r="AI960" s="9"/>
    </row>
    <row r="961" ht="15.0" customHeight="1">
      <c r="A961" s="11">
        <v>960.0</v>
      </c>
      <c r="B961" s="12">
        <f t="shared" ref="B961:B962" si="162">DATE(2012,12,31)-1302</f>
        <v>39972</v>
      </c>
      <c r="C961" s="13">
        <v>2009.0</v>
      </c>
      <c r="D961" s="11" t="s">
        <v>44</v>
      </c>
      <c r="E961" s="11">
        <v>35.0</v>
      </c>
      <c r="F961" s="21" t="s">
        <v>163</v>
      </c>
      <c r="G961" s="15">
        <v>0.048642048358032264</v>
      </c>
      <c r="H961" s="11" t="s">
        <v>24</v>
      </c>
      <c r="I961" s="16">
        <v>5.744</v>
      </c>
      <c r="J961" s="11" t="s">
        <v>1439</v>
      </c>
      <c r="K961" s="11" t="s">
        <v>61</v>
      </c>
      <c r="L961" s="11" t="s">
        <v>41</v>
      </c>
      <c r="M961" s="11" t="s">
        <v>66</v>
      </c>
      <c r="N961" s="11" t="s">
        <v>67</v>
      </c>
      <c r="O961" s="11" t="s">
        <v>1031</v>
      </c>
      <c r="P961" s="11" t="s">
        <v>38</v>
      </c>
      <c r="Q961" s="20">
        <v>39974.0</v>
      </c>
      <c r="R961" s="17">
        <f t="shared" si="2"/>
        <v>172.0587937</v>
      </c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>
        <f t="shared" si="8"/>
        <v>3</v>
      </c>
      <c r="AF961" s="19">
        <f t="shared" si="13"/>
        <v>4</v>
      </c>
      <c r="AG961" s="9"/>
      <c r="AH961" s="9"/>
      <c r="AI961" s="9"/>
    </row>
    <row r="962" ht="15.0" customHeight="1">
      <c r="A962" s="11">
        <v>961.0</v>
      </c>
      <c r="B962" s="12">
        <f t="shared" si="162"/>
        <v>39972</v>
      </c>
      <c r="C962" s="13">
        <v>2009.0</v>
      </c>
      <c r="D962" s="11" t="s">
        <v>44</v>
      </c>
      <c r="E962" s="11">
        <v>2.0</v>
      </c>
      <c r="F962" s="21" t="s">
        <v>948</v>
      </c>
      <c r="G962" s="15">
        <v>0.03161904761904769</v>
      </c>
      <c r="H962" s="11" t="s">
        <v>33</v>
      </c>
      <c r="I962" s="16">
        <v>0.568</v>
      </c>
      <c r="J962" s="11" t="s">
        <v>1439</v>
      </c>
      <c r="K962" s="11" t="s">
        <v>61</v>
      </c>
      <c r="L962" s="11" t="s">
        <v>41</v>
      </c>
      <c r="M962" s="11" t="s">
        <v>28</v>
      </c>
      <c r="N962" s="11" t="s">
        <v>62</v>
      </c>
      <c r="O962" s="11" t="s">
        <v>949</v>
      </c>
      <c r="P962" s="11" t="s">
        <v>58</v>
      </c>
      <c r="Q962" s="20">
        <v>39975.0</v>
      </c>
      <c r="R962" s="17">
        <f t="shared" si="2"/>
        <v>0.3215024762</v>
      </c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>
        <f t="shared" si="8"/>
        <v>3</v>
      </c>
      <c r="AF962" s="19">
        <f t="shared" si="13"/>
        <v>4</v>
      </c>
      <c r="AG962" s="9"/>
      <c r="AH962" s="9"/>
      <c r="AI962" s="9"/>
    </row>
    <row r="963" ht="15.0" customHeight="1">
      <c r="A963" s="11">
        <v>962.0</v>
      </c>
      <c r="B963" s="12">
        <f>DATE(2012,12,31)-1301</f>
        <v>39973</v>
      </c>
      <c r="C963" s="13">
        <v>2009.0</v>
      </c>
      <c r="D963" s="11" t="s">
        <v>39</v>
      </c>
      <c r="E963" s="11">
        <v>15.0</v>
      </c>
      <c r="F963" s="21" t="s">
        <v>218</v>
      </c>
      <c r="G963" s="15">
        <v>0.0085199686765857</v>
      </c>
      <c r="H963" s="11" t="s">
        <v>24</v>
      </c>
      <c r="I963" s="16">
        <v>2.112</v>
      </c>
      <c r="J963" s="11" t="s">
        <v>1440</v>
      </c>
      <c r="K963" s="11" t="s">
        <v>26</v>
      </c>
      <c r="L963" s="11" t="s">
        <v>27</v>
      </c>
      <c r="M963" s="11" t="s">
        <v>28</v>
      </c>
      <c r="N963" s="11" t="s">
        <v>442</v>
      </c>
      <c r="O963" s="11" t="s">
        <v>512</v>
      </c>
      <c r="P963" s="11" t="s">
        <v>99</v>
      </c>
      <c r="Q963" s="20">
        <v>39975.0</v>
      </c>
      <c r="R963" s="17">
        <f t="shared" si="2"/>
        <v>1.078730274</v>
      </c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>
        <f t="shared" si="8"/>
        <v>1</v>
      </c>
      <c r="AF963" s="19">
        <f t="shared" si="13"/>
        <v>1</v>
      </c>
      <c r="AG963" s="9"/>
      <c r="AH963" s="9"/>
      <c r="AI963" s="9"/>
    </row>
    <row r="964" ht="15.0" customHeight="1">
      <c r="A964" s="11">
        <v>963.0</v>
      </c>
      <c r="B964" s="12">
        <f t="shared" ref="B964:B965" si="163">DATE(2012,12,31)-1300</f>
        <v>39974</v>
      </c>
      <c r="C964" s="13">
        <v>2009.0</v>
      </c>
      <c r="D964" s="11" t="s">
        <v>23</v>
      </c>
      <c r="E964" s="11">
        <v>14.0</v>
      </c>
      <c r="F964" s="21" t="s">
        <v>1441</v>
      </c>
      <c r="G964" s="15">
        <v>0.06048565121412792</v>
      </c>
      <c r="H964" s="11" t="s">
        <v>33</v>
      </c>
      <c r="I964" s="16">
        <v>4.4799999999999995</v>
      </c>
      <c r="J964" s="11" t="s">
        <v>1442</v>
      </c>
      <c r="K964" s="11" t="s">
        <v>35</v>
      </c>
      <c r="L964" s="11" t="s">
        <v>41</v>
      </c>
      <c r="M964" s="11" t="s">
        <v>28</v>
      </c>
      <c r="N964" s="11" t="s">
        <v>42</v>
      </c>
      <c r="O964" s="11" t="s">
        <v>1443</v>
      </c>
      <c r="P964" s="11" t="s">
        <v>38</v>
      </c>
      <c r="Q964" s="20">
        <v>39975.0</v>
      </c>
      <c r="R964" s="17">
        <f t="shared" si="2"/>
        <v>7.722807947</v>
      </c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>
        <f t="shared" si="8"/>
        <v>3</v>
      </c>
      <c r="AF964" s="19">
        <f t="shared" si="13"/>
        <v>2</v>
      </c>
      <c r="AG964" s="9"/>
      <c r="AH964" s="9"/>
      <c r="AI964" s="9"/>
    </row>
    <row r="965" ht="15.0" customHeight="1">
      <c r="A965" s="11">
        <v>964.0</v>
      </c>
      <c r="B965" s="12">
        <f t="shared" si="163"/>
        <v>39974</v>
      </c>
      <c r="C965" s="13">
        <v>2009.0</v>
      </c>
      <c r="D965" s="11" t="s">
        <v>32</v>
      </c>
      <c r="E965" s="11">
        <v>7.0</v>
      </c>
      <c r="F965" s="21" t="s">
        <v>552</v>
      </c>
      <c r="G965" s="15">
        <v>0.021764705882352894</v>
      </c>
      <c r="H965" s="11" t="s">
        <v>33</v>
      </c>
      <c r="I965" s="16">
        <v>2.8160000000000003</v>
      </c>
      <c r="J965" s="11" t="s">
        <v>1444</v>
      </c>
      <c r="K965" s="11" t="s">
        <v>61</v>
      </c>
      <c r="L965" s="11" t="s">
        <v>36</v>
      </c>
      <c r="M965" s="11" t="s">
        <v>66</v>
      </c>
      <c r="N965" s="11" t="s">
        <v>67</v>
      </c>
      <c r="O965" s="11" t="s">
        <v>1445</v>
      </c>
      <c r="P965" s="11" t="s">
        <v>99</v>
      </c>
      <c r="Q965" s="20">
        <v>39975.0</v>
      </c>
      <c r="R965" s="17">
        <f t="shared" si="2"/>
        <v>1.158230588</v>
      </c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>
        <f t="shared" si="8"/>
        <v>2</v>
      </c>
      <c r="AF965" s="19">
        <f t="shared" si="13"/>
        <v>4</v>
      </c>
      <c r="AG965" s="9"/>
      <c r="AH965" s="9"/>
      <c r="AI965" s="9"/>
    </row>
    <row r="966" ht="15.0" customHeight="1">
      <c r="A966" s="11">
        <v>965.0</v>
      </c>
      <c r="B966" s="12">
        <f t="shared" ref="B966:B975" si="164">DATE(2012,12,31)-1299</f>
        <v>39975</v>
      </c>
      <c r="C966" s="13">
        <v>2009.0</v>
      </c>
      <c r="D966" s="11" t="s">
        <v>32</v>
      </c>
      <c r="E966" s="11">
        <v>14.0</v>
      </c>
      <c r="F966" s="21" t="s">
        <v>473</v>
      </c>
      <c r="G966" s="15">
        <v>0.01317407342350235</v>
      </c>
      <c r="H966" s="11" t="s">
        <v>33</v>
      </c>
      <c r="I966" s="16">
        <v>3.2</v>
      </c>
      <c r="J966" s="11" t="s">
        <v>1446</v>
      </c>
      <c r="K966" s="11" t="s">
        <v>35</v>
      </c>
      <c r="L966" s="11" t="s">
        <v>48</v>
      </c>
      <c r="M966" s="11" t="s">
        <v>66</v>
      </c>
      <c r="N966" s="11" t="s">
        <v>67</v>
      </c>
      <c r="O966" s="11" t="s">
        <v>1019</v>
      </c>
      <c r="P966" s="11" t="s">
        <v>38</v>
      </c>
      <c r="Q966" s="20">
        <v>39976.0</v>
      </c>
      <c r="R966" s="17">
        <f t="shared" si="2"/>
        <v>7.401194449</v>
      </c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>
        <f t="shared" si="8"/>
        <v>4</v>
      </c>
      <c r="AF966" s="19">
        <f t="shared" si="13"/>
        <v>2</v>
      </c>
      <c r="AG966" s="9"/>
      <c r="AH966" s="9"/>
      <c r="AI966" s="9"/>
    </row>
    <row r="967" ht="15.0" customHeight="1">
      <c r="A967" s="11">
        <v>966.0</v>
      </c>
      <c r="B967" s="12">
        <f t="shared" si="164"/>
        <v>39975</v>
      </c>
      <c r="C967" s="13">
        <v>2009.0</v>
      </c>
      <c r="D967" s="11" t="s">
        <v>39</v>
      </c>
      <c r="E967" s="11">
        <v>29.0</v>
      </c>
      <c r="F967" s="21" t="s">
        <v>142</v>
      </c>
      <c r="G967" s="15">
        <v>0.013402509197245623</v>
      </c>
      <c r="H967" s="11" t="s">
        <v>33</v>
      </c>
      <c r="I967" s="16">
        <v>4.792000000000001</v>
      </c>
      <c r="J967" s="11" t="s">
        <v>613</v>
      </c>
      <c r="K967" s="11" t="s">
        <v>65</v>
      </c>
      <c r="L967" s="11" t="s">
        <v>48</v>
      </c>
      <c r="M967" s="11" t="s">
        <v>66</v>
      </c>
      <c r="N967" s="11" t="s">
        <v>80</v>
      </c>
      <c r="O967" s="11" t="s">
        <v>757</v>
      </c>
      <c r="P967" s="11" t="s">
        <v>58</v>
      </c>
      <c r="Q967" s="20">
        <v>39976.0</v>
      </c>
      <c r="R967" s="17">
        <f t="shared" si="2"/>
        <v>14.01757715</v>
      </c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>
        <f t="shared" si="8"/>
        <v>4</v>
      </c>
      <c r="AF967" s="19">
        <f t="shared" si="13"/>
        <v>5</v>
      </c>
      <c r="AG967" s="9"/>
      <c r="AH967" s="9"/>
      <c r="AI967" s="9"/>
    </row>
    <row r="968" ht="15.0" customHeight="1">
      <c r="A968" s="11">
        <v>967.0</v>
      </c>
      <c r="B968" s="12">
        <f t="shared" si="164"/>
        <v>39975</v>
      </c>
      <c r="C968" s="13">
        <v>2009.0</v>
      </c>
      <c r="D968" s="11" t="s">
        <v>32</v>
      </c>
      <c r="E968" s="11">
        <v>26.0</v>
      </c>
      <c r="F968" s="21" t="s">
        <v>178</v>
      </c>
      <c r="G968" s="15">
        <v>0.02576353858642084</v>
      </c>
      <c r="H968" s="11" t="s">
        <v>33</v>
      </c>
      <c r="I968" s="16">
        <v>7.192</v>
      </c>
      <c r="J968" s="11" t="s">
        <v>1447</v>
      </c>
      <c r="K968" s="11" t="s">
        <v>61</v>
      </c>
      <c r="L968" s="11" t="s">
        <v>36</v>
      </c>
      <c r="M968" s="11" t="s">
        <v>66</v>
      </c>
      <c r="N968" s="11" t="s">
        <v>80</v>
      </c>
      <c r="O968" s="11" t="s">
        <v>1329</v>
      </c>
      <c r="P968" s="11" t="s">
        <v>38</v>
      </c>
      <c r="Q968" s="20">
        <v>39976.0</v>
      </c>
      <c r="R968" s="17">
        <f t="shared" si="2"/>
        <v>44.32853838</v>
      </c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>
        <f t="shared" si="8"/>
        <v>2</v>
      </c>
      <c r="AF968" s="19">
        <f t="shared" si="13"/>
        <v>4</v>
      </c>
      <c r="AG968" s="9"/>
      <c r="AH968" s="9"/>
      <c r="AI968" s="9"/>
    </row>
    <row r="969" ht="15.0" customHeight="1">
      <c r="A969" s="11">
        <v>968.0</v>
      </c>
      <c r="B969" s="12">
        <f t="shared" si="164"/>
        <v>39975</v>
      </c>
      <c r="C969" s="13">
        <v>2009.0</v>
      </c>
      <c r="D969" s="11" t="s">
        <v>39</v>
      </c>
      <c r="E969" s="11">
        <v>3.0</v>
      </c>
      <c r="F969" s="21" t="s">
        <v>1195</v>
      </c>
      <c r="G969" s="15">
        <v>0.11172413793103443</v>
      </c>
      <c r="H969" s="11" t="s">
        <v>33</v>
      </c>
      <c r="I969" s="16">
        <v>5.008</v>
      </c>
      <c r="J969" s="11" t="s">
        <v>1448</v>
      </c>
      <c r="K969" s="11" t="s">
        <v>61</v>
      </c>
      <c r="L969" s="11" t="s">
        <v>27</v>
      </c>
      <c r="M969" s="11" t="s">
        <v>28</v>
      </c>
      <c r="N969" s="11" t="s">
        <v>56</v>
      </c>
      <c r="O969" s="11" t="s">
        <v>1449</v>
      </c>
      <c r="P969" s="11" t="s">
        <v>38</v>
      </c>
      <c r="Q969" s="20">
        <v>39976.0</v>
      </c>
      <c r="R969" s="17">
        <f t="shared" si="2"/>
        <v>2.302411034</v>
      </c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>
        <f t="shared" si="8"/>
        <v>1</v>
      </c>
      <c r="AF969" s="19">
        <f t="shared" si="13"/>
        <v>4</v>
      </c>
      <c r="AG969" s="9"/>
      <c r="AH969" s="9"/>
      <c r="AI969" s="9"/>
    </row>
    <row r="970" ht="15.0" customHeight="1">
      <c r="A970" s="11">
        <v>969.0</v>
      </c>
      <c r="B970" s="12">
        <f t="shared" si="164"/>
        <v>39975</v>
      </c>
      <c r="C970" s="13">
        <v>2009.0</v>
      </c>
      <c r="D970" s="11" t="s">
        <v>39</v>
      </c>
      <c r="E970" s="11">
        <v>24.0</v>
      </c>
      <c r="F970" s="21" t="s">
        <v>178</v>
      </c>
      <c r="G970" s="15">
        <v>0.03103507271171923</v>
      </c>
      <c r="H970" s="11" t="s">
        <v>33</v>
      </c>
      <c r="I970" s="16">
        <v>4.208</v>
      </c>
      <c r="J970" s="11" t="s">
        <v>1448</v>
      </c>
      <c r="K970" s="11" t="s">
        <v>61</v>
      </c>
      <c r="L970" s="11" t="s">
        <v>27</v>
      </c>
      <c r="M970" s="11" t="s">
        <v>66</v>
      </c>
      <c r="N970" s="11" t="s">
        <v>80</v>
      </c>
      <c r="O970" s="11" t="s">
        <v>912</v>
      </c>
      <c r="P970" s="11" t="s">
        <v>38</v>
      </c>
      <c r="Q970" s="20">
        <v>39976.0</v>
      </c>
      <c r="R970" s="17">
        <f t="shared" si="2"/>
        <v>49.21566659</v>
      </c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>
        <f t="shared" si="8"/>
        <v>1</v>
      </c>
      <c r="AF970" s="19">
        <f t="shared" si="13"/>
        <v>4</v>
      </c>
      <c r="AG970" s="9"/>
      <c r="AH970" s="9"/>
      <c r="AI970" s="9"/>
    </row>
    <row r="971" ht="15.0" customHeight="1">
      <c r="A971" s="11">
        <v>970.0</v>
      </c>
      <c r="B971" s="12">
        <f t="shared" si="164"/>
        <v>39975</v>
      </c>
      <c r="C971" s="13">
        <v>2009.0</v>
      </c>
      <c r="D971" s="11" t="s">
        <v>23</v>
      </c>
      <c r="E971" s="11">
        <v>14.0</v>
      </c>
      <c r="F971" s="21" t="s">
        <v>1091</v>
      </c>
      <c r="G971" s="15">
        <v>0.041488586226740815</v>
      </c>
      <c r="H971" s="11" t="s">
        <v>33</v>
      </c>
      <c r="I971" s="16">
        <v>4.072</v>
      </c>
      <c r="J971" s="11" t="s">
        <v>1264</v>
      </c>
      <c r="K971" s="11" t="s">
        <v>35</v>
      </c>
      <c r="L971" s="11" t="s">
        <v>36</v>
      </c>
      <c r="M971" s="11" t="s">
        <v>28</v>
      </c>
      <c r="N971" s="11" t="s">
        <v>56</v>
      </c>
      <c r="O971" s="11" t="s">
        <v>1093</v>
      </c>
      <c r="P971" s="11" t="s">
        <v>38</v>
      </c>
      <c r="Q971" s="20">
        <v>39976.0</v>
      </c>
      <c r="R971" s="17">
        <f t="shared" si="2"/>
        <v>20.73068486</v>
      </c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>
        <f t="shared" si="8"/>
        <v>2</v>
      </c>
      <c r="AF971" s="19">
        <f t="shared" si="13"/>
        <v>2</v>
      </c>
      <c r="AG971" s="9"/>
      <c r="AH971" s="9"/>
      <c r="AI971" s="9"/>
    </row>
    <row r="972" ht="15.0" customHeight="1">
      <c r="A972" s="11">
        <v>971.0</v>
      </c>
      <c r="B972" s="12">
        <f t="shared" si="164"/>
        <v>39975</v>
      </c>
      <c r="C972" s="13">
        <v>2009.0</v>
      </c>
      <c r="D972" s="11" t="s">
        <v>23</v>
      </c>
      <c r="E972" s="11">
        <v>24.0</v>
      </c>
      <c r="F972" s="21" t="s">
        <v>415</v>
      </c>
      <c r="G972" s="15">
        <v>0.09374398460057756</v>
      </c>
      <c r="H972" s="11" t="s">
        <v>33</v>
      </c>
      <c r="I972" s="16">
        <v>0.5599999999999999</v>
      </c>
      <c r="J972" s="11" t="s">
        <v>1264</v>
      </c>
      <c r="K972" s="11" t="s">
        <v>35</v>
      </c>
      <c r="L972" s="11" t="s">
        <v>36</v>
      </c>
      <c r="M972" s="11" t="s">
        <v>28</v>
      </c>
      <c r="N972" s="11" t="s">
        <v>62</v>
      </c>
      <c r="O972" s="11" t="s">
        <v>417</v>
      </c>
      <c r="P972" s="11" t="s">
        <v>58</v>
      </c>
      <c r="Q972" s="20">
        <v>39976.0</v>
      </c>
      <c r="R972" s="17">
        <f t="shared" si="2"/>
        <v>8.82693359</v>
      </c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>
        <f t="shared" si="8"/>
        <v>2</v>
      </c>
      <c r="AF972" s="19">
        <f t="shared" si="13"/>
        <v>2</v>
      </c>
      <c r="AG972" s="9"/>
      <c r="AH972" s="9"/>
      <c r="AI972" s="9"/>
    </row>
    <row r="973" ht="15.0" customHeight="1">
      <c r="A973" s="11">
        <v>972.0</v>
      </c>
      <c r="B973" s="12">
        <f t="shared" si="164"/>
        <v>39975</v>
      </c>
      <c r="C973" s="13">
        <v>2009.0</v>
      </c>
      <c r="D973" s="11" t="s">
        <v>23</v>
      </c>
      <c r="E973" s="11">
        <v>47.0</v>
      </c>
      <c r="F973" s="21" t="s">
        <v>147</v>
      </c>
      <c r="G973" s="15">
        <v>0.04441805225653217</v>
      </c>
      <c r="H973" s="11" t="s">
        <v>33</v>
      </c>
      <c r="I973" s="16">
        <v>0.5599999999999999</v>
      </c>
      <c r="J973" s="11" t="s">
        <v>1264</v>
      </c>
      <c r="K973" s="11" t="s">
        <v>35</v>
      </c>
      <c r="L973" s="11" t="s">
        <v>36</v>
      </c>
      <c r="M973" s="11" t="s">
        <v>28</v>
      </c>
      <c r="N973" s="11" t="s">
        <v>62</v>
      </c>
      <c r="O973" s="11" t="s">
        <v>182</v>
      </c>
      <c r="P973" s="11" t="s">
        <v>58</v>
      </c>
      <c r="Q973" s="20">
        <v>39977.0</v>
      </c>
      <c r="R973" s="17">
        <f t="shared" si="2"/>
        <v>3.573876485</v>
      </c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>
        <f t="shared" si="8"/>
        <v>2</v>
      </c>
      <c r="AF973" s="19">
        <f t="shared" si="13"/>
        <v>2</v>
      </c>
      <c r="AG973" s="9"/>
      <c r="AH973" s="9"/>
      <c r="AI973" s="9"/>
    </row>
    <row r="974" ht="15.0" customHeight="1">
      <c r="A974" s="11">
        <v>973.0</v>
      </c>
      <c r="B974" s="12">
        <f t="shared" si="164"/>
        <v>39975</v>
      </c>
      <c r="C974" s="13">
        <v>2009.0</v>
      </c>
      <c r="D974" s="11" t="s">
        <v>23</v>
      </c>
      <c r="E974" s="11">
        <v>42.0</v>
      </c>
      <c r="F974" s="21" t="s">
        <v>846</v>
      </c>
      <c r="G974" s="15">
        <v>0.01073821581612773</v>
      </c>
      <c r="H974" s="11" t="s">
        <v>24</v>
      </c>
      <c r="I974" s="16">
        <v>15.991999999999999</v>
      </c>
      <c r="J974" s="11" t="s">
        <v>1264</v>
      </c>
      <c r="K974" s="11" t="s">
        <v>35</v>
      </c>
      <c r="L974" s="11" t="s">
        <v>36</v>
      </c>
      <c r="M974" s="11" t="s">
        <v>28</v>
      </c>
      <c r="N974" s="11" t="s">
        <v>29</v>
      </c>
      <c r="O974" s="11" t="s">
        <v>847</v>
      </c>
      <c r="P974" s="11" t="s">
        <v>38</v>
      </c>
      <c r="Q974" s="20">
        <v>39977.0</v>
      </c>
      <c r="R974" s="17">
        <f t="shared" si="2"/>
        <v>87.26080346</v>
      </c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>
        <f t="shared" si="8"/>
        <v>2</v>
      </c>
      <c r="AF974" s="19">
        <f t="shared" si="13"/>
        <v>2</v>
      </c>
      <c r="AG974" s="9"/>
      <c r="AH974" s="9"/>
      <c r="AI974" s="9"/>
    </row>
    <row r="975" ht="15.0" customHeight="1">
      <c r="A975" s="11">
        <v>974.0</v>
      </c>
      <c r="B975" s="12">
        <f t="shared" si="164"/>
        <v>39975</v>
      </c>
      <c r="C975" s="13">
        <v>2009.0</v>
      </c>
      <c r="D975" s="11" t="s">
        <v>39</v>
      </c>
      <c r="E975" s="11">
        <v>23.0</v>
      </c>
      <c r="F975" s="21" t="s">
        <v>322</v>
      </c>
      <c r="G975" s="15">
        <v>0.02523076923076932</v>
      </c>
      <c r="H975" s="11" t="s">
        <v>24</v>
      </c>
      <c r="I975" s="16">
        <v>4.952000000000001</v>
      </c>
      <c r="J975" s="11" t="s">
        <v>232</v>
      </c>
      <c r="K975" s="11" t="s">
        <v>47</v>
      </c>
      <c r="L975" s="11" t="s">
        <v>36</v>
      </c>
      <c r="M975" s="11" t="s">
        <v>28</v>
      </c>
      <c r="N975" s="11" t="s">
        <v>42</v>
      </c>
      <c r="O975" s="11" t="s">
        <v>324</v>
      </c>
      <c r="P975" s="11" t="s">
        <v>38</v>
      </c>
      <c r="Q975" s="20">
        <v>39977.0</v>
      </c>
      <c r="R975" s="17">
        <f t="shared" si="2"/>
        <v>5.115588923</v>
      </c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>
        <f t="shared" si="8"/>
        <v>2</v>
      </c>
      <c r="AF975" s="19">
        <f t="shared" si="13"/>
        <v>3</v>
      </c>
      <c r="AG975" s="9"/>
      <c r="AH975" s="9"/>
      <c r="AI975" s="9"/>
    </row>
    <row r="976" ht="15.0" customHeight="1">
      <c r="A976" s="11">
        <v>975.0</v>
      </c>
      <c r="B976" s="12">
        <f t="shared" ref="B976:B986" si="165">DATE(2012,12,31)-1298</f>
        <v>39976</v>
      </c>
      <c r="C976" s="13">
        <v>2009.0</v>
      </c>
      <c r="D976" s="11" t="s">
        <v>32</v>
      </c>
      <c r="E976" s="11">
        <v>28.0</v>
      </c>
      <c r="F976" s="21" t="s">
        <v>490</v>
      </c>
      <c r="G976" s="15">
        <v>0.02658951011035274</v>
      </c>
      <c r="H976" s="11" t="s">
        <v>33</v>
      </c>
      <c r="I976" s="16">
        <v>11.440000000000001</v>
      </c>
      <c r="J976" s="11" t="s">
        <v>152</v>
      </c>
      <c r="K976" s="11" t="s">
        <v>61</v>
      </c>
      <c r="L976" s="11" t="s">
        <v>48</v>
      </c>
      <c r="M976" s="11" t="s">
        <v>28</v>
      </c>
      <c r="N976" s="11" t="s">
        <v>56</v>
      </c>
      <c r="O976" s="11" t="s">
        <v>492</v>
      </c>
      <c r="P976" s="11" t="s">
        <v>38</v>
      </c>
      <c r="Q976" s="20">
        <v>39977.0</v>
      </c>
      <c r="R976" s="17">
        <f t="shared" si="2"/>
        <v>41.54983208</v>
      </c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>
        <f t="shared" si="8"/>
        <v>4</v>
      </c>
      <c r="AF976" s="19">
        <f t="shared" si="13"/>
        <v>4</v>
      </c>
      <c r="AG976" s="9"/>
      <c r="AH976" s="9"/>
      <c r="AI976" s="9"/>
    </row>
    <row r="977" ht="15.0" customHeight="1">
      <c r="A977" s="11">
        <v>976.0</v>
      </c>
      <c r="B977" s="12">
        <f t="shared" si="165"/>
        <v>39976</v>
      </c>
      <c r="C977" s="13">
        <v>2009.0</v>
      </c>
      <c r="D977" s="11" t="s">
        <v>44</v>
      </c>
      <c r="E977" s="11">
        <v>28.0</v>
      </c>
      <c r="F977" s="21" t="s">
        <v>1091</v>
      </c>
      <c r="G977" s="15">
        <v>0.06786315199102638</v>
      </c>
      <c r="H977" s="11" t="s">
        <v>33</v>
      </c>
      <c r="I977" s="16">
        <v>6.0</v>
      </c>
      <c r="J977" s="11" t="s">
        <v>1450</v>
      </c>
      <c r="K977" s="11" t="s">
        <v>65</v>
      </c>
      <c r="L977" s="11" t="s">
        <v>48</v>
      </c>
      <c r="M977" s="11" t="s">
        <v>28</v>
      </c>
      <c r="N977" s="11" t="s">
        <v>56</v>
      </c>
      <c r="O977" s="11" t="s">
        <v>1451</v>
      </c>
      <c r="P977" s="11" t="s">
        <v>38</v>
      </c>
      <c r="Q977" s="20">
        <v>39977.0</v>
      </c>
      <c r="R977" s="17">
        <f t="shared" si="2"/>
        <v>67.67313517</v>
      </c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>
        <f t="shared" si="8"/>
        <v>4</v>
      </c>
      <c r="AF977" s="19">
        <f t="shared" si="13"/>
        <v>5</v>
      </c>
      <c r="AG977" s="9"/>
      <c r="AH977" s="9"/>
      <c r="AI977" s="9"/>
    </row>
    <row r="978" ht="15.0" customHeight="1">
      <c r="A978" s="11">
        <v>977.0</v>
      </c>
      <c r="B978" s="12">
        <f t="shared" si="165"/>
        <v>39976</v>
      </c>
      <c r="C978" s="13">
        <v>2009.0</v>
      </c>
      <c r="D978" s="11" t="s">
        <v>32</v>
      </c>
      <c r="E978" s="11">
        <v>12.0</v>
      </c>
      <c r="F978" s="21" t="s">
        <v>1452</v>
      </c>
      <c r="G978" s="15">
        <v>0.058485404619273706</v>
      </c>
      <c r="H978" s="11" t="s">
        <v>45</v>
      </c>
      <c r="I978" s="16">
        <v>39.2</v>
      </c>
      <c r="J978" s="11" t="s">
        <v>719</v>
      </c>
      <c r="K978" s="11" t="s">
        <v>61</v>
      </c>
      <c r="L978" s="11" t="s">
        <v>48</v>
      </c>
      <c r="M978" s="11" t="s">
        <v>66</v>
      </c>
      <c r="N978" s="11" t="s">
        <v>170</v>
      </c>
      <c r="O978" s="11" t="s">
        <v>1453</v>
      </c>
      <c r="P978" s="11" t="s">
        <v>52</v>
      </c>
      <c r="Q978" s="20">
        <v>39978.0</v>
      </c>
      <c r="R978" s="17">
        <f t="shared" si="2"/>
        <v>318.0436303</v>
      </c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>
        <f t="shared" si="8"/>
        <v>4</v>
      </c>
      <c r="AF978" s="19">
        <f t="shared" si="13"/>
        <v>4</v>
      </c>
      <c r="AG978" s="9"/>
      <c r="AH978" s="9"/>
      <c r="AI978" s="9"/>
    </row>
    <row r="979" ht="15.0" customHeight="1">
      <c r="A979" s="11">
        <v>978.0</v>
      </c>
      <c r="B979" s="12">
        <f t="shared" si="165"/>
        <v>39976</v>
      </c>
      <c r="C979" s="13">
        <v>2009.0</v>
      </c>
      <c r="D979" s="11" t="s">
        <v>102</v>
      </c>
      <c r="E979" s="11">
        <v>16.0</v>
      </c>
      <c r="F979" s="21" t="s">
        <v>948</v>
      </c>
      <c r="G979" s="15">
        <v>0.10735930735930753</v>
      </c>
      <c r="H979" s="11" t="s">
        <v>33</v>
      </c>
      <c r="I979" s="16">
        <v>5.68</v>
      </c>
      <c r="J979" s="11" t="s">
        <v>1454</v>
      </c>
      <c r="K979" s="11" t="s">
        <v>35</v>
      </c>
      <c r="L979" s="11" t="s">
        <v>36</v>
      </c>
      <c r="M979" s="11" t="s">
        <v>49</v>
      </c>
      <c r="N979" s="11" t="s">
        <v>73</v>
      </c>
      <c r="O979" s="11" t="s">
        <v>1455</v>
      </c>
      <c r="P979" s="11" t="s">
        <v>38</v>
      </c>
      <c r="Q979" s="20">
        <v>39978.0</v>
      </c>
      <c r="R979" s="17">
        <f t="shared" si="2"/>
        <v>8.854995671</v>
      </c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>
        <f t="shared" si="8"/>
        <v>2</v>
      </c>
      <c r="AF979" s="19">
        <f t="shared" si="13"/>
        <v>2</v>
      </c>
      <c r="AG979" s="9"/>
      <c r="AH979" s="9"/>
      <c r="AI979" s="9"/>
    </row>
    <row r="980" ht="15.0" customHeight="1">
      <c r="A980" s="11">
        <v>979.0</v>
      </c>
      <c r="B980" s="12">
        <f t="shared" si="165"/>
        <v>39976</v>
      </c>
      <c r="C980" s="13">
        <v>2009.0</v>
      </c>
      <c r="D980" s="11" t="s">
        <v>39</v>
      </c>
      <c r="E980" s="11">
        <v>38.0</v>
      </c>
      <c r="F980" s="21" t="s">
        <v>1191</v>
      </c>
      <c r="G980" s="15">
        <v>0.0848282589721211</v>
      </c>
      <c r="H980" s="11" t="s">
        <v>33</v>
      </c>
      <c r="I980" s="16">
        <v>4.08</v>
      </c>
      <c r="J980" s="11" t="s">
        <v>1108</v>
      </c>
      <c r="K980" s="11" t="s">
        <v>47</v>
      </c>
      <c r="L980" s="11" t="s">
        <v>27</v>
      </c>
      <c r="M980" s="11" t="s">
        <v>28</v>
      </c>
      <c r="N980" s="11" t="s">
        <v>197</v>
      </c>
      <c r="O980" s="11" t="s">
        <v>1193</v>
      </c>
      <c r="P980" s="11" t="s">
        <v>75</v>
      </c>
      <c r="Q980" s="20">
        <v>39978.0</v>
      </c>
      <c r="R980" s="17">
        <f t="shared" si="2"/>
        <v>151.2046751</v>
      </c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>
        <f t="shared" si="8"/>
        <v>1</v>
      </c>
      <c r="AF980" s="19">
        <f t="shared" si="13"/>
        <v>3</v>
      </c>
      <c r="AG980" s="9"/>
      <c r="AH980" s="9"/>
      <c r="AI980" s="9"/>
    </row>
    <row r="981" ht="15.0" customHeight="1">
      <c r="A981" s="11">
        <v>980.0</v>
      </c>
      <c r="B981" s="12">
        <f t="shared" si="165"/>
        <v>39976</v>
      </c>
      <c r="C981" s="13">
        <v>2009.0</v>
      </c>
      <c r="D981" s="11" t="s">
        <v>39</v>
      </c>
      <c r="E981" s="11">
        <v>50.0</v>
      </c>
      <c r="F981" s="21" t="s">
        <v>135</v>
      </c>
      <c r="G981" s="15">
        <v>0.055810008481764234</v>
      </c>
      <c r="H981" s="11" t="s">
        <v>33</v>
      </c>
      <c r="I981" s="16">
        <v>3.9600000000000004</v>
      </c>
      <c r="J981" s="11" t="s">
        <v>1108</v>
      </c>
      <c r="K981" s="11" t="s">
        <v>47</v>
      </c>
      <c r="L981" s="11" t="s">
        <v>27</v>
      </c>
      <c r="M981" s="11" t="s">
        <v>49</v>
      </c>
      <c r="N981" s="11" t="s">
        <v>73</v>
      </c>
      <c r="O981" s="11" t="s">
        <v>136</v>
      </c>
      <c r="P981" s="11" t="s">
        <v>99</v>
      </c>
      <c r="Q981" s="20">
        <v>39978.0</v>
      </c>
      <c r="R981" s="17">
        <f t="shared" si="2"/>
        <v>18.63831043</v>
      </c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>
        <f t="shared" si="8"/>
        <v>1</v>
      </c>
      <c r="AF981" s="19">
        <f t="shared" si="13"/>
        <v>3</v>
      </c>
      <c r="AG981" s="9"/>
      <c r="AH981" s="9"/>
      <c r="AI981" s="9"/>
    </row>
    <row r="982" ht="15.0" customHeight="1">
      <c r="A982" s="11">
        <v>981.0</v>
      </c>
      <c r="B982" s="12">
        <f t="shared" si="165"/>
        <v>39976</v>
      </c>
      <c r="C982" s="13">
        <v>2009.0</v>
      </c>
      <c r="D982" s="11" t="s">
        <v>32</v>
      </c>
      <c r="E982" s="11">
        <v>3.0</v>
      </c>
      <c r="F982" s="21" t="s">
        <v>158</v>
      </c>
      <c r="G982" s="15">
        <v>0.08316546762589919</v>
      </c>
      <c r="H982" s="11" t="s">
        <v>24</v>
      </c>
      <c r="I982" s="16">
        <v>6.288</v>
      </c>
      <c r="J982" s="11" t="s">
        <v>781</v>
      </c>
      <c r="K982" s="11" t="s">
        <v>65</v>
      </c>
      <c r="L982" s="11" t="s">
        <v>27</v>
      </c>
      <c r="M982" s="11" t="s">
        <v>28</v>
      </c>
      <c r="N982" s="11" t="s">
        <v>56</v>
      </c>
      <c r="O982" s="11" t="s">
        <v>1285</v>
      </c>
      <c r="P982" s="11" t="s">
        <v>38</v>
      </c>
      <c r="Q982" s="20">
        <v>39978.0</v>
      </c>
      <c r="R982" s="17">
        <f t="shared" si="2"/>
        <v>2.119721439</v>
      </c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>
        <f t="shared" si="8"/>
        <v>1</v>
      </c>
      <c r="AF982" s="19">
        <f t="shared" si="13"/>
        <v>5</v>
      </c>
      <c r="AG982" s="9"/>
      <c r="AH982" s="9"/>
      <c r="AI982" s="9"/>
    </row>
    <row r="983" ht="15.0" customHeight="1">
      <c r="A983" s="11">
        <v>982.0</v>
      </c>
      <c r="B983" s="12">
        <f t="shared" si="165"/>
        <v>39976</v>
      </c>
      <c r="C983" s="13">
        <v>2009.0</v>
      </c>
      <c r="D983" s="11" t="s">
        <v>32</v>
      </c>
      <c r="E983" s="11">
        <v>22.0</v>
      </c>
      <c r="F983" s="21" t="s">
        <v>1456</v>
      </c>
      <c r="G983" s="15">
        <v>0.03694254619083777</v>
      </c>
      <c r="H983" s="11" t="s">
        <v>33</v>
      </c>
      <c r="I983" s="16">
        <v>6.504000000000001</v>
      </c>
      <c r="J983" s="11" t="s">
        <v>781</v>
      </c>
      <c r="K983" s="11" t="s">
        <v>65</v>
      </c>
      <c r="L983" s="11" t="s">
        <v>27</v>
      </c>
      <c r="M983" s="11" t="s">
        <v>28</v>
      </c>
      <c r="N983" s="11" t="s">
        <v>236</v>
      </c>
      <c r="O983" s="11" t="s">
        <v>1457</v>
      </c>
      <c r="P983" s="11" t="s">
        <v>38</v>
      </c>
      <c r="Q983" s="20">
        <v>39978.0</v>
      </c>
      <c r="R983" s="17">
        <f t="shared" si="2"/>
        <v>14.0567866</v>
      </c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>
        <f t="shared" si="8"/>
        <v>1</v>
      </c>
      <c r="AF983" s="19">
        <f t="shared" si="13"/>
        <v>5</v>
      </c>
      <c r="AG983" s="9"/>
      <c r="AH983" s="9"/>
      <c r="AI983" s="9"/>
    </row>
    <row r="984" ht="15.0" customHeight="1">
      <c r="A984" s="11">
        <v>983.0</v>
      </c>
      <c r="B984" s="12">
        <f t="shared" si="165"/>
        <v>39976</v>
      </c>
      <c r="C984" s="13">
        <v>2009.0</v>
      </c>
      <c r="D984" s="11" t="s">
        <v>44</v>
      </c>
      <c r="E984" s="11">
        <v>25.0</v>
      </c>
      <c r="F984" s="21" t="s">
        <v>1458</v>
      </c>
      <c r="G984" s="15">
        <v>0.039994177583697235</v>
      </c>
      <c r="H984" s="11" t="s">
        <v>33</v>
      </c>
      <c r="I984" s="16">
        <v>8.096</v>
      </c>
      <c r="J984" s="11" t="s">
        <v>1447</v>
      </c>
      <c r="K984" s="11" t="s">
        <v>61</v>
      </c>
      <c r="L984" s="11" t="s">
        <v>36</v>
      </c>
      <c r="M984" s="11" t="s">
        <v>49</v>
      </c>
      <c r="N984" s="11" t="s">
        <v>73</v>
      </c>
      <c r="O984" s="11" t="s">
        <v>1459</v>
      </c>
      <c r="P984" s="11" t="s">
        <v>31</v>
      </c>
      <c r="Q984" s="20">
        <v>39978.0</v>
      </c>
      <c r="R984" s="17">
        <f t="shared" si="2"/>
        <v>105.5084799</v>
      </c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>
        <f t="shared" si="8"/>
        <v>2</v>
      </c>
      <c r="AF984" s="19">
        <f t="shared" si="13"/>
        <v>4</v>
      </c>
      <c r="AG984" s="9"/>
      <c r="AH984" s="9"/>
      <c r="AI984" s="9"/>
    </row>
    <row r="985" ht="15.0" customHeight="1">
      <c r="A985" s="11">
        <v>984.0</v>
      </c>
      <c r="B985" s="12">
        <f t="shared" si="165"/>
        <v>39976</v>
      </c>
      <c r="C985" s="13">
        <v>2009.0</v>
      </c>
      <c r="D985" s="11" t="s">
        <v>44</v>
      </c>
      <c r="E985" s="11">
        <v>47.0</v>
      </c>
      <c r="F985" s="21" t="s">
        <v>397</v>
      </c>
      <c r="G985" s="15">
        <v>0.07266055045871579</v>
      </c>
      <c r="H985" s="11" t="s">
        <v>45</v>
      </c>
      <c r="I985" s="16">
        <v>36.408</v>
      </c>
      <c r="J985" s="11" t="s">
        <v>1447</v>
      </c>
      <c r="K985" s="11" t="s">
        <v>61</v>
      </c>
      <c r="L985" s="11" t="s">
        <v>36</v>
      </c>
      <c r="M985" s="11" t="s">
        <v>49</v>
      </c>
      <c r="N985" s="11" t="s">
        <v>85</v>
      </c>
      <c r="O985" s="11" t="s">
        <v>399</v>
      </c>
      <c r="P985" s="11" t="s">
        <v>87</v>
      </c>
      <c r="Q985" s="20">
        <v>39978.0</v>
      </c>
      <c r="R985" s="17">
        <f t="shared" si="2"/>
        <v>110.9023794</v>
      </c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>
        <f t="shared" si="8"/>
        <v>2</v>
      </c>
      <c r="AF985" s="19">
        <f t="shared" si="13"/>
        <v>4</v>
      </c>
      <c r="AG985" s="9"/>
      <c r="AH985" s="9"/>
      <c r="AI985" s="9"/>
    </row>
    <row r="986" ht="15.0" customHeight="1">
      <c r="A986" s="11">
        <v>985.0</v>
      </c>
      <c r="B986" s="12">
        <f t="shared" si="165"/>
        <v>39976</v>
      </c>
      <c r="C986" s="13">
        <v>2009.0</v>
      </c>
      <c r="D986" s="11" t="s">
        <v>44</v>
      </c>
      <c r="E986" s="11">
        <v>36.0</v>
      </c>
      <c r="F986" s="21" t="s">
        <v>766</v>
      </c>
      <c r="G986" s="15">
        <v>0.04124496049024336</v>
      </c>
      <c r="H986" s="11" t="s">
        <v>45</v>
      </c>
      <c r="I986" s="16">
        <v>43.792</v>
      </c>
      <c r="J986" s="11" t="s">
        <v>1447</v>
      </c>
      <c r="K986" s="11" t="s">
        <v>61</v>
      </c>
      <c r="L986" s="11" t="s">
        <v>36</v>
      </c>
      <c r="M986" s="11" t="s">
        <v>49</v>
      </c>
      <c r="N986" s="11" t="s">
        <v>156</v>
      </c>
      <c r="O986" s="11" t="s">
        <v>767</v>
      </c>
      <c r="P986" s="11" t="s">
        <v>87</v>
      </c>
      <c r="Q986" s="20">
        <v>39978.0</v>
      </c>
      <c r="R986" s="17">
        <f t="shared" si="2"/>
        <v>196.1689511</v>
      </c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>
        <f t="shared" si="8"/>
        <v>2</v>
      </c>
      <c r="AF986" s="19">
        <f t="shared" si="13"/>
        <v>4</v>
      </c>
      <c r="AG986" s="9"/>
      <c r="AH986" s="9"/>
      <c r="AI986" s="9"/>
    </row>
    <row r="987" ht="15.0" customHeight="1">
      <c r="A987" s="11">
        <v>986.0</v>
      </c>
      <c r="B987" s="12">
        <f t="shared" ref="B987:B991" si="166">DATE(2012,12,31)-1297</f>
        <v>39977</v>
      </c>
      <c r="C987" s="13">
        <v>2009.0</v>
      </c>
      <c r="D987" s="11" t="s">
        <v>44</v>
      </c>
      <c r="E987" s="11">
        <v>16.0</v>
      </c>
      <c r="F987" s="21" t="s">
        <v>869</v>
      </c>
      <c r="G987" s="15">
        <v>0.048731357737749434</v>
      </c>
      <c r="H987" s="11" t="s">
        <v>33</v>
      </c>
      <c r="I987" s="16">
        <v>0.792</v>
      </c>
      <c r="J987" s="11" t="s">
        <v>1460</v>
      </c>
      <c r="K987" s="11" t="s">
        <v>35</v>
      </c>
      <c r="L987" s="11" t="s">
        <v>36</v>
      </c>
      <c r="M987" s="11" t="s">
        <v>66</v>
      </c>
      <c r="N987" s="11" t="s">
        <v>80</v>
      </c>
      <c r="O987" s="11" t="s">
        <v>870</v>
      </c>
      <c r="P987" s="11" t="s">
        <v>58</v>
      </c>
      <c r="Q987" s="20">
        <v>39978.0</v>
      </c>
      <c r="R987" s="17">
        <f t="shared" si="2"/>
        <v>67.01497331</v>
      </c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>
        <f t="shared" si="8"/>
        <v>2</v>
      </c>
      <c r="AF987" s="19">
        <f t="shared" si="13"/>
        <v>2</v>
      </c>
      <c r="AG987" s="9"/>
      <c r="AH987" s="9"/>
      <c r="AI987" s="9"/>
    </row>
    <row r="988" ht="15.0" customHeight="1">
      <c r="A988" s="11">
        <v>987.0</v>
      </c>
      <c r="B988" s="12">
        <f t="shared" si="166"/>
        <v>39977</v>
      </c>
      <c r="C988" s="13">
        <v>2009.0</v>
      </c>
      <c r="D988" s="11" t="s">
        <v>32</v>
      </c>
      <c r="E988" s="11">
        <v>33.0</v>
      </c>
      <c r="F988" s="21" t="s">
        <v>1461</v>
      </c>
      <c r="G988" s="15">
        <v>0.07823519870235195</v>
      </c>
      <c r="H988" s="11" t="s">
        <v>33</v>
      </c>
      <c r="I988" s="16">
        <v>3.968</v>
      </c>
      <c r="J988" s="11" t="s">
        <v>1462</v>
      </c>
      <c r="K988" s="11" t="s">
        <v>61</v>
      </c>
      <c r="L988" s="11" t="s">
        <v>27</v>
      </c>
      <c r="M988" s="11" t="s">
        <v>28</v>
      </c>
      <c r="N988" s="11" t="s">
        <v>29</v>
      </c>
      <c r="O988" s="11" t="s">
        <v>1463</v>
      </c>
      <c r="P988" s="11" t="s">
        <v>38</v>
      </c>
      <c r="Q988" s="20">
        <v>39979.0</v>
      </c>
      <c r="R988" s="17">
        <f t="shared" si="2"/>
        <v>44.4585599</v>
      </c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>
        <f t="shared" si="8"/>
        <v>1</v>
      </c>
      <c r="AF988" s="19">
        <f t="shared" si="13"/>
        <v>4</v>
      </c>
      <c r="AG988" s="9"/>
      <c r="AH988" s="9"/>
      <c r="AI988" s="9"/>
    </row>
    <row r="989" ht="15.0" customHeight="1">
      <c r="A989" s="11">
        <v>988.0</v>
      </c>
      <c r="B989" s="12">
        <f t="shared" si="166"/>
        <v>39977</v>
      </c>
      <c r="C989" s="13">
        <v>2009.0</v>
      </c>
      <c r="D989" s="11" t="s">
        <v>44</v>
      </c>
      <c r="E989" s="11">
        <v>29.0</v>
      </c>
      <c r="F989" s="21" t="s">
        <v>130</v>
      </c>
      <c r="G989" s="15">
        <v>0.03293991416309018</v>
      </c>
      <c r="H989" s="11" t="s">
        <v>33</v>
      </c>
      <c r="I989" s="16">
        <v>5.2</v>
      </c>
      <c r="J989" s="11" t="s">
        <v>608</v>
      </c>
      <c r="K989" s="11" t="s">
        <v>35</v>
      </c>
      <c r="L989" s="11" t="s">
        <v>48</v>
      </c>
      <c r="M989" s="11" t="s">
        <v>66</v>
      </c>
      <c r="N989" s="11" t="s">
        <v>67</v>
      </c>
      <c r="O989" s="11" t="s">
        <v>1464</v>
      </c>
      <c r="P989" s="11" t="s">
        <v>38</v>
      </c>
      <c r="Q989" s="20">
        <v>39980.0</v>
      </c>
      <c r="R989" s="17">
        <f t="shared" si="2"/>
        <v>29.68874464</v>
      </c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>
        <f t="shared" si="8"/>
        <v>4</v>
      </c>
      <c r="AF989" s="19">
        <f t="shared" si="13"/>
        <v>2</v>
      </c>
      <c r="AG989" s="9"/>
      <c r="AH989" s="9"/>
      <c r="AI989" s="9"/>
    </row>
    <row r="990" ht="15.0" customHeight="1">
      <c r="A990" s="11">
        <v>989.0</v>
      </c>
      <c r="B990" s="12">
        <f t="shared" si="166"/>
        <v>39977</v>
      </c>
      <c r="C990" s="13">
        <v>2009.0</v>
      </c>
      <c r="D990" s="11" t="s">
        <v>32</v>
      </c>
      <c r="E990" s="11">
        <v>9.0</v>
      </c>
      <c r="F990" s="21" t="s">
        <v>1465</v>
      </c>
      <c r="G990" s="15">
        <v>0.06595218658892125</v>
      </c>
      <c r="H990" s="11" t="s">
        <v>33</v>
      </c>
      <c r="I990" s="16">
        <v>0.792</v>
      </c>
      <c r="J990" s="11" t="s">
        <v>1466</v>
      </c>
      <c r="K990" s="11" t="s">
        <v>65</v>
      </c>
      <c r="L990" s="11" t="s">
        <v>48</v>
      </c>
      <c r="M990" s="11" t="s">
        <v>28</v>
      </c>
      <c r="N990" s="11" t="s">
        <v>197</v>
      </c>
      <c r="O990" s="11" t="s">
        <v>1467</v>
      </c>
      <c r="P990" s="11" t="s">
        <v>38</v>
      </c>
      <c r="Q990" s="20">
        <v>39980.0</v>
      </c>
      <c r="R990" s="17">
        <f t="shared" si="2"/>
        <v>105.6482801</v>
      </c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>
        <f t="shared" si="8"/>
        <v>4</v>
      </c>
      <c r="AF990" s="19">
        <f t="shared" si="13"/>
        <v>5</v>
      </c>
      <c r="AG990" s="9"/>
      <c r="AH990" s="9"/>
      <c r="AI990" s="9"/>
    </row>
    <row r="991" ht="15.0" customHeight="1">
      <c r="A991" s="11">
        <v>990.0</v>
      </c>
      <c r="B991" s="12">
        <f t="shared" si="166"/>
        <v>39977</v>
      </c>
      <c r="C991" s="13">
        <v>2009.0</v>
      </c>
      <c r="D991" s="11" t="s">
        <v>32</v>
      </c>
      <c r="E991" s="11">
        <v>11.0</v>
      </c>
      <c r="F991" s="21" t="s">
        <v>284</v>
      </c>
      <c r="G991" s="15">
        <v>0.057235772357723626</v>
      </c>
      <c r="H991" s="11" t="s">
        <v>24</v>
      </c>
      <c r="I991" s="16">
        <v>1.192</v>
      </c>
      <c r="J991" s="11" t="s">
        <v>1466</v>
      </c>
      <c r="K991" s="11" t="s">
        <v>65</v>
      </c>
      <c r="L991" s="11" t="s">
        <v>48</v>
      </c>
      <c r="M991" s="11" t="s">
        <v>28</v>
      </c>
      <c r="N991" s="11" t="s">
        <v>42</v>
      </c>
      <c r="O991" s="11" t="s">
        <v>1344</v>
      </c>
      <c r="P991" s="11" t="s">
        <v>38</v>
      </c>
      <c r="Q991" s="20">
        <v>39980.0</v>
      </c>
      <c r="R991" s="17">
        <f t="shared" si="2"/>
        <v>1.327412033</v>
      </c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>
        <f t="shared" si="8"/>
        <v>4</v>
      </c>
      <c r="AF991" s="19">
        <f t="shared" si="13"/>
        <v>5</v>
      </c>
      <c r="AG991" s="9"/>
      <c r="AH991" s="9"/>
      <c r="AI991" s="9"/>
    </row>
    <row r="992" ht="15.0" customHeight="1">
      <c r="A992" s="11">
        <v>991.0</v>
      </c>
      <c r="B992" s="12">
        <f t="shared" ref="B992:B995" si="167">DATE(2012,12,31)-1296</f>
        <v>39978</v>
      </c>
      <c r="C992" s="13">
        <v>2009.0</v>
      </c>
      <c r="D992" s="11" t="s">
        <v>23</v>
      </c>
      <c r="E992" s="11">
        <v>11.0</v>
      </c>
      <c r="F992" s="21" t="s">
        <v>336</v>
      </c>
      <c r="G992" s="15">
        <v>0.018812785388127917</v>
      </c>
      <c r="H992" s="11" t="s">
        <v>33</v>
      </c>
      <c r="I992" s="16">
        <v>0.664</v>
      </c>
      <c r="J992" s="11" t="s">
        <v>479</v>
      </c>
      <c r="K992" s="11" t="s">
        <v>35</v>
      </c>
      <c r="L992" s="11" t="s">
        <v>48</v>
      </c>
      <c r="M992" s="11" t="s">
        <v>28</v>
      </c>
      <c r="N992" s="11" t="s">
        <v>62</v>
      </c>
      <c r="O992" s="11" t="s">
        <v>1341</v>
      </c>
      <c r="P992" s="11" t="s">
        <v>58</v>
      </c>
      <c r="Q992" s="20">
        <v>39980.0</v>
      </c>
      <c r="R992" s="17">
        <f t="shared" si="2"/>
        <v>1.212747397</v>
      </c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>
        <f t="shared" si="8"/>
        <v>4</v>
      </c>
      <c r="AF992" s="19">
        <f t="shared" si="13"/>
        <v>2</v>
      </c>
      <c r="AG992" s="9"/>
      <c r="AH992" s="9"/>
      <c r="AI992" s="9"/>
    </row>
    <row r="993" ht="15.0" customHeight="1">
      <c r="A993" s="11">
        <v>992.0</v>
      </c>
      <c r="B993" s="12">
        <f t="shared" si="167"/>
        <v>39978</v>
      </c>
      <c r="C993" s="13">
        <v>2009.0</v>
      </c>
      <c r="D993" s="11" t="s">
        <v>39</v>
      </c>
      <c r="E993" s="11">
        <v>41.0</v>
      </c>
      <c r="F993" s="21" t="s">
        <v>108</v>
      </c>
      <c r="G993" s="15">
        <v>0.02027168044014488</v>
      </c>
      <c r="H993" s="11" t="s">
        <v>33</v>
      </c>
      <c r="I993" s="16">
        <v>16.968</v>
      </c>
      <c r="J993" s="11" t="s">
        <v>1468</v>
      </c>
      <c r="K993" s="11" t="s">
        <v>83</v>
      </c>
      <c r="L993" s="11" t="s">
        <v>27</v>
      </c>
      <c r="M993" s="11" t="s">
        <v>49</v>
      </c>
      <c r="N993" s="11" t="s">
        <v>73</v>
      </c>
      <c r="O993" s="11" t="s">
        <v>109</v>
      </c>
      <c r="P993" s="11" t="s">
        <v>31</v>
      </c>
      <c r="Q993" s="20">
        <v>39980.0</v>
      </c>
      <c r="R993" s="17">
        <f t="shared" si="2"/>
        <v>174.7169107</v>
      </c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>
        <f t="shared" si="8"/>
        <v>1</v>
      </c>
      <c r="AF993" s="19" t="b">
        <f t="shared" si="13"/>
        <v>0</v>
      </c>
      <c r="AG993" s="9"/>
      <c r="AH993" s="9"/>
      <c r="AI993" s="9"/>
    </row>
    <row r="994" ht="15.0" customHeight="1">
      <c r="A994" s="11">
        <v>993.0</v>
      </c>
      <c r="B994" s="12">
        <f t="shared" si="167"/>
        <v>39978</v>
      </c>
      <c r="C994" s="13">
        <v>2009.0</v>
      </c>
      <c r="D994" s="11" t="s">
        <v>39</v>
      </c>
      <c r="E994" s="11">
        <v>21.0</v>
      </c>
      <c r="F994" s="21" t="s">
        <v>105</v>
      </c>
      <c r="G994" s="15">
        <v>0.010445471483533687</v>
      </c>
      <c r="H994" s="11" t="s">
        <v>33</v>
      </c>
      <c r="I994" s="16">
        <v>9.232</v>
      </c>
      <c r="J994" s="11" t="s">
        <v>1468</v>
      </c>
      <c r="K994" s="11" t="s">
        <v>83</v>
      </c>
      <c r="L994" s="11" t="s">
        <v>27</v>
      </c>
      <c r="M994" s="11" t="s">
        <v>49</v>
      </c>
      <c r="N994" s="11" t="s">
        <v>73</v>
      </c>
      <c r="O994" s="11" t="s">
        <v>107</v>
      </c>
      <c r="P994" s="11" t="s">
        <v>31</v>
      </c>
      <c r="Q994" s="20">
        <v>39980.0</v>
      </c>
      <c r="R994" s="17">
        <f t="shared" si="2"/>
        <v>42.71708989</v>
      </c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>
        <f t="shared" si="8"/>
        <v>1</v>
      </c>
      <c r="AF994" s="19" t="b">
        <f t="shared" si="13"/>
        <v>0</v>
      </c>
      <c r="AG994" s="9"/>
      <c r="AH994" s="9"/>
      <c r="AI994" s="9"/>
    </row>
    <row r="995" ht="15.0" customHeight="1">
      <c r="A995" s="11">
        <v>994.0</v>
      </c>
      <c r="B995" s="12">
        <f t="shared" si="167"/>
        <v>39978</v>
      </c>
      <c r="C995" s="13">
        <v>2009.0</v>
      </c>
      <c r="D995" s="11" t="s">
        <v>23</v>
      </c>
      <c r="E995" s="11">
        <v>24.0</v>
      </c>
      <c r="F995" s="21" t="s">
        <v>1469</v>
      </c>
      <c r="G995" s="15">
        <v>0.07478451477769536</v>
      </c>
      <c r="H995" s="11" t="s">
        <v>33</v>
      </c>
      <c r="I995" s="16">
        <v>15.991999999999999</v>
      </c>
      <c r="J995" s="11" t="s">
        <v>1470</v>
      </c>
      <c r="K995" s="11" t="s">
        <v>65</v>
      </c>
      <c r="L995" s="11" t="s">
        <v>27</v>
      </c>
      <c r="M995" s="11" t="s">
        <v>28</v>
      </c>
      <c r="N995" s="11" t="s">
        <v>42</v>
      </c>
      <c r="O995" s="11" t="s">
        <v>1471</v>
      </c>
      <c r="P995" s="11" t="s">
        <v>38</v>
      </c>
      <c r="Q995" s="20">
        <v>39981.0</v>
      </c>
      <c r="R995" s="17">
        <f t="shared" si="2"/>
        <v>568.1822312</v>
      </c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>
        <f t="shared" si="8"/>
        <v>1</v>
      </c>
      <c r="AF995" s="19">
        <f t="shared" si="13"/>
        <v>5</v>
      </c>
      <c r="AG995" s="9"/>
      <c r="AH995" s="9"/>
      <c r="AI995" s="9"/>
    </row>
    <row r="996" ht="15.0" customHeight="1">
      <c r="A996" s="11">
        <v>995.0</v>
      </c>
      <c r="B996" s="12">
        <f t="shared" ref="B996:B1002" si="168">DATE(2012,12,31)-1295</f>
        <v>39979</v>
      </c>
      <c r="C996" s="13">
        <v>2009.0</v>
      </c>
      <c r="D996" s="11" t="s">
        <v>39</v>
      </c>
      <c r="E996" s="11">
        <v>14.0</v>
      </c>
      <c r="F996" s="21" t="s">
        <v>103</v>
      </c>
      <c r="G996" s="15">
        <v>0.09706896551724134</v>
      </c>
      <c r="H996" s="11" t="s">
        <v>33</v>
      </c>
      <c r="I996" s="16">
        <v>1.192</v>
      </c>
      <c r="J996" s="11" t="s">
        <v>1472</v>
      </c>
      <c r="K996" s="11" t="s">
        <v>83</v>
      </c>
      <c r="L996" s="11" t="s">
        <v>27</v>
      </c>
      <c r="M996" s="11" t="s">
        <v>28</v>
      </c>
      <c r="N996" s="11" t="s">
        <v>42</v>
      </c>
      <c r="O996" s="11" t="s">
        <v>1473</v>
      </c>
      <c r="P996" s="11" t="s">
        <v>38</v>
      </c>
      <c r="Q996" s="20">
        <v>39981.0</v>
      </c>
      <c r="R996" s="17">
        <f t="shared" si="2"/>
        <v>8.133602759</v>
      </c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>
        <f t="shared" si="8"/>
        <v>1</v>
      </c>
      <c r="AF996" s="19" t="b">
        <f t="shared" si="13"/>
        <v>0</v>
      </c>
      <c r="AG996" s="9"/>
      <c r="AH996" s="9"/>
      <c r="AI996" s="9"/>
    </row>
    <row r="997" ht="15.0" customHeight="1">
      <c r="A997" s="11">
        <v>996.0</v>
      </c>
      <c r="B997" s="12">
        <f t="shared" si="168"/>
        <v>39979</v>
      </c>
      <c r="C997" s="13">
        <v>2009.0</v>
      </c>
      <c r="D997" s="11" t="s">
        <v>23</v>
      </c>
      <c r="E997" s="11">
        <v>50.0</v>
      </c>
      <c r="F997" s="21" t="s">
        <v>158</v>
      </c>
      <c r="G997" s="15">
        <v>0.05527104959630913</v>
      </c>
      <c r="H997" s="11" t="s">
        <v>33</v>
      </c>
      <c r="I997" s="16">
        <v>7.632</v>
      </c>
      <c r="J997" s="11" t="s">
        <v>1252</v>
      </c>
      <c r="K997" s="11" t="s">
        <v>35</v>
      </c>
      <c r="L997" s="11" t="s">
        <v>27</v>
      </c>
      <c r="M997" s="11" t="s">
        <v>28</v>
      </c>
      <c r="N997" s="11" t="s">
        <v>56</v>
      </c>
      <c r="O997" s="11" t="s">
        <v>1474</v>
      </c>
      <c r="P997" s="11" t="s">
        <v>38</v>
      </c>
      <c r="Q997" s="20">
        <v>39981.0</v>
      </c>
      <c r="R997" s="17">
        <f t="shared" si="2"/>
        <v>18.10856452</v>
      </c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>
        <f t="shared" si="8"/>
        <v>1</v>
      </c>
      <c r="AF997" s="19">
        <f t="shared" si="13"/>
        <v>2</v>
      </c>
      <c r="AG997" s="9"/>
      <c r="AH997" s="9"/>
      <c r="AI997" s="9"/>
    </row>
    <row r="998" ht="15.0" customHeight="1">
      <c r="A998" s="11">
        <v>997.0</v>
      </c>
      <c r="B998" s="12">
        <f t="shared" si="168"/>
        <v>39979</v>
      </c>
      <c r="C998" s="13">
        <v>2009.0</v>
      </c>
      <c r="D998" s="11" t="s">
        <v>23</v>
      </c>
      <c r="E998" s="11">
        <v>10.0</v>
      </c>
      <c r="F998" s="21" t="s">
        <v>242</v>
      </c>
      <c r="G998" s="15">
        <v>0.032669777086573315</v>
      </c>
      <c r="H998" s="11" t="s">
        <v>45</v>
      </c>
      <c r="I998" s="16">
        <v>37.392</v>
      </c>
      <c r="J998" s="11" t="s">
        <v>873</v>
      </c>
      <c r="K998" s="11" t="s">
        <v>83</v>
      </c>
      <c r="L998" s="11" t="s">
        <v>41</v>
      </c>
      <c r="M998" s="11" t="s">
        <v>49</v>
      </c>
      <c r="N998" s="11" t="s">
        <v>156</v>
      </c>
      <c r="O998" s="11" t="s">
        <v>244</v>
      </c>
      <c r="P998" s="11" t="s">
        <v>87</v>
      </c>
      <c r="Q998" s="20">
        <v>39981.0</v>
      </c>
      <c r="R998" s="17">
        <f t="shared" si="2"/>
        <v>24.38446026</v>
      </c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>
        <f t="shared" si="8"/>
        <v>3</v>
      </c>
      <c r="AF998" s="19" t="b">
        <f t="shared" si="13"/>
        <v>0</v>
      </c>
      <c r="AG998" s="9"/>
      <c r="AH998" s="9"/>
      <c r="AI998" s="9"/>
    </row>
    <row r="999" ht="15.0" customHeight="1">
      <c r="A999" s="11">
        <v>998.0</v>
      </c>
      <c r="B999" s="12">
        <f t="shared" si="168"/>
        <v>39979</v>
      </c>
      <c r="C999" s="13">
        <v>2009.0</v>
      </c>
      <c r="D999" s="11" t="s">
        <v>23</v>
      </c>
      <c r="E999" s="11">
        <v>15.0</v>
      </c>
      <c r="F999" s="21" t="s">
        <v>261</v>
      </c>
      <c r="G999" s="15">
        <v>0.05787288633893416</v>
      </c>
      <c r="H999" s="11" t="s">
        <v>45</v>
      </c>
      <c r="I999" s="16">
        <v>24.0</v>
      </c>
      <c r="J999" s="11" t="s">
        <v>873</v>
      </c>
      <c r="K999" s="11" t="s">
        <v>83</v>
      </c>
      <c r="L999" s="11" t="s">
        <v>41</v>
      </c>
      <c r="M999" s="11" t="s">
        <v>49</v>
      </c>
      <c r="N999" s="11" t="s">
        <v>50</v>
      </c>
      <c r="O999" s="11" t="s">
        <v>92</v>
      </c>
      <c r="P999" s="11" t="s">
        <v>52</v>
      </c>
      <c r="Q999" s="20">
        <v>39981.0</v>
      </c>
      <c r="R999" s="17">
        <f t="shared" si="2"/>
        <v>306.0028865</v>
      </c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>
        <f t="shared" si="8"/>
        <v>3</v>
      </c>
      <c r="AF999" s="19" t="b">
        <f t="shared" si="13"/>
        <v>0</v>
      </c>
      <c r="AG999" s="9"/>
      <c r="AH999" s="9"/>
      <c r="AI999" s="9"/>
    </row>
    <row r="1000" ht="15.0" customHeight="1">
      <c r="A1000" s="11">
        <v>999.0</v>
      </c>
      <c r="B1000" s="12">
        <f t="shared" si="168"/>
        <v>39979</v>
      </c>
      <c r="C1000" s="13">
        <v>2009.0</v>
      </c>
      <c r="D1000" s="11" t="s">
        <v>23</v>
      </c>
      <c r="E1000" s="11">
        <v>41.0</v>
      </c>
      <c r="F1000" s="21" t="s">
        <v>1261</v>
      </c>
      <c r="G1000" s="15">
        <v>0.041925333786886794</v>
      </c>
      <c r="H1000" s="11" t="s">
        <v>33</v>
      </c>
      <c r="I1000" s="16">
        <v>3.2</v>
      </c>
      <c r="J1000" s="11" t="s">
        <v>873</v>
      </c>
      <c r="K1000" s="11" t="s">
        <v>83</v>
      </c>
      <c r="L1000" s="11" t="s">
        <v>41</v>
      </c>
      <c r="M1000" s="11" t="s">
        <v>66</v>
      </c>
      <c r="N1000" s="11" t="s">
        <v>67</v>
      </c>
      <c r="O1000" s="11" t="s">
        <v>1262</v>
      </c>
      <c r="P1000" s="11" t="s">
        <v>38</v>
      </c>
      <c r="Q1000" s="20">
        <v>39981.0</v>
      </c>
      <c r="R1000" s="17">
        <f t="shared" si="2"/>
        <v>47.23308104</v>
      </c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>
        <f t="shared" si="8"/>
        <v>3</v>
      </c>
      <c r="AF1000" s="19" t="b">
        <f t="shared" si="13"/>
        <v>0</v>
      </c>
      <c r="AG1000" s="9"/>
      <c r="AH1000" s="9"/>
      <c r="AI1000" s="9"/>
    </row>
    <row r="1001" ht="15.0" customHeight="1">
      <c r="A1001" s="11">
        <v>1000.0</v>
      </c>
      <c r="B1001" s="12">
        <f t="shared" si="168"/>
        <v>39979</v>
      </c>
      <c r="C1001" s="13">
        <v>2009.0</v>
      </c>
      <c r="D1001" s="11" t="s">
        <v>23</v>
      </c>
      <c r="E1001" s="11">
        <v>35.0</v>
      </c>
      <c r="F1001" s="21" t="s">
        <v>290</v>
      </c>
      <c r="G1001" s="15">
        <v>0.04464646464646466</v>
      </c>
      <c r="H1001" s="11" t="s">
        <v>33</v>
      </c>
      <c r="I1001" s="16">
        <v>4.328</v>
      </c>
      <c r="J1001" s="11" t="s">
        <v>719</v>
      </c>
      <c r="K1001" s="11" t="s">
        <v>61</v>
      </c>
      <c r="L1001" s="11" t="s">
        <v>48</v>
      </c>
      <c r="M1001" s="11" t="s">
        <v>28</v>
      </c>
      <c r="N1001" s="11" t="s">
        <v>42</v>
      </c>
      <c r="O1001" s="11" t="s">
        <v>1475</v>
      </c>
      <c r="P1001" s="11" t="s">
        <v>38</v>
      </c>
      <c r="Q1001" s="20">
        <v>39981.0</v>
      </c>
      <c r="R1001" s="17">
        <f t="shared" si="2"/>
        <v>6.756260202</v>
      </c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>
        <f t="shared" si="8"/>
        <v>4</v>
      </c>
      <c r="AF1001" s="19">
        <f t="shared" si="13"/>
        <v>4</v>
      </c>
      <c r="AG1001" s="9"/>
      <c r="AH1001" s="9"/>
      <c r="AI1001" s="9"/>
    </row>
    <row r="1002" ht="15.0" customHeight="1">
      <c r="A1002" s="11">
        <v>1001.0</v>
      </c>
      <c r="B1002" s="12">
        <f t="shared" si="168"/>
        <v>39979</v>
      </c>
      <c r="C1002" s="13">
        <v>2009.0</v>
      </c>
      <c r="D1002" s="11" t="s">
        <v>23</v>
      </c>
      <c r="E1002" s="11">
        <v>48.0</v>
      </c>
      <c r="F1002" s="21" t="s">
        <v>333</v>
      </c>
      <c r="G1002" s="15">
        <v>0.051831750339213126</v>
      </c>
      <c r="H1002" s="11" t="s">
        <v>33</v>
      </c>
      <c r="I1002" s="16">
        <v>0.5599999999999999</v>
      </c>
      <c r="J1002" s="11" t="s">
        <v>719</v>
      </c>
      <c r="K1002" s="11" t="s">
        <v>61</v>
      </c>
      <c r="L1002" s="11" t="s">
        <v>48</v>
      </c>
      <c r="M1002" s="11" t="s">
        <v>28</v>
      </c>
      <c r="N1002" s="11" t="s">
        <v>62</v>
      </c>
      <c r="O1002" s="11" t="s">
        <v>480</v>
      </c>
      <c r="P1002" s="11" t="s">
        <v>58</v>
      </c>
      <c r="Q1002" s="20">
        <v>39982.0</v>
      </c>
      <c r="R1002" s="17">
        <f t="shared" si="2"/>
        <v>7.244005427</v>
      </c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>
        <f t="shared" si="8"/>
        <v>4</v>
      </c>
      <c r="AF1002" s="19">
        <f t="shared" si="13"/>
        <v>4</v>
      </c>
      <c r="AG1002" s="9"/>
      <c r="AH1002" s="9"/>
      <c r="AI1002" s="9"/>
    </row>
    <row r="1003" ht="15.0" customHeight="1">
      <c r="A1003" s="11">
        <v>1002.0</v>
      </c>
      <c r="B1003" s="12">
        <f>DATE(2012,12,31)-1294</f>
        <v>39980</v>
      </c>
      <c r="C1003" s="13">
        <v>2009.0</v>
      </c>
      <c r="D1003" s="11" t="s">
        <v>39</v>
      </c>
      <c r="E1003" s="11">
        <v>16.0</v>
      </c>
      <c r="F1003" s="21" t="s">
        <v>1078</v>
      </c>
      <c r="G1003" s="15">
        <v>0.007801078490113965</v>
      </c>
      <c r="H1003" s="11" t="s">
        <v>33</v>
      </c>
      <c r="I1003" s="16">
        <v>15.991999999999999</v>
      </c>
      <c r="J1003" s="11" t="s">
        <v>1476</v>
      </c>
      <c r="K1003" s="11" t="s">
        <v>65</v>
      </c>
      <c r="L1003" s="11" t="s">
        <v>36</v>
      </c>
      <c r="M1003" s="11" t="s">
        <v>66</v>
      </c>
      <c r="N1003" s="11" t="s">
        <v>67</v>
      </c>
      <c r="O1003" s="11" t="s">
        <v>1079</v>
      </c>
      <c r="P1003" s="11" t="s">
        <v>38</v>
      </c>
      <c r="Q1003" s="20">
        <v>39982.0</v>
      </c>
      <c r="R1003" s="17">
        <f t="shared" si="2"/>
        <v>5.167371983</v>
      </c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>
        <f t="shared" si="8"/>
        <v>2</v>
      </c>
      <c r="AF1003" s="19">
        <f t="shared" si="13"/>
        <v>5</v>
      </c>
      <c r="AG1003" s="9"/>
      <c r="AH1003" s="9"/>
      <c r="AI1003" s="9"/>
    </row>
    <row r="1004" ht="15.0" customHeight="1">
      <c r="A1004" s="11">
        <v>1003.0</v>
      </c>
      <c r="B1004" s="12">
        <f t="shared" ref="B1004:B1017" si="169">DATE(2012,12,31)-1293</f>
        <v>39981</v>
      </c>
      <c r="C1004" s="13">
        <v>2009.0</v>
      </c>
      <c r="D1004" s="11" t="s">
        <v>23</v>
      </c>
      <c r="E1004" s="11">
        <v>25.0</v>
      </c>
      <c r="F1004" s="21" t="s">
        <v>629</v>
      </c>
      <c r="G1004" s="15">
        <v>0.09691340106434437</v>
      </c>
      <c r="H1004" s="11" t="s">
        <v>33</v>
      </c>
      <c r="I1004" s="16">
        <v>4.168</v>
      </c>
      <c r="J1004" s="11" t="s">
        <v>1298</v>
      </c>
      <c r="K1004" s="11" t="s">
        <v>47</v>
      </c>
      <c r="L1004" s="11" t="s">
        <v>48</v>
      </c>
      <c r="M1004" s="11" t="s">
        <v>49</v>
      </c>
      <c r="N1004" s="11" t="s">
        <v>73</v>
      </c>
      <c r="O1004" s="11" t="s">
        <v>1477</v>
      </c>
      <c r="P1004" s="11" t="s">
        <v>38</v>
      </c>
      <c r="Q1004" s="20">
        <v>39982.0</v>
      </c>
      <c r="R1004" s="17">
        <f t="shared" si="2"/>
        <v>18.09063075</v>
      </c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>
        <f t="shared" si="8"/>
        <v>4</v>
      </c>
      <c r="AF1004" s="19">
        <f t="shared" si="13"/>
        <v>3</v>
      </c>
      <c r="AG1004" s="9"/>
      <c r="AH1004" s="9"/>
      <c r="AI1004" s="9"/>
    </row>
    <row r="1005" ht="15.0" customHeight="1">
      <c r="A1005" s="11">
        <v>1004.0</v>
      </c>
      <c r="B1005" s="12">
        <f t="shared" si="169"/>
        <v>39981</v>
      </c>
      <c r="C1005" s="13">
        <v>2009.0</v>
      </c>
      <c r="D1005" s="11" t="s">
        <v>23</v>
      </c>
      <c r="E1005" s="11">
        <v>44.0</v>
      </c>
      <c r="F1005" s="21" t="s">
        <v>103</v>
      </c>
      <c r="G1005" s="15">
        <v>0.05476702508960564</v>
      </c>
      <c r="H1005" s="11" t="s">
        <v>33</v>
      </c>
      <c r="I1005" s="16">
        <v>4.12</v>
      </c>
      <c r="J1005" s="11" t="s">
        <v>1298</v>
      </c>
      <c r="K1005" s="11" t="s">
        <v>47</v>
      </c>
      <c r="L1005" s="11" t="s">
        <v>48</v>
      </c>
      <c r="M1005" s="11" t="s">
        <v>28</v>
      </c>
      <c r="N1005" s="11" t="s">
        <v>56</v>
      </c>
      <c r="O1005" s="11" t="s">
        <v>1478</v>
      </c>
      <c r="P1005" s="11" t="s">
        <v>38</v>
      </c>
      <c r="Q1005" s="20">
        <v>39982.0</v>
      </c>
      <c r="R1005" s="17">
        <f t="shared" si="2"/>
        <v>14.44315986</v>
      </c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>
        <f t="shared" si="8"/>
        <v>4</v>
      </c>
      <c r="AF1005" s="19">
        <f t="shared" si="13"/>
        <v>3</v>
      </c>
      <c r="AG1005" s="9"/>
      <c r="AH1005" s="9"/>
      <c r="AI1005" s="9"/>
    </row>
    <row r="1006" ht="15.0" customHeight="1">
      <c r="A1006" s="11">
        <v>1005.0</v>
      </c>
      <c r="B1006" s="12">
        <f t="shared" si="169"/>
        <v>39981</v>
      </c>
      <c r="C1006" s="13">
        <v>2009.0</v>
      </c>
      <c r="D1006" s="11" t="s">
        <v>23</v>
      </c>
      <c r="E1006" s="11">
        <v>33.0</v>
      </c>
      <c r="F1006" s="21" t="s">
        <v>962</v>
      </c>
      <c r="G1006" s="15">
        <v>0.043598001110494035</v>
      </c>
      <c r="H1006" s="11" t="s">
        <v>33</v>
      </c>
      <c r="I1006" s="16">
        <v>8.544</v>
      </c>
      <c r="J1006" s="11" t="s">
        <v>1298</v>
      </c>
      <c r="K1006" s="11" t="s">
        <v>47</v>
      </c>
      <c r="L1006" s="11" t="s">
        <v>48</v>
      </c>
      <c r="M1006" s="11" t="s">
        <v>28</v>
      </c>
      <c r="N1006" s="11" t="s">
        <v>29</v>
      </c>
      <c r="O1006" s="11" t="s">
        <v>1180</v>
      </c>
      <c r="P1006" s="11" t="s">
        <v>38</v>
      </c>
      <c r="Q1006" s="20">
        <v>39982.0</v>
      </c>
      <c r="R1006" s="17">
        <f t="shared" si="2"/>
        <v>22.52900549</v>
      </c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>
        <f t="shared" si="8"/>
        <v>4</v>
      </c>
      <c r="AF1006" s="19">
        <f t="shared" si="13"/>
        <v>3</v>
      </c>
      <c r="AG1006" s="9"/>
      <c r="AH1006" s="9"/>
      <c r="AI1006" s="9"/>
    </row>
    <row r="1007" ht="15.0" customHeight="1">
      <c r="A1007" s="11">
        <v>1006.0</v>
      </c>
      <c r="B1007" s="12">
        <f t="shared" si="169"/>
        <v>39981</v>
      </c>
      <c r="C1007" s="13">
        <v>2009.0</v>
      </c>
      <c r="D1007" s="11" t="s">
        <v>44</v>
      </c>
      <c r="E1007" s="11">
        <v>37.0</v>
      </c>
      <c r="F1007" s="21" t="s">
        <v>1479</v>
      </c>
      <c r="G1007" s="15">
        <v>0.06623436776285309</v>
      </c>
      <c r="H1007" s="11" t="s">
        <v>33</v>
      </c>
      <c r="I1007" s="16">
        <v>3.6</v>
      </c>
      <c r="J1007" s="11" t="s">
        <v>897</v>
      </c>
      <c r="K1007" s="11" t="s">
        <v>26</v>
      </c>
      <c r="L1007" s="11" t="s">
        <v>41</v>
      </c>
      <c r="M1007" s="11" t="s">
        <v>28</v>
      </c>
      <c r="N1007" s="11" t="s">
        <v>197</v>
      </c>
      <c r="O1007" s="11" t="s">
        <v>1480</v>
      </c>
      <c r="P1007" s="11" t="s">
        <v>38</v>
      </c>
      <c r="Q1007" s="20">
        <v>39982.0</v>
      </c>
      <c r="R1007" s="17">
        <f t="shared" si="2"/>
        <v>26.70569708</v>
      </c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>
        <f t="shared" si="8"/>
        <v>3</v>
      </c>
      <c r="AF1007" s="19">
        <f t="shared" si="13"/>
        <v>1</v>
      </c>
      <c r="AG1007" s="9"/>
      <c r="AH1007" s="9"/>
      <c r="AI1007" s="9"/>
    </row>
    <row r="1008" ht="15.0" customHeight="1">
      <c r="A1008" s="11">
        <v>1007.0</v>
      </c>
      <c r="B1008" s="12">
        <f t="shared" si="169"/>
        <v>39981</v>
      </c>
      <c r="C1008" s="13">
        <v>2009.0</v>
      </c>
      <c r="D1008" s="11" t="s">
        <v>44</v>
      </c>
      <c r="E1008" s="11">
        <v>42.0</v>
      </c>
      <c r="F1008" s="21" t="s">
        <v>707</v>
      </c>
      <c r="G1008" s="15">
        <v>0.034948453608247526</v>
      </c>
      <c r="H1008" s="11" t="s">
        <v>33</v>
      </c>
      <c r="I1008" s="16">
        <v>4.128</v>
      </c>
      <c r="J1008" s="11" t="s">
        <v>897</v>
      </c>
      <c r="K1008" s="11" t="s">
        <v>26</v>
      </c>
      <c r="L1008" s="11" t="s">
        <v>41</v>
      </c>
      <c r="M1008" s="11" t="s">
        <v>49</v>
      </c>
      <c r="N1008" s="11" t="s">
        <v>73</v>
      </c>
      <c r="O1008" s="11" t="s">
        <v>975</v>
      </c>
      <c r="P1008" s="11" t="s">
        <v>38</v>
      </c>
      <c r="Q1008" s="20">
        <v>39983.0</v>
      </c>
      <c r="R1008" s="17">
        <f t="shared" si="2"/>
        <v>15.70331876</v>
      </c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>
        <f t="shared" si="8"/>
        <v>3</v>
      </c>
      <c r="AF1008" s="19">
        <f t="shared" si="13"/>
        <v>1</v>
      </c>
      <c r="AG1008" s="9"/>
      <c r="AH1008" s="9"/>
      <c r="AI1008" s="9"/>
    </row>
    <row r="1009" ht="15.0" customHeight="1">
      <c r="A1009" s="11">
        <v>1008.0</v>
      </c>
      <c r="B1009" s="12">
        <f t="shared" si="169"/>
        <v>39981</v>
      </c>
      <c r="C1009" s="13">
        <v>2009.0</v>
      </c>
      <c r="D1009" s="11" t="s">
        <v>44</v>
      </c>
      <c r="E1009" s="11">
        <v>11.0</v>
      </c>
      <c r="F1009" s="21" t="s">
        <v>668</v>
      </c>
      <c r="G1009" s="15">
        <v>0.04558823529411768</v>
      </c>
      <c r="H1009" s="11" t="s">
        <v>33</v>
      </c>
      <c r="I1009" s="16">
        <v>3.9600000000000004</v>
      </c>
      <c r="J1009" s="11" t="s">
        <v>897</v>
      </c>
      <c r="K1009" s="11" t="s">
        <v>26</v>
      </c>
      <c r="L1009" s="11" t="s">
        <v>41</v>
      </c>
      <c r="M1009" s="11" t="s">
        <v>49</v>
      </c>
      <c r="N1009" s="11" t="s">
        <v>73</v>
      </c>
      <c r="O1009" s="11" t="s">
        <v>1481</v>
      </c>
      <c r="P1009" s="11" t="s">
        <v>38</v>
      </c>
      <c r="Q1009" s="20">
        <v>39983.0</v>
      </c>
      <c r="R1009" s="17">
        <f t="shared" si="2"/>
        <v>4.142147059</v>
      </c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>
        <f t="shared" si="8"/>
        <v>3</v>
      </c>
      <c r="AF1009" s="19">
        <f t="shared" si="13"/>
        <v>1</v>
      </c>
      <c r="AG1009" s="9"/>
      <c r="AH1009" s="9"/>
      <c r="AI1009" s="9"/>
    </row>
    <row r="1010" ht="15.0" customHeight="1">
      <c r="A1010" s="11">
        <v>1009.0</v>
      </c>
      <c r="B1010" s="12">
        <f t="shared" si="169"/>
        <v>39981</v>
      </c>
      <c r="C1010" s="13">
        <v>2009.0</v>
      </c>
      <c r="D1010" s="11" t="s">
        <v>44</v>
      </c>
      <c r="E1010" s="11">
        <v>25.0</v>
      </c>
      <c r="F1010" s="21" t="s">
        <v>186</v>
      </c>
      <c r="G1010" s="15">
        <v>0.01592626728110607</v>
      </c>
      <c r="H1010" s="11" t="s">
        <v>33</v>
      </c>
      <c r="I1010" s="16">
        <v>4.272</v>
      </c>
      <c r="J1010" s="11" t="s">
        <v>1482</v>
      </c>
      <c r="K1010" s="11" t="s">
        <v>61</v>
      </c>
      <c r="L1010" s="11" t="s">
        <v>36</v>
      </c>
      <c r="M1010" s="11" t="s">
        <v>28</v>
      </c>
      <c r="N1010" s="11" t="s">
        <v>42</v>
      </c>
      <c r="O1010" s="11" t="s">
        <v>1483</v>
      </c>
      <c r="P1010" s="11" t="s">
        <v>38</v>
      </c>
      <c r="Q1010" s="20">
        <v>39983.0</v>
      </c>
      <c r="R1010" s="17">
        <f t="shared" si="2"/>
        <v>1.70047941</v>
      </c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>
        <f t="shared" si="8"/>
        <v>2</v>
      </c>
      <c r="AF1010" s="19">
        <f t="shared" si="13"/>
        <v>4</v>
      </c>
      <c r="AG1010" s="9"/>
      <c r="AH1010" s="9"/>
      <c r="AI1010" s="9"/>
    </row>
    <row r="1011" ht="15.0" customHeight="1">
      <c r="A1011" s="11">
        <v>1010.0</v>
      </c>
      <c r="B1011" s="12">
        <f t="shared" si="169"/>
        <v>39981</v>
      </c>
      <c r="C1011" s="13">
        <v>2009.0</v>
      </c>
      <c r="D1011" s="11" t="s">
        <v>44</v>
      </c>
      <c r="E1011" s="11">
        <v>24.0</v>
      </c>
      <c r="F1011" s="21" t="s">
        <v>766</v>
      </c>
      <c r="G1011" s="15">
        <v>0.09454462762933477</v>
      </c>
      <c r="H1011" s="11" t="s">
        <v>45</v>
      </c>
      <c r="I1011" s="16">
        <v>43.792</v>
      </c>
      <c r="J1011" s="11" t="s">
        <v>1482</v>
      </c>
      <c r="K1011" s="11" t="s">
        <v>61</v>
      </c>
      <c r="L1011" s="11" t="s">
        <v>36</v>
      </c>
      <c r="M1011" s="11" t="s">
        <v>49</v>
      </c>
      <c r="N1011" s="11" t="s">
        <v>156</v>
      </c>
      <c r="O1011" s="11" t="s">
        <v>767</v>
      </c>
      <c r="P1011" s="11" t="s">
        <v>87</v>
      </c>
      <c r="Q1011" s="20">
        <v>39983.0</v>
      </c>
      <c r="R1011" s="17">
        <f t="shared" si="2"/>
        <v>301.1617005</v>
      </c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>
        <f t="shared" si="8"/>
        <v>2</v>
      </c>
      <c r="AF1011" s="19">
        <f t="shared" si="13"/>
        <v>4</v>
      </c>
      <c r="AG1011" s="9"/>
      <c r="AH1011" s="9"/>
      <c r="AI1011" s="9"/>
    </row>
    <row r="1012" ht="15.0" customHeight="1">
      <c r="A1012" s="11">
        <v>1011.0</v>
      </c>
      <c r="B1012" s="12">
        <f t="shared" si="169"/>
        <v>39981</v>
      </c>
      <c r="C1012" s="13">
        <v>2009.0</v>
      </c>
      <c r="D1012" s="11" t="s">
        <v>44</v>
      </c>
      <c r="E1012" s="11">
        <v>26.0</v>
      </c>
      <c r="F1012" s="21" t="s">
        <v>455</v>
      </c>
      <c r="G1012" s="15">
        <v>0.02761873191899733</v>
      </c>
      <c r="H1012" s="11" t="s">
        <v>24</v>
      </c>
      <c r="I1012" s="16">
        <v>5.5680000000000005</v>
      </c>
      <c r="J1012" s="11" t="s">
        <v>1092</v>
      </c>
      <c r="K1012" s="11" t="s">
        <v>26</v>
      </c>
      <c r="L1012" s="11" t="s">
        <v>41</v>
      </c>
      <c r="M1012" s="11" t="s">
        <v>28</v>
      </c>
      <c r="N1012" s="11" t="s">
        <v>197</v>
      </c>
      <c r="O1012" s="11" t="s">
        <v>457</v>
      </c>
      <c r="P1012" s="11" t="s">
        <v>75</v>
      </c>
      <c r="Q1012" s="20">
        <v>39983.0</v>
      </c>
      <c r="R1012" s="17">
        <f t="shared" si="2"/>
        <v>8.555399349</v>
      </c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>
        <f t="shared" si="8"/>
        <v>3</v>
      </c>
      <c r="AF1012" s="19">
        <f t="shared" si="13"/>
        <v>1</v>
      </c>
      <c r="AG1012" s="9"/>
      <c r="AH1012" s="9"/>
      <c r="AI1012" s="9"/>
    </row>
    <row r="1013" ht="15.0" customHeight="1">
      <c r="A1013" s="11">
        <v>1012.0</v>
      </c>
      <c r="B1013" s="12">
        <f t="shared" si="169"/>
        <v>39981</v>
      </c>
      <c r="C1013" s="13">
        <v>2009.0</v>
      </c>
      <c r="D1013" s="11" t="s">
        <v>44</v>
      </c>
      <c r="E1013" s="11">
        <v>33.0</v>
      </c>
      <c r="F1013" s="21" t="s">
        <v>122</v>
      </c>
      <c r="G1013" s="15">
        <v>0.02680834711635257</v>
      </c>
      <c r="H1013" s="11" t="s">
        <v>33</v>
      </c>
      <c r="I1013" s="16">
        <v>3.2</v>
      </c>
      <c r="J1013" s="11" t="s">
        <v>1484</v>
      </c>
      <c r="K1013" s="11" t="s">
        <v>65</v>
      </c>
      <c r="L1013" s="11" t="s">
        <v>48</v>
      </c>
      <c r="M1013" s="11" t="s">
        <v>66</v>
      </c>
      <c r="N1013" s="11" t="s">
        <v>67</v>
      </c>
      <c r="O1013" s="11" t="s">
        <v>1485</v>
      </c>
      <c r="P1013" s="11" t="s">
        <v>38</v>
      </c>
      <c r="Q1013" s="20">
        <v>39984.0</v>
      </c>
      <c r="R1013" s="17">
        <f t="shared" si="2"/>
        <v>18.57550372</v>
      </c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>
        <f t="shared" si="8"/>
        <v>4</v>
      </c>
      <c r="AF1013" s="19">
        <f t="shared" si="13"/>
        <v>5</v>
      </c>
      <c r="AG1013" s="9"/>
      <c r="AH1013" s="9"/>
      <c r="AI1013" s="9"/>
    </row>
    <row r="1014" ht="15.0" customHeight="1">
      <c r="A1014" s="11">
        <v>1013.0</v>
      </c>
      <c r="B1014" s="12">
        <f t="shared" si="169"/>
        <v>39981</v>
      </c>
      <c r="C1014" s="13">
        <v>2009.0</v>
      </c>
      <c r="D1014" s="11" t="s">
        <v>44</v>
      </c>
      <c r="E1014" s="11">
        <v>8.0</v>
      </c>
      <c r="F1014" s="21" t="s">
        <v>130</v>
      </c>
      <c r="G1014" s="15">
        <v>0.01713395638629297</v>
      </c>
      <c r="H1014" s="11" t="s">
        <v>33</v>
      </c>
      <c r="I1014" s="16">
        <v>5.2</v>
      </c>
      <c r="J1014" s="11" t="s">
        <v>1484</v>
      </c>
      <c r="K1014" s="11" t="s">
        <v>65</v>
      </c>
      <c r="L1014" s="11" t="s">
        <v>48</v>
      </c>
      <c r="M1014" s="11" t="s">
        <v>66</v>
      </c>
      <c r="N1014" s="11" t="s">
        <v>67</v>
      </c>
      <c r="O1014" s="11" t="s">
        <v>1464</v>
      </c>
      <c r="P1014" s="11" t="s">
        <v>38</v>
      </c>
      <c r="Q1014" s="20">
        <v>39984.0</v>
      </c>
      <c r="R1014" s="17">
        <f t="shared" si="2"/>
        <v>4.324610592</v>
      </c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>
        <f t="shared" si="8"/>
        <v>4</v>
      </c>
      <c r="AF1014" s="19">
        <f t="shared" si="13"/>
        <v>5</v>
      </c>
      <c r="AG1014" s="9"/>
      <c r="AH1014" s="9"/>
      <c r="AI1014" s="9"/>
    </row>
    <row r="1015" ht="15.0" customHeight="1">
      <c r="A1015" s="11">
        <v>1014.0</v>
      </c>
      <c r="B1015" s="12">
        <f t="shared" si="169"/>
        <v>39981</v>
      </c>
      <c r="C1015" s="13">
        <v>2009.0</v>
      </c>
      <c r="D1015" s="11" t="s">
        <v>44</v>
      </c>
      <c r="E1015" s="11">
        <v>42.0</v>
      </c>
      <c r="F1015" s="21" t="s">
        <v>1486</v>
      </c>
      <c r="G1015" s="15">
        <v>0.03178470254957487</v>
      </c>
      <c r="H1015" s="11" t="s">
        <v>33</v>
      </c>
      <c r="I1015" s="16">
        <v>15.991999999999999</v>
      </c>
      <c r="J1015" s="11" t="s">
        <v>1484</v>
      </c>
      <c r="K1015" s="11" t="s">
        <v>65</v>
      </c>
      <c r="L1015" s="11" t="s">
        <v>48</v>
      </c>
      <c r="M1015" s="11" t="s">
        <v>49</v>
      </c>
      <c r="N1015" s="11" t="s">
        <v>73</v>
      </c>
      <c r="O1015" s="11" t="s">
        <v>1487</v>
      </c>
      <c r="P1015" s="11" t="s">
        <v>38</v>
      </c>
      <c r="Q1015" s="20">
        <v>39985.0</v>
      </c>
      <c r="R1015" s="17">
        <f t="shared" si="2"/>
        <v>69.52560408</v>
      </c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>
        <f t="shared" si="8"/>
        <v>4</v>
      </c>
      <c r="AF1015" s="19">
        <f t="shared" si="13"/>
        <v>5</v>
      </c>
      <c r="AG1015" s="9"/>
      <c r="AH1015" s="9"/>
      <c r="AI1015" s="9"/>
    </row>
    <row r="1016" ht="15.0" customHeight="1">
      <c r="A1016" s="11">
        <v>1015.0</v>
      </c>
      <c r="B1016" s="12">
        <f t="shared" si="169"/>
        <v>39981</v>
      </c>
      <c r="C1016" s="13">
        <v>2009.0</v>
      </c>
      <c r="D1016" s="11" t="s">
        <v>39</v>
      </c>
      <c r="E1016" s="11">
        <v>23.0</v>
      </c>
      <c r="F1016" s="21" t="s">
        <v>158</v>
      </c>
      <c r="G1016" s="15">
        <v>0.06996398559423757</v>
      </c>
      <c r="H1016" s="11" t="s">
        <v>33</v>
      </c>
      <c r="I1016" s="16">
        <v>7.744</v>
      </c>
      <c r="J1016" s="11" t="s">
        <v>385</v>
      </c>
      <c r="K1016" s="11" t="s">
        <v>35</v>
      </c>
      <c r="L1016" s="11" t="s">
        <v>41</v>
      </c>
      <c r="M1016" s="11" t="s">
        <v>28</v>
      </c>
      <c r="N1016" s="11" t="s">
        <v>56</v>
      </c>
      <c r="O1016" s="11" t="s">
        <v>635</v>
      </c>
      <c r="P1016" s="11" t="s">
        <v>38</v>
      </c>
      <c r="Q1016" s="20">
        <v>39985.0</v>
      </c>
      <c r="R1016" s="17">
        <f t="shared" si="2"/>
        <v>10.84049978</v>
      </c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>
        <f t="shared" si="8"/>
        <v>3</v>
      </c>
      <c r="AF1016" s="19">
        <f t="shared" si="13"/>
        <v>2</v>
      </c>
      <c r="AG1016" s="9"/>
      <c r="AH1016" s="9"/>
      <c r="AI1016" s="9"/>
    </row>
    <row r="1017" ht="15.0" customHeight="1">
      <c r="A1017" s="11">
        <v>1016.0</v>
      </c>
      <c r="B1017" s="12">
        <f t="shared" si="169"/>
        <v>39981</v>
      </c>
      <c r="C1017" s="13">
        <v>2009.0</v>
      </c>
      <c r="D1017" s="11" t="s">
        <v>39</v>
      </c>
      <c r="E1017" s="11">
        <v>16.0</v>
      </c>
      <c r="F1017" s="21" t="s">
        <v>1488</v>
      </c>
      <c r="G1017" s="15">
        <v>0.04272663387210128</v>
      </c>
      <c r="H1017" s="11" t="s">
        <v>24</v>
      </c>
      <c r="I1017" s="16">
        <v>4.08</v>
      </c>
      <c r="J1017" s="11" t="s">
        <v>385</v>
      </c>
      <c r="K1017" s="11" t="s">
        <v>35</v>
      </c>
      <c r="L1017" s="11" t="s">
        <v>41</v>
      </c>
      <c r="M1017" s="11" t="s">
        <v>28</v>
      </c>
      <c r="N1017" s="11" t="s">
        <v>29</v>
      </c>
      <c r="O1017" s="11" t="s">
        <v>1489</v>
      </c>
      <c r="P1017" s="11" t="s">
        <v>38</v>
      </c>
      <c r="Q1017" s="20">
        <v>39985.0</v>
      </c>
      <c r="R1017" s="17">
        <f t="shared" si="2"/>
        <v>23.28088826</v>
      </c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>
        <f t="shared" si="8"/>
        <v>3</v>
      </c>
      <c r="AF1017" s="19">
        <f t="shared" si="13"/>
        <v>2</v>
      </c>
      <c r="AG1017" s="9"/>
      <c r="AH1017" s="9"/>
      <c r="AI1017" s="9"/>
    </row>
    <row r="1018" ht="15.0" customHeight="1">
      <c r="A1018" s="11">
        <v>1017.0</v>
      </c>
      <c r="B1018" s="12">
        <f t="shared" ref="B1018:B1019" si="170">DATE(2012,12,31)-1292</f>
        <v>39982</v>
      </c>
      <c r="C1018" s="13">
        <v>2009.0</v>
      </c>
      <c r="D1018" s="11" t="s">
        <v>102</v>
      </c>
      <c r="E1018" s="11">
        <v>11.0</v>
      </c>
      <c r="F1018" s="21" t="s">
        <v>747</v>
      </c>
      <c r="G1018" s="15">
        <v>0.10152424942263281</v>
      </c>
      <c r="H1018" s="11" t="s">
        <v>33</v>
      </c>
      <c r="I1018" s="16">
        <v>2.3120000000000003</v>
      </c>
      <c r="J1018" s="11" t="s">
        <v>1490</v>
      </c>
      <c r="K1018" s="11" t="s">
        <v>61</v>
      </c>
      <c r="L1018" s="11" t="s">
        <v>48</v>
      </c>
      <c r="M1018" s="11" t="s">
        <v>28</v>
      </c>
      <c r="N1018" s="11" t="s">
        <v>62</v>
      </c>
      <c r="O1018" s="11" t="s">
        <v>1491</v>
      </c>
      <c r="P1018" s="11" t="s">
        <v>99</v>
      </c>
      <c r="Q1018" s="20">
        <v>39985.0</v>
      </c>
      <c r="R1018" s="17">
        <f t="shared" si="2"/>
        <v>11.8490982</v>
      </c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>
        <f t="shared" si="8"/>
        <v>4</v>
      </c>
      <c r="AF1018" s="19">
        <f t="shared" si="13"/>
        <v>4</v>
      </c>
      <c r="AG1018" s="9"/>
      <c r="AH1018" s="9"/>
      <c r="AI1018" s="9"/>
    </row>
    <row r="1019" ht="15.0" customHeight="1">
      <c r="A1019" s="11">
        <v>1018.0</v>
      </c>
      <c r="B1019" s="12">
        <f t="shared" si="170"/>
        <v>39982</v>
      </c>
      <c r="C1019" s="13">
        <v>2009.0</v>
      </c>
      <c r="D1019" s="11" t="s">
        <v>44</v>
      </c>
      <c r="E1019" s="11">
        <v>31.0</v>
      </c>
      <c r="F1019" s="21" t="s">
        <v>943</v>
      </c>
      <c r="G1019" s="15">
        <v>0.06616383991154451</v>
      </c>
      <c r="H1019" s="11" t="s">
        <v>33</v>
      </c>
      <c r="I1019" s="16">
        <v>5.2</v>
      </c>
      <c r="J1019" s="11" t="s">
        <v>1492</v>
      </c>
      <c r="K1019" s="11" t="s">
        <v>35</v>
      </c>
      <c r="L1019" s="11" t="s">
        <v>36</v>
      </c>
      <c r="M1019" s="11" t="s">
        <v>66</v>
      </c>
      <c r="N1019" s="11" t="s">
        <v>67</v>
      </c>
      <c r="O1019" s="11" t="s">
        <v>944</v>
      </c>
      <c r="P1019" s="11" t="s">
        <v>38</v>
      </c>
      <c r="Q1019" s="20">
        <v>39985.0</v>
      </c>
      <c r="R1019" s="17">
        <f t="shared" si="2"/>
        <v>312.9284972</v>
      </c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>
        <f t="shared" si="8"/>
        <v>2</v>
      </c>
      <c r="AF1019" s="19">
        <f t="shared" si="13"/>
        <v>2</v>
      </c>
      <c r="AG1019" s="9"/>
      <c r="AH1019" s="9"/>
      <c r="AI1019" s="9"/>
    </row>
    <row r="1020" ht="15.0" customHeight="1">
      <c r="A1020" s="11">
        <v>1019.0</v>
      </c>
      <c r="B1020" s="12">
        <f t="shared" ref="B1020:B1023" si="171">DATE(2012,12,31)-1291</f>
        <v>39983</v>
      </c>
      <c r="C1020" s="13">
        <v>2009.0</v>
      </c>
      <c r="D1020" s="11" t="s">
        <v>23</v>
      </c>
      <c r="E1020" s="11">
        <v>3.0</v>
      </c>
      <c r="F1020" s="21" t="s">
        <v>256</v>
      </c>
      <c r="G1020" s="15">
        <v>0.11636363636363634</v>
      </c>
      <c r="H1020" s="11" t="s">
        <v>33</v>
      </c>
      <c r="I1020" s="16">
        <v>5.4</v>
      </c>
      <c r="J1020" s="11" t="s">
        <v>843</v>
      </c>
      <c r="K1020" s="11" t="s">
        <v>61</v>
      </c>
      <c r="L1020" s="11" t="s">
        <v>48</v>
      </c>
      <c r="M1020" s="11" t="s">
        <v>28</v>
      </c>
      <c r="N1020" s="11" t="s">
        <v>197</v>
      </c>
      <c r="O1020" s="11" t="s">
        <v>257</v>
      </c>
      <c r="P1020" s="11" t="s">
        <v>75</v>
      </c>
      <c r="Q1020" s="20">
        <v>39985.0</v>
      </c>
      <c r="R1020" s="17">
        <f t="shared" si="2"/>
        <v>5.655272727</v>
      </c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>
        <f t="shared" si="8"/>
        <v>4</v>
      </c>
      <c r="AF1020" s="19">
        <f t="shared" si="13"/>
        <v>4</v>
      </c>
      <c r="AG1020" s="9"/>
      <c r="AH1020" s="9"/>
      <c r="AI1020" s="9"/>
    </row>
    <row r="1021" ht="15.0" customHeight="1">
      <c r="A1021" s="11">
        <v>1020.0</v>
      </c>
      <c r="B1021" s="12">
        <f t="shared" si="171"/>
        <v>39983</v>
      </c>
      <c r="C1021" s="13">
        <v>2009.0</v>
      </c>
      <c r="D1021" s="11" t="s">
        <v>23</v>
      </c>
      <c r="E1021" s="11">
        <v>36.0</v>
      </c>
      <c r="F1021" s="21" t="s">
        <v>799</v>
      </c>
      <c r="G1021" s="15">
        <v>0.06672914197513843</v>
      </c>
      <c r="H1021" s="11" t="s">
        <v>45</v>
      </c>
      <c r="I1021" s="16">
        <v>45.6</v>
      </c>
      <c r="J1021" s="11" t="s">
        <v>611</v>
      </c>
      <c r="K1021" s="11" t="s">
        <v>65</v>
      </c>
      <c r="L1021" s="11" t="s">
        <v>48</v>
      </c>
      <c r="M1021" s="11" t="s">
        <v>49</v>
      </c>
      <c r="N1021" s="11" t="s">
        <v>50</v>
      </c>
      <c r="O1021" s="11" t="s">
        <v>801</v>
      </c>
      <c r="P1021" s="11" t="s">
        <v>52</v>
      </c>
      <c r="Q1021" s="20">
        <v>39986.0</v>
      </c>
      <c r="R1021" s="17">
        <f t="shared" si="2"/>
        <v>677.8346242</v>
      </c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>
        <f t="shared" si="8"/>
        <v>4</v>
      </c>
      <c r="AF1021" s="19">
        <f t="shared" si="13"/>
        <v>5</v>
      </c>
      <c r="AG1021" s="9"/>
      <c r="AH1021" s="9"/>
      <c r="AI1021" s="9"/>
    </row>
    <row r="1022" ht="15.0" customHeight="1">
      <c r="A1022" s="11">
        <v>1021.0</v>
      </c>
      <c r="B1022" s="12">
        <f t="shared" si="171"/>
        <v>39983</v>
      </c>
      <c r="C1022" s="13">
        <v>2009.0</v>
      </c>
      <c r="D1022" s="11" t="s">
        <v>23</v>
      </c>
      <c r="E1022" s="11">
        <v>39.0</v>
      </c>
      <c r="F1022" s="21" t="s">
        <v>126</v>
      </c>
      <c r="G1022" s="15">
        <v>0.02255952380952368</v>
      </c>
      <c r="H1022" s="11" t="s">
        <v>33</v>
      </c>
      <c r="I1022" s="16">
        <v>5.952000000000001</v>
      </c>
      <c r="J1022" s="11" t="s">
        <v>611</v>
      </c>
      <c r="K1022" s="11" t="s">
        <v>65</v>
      </c>
      <c r="L1022" s="11" t="s">
        <v>48</v>
      </c>
      <c r="M1022" s="11" t="s">
        <v>28</v>
      </c>
      <c r="N1022" s="11" t="s">
        <v>56</v>
      </c>
      <c r="O1022" s="11" t="s">
        <v>1230</v>
      </c>
      <c r="P1022" s="11" t="s">
        <v>38</v>
      </c>
      <c r="Q1022" s="20">
        <v>39986.0</v>
      </c>
      <c r="R1022" s="17">
        <f t="shared" si="2"/>
        <v>4.445399286</v>
      </c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>
        <f t="shared" si="8"/>
        <v>4</v>
      </c>
      <c r="AF1022" s="19">
        <f t="shared" si="13"/>
        <v>5</v>
      </c>
      <c r="AG1022" s="9"/>
      <c r="AH1022" s="9"/>
      <c r="AI1022" s="9"/>
    </row>
    <row r="1023" ht="15.0" customHeight="1">
      <c r="A1023" s="11">
        <v>1022.0</v>
      </c>
      <c r="B1023" s="12">
        <f t="shared" si="171"/>
        <v>39983</v>
      </c>
      <c r="C1023" s="13">
        <v>2009.0</v>
      </c>
      <c r="D1023" s="11" t="s">
        <v>23</v>
      </c>
      <c r="E1023" s="11">
        <v>30.0</v>
      </c>
      <c r="F1023" s="21" t="s">
        <v>415</v>
      </c>
      <c r="G1023" s="15">
        <v>0.10995461422087736</v>
      </c>
      <c r="H1023" s="11" t="s">
        <v>33</v>
      </c>
      <c r="I1023" s="16">
        <v>0.664</v>
      </c>
      <c r="J1023" s="11" t="s">
        <v>611</v>
      </c>
      <c r="K1023" s="11" t="s">
        <v>65</v>
      </c>
      <c r="L1023" s="11" t="s">
        <v>48</v>
      </c>
      <c r="M1023" s="11" t="s">
        <v>28</v>
      </c>
      <c r="N1023" s="11" t="s">
        <v>62</v>
      </c>
      <c r="O1023" s="11" t="s">
        <v>1493</v>
      </c>
      <c r="P1023" s="11" t="s">
        <v>58</v>
      </c>
      <c r="Q1023" s="20">
        <v>39986.0</v>
      </c>
      <c r="R1023" s="17">
        <f t="shared" si="2"/>
        <v>12.93769973</v>
      </c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>
        <f t="shared" si="8"/>
        <v>4</v>
      </c>
      <c r="AF1023" s="19">
        <f t="shared" si="13"/>
        <v>5</v>
      </c>
      <c r="AG1023" s="9"/>
      <c r="AH1023" s="9"/>
      <c r="AI1023" s="9"/>
    </row>
    <row r="1024" ht="15.0" customHeight="1">
      <c r="A1024" s="11">
        <v>1023.0</v>
      </c>
      <c r="B1024" s="12">
        <f t="shared" ref="B1024:B1028" si="172">DATE(2012,12,31)-1290</f>
        <v>39984</v>
      </c>
      <c r="C1024" s="13">
        <v>2009.0</v>
      </c>
      <c r="D1024" s="11" t="s">
        <v>44</v>
      </c>
      <c r="E1024" s="11">
        <v>42.0</v>
      </c>
      <c r="F1024" s="21" t="s">
        <v>810</v>
      </c>
      <c r="G1024" s="15">
        <v>0.07394182547642932</v>
      </c>
      <c r="H1024" s="11" t="s">
        <v>33</v>
      </c>
      <c r="I1024" s="16">
        <v>3.84</v>
      </c>
      <c r="J1024" s="11" t="s">
        <v>808</v>
      </c>
      <c r="K1024" s="11" t="s">
        <v>83</v>
      </c>
      <c r="L1024" s="11" t="s">
        <v>48</v>
      </c>
      <c r="M1024" s="11" t="s">
        <v>28</v>
      </c>
      <c r="N1024" s="11" t="s">
        <v>236</v>
      </c>
      <c r="O1024" s="11" t="s">
        <v>1494</v>
      </c>
      <c r="P1024" s="11" t="s">
        <v>38</v>
      </c>
      <c r="Q1024" s="20">
        <v>39986.0</v>
      </c>
      <c r="R1024" s="17">
        <f t="shared" si="2"/>
        <v>34.13450431</v>
      </c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>
        <f t="shared" si="8"/>
        <v>4</v>
      </c>
      <c r="AF1024" s="19" t="b">
        <f t="shared" si="13"/>
        <v>0</v>
      </c>
      <c r="AG1024" s="9"/>
      <c r="AH1024" s="9"/>
      <c r="AI1024" s="9"/>
    </row>
    <row r="1025" ht="15.0" customHeight="1">
      <c r="A1025" s="11">
        <v>1024.0</v>
      </c>
      <c r="B1025" s="12">
        <f t="shared" si="172"/>
        <v>39984</v>
      </c>
      <c r="C1025" s="13">
        <v>2009.0</v>
      </c>
      <c r="D1025" s="11" t="s">
        <v>23</v>
      </c>
      <c r="E1025" s="11">
        <v>39.0</v>
      </c>
      <c r="F1025" s="21" t="s">
        <v>158</v>
      </c>
      <c r="G1025" s="15">
        <v>0.09788802267895098</v>
      </c>
      <c r="H1025" s="11" t="s">
        <v>33</v>
      </c>
      <c r="I1025" s="16">
        <v>4.976</v>
      </c>
      <c r="J1025" s="11" t="s">
        <v>1387</v>
      </c>
      <c r="K1025" s="11" t="s">
        <v>26</v>
      </c>
      <c r="L1025" s="11" t="s">
        <v>41</v>
      </c>
      <c r="M1025" s="11" t="s">
        <v>28</v>
      </c>
      <c r="N1025" s="11" t="s">
        <v>56</v>
      </c>
      <c r="O1025" s="11" t="s">
        <v>1216</v>
      </c>
      <c r="P1025" s="11" t="s">
        <v>38</v>
      </c>
      <c r="Q1025" s="20">
        <v>39986.0</v>
      </c>
      <c r="R1025" s="17">
        <f t="shared" si="2"/>
        <v>24.91994126</v>
      </c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>
        <f t="shared" si="8"/>
        <v>3</v>
      </c>
      <c r="AF1025" s="19">
        <f t="shared" si="13"/>
        <v>1</v>
      </c>
      <c r="AG1025" s="9"/>
      <c r="AH1025" s="9"/>
      <c r="AI1025" s="9"/>
    </row>
    <row r="1026" ht="15.0" customHeight="1">
      <c r="A1026" s="11">
        <v>1025.0</v>
      </c>
      <c r="B1026" s="12">
        <f t="shared" si="172"/>
        <v>39984</v>
      </c>
      <c r="C1026" s="13">
        <v>2009.0</v>
      </c>
      <c r="D1026" s="11" t="s">
        <v>23</v>
      </c>
      <c r="E1026" s="11">
        <v>40.0</v>
      </c>
      <c r="F1026" s="21" t="s">
        <v>316</v>
      </c>
      <c r="G1026" s="15">
        <v>0.05719884726224787</v>
      </c>
      <c r="H1026" s="11" t="s">
        <v>33</v>
      </c>
      <c r="I1026" s="16">
        <v>7.152</v>
      </c>
      <c r="J1026" s="11" t="s">
        <v>262</v>
      </c>
      <c r="K1026" s="11" t="s">
        <v>61</v>
      </c>
      <c r="L1026" s="11" t="s">
        <v>27</v>
      </c>
      <c r="M1026" s="11" t="s">
        <v>28</v>
      </c>
      <c r="N1026" s="11" t="s">
        <v>42</v>
      </c>
      <c r="O1026" s="11" t="s">
        <v>1126</v>
      </c>
      <c r="P1026" s="11" t="s">
        <v>38</v>
      </c>
      <c r="Q1026" s="20">
        <v>39986.0</v>
      </c>
      <c r="R1026" s="17">
        <f t="shared" si="2"/>
        <v>18.71271728</v>
      </c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>
        <f t="shared" si="8"/>
        <v>1</v>
      </c>
      <c r="AF1026" s="19">
        <f t="shared" si="13"/>
        <v>4</v>
      </c>
      <c r="AG1026" s="9"/>
      <c r="AH1026" s="9"/>
      <c r="AI1026" s="9"/>
    </row>
    <row r="1027" ht="15.0" customHeight="1">
      <c r="A1027" s="11">
        <v>1026.0</v>
      </c>
      <c r="B1027" s="12">
        <f t="shared" si="172"/>
        <v>39984</v>
      </c>
      <c r="C1027" s="13">
        <v>2009.0</v>
      </c>
      <c r="D1027" s="11" t="s">
        <v>23</v>
      </c>
      <c r="E1027" s="11">
        <v>38.0</v>
      </c>
      <c r="F1027" s="21" t="s">
        <v>523</v>
      </c>
      <c r="G1027" s="15">
        <v>0.06444987775061126</v>
      </c>
      <c r="H1027" s="11" t="s">
        <v>33</v>
      </c>
      <c r="I1027" s="16">
        <v>0.792</v>
      </c>
      <c r="J1027" s="11" t="s">
        <v>584</v>
      </c>
      <c r="K1027" s="11" t="s">
        <v>65</v>
      </c>
      <c r="L1027" s="11" t="s">
        <v>36</v>
      </c>
      <c r="M1027" s="11" t="s">
        <v>28</v>
      </c>
      <c r="N1027" s="11" t="s">
        <v>188</v>
      </c>
      <c r="O1027" s="11" t="s">
        <v>1495</v>
      </c>
      <c r="P1027" s="11" t="s">
        <v>38</v>
      </c>
      <c r="Q1027" s="20">
        <v>39986.0</v>
      </c>
      <c r="R1027" s="17">
        <f t="shared" si="2"/>
        <v>7.398330367</v>
      </c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>
        <f t="shared" si="8"/>
        <v>2</v>
      </c>
      <c r="AF1027" s="19">
        <f t="shared" si="13"/>
        <v>5</v>
      </c>
      <c r="AG1027" s="9"/>
      <c r="AH1027" s="9"/>
      <c r="AI1027" s="9"/>
    </row>
    <row r="1028" ht="15.0" customHeight="1">
      <c r="A1028" s="11">
        <v>1027.0</v>
      </c>
      <c r="B1028" s="12">
        <f t="shared" si="172"/>
        <v>39984</v>
      </c>
      <c r="C1028" s="13">
        <v>2009.0</v>
      </c>
      <c r="D1028" s="11" t="s">
        <v>23</v>
      </c>
      <c r="E1028" s="11">
        <v>47.0</v>
      </c>
      <c r="F1028" s="21" t="s">
        <v>204</v>
      </c>
      <c r="G1028" s="15">
        <v>0.11853893866299096</v>
      </c>
      <c r="H1028" s="11" t="s">
        <v>33</v>
      </c>
      <c r="I1028" s="16">
        <v>1.0</v>
      </c>
      <c r="J1028" s="11" t="s">
        <v>584</v>
      </c>
      <c r="K1028" s="11" t="s">
        <v>65</v>
      </c>
      <c r="L1028" s="11" t="s">
        <v>36</v>
      </c>
      <c r="M1028" s="11" t="s">
        <v>28</v>
      </c>
      <c r="N1028" s="11" t="s">
        <v>62</v>
      </c>
      <c r="O1028" s="11" t="s">
        <v>1105</v>
      </c>
      <c r="P1028" s="11" t="s">
        <v>58</v>
      </c>
      <c r="Q1028" s="20">
        <v>39986.0</v>
      </c>
      <c r="R1028" s="17">
        <f t="shared" si="2"/>
        <v>15.16113025</v>
      </c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>
        <f t="shared" si="8"/>
        <v>2</v>
      </c>
      <c r="AF1028" s="19">
        <f t="shared" si="13"/>
        <v>5</v>
      </c>
      <c r="AG1028" s="9"/>
      <c r="AH1028" s="9"/>
      <c r="AI1028" s="9"/>
    </row>
    <row r="1029" ht="15.0" customHeight="1">
      <c r="A1029" s="11">
        <v>1028.0</v>
      </c>
      <c r="B1029" s="12">
        <f t="shared" ref="B1029:B1033" si="173">DATE(2012,12,31)-1289</f>
        <v>39985</v>
      </c>
      <c r="C1029" s="13">
        <v>2009.0</v>
      </c>
      <c r="D1029" s="11" t="s">
        <v>39</v>
      </c>
      <c r="E1029" s="11">
        <v>24.0</v>
      </c>
      <c r="F1029" s="21" t="s">
        <v>319</v>
      </c>
      <c r="G1029" s="15">
        <v>0.09139784946236573</v>
      </c>
      <c r="H1029" s="11" t="s">
        <v>33</v>
      </c>
      <c r="I1029" s="16">
        <v>0.4</v>
      </c>
      <c r="J1029" s="11" t="s">
        <v>1496</v>
      </c>
      <c r="K1029" s="11" t="s">
        <v>61</v>
      </c>
      <c r="L1029" s="11" t="s">
        <v>48</v>
      </c>
      <c r="M1029" s="11" t="s">
        <v>28</v>
      </c>
      <c r="N1029" s="11" t="s">
        <v>188</v>
      </c>
      <c r="O1029" s="11" t="s">
        <v>1497</v>
      </c>
      <c r="P1029" s="11" t="s">
        <v>38</v>
      </c>
      <c r="Q1029" s="20">
        <v>39986.0</v>
      </c>
      <c r="R1029" s="17">
        <f t="shared" si="2"/>
        <v>6.178494624</v>
      </c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>
        <f t="shared" si="8"/>
        <v>4</v>
      </c>
      <c r="AF1029" s="19">
        <f t="shared" si="13"/>
        <v>4</v>
      </c>
      <c r="AG1029" s="9"/>
      <c r="AH1029" s="9"/>
      <c r="AI1029" s="9"/>
    </row>
    <row r="1030" ht="15.0" customHeight="1">
      <c r="A1030" s="11">
        <v>1029.0</v>
      </c>
      <c r="B1030" s="12">
        <f t="shared" si="173"/>
        <v>39985</v>
      </c>
      <c r="C1030" s="13">
        <v>2009.0</v>
      </c>
      <c r="D1030" s="11" t="s">
        <v>39</v>
      </c>
      <c r="E1030" s="11">
        <v>4.0</v>
      </c>
      <c r="F1030" s="21" t="s">
        <v>654</v>
      </c>
      <c r="G1030" s="15">
        <v>0.03458536585365854</v>
      </c>
      <c r="H1030" s="11" t="s">
        <v>45</v>
      </c>
      <c r="I1030" s="16">
        <v>32.152</v>
      </c>
      <c r="J1030" s="11" t="s">
        <v>1496</v>
      </c>
      <c r="K1030" s="11" t="s">
        <v>61</v>
      </c>
      <c r="L1030" s="11" t="s">
        <v>48</v>
      </c>
      <c r="M1030" s="11" t="s">
        <v>49</v>
      </c>
      <c r="N1030" s="11" t="s">
        <v>85</v>
      </c>
      <c r="O1030" s="11" t="s">
        <v>655</v>
      </c>
      <c r="P1030" s="11" t="s">
        <v>87</v>
      </c>
      <c r="Q1030" s="20">
        <v>39986.0</v>
      </c>
      <c r="R1030" s="17">
        <f t="shared" si="2"/>
        <v>49.28248624</v>
      </c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>
        <f t="shared" si="8"/>
        <v>4</v>
      </c>
      <c r="AF1030" s="19">
        <f t="shared" si="13"/>
        <v>4</v>
      </c>
      <c r="AG1030" s="9"/>
      <c r="AH1030" s="9"/>
      <c r="AI1030" s="9"/>
    </row>
    <row r="1031" ht="15.0" customHeight="1">
      <c r="A1031" s="11">
        <v>1030.0</v>
      </c>
      <c r="B1031" s="12">
        <f t="shared" si="173"/>
        <v>39985</v>
      </c>
      <c r="C1031" s="13">
        <v>2009.0</v>
      </c>
      <c r="D1031" s="11" t="s">
        <v>23</v>
      </c>
      <c r="E1031" s="11">
        <v>1.0</v>
      </c>
      <c r="F1031" s="21" t="s">
        <v>1498</v>
      </c>
      <c r="G1031" s="15">
        <v>0.07165714285714272</v>
      </c>
      <c r="H1031" s="11" t="s">
        <v>33</v>
      </c>
      <c r="I1031" s="16">
        <v>7.192</v>
      </c>
      <c r="J1031" s="11" t="s">
        <v>1499</v>
      </c>
      <c r="K1031" s="11" t="s">
        <v>117</v>
      </c>
      <c r="L1031" s="11" t="s">
        <v>27</v>
      </c>
      <c r="M1031" s="11" t="s">
        <v>49</v>
      </c>
      <c r="N1031" s="11" t="s">
        <v>73</v>
      </c>
      <c r="O1031" s="11" t="s">
        <v>1500</v>
      </c>
      <c r="P1031" s="11" t="s">
        <v>99</v>
      </c>
      <c r="Q1031" s="20">
        <v>39987.0</v>
      </c>
      <c r="R1031" s="17">
        <f t="shared" si="2"/>
        <v>2.328283886</v>
      </c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>
        <f t="shared" si="8"/>
        <v>1</v>
      </c>
      <c r="AF1031" s="19" t="b">
        <f t="shared" si="13"/>
        <v>0</v>
      </c>
      <c r="AG1031" s="9"/>
      <c r="AH1031" s="9"/>
      <c r="AI1031" s="9"/>
    </row>
    <row r="1032" ht="15.0" customHeight="1">
      <c r="A1032" s="11">
        <v>1031.0</v>
      </c>
      <c r="B1032" s="12">
        <f t="shared" si="173"/>
        <v>39985</v>
      </c>
      <c r="C1032" s="13">
        <v>2009.0</v>
      </c>
      <c r="D1032" s="11" t="s">
        <v>23</v>
      </c>
      <c r="E1032" s="11">
        <v>24.0</v>
      </c>
      <c r="F1032" s="21" t="s">
        <v>389</v>
      </c>
      <c r="G1032" s="15">
        <v>0.02127659574468076</v>
      </c>
      <c r="H1032" s="11" t="s">
        <v>45</v>
      </c>
      <c r="I1032" s="16">
        <v>11.200000000000001</v>
      </c>
      <c r="J1032" s="11" t="s">
        <v>1501</v>
      </c>
      <c r="K1032" s="11" t="s">
        <v>35</v>
      </c>
      <c r="L1032" s="11" t="s">
        <v>48</v>
      </c>
      <c r="M1032" s="11" t="s">
        <v>66</v>
      </c>
      <c r="N1032" s="11" t="s">
        <v>69</v>
      </c>
      <c r="O1032" s="11" t="s">
        <v>1502</v>
      </c>
      <c r="P1032" s="11" t="s">
        <v>52</v>
      </c>
      <c r="Q1032" s="20">
        <v>39987.0</v>
      </c>
      <c r="R1032" s="17">
        <f t="shared" si="2"/>
        <v>61.46382979</v>
      </c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>
        <f t="shared" si="8"/>
        <v>4</v>
      </c>
      <c r="AF1032" s="19">
        <f t="shared" si="13"/>
        <v>2</v>
      </c>
      <c r="AG1032" s="9"/>
      <c r="AH1032" s="9"/>
      <c r="AI1032" s="9"/>
    </row>
    <row r="1033" ht="15.0" customHeight="1">
      <c r="A1033" s="11">
        <v>1032.0</v>
      </c>
      <c r="B1033" s="12">
        <f t="shared" si="173"/>
        <v>39985</v>
      </c>
      <c r="C1033" s="13">
        <v>2009.0</v>
      </c>
      <c r="D1033" s="11" t="s">
        <v>23</v>
      </c>
      <c r="E1033" s="11">
        <v>42.0</v>
      </c>
      <c r="F1033" s="21" t="s">
        <v>158</v>
      </c>
      <c r="G1033" s="15">
        <v>0.0997916666666667</v>
      </c>
      <c r="H1033" s="11" t="s">
        <v>33</v>
      </c>
      <c r="I1033" s="16">
        <v>7.744</v>
      </c>
      <c r="J1033" s="11" t="s">
        <v>1501</v>
      </c>
      <c r="K1033" s="11" t="s">
        <v>35</v>
      </c>
      <c r="L1033" s="11" t="s">
        <v>48</v>
      </c>
      <c r="M1033" s="11" t="s">
        <v>28</v>
      </c>
      <c r="N1033" s="11" t="s">
        <v>56</v>
      </c>
      <c r="O1033" s="11" t="s">
        <v>635</v>
      </c>
      <c r="P1033" s="11" t="s">
        <v>38</v>
      </c>
      <c r="Q1033" s="20">
        <v>39987.0</v>
      </c>
      <c r="R1033" s="17">
        <f t="shared" si="2"/>
        <v>27.59678667</v>
      </c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>
        <f t="shared" si="8"/>
        <v>4</v>
      </c>
      <c r="AF1033" s="19">
        <f t="shared" si="13"/>
        <v>2</v>
      </c>
      <c r="AG1033" s="9"/>
      <c r="AH1033" s="9"/>
      <c r="AI1033" s="9"/>
    </row>
    <row r="1034" ht="15.0" customHeight="1">
      <c r="A1034" s="11">
        <v>1033.0</v>
      </c>
      <c r="B1034" s="12">
        <f t="shared" ref="B1034:B1041" si="174">DATE(2012,12,31)-1288</f>
        <v>39986</v>
      </c>
      <c r="C1034" s="13">
        <v>2009.0</v>
      </c>
      <c r="D1034" s="11" t="s">
        <v>102</v>
      </c>
      <c r="E1034" s="11">
        <v>43.0</v>
      </c>
      <c r="F1034" s="21" t="s">
        <v>306</v>
      </c>
      <c r="G1034" s="15">
        <v>0.09532336212344639</v>
      </c>
      <c r="H1034" s="11" t="s">
        <v>33</v>
      </c>
      <c r="I1034" s="16">
        <v>3.2</v>
      </c>
      <c r="J1034" s="11" t="s">
        <v>1069</v>
      </c>
      <c r="K1034" s="11" t="s">
        <v>83</v>
      </c>
      <c r="L1034" s="11" t="s">
        <v>41</v>
      </c>
      <c r="M1034" s="11" t="s">
        <v>66</v>
      </c>
      <c r="N1034" s="11" t="s">
        <v>67</v>
      </c>
      <c r="O1034" s="11" t="s">
        <v>920</v>
      </c>
      <c r="P1034" s="11" t="s">
        <v>38</v>
      </c>
      <c r="Q1034" s="20">
        <v>39987.0</v>
      </c>
      <c r="R1034" s="17">
        <f t="shared" si="2"/>
        <v>81.87323573</v>
      </c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>
        <f t="shared" si="8"/>
        <v>3</v>
      </c>
      <c r="AF1034" s="19" t="b">
        <f t="shared" si="13"/>
        <v>0</v>
      </c>
      <c r="AG1034" s="9"/>
      <c r="AH1034" s="9"/>
      <c r="AI1034" s="9"/>
    </row>
    <row r="1035" ht="15.0" customHeight="1">
      <c r="A1035" s="11">
        <v>1034.0</v>
      </c>
      <c r="B1035" s="12">
        <f t="shared" si="174"/>
        <v>39986</v>
      </c>
      <c r="C1035" s="13">
        <v>2009.0</v>
      </c>
      <c r="D1035" s="11" t="s">
        <v>102</v>
      </c>
      <c r="E1035" s="11">
        <v>11.0</v>
      </c>
      <c r="F1035" s="21" t="s">
        <v>319</v>
      </c>
      <c r="G1035" s="15">
        <v>0.11379501385041563</v>
      </c>
      <c r="H1035" s="11" t="s">
        <v>33</v>
      </c>
      <c r="I1035" s="16">
        <v>1.192</v>
      </c>
      <c r="J1035" s="11" t="s">
        <v>1069</v>
      </c>
      <c r="K1035" s="11" t="s">
        <v>83</v>
      </c>
      <c r="L1035" s="11" t="s">
        <v>41</v>
      </c>
      <c r="M1035" s="11" t="s">
        <v>28</v>
      </c>
      <c r="N1035" s="11" t="s">
        <v>42</v>
      </c>
      <c r="O1035" s="11" t="s">
        <v>1503</v>
      </c>
      <c r="P1035" s="11" t="s">
        <v>38</v>
      </c>
      <c r="Q1035" s="20">
        <v>39988.0</v>
      </c>
      <c r="R1035" s="17">
        <f t="shared" si="2"/>
        <v>3.640530083</v>
      </c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>
        <f t="shared" si="8"/>
        <v>3</v>
      </c>
      <c r="AF1035" s="19" t="b">
        <f t="shared" si="13"/>
        <v>0</v>
      </c>
      <c r="AG1035" s="9"/>
      <c r="AH1035" s="9"/>
      <c r="AI1035" s="9"/>
    </row>
    <row r="1036" ht="15.0" customHeight="1">
      <c r="A1036" s="11">
        <v>1035.0</v>
      </c>
      <c r="B1036" s="12">
        <f t="shared" si="174"/>
        <v>39986</v>
      </c>
      <c r="C1036" s="13">
        <v>2009.0</v>
      </c>
      <c r="D1036" s="11" t="s">
        <v>39</v>
      </c>
      <c r="E1036" s="11">
        <v>50.0</v>
      </c>
      <c r="F1036" s="21" t="s">
        <v>1504</v>
      </c>
      <c r="G1036" s="15">
        <v>0.0296619297408998</v>
      </c>
      <c r="H1036" s="11" t="s">
        <v>33</v>
      </c>
      <c r="I1036" s="16">
        <v>15.991999999999999</v>
      </c>
      <c r="J1036" s="11" t="s">
        <v>436</v>
      </c>
      <c r="K1036" s="11" t="s">
        <v>65</v>
      </c>
      <c r="L1036" s="11" t="s">
        <v>27</v>
      </c>
      <c r="M1036" s="11" t="s">
        <v>28</v>
      </c>
      <c r="N1036" s="11" t="s">
        <v>42</v>
      </c>
      <c r="O1036" s="11" t="s">
        <v>1505</v>
      </c>
      <c r="P1036" s="11" t="s">
        <v>38</v>
      </c>
      <c r="Q1036" s="20">
        <v>39988.0</v>
      </c>
      <c r="R1036" s="17">
        <f t="shared" si="2"/>
        <v>452.6704725</v>
      </c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>
        <f t="shared" si="8"/>
        <v>1</v>
      </c>
      <c r="AF1036" s="19">
        <f t="shared" si="13"/>
        <v>5</v>
      </c>
      <c r="AG1036" s="9"/>
      <c r="AH1036" s="9"/>
      <c r="AI1036" s="9"/>
    </row>
    <row r="1037" ht="15.0" customHeight="1">
      <c r="A1037" s="11">
        <v>1036.0</v>
      </c>
      <c r="B1037" s="12">
        <f t="shared" si="174"/>
        <v>39986</v>
      </c>
      <c r="C1037" s="13">
        <v>2009.0</v>
      </c>
      <c r="D1037" s="11" t="s">
        <v>39</v>
      </c>
      <c r="E1037" s="11">
        <v>31.0</v>
      </c>
      <c r="F1037" s="21" t="s">
        <v>178</v>
      </c>
      <c r="G1037" s="15">
        <v>0.08461689587426319</v>
      </c>
      <c r="H1037" s="11" t="s">
        <v>33</v>
      </c>
      <c r="I1037" s="16">
        <v>7.192</v>
      </c>
      <c r="J1037" s="11" t="s">
        <v>436</v>
      </c>
      <c r="K1037" s="11" t="s">
        <v>65</v>
      </c>
      <c r="L1037" s="11" t="s">
        <v>27</v>
      </c>
      <c r="M1037" s="11" t="s">
        <v>66</v>
      </c>
      <c r="N1037" s="11" t="s">
        <v>80</v>
      </c>
      <c r="O1037" s="11" t="s">
        <v>1506</v>
      </c>
      <c r="P1037" s="11" t="s">
        <v>38</v>
      </c>
      <c r="Q1037" s="20">
        <v>39988.0</v>
      </c>
      <c r="R1037" s="17">
        <f t="shared" si="2"/>
        <v>173.4724213</v>
      </c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>
        <f t="shared" si="8"/>
        <v>1</v>
      </c>
      <c r="AF1037" s="19">
        <f t="shared" si="13"/>
        <v>5</v>
      </c>
      <c r="AG1037" s="9"/>
      <c r="AH1037" s="9"/>
      <c r="AI1037" s="9"/>
    </row>
    <row r="1038" ht="15.0" customHeight="1">
      <c r="A1038" s="11">
        <v>1037.0</v>
      </c>
      <c r="B1038" s="12">
        <f t="shared" si="174"/>
        <v>39986</v>
      </c>
      <c r="C1038" s="13">
        <v>2009.0</v>
      </c>
      <c r="D1038" s="11" t="s">
        <v>44</v>
      </c>
      <c r="E1038" s="11">
        <v>23.0</v>
      </c>
      <c r="F1038" s="21" t="s">
        <v>128</v>
      </c>
      <c r="G1038" s="15">
        <v>0.048813870407393954</v>
      </c>
      <c r="H1038" s="11" t="s">
        <v>33</v>
      </c>
      <c r="I1038" s="16">
        <v>6.464</v>
      </c>
      <c r="J1038" s="11" t="s">
        <v>1507</v>
      </c>
      <c r="K1038" s="11" t="s">
        <v>61</v>
      </c>
      <c r="L1038" s="11" t="s">
        <v>36</v>
      </c>
      <c r="M1038" s="11" t="s">
        <v>66</v>
      </c>
      <c r="N1038" s="11" t="s">
        <v>80</v>
      </c>
      <c r="O1038" s="11" t="s">
        <v>1508</v>
      </c>
      <c r="P1038" s="11" t="s">
        <v>38</v>
      </c>
      <c r="Q1038" s="20">
        <v>39988.0</v>
      </c>
      <c r="R1038" s="17">
        <f t="shared" si="2"/>
        <v>141.6658574</v>
      </c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>
        <f t="shared" si="8"/>
        <v>2</v>
      </c>
      <c r="AF1038" s="19">
        <f t="shared" si="13"/>
        <v>4</v>
      </c>
      <c r="AG1038" s="9"/>
      <c r="AH1038" s="9"/>
      <c r="AI1038" s="9"/>
    </row>
    <row r="1039" ht="15.0" customHeight="1">
      <c r="A1039" s="11">
        <v>1038.0</v>
      </c>
      <c r="B1039" s="12">
        <f t="shared" si="174"/>
        <v>39986</v>
      </c>
      <c r="C1039" s="13">
        <v>2009.0</v>
      </c>
      <c r="D1039" s="11" t="s">
        <v>32</v>
      </c>
      <c r="E1039" s="11">
        <v>7.0</v>
      </c>
      <c r="F1039" s="21" t="s">
        <v>1207</v>
      </c>
      <c r="G1039" s="15">
        <v>0.09494480770582857</v>
      </c>
      <c r="H1039" s="11" t="s">
        <v>45</v>
      </c>
      <c r="I1039" s="16">
        <v>20.96</v>
      </c>
      <c r="J1039" s="11" t="s">
        <v>337</v>
      </c>
      <c r="K1039" s="11" t="s">
        <v>117</v>
      </c>
      <c r="L1039" s="11" t="s">
        <v>48</v>
      </c>
      <c r="M1039" s="11" t="s">
        <v>49</v>
      </c>
      <c r="N1039" s="11" t="s">
        <v>50</v>
      </c>
      <c r="O1039" s="11" t="s">
        <v>1208</v>
      </c>
      <c r="P1039" s="11" t="s">
        <v>52</v>
      </c>
      <c r="Q1039" s="20">
        <v>39988.0</v>
      </c>
      <c r="R1039" s="17">
        <f t="shared" si="2"/>
        <v>122.2186532</v>
      </c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>
        <f t="shared" si="8"/>
        <v>4</v>
      </c>
      <c r="AF1039" s="19" t="b">
        <f t="shared" si="13"/>
        <v>0</v>
      </c>
      <c r="AG1039" s="9"/>
      <c r="AH1039" s="9"/>
      <c r="AI1039" s="9"/>
    </row>
    <row r="1040" ht="15.0" customHeight="1">
      <c r="A1040" s="11">
        <v>1039.0</v>
      </c>
      <c r="B1040" s="12">
        <f t="shared" si="174"/>
        <v>39986</v>
      </c>
      <c r="C1040" s="13">
        <v>2009.0</v>
      </c>
      <c r="D1040" s="11" t="s">
        <v>39</v>
      </c>
      <c r="E1040" s="11">
        <v>11.0</v>
      </c>
      <c r="F1040" s="21" t="s">
        <v>668</v>
      </c>
      <c r="G1040" s="15">
        <v>0.03256302521008397</v>
      </c>
      <c r="H1040" s="11" t="s">
        <v>33</v>
      </c>
      <c r="I1040" s="16">
        <v>5.2</v>
      </c>
      <c r="J1040" s="11" t="s">
        <v>1179</v>
      </c>
      <c r="K1040" s="11" t="s">
        <v>61</v>
      </c>
      <c r="L1040" s="11" t="s">
        <v>41</v>
      </c>
      <c r="M1040" s="11" t="s">
        <v>28</v>
      </c>
      <c r="N1040" s="11" t="s">
        <v>29</v>
      </c>
      <c r="O1040" s="11" t="s">
        <v>1509</v>
      </c>
      <c r="P1040" s="11" t="s">
        <v>75</v>
      </c>
      <c r="Q1040" s="20">
        <v>39988.0</v>
      </c>
      <c r="R1040" s="17">
        <f t="shared" si="2"/>
        <v>2.999054622</v>
      </c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>
        <f t="shared" si="8"/>
        <v>3</v>
      </c>
      <c r="AF1040" s="19">
        <f t="shared" si="13"/>
        <v>4</v>
      </c>
      <c r="AG1040" s="9"/>
      <c r="AH1040" s="9"/>
      <c r="AI1040" s="9"/>
    </row>
    <row r="1041" ht="15.0" customHeight="1">
      <c r="A1041" s="11">
        <v>1040.0</v>
      </c>
      <c r="B1041" s="12">
        <f t="shared" si="174"/>
        <v>39986</v>
      </c>
      <c r="C1041" s="13">
        <v>2009.0</v>
      </c>
      <c r="D1041" s="11" t="s">
        <v>44</v>
      </c>
      <c r="E1041" s="11">
        <v>18.0</v>
      </c>
      <c r="F1041" s="21" t="s">
        <v>1084</v>
      </c>
      <c r="G1041" s="15">
        <v>0.06018518518518522</v>
      </c>
      <c r="H1041" s="11" t="s">
        <v>24</v>
      </c>
      <c r="I1041" s="16">
        <v>2.0</v>
      </c>
      <c r="J1041" s="11" t="s">
        <v>456</v>
      </c>
      <c r="K1041" s="11" t="s">
        <v>35</v>
      </c>
      <c r="L1041" s="11" t="s">
        <v>27</v>
      </c>
      <c r="M1041" s="11" t="s">
        <v>28</v>
      </c>
      <c r="N1041" s="11" t="s">
        <v>236</v>
      </c>
      <c r="O1041" s="11" t="s">
        <v>1510</v>
      </c>
      <c r="P1041" s="11" t="s">
        <v>38</v>
      </c>
      <c r="Q1041" s="20">
        <v>39988.0</v>
      </c>
      <c r="R1041" s="17">
        <f t="shared" si="2"/>
        <v>4.887037037</v>
      </c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>
        <f t="shared" si="8"/>
        <v>1</v>
      </c>
      <c r="AF1041" s="19">
        <f t="shared" si="13"/>
        <v>2</v>
      </c>
      <c r="AG1041" s="9"/>
      <c r="AH1041" s="9"/>
      <c r="AI1041" s="9"/>
    </row>
    <row r="1042" ht="15.0" customHeight="1">
      <c r="A1042" s="11">
        <v>1041.0</v>
      </c>
      <c r="B1042" s="12">
        <f t="shared" ref="B1042:B1047" si="175">DATE(2012,12,31)-1287</f>
        <v>39987</v>
      </c>
      <c r="C1042" s="13">
        <v>2009.0</v>
      </c>
      <c r="D1042" s="11" t="s">
        <v>44</v>
      </c>
      <c r="E1042" s="11">
        <v>10.0</v>
      </c>
      <c r="F1042" s="21" t="s">
        <v>151</v>
      </c>
      <c r="G1042" s="15">
        <v>0.10493638676844773</v>
      </c>
      <c r="H1042" s="11" t="s">
        <v>33</v>
      </c>
      <c r="I1042" s="16">
        <v>3.176</v>
      </c>
      <c r="J1042" s="11" t="s">
        <v>1165</v>
      </c>
      <c r="K1042" s="11" t="s">
        <v>35</v>
      </c>
      <c r="L1042" s="11" t="s">
        <v>48</v>
      </c>
      <c r="M1042" s="11" t="s">
        <v>28</v>
      </c>
      <c r="N1042" s="11" t="s">
        <v>62</v>
      </c>
      <c r="O1042" s="11" t="s">
        <v>209</v>
      </c>
      <c r="P1042" s="11" t="s">
        <v>58</v>
      </c>
      <c r="Q1042" s="20">
        <v>39988.0</v>
      </c>
      <c r="R1042" s="17">
        <f t="shared" si="2"/>
        <v>3.691242341</v>
      </c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>
        <f t="shared" si="8"/>
        <v>4</v>
      </c>
      <c r="AF1042" s="19">
        <f t="shared" si="13"/>
        <v>2</v>
      </c>
      <c r="AG1042" s="9"/>
      <c r="AH1042" s="9"/>
      <c r="AI1042" s="9"/>
    </row>
    <row r="1043" ht="15.0" customHeight="1">
      <c r="A1043" s="11">
        <v>1042.0</v>
      </c>
      <c r="B1043" s="12">
        <f t="shared" si="175"/>
        <v>39987</v>
      </c>
      <c r="C1043" s="13">
        <v>2009.0</v>
      </c>
      <c r="D1043" s="11" t="s">
        <v>44</v>
      </c>
      <c r="E1043" s="11">
        <v>8.0</v>
      </c>
      <c r="F1043" s="21" t="s">
        <v>1351</v>
      </c>
      <c r="G1043" s="15">
        <v>0.02101019682238567</v>
      </c>
      <c r="H1043" s="11" t="s">
        <v>33</v>
      </c>
      <c r="I1043" s="16">
        <v>9.0</v>
      </c>
      <c r="J1043" s="11" t="s">
        <v>1165</v>
      </c>
      <c r="K1043" s="11" t="s">
        <v>35</v>
      </c>
      <c r="L1043" s="11" t="s">
        <v>48</v>
      </c>
      <c r="M1043" s="11" t="s">
        <v>66</v>
      </c>
      <c r="N1043" s="11" t="s">
        <v>67</v>
      </c>
      <c r="O1043" s="11" t="s">
        <v>1352</v>
      </c>
      <c r="P1043" s="11" t="s">
        <v>38</v>
      </c>
      <c r="Q1043" s="20">
        <v>39989.0</v>
      </c>
      <c r="R1043" s="17">
        <f t="shared" si="2"/>
        <v>43.36924828</v>
      </c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>
        <f t="shared" si="8"/>
        <v>4</v>
      </c>
      <c r="AF1043" s="19">
        <f t="shared" si="13"/>
        <v>2</v>
      </c>
      <c r="AG1043" s="9"/>
      <c r="AH1043" s="9"/>
      <c r="AI1043" s="9"/>
    </row>
    <row r="1044" ht="15.0" customHeight="1">
      <c r="A1044" s="11">
        <v>1043.0</v>
      </c>
      <c r="B1044" s="12">
        <f t="shared" si="175"/>
        <v>39987</v>
      </c>
      <c r="C1044" s="13">
        <v>2009.0</v>
      </c>
      <c r="D1044" s="11" t="s">
        <v>44</v>
      </c>
      <c r="E1044" s="11">
        <v>26.0</v>
      </c>
      <c r="F1044" s="21" t="s">
        <v>158</v>
      </c>
      <c r="G1044" s="15">
        <v>0.027313177410154082</v>
      </c>
      <c r="H1044" s="11" t="s">
        <v>33</v>
      </c>
      <c r="I1044" s="16">
        <v>4.112</v>
      </c>
      <c r="J1044" s="11" t="s">
        <v>1165</v>
      </c>
      <c r="K1044" s="11" t="s">
        <v>35</v>
      </c>
      <c r="L1044" s="11" t="s">
        <v>48</v>
      </c>
      <c r="M1044" s="11" t="s">
        <v>28</v>
      </c>
      <c r="N1044" s="11" t="s">
        <v>56</v>
      </c>
      <c r="O1044" s="11" t="s">
        <v>1424</v>
      </c>
      <c r="P1044" s="11" t="s">
        <v>38</v>
      </c>
      <c r="Q1044" s="20">
        <v>39989.0</v>
      </c>
      <c r="R1044" s="17">
        <f t="shared" si="2"/>
        <v>4.657224507</v>
      </c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>
        <f t="shared" si="8"/>
        <v>4</v>
      </c>
      <c r="AF1044" s="19">
        <f t="shared" si="13"/>
        <v>2</v>
      </c>
      <c r="AG1044" s="9"/>
      <c r="AH1044" s="9"/>
      <c r="AI1044" s="9"/>
    </row>
    <row r="1045" ht="15.0" customHeight="1">
      <c r="A1045" s="11">
        <v>1044.0</v>
      </c>
      <c r="B1045" s="12">
        <f t="shared" si="175"/>
        <v>39987</v>
      </c>
      <c r="C1045" s="13">
        <v>2009.0</v>
      </c>
      <c r="D1045" s="11" t="s">
        <v>32</v>
      </c>
      <c r="E1045" s="11">
        <v>23.0</v>
      </c>
      <c r="F1045" s="21" t="s">
        <v>865</v>
      </c>
      <c r="G1045" s="15">
        <v>0.0851126581037357</v>
      </c>
      <c r="H1045" s="11" t="s">
        <v>45</v>
      </c>
      <c r="I1045" s="16">
        <v>44.768</v>
      </c>
      <c r="J1045" s="11" t="s">
        <v>1120</v>
      </c>
      <c r="K1045" s="11" t="s">
        <v>35</v>
      </c>
      <c r="L1045" s="11" t="s">
        <v>36</v>
      </c>
      <c r="M1045" s="11" t="s">
        <v>49</v>
      </c>
      <c r="N1045" s="11" t="s">
        <v>156</v>
      </c>
      <c r="O1045" s="11" t="s">
        <v>868</v>
      </c>
      <c r="P1045" s="11" t="s">
        <v>87</v>
      </c>
      <c r="Q1045" s="20">
        <v>39989.0</v>
      </c>
      <c r="R1045" s="17">
        <f t="shared" si="2"/>
        <v>397.0903828</v>
      </c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>
        <f t="shared" si="8"/>
        <v>2</v>
      </c>
      <c r="AF1045" s="19">
        <f t="shared" si="13"/>
        <v>2</v>
      </c>
      <c r="AG1045" s="9"/>
      <c r="AH1045" s="9"/>
      <c r="AI1045" s="9"/>
    </row>
    <row r="1046" ht="15.0" customHeight="1">
      <c r="A1046" s="11">
        <v>1045.0</v>
      </c>
      <c r="B1046" s="12">
        <f t="shared" si="175"/>
        <v>39987</v>
      </c>
      <c r="C1046" s="13">
        <v>2009.0</v>
      </c>
      <c r="D1046" s="11" t="s">
        <v>32</v>
      </c>
      <c r="E1046" s="11">
        <v>30.0</v>
      </c>
      <c r="F1046" s="21" t="s">
        <v>204</v>
      </c>
      <c r="G1046" s="15">
        <v>0.1101632208922743</v>
      </c>
      <c r="H1046" s="11" t="s">
        <v>33</v>
      </c>
      <c r="I1046" s="16">
        <v>0.776</v>
      </c>
      <c r="J1046" s="11" t="s">
        <v>1120</v>
      </c>
      <c r="K1046" s="11" t="s">
        <v>35</v>
      </c>
      <c r="L1046" s="11" t="s">
        <v>36</v>
      </c>
      <c r="M1046" s="11" t="s">
        <v>28</v>
      </c>
      <c r="N1046" s="11" t="s">
        <v>62</v>
      </c>
      <c r="O1046" s="11" t="s">
        <v>1511</v>
      </c>
      <c r="P1046" s="11" t="s">
        <v>58</v>
      </c>
      <c r="Q1046" s="20">
        <v>39989.0</v>
      </c>
      <c r="R1046" s="17">
        <f t="shared" si="2"/>
        <v>9.008707552</v>
      </c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>
        <f t="shared" si="8"/>
        <v>2</v>
      </c>
      <c r="AF1046" s="19">
        <f t="shared" si="13"/>
        <v>2</v>
      </c>
      <c r="AG1046" s="9"/>
      <c r="AH1046" s="9"/>
      <c r="AI1046" s="9"/>
    </row>
    <row r="1047" ht="15.0" customHeight="1">
      <c r="A1047" s="11">
        <v>1046.0</v>
      </c>
      <c r="B1047" s="12">
        <f t="shared" si="175"/>
        <v>39987</v>
      </c>
      <c r="C1047" s="13">
        <v>2009.0</v>
      </c>
      <c r="D1047" s="11" t="s">
        <v>32</v>
      </c>
      <c r="E1047" s="11">
        <v>21.0</v>
      </c>
      <c r="F1047" s="21" t="s">
        <v>178</v>
      </c>
      <c r="G1047" s="15">
        <v>0.04045077433628321</v>
      </c>
      <c r="H1047" s="11" t="s">
        <v>33</v>
      </c>
      <c r="I1047" s="16">
        <v>3.9920000000000004</v>
      </c>
      <c r="J1047" s="11" t="s">
        <v>1008</v>
      </c>
      <c r="K1047" s="11" t="s">
        <v>65</v>
      </c>
      <c r="L1047" s="11" t="s">
        <v>48</v>
      </c>
      <c r="M1047" s="11" t="s">
        <v>66</v>
      </c>
      <c r="N1047" s="11" t="s">
        <v>80</v>
      </c>
      <c r="O1047" s="11" t="s">
        <v>1512</v>
      </c>
      <c r="P1047" s="11" t="s">
        <v>38</v>
      </c>
      <c r="Q1047" s="20">
        <v>39989.0</v>
      </c>
      <c r="R1047" s="17">
        <f t="shared" si="2"/>
        <v>56.1413061</v>
      </c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>
        <f t="shared" si="8"/>
        <v>4</v>
      </c>
      <c r="AF1047" s="19">
        <f t="shared" si="13"/>
        <v>5</v>
      </c>
      <c r="AG1047" s="9"/>
      <c r="AH1047" s="9"/>
      <c r="AI1047" s="9"/>
    </row>
    <row r="1048" ht="15.0" customHeight="1">
      <c r="A1048" s="11">
        <v>1047.0</v>
      </c>
      <c r="B1048" s="12">
        <f t="shared" ref="B1048:B1054" si="176">DATE(2012,12,31)-1286</f>
        <v>39988</v>
      </c>
      <c r="C1048" s="13">
        <v>2009.0</v>
      </c>
      <c r="D1048" s="11" t="s">
        <v>44</v>
      </c>
      <c r="E1048" s="11">
        <v>37.0</v>
      </c>
      <c r="F1048" s="21" t="s">
        <v>264</v>
      </c>
      <c r="G1048" s="15">
        <v>0.009252110977080941</v>
      </c>
      <c r="H1048" s="11" t="s">
        <v>33</v>
      </c>
      <c r="I1048" s="16">
        <v>6.632</v>
      </c>
      <c r="J1048" s="11" t="s">
        <v>636</v>
      </c>
      <c r="K1048" s="11" t="s">
        <v>61</v>
      </c>
      <c r="L1048" s="11" t="s">
        <v>41</v>
      </c>
      <c r="M1048" s="11" t="s">
        <v>28</v>
      </c>
      <c r="N1048" s="11" t="s">
        <v>236</v>
      </c>
      <c r="O1048" s="11" t="s">
        <v>265</v>
      </c>
      <c r="P1048" s="11" t="s">
        <v>38</v>
      </c>
      <c r="Q1048" s="20">
        <v>39990.0</v>
      </c>
      <c r="R1048" s="17">
        <f t="shared" si="2"/>
        <v>3.039614524</v>
      </c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>
        <f t="shared" si="8"/>
        <v>3</v>
      </c>
      <c r="AF1048" s="19">
        <f t="shared" si="13"/>
        <v>4</v>
      </c>
      <c r="AG1048" s="9"/>
      <c r="AH1048" s="9"/>
      <c r="AI1048" s="9"/>
    </row>
    <row r="1049" ht="15.0" customHeight="1">
      <c r="A1049" s="11">
        <v>1048.0</v>
      </c>
      <c r="B1049" s="12">
        <f t="shared" si="176"/>
        <v>39988</v>
      </c>
      <c r="C1049" s="13">
        <v>2009.0</v>
      </c>
      <c r="D1049" s="11" t="s">
        <v>23</v>
      </c>
      <c r="E1049" s="11">
        <v>16.0</v>
      </c>
      <c r="F1049" s="21" t="s">
        <v>707</v>
      </c>
      <c r="G1049" s="15">
        <v>0.04754385964912279</v>
      </c>
      <c r="H1049" s="11" t="s">
        <v>33</v>
      </c>
      <c r="I1049" s="16">
        <v>4.128</v>
      </c>
      <c r="J1049" s="11" t="s">
        <v>1513</v>
      </c>
      <c r="K1049" s="11" t="s">
        <v>83</v>
      </c>
      <c r="L1049" s="11" t="s">
        <v>48</v>
      </c>
      <c r="M1049" s="11" t="s">
        <v>49</v>
      </c>
      <c r="N1049" s="11" t="s">
        <v>73</v>
      </c>
      <c r="O1049" s="11" t="s">
        <v>975</v>
      </c>
      <c r="P1049" s="11" t="s">
        <v>38</v>
      </c>
      <c r="Q1049" s="20">
        <v>39990.0</v>
      </c>
      <c r="R1049" s="17">
        <f t="shared" si="2"/>
        <v>8.259699649</v>
      </c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>
        <f t="shared" si="8"/>
        <v>4</v>
      </c>
      <c r="AF1049" s="19" t="b">
        <f t="shared" si="13"/>
        <v>0</v>
      </c>
      <c r="AG1049" s="9"/>
      <c r="AH1049" s="9"/>
      <c r="AI1049" s="9"/>
    </row>
    <row r="1050" ht="15.0" customHeight="1">
      <c r="A1050" s="11">
        <v>1049.0</v>
      </c>
      <c r="B1050" s="12">
        <f t="shared" si="176"/>
        <v>39988</v>
      </c>
      <c r="C1050" s="13">
        <v>2009.0</v>
      </c>
      <c r="D1050" s="11" t="s">
        <v>23</v>
      </c>
      <c r="E1050" s="11">
        <v>40.0</v>
      </c>
      <c r="F1050" s="21" t="s">
        <v>204</v>
      </c>
      <c r="G1050" s="15">
        <v>0.05891285591026749</v>
      </c>
      <c r="H1050" s="11" t="s">
        <v>24</v>
      </c>
      <c r="I1050" s="16">
        <v>1.072</v>
      </c>
      <c r="J1050" s="11" t="s">
        <v>1513</v>
      </c>
      <c r="K1050" s="11" t="s">
        <v>83</v>
      </c>
      <c r="L1050" s="11" t="s">
        <v>48</v>
      </c>
      <c r="M1050" s="11" t="s">
        <v>28</v>
      </c>
      <c r="N1050" s="11" t="s">
        <v>62</v>
      </c>
      <c r="O1050" s="11" t="s">
        <v>1514</v>
      </c>
      <c r="P1050" s="11" t="s">
        <v>58</v>
      </c>
      <c r="Q1050" s="20">
        <v>39990.0</v>
      </c>
      <c r="R1050" s="17">
        <f t="shared" si="2"/>
        <v>6.42574302</v>
      </c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>
        <f t="shared" si="8"/>
        <v>4</v>
      </c>
      <c r="AF1050" s="19" t="b">
        <f t="shared" si="13"/>
        <v>0</v>
      </c>
      <c r="AG1050" s="9"/>
      <c r="AH1050" s="9"/>
      <c r="AI1050" s="9"/>
    </row>
    <row r="1051" ht="15.0" customHeight="1">
      <c r="A1051" s="11">
        <v>1050.0</v>
      </c>
      <c r="B1051" s="12">
        <f t="shared" si="176"/>
        <v>39988</v>
      </c>
      <c r="C1051" s="13">
        <v>2009.0</v>
      </c>
      <c r="D1051" s="11" t="s">
        <v>32</v>
      </c>
      <c r="E1051" s="11">
        <v>49.0</v>
      </c>
      <c r="F1051" s="21" t="s">
        <v>178</v>
      </c>
      <c r="G1051" s="15">
        <v>0.021170129004905655</v>
      </c>
      <c r="H1051" s="11" t="s">
        <v>33</v>
      </c>
      <c r="I1051" s="16">
        <v>3.192</v>
      </c>
      <c r="J1051" s="11" t="s">
        <v>1515</v>
      </c>
      <c r="K1051" s="11" t="s">
        <v>47</v>
      </c>
      <c r="L1051" s="11" t="s">
        <v>48</v>
      </c>
      <c r="M1051" s="11" t="s">
        <v>66</v>
      </c>
      <c r="N1051" s="11" t="s">
        <v>80</v>
      </c>
      <c r="O1051" s="11" t="s">
        <v>587</v>
      </c>
      <c r="P1051" s="11" t="s">
        <v>38</v>
      </c>
      <c r="Q1051" s="20">
        <v>39990.0</v>
      </c>
      <c r="R1051" s="17">
        <f t="shared" si="2"/>
        <v>68.42803862</v>
      </c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>
        <f t="shared" si="8"/>
        <v>4</v>
      </c>
      <c r="AF1051" s="19">
        <f t="shared" si="13"/>
        <v>3</v>
      </c>
      <c r="AG1051" s="9"/>
      <c r="AH1051" s="9"/>
      <c r="AI1051" s="9"/>
    </row>
    <row r="1052" ht="15.0" customHeight="1">
      <c r="A1052" s="11">
        <v>1051.0</v>
      </c>
      <c r="B1052" s="12">
        <f t="shared" si="176"/>
        <v>39988</v>
      </c>
      <c r="C1052" s="13">
        <v>2009.0</v>
      </c>
      <c r="D1052" s="11" t="s">
        <v>44</v>
      </c>
      <c r="E1052" s="11">
        <v>17.0</v>
      </c>
      <c r="F1052" s="21" t="s">
        <v>122</v>
      </c>
      <c r="G1052" s="15">
        <v>0.08758937691521979</v>
      </c>
      <c r="H1052" s="11" t="s">
        <v>33</v>
      </c>
      <c r="I1052" s="16">
        <v>2.0</v>
      </c>
      <c r="J1052" s="11" t="s">
        <v>1516</v>
      </c>
      <c r="K1052" s="11" t="s">
        <v>65</v>
      </c>
      <c r="L1052" s="11" t="s">
        <v>48</v>
      </c>
      <c r="M1052" s="11" t="s">
        <v>66</v>
      </c>
      <c r="N1052" s="11" t="s">
        <v>80</v>
      </c>
      <c r="O1052" s="11" t="s">
        <v>1381</v>
      </c>
      <c r="P1052" s="11" t="s">
        <v>58</v>
      </c>
      <c r="Q1052" s="20">
        <v>39990.0</v>
      </c>
      <c r="R1052" s="17">
        <f t="shared" si="2"/>
        <v>31.29568437</v>
      </c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>
        <f t="shared" si="8"/>
        <v>4</v>
      </c>
      <c r="AF1052" s="19">
        <f t="shared" si="13"/>
        <v>5</v>
      </c>
      <c r="AG1052" s="9"/>
      <c r="AH1052" s="9"/>
      <c r="AI1052" s="9"/>
    </row>
    <row r="1053" ht="15.0" customHeight="1">
      <c r="A1053" s="11">
        <v>1052.0</v>
      </c>
      <c r="B1053" s="12">
        <f t="shared" si="176"/>
        <v>39988</v>
      </c>
      <c r="C1053" s="13">
        <v>2009.0</v>
      </c>
      <c r="D1053" s="11" t="s">
        <v>102</v>
      </c>
      <c r="E1053" s="11">
        <v>39.0</v>
      </c>
      <c r="F1053" s="21" t="s">
        <v>747</v>
      </c>
      <c r="G1053" s="15">
        <v>0.09893527722553558</v>
      </c>
      <c r="H1053" s="11" t="s">
        <v>33</v>
      </c>
      <c r="I1053" s="16">
        <v>2.3120000000000003</v>
      </c>
      <c r="J1053" s="11" t="s">
        <v>1288</v>
      </c>
      <c r="K1053" s="11" t="s">
        <v>35</v>
      </c>
      <c r="L1053" s="11" t="s">
        <v>48</v>
      </c>
      <c r="M1053" s="11" t="s">
        <v>28</v>
      </c>
      <c r="N1053" s="11" t="s">
        <v>62</v>
      </c>
      <c r="O1053" s="11" t="s">
        <v>1491</v>
      </c>
      <c r="P1053" s="11" t="s">
        <v>99</v>
      </c>
      <c r="Q1053" s="20">
        <v>39990.0</v>
      </c>
      <c r="R1053" s="17">
        <f t="shared" si="2"/>
        <v>40.3568868</v>
      </c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>
        <f t="shared" si="8"/>
        <v>4</v>
      </c>
      <c r="AF1053" s="19">
        <f t="shared" si="13"/>
        <v>2</v>
      </c>
      <c r="AG1053" s="9"/>
      <c r="AH1053" s="9"/>
      <c r="AI1053" s="9"/>
    </row>
    <row r="1054" ht="15.0" customHeight="1">
      <c r="A1054" s="11">
        <v>1053.0</v>
      </c>
      <c r="B1054" s="12">
        <f t="shared" si="176"/>
        <v>39988</v>
      </c>
      <c r="C1054" s="13">
        <v>2009.0</v>
      </c>
      <c r="D1054" s="11" t="s">
        <v>102</v>
      </c>
      <c r="E1054" s="11">
        <v>42.0</v>
      </c>
      <c r="F1054" s="21" t="s">
        <v>218</v>
      </c>
      <c r="G1054" s="15">
        <v>0.013746198507049986</v>
      </c>
      <c r="H1054" s="11" t="s">
        <v>33</v>
      </c>
      <c r="I1054" s="16">
        <v>8.128</v>
      </c>
      <c r="J1054" s="11" t="s">
        <v>1288</v>
      </c>
      <c r="K1054" s="11" t="s">
        <v>83</v>
      </c>
      <c r="L1054" s="11" t="s">
        <v>48</v>
      </c>
      <c r="M1054" s="11" t="s">
        <v>49</v>
      </c>
      <c r="N1054" s="11" t="s">
        <v>73</v>
      </c>
      <c r="O1054" s="11" t="s">
        <v>1517</v>
      </c>
      <c r="P1054" s="11" t="s">
        <v>31</v>
      </c>
      <c r="Q1054" s="20">
        <v>39991.0</v>
      </c>
      <c r="R1054" s="17">
        <f t="shared" si="2"/>
        <v>4.903653901</v>
      </c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>
        <f t="shared" si="8"/>
        <v>4</v>
      </c>
      <c r="AF1054" s="19" t="b">
        <f t="shared" si="13"/>
        <v>0</v>
      </c>
      <c r="AG1054" s="9"/>
      <c r="AH1054" s="9"/>
      <c r="AI1054" s="9"/>
    </row>
    <row r="1055" ht="15.0" customHeight="1">
      <c r="A1055" s="11">
        <v>1054.0</v>
      </c>
      <c r="B1055" s="12">
        <f t="shared" ref="B1055:B1059" si="177">DATE(2012,12,31)-1285</f>
        <v>39989</v>
      </c>
      <c r="C1055" s="13">
        <v>2009.0</v>
      </c>
      <c r="D1055" s="11" t="s">
        <v>23</v>
      </c>
      <c r="E1055" s="11">
        <v>1.0</v>
      </c>
      <c r="F1055" s="21" t="s">
        <v>766</v>
      </c>
      <c r="G1055" s="15">
        <v>0.07467144563918757</v>
      </c>
      <c r="H1055" s="11" t="s">
        <v>45</v>
      </c>
      <c r="I1055" s="16">
        <v>24.0</v>
      </c>
      <c r="J1055" s="11" t="s">
        <v>1518</v>
      </c>
      <c r="K1055" s="11" t="s">
        <v>83</v>
      </c>
      <c r="L1055" s="11" t="s">
        <v>48</v>
      </c>
      <c r="M1055" s="11" t="s">
        <v>49</v>
      </c>
      <c r="N1055" s="11" t="s">
        <v>50</v>
      </c>
      <c r="O1055" s="11" t="s">
        <v>1150</v>
      </c>
      <c r="P1055" s="11" t="s">
        <v>52</v>
      </c>
      <c r="Q1055" s="20">
        <v>39991.0</v>
      </c>
      <c r="R1055" s="17">
        <f t="shared" si="2"/>
        <v>11.56660693</v>
      </c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>
        <f t="shared" si="8"/>
        <v>4</v>
      </c>
      <c r="AF1055" s="19" t="b">
        <f t="shared" si="13"/>
        <v>0</v>
      </c>
      <c r="AG1055" s="9"/>
      <c r="AH1055" s="9"/>
      <c r="AI1055" s="9"/>
    </row>
    <row r="1056" ht="15.0" customHeight="1">
      <c r="A1056" s="11">
        <v>1055.0</v>
      </c>
      <c r="B1056" s="12">
        <f t="shared" si="177"/>
        <v>39989</v>
      </c>
      <c r="C1056" s="13">
        <v>2009.0</v>
      </c>
      <c r="D1056" s="11" t="s">
        <v>23</v>
      </c>
      <c r="E1056" s="11">
        <v>30.0</v>
      </c>
      <c r="F1056" s="21" t="s">
        <v>865</v>
      </c>
      <c r="G1056" s="15">
        <v>0.048163523005287714</v>
      </c>
      <c r="H1056" s="11" t="s">
        <v>33</v>
      </c>
      <c r="I1056" s="16">
        <v>3.3600000000000003</v>
      </c>
      <c r="J1056" s="11" t="s">
        <v>1518</v>
      </c>
      <c r="K1056" s="11" t="s">
        <v>83</v>
      </c>
      <c r="L1056" s="11" t="s">
        <v>48</v>
      </c>
      <c r="M1056" s="11" t="s">
        <v>66</v>
      </c>
      <c r="N1056" s="11" t="s">
        <v>80</v>
      </c>
      <c r="O1056" s="11" t="s">
        <v>1519</v>
      </c>
      <c r="P1056" s="11" t="s">
        <v>38</v>
      </c>
      <c r="Q1056" s="20">
        <v>39991.0</v>
      </c>
      <c r="R1056" s="17">
        <f t="shared" si="2"/>
        <v>290.4433826</v>
      </c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>
        <f t="shared" si="8"/>
        <v>4</v>
      </c>
      <c r="AF1056" s="19" t="b">
        <f t="shared" si="13"/>
        <v>0</v>
      </c>
      <c r="AG1056" s="9"/>
      <c r="AH1056" s="9"/>
      <c r="AI1056" s="9"/>
    </row>
    <row r="1057" ht="15.0" customHeight="1">
      <c r="A1057" s="11">
        <v>1056.0</v>
      </c>
      <c r="B1057" s="12">
        <f t="shared" si="177"/>
        <v>39989</v>
      </c>
      <c r="C1057" s="13">
        <v>2009.0</v>
      </c>
      <c r="D1057" s="11" t="s">
        <v>23</v>
      </c>
      <c r="E1057" s="11">
        <v>27.0</v>
      </c>
      <c r="F1057" s="21" t="s">
        <v>405</v>
      </c>
      <c r="G1057" s="15">
        <v>0.06734475793314657</v>
      </c>
      <c r="H1057" s="11" t="s">
        <v>24</v>
      </c>
      <c r="I1057" s="16">
        <v>19.592</v>
      </c>
      <c r="J1057" s="11" t="s">
        <v>1520</v>
      </c>
      <c r="K1057" s="11" t="s">
        <v>35</v>
      </c>
      <c r="L1057" s="11" t="s">
        <v>41</v>
      </c>
      <c r="M1057" s="11" t="s">
        <v>49</v>
      </c>
      <c r="N1057" s="11" t="s">
        <v>73</v>
      </c>
      <c r="O1057" s="11" t="s">
        <v>406</v>
      </c>
      <c r="P1057" s="11" t="s">
        <v>31</v>
      </c>
      <c r="Q1057" s="20">
        <v>39992.0</v>
      </c>
      <c r="R1057" s="17">
        <f t="shared" si="2"/>
        <v>192.7872998</v>
      </c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>
        <f t="shared" si="8"/>
        <v>3</v>
      </c>
      <c r="AF1057" s="19">
        <f t="shared" si="13"/>
        <v>2</v>
      </c>
      <c r="AG1057" s="9"/>
      <c r="AH1057" s="9"/>
      <c r="AI1057" s="9"/>
    </row>
    <row r="1058" ht="15.0" customHeight="1">
      <c r="A1058" s="11">
        <v>1057.0</v>
      </c>
      <c r="B1058" s="12">
        <f t="shared" si="177"/>
        <v>39989</v>
      </c>
      <c r="C1058" s="13">
        <v>2009.0</v>
      </c>
      <c r="D1058" s="11" t="s">
        <v>23</v>
      </c>
      <c r="E1058" s="11">
        <v>40.0</v>
      </c>
      <c r="F1058" s="21" t="s">
        <v>1465</v>
      </c>
      <c r="G1058" s="15">
        <v>0.03890775027346747</v>
      </c>
      <c r="H1058" s="11" t="s">
        <v>33</v>
      </c>
      <c r="I1058" s="16">
        <v>0.792</v>
      </c>
      <c r="J1058" s="11" t="s">
        <v>274</v>
      </c>
      <c r="K1058" s="11" t="s">
        <v>35</v>
      </c>
      <c r="L1058" s="11" t="s">
        <v>48</v>
      </c>
      <c r="M1058" s="11" t="s">
        <v>28</v>
      </c>
      <c r="N1058" s="11" t="s">
        <v>197</v>
      </c>
      <c r="O1058" s="11" t="s">
        <v>1467</v>
      </c>
      <c r="P1058" s="11" t="s">
        <v>38</v>
      </c>
      <c r="Q1058" s="20">
        <v>39992.0</v>
      </c>
      <c r="R1058" s="17">
        <f t="shared" si="2"/>
        <v>276.8983659</v>
      </c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>
        <f t="shared" si="8"/>
        <v>4</v>
      </c>
      <c r="AF1058" s="19">
        <f t="shared" si="13"/>
        <v>2</v>
      </c>
      <c r="AG1058" s="9"/>
      <c r="AH1058" s="9"/>
      <c r="AI1058" s="9"/>
    </row>
    <row r="1059" ht="15.0" customHeight="1">
      <c r="A1059" s="11">
        <v>1058.0</v>
      </c>
      <c r="B1059" s="12">
        <f t="shared" si="177"/>
        <v>39989</v>
      </c>
      <c r="C1059" s="13">
        <v>2009.0</v>
      </c>
      <c r="D1059" s="11" t="s">
        <v>23</v>
      </c>
      <c r="E1059" s="11">
        <v>17.0</v>
      </c>
      <c r="F1059" s="21" t="s">
        <v>1521</v>
      </c>
      <c r="G1059" s="15">
        <v>0.07067055393586008</v>
      </c>
      <c r="H1059" s="11" t="s">
        <v>45</v>
      </c>
      <c r="I1059" s="16">
        <v>71.44</v>
      </c>
      <c r="J1059" s="11" t="s">
        <v>1454</v>
      </c>
      <c r="K1059" s="11" t="s">
        <v>35</v>
      </c>
      <c r="L1059" s="11" t="s">
        <v>36</v>
      </c>
      <c r="M1059" s="11" t="s">
        <v>49</v>
      </c>
      <c r="N1059" s="11" t="s">
        <v>85</v>
      </c>
      <c r="O1059" s="11" t="s">
        <v>1522</v>
      </c>
      <c r="P1059" s="11" t="s">
        <v>87</v>
      </c>
      <c r="Q1059" s="20">
        <v>39992.0</v>
      </c>
      <c r="R1059" s="17">
        <f t="shared" si="2"/>
        <v>90.10778309</v>
      </c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>
        <f t="shared" si="8"/>
        <v>2</v>
      </c>
      <c r="AF1059" s="19">
        <f t="shared" si="13"/>
        <v>2</v>
      </c>
      <c r="AG1059" s="9"/>
      <c r="AH1059" s="9"/>
      <c r="AI1059" s="9"/>
    </row>
    <row r="1060" ht="15.0" customHeight="1">
      <c r="A1060" s="11">
        <v>1059.0</v>
      </c>
      <c r="B1060" s="12">
        <f>DATE(2012,12,31)-1284</f>
        <v>39990</v>
      </c>
      <c r="C1060" s="13">
        <v>2009.0</v>
      </c>
      <c r="D1060" s="11" t="s">
        <v>39</v>
      </c>
      <c r="E1060" s="11">
        <v>10.0</v>
      </c>
      <c r="F1060" s="21" t="s">
        <v>1523</v>
      </c>
      <c r="G1060" s="15">
        <v>0.03970588235294112</v>
      </c>
      <c r="H1060" s="11" t="s">
        <v>33</v>
      </c>
      <c r="I1060" s="16">
        <v>6.720000000000001</v>
      </c>
      <c r="J1060" s="11" t="s">
        <v>1524</v>
      </c>
      <c r="K1060" s="11" t="s">
        <v>26</v>
      </c>
      <c r="L1060" s="11" t="s">
        <v>48</v>
      </c>
      <c r="M1060" s="11" t="s">
        <v>28</v>
      </c>
      <c r="N1060" s="11" t="s">
        <v>42</v>
      </c>
      <c r="O1060" s="11" t="s">
        <v>1525</v>
      </c>
      <c r="P1060" s="11" t="s">
        <v>38</v>
      </c>
      <c r="Q1060" s="20">
        <v>39993.0</v>
      </c>
      <c r="R1060" s="17">
        <f t="shared" si="2"/>
        <v>6.222705882</v>
      </c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>
        <f t="shared" si="8"/>
        <v>4</v>
      </c>
      <c r="AF1060" s="19">
        <f t="shared" si="13"/>
        <v>1</v>
      </c>
      <c r="AG1060" s="9"/>
      <c r="AH1060" s="9"/>
      <c r="AI1060" s="9"/>
    </row>
    <row r="1061" ht="15.0" customHeight="1">
      <c r="A1061" s="11">
        <v>1060.0</v>
      </c>
      <c r="B1061" s="12">
        <f t="shared" ref="B1061:B1064" si="178">DATE(2012,12,31)-1282</f>
        <v>39992</v>
      </c>
      <c r="C1061" s="13">
        <v>2009.0</v>
      </c>
      <c r="D1061" s="11" t="s">
        <v>44</v>
      </c>
      <c r="E1061" s="11">
        <v>39.0</v>
      </c>
      <c r="F1061" s="21" t="s">
        <v>1526</v>
      </c>
      <c r="G1061" s="15">
        <v>0.026776513234018032</v>
      </c>
      <c r="H1061" s="11" t="s">
        <v>33</v>
      </c>
      <c r="I1061" s="16">
        <v>6.5360000000000005</v>
      </c>
      <c r="J1061" s="11" t="s">
        <v>1527</v>
      </c>
      <c r="K1061" s="11" t="s">
        <v>47</v>
      </c>
      <c r="L1061" s="11" t="s">
        <v>27</v>
      </c>
      <c r="M1061" s="11" t="s">
        <v>28</v>
      </c>
      <c r="N1061" s="11" t="s">
        <v>197</v>
      </c>
      <c r="O1061" s="11" t="s">
        <v>1528</v>
      </c>
      <c r="P1061" s="11" t="s">
        <v>75</v>
      </c>
      <c r="Q1061" s="20">
        <v>39993.0</v>
      </c>
      <c r="R1061" s="17">
        <f t="shared" si="2"/>
        <v>18.44998157</v>
      </c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>
        <f t="shared" si="8"/>
        <v>1</v>
      </c>
      <c r="AF1061" s="19">
        <f t="shared" si="13"/>
        <v>3</v>
      </c>
      <c r="AG1061" s="9"/>
      <c r="AH1061" s="9"/>
      <c r="AI1061" s="9"/>
    </row>
    <row r="1062" ht="15.0" customHeight="1">
      <c r="A1062" s="11">
        <v>1061.0</v>
      </c>
      <c r="B1062" s="12">
        <f t="shared" si="178"/>
        <v>39992</v>
      </c>
      <c r="C1062" s="13">
        <v>2009.0</v>
      </c>
      <c r="D1062" s="11" t="s">
        <v>39</v>
      </c>
      <c r="E1062" s="11">
        <v>46.0</v>
      </c>
      <c r="F1062" s="21" t="s">
        <v>1158</v>
      </c>
      <c r="G1062" s="15">
        <v>0.08277315585135887</v>
      </c>
      <c r="H1062" s="11" t="s">
        <v>33</v>
      </c>
      <c r="I1062" s="16">
        <v>4.376</v>
      </c>
      <c r="J1062" s="11" t="s">
        <v>1529</v>
      </c>
      <c r="K1062" s="11" t="s">
        <v>61</v>
      </c>
      <c r="L1062" s="11" t="s">
        <v>27</v>
      </c>
      <c r="M1062" s="11" t="s">
        <v>28</v>
      </c>
      <c r="N1062" s="11" t="s">
        <v>42</v>
      </c>
      <c r="O1062" s="11" t="s">
        <v>1530</v>
      </c>
      <c r="P1062" s="11" t="s">
        <v>38</v>
      </c>
      <c r="Q1062" s="20">
        <v>39993.0</v>
      </c>
      <c r="R1062" s="17">
        <f t="shared" si="2"/>
        <v>13.68869342</v>
      </c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>
        <f t="shared" si="8"/>
        <v>1</v>
      </c>
      <c r="AF1062" s="19">
        <f t="shared" si="13"/>
        <v>4</v>
      </c>
      <c r="AG1062" s="9"/>
      <c r="AH1062" s="9"/>
      <c r="AI1062" s="9"/>
    </row>
    <row r="1063" ht="15.0" customHeight="1">
      <c r="A1063" s="11">
        <v>1062.0</v>
      </c>
      <c r="B1063" s="12">
        <f t="shared" si="178"/>
        <v>39992</v>
      </c>
      <c r="C1063" s="13">
        <v>2009.0</v>
      </c>
      <c r="D1063" s="11" t="s">
        <v>39</v>
      </c>
      <c r="E1063" s="11">
        <v>46.0</v>
      </c>
      <c r="F1063" s="21" t="s">
        <v>163</v>
      </c>
      <c r="G1063" s="15">
        <v>0.0846944455332993</v>
      </c>
      <c r="H1063" s="11" t="s">
        <v>45</v>
      </c>
      <c r="I1063" s="16">
        <v>28.672000000000004</v>
      </c>
      <c r="J1063" s="11" t="s">
        <v>1529</v>
      </c>
      <c r="K1063" s="11" t="s">
        <v>61</v>
      </c>
      <c r="L1063" s="11" t="s">
        <v>27</v>
      </c>
      <c r="M1063" s="11" t="s">
        <v>49</v>
      </c>
      <c r="N1063" s="11" t="s">
        <v>156</v>
      </c>
      <c r="O1063" s="11" t="s">
        <v>165</v>
      </c>
      <c r="P1063" s="11" t="s">
        <v>87</v>
      </c>
      <c r="Q1063" s="20">
        <v>39994.0</v>
      </c>
      <c r="R1063" s="17">
        <f t="shared" si="2"/>
        <v>395.5291586</v>
      </c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>
        <f t="shared" si="8"/>
        <v>1</v>
      </c>
      <c r="AF1063" s="19">
        <f t="shared" si="13"/>
        <v>4</v>
      </c>
      <c r="AG1063" s="9"/>
      <c r="AH1063" s="9"/>
      <c r="AI1063" s="9"/>
    </row>
    <row r="1064" ht="15.0" customHeight="1">
      <c r="A1064" s="11">
        <v>1063.0</v>
      </c>
      <c r="B1064" s="12">
        <f t="shared" si="178"/>
        <v>39992</v>
      </c>
      <c r="C1064" s="13">
        <v>2009.0</v>
      </c>
      <c r="D1064" s="11" t="s">
        <v>39</v>
      </c>
      <c r="E1064" s="11">
        <v>15.0</v>
      </c>
      <c r="F1064" s="21" t="s">
        <v>1015</v>
      </c>
      <c r="G1064" s="15">
        <v>0.11750240153698367</v>
      </c>
      <c r="H1064" s="11" t="s">
        <v>33</v>
      </c>
      <c r="I1064" s="16">
        <v>6.368</v>
      </c>
      <c r="J1064" s="11" t="s">
        <v>1529</v>
      </c>
      <c r="K1064" s="11" t="s">
        <v>61</v>
      </c>
      <c r="L1064" s="11" t="s">
        <v>27</v>
      </c>
      <c r="M1064" s="11" t="s">
        <v>28</v>
      </c>
      <c r="N1064" s="11" t="s">
        <v>56</v>
      </c>
      <c r="O1064" s="11" t="s">
        <v>1531</v>
      </c>
      <c r="P1064" s="11" t="s">
        <v>38</v>
      </c>
      <c r="Q1064" s="20">
        <v>39994.0</v>
      </c>
      <c r="R1064" s="17">
        <f t="shared" si="2"/>
        <v>10.79471062</v>
      </c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>
        <f t="shared" si="8"/>
        <v>1</v>
      </c>
      <c r="AF1064" s="19">
        <f t="shared" si="13"/>
        <v>4</v>
      </c>
      <c r="AG1064" s="9"/>
      <c r="AH1064" s="9"/>
      <c r="AI1064" s="9"/>
    </row>
    <row r="1065" ht="15.0" customHeight="1">
      <c r="A1065" s="11">
        <v>1064.0</v>
      </c>
      <c r="B1065" s="12">
        <f t="shared" ref="B1065:B1070" si="179">DATE(2012,12,31)-1281</f>
        <v>39993</v>
      </c>
      <c r="C1065" s="13">
        <v>2009.0</v>
      </c>
      <c r="D1065" s="11" t="s">
        <v>32</v>
      </c>
      <c r="E1065" s="11">
        <v>22.0</v>
      </c>
      <c r="F1065" s="21" t="s">
        <v>176</v>
      </c>
      <c r="G1065" s="15">
        <v>0.05000464684014855</v>
      </c>
      <c r="H1065" s="11" t="s">
        <v>33</v>
      </c>
      <c r="I1065" s="16">
        <v>9.712000000000002</v>
      </c>
      <c r="J1065" s="11" t="s">
        <v>1409</v>
      </c>
      <c r="K1065" s="11" t="s">
        <v>26</v>
      </c>
      <c r="L1065" s="11" t="s">
        <v>27</v>
      </c>
      <c r="M1065" s="11" t="s">
        <v>66</v>
      </c>
      <c r="N1065" s="11" t="s">
        <v>67</v>
      </c>
      <c r="O1065" s="11" t="s">
        <v>445</v>
      </c>
      <c r="P1065" s="11" t="s">
        <v>38</v>
      </c>
      <c r="Q1065" s="20">
        <v>39994.0</v>
      </c>
      <c r="R1065" s="17">
        <f t="shared" si="2"/>
        <v>81.78319996</v>
      </c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>
        <f t="shared" si="8"/>
        <v>1</v>
      </c>
      <c r="AF1065" s="19">
        <f t="shared" si="13"/>
        <v>1</v>
      </c>
      <c r="AG1065" s="9"/>
      <c r="AH1065" s="9"/>
      <c r="AI1065" s="9"/>
    </row>
    <row r="1066" ht="15.0" customHeight="1">
      <c r="A1066" s="11">
        <v>1065.0</v>
      </c>
      <c r="B1066" s="12">
        <f t="shared" si="179"/>
        <v>39993</v>
      </c>
      <c r="C1066" s="13">
        <v>2009.0</v>
      </c>
      <c r="D1066" s="11" t="s">
        <v>32</v>
      </c>
      <c r="E1066" s="11">
        <v>14.0</v>
      </c>
      <c r="F1066" s="21" t="s">
        <v>103</v>
      </c>
      <c r="G1066" s="15">
        <v>0.027312775330396364</v>
      </c>
      <c r="H1066" s="11" t="s">
        <v>33</v>
      </c>
      <c r="I1066" s="16">
        <v>5.720000000000001</v>
      </c>
      <c r="J1066" s="11" t="s">
        <v>1409</v>
      </c>
      <c r="K1066" s="11" t="s">
        <v>26</v>
      </c>
      <c r="L1066" s="11" t="s">
        <v>27</v>
      </c>
      <c r="M1066" s="11" t="s">
        <v>28</v>
      </c>
      <c r="N1066" s="11" t="s">
        <v>56</v>
      </c>
      <c r="O1066" s="11" t="s">
        <v>1312</v>
      </c>
      <c r="P1066" s="11" t="s">
        <v>38</v>
      </c>
      <c r="Q1066" s="20">
        <v>39994.0</v>
      </c>
      <c r="R1066" s="17">
        <f t="shared" si="2"/>
        <v>2.412264317</v>
      </c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>
        <f t="shared" si="8"/>
        <v>1</v>
      </c>
      <c r="AF1066" s="19">
        <f t="shared" si="13"/>
        <v>1</v>
      </c>
      <c r="AG1066" s="9"/>
      <c r="AH1066" s="9"/>
      <c r="AI1066" s="9"/>
    </row>
    <row r="1067" ht="15.0" customHeight="1">
      <c r="A1067" s="11">
        <v>1066.0</v>
      </c>
      <c r="B1067" s="12">
        <f t="shared" si="179"/>
        <v>39993</v>
      </c>
      <c r="C1067" s="13">
        <v>2009.0</v>
      </c>
      <c r="D1067" s="11" t="s">
        <v>32</v>
      </c>
      <c r="E1067" s="11">
        <v>23.0</v>
      </c>
      <c r="F1067" s="21" t="s">
        <v>1158</v>
      </c>
      <c r="G1067" s="15">
        <v>0.1081276595744681</v>
      </c>
      <c r="H1067" s="11" t="s">
        <v>33</v>
      </c>
      <c r="I1067" s="16">
        <v>3.3360000000000003</v>
      </c>
      <c r="J1067" s="11" t="s">
        <v>1409</v>
      </c>
      <c r="K1067" s="11" t="s">
        <v>26</v>
      </c>
      <c r="L1067" s="11" t="s">
        <v>27</v>
      </c>
      <c r="M1067" s="11" t="s">
        <v>28</v>
      </c>
      <c r="N1067" s="11" t="s">
        <v>62</v>
      </c>
      <c r="O1067" s="11" t="s">
        <v>1532</v>
      </c>
      <c r="P1067" s="11" t="s">
        <v>99</v>
      </c>
      <c r="Q1067" s="20">
        <v>39995.0</v>
      </c>
      <c r="R1067" s="17">
        <f t="shared" si="2"/>
        <v>9.064990468</v>
      </c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>
        <f t="shared" si="8"/>
        <v>1</v>
      </c>
      <c r="AF1067" s="19">
        <f t="shared" si="13"/>
        <v>1</v>
      </c>
      <c r="AG1067" s="9"/>
      <c r="AH1067" s="9"/>
      <c r="AI1067" s="9"/>
    </row>
    <row r="1068" ht="15.0" customHeight="1">
      <c r="A1068" s="11">
        <v>1067.0</v>
      </c>
      <c r="B1068" s="12">
        <f t="shared" si="179"/>
        <v>39993</v>
      </c>
      <c r="C1068" s="13">
        <v>2009.0</v>
      </c>
      <c r="D1068" s="11" t="s">
        <v>23</v>
      </c>
      <c r="E1068" s="11">
        <v>24.0</v>
      </c>
      <c r="F1068" s="21" t="s">
        <v>142</v>
      </c>
      <c r="G1068" s="15">
        <v>0.04154375069313535</v>
      </c>
      <c r="H1068" s="11" t="s">
        <v>33</v>
      </c>
      <c r="I1068" s="16">
        <v>2.64</v>
      </c>
      <c r="J1068" s="11" t="s">
        <v>1355</v>
      </c>
      <c r="K1068" s="11" t="s">
        <v>61</v>
      </c>
      <c r="L1068" s="11" t="s">
        <v>27</v>
      </c>
      <c r="M1068" s="11" t="s">
        <v>66</v>
      </c>
      <c r="N1068" s="11" t="s">
        <v>80</v>
      </c>
      <c r="O1068" s="11" t="s">
        <v>837</v>
      </c>
      <c r="P1068" s="11" t="s">
        <v>99</v>
      </c>
      <c r="Q1068" s="20">
        <v>39995.0</v>
      </c>
      <c r="R1068" s="17">
        <f t="shared" si="2"/>
        <v>35.9037711</v>
      </c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>
        <f t="shared" si="8"/>
        <v>1</v>
      </c>
      <c r="AF1068" s="19">
        <f t="shared" si="13"/>
        <v>4</v>
      </c>
      <c r="AG1068" s="9"/>
      <c r="AH1068" s="9"/>
      <c r="AI1068" s="9"/>
    </row>
    <row r="1069" ht="15.0" customHeight="1">
      <c r="A1069" s="11">
        <v>1068.0</v>
      </c>
      <c r="B1069" s="12">
        <f t="shared" si="179"/>
        <v>39993</v>
      </c>
      <c r="C1069" s="13">
        <v>2009.0</v>
      </c>
      <c r="D1069" s="11" t="s">
        <v>102</v>
      </c>
      <c r="E1069" s="11">
        <v>34.0</v>
      </c>
      <c r="F1069" s="21" t="s">
        <v>218</v>
      </c>
      <c r="G1069" s="15">
        <v>0.08787935909519315</v>
      </c>
      <c r="H1069" s="11" t="s">
        <v>33</v>
      </c>
      <c r="I1069" s="16">
        <v>8.128</v>
      </c>
      <c r="J1069" s="11" t="s">
        <v>1332</v>
      </c>
      <c r="K1069" s="11" t="s">
        <v>35</v>
      </c>
      <c r="L1069" s="11" t="s">
        <v>41</v>
      </c>
      <c r="M1069" s="11" t="s">
        <v>49</v>
      </c>
      <c r="N1069" s="11" t="s">
        <v>73</v>
      </c>
      <c r="O1069" s="11" t="s">
        <v>1517</v>
      </c>
      <c r="P1069" s="11" t="s">
        <v>31</v>
      </c>
      <c r="Q1069" s="20">
        <v>39995.0</v>
      </c>
      <c r="R1069" s="17">
        <f t="shared" si="2"/>
        <v>25.51383857</v>
      </c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>
        <f t="shared" si="8"/>
        <v>3</v>
      </c>
      <c r="AF1069" s="19">
        <f t="shared" si="13"/>
        <v>2</v>
      </c>
      <c r="AG1069" s="9"/>
      <c r="AH1069" s="9"/>
      <c r="AI1069" s="9"/>
    </row>
    <row r="1070" ht="15.0" customHeight="1">
      <c r="A1070" s="11">
        <v>1069.0</v>
      </c>
      <c r="B1070" s="12">
        <f t="shared" si="179"/>
        <v>39993</v>
      </c>
      <c r="C1070" s="13">
        <v>2009.0</v>
      </c>
      <c r="D1070" s="11" t="s">
        <v>32</v>
      </c>
      <c r="E1070" s="11">
        <v>43.0</v>
      </c>
      <c r="F1070" s="21" t="s">
        <v>158</v>
      </c>
      <c r="G1070" s="15">
        <v>0.09789913266945069</v>
      </c>
      <c r="H1070" s="11" t="s">
        <v>33</v>
      </c>
      <c r="I1070" s="16">
        <v>5.6240000000000006</v>
      </c>
      <c r="J1070" s="11" t="s">
        <v>1533</v>
      </c>
      <c r="K1070" s="11" t="s">
        <v>61</v>
      </c>
      <c r="L1070" s="11" t="s">
        <v>41</v>
      </c>
      <c r="M1070" s="11" t="s">
        <v>28</v>
      </c>
      <c r="N1070" s="11" t="s">
        <v>56</v>
      </c>
      <c r="O1070" s="11" t="s">
        <v>1534</v>
      </c>
      <c r="P1070" s="11" t="s">
        <v>38</v>
      </c>
      <c r="Q1070" s="20">
        <v>39995.0</v>
      </c>
      <c r="R1070" s="17">
        <f t="shared" si="2"/>
        <v>27.49242603</v>
      </c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>
        <f t="shared" si="8"/>
        <v>3</v>
      </c>
      <c r="AF1070" s="19">
        <f t="shared" si="13"/>
        <v>4</v>
      </c>
      <c r="AG1070" s="9"/>
      <c r="AH1070" s="9"/>
      <c r="AI1070" s="9"/>
    </row>
    <row r="1071" ht="15.0" customHeight="1">
      <c r="A1071" s="11">
        <v>1070.0</v>
      </c>
      <c r="B1071" s="12">
        <f t="shared" ref="B1071:B1079" si="180">DATE(2012,12,31)-1280</f>
        <v>39994</v>
      </c>
      <c r="C1071" s="13">
        <v>2009.0</v>
      </c>
      <c r="D1071" s="11" t="s">
        <v>39</v>
      </c>
      <c r="E1071" s="11">
        <v>44.0</v>
      </c>
      <c r="F1071" s="21" t="s">
        <v>210</v>
      </c>
      <c r="G1071" s="15">
        <v>0.03367003367003355</v>
      </c>
      <c r="H1071" s="11" t="s">
        <v>33</v>
      </c>
      <c r="I1071" s="16">
        <v>0.4</v>
      </c>
      <c r="J1071" s="11" t="s">
        <v>1535</v>
      </c>
      <c r="K1071" s="11" t="s">
        <v>65</v>
      </c>
      <c r="L1071" s="11" t="s">
        <v>48</v>
      </c>
      <c r="M1071" s="11" t="s">
        <v>28</v>
      </c>
      <c r="N1071" s="11" t="s">
        <v>188</v>
      </c>
      <c r="O1071" s="11" t="s">
        <v>1356</v>
      </c>
      <c r="P1071" s="11" t="s">
        <v>38</v>
      </c>
      <c r="Q1071" s="20">
        <v>39995.0</v>
      </c>
      <c r="R1071" s="17">
        <f t="shared" si="2"/>
        <v>3.865319865</v>
      </c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>
        <f t="shared" si="8"/>
        <v>4</v>
      </c>
      <c r="AF1071" s="19">
        <f t="shared" si="13"/>
        <v>5</v>
      </c>
      <c r="AG1071" s="9"/>
      <c r="AH1071" s="9"/>
      <c r="AI1071" s="9"/>
    </row>
    <row r="1072" ht="15.0" customHeight="1">
      <c r="A1072" s="11">
        <v>1071.0</v>
      </c>
      <c r="B1072" s="12">
        <f t="shared" si="180"/>
        <v>39994</v>
      </c>
      <c r="C1072" s="13">
        <v>2009.0</v>
      </c>
      <c r="D1072" s="11" t="s">
        <v>39</v>
      </c>
      <c r="E1072" s="11">
        <v>28.0</v>
      </c>
      <c r="F1072" s="21" t="s">
        <v>1097</v>
      </c>
      <c r="G1072" s="15">
        <v>0.07532848637616289</v>
      </c>
      <c r="H1072" s="11" t="s">
        <v>45</v>
      </c>
      <c r="I1072" s="16">
        <v>48.0</v>
      </c>
      <c r="J1072" s="11" t="s">
        <v>1535</v>
      </c>
      <c r="K1072" s="11" t="s">
        <v>65</v>
      </c>
      <c r="L1072" s="11" t="s">
        <v>48</v>
      </c>
      <c r="M1072" s="11" t="s">
        <v>49</v>
      </c>
      <c r="N1072" s="11" t="s">
        <v>85</v>
      </c>
      <c r="O1072" s="11" t="s">
        <v>1098</v>
      </c>
      <c r="P1072" s="11" t="s">
        <v>52</v>
      </c>
      <c r="Q1072" s="20">
        <v>39995.0</v>
      </c>
      <c r="R1072" s="17">
        <f t="shared" si="2"/>
        <v>740.5694153</v>
      </c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>
        <f t="shared" si="8"/>
        <v>4</v>
      </c>
      <c r="AF1072" s="19">
        <f t="shared" si="13"/>
        <v>5</v>
      </c>
      <c r="AG1072" s="9"/>
      <c r="AH1072" s="9"/>
      <c r="AI1072" s="9"/>
    </row>
    <row r="1073" ht="15.0" customHeight="1">
      <c r="A1073" s="11">
        <v>1072.0</v>
      </c>
      <c r="B1073" s="12">
        <f t="shared" si="180"/>
        <v>39994</v>
      </c>
      <c r="C1073" s="13">
        <v>2009.0</v>
      </c>
      <c r="D1073" s="11" t="s">
        <v>44</v>
      </c>
      <c r="E1073" s="11">
        <v>42.0</v>
      </c>
      <c r="F1073" s="21" t="s">
        <v>218</v>
      </c>
      <c r="G1073" s="15">
        <v>0.04292976223011744</v>
      </c>
      <c r="H1073" s="11" t="s">
        <v>33</v>
      </c>
      <c r="I1073" s="16">
        <v>1.592</v>
      </c>
      <c r="J1073" s="11" t="s">
        <v>1536</v>
      </c>
      <c r="K1073" s="11" t="s">
        <v>61</v>
      </c>
      <c r="L1073" s="11" t="s">
        <v>36</v>
      </c>
      <c r="M1073" s="11" t="s">
        <v>66</v>
      </c>
      <c r="N1073" s="11" t="s">
        <v>67</v>
      </c>
      <c r="O1073" s="11" t="s">
        <v>749</v>
      </c>
      <c r="P1073" s="11" t="s">
        <v>99</v>
      </c>
      <c r="Q1073" s="20">
        <v>39995.0</v>
      </c>
      <c r="R1073" s="17">
        <f t="shared" si="2"/>
        <v>15.03365929</v>
      </c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>
        <f t="shared" si="8"/>
        <v>2</v>
      </c>
      <c r="AF1073" s="19">
        <f t="shared" si="13"/>
        <v>4</v>
      </c>
      <c r="AG1073" s="9"/>
      <c r="AH1073" s="9"/>
      <c r="AI1073" s="9"/>
    </row>
    <row r="1074" ht="15.0" customHeight="1">
      <c r="A1074" s="11">
        <v>1073.0</v>
      </c>
      <c r="B1074" s="12">
        <f t="shared" si="180"/>
        <v>39994</v>
      </c>
      <c r="C1074" s="13">
        <v>2009.0</v>
      </c>
      <c r="D1074" s="11" t="s">
        <v>32</v>
      </c>
      <c r="E1074" s="11">
        <v>21.0</v>
      </c>
      <c r="F1074" s="21" t="s">
        <v>402</v>
      </c>
      <c r="G1074" s="15">
        <v>0.023774250440917175</v>
      </c>
      <c r="H1074" s="11" t="s">
        <v>33</v>
      </c>
      <c r="I1074" s="16">
        <v>2.256</v>
      </c>
      <c r="J1074" s="11" t="s">
        <v>1196</v>
      </c>
      <c r="K1074" s="11" t="s">
        <v>61</v>
      </c>
      <c r="L1074" s="11" t="s">
        <v>41</v>
      </c>
      <c r="M1074" s="11" t="s">
        <v>28</v>
      </c>
      <c r="N1074" s="11" t="s">
        <v>216</v>
      </c>
      <c r="O1074" s="11" t="s">
        <v>1537</v>
      </c>
      <c r="P1074" s="11" t="s">
        <v>58</v>
      </c>
      <c r="Q1074" s="20">
        <v>39995.0</v>
      </c>
      <c r="R1074" s="17">
        <f t="shared" si="2"/>
        <v>3.947856931</v>
      </c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>
        <f t="shared" si="8"/>
        <v>3</v>
      </c>
      <c r="AF1074" s="19">
        <f t="shared" si="13"/>
        <v>4</v>
      </c>
      <c r="AG1074" s="9"/>
      <c r="AH1074" s="9"/>
      <c r="AI1074" s="9"/>
    </row>
    <row r="1075" ht="15.0" customHeight="1">
      <c r="A1075" s="11">
        <v>1074.0</v>
      </c>
      <c r="B1075" s="12">
        <f t="shared" si="180"/>
        <v>39994</v>
      </c>
      <c r="C1075" s="13">
        <v>2009.0</v>
      </c>
      <c r="D1075" s="11" t="s">
        <v>32</v>
      </c>
      <c r="E1075" s="11">
        <v>16.0</v>
      </c>
      <c r="F1075" s="21" t="s">
        <v>758</v>
      </c>
      <c r="G1075" s="15">
        <v>0.10585365853658531</v>
      </c>
      <c r="H1075" s="11" t="s">
        <v>33</v>
      </c>
      <c r="I1075" s="16">
        <v>1.056</v>
      </c>
      <c r="J1075" s="11" t="s">
        <v>1196</v>
      </c>
      <c r="K1075" s="11" t="s">
        <v>61</v>
      </c>
      <c r="L1075" s="11" t="s">
        <v>41</v>
      </c>
      <c r="M1075" s="11" t="s">
        <v>28</v>
      </c>
      <c r="N1075" s="11" t="s">
        <v>442</v>
      </c>
      <c r="O1075" s="11" t="s">
        <v>1304</v>
      </c>
      <c r="P1075" s="11" t="s">
        <v>58</v>
      </c>
      <c r="Q1075" s="20">
        <v>39996.0</v>
      </c>
      <c r="R1075" s="17">
        <f t="shared" si="2"/>
        <v>6.208952195</v>
      </c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>
        <f t="shared" si="8"/>
        <v>3</v>
      </c>
      <c r="AF1075" s="19">
        <f t="shared" si="13"/>
        <v>4</v>
      </c>
      <c r="AG1075" s="9"/>
      <c r="AH1075" s="9"/>
      <c r="AI1075" s="9"/>
    </row>
    <row r="1076" ht="15.0" customHeight="1">
      <c r="A1076" s="11">
        <v>1075.0</v>
      </c>
      <c r="B1076" s="12">
        <f t="shared" si="180"/>
        <v>39994</v>
      </c>
      <c r="C1076" s="13">
        <v>2009.0</v>
      </c>
      <c r="D1076" s="11" t="s">
        <v>32</v>
      </c>
      <c r="E1076" s="11">
        <v>18.0</v>
      </c>
      <c r="F1076" s="21" t="s">
        <v>413</v>
      </c>
      <c r="G1076" s="15">
        <v>0.10088845014807502</v>
      </c>
      <c r="H1076" s="11" t="s">
        <v>33</v>
      </c>
      <c r="I1076" s="16">
        <v>7.56</v>
      </c>
      <c r="J1076" s="11" t="s">
        <v>1196</v>
      </c>
      <c r="K1076" s="11" t="s">
        <v>61</v>
      </c>
      <c r="L1076" s="11" t="s">
        <v>41</v>
      </c>
      <c r="M1076" s="11" t="s">
        <v>28</v>
      </c>
      <c r="N1076" s="11" t="s">
        <v>29</v>
      </c>
      <c r="O1076" s="11" t="s">
        <v>660</v>
      </c>
      <c r="P1076" s="11" t="s">
        <v>38</v>
      </c>
      <c r="Q1076" s="20">
        <v>39996.0</v>
      </c>
      <c r="R1076" s="17">
        <f t="shared" si="2"/>
        <v>18.37784008</v>
      </c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>
        <f t="shared" si="8"/>
        <v>3</v>
      </c>
      <c r="AF1076" s="19">
        <f t="shared" si="13"/>
        <v>4</v>
      </c>
      <c r="AG1076" s="9"/>
      <c r="AH1076" s="9"/>
      <c r="AI1076" s="9"/>
    </row>
    <row r="1077" ht="15.0" customHeight="1">
      <c r="A1077" s="11">
        <v>1076.0</v>
      </c>
      <c r="B1077" s="12">
        <f t="shared" si="180"/>
        <v>39994</v>
      </c>
      <c r="C1077" s="13">
        <v>2009.0</v>
      </c>
      <c r="D1077" s="11" t="s">
        <v>44</v>
      </c>
      <c r="E1077" s="11">
        <v>14.0</v>
      </c>
      <c r="F1077" s="21" t="s">
        <v>1538</v>
      </c>
      <c r="G1077" s="15">
        <v>0.051215579520469116</v>
      </c>
      <c r="H1077" s="11" t="s">
        <v>24</v>
      </c>
      <c r="I1077" s="16">
        <v>11.584000000000001</v>
      </c>
      <c r="J1077" s="11" t="s">
        <v>703</v>
      </c>
      <c r="K1077" s="11" t="s">
        <v>35</v>
      </c>
      <c r="L1077" s="11" t="s">
        <v>41</v>
      </c>
      <c r="M1077" s="11" t="s">
        <v>49</v>
      </c>
      <c r="N1077" s="11" t="s">
        <v>73</v>
      </c>
      <c r="O1077" s="11" t="s">
        <v>1539</v>
      </c>
      <c r="P1077" s="11" t="s">
        <v>38</v>
      </c>
      <c r="Q1077" s="20">
        <v>39996.0</v>
      </c>
      <c r="R1077" s="17">
        <f t="shared" si="2"/>
        <v>46.41073871</v>
      </c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>
        <f t="shared" si="8"/>
        <v>3</v>
      </c>
      <c r="AF1077" s="19">
        <f t="shared" si="13"/>
        <v>2</v>
      </c>
      <c r="AG1077" s="9"/>
      <c r="AH1077" s="9"/>
      <c r="AI1077" s="9"/>
    </row>
    <row r="1078" ht="15.0" customHeight="1">
      <c r="A1078" s="11">
        <v>1077.0</v>
      </c>
      <c r="B1078" s="12">
        <f t="shared" si="180"/>
        <v>39994</v>
      </c>
      <c r="C1078" s="13">
        <v>2009.0</v>
      </c>
      <c r="D1078" s="11" t="s">
        <v>23</v>
      </c>
      <c r="E1078" s="11">
        <v>44.0</v>
      </c>
      <c r="F1078" s="21" t="s">
        <v>130</v>
      </c>
      <c r="G1078" s="15">
        <v>0.023049391553328594</v>
      </c>
      <c r="H1078" s="11" t="s">
        <v>24</v>
      </c>
      <c r="I1078" s="16">
        <v>5.2</v>
      </c>
      <c r="J1078" s="11" t="s">
        <v>412</v>
      </c>
      <c r="K1078" s="11" t="s">
        <v>35</v>
      </c>
      <c r="L1078" s="11" t="s">
        <v>27</v>
      </c>
      <c r="M1078" s="11" t="s">
        <v>66</v>
      </c>
      <c r="N1078" s="11" t="s">
        <v>67</v>
      </c>
      <c r="O1078" s="11" t="s">
        <v>1464</v>
      </c>
      <c r="P1078" s="11" t="s">
        <v>38</v>
      </c>
      <c r="Q1078" s="20">
        <v>39996.0</v>
      </c>
      <c r="R1078" s="17">
        <f t="shared" si="2"/>
        <v>31.45780959</v>
      </c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>
        <f t="shared" si="8"/>
        <v>1</v>
      </c>
      <c r="AF1078" s="19">
        <f t="shared" si="13"/>
        <v>2</v>
      </c>
      <c r="AG1078" s="9"/>
      <c r="AH1078" s="9"/>
      <c r="AI1078" s="9"/>
    </row>
    <row r="1079" ht="15.0" customHeight="1">
      <c r="A1079" s="11">
        <v>1078.0</v>
      </c>
      <c r="B1079" s="12">
        <f t="shared" si="180"/>
        <v>39994</v>
      </c>
      <c r="C1079" s="13">
        <v>2009.0</v>
      </c>
      <c r="D1079" s="11" t="s">
        <v>23</v>
      </c>
      <c r="E1079" s="11">
        <v>29.0</v>
      </c>
      <c r="F1079" s="21" t="s">
        <v>696</v>
      </c>
      <c r="G1079" s="15">
        <v>0.07555805454034308</v>
      </c>
      <c r="H1079" s="11" t="s">
        <v>33</v>
      </c>
      <c r="I1079" s="16">
        <v>4.024</v>
      </c>
      <c r="J1079" s="11" t="s">
        <v>1228</v>
      </c>
      <c r="K1079" s="11" t="s">
        <v>83</v>
      </c>
      <c r="L1079" s="11" t="s">
        <v>41</v>
      </c>
      <c r="M1079" s="11" t="s">
        <v>28</v>
      </c>
      <c r="N1079" s="11" t="s">
        <v>29</v>
      </c>
      <c r="O1079" s="11" t="s">
        <v>698</v>
      </c>
      <c r="P1079" s="11" t="s">
        <v>38</v>
      </c>
      <c r="Q1079" s="20">
        <v>39997.0</v>
      </c>
      <c r="R1079" s="17">
        <f t="shared" si="2"/>
        <v>24.84530173</v>
      </c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>
        <f t="shared" si="8"/>
        <v>3</v>
      </c>
      <c r="AF1079" s="19" t="b">
        <f t="shared" si="13"/>
        <v>0</v>
      </c>
      <c r="AG1079" s="9"/>
      <c r="AH1079" s="9"/>
      <c r="AI1079" s="9"/>
    </row>
    <row r="1080" ht="15.0" customHeight="1">
      <c r="A1080" s="11">
        <v>1079.0</v>
      </c>
      <c r="B1080" s="12">
        <f t="shared" ref="B1080:B1089" si="181">DATE(2012,12,31)-1279</f>
        <v>39995</v>
      </c>
      <c r="C1080" s="13">
        <v>2009.0</v>
      </c>
      <c r="D1080" s="11" t="s">
        <v>44</v>
      </c>
      <c r="E1080" s="11">
        <v>40.0</v>
      </c>
      <c r="F1080" s="21" t="s">
        <v>1452</v>
      </c>
      <c r="G1080" s="15">
        <v>0.038912136569751905</v>
      </c>
      <c r="H1080" s="11" t="s">
        <v>33</v>
      </c>
      <c r="I1080" s="16">
        <v>19.592</v>
      </c>
      <c r="J1080" s="11" t="s">
        <v>928</v>
      </c>
      <c r="K1080" s="11" t="s">
        <v>61</v>
      </c>
      <c r="L1080" s="11" t="s">
        <v>36</v>
      </c>
      <c r="M1080" s="11" t="s">
        <v>66</v>
      </c>
      <c r="N1080" s="11" t="s">
        <v>170</v>
      </c>
      <c r="O1080" s="11" t="s">
        <v>1453</v>
      </c>
      <c r="P1080" s="11" t="s">
        <v>31</v>
      </c>
      <c r="Q1080" s="20">
        <v>39997.0</v>
      </c>
      <c r="R1080" s="17">
        <f t="shared" si="2"/>
        <v>701.0251763</v>
      </c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>
        <f t="shared" si="8"/>
        <v>2</v>
      </c>
      <c r="AF1080" s="19">
        <f t="shared" si="13"/>
        <v>4</v>
      </c>
      <c r="AG1080" s="9"/>
      <c r="AH1080" s="9"/>
      <c r="AI1080" s="9"/>
    </row>
    <row r="1081" ht="15.0" customHeight="1">
      <c r="A1081" s="11">
        <v>1080.0</v>
      </c>
      <c r="B1081" s="12">
        <f t="shared" si="181"/>
        <v>39995</v>
      </c>
      <c r="C1081" s="13">
        <v>2009.0</v>
      </c>
      <c r="D1081" s="11" t="s">
        <v>44</v>
      </c>
      <c r="E1081" s="11">
        <v>20.0</v>
      </c>
      <c r="F1081" s="21" t="s">
        <v>336</v>
      </c>
      <c r="G1081" s="15">
        <v>0.01796809403862301</v>
      </c>
      <c r="H1081" s="11" t="s">
        <v>33</v>
      </c>
      <c r="I1081" s="16">
        <v>0.96</v>
      </c>
      <c r="J1081" s="11" t="s">
        <v>928</v>
      </c>
      <c r="K1081" s="11" t="s">
        <v>61</v>
      </c>
      <c r="L1081" s="11" t="s">
        <v>36</v>
      </c>
      <c r="M1081" s="11" t="s">
        <v>28</v>
      </c>
      <c r="N1081" s="11" t="s">
        <v>62</v>
      </c>
      <c r="O1081" s="11" t="s">
        <v>1540</v>
      </c>
      <c r="P1081" s="11" t="s">
        <v>58</v>
      </c>
      <c r="Q1081" s="20">
        <v>39997.0</v>
      </c>
      <c r="R1081" s="17">
        <f t="shared" si="2"/>
        <v>2.101548279</v>
      </c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>
        <f t="shared" si="8"/>
        <v>2</v>
      </c>
      <c r="AF1081" s="19">
        <f t="shared" si="13"/>
        <v>4</v>
      </c>
      <c r="AG1081" s="9"/>
      <c r="AH1081" s="9"/>
      <c r="AI1081" s="9"/>
    </row>
    <row r="1082" ht="15.0" customHeight="1">
      <c r="A1082" s="11">
        <v>1081.0</v>
      </c>
      <c r="B1082" s="12">
        <f t="shared" si="181"/>
        <v>39995</v>
      </c>
      <c r="C1082" s="13">
        <v>2009.0</v>
      </c>
      <c r="D1082" s="11" t="s">
        <v>39</v>
      </c>
      <c r="E1082" s="11">
        <v>6.0</v>
      </c>
      <c r="F1082" s="21" t="s">
        <v>654</v>
      </c>
      <c r="G1082" s="15">
        <v>0.013645789742874394</v>
      </c>
      <c r="H1082" s="11" t="s">
        <v>45</v>
      </c>
      <c r="I1082" s="16">
        <v>32.152</v>
      </c>
      <c r="J1082" s="11" t="s">
        <v>945</v>
      </c>
      <c r="K1082" s="11" t="s">
        <v>65</v>
      </c>
      <c r="L1082" s="11" t="s">
        <v>36</v>
      </c>
      <c r="M1082" s="11" t="s">
        <v>49</v>
      </c>
      <c r="N1082" s="11" t="s">
        <v>85</v>
      </c>
      <c r="O1082" s="11" t="s">
        <v>655</v>
      </c>
      <c r="P1082" s="11" t="s">
        <v>87</v>
      </c>
      <c r="Q1082" s="20">
        <v>39997.0</v>
      </c>
      <c r="R1082" s="17">
        <f t="shared" si="2"/>
        <v>28.94752336</v>
      </c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>
        <f t="shared" si="8"/>
        <v>2</v>
      </c>
      <c r="AF1082" s="19">
        <f t="shared" si="13"/>
        <v>5</v>
      </c>
      <c r="AG1082" s="9"/>
      <c r="AH1082" s="9"/>
      <c r="AI1082" s="9"/>
    </row>
    <row r="1083" ht="15.0" customHeight="1">
      <c r="A1083" s="11">
        <v>1082.0</v>
      </c>
      <c r="B1083" s="12">
        <f t="shared" si="181"/>
        <v>39995</v>
      </c>
      <c r="C1083" s="13">
        <v>2009.0</v>
      </c>
      <c r="D1083" s="11" t="s">
        <v>44</v>
      </c>
      <c r="E1083" s="11">
        <v>27.0</v>
      </c>
      <c r="F1083" s="21" t="s">
        <v>948</v>
      </c>
      <c r="G1083" s="15">
        <v>0.07353736654804266</v>
      </c>
      <c r="H1083" s="11" t="s">
        <v>33</v>
      </c>
      <c r="I1083" s="16">
        <v>0.568</v>
      </c>
      <c r="J1083" s="11" t="s">
        <v>1256</v>
      </c>
      <c r="K1083" s="11" t="s">
        <v>83</v>
      </c>
      <c r="L1083" s="11" t="s">
        <v>36</v>
      </c>
      <c r="M1083" s="11" t="s">
        <v>28</v>
      </c>
      <c r="N1083" s="11" t="s">
        <v>62</v>
      </c>
      <c r="O1083" s="11" t="s">
        <v>949</v>
      </c>
      <c r="P1083" s="11" t="s">
        <v>58</v>
      </c>
      <c r="Q1083" s="20">
        <v>39997.0</v>
      </c>
      <c r="R1083" s="17">
        <f t="shared" si="2"/>
        <v>9.572211929</v>
      </c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>
        <f t="shared" si="8"/>
        <v>2</v>
      </c>
      <c r="AF1083" s="19" t="b">
        <f t="shared" si="13"/>
        <v>0</v>
      </c>
      <c r="AG1083" s="9"/>
      <c r="AH1083" s="9"/>
      <c r="AI1083" s="9"/>
    </row>
    <row r="1084" ht="15.0" customHeight="1">
      <c r="A1084" s="11">
        <v>1083.0</v>
      </c>
      <c r="B1084" s="12">
        <f t="shared" si="181"/>
        <v>39995</v>
      </c>
      <c r="C1084" s="13">
        <v>2009.0</v>
      </c>
      <c r="D1084" s="11" t="s">
        <v>44</v>
      </c>
      <c r="E1084" s="11">
        <v>3.0</v>
      </c>
      <c r="F1084" s="21" t="s">
        <v>616</v>
      </c>
      <c r="G1084" s="15">
        <v>0.038959978646904495</v>
      </c>
      <c r="H1084" s="11" t="s">
        <v>45</v>
      </c>
      <c r="I1084" s="16">
        <v>11.76</v>
      </c>
      <c r="J1084" s="11" t="s">
        <v>262</v>
      </c>
      <c r="K1084" s="11" t="s">
        <v>61</v>
      </c>
      <c r="L1084" s="11" t="s">
        <v>36</v>
      </c>
      <c r="M1084" s="11" t="s">
        <v>66</v>
      </c>
      <c r="N1084" s="11" t="s">
        <v>69</v>
      </c>
      <c r="O1084" s="11" t="s">
        <v>618</v>
      </c>
      <c r="P1084" s="11" t="s">
        <v>52</v>
      </c>
      <c r="Q1084" s="20">
        <v>39997.0</v>
      </c>
      <c r="R1084" s="17">
        <f t="shared" si="2"/>
        <v>238.4724709</v>
      </c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>
        <f t="shared" si="8"/>
        <v>2</v>
      </c>
      <c r="AF1084" s="19">
        <f t="shared" si="13"/>
        <v>4</v>
      </c>
      <c r="AG1084" s="9"/>
      <c r="AH1084" s="9"/>
      <c r="AI1084" s="9"/>
    </row>
    <row r="1085" ht="15.0" customHeight="1">
      <c r="A1085" s="11">
        <v>1084.0</v>
      </c>
      <c r="B1085" s="12">
        <f t="shared" si="181"/>
        <v>39995</v>
      </c>
      <c r="C1085" s="13">
        <v>2009.0</v>
      </c>
      <c r="D1085" s="11" t="s">
        <v>23</v>
      </c>
      <c r="E1085" s="11">
        <v>8.0</v>
      </c>
      <c r="F1085" s="21" t="s">
        <v>221</v>
      </c>
      <c r="G1085" s="15">
        <v>0.026939443535188227</v>
      </c>
      <c r="H1085" s="11" t="s">
        <v>33</v>
      </c>
      <c r="I1085" s="16">
        <v>5.016</v>
      </c>
      <c r="J1085" s="11" t="s">
        <v>1541</v>
      </c>
      <c r="K1085" s="11" t="s">
        <v>65</v>
      </c>
      <c r="L1085" s="11" t="s">
        <v>27</v>
      </c>
      <c r="M1085" s="11" t="s">
        <v>28</v>
      </c>
      <c r="N1085" s="11" t="s">
        <v>42</v>
      </c>
      <c r="O1085" s="11" t="s">
        <v>1542</v>
      </c>
      <c r="P1085" s="11" t="s">
        <v>38</v>
      </c>
      <c r="Q1085" s="20">
        <v>39997.0</v>
      </c>
      <c r="R1085" s="17">
        <f t="shared" si="2"/>
        <v>6.406630704</v>
      </c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>
        <f t="shared" si="8"/>
        <v>1</v>
      </c>
      <c r="AF1085" s="19">
        <f t="shared" si="13"/>
        <v>5</v>
      </c>
      <c r="AG1085" s="9"/>
      <c r="AH1085" s="9"/>
      <c r="AI1085" s="9"/>
    </row>
    <row r="1086" ht="15.0" customHeight="1">
      <c r="A1086" s="11">
        <v>1085.0</v>
      </c>
      <c r="B1086" s="12">
        <f t="shared" si="181"/>
        <v>39995</v>
      </c>
      <c r="C1086" s="13">
        <v>2009.0</v>
      </c>
      <c r="D1086" s="11" t="s">
        <v>23</v>
      </c>
      <c r="E1086" s="11">
        <v>45.0</v>
      </c>
      <c r="F1086" s="21" t="s">
        <v>342</v>
      </c>
      <c r="G1086" s="15">
        <v>0.03498961053155841</v>
      </c>
      <c r="H1086" s="11" t="s">
        <v>45</v>
      </c>
      <c r="I1086" s="16">
        <v>23.368000000000002</v>
      </c>
      <c r="J1086" s="11" t="s">
        <v>1541</v>
      </c>
      <c r="K1086" s="11" t="s">
        <v>65</v>
      </c>
      <c r="L1086" s="11" t="s">
        <v>27</v>
      </c>
      <c r="M1086" s="11" t="s">
        <v>49</v>
      </c>
      <c r="N1086" s="11" t="s">
        <v>85</v>
      </c>
      <c r="O1086" s="11" t="s">
        <v>343</v>
      </c>
      <c r="P1086" s="11" t="s">
        <v>87</v>
      </c>
      <c r="Q1086" s="20">
        <v>39997.0</v>
      </c>
      <c r="R1086" s="17">
        <f t="shared" si="2"/>
        <v>282.9738565</v>
      </c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>
        <f t="shared" si="8"/>
        <v>1</v>
      </c>
      <c r="AF1086" s="19">
        <f t="shared" si="13"/>
        <v>5</v>
      </c>
      <c r="AG1086" s="9"/>
      <c r="AH1086" s="9"/>
      <c r="AI1086" s="9"/>
    </row>
    <row r="1087" ht="15.0" customHeight="1">
      <c r="A1087" s="11">
        <v>1086.0</v>
      </c>
      <c r="B1087" s="12">
        <f t="shared" si="181"/>
        <v>39995</v>
      </c>
      <c r="C1087" s="13">
        <v>2009.0</v>
      </c>
      <c r="D1087" s="11" t="s">
        <v>32</v>
      </c>
      <c r="E1087" s="11">
        <v>42.0</v>
      </c>
      <c r="F1087" s="21" t="s">
        <v>527</v>
      </c>
      <c r="G1087" s="15">
        <v>0.040542537577812614</v>
      </c>
      <c r="H1087" s="11" t="s">
        <v>33</v>
      </c>
      <c r="I1087" s="16">
        <v>1.592</v>
      </c>
      <c r="J1087" s="11" t="s">
        <v>525</v>
      </c>
      <c r="K1087" s="11" t="s">
        <v>65</v>
      </c>
      <c r="L1087" s="11" t="s">
        <v>41</v>
      </c>
      <c r="M1087" s="11" t="s">
        <v>66</v>
      </c>
      <c r="N1087" s="11" t="s">
        <v>67</v>
      </c>
      <c r="O1087" s="11" t="s">
        <v>529</v>
      </c>
      <c r="P1087" s="11" t="s">
        <v>99</v>
      </c>
      <c r="Q1087" s="20">
        <v>39998.0</v>
      </c>
      <c r="R1087" s="17">
        <f t="shared" si="2"/>
        <v>76.8602184</v>
      </c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>
        <f t="shared" si="8"/>
        <v>3</v>
      </c>
      <c r="AF1087" s="19">
        <f t="shared" si="13"/>
        <v>5</v>
      </c>
      <c r="AG1087" s="9"/>
      <c r="AH1087" s="9"/>
      <c r="AI1087" s="9"/>
    </row>
    <row r="1088" ht="15.0" customHeight="1">
      <c r="A1088" s="11">
        <v>1087.0</v>
      </c>
      <c r="B1088" s="12">
        <f t="shared" si="181"/>
        <v>39995</v>
      </c>
      <c r="C1088" s="13">
        <v>2009.0</v>
      </c>
      <c r="D1088" s="11" t="s">
        <v>32</v>
      </c>
      <c r="E1088" s="11">
        <v>9.0</v>
      </c>
      <c r="F1088" s="21" t="s">
        <v>126</v>
      </c>
      <c r="G1088" s="15">
        <v>0.06572519083969457</v>
      </c>
      <c r="H1088" s="11" t="s">
        <v>33</v>
      </c>
      <c r="I1088" s="16">
        <v>4.856000000000001</v>
      </c>
      <c r="J1088" s="11" t="s">
        <v>525</v>
      </c>
      <c r="K1088" s="11" t="s">
        <v>65</v>
      </c>
      <c r="L1088" s="11" t="s">
        <v>41</v>
      </c>
      <c r="M1088" s="11" t="s">
        <v>28</v>
      </c>
      <c r="N1088" s="11" t="s">
        <v>56</v>
      </c>
      <c r="O1088" s="11" t="s">
        <v>1316</v>
      </c>
      <c r="P1088" s="11" t="s">
        <v>38</v>
      </c>
      <c r="Q1088" s="20">
        <v>39998.0</v>
      </c>
      <c r="R1088" s="17">
        <f t="shared" si="2"/>
        <v>3.217642443</v>
      </c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>
        <f t="shared" si="8"/>
        <v>3</v>
      </c>
      <c r="AF1088" s="19">
        <f t="shared" si="13"/>
        <v>5</v>
      </c>
      <c r="AG1088" s="9"/>
      <c r="AH1088" s="9"/>
      <c r="AI1088" s="9"/>
    </row>
    <row r="1089" ht="15.0" customHeight="1">
      <c r="A1089" s="11">
        <v>1088.0</v>
      </c>
      <c r="B1089" s="12">
        <f t="shared" si="181"/>
        <v>39995</v>
      </c>
      <c r="C1089" s="13">
        <v>2009.0</v>
      </c>
      <c r="D1089" s="11" t="s">
        <v>44</v>
      </c>
      <c r="E1089" s="11">
        <v>35.0</v>
      </c>
      <c r="F1089" s="21" t="s">
        <v>115</v>
      </c>
      <c r="G1089" s="15">
        <v>0.07573570962834167</v>
      </c>
      <c r="H1089" s="11" t="s">
        <v>45</v>
      </c>
      <c r="I1089" s="16">
        <v>21.040000000000003</v>
      </c>
      <c r="J1089" s="11" t="s">
        <v>1543</v>
      </c>
      <c r="K1089" s="11" t="s">
        <v>61</v>
      </c>
      <c r="L1089" s="11" t="s">
        <v>48</v>
      </c>
      <c r="M1089" s="11" t="s">
        <v>66</v>
      </c>
      <c r="N1089" s="11" t="s">
        <v>69</v>
      </c>
      <c r="O1089" s="11" t="s">
        <v>118</v>
      </c>
      <c r="P1089" s="11" t="s">
        <v>52</v>
      </c>
      <c r="Q1089" s="20">
        <v>39998.0</v>
      </c>
      <c r="R1089" s="17">
        <f t="shared" si="2"/>
        <v>322.0691346</v>
      </c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>
        <f t="shared" si="8"/>
        <v>4</v>
      </c>
      <c r="AF1089" s="19">
        <f t="shared" si="13"/>
        <v>4</v>
      </c>
      <c r="AG1089" s="9"/>
      <c r="AH1089" s="9"/>
      <c r="AI1089" s="9"/>
    </row>
    <row r="1090" ht="15.0" customHeight="1">
      <c r="A1090" s="11">
        <v>1089.0</v>
      </c>
      <c r="B1090" s="12">
        <f t="shared" ref="B1090:B1098" si="182">DATE(2012,12,31)-1278</f>
        <v>39996</v>
      </c>
      <c r="C1090" s="13">
        <v>2009.0</v>
      </c>
      <c r="D1090" s="11" t="s">
        <v>39</v>
      </c>
      <c r="E1090" s="11">
        <v>20.0</v>
      </c>
      <c r="F1090" s="21" t="s">
        <v>619</v>
      </c>
      <c r="G1090" s="15">
        <v>0.06712485681557853</v>
      </c>
      <c r="H1090" s="11" t="s">
        <v>24</v>
      </c>
      <c r="I1090" s="16">
        <v>3.6</v>
      </c>
      <c r="J1090" s="11" t="s">
        <v>832</v>
      </c>
      <c r="K1090" s="11" t="s">
        <v>65</v>
      </c>
      <c r="L1090" s="11" t="s">
        <v>48</v>
      </c>
      <c r="M1090" s="11" t="s">
        <v>28</v>
      </c>
      <c r="N1090" s="11" t="s">
        <v>197</v>
      </c>
      <c r="O1090" s="11" t="s">
        <v>1388</v>
      </c>
      <c r="P1090" s="11" t="s">
        <v>38</v>
      </c>
      <c r="Q1090" s="20">
        <v>39998.0</v>
      </c>
      <c r="R1090" s="17">
        <f t="shared" si="2"/>
        <v>81.99972509</v>
      </c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>
        <f t="shared" si="8"/>
        <v>4</v>
      </c>
      <c r="AF1090" s="19">
        <f t="shared" si="13"/>
        <v>5</v>
      </c>
      <c r="AG1090" s="9"/>
      <c r="AH1090" s="9"/>
      <c r="AI1090" s="9"/>
    </row>
    <row r="1091" ht="15.0" customHeight="1">
      <c r="A1091" s="11">
        <v>1090.0</v>
      </c>
      <c r="B1091" s="12">
        <f t="shared" si="182"/>
        <v>39996</v>
      </c>
      <c r="C1091" s="13">
        <v>2009.0</v>
      </c>
      <c r="D1091" s="11" t="s">
        <v>102</v>
      </c>
      <c r="E1091" s="11">
        <v>45.0</v>
      </c>
      <c r="F1091" s="21" t="s">
        <v>1544</v>
      </c>
      <c r="G1091" s="15">
        <v>0.039135237358433834</v>
      </c>
      <c r="H1091" s="11" t="s">
        <v>33</v>
      </c>
      <c r="I1091" s="16">
        <v>7.192</v>
      </c>
      <c r="J1091" s="11" t="s">
        <v>1440</v>
      </c>
      <c r="K1091" s="11" t="s">
        <v>26</v>
      </c>
      <c r="L1091" s="11" t="s">
        <v>27</v>
      </c>
      <c r="M1091" s="11" t="s">
        <v>49</v>
      </c>
      <c r="N1091" s="11" t="s">
        <v>73</v>
      </c>
      <c r="O1091" s="11" t="s">
        <v>1545</v>
      </c>
      <c r="P1091" s="11" t="s">
        <v>99</v>
      </c>
      <c r="Q1091" s="20">
        <v>39998.0</v>
      </c>
      <c r="R1091" s="17">
        <f t="shared" si="2"/>
        <v>174.9811602</v>
      </c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>
        <f t="shared" si="8"/>
        <v>1</v>
      </c>
      <c r="AF1091" s="19">
        <f t="shared" si="13"/>
        <v>1</v>
      </c>
      <c r="AG1091" s="9"/>
      <c r="AH1091" s="9"/>
      <c r="AI1091" s="9"/>
    </row>
    <row r="1092" ht="15.0" customHeight="1">
      <c r="A1092" s="11">
        <v>1091.0</v>
      </c>
      <c r="B1092" s="12">
        <f t="shared" si="182"/>
        <v>39996</v>
      </c>
      <c r="C1092" s="13">
        <v>2009.0</v>
      </c>
      <c r="D1092" s="11" t="s">
        <v>32</v>
      </c>
      <c r="E1092" s="11">
        <v>50.0</v>
      </c>
      <c r="F1092" s="21" t="s">
        <v>1015</v>
      </c>
      <c r="G1092" s="15">
        <v>0.10022415940224162</v>
      </c>
      <c r="H1092" s="11" t="s">
        <v>33</v>
      </c>
      <c r="I1092" s="16">
        <v>4.008</v>
      </c>
      <c r="J1092" s="11" t="s">
        <v>1546</v>
      </c>
      <c r="K1092" s="11" t="s">
        <v>117</v>
      </c>
      <c r="L1092" s="11" t="s">
        <v>41</v>
      </c>
      <c r="M1092" s="11" t="s">
        <v>28</v>
      </c>
      <c r="N1092" s="11" t="s">
        <v>42</v>
      </c>
      <c r="O1092" s="11" t="s">
        <v>1547</v>
      </c>
      <c r="P1092" s="11" t="s">
        <v>38</v>
      </c>
      <c r="Q1092" s="20">
        <v>39998.0</v>
      </c>
      <c r="R1092" s="17">
        <f t="shared" si="2"/>
        <v>28.96558386</v>
      </c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>
        <f t="shared" si="8"/>
        <v>3</v>
      </c>
      <c r="AF1092" s="19" t="b">
        <f t="shared" si="13"/>
        <v>0</v>
      </c>
      <c r="AG1092" s="9"/>
      <c r="AH1092" s="9"/>
      <c r="AI1092" s="9"/>
    </row>
    <row r="1093" ht="15.0" customHeight="1">
      <c r="A1093" s="11">
        <v>1092.0</v>
      </c>
      <c r="B1093" s="12">
        <f t="shared" si="182"/>
        <v>39996</v>
      </c>
      <c r="C1093" s="13">
        <v>2009.0</v>
      </c>
      <c r="D1093" s="11" t="s">
        <v>32</v>
      </c>
      <c r="E1093" s="11">
        <v>49.0</v>
      </c>
      <c r="F1093" s="21" t="s">
        <v>621</v>
      </c>
      <c r="G1093" s="15">
        <v>0.08318637523271055</v>
      </c>
      <c r="H1093" s="11" t="s">
        <v>45</v>
      </c>
      <c r="I1093" s="16">
        <v>22.448</v>
      </c>
      <c r="J1093" s="11" t="s">
        <v>1546</v>
      </c>
      <c r="K1093" s="11" t="s">
        <v>117</v>
      </c>
      <c r="L1093" s="11" t="s">
        <v>41</v>
      </c>
      <c r="M1093" s="11" t="s">
        <v>66</v>
      </c>
      <c r="N1093" s="11" t="s">
        <v>69</v>
      </c>
      <c r="O1093" s="11" t="s">
        <v>916</v>
      </c>
      <c r="P1093" s="11" t="s">
        <v>52</v>
      </c>
      <c r="Q1093" s="20">
        <v>39998.0</v>
      </c>
      <c r="R1093" s="17">
        <f t="shared" si="2"/>
        <v>1106.091631</v>
      </c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>
        <f t="shared" si="8"/>
        <v>3</v>
      </c>
      <c r="AF1093" s="19" t="b">
        <f t="shared" si="13"/>
        <v>0</v>
      </c>
      <c r="AG1093" s="9"/>
      <c r="AH1093" s="9"/>
      <c r="AI1093" s="9"/>
    </row>
    <row r="1094" ht="15.0" customHeight="1">
      <c r="A1094" s="11">
        <v>1093.0</v>
      </c>
      <c r="B1094" s="12">
        <f t="shared" si="182"/>
        <v>39996</v>
      </c>
      <c r="C1094" s="13">
        <v>2009.0</v>
      </c>
      <c r="D1094" s="11" t="s">
        <v>102</v>
      </c>
      <c r="E1094" s="11">
        <v>10.0</v>
      </c>
      <c r="F1094" s="21" t="s">
        <v>619</v>
      </c>
      <c r="G1094" s="15">
        <v>0.09221282088053917</v>
      </c>
      <c r="H1094" s="11" t="s">
        <v>45</v>
      </c>
      <c r="I1094" s="16">
        <v>24.0</v>
      </c>
      <c r="J1094" s="11" t="s">
        <v>382</v>
      </c>
      <c r="K1094" s="11" t="s">
        <v>65</v>
      </c>
      <c r="L1094" s="11" t="s">
        <v>41</v>
      </c>
      <c r="M1094" s="11" t="s">
        <v>49</v>
      </c>
      <c r="N1094" s="11" t="s">
        <v>50</v>
      </c>
      <c r="O1094" s="11" t="s">
        <v>1028</v>
      </c>
      <c r="P1094" s="11" t="s">
        <v>52</v>
      </c>
      <c r="Q1094" s="20">
        <v>39998.0</v>
      </c>
      <c r="R1094" s="17">
        <f t="shared" si="2"/>
        <v>58.37071562</v>
      </c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>
        <f t="shared" si="8"/>
        <v>3</v>
      </c>
      <c r="AF1094" s="19">
        <f t="shared" si="13"/>
        <v>5</v>
      </c>
      <c r="AG1094" s="9"/>
      <c r="AH1094" s="9"/>
      <c r="AI1094" s="9"/>
    </row>
    <row r="1095" ht="15.0" customHeight="1">
      <c r="A1095" s="11">
        <v>1094.0</v>
      </c>
      <c r="B1095" s="12">
        <f t="shared" si="182"/>
        <v>39996</v>
      </c>
      <c r="C1095" s="13">
        <v>2009.0</v>
      </c>
      <c r="D1095" s="11" t="s">
        <v>102</v>
      </c>
      <c r="E1095" s="11">
        <v>9.0</v>
      </c>
      <c r="F1095" s="21" t="s">
        <v>1548</v>
      </c>
      <c r="G1095" s="15">
        <v>0.05387559808612429</v>
      </c>
      <c r="H1095" s="11" t="s">
        <v>33</v>
      </c>
      <c r="I1095" s="16">
        <v>1.592</v>
      </c>
      <c r="J1095" s="11" t="s">
        <v>382</v>
      </c>
      <c r="K1095" s="11" t="s">
        <v>65</v>
      </c>
      <c r="L1095" s="11" t="s">
        <v>41</v>
      </c>
      <c r="M1095" s="11" t="s">
        <v>66</v>
      </c>
      <c r="N1095" s="11" t="s">
        <v>67</v>
      </c>
      <c r="O1095" s="11" t="s">
        <v>1549</v>
      </c>
      <c r="P1095" s="11" t="s">
        <v>99</v>
      </c>
      <c r="Q1095" s="20">
        <v>39998.0</v>
      </c>
      <c r="R1095" s="17">
        <f t="shared" si="2"/>
        <v>8.522688612</v>
      </c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>
        <f t="shared" si="8"/>
        <v>3</v>
      </c>
      <c r="AF1095" s="19">
        <f t="shared" si="13"/>
        <v>5</v>
      </c>
      <c r="AG1095" s="9"/>
      <c r="AH1095" s="9"/>
      <c r="AI1095" s="9"/>
    </row>
    <row r="1096" ht="15.0" customHeight="1">
      <c r="A1096" s="11">
        <v>1095.0</v>
      </c>
      <c r="B1096" s="12">
        <f t="shared" si="182"/>
        <v>39996</v>
      </c>
      <c r="C1096" s="13">
        <v>2009.0</v>
      </c>
      <c r="D1096" s="11" t="s">
        <v>39</v>
      </c>
      <c r="E1096" s="11">
        <v>9.0</v>
      </c>
      <c r="F1096" s="21" t="s">
        <v>229</v>
      </c>
      <c r="G1096" s="15">
        <v>0.059404723804646994</v>
      </c>
      <c r="H1096" s="11" t="s">
        <v>33</v>
      </c>
      <c r="I1096" s="16">
        <v>15.991999999999999</v>
      </c>
      <c r="J1096" s="11" t="s">
        <v>567</v>
      </c>
      <c r="K1096" s="11" t="s">
        <v>35</v>
      </c>
      <c r="L1096" s="11" t="s">
        <v>36</v>
      </c>
      <c r="M1096" s="11" t="s">
        <v>28</v>
      </c>
      <c r="N1096" s="11" t="s">
        <v>29</v>
      </c>
      <c r="O1096" s="11" t="s">
        <v>230</v>
      </c>
      <c r="P1096" s="11" t="s">
        <v>38</v>
      </c>
      <c r="Q1096" s="20">
        <v>39998.0</v>
      </c>
      <c r="R1096" s="17">
        <f t="shared" si="2"/>
        <v>87.29476639</v>
      </c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>
        <f t="shared" si="8"/>
        <v>2</v>
      </c>
      <c r="AF1096" s="19">
        <f t="shared" si="13"/>
        <v>2</v>
      </c>
      <c r="AG1096" s="9"/>
      <c r="AH1096" s="9"/>
      <c r="AI1096" s="9"/>
    </row>
    <row r="1097" ht="15.0" customHeight="1">
      <c r="A1097" s="11">
        <v>1096.0</v>
      </c>
      <c r="B1097" s="12">
        <f t="shared" si="182"/>
        <v>39996</v>
      </c>
      <c r="C1097" s="13">
        <v>2009.0</v>
      </c>
      <c r="D1097" s="11" t="s">
        <v>102</v>
      </c>
      <c r="E1097" s="11">
        <v>24.0</v>
      </c>
      <c r="F1097" s="21" t="s">
        <v>163</v>
      </c>
      <c r="G1097" s="15">
        <v>0.05112806412887727</v>
      </c>
      <c r="H1097" s="11" t="s">
        <v>45</v>
      </c>
      <c r="I1097" s="16">
        <v>28.672000000000004</v>
      </c>
      <c r="J1097" s="11" t="s">
        <v>1550</v>
      </c>
      <c r="K1097" s="11" t="s">
        <v>61</v>
      </c>
      <c r="L1097" s="11" t="s">
        <v>27</v>
      </c>
      <c r="M1097" s="11" t="s">
        <v>49</v>
      </c>
      <c r="N1097" s="11" t="s">
        <v>156</v>
      </c>
      <c r="O1097" s="11" t="s">
        <v>165</v>
      </c>
      <c r="P1097" s="11" t="s">
        <v>87</v>
      </c>
      <c r="Q1097" s="20">
        <v>39999.0</v>
      </c>
      <c r="R1097" s="17">
        <f t="shared" si="2"/>
        <v>125.2776639</v>
      </c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>
        <f t="shared" si="8"/>
        <v>1</v>
      </c>
      <c r="AF1097" s="19">
        <f t="shared" si="13"/>
        <v>4</v>
      </c>
      <c r="AG1097" s="9"/>
      <c r="AH1097" s="9"/>
      <c r="AI1097" s="9"/>
    </row>
    <row r="1098" ht="15.0" customHeight="1">
      <c r="A1098" s="11">
        <v>1097.0</v>
      </c>
      <c r="B1098" s="12">
        <f t="shared" si="182"/>
        <v>39996</v>
      </c>
      <c r="C1098" s="13">
        <v>2009.0</v>
      </c>
      <c r="D1098" s="11" t="s">
        <v>102</v>
      </c>
      <c r="E1098" s="11">
        <v>29.0</v>
      </c>
      <c r="F1098" s="21" t="s">
        <v>126</v>
      </c>
      <c r="G1098" s="15">
        <v>0.041909744931327576</v>
      </c>
      <c r="H1098" s="11" t="s">
        <v>33</v>
      </c>
      <c r="I1098" s="16">
        <v>4.392</v>
      </c>
      <c r="J1098" s="11" t="s">
        <v>1550</v>
      </c>
      <c r="K1098" s="11" t="s">
        <v>61</v>
      </c>
      <c r="L1098" s="11" t="s">
        <v>27</v>
      </c>
      <c r="M1098" s="11" t="s">
        <v>28</v>
      </c>
      <c r="N1098" s="11" t="s">
        <v>56</v>
      </c>
      <c r="O1098" s="11" t="s">
        <v>1297</v>
      </c>
      <c r="P1098" s="11" t="s">
        <v>38</v>
      </c>
      <c r="Q1098" s="20">
        <v>39999.0</v>
      </c>
      <c r="R1098" s="17">
        <f t="shared" si="2"/>
        <v>6.139442354</v>
      </c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>
        <f t="shared" si="8"/>
        <v>1</v>
      </c>
      <c r="AF1098" s="19">
        <f t="shared" si="13"/>
        <v>4</v>
      </c>
      <c r="AG1098" s="9"/>
      <c r="AH1098" s="9"/>
      <c r="AI1098" s="9"/>
    </row>
    <row r="1099" ht="15.0" customHeight="1">
      <c r="A1099" s="11">
        <v>1098.0</v>
      </c>
      <c r="B1099" s="12">
        <f t="shared" ref="B1099:B1106" si="183">DATE(2012,12,31)-1277</f>
        <v>39997</v>
      </c>
      <c r="C1099" s="13">
        <v>2009.0</v>
      </c>
      <c r="D1099" s="11" t="s">
        <v>44</v>
      </c>
      <c r="E1099" s="11">
        <v>44.0</v>
      </c>
      <c r="F1099" s="21" t="s">
        <v>1551</v>
      </c>
      <c r="G1099" s="15">
        <v>0.02613450937155452</v>
      </c>
      <c r="H1099" s="11" t="s">
        <v>33</v>
      </c>
      <c r="I1099" s="16">
        <v>1.6480000000000001</v>
      </c>
      <c r="J1099" s="11" t="s">
        <v>528</v>
      </c>
      <c r="K1099" s="11" t="s">
        <v>83</v>
      </c>
      <c r="L1099" s="11" t="s">
        <v>41</v>
      </c>
      <c r="M1099" s="11" t="s">
        <v>28</v>
      </c>
      <c r="N1099" s="11" t="s">
        <v>56</v>
      </c>
      <c r="O1099" s="11" t="s">
        <v>1552</v>
      </c>
      <c r="P1099" s="11" t="s">
        <v>58</v>
      </c>
      <c r="Q1099" s="20">
        <v>39999.0</v>
      </c>
      <c r="R1099" s="17">
        <f t="shared" si="2"/>
        <v>11.54225379</v>
      </c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>
        <f t="shared" si="8"/>
        <v>3</v>
      </c>
      <c r="AF1099" s="19" t="b">
        <f t="shared" si="13"/>
        <v>0</v>
      </c>
      <c r="AG1099" s="9"/>
      <c r="AH1099" s="9"/>
      <c r="AI1099" s="9"/>
    </row>
    <row r="1100" ht="15.0" customHeight="1">
      <c r="A1100" s="11">
        <v>1099.0</v>
      </c>
      <c r="B1100" s="12">
        <f t="shared" si="183"/>
        <v>39997</v>
      </c>
      <c r="C1100" s="13">
        <v>2009.0</v>
      </c>
      <c r="D1100" s="11" t="s">
        <v>32</v>
      </c>
      <c r="E1100" s="11">
        <v>8.0</v>
      </c>
      <c r="F1100" s="21" t="s">
        <v>137</v>
      </c>
      <c r="G1100" s="15">
        <v>0.09252106286454952</v>
      </c>
      <c r="H1100" s="11" t="s">
        <v>45</v>
      </c>
      <c r="I1100" s="16">
        <v>53.016</v>
      </c>
      <c r="J1100" s="11" t="s">
        <v>227</v>
      </c>
      <c r="K1100" s="11" t="s">
        <v>35</v>
      </c>
      <c r="L1100" s="11" t="s">
        <v>27</v>
      </c>
      <c r="M1100" s="11" t="s">
        <v>49</v>
      </c>
      <c r="N1100" s="11" t="s">
        <v>156</v>
      </c>
      <c r="O1100" s="11" t="s">
        <v>1553</v>
      </c>
      <c r="P1100" s="11" t="s">
        <v>87</v>
      </c>
      <c r="Q1100" s="20">
        <v>39999.0</v>
      </c>
      <c r="R1100" s="17">
        <f t="shared" si="2"/>
        <v>116.5965238</v>
      </c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>
        <f t="shared" si="8"/>
        <v>1</v>
      </c>
      <c r="AF1100" s="19">
        <f t="shared" si="13"/>
        <v>2</v>
      </c>
      <c r="AG1100" s="9"/>
      <c r="AH1100" s="9"/>
      <c r="AI1100" s="9"/>
    </row>
    <row r="1101" ht="15.0" customHeight="1">
      <c r="A1101" s="11">
        <v>1100.0</v>
      </c>
      <c r="B1101" s="12">
        <f t="shared" si="183"/>
        <v>39997</v>
      </c>
      <c r="C1101" s="13">
        <v>2009.0</v>
      </c>
      <c r="D1101" s="11" t="s">
        <v>32</v>
      </c>
      <c r="E1101" s="11">
        <v>7.0</v>
      </c>
      <c r="F1101" s="21" t="s">
        <v>158</v>
      </c>
      <c r="G1101" s="15">
        <v>0.07030520646319563</v>
      </c>
      <c r="H1101" s="11" t="s">
        <v>33</v>
      </c>
      <c r="I1101" s="16">
        <v>6.984000000000001</v>
      </c>
      <c r="J1101" s="11" t="s">
        <v>1554</v>
      </c>
      <c r="K1101" s="11" t="s">
        <v>61</v>
      </c>
      <c r="L1101" s="11" t="s">
        <v>27</v>
      </c>
      <c r="M1101" s="11" t="s">
        <v>28</v>
      </c>
      <c r="N1101" s="11" t="s">
        <v>56</v>
      </c>
      <c r="O1101" s="11" t="s">
        <v>160</v>
      </c>
      <c r="P1101" s="11" t="s">
        <v>38</v>
      </c>
      <c r="Q1101" s="20">
        <v>39999.0</v>
      </c>
      <c r="R1101" s="17">
        <f t="shared" si="2"/>
        <v>3.640684811</v>
      </c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>
        <f t="shared" si="8"/>
        <v>1</v>
      </c>
      <c r="AF1101" s="19">
        <f t="shared" si="13"/>
        <v>4</v>
      </c>
      <c r="AG1101" s="9"/>
      <c r="AH1101" s="9"/>
      <c r="AI1101" s="9"/>
    </row>
    <row r="1102" ht="15.0" customHeight="1">
      <c r="A1102" s="11">
        <v>1101.0</v>
      </c>
      <c r="B1102" s="12">
        <f t="shared" si="183"/>
        <v>39997</v>
      </c>
      <c r="C1102" s="13">
        <v>2009.0</v>
      </c>
      <c r="D1102" s="11" t="s">
        <v>32</v>
      </c>
      <c r="E1102" s="11">
        <v>38.0</v>
      </c>
      <c r="F1102" s="21" t="s">
        <v>573</v>
      </c>
      <c r="G1102" s="15">
        <v>0.06872808100765615</v>
      </c>
      <c r="H1102" s="11" t="s">
        <v>33</v>
      </c>
      <c r="I1102" s="16">
        <v>0.8720000000000001</v>
      </c>
      <c r="J1102" s="11" t="s">
        <v>1554</v>
      </c>
      <c r="K1102" s="11" t="s">
        <v>61</v>
      </c>
      <c r="L1102" s="11" t="s">
        <v>27</v>
      </c>
      <c r="M1102" s="11" t="s">
        <v>28</v>
      </c>
      <c r="N1102" s="11" t="s">
        <v>62</v>
      </c>
      <c r="O1102" s="11" t="s">
        <v>1555</v>
      </c>
      <c r="P1102" s="11" t="s">
        <v>58</v>
      </c>
      <c r="Q1102" s="20">
        <v>40000.0</v>
      </c>
      <c r="R1102" s="17">
        <f t="shared" si="2"/>
        <v>25.91543496</v>
      </c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>
        <f t="shared" si="8"/>
        <v>1</v>
      </c>
      <c r="AF1102" s="19">
        <f t="shared" si="13"/>
        <v>4</v>
      </c>
      <c r="AG1102" s="9"/>
      <c r="AH1102" s="9"/>
      <c r="AI1102" s="9"/>
    </row>
    <row r="1103" ht="15.0" customHeight="1">
      <c r="A1103" s="11">
        <v>1102.0</v>
      </c>
      <c r="B1103" s="12">
        <f t="shared" si="183"/>
        <v>39997</v>
      </c>
      <c r="C1103" s="13">
        <v>2009.0</v>
      </c>
      <c r="D1103" s="11" t="s">
        <v>32</v>
      </c>
      <c r="E1103" s="11">
        <v>26.0</v>
      </c>
      <c r="F1103" s="21" t="s">
        <v>624</v>
      </c>
      <c r="G1103" s="15">
        <v>0.09311036789297662</v>
      </c>
      <c r="H1103" s="11" t="s">
        <v>33</v>
      </c>
      <c r="I1103" s="16">
        <v>0.392</v>
      </c>
      <c r="J1103" s="11" t="s">
        <v>622</v>
      </c>
      <c r="K1103" s="11" t="s">
        <v>65</v>
      </c>
      <c r="L1103" s="11" t="s">
        <v>48</v>
      </c>
      <c r="M1103" s="11" t="s">
        <v>28</v>
      </c>
      <c r="N1103" s="11" t="s">
        <v>188</v>
      </c>
      <c r="O1103" s="11" t="s">
        <v>1556</v>
      </c>
      <c r="P1103" s="11" t="s">
        <v>38</v>
      </c>
      <c r="Q1103" s="20">
        <v>40000.0</v>
      </c>
      <c r="R1103" s="17">
        <f t="shared" si="2"/>
        <v>30.29736883</v>
      </c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>
        <f t="shared" si="8"/>
        <v>4</v>
      </c>
      <c r="AF1103" s="19">
        <f t="shared" si="13"/>
        <v>5</v>
      </c>
      <c r="AG1103" s="9"/>
      <c r="AH1103" s="9"/>
      <c r="AI1103" s="9"/>
    </row>
    <row r="1104" ht="15.0" customHeight="1">
      <c r="A1104" s="11">
        <v>1103.0</v>
      </c>
      <c r="B1104" s="12">
        <f t="shared" si="183"/>
        <v>39997</v>
      </c>
      <c r="C1104" s="13">
        <v>2009.0</v>
      </c>
      <c r="D1104" s="11" t="s">
        <v>32</v>
      </c>
      <c r="E1104" s="11">
        <v>5.0</v>
      </c>
      <c r="F1104" s="21" t="s">
        <v>1557</v>
      </c>
      <c r="G1104" s="15">
        <v>0.10130144213858598</v>
      </c>
      <c r="H1104" s="11" t="s">
        <v>45</v>
      </c>
      <c r="I1104" s="16">
        <v>35.0</v>
      </c>
      <c r="J1104" s="11" t="s">
        <v>622</v>
      </c>
      <c r="K1104" s="11" t="s">
        <v>65</v>
      </c>
      <c r="L1104" s="11" t="s">
        <v>48</v>
      </c>
      <c r="M1104" s="11" t="s">
        <v>49</v>
      </c>
      <c r="N1104" s="11" t="s">
        <v>85</v>
      </c>
      <c r="O1104" s="11" t="s">
        <v>1558</v>
      </c>
      <c r="P1104" s="11" t="s">
        <v>87</v>
      </c>
      <c r="Q1104" s="20">
        <v>40000.0</v>
      </c>
      <c r="R1104" s="17">
        <f t="shared" si="2"/>
        <v>77.6475554</v>
      </c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>
        <f t="shared" si="8"/>
        <v>4</v>
      </c>
      <c r="AF1104" s="19">
        <f t="shared" si="13"/>
        <v>5</v>
      </c>
      <c r="AG1104" s="9"/>
      <c r="AH1104" s="9"/>
      <c r="AI1104" s="9"/>
    </row>
    <row r="1105" ht="15.0" customHeight="1">
      <c r="A1105" s="11">
        <v>1104.0</v>
      </c>
      <c r="B1105" s="12">
        <f t="shared" si="183"/>
        <v>39997</v>
      </c>
      <c r="C1105" s="13">
        <v>2009.0</v>
      </c>
      <c r="D1105" s="11" t="s">
        <v>44</v>
      </c>
      <c r="E1105" s="11">
        <v>19.0</v>
      </c>
      <c r="F1105" s="21" t="s">
        <v>1559</v>
      </c>
      <c r="G1105" s="15">
        <v>0.13503184713375804</v>
      </c>
      <c r="H1105" s="11" t="s">
        <v>33</v>
      </c>
      <c r="I1105" s="16">
        <v>0.5599999999999999</v>
      </c>
      <c r="J1105" s="11" t="s">
        <v>1560</v>
      </c>
      <c r="K1105" s="11" t="s">
        <v>26</v>
      </c>
      <c r="L1105" s="11" t="s">
        <v>48</v>
      </c>
      <c r="M1105" s="11" t="s">
        <v>28</v>
      </c>
      <c r="N1105" s="11" t="s">
        <v>216</v>
      </c>
      <c r="O1105" s="11" t="s">
        <v>1561</v>
      </c>
      <c r="P1105" s="11" t="s">
        <v>58</v>
      </c>
      <c r="Q1105" s="20">
        <v>40000.0</v>
      </c>
      <c r="R1105" s="17">
        <f t="shared" si="2"/>
        <v>3.667464968</v>
      </c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>
        <f t="shared" si="8"/>
        <v>4</v>
      </c>
      <c r="AF1105" s="19">
        <f t="shared" si="13"/>
        <v>1</v>
      </c>
      <c r="AG1105" s="9"/>
      <c r="AH1105" s="9"/>
      <c r="AI1105" s="9"/>
    </row>
    <row r="1106" ht="15.0" customHeight="1">
      <c r="A1106" s="11">
        <v>1105.0</v>
      </c>
      <c r="B1106" s="12">
        <f t="shared" si="183"/>
        <v>39997</v>
      </c>
      <c r="C1106" s="13">
        <v>2009.0</v>
      </c>
      <c r="D1106" s="11" t="s">
        <v>32</v>
      </c>
      <c r="E1106" s="11">
        <v>34.0</v>
      </c>
      <c r="F1106" s="21" t="s">
        <v>287</v>
      </c>
      <c r="G1106" s="15">
        <v>0.04862315302117811</v>
      </c>
      <c r="H1106" s="11" t="s">
        <v>33</v>
      </c>
      <c r="I1106" s="16">
        <v>4.736</v>
      </c>
      <c r="J1106" s="11" t="s">
        <v>905</v>
      </c>
      <c r="K1106" s="11" t="s">
        <v>61</v>
      </c>
      <c r="L1106" s="11" t="s">
        <v>27</v>
      </c>
      <c r="M1106" s="11" t="s">
        <v>66</v>
      </c>
      <c r="N1106" s="11" t="s">
        <v>80</v>
      </c>
      <c r="O1106" s="11" t="s">
        <v>435</v>
      </c>
      <c r="P1106" s="11" t="s">
        <v>38</v>
      </c>
      <c r="Q1106" s="20">
        <v>40000.0</v>
      </c>
      <c r="R1106" s="17">
        <f t="shared" si="2"/>
        <v>191.834676</v>
      </c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>
        <f t="shared" si="8"/>
        <v>1</v>
      </c>
      <c r="AF1106" s="19">
        <f t="shared" si="13"/>
        <v>4</v>
      </c>
      <c r="AG1106" s="9"/>
      <c r="AH1106" s="9"/>
      <c r="AI1106" s="9"/>
    </row>
    <row r="1107" ht="15.0" customHeight="1">
      <c r="A1107" s="11">
        <v>1106.0</v>
      </c>
      <c r="B1107" s="12">
        <f t="shared" ref="B1107:B1116" si="184">DATE(2012,12,31)-1276</f>
        <v>39998</v>
      </c>
      <c r="C1107" s="13">
        <v>2009.0</v>
      </c>
      <c r="D1107" s="11" t="s">
        <v>32</v>
      </c>
      <c r="E1107" s="11">
        <v>39.0</v>
      </c>
      <c r="F1107" s="21" t="s">
        <v>1458</v>
      </c>
      <c r="G1107" s="15">
        <v>0.05786863455103816</v>
      </c>
      <c r="H1107" s="11" t="s">
        <v>33</v>
      </c>
      <c r="I1107" s="16">
        <v>8.096</v>
      </c>
      <c r="J1107" s="11" t="s">
        <v>1231</v>
      </c>
      <c r="K1107" s="11" t="s">
        <v>65</v>
      </c>
      <c r="L1107" s="11" t="s">
        <v>48</v>
      </c>
      <c r="M1107" s="11" t="s">
        <v>49</v>
      </c>
      <c r="N1107" s="11" t="s">
        <v>73</v>
      </c>
      <c r="O1107" s="11" t="s">
        <v>1459</v>
      </c>
      <c r="P1107" s="11" t="s">
        <v>31</v>
      </c>
      <c r="Q1107" s="20">
        <v>40000.0</v>
      </c>
      <c r="R1107" s="17">
        <f t="shared" si="2"/>
        <v>237.8919383</v>
      </c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>
        <f t="shared" si="8"/>
        <v>4</v>
      </c>
      <c r="AF1107" s="19">
        <f t="shared" si="13"/>
        <v>5</v>
      </c>
      <c r="AG1107" s="9"/>
      <c r="AH1107" s="9"/>
      <c r="AI1107" s="9"/>
    </row>
    <row r="1108" ht="15.0" customHeight="1">
      <c r="A1108" s="11">
        <v>1107.0</v>
      </c>
      <c r="B1108" s="12">
        <f t="shared" si="184"/>
        <v>39998</v>
      </c>
      <c r="C1108" s="13">
        <v>2009.0</v>
      </c>
      <c r="D1108" s="11" t="s">
        <v>39</v>
      </c>
      <c r="E1108" s="11">
        <v>5.0</v>
      </c>
      <c r="F1108" s="21" t="s">
        <v>250</v>
      </c>
      <c r="G1108" s="15">
        <v>0.030474352169087615</v>
      </c>
      <c r="H1108" s="11" t="s">
        <v>45</v>
      </c>
      <c r="I1108" s="16">
        <v>9.648000000000001</v>
      </c>
      <c r="J1108" s="11" t="s">
        <v>514</v>
      </c>
      <c r="K1108" s="11" t="s">
        <v>61</v>
      </c>
      <c r="L1108" s="11" t="s">
        <v>27</v>
      </c>
      <c r="M1108" s="11" t="s">
        <v>66</v>
      </c>
      <c r="N1108" s="11" t="s">
        <v>69</v>
      </c>
      <c r="O1108" s="11" t="s">
        <v>252</v>
      </c>
      <c r="P1108" s="11" t="s">
        <v>87</v>
      </c>
      <c r="Q1108" s="20">
        <v>40000.0</v>
      </c>
      <c r="R1108" s="17">
        <f t="shared" si="2"/>
        <v>61.22748371</v>
      </c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>
        <f t="shared" si="8"/>
        <v>1</v>
      </c>
      <c r="AF1108" s="19">
        <f t="shared" si="13"/>
        <v>4</v>
      </c>
      <c r="AG1108" s="9"/>
      <c r="AH1108" s="9"/>
      <c r="AI1108" s="9"/>
    </row>
    <row r="1109" ht="15.0" customHeight="1">
      <c r="A1109" s="11">
        <v>1108.0</v>
      </c>
      <c r="B1109" s="12">
        <f t="shared" si="184"/>
        <v>39998</v>
      </c>
      <c r="C1109" s="13">
        <v>2009.0</v>
      </c>
      <c r="D1109" s="11" t="s">
        <v>32</v>
      </c>
      <c r="E1109" s="11">
        <v>37.0</v>
      </c>
      <c r="F1109" s="21" t="s">
        <v>1562</v>
      </c>
      <c r="G1109" s="15">
        <v>0.03907551430005026</v>
      </c>
      <c r="H1109" s="11" t="s">
        <v>24</v>
      </c>
      <c r="I1109" s="16">
        <v>15.991999999999999</v>
      </c>
      <c r="J1109" s="11" t="s">
        <v>1061</v>
      </c>
      <c r="K1109" s="11" t="s">
        <v>26</v>
      </c>
      <c r="L1109" s="11" t="s">
        <v>36</v>
      </c>
      <c r="M1109" s="11" t="s">
        <v>28</v>
      </c>
      <c r="N1109" s="11" t="s">
        <v>29</v>
      </c>
      <c r="O1109" s="11" t="s">
        <v>1563</v>
      </c>
      <c r="P1109" s="11" t="s">
        <v>38</v>
      </c>
      <c r="Q1109" s="20">
        <v>40000.0</v>
      </c>
      <c r="R1109" s="17">
        <f t="shared" si="2"/>
        <v>239.4700692</v>
      </c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>
        <f t="shared" si="8"/>
        <v>2</v>
      </c>
      <c r="AF1109" s="19">
        <f t="shared" si="13"/>
        <v>1</v>
      </c>
      <c r="AG1109" s="9"/>
      <c r="AH1109" s="9"/>
      <c r="AI1109" s="9"/>
    </row>
    <row r="1110" ht="15.0" customHeight="1">
      <c r="A1110" s="11">
        <v>1109.0</v>
      </c>
      <c r="B1110" s="12">
        <f t="shared" si="184"/>
        <v>39998</v>
      </c>
      <c r="C1110" s="13">
        <v>2009.0</v>
      </c>
      <c r="D1110" s="11" t="s">
        <v>102</v>
      </c>
      <c r="E1110" s="11">
        <v>39.0</v>
      </c>
      <c r="F1110" s="21" t="s">
        <v>914</v>
      </c>
      <c r="G1110" s="15">
        <v>0.0772057164347499</v>
      </c>
      <c r="H1110" s="11" t="s">
        <v>33</v>
      </c>
      <c r="I1110" s="16">
        <v>10.384</v>
      </c>
      <c r="J1110" s="11" t="s">
        <v>1013</v>
      </c>
      <c r="K1110" s="11" t="s">
        <v>35</v>
      </c>
      <c r="L1110" s="11" t="s">
        <v>41</v>
      </c>
      <c r="M1110" s="11" t="s">
        <v>28</v>
      </c>
      <c r="N1110" s="11" t="s">
        <v>42</v>
      </c>
      <c r="O1110" s="11" t="s">
        <v>915</v>
      </c>
      <c r="P1110" s="11" t="s">
        <v>38</v>
      </c>
      <c r="Q1110" s="20">
        <v>40000.0</v>
      </c>
      <c r="R1110" s="17">
        <f t="shared" si="2"/>
        <v>75.77617539</v>
      </c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>
        <f t="shared" si="8"/>
        <v>3</v>
      </c>
      <c r="AF1110" s="19">
        <f t="shared" si="13"/>
        <v>2</v>
      </c>
      <c r="AG1110" s="9"/>
      <c r="AH1110" s="9"/>
      <c r="AI1110" s="9"/>
    </row>
    <row r="1111" ht="15.0" customHeight="1">
      <c r="A1111" s="11">
        <v>1110.0</v>
      </c>
      <c r="B1111" s="12">
        <f t="shared" si="184"/>
        <v>39998</v>
      </c>
      <c r="C1111" s="13">
        <v>2009.0</v>
      </c>
      <c r="D1111" s="11" t="s">
        <v>102</v>
      </c>
      <c r="E1111" s="11">
        <v>23.0</v>
      </c>
      <c r="F1111" s="21" t="s">
        <v>1173</v>
      </c>
      <c r="G1111" s="15">
        <v>0.04819614711033265</v>
      </c>
      <c r="H1111" s="11" t="s">
        <v>33</v>
      </c>
      <c r="I1111" s="16">
        <v>15.991999999999999</v>
      </c>
      <c r="J1111" s="11" t="s">
        <v>1564</v>
      </c>
      <c r="K1111" s="11" t="s">
        <v>35</v>
      </c>
      <c r="L1111" s="11" t="s">
        <v>27</v>
      </c>
      <c r="M1111" s="11" t="s">
        <v>28</v>
      </c>
      <c r="N1111" s="11" t="s">
        <v>197</v>
      </c>
      <c r="O1111" s="11" t="s">
        <v>1174</v>
      </c>
      <c r="P1111" s="11" t="s">
        <v>38</v>
      </c>
      <c r="Q1111" s="20">
        <v>40000.0</v>
      </c>
      <c r="R1111" s="17">
        <f t="shared" si="2"/>
        <v>403.3820873</v>
      </c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>
        <f t="shared" si="8"/>
        <v>1</v>
      </c>
      <c r="AF1111" s="19">
        <f t="shared" si="13"/>
        <v>2</v>
      </c>
      <c r="AG1111" s="9"/>
      <c r="AH1111" s="9"/>
      <c r="AI1111" s="9"/>
    </row>
    <row r="1112" ht="15.0" customHeight="1">
      <c r="A1112" s="11">
        <v>1111.0</v>
      </c>
      <c r="B1112" s="12">
        <f t="shared" si="184"/>
        <v>39998</v>
      </c>
      <c r="C1112" s="13">
        <v>2009.0</v>
      </c>
      <c r="D1112" s="11" t="s">
        <v>102</v>
      </c>
      <c r="E1112" s="11">
        <v>30.0</v>
      </c>
      <c r="F1112" s="21" t="s">
        <v>894</v>
      </c>
      <c r="G1112" s="15">
        <v>0.07982471516213839</v>
      </c>
      <c r="H1112" s="11" t="s">
        <v>33</v>
      </c>
      <c r="I1112" s="16">
        <v>5.992000000000001</v>
      </c>
      <c r="J1112" s="11" t="s">
        <v>1564</v>
      </c>
      <c r="K1112" s="11" t="s">
        <v>35</v>
      </c>
      <c r="L1112" s="11" t="s">
        <v>27</v>
      </c>
      <c r="M1112" s="11" t="s">
        <v>28</v>
      </c>
      <c r="N1112" s="11" t="s">
        <v>62</v>
      </c>
      <c r="O1112" s="11" t="s">
        <v>1215</v>
      </c>
      <c r="P1112" s="11" t="s">
        <v>58</v>
      </c>
      <c r="Q1112" s="20">
        <v>40001.0</v>
      </c>
      <c r="R1112" s="17">
        <f t="shared" si="2"/>
        <v>8.380956494</v>
      </c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>
        <f t="shared" si="8"/>
        <v>1</v>
      </c>
      <c r="AF1112" s="19">
        <f t="shared" si="13"/>
        <v>2</v>
      </c>
      <c r="AG1112" s="9"/>
      <c r="AH1112" s="9"/>
      <c r="AI1112" s="9"/>
    </row>
    <row r="1113" ht="15.0" customHeight="1">
      <c r="A1113" s="11">
        <v>1112.0</v>
      </c>
      <c r="B1113" s="12">
        <f t="shared" si="184"/>
        <v>39998</v>
      </c>
      <c r="C1113" s="13">
        <v>2009.0</v>
      </c>
      <c r="D1113" s="11" t="s">
        <v>44</v>
      </c>
      <c r="E1113" s="11">
        <v>21.0</v>
      </c>
      <c r="F1113" s="21" t="s">
        <v>1254</v>
      </c>
      <c r="G1113" s="15">
        <v>0.04451309097758525</v>
      </c>
      <c r="H1113" s="11" t="s">
        <v>33</v>
      </c>
      <c r="I1113" s="16">
        <v>5.368</v>
      </c>
      <c r="J1113" s="11" t="s">
        <v>91</v>
      </c>
      <c r="K1113" s="11" t="s">
        <v>35</v>
      </c>
      <c r="L1113" s="11" t="s">
        <v>48</v>
      </c>
      <c r="M1113" s="11" t="s">
        <v>28</v>
      </c>
      <c r="N1113" s="11" t="s">
        <v>236</v>
      </c>
      <c r="O1113" s="11" t="s">
        <v>1565</v>
      </c>
      <c r="P1113" s="11" t="s">
        <v>38</v>
      </c>
      <c r="Q1113" s="20">
        <v>40001.0</v>
      </c>
      <c r="R1113" s="17">
        <f t="shared" si="2"/>
        <v>22.58006663</v>
      </c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>
        <f t="shared" si="8"/>
        <v>4</v>
      </c>
      <c r="AF1113" s="19">
        <f t="shared" si="13"/>
        <v>2</v>
      </c>
      <c r="AG1113" s="9"/>
      <c r="AH1113" s="9"/>
      <c r="AI1113" s="9"/>
    </row>
    <row r="1114" ht="15.0" customHeight="1">
      <c r="A1114" s="11">
        <v>1113.0</v>
      </c>
      <c r="B1114" s="12">
        <f t="shared" si="184"/>
        <v>39998</v>
      </c>
      <c r="C1114" s="13">
        <v>2009.0</v>
      </c>
      <c r="D1114" s="11" t="s">
        <v>44</v>
      </c>
      <c r="E1114" s="11">
        <v>14.0</v>
      </c>
      <c r="F1114" s="21" t="s">
        <v>933</v>
      </c>
      <c r="G1114" s="15">
        <v>0.0849470622454915</v>
      </c>
      <c r="H1114" s="11" t="s">
        <v>33</v>
      </c>
      <c r="I1114" s="16">
        <v>3.8880000000000003</v>
      </c>
      <c r="J1114" s="11" t="s">
        <v>91</v>
      </c>
      <c r="K1114" s="11" t="s">
        <v>35</v>
      </c>
      <c r="L1114" s="11" t="s">
        <v>48</v>
      </c>
      <c r="M1114" s="11" t="s">
        <v>28</v>
      </c>
      <c r="N1114" s="11" t="s">
        <v>56</v>
      </c>
      <c r="O1114" s="11" t="s">
        <v>1566</v>
      </c>
      <c r="P1114" s="11" t="s">
        <v>38</v>
      </c>
      <c r="Q1114" s="20">
        <v>40001.0</v>
      </c>
      <c r="R1114" s="17">
        <f t="shared" si="2"/>
        <v>66.80984509</v>
      </c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>
        <f t="shared" si="8"/>
        <v>4</v>
      </c>
      <c r="AF1114" s="19">
        <f t="shared" si="13"/>
        <v>2</v>
      </c>
      <c r="AG1114" s="9"/>
      <c r="AH1114" s="9"/>
      <c r="AI1114" s="9"/>
    </row>
    <row r="1115" ht="15.0" customHeight="1">
      <c r="A1115" s="11">
        <v>1114.0</v>
      </c>
      <c r="B1115" s="12">
        <f t="shared" si="184"/>
        <v>39998</v>
      </c>
      <c r="C1115" s="13">
        <v>2009.0</v>
      </c>
      <c r="D1115" s="11" t="s">
        <v>44</v>
      </c>
      <c r="E1115" s="11">
        <v>9.0</v>
      </c>
      <c r="F1115" s="21" t="s">
        <v>229</v>
      </c>
      <c r="G1115" s="15">
        <v>0.050470405789609686</v>
      </c>
      <c r="H1115" s="11" t="s">
        <v>33</v>
      </c>
      <c r="I1115" s="16">
        <v>15.991999999999999</v>
      </c>
      <c r="J1115" s="11" t="s">
        <v>91</v>
      </c>
      <c r="K1115" s="11" t="s">
        <v>35</v>
      </c>
      <c r="L1115" s="11" t="s">
        <v>48</v>
      </c>
      <c r="M1115" s="11" t="s">
        <v>28</v>
      </c>
      <c r="N1115" s="11" t="s">
        <v>29</v>
      </c>
      <c r="O1115" s="11" t="s">
        <v>230</v>
      </c>
      <c r="P1115" s="11" t="s">
        <v>38</v>
      </c>
      <c r="Q1115" s="20">
        <v>40001.0</v>
      </c>
      <c r="R1115" s="17">
        <f t="shared" si="2"/>
        <v>74.16585754</v>
      </c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>
        <f t="shared" si="8"/>
        <v>4</v>
      </c>
      <c r="AF1115" s="19">
        <f t="shared" si="13"/>
        <v>2</v>
      </c>
      <c r="AG1115" s="9"/>
      <c r="AH1115" s="9"/>
      <c r="AI1115" s="9"/>
    </row>
    <row r="1116" ht="15.0" customHeight="1">
      <c r="A1116" s="11">
        <v>1115.0</v>
      </c>
      <c r="B1116" s="12">
        <f t="shared" si="184"/>
        <v>39998</v>
      </c>
      <c r="C1116" s="13">
        <v>2009.0</v>
      </c>
      <c r="D1116" s="11" t="s">
        <v>44</v>
      </c>
      <c r="E1116" s="11">
        <v>14.0</v>
      </c>
      <c r="F1116" s="21" t="s">
        <v>1567</v>
      </c>
      <c r="G1116" s="15">
        <v>0.06878426241342761</v>
      </c>
      <c r="H1116" s="11" t="s">
        <v>33</v>
      </c>
      <c r="I1116" s="16">
        <v>55.2</v>
      </c>
      <c r="J1116" s="11" t="s">
        <v>91</v>
      </c>
      <c r="K1116" s="11" t="s">
        <v>35</v>
      </c>
      <c r="L1116" s="11" t="s">
        <v>48</v>
      </c>
      <c r="M1116" s="11" t="s">
        <v>49</v>
      </c>
      <c r="N1116" s="11" t="s">
        <v>85</v>
      </c>
      <c r="O1116" s="11" t="s">
        <v>1568</v>
      </c>
      <c r="P1116" s="11" t="s">
        <v>31</v>
      </c>
      <c r="Q1116" s="20">
        <v>40001.0</v>
      </c>
      <c r="R1116" s="17">
        <f t="shared" si="2"/>
        <v>283.9276784</v>
      </c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>
        <f t="shared" si="8"/>
        <v>4</v>
      </c>
      <c r="AF1116" s="19">
        <f t="shared" si="13"/>
        <v>2</v>
      </c>
      <c r="AG1116" s="9"/>
      <c r="AH1116" s="9"/>
      <c r="AI1116" s="9"/>
    </row>
    <row r="1117" ht="15.0" customHeight="1">
      <c r="A1117" s="11">
        <v>1116.0</v>
      </c>
      <c r="B1117" s="12">
        <f t="shared" ref="B1117:B1120" si="185">DATE(2012,12,31)-1275</f>
        <v>39999</v>
      </c>
      <c r="C1117" s="13">
        <v>2009.0</v>
      </c>
      <c r="D1117" s="11" t="s">
        <v>44</v>
      </c>
      <c r="E1117" s="11">
        <v>8.0</v>
      </c>
      <c r="F1117" s="21" t="s">
        <v>1441</v>
      </c>
      <c r="G1117" s="15">
        <v>0.03302564102564094</v>
      </c>
      <c r="H1117" s="11" t="s">
        <v>33</v>
      </c>
      <c r="I1117" s="16">
        <v>5.024000000000001</v>
      </c>
      <c r="J1117" s="11" t="s">
        <v>1108</v>
      </c>
      <c r="K1117" s="11" t="s">
        <v>47</v>
      </c>
      <c r="L1117" s="11" t="s">
        <v>27</v>
      </c>
      <c r="M1117" s="11" t="s">
        <v>28</v>
      </c>
      <c r="N1117" s="11" t="s">
        <v>42</v>
      </c>
      <c r="O1117" s="11" t="s">
        <v>1569</v>
      </c>
      <c r="P1117" s="11" t="s">
        <v>38</v>
      </c>
      <c r="Q1117" s="20">
        <v>40001.0</v>
      </c>
      <c r="R1117" s="17">
        <f t="shared" si="2"/>
        <v>2.490925949</v>
      </c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>
        <f t="shared" si="8"/>
        <v>1</v>
      </c>
      <c r="AF1117" s="19">
        <f t="shared" si="13"/>
        <v>3</v>
      </c>
      <c r="AG1117" s="9"/>
      <c r="AH1117" s="9"/>
      <c r="AI1117" s="9"/>
    </row>
    <row r="1118" ht="15.0" customHeight="1">
      <c r="A1118" s="11">
        <v>1117.0</v>
      </c>
      <c r="B1118" s="12">
        <f t="shared" si="185"/>
        <v>39999</v>
      </c>
      <c r="C1118" s="13">
        <v>2009.0</v>
      </c>
      <c r="D1118" s="11" t="s">
        <v>44</v>
      </c>
      <c r="E1118" s="11">
        <v>26.0</v>
      </c>
      <c r="F1118" s="21" t="s">
        <v>319</v>
      </c>
      <c r="G1118" s="15">
        <v>0.08467661691542297</v>
      </c>
      <c r="H1118" s="11" t="s">
        <v>33</v>
      </c>
      <c r="I1118" s="16">
        <v>0.792</v>
      </c>
      <c r="J1118" s="11" t="s">
        <v>1108</v>
      </c>
      <c r="K1118" s="11" t="s">
        <v>47</v>
      </c>
      <c r="L1118" s="11" t="s">
        <v>27</v>
      </c>
      <c r="M1118" s="11" t="s">
        <v>28</v>
      </c>
      <c r="N1118" s="11" t="s">
        <v>188</v>
      </c>
      <c r="O1118" s="11" t="s">
        <v>1570</v>
      </c>
      <c r="P1118" s="11" t="s">
        <v>38</v>
      </c>
      <c r="Q1118" s="20">
        <v>40002.0</v>
      </c>
      <c r="R1118" s="17">
        <f t="shared" si="2"/>
        <v>6.231521592</v>
      </c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>
        <f t="shared" si="8"/>
        <v>1</v>
      </c>
      <c r="AF1118" s="19">
        <f t="shared" si="13"/>
        <v>3</v>
      </c>
      <c r="AG1118" s="9"/>
      <c r="AH1118" s="9"/>
      <c r="AI1118" s="9"/>
    </row>
    <row r="1119" ht="15.0" customHeight="1">
      <c r="A1119" s="11">
        <v>1118.0</v>
      </c>
      <c r="B1119" s="12">
        <f t="shared" si="185"/>
        <v>39999</v>
      </c>
      <c r="C1119" s="13">
        <v>2009.0</v>
      </c>
      <c r="D1119" s="11" t="s">
        <v>44</v>
      </c>
      <c r="E1119" s="11">
        <v>28.0</v>
      </c>
      <c r="F1119" s="21" t="s">
        <v>422</v>
      </c>
      <c r="G1119" s="15">
        <v>0.051416752843846836</v>
      </c>
      <c r="H1119" s="11" t="s">
        <v>33</v>
      </c>
      <c r="I1119" s="16">
        <v>28.0</v>
      </c>
      <c r="J1119" s="11" t="s">
        <v>1021</v>
      </c>
      <c r="K1119" s="11" t="s">
        <v>61</v>
      </c>
      <c r="L1119" s="11" t="s">
        <v>27</v>
      </c>
      <c r="M1119" s="11" t="s">
        <v>28</v>
      </c>
      <c r="N1119" s="11" t="s">
        <v>29</v>
      </c>
      <c r="O1119" s="11" t="s">
        <v>1571</v>
      </c>
      <c r="P1119" s="11" t="s">
        <v>31</v>
      </c>
      <c r="Q1119" s="20">
        <v>40002.0</v>
      </c>
      <c r="R1119" s="17">
        <f t="shared" si="2"/>
        <v>117.9088976</v>
      </c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>
        <f t="shared" si="8"/>
        <v>1</v>
      </c>
      <c r="AF1119" s="19">
        <f t="shared" si="13"/>
        <v>4</v>
      </c>
      <c r="AG1119" s="9"/>
      <c r="AH1119" s="9"/>
      <c r="AI1119" s="9"/>
    </row>
    <row r="1120" ht="15.0" customHeight="1">
      <c r="A1120" s="11">
        <v>1119.0</v>
      </c>
      <c r="B1120" s="12">
        <f t="shared" si="185"/>
        <v>39999</v>
      </c>
      <c r="C1120" s="13">
        <v>2009.0</v>
      </c>
      <c r="D1120" s="11" t="s">
        <v>44</v>
      </c>
      <c r="E1120" s="11">
        <v>26.0</v>
      </c>
      <c r="F1120" s="21" t="s">
        <v>124</v>
      </c>
      <c r="G1120" s="15">
        <v>0.04879671297202118</v>
      </c>
      <c r="H1120" s="11" t="s">
        <v>33</v>
      </c>
      <c r="I1120" s="16">
        <v>28.0</v>
      </c>
      <c r="J1120" s="11" t="s">
        <v>1021</v>
      </c>
      <c r="K1120" s="11" t="s">
        <v>61</v>
      </c>
      <c r="L1120" s="11" t="s">
        <v>27</v>
      </c>
      <c r="M1120" s="11" t="s">
        <v>28</v>
      </c>
      <c r="N1120" s="11" t="s">
        <v>29</v>
      </c>
      <c r="O1120" s="11" t="s">
        <v>1313</v>
      </c>
      <c r="P1120" s="11" t="s">
        <v>31</v>
      </c>
      <c r="Q1120" s="20">
        <v>40002.0</v>
      </c>
      <c r="R1120" s="17">
        <f t="shared" si="2"/>
        <v>355.8451497</v>
      </c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>
        <f t="shared" si="8"/>
        <v>1</v>
      </c>
      <c r="AF1120" s="19">
        <f t="shared" si="13"/>
        <v>4</v>
      </c>
      <c r="AG1120" s="9"/>
      <c r="AH1120" s="9"/>
      <c r="AI1120" s="9"/>
    </row>
    <row r="1121" ht="15.0" customHeight="1">
      <c r="A1121" s="11">
        <v>1120.0</v>
      </c>
      <c r="B1121" s="12">
        <f t="shared" ref="B1121:B1134" si="186">DATE(2012,12,31)-1274</f>
        <v>40000</v>
      </c>
      <c r="C1121" s="13">
        <v>2009.0</v>
      </c>
      <c r="D1121" s="11" t="s">
        <v>23</v>
      </c>
      <c r="E1121" s="11">
        <v>40.0</v>
      </c>
      <c r="F1121" s="21" t="s">
        <v>1088</v>
      </c>
      <c r="G1121" s="15">
        <v>0.0361167020620099</v>
      </c>
      <c r="H1121" s="11" t="s">
        <v>33</v>
      </c>
      <c r="I1121" s="16">
        <v>3.696</v>
      </c>
      <c r="J1121" s="11" t="s">
        <v>1572</v>
      </c>
      <c r="K1121" s="11" t="s">
        <v>83</v>
      </c>
      <c r="L1121" s="11" t="s">
        <v>27</v>
      </c>
      <c r="M1121" s="11" t="s">
        <v>28</v>
      </c>
      <c r="N1121" s="11" t="s">
        <v>197</v>
      </c>
      <c r="O1121" s="11" t="s">
        <v>1090</v>
      </c>
      <c r="P1121" s="11" t="s">
        <v>38</v>
      </c>
      <c r="Q1121" s="20">
        <v>40002.0</v>
      </c>
      <c r="R1121" s="17">
        <f t="shared" si="2"/>
        <v>62.10974807</v>
      </c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>
        <f t="shared" si="8"/>
        <v>1</v>
      </c>
      <c r="AF1121" s="19" t="b">
        <f t="shared" si="13"/>
        <v>0</v>
      </c>
      <c r="AG1121" s="9"/>
      <c r="AH1121" s="9"/>
      <c r="AI1121" s="9"/>
    </row>
    <row r="1122" ht="15.0" customHeight="1">
      <c r="A1122" s="11">
        <v>1121.0</v>
      </c>
      <c r="B1122" s="12">
        <f t="shared" si="186"/>
        <v>40000</v>
      </c>
      <c r="C1122" s="13">
        <v>2009.0</v>
      </c>
      <c r="D1122" s="11" t="s">
        <v>23</v>
      </c>
      <c r="E1122" s="11">
        <v>42.0</v>
      </c>
      <c r="F1122" s="21" t="s">
        <v>1573</v>
      </c>
      <c r="G1122" s="15">
        <v>0.03390066434672575</v>
      </c>
      <c r="H1122" s="11" t="s">
        <v>33</v>
      </c>
      <c r="I1122" s="16">
        <v>4.752000000000001</v>
      </c>
      <c r="J1122" s="11" t="s">
        <v>1572</v>
      </c>
      <c r="K1122" s="11" t="s">
        <v>83</v>
      </c>
      <c r="L1122" s="11" t="s">
        <v>27</v>
      </c>
      <c r="M1122" s="11" t="s">
        <v>28</v>
      </c>
      <c r="N1122" s="11" t="s">
        <v>197</v>
      </c>
      <c r="O1122" s="11" t="s">
        <v>1574</v>
      </c>
      <c r="P1122" s="11" t="s">
        <v>75</v>
      </c>
      <c r="Q1122" s="20">
        <v>40002.0</v>
      </c>
      <c r="R1122" s="17">
        <f t="shared" si="2"/>
        <v>31.05816144</v>
      </c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>
        <f t="shared" si="8"/>
        <v>1</v>
      </c>
      <c r="AF1122" s="19" t="b">
        <f t="shared" si="13"/>
        <v>0</v>
      </c>
      <c r="AG1122" s="9"/>
      <c r="AH1122" s="9"/>
      <c r="AI1122" s="9"/>
    </row>
    <row r="1123" ht="15.0" customHeight="1">
      <c r="A1123" s="11">
        <v>1122.0</v>
      </c>
      <c r="B1123" s="12">
        <f t="shared" si="186"/>
        <v>40000</v>
      </c>
      <c r="C1123" s="13">
        <v>2009.0</v>
      </c>
      <c r="D1123" s="11" t="s">
        <v>23</v>
      </c>
      <c r="E1123" s="11">
        <v>11.0</v>
      </c>
      <c r="F1123" s="21" t="s">
        <v>1369</v>
      </c>
      <c r="G1123" s="15">
        <v>0.08970976253298149</v>
      </c>
      <c r="H1123" s="11" t="s">
        <v>33</v>
      </c>
      <c r="I1123" s="16">
        <v>0.4</v>
      </c>
      <c r="J1123" s="11" t="s">
        <v>1572</v>
      </c>
      <c r="K1123" s="11" t="s">
        <v>83</v>
      </c>
      <c r="L1123" s="11" t="s">
        <v>27</v>
      </c>
      <c r="M1123" s="11" t="s">
        <v>28</v>
      </c>
      <c r="N1123" s="11" t="s">
        <v>188</v>
      </c>
      <c r="O1123" s="11" t="s">
        <v>1575</v>
      </c>
      <c r="P1123" s="11" t="s">
        <v>38</v>
      </c>
      <c r="Q1123" s="20">
        <v>40002.0</v>
      </c>
      <c r="R1123" s="17">
        <f t="shared" si="2"/>
        <v>3.094986807</v>
      </c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>
        <f t="shared" si="8"/>
        <v>1</v>
      </c>
      <c r="AF1123" s="19" t="b">
        <f t="shared" si="13"/>
        <v>0</v>
      </c>
      <c r="AG1123" s="9"/>
      <c r="AH1123" s="9"/>
      <c r="AI1123" s="9"/>
    </row>
    <row r="1124" ht="15.0" customHeight="1">
      <c r="A1124" s="11">
        <v>1123.0</v>
      </c>
      <c r="B1124" s="12">
        <f t="shared" si="186"/>
        <v>40000</v>
      </c>
      <c r="C1124" s="13">
        <v>2009.0</v>
      </c>
      <c r="D1124" s="11" t="s">
        <v>44</v>
      </c>
      <c r="E1124" s="11">
        <v>4.0</v>
      </c>
      <c r="F1124" s="21" t="s">
        <v>632</v>
      </c>
      <c r="G1124" s="15">
        <v>0.052207792207792224</v>
      </c>
      <c r="H1124" s="11" t="s">
        <v>33</v>
      </c>
      <c r="I1124" s="16">
        <v>2.3920000000000003</v>
      </c>
      <c r="J1124" s="11" t="s">
        <v>690</v>
      </c>
      <c r="K1124" s="11" t="s">
        <v>61</v>
      </c>
      <c r="L1124" s="11" t="s">
        <v>48</v>
      </c>
      <c r="M1124" s="11" t="s">
        <v>28</v>
      </c>
      <c r="N1124" s="11" t="s">
        <v>42</v>
      </c>
      <c r="O1124" s="11" t="s">
        <v>1576</v>
      </c>
      <c r="P1124" s="11" t="s">
        <v>38</v>
      </c>
      <c r="Q1124" s="20">
        <v>40002.0</v>
      </c>
      <c r="R1124" s="17">
        <f t="shared" si="2"/>
        <v>1.52404987</v>
      </c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>
        <f t="shared" si="8"/>
        <v>4</v>
      </c>
      <c r="AF1124" s="19">
        <f t="shared" si="13"/>
        <v>4</v>
      </c>
      <c r="AG1124" s="9"/>
      <c r="AH1124" s="9"/>
      <c r="AI1124" s="9"/>
    </row>
    <row r="1125" ht="15.0" customHeight="1">
      <c r="A1125" s="11">
        <v>1124.0</v>
      </c>
      <c r="B1125" s="12">
        <f t="shared" si="186"/>
        <v>40000</v>
      </c>
      <c r="C1125" s="13">
        <v>2009.0</v>
      </c>
      <c r="D1125" s="11" t="s">
        <v>44</v>
      </c>
      <c r="E1125" s="11">
        <v>46.0</v>
      </c>
      <c r="F1125" s="21" t="s">
        <v>638</v>
      </c>
      <c r="G1125" s="15">
        <v>0.05085910652920976</v>
      </c>
      <c r="H1125" s="11" t="s">
        <v>33</v>
      </c>
      <c r="I1125" s="16">
        <v>4.84</v>
      </c>
      <c r="J1125" s="11" t="s">
        <v>690</v>
      </c>
      <c r="K1125" s="11" t="s">
        <v>61</v>
      </c>
      <c r="L1125" s="11" t="s">
        <v>48</v>
      </c>
      <c r="M1125" s="11" t="s">
        <v>28</v>
      </c>
      <c r="N1125" s="11" t="s">
        <v>42</v>
      </c>
      <c r="O1125" s="11" t="s">
        <v>640</v>
      </c>
      <c r="P1125" s="11" t="s">
        <v>38</v>
      </c>
      <c r="Q1125" s="20">
        <v>40002.0</v>
      </c>
      <c r="R1125" s="17">
        <f t="shared" si="2"/>
        <v>16.85674227</v>
      </c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>
        <f t="shared" si="8"/>
        <v>4</v>
      </c>
      <c r="AF1125" s="19">
        <f t="shared" si="13"/>
        <v>4</v>
      </c>
      <c r="AG1125" s="9"/>
      <c r="AH1125" s="9"/>
      <c r="AI1125" s="9"/>
    </row>
    <row r="1126" ht="15.0" customHeight="1">
      <c r="A1126" s="11">
        <v>1125.0</v>
      </c>
      <c r="B1126" s="12">
        <f t="shared" si="186"/>
        <v>40000</v>
      </c>
      <c r="C1126" s="13">
        <v>2009.0</v>
      </c>
      <c r="D1126" s="11" t="s">
        <v>44</v>
      </c>
      <c r="E1126" s="11">
        <v>22.0</v>
      </c>
      <c r="F1126" s="21" t="s">
        <v>122</v>
      </c>
      <c r="G1126" s="15">
        <v>0.04220107571369473</v>
      </c>
      <c r="H1126" s="11" t="s">
        <v>33</v>
      </c>
      <c r="I1126" s="16">
        <v>3.2</v>
      </c>
      <c r="J1126" s="11" t="s">
        <v>690</v>
      </c>
      <c r="K1126" s="11" t="s">
        <v>61</v>
      </c>
      <c r="L1126" s="11" t="s">
        <v>48</v>
      </c>
      <c r="M1126" s="11" t="s">
        <v>66</v>
      </c>
      <c r="N1126" s="11" t="s">
        <v>67</v>
      </c>
      <c r="O1126" s="11" t="s">
        <v>1485</v>
      </c>
      <c r="P1126" s="11" t="s">
        <v>38</v>
      </c>
      <c r="Q1126" s="20">
        <v>40002.0</v>
      </c>
      <c r="R1126" s="17">
        <f t="shared" si="2"/>
        <v>19.53909806</v>
      </c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>
        <f t="shared" si="8"/>
        <v>4</v>
      </c>
      <c r="AF1126" s="19">
        <f t="shared" si="13"/>
        <v>4</v>
      </c>
      <c r="AG1126" s="9"/>
      <c r="AH1126" s="9"/>
      <c r="AI1126" s="9"/>
    </row>
    <row r="1127" ht="15.0" customHeight="1">
      <c r="A1127" s="11">
        <v>1126.0</v>
      </c>
      <c r="B1127" s="12">
        <f t="shared" si="186"/>
        <v>40000</v>
      </c>
      <c r="C1127" s="13">
        <v>2009.0</v>
      </c>
      <c r="D1127" s="11" t="s">
        <v>44</v>
      </c>
      <c r="E1127" s="11">
        <v>31.0</v>
      </c>
      <c r="F1127" s="21" t="s">
        <v>1300</v>
      </c>
      <c r="G1127" s="15">
        <v>0.05065502183406116</v>
      </c>
      <c r="H1127" s="11" t="s">
        <v>33</v>
      </c>
      <c r="I1127" s="16">
        <v>8.440000000000001</v>
      </c>
      <c r="J1127" s="11" t="s">
        <v>690</v>
      </c>
      <c r="K1127" s="11" t="s">
        <v>61</v>
      </c>
      <c r="L1127" s="11" t="s">
        <v>48</v>
      </c>
      <c r="M1127" s="11" t="s">
        <v>28</v>
      </c>
      <c r="N1127" s="11" t="s">
        <v>42</v>
      </c>
      <c r="O1127" s="11" t="s">
        <v>1301</v>
      </c>
      <c r="P1127" s="11" t="s">
        <v>38</v>
      </c>
      <c r="Q1127" s="20">
        <v>40002.0</v>
      </c>
      <c r="R1127" s="17">
        <f t="shared" si="2"/>
        <v>61.66944978</v>
      </c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>
        <f t="shared" si="8"/>
        <v>4</v>
      </c>
      <c r="AF1127" s="19">
        <f t="shared" si="13"/>
        <v>4</v>
      </c>
      <c r="AG1127" s="9"/>
      <c r="AH1127" s="9"/>
      <c r="AI1127" s="9"/>
    </row>
    <row r="1128" ht="15.0" customHeight="1">
      <c r="A1128" s="11">
        <v>1127.0</v>
      </c>
      <c r="B1128" s="12">
        <f t="shared" si="186"/>
        <v>40000</v>
      </c>
      <c r="C1128" s="13">
        <v>2009.0</v>
      </c>
      <c r="D1128" s="11" t="s">
        <v>44</v>
      </c>
      <c r="E1128" s="11">
        <v>12.0</v>
      </c>
      <c r="F1128" s="21" t="s">
        <v>1158</v>
      </c>
      <c r="G1128" s="15">
        <v>0.06933333333333336</v>
      </c>
      <c r="H1128" s="11" t="s">
        <v>33</v>
      </c>
      <c r="I1128" s="16">
        <v>5.464</v>
      </c>
      <c r="J1128" s="11" t="s">
        <v>690</v>
      </c>
      <c r="K1128" s="11" t="s">
        <v>61</v>
      </c>
      <c r="L1128" s="11" t="s">
        <v>48</v>
      </c>
      <c r="M1128" s="11" t="s">
        <v>28</v>
      </c>
      <c r="N1128" s="11" t="s">
        <v>42</v>
      </c>
      <c r="O1128" s="11" t="s">
        <v>1577</v>
      </c>
      <c r="P1128" s="11" t="s">
        <v>38</v>
      </c>
      <c r="Q1128" s="20">
        <v>40002.0</v>
      </c>
      <c r="R1128" s="17">
        <f t="shared" si="2"/>
        <v>3.290837333</v>
      </c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>
        <f t="shared" si="8"/>
        <v>4</v>
      </c>
      <c r="AF1128" s="19">
        <f t="shared" si="13"/>
        <v>4</v>
      </c>
      <c r="AG1128" s="9"/>
      <c r="AH1128" s="9"/>
      <c r="AI1128" s="9"/>
    </row>
    <row r="1129" ht="15.0" customHeight="1">
      <c r="A1129" s="11">
        <v>1128.0</v>
      </c>
      <c r="B1129" s="12">
        <f t="shared" si="186"/>
        <v>40000</v>
      </c>
      <c r="C1129" s="13">
        <v>2009.0</v>
      </c>
      <c r="D1129" s="11" t="s">
        <v>44</v>
      </c>
      <c r="E1129" s="11">
        <v>3.0</v>
      </c>
      <c r="F1129" s="21" t="s">
        <v>379</v>
      </c>
      <c r="G1129" s="15">
        <v>0.07291603053435108</v>
      </c>
      <c r="H1129" s="11" t="s">
        <v>33</v>
      </c>
      <c r="I1129" s="16">
        <v>14.224000000000002</v>
      </c>
      <c r="J1129" s="11" t="s">
        <v>690</v>
      </c>
      <c r="K1129" s="11" t="s">
        <v>61</v>
      </c>
      <c r="L1129" s="11" t="s">
        <v>48</v>
      </c>
      <c r="M1129" s="11" t="s">
        <v>28</v>
      </c>
      <c r="N1129" s="11" t="s">
        <v>29</v>
      </c>
      <c r="O1129" s="11" t="s">
        <v>380</v>
      </c>
      <c r="P1129" s="11" t="s">
        <v>38</v>
      </c>
      <c r="Q1129" s="20">
        <v>40002.0</v>
      </c>
      <c r="R1129" s="17">
        <f t="shared" si="2"/>
        <v>4.427753038</v>
      </c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>
        <f t="shared" si="8"/>
        <v>4</v>
      </c>
      <c r="AF1129" s="19">
        <f t="shared" si="13"/>
        <v>4</v>
      </c>
      <c r="AG1129" s="9"/>
      <c r="AH1129" s="9"/>
      <c r="AI1129" s="9"/>
    </row>
    <row r="1130" ht="15.0" customHeight="1">
      <c r="A1130" s="11">
        <v>1129.0</v>
      </c>
      <c r="B1130" s="12">
        <f t="shared" si="186"/>
        <v>40000</v>
      </c>
      <c r="C1130" s="13">
        <v>2009.0</v>
      </c>
      <c r="D1130" s="11" t="s">
        <v>102</v>
      </c>
      <c r="E1130" s="11">
        <v>6.0</v>
      </c>
      <c r="F1130" s="21" t="s">
        <v>1551</v>
      </c>
      <c r="G1130" s="15">
        <v>0.02146031746031741</v>
      </c>
      <c r="H1130" s="11" t="s">
        <v>33</v>
      </c>
      <c r="I1130" s="16">
        <v>1.6480000000000001</v>
      </c>
      <c r="J1130" s="11" t="s">
        <v>1578</v>
      </c>
      <c r="K1130" s="11" t="s">
        <v>26</v>
      </c>
      <c r="L1130" s="11" t="s">
        <v>41</v>
      </c>
      <c r="M1130" s="11" t="s">
        <v>28</v>
      </c>
      <c r="N1130" s="11" t="s">
        <v>56</v>
      </c>
      <c r="O1130" s="11" t="s">
        <v>1552</v>
      </c>
      <c r="P1130" s="11" t="s">
        <v>58</v>
      </c>
      <c r="Q1130" s="20">
        <v>40003.0</v>
      </c>
      <c r="R1130" s="17">
        <f t="shared" si="2"/>
        <v>1.322985651</v>
      </c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>
        <f t="shared" si="8"/>
        <v>3</v>
      </c>
      <c r="AF1130" s="19">
        <f t="shared" si="13"/>
        <v>1</v>
      </c>
      <c r="AG1130" s="9"/>
      <c r="AH1130" s="9"/>
      <c r="AI1130" s="9"/>
    </row>
    <row r="1131" ht="15.0" customHeight="1">
      <c r="A1131" s="11">
        <v>1130.0</v>
      </c>
      <c r="B1131" s="12">
        <f t="shared" si="186"/>
        <v>40000</v>
      </c>
      <c r="C1131" s="13">
        <v>2009.0</v>
      </c>
      <c r="D1131" s="11" t="s">
        <v>102</v>
      </c>
      <c r="E1131" s="11">
        <v>9.0</v>
      </c>
      <c r="F1131" s="21" t="s">
        <v>178</v>
      </c>
      <c r="G1131" s="15">
        <v>0.026635180476825587</v>
      </c>
      <c r="H1131" s="11" t="s">
        <v>33</v>
      </c>
      <c r="I1131" s="16">
        <v>4.736</v>
      </c>
      <c r="J1131" s="11" t="s">
        <v>1578</v>
      </c>
      <c r="K1131" s="11" t="s">
        <v>26</v>
      </c>
      <c r="L1131" s="11" t="s">
        <v>41</v>
      </c>
      <c r="M1131" s="11" t="s">
        <v>66</v>
      </c>
      <c r="N1131" s="11" t="s">
        <v>80</v>
      </c>
      <c r="O1131" s="11" t="s">
        <v>1579</v>
      </c>
      <c r="P1131" s="11" t="s">
        <v>38</v>
      </c>
      <c r="Q1131" s="20">
        <v>40003.0</v>
      </c>
      <c r="R1131" s="17">
        <f t="shared" si="2"/>
        <v>15.92346976</v>
      </c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>
        <f t="shared" si="8"/>
        <v>3</v>
      </c>
      <c r="AF1131" s="19">
        <f t="shared" si="13"/>
        <v>1</v>
      </c>
      <c r="AG1131" s="9"/>
      <c r="AH1131" s="9"/>
      <c r="AI1131" s="9"/>
    </row>
    <row r="1132" ht="15.0" customHeight="1">
      <c r="A1132" s="11">
        <v>1131.0</v>
      </c>
      <c r="B1132" s="12">
        <f t="shared" si="186"/>
        <v>40000</v>
      </c>
      <c r="C1132" s="13">
        <v>2009.0</v>
      </c>
      <c r="D1132" s="11" t="s">
        <v>102</v>
      </c>
      <c r="E1132" s="11">
        <v>41.0</v>
      </c>
      <c r="F1132" s="21" t="s">
        <v>1156</v>
      </c>
      <c r="G1132" s="15">
        <v>0.03927635233534002</v>
      </c>
      <c r="H1132" s="11" t="s">
        <v>33</v>
      </c>
      <c r="I1132" s="16">
        <v>7.192</v>
      </c>
      <c r="J1132" s="11" t="s">
        <v>1578</v>
      </c>
      <c r="K1132" s="11" t="s">
        <v>26</v>
      </c>
      <c r="L1132" s="11" t="s">
        <v>41</v>
      </c>
      <c r="M1132" s="11" t="s">
        <v>66</v>
      </c>
      <c r="N1132" s="11" t="s">
        <v>80</v>
      </c>
      <c r="O1132" s="11" t="s">
        <v>1580</v>
      </c>
      <c r="P1132" s="11" t="s">
        <v>38</v>
      </c>
      <c r="Q1132" s="20">
        <v>40003.0</v>
      </c>
      <c r="R1132" s="17">
        <f t="shared" si="2"/>
        <v>251.332992</v>
      </c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>
        <f t="shared" si="8"/>
        <v>3</v>
      </c>
      <c r="AF1132" s="19">
        <f t="shared" si="13"/>
        <v>1</v>
      </c>
      <c r="AG1132" s="9"/>
      <c r="AH1132" s="9"/>
      <c r="AI1132" s="9"/>
    </row>
    <row r="1133" ht="15.0" customHeight="1">
      <c r="A1133" s="11">
        <v>1132.0</v>
      </c>
      <c r="B1133" s="12">
        <f t="shared" si="186"/>
        <v>40000</v>
      </c>
      <c r="C1133" s="13">
        <v>2009.0</v>
      </c>
      <c r="D1133" s="11" t="s">
        <v>23</v>
      </c>
      <c r="E1133" s="11">
        <v>23.0</v>
      </c>
      <c r="F1133" s="21" t="s">
        <v>135</v>
      </c>
      <c r="G1133" s="15">
        <v>0.02730793254216124</v>
      </c>
      <c r="H1133" s="11" t="s">
        <v>33</v>
      </c>
      <c r="I1133" s="16">
        <v>3.9280000000000004</v>
      </c>
      <c r="J1133" s="11" t="s">
        <v>1581</v>
      </c>
      <c r="K1133" s="11" t="s">
        <v>61</v>
      </c>
      <c r="L1133" s="11" t="s">
        <v>36</v>
      </c>
      <c r="M1133" s="11" t="s">
        <v>28</v>
      </c>
      <c r="N1133" s="11" t="s">
        <v>56</v>
      </c>
      <c r="O1133" s="11" t="s">
        <v>1582</v>
      </c>
      <c r="P1133" s="11" t="s">
        <v>38</v>
      </c>
      <c r="Q1133" s="20">
        <v>40004.0</v>
      </c>
      <c r="R1133" s="17">
        <f t="shared" si="2"/>
        <v>4.252609719</v>
      </c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>
        <f t="shared" si="8"/>
        <v>2</v>
      </c>
      <c r="AF1133" s="19">
        <f t="shared" si="13"/>
        <v>4</v>
      </c>
      <c r="AG1133" s="9"/>
      <c r="AH1133" s="9"/>
      <c r="AI1133" s="9"/>
    </row>
    <row r="1134" ht="15.0" customHeight="1">
      <c r="A1134" s="11">
        <v>1133.0</v>
      </c>
      <c r="B1134" s="12">
        <f t="shared" si="186"/>
        <v>40000</v>
      </c>
      <c r="C1134" s="13">
        <v>2009.0</v>
      </c>
      <c r="D1134" s="11" t="s">
        <v>102</v>
      </c>
      <c r="E1134" s="11">
        <v>20.0</v>
      </c>
      <c r="F1134" s="21" t="s">
        <v>1307</v>
      </c>
      <c r="G1134" s="15">
        <v>0.03448425624321397</v>
      </c>
      <c r="H1134" s="11" t="s">
        <v>33</v>
      </c>
      <c r="I1134" s="16">
        <v>5.5440000000000005</v>
      </c>
      <c r="J1134" s="11" t="s">
        <v>1409</v>
      </c>
      <c r="K1134" s="11" t="s">
        <v>26</v>
      </c>
      <c r="L1134" s="11" t="s">
        <v>27</v>
      </c>
      <c r="M1134" s="11" t="s">
        <v>49</v>
      </c>
      <c r="N1134" s="11" t="s">
        <v>73</v>
      </c>
      <c r="O1134" s="11" t="s">
        <v>1309</v>
      </c>
      <c r="P1134" s="11" t="s">
        <v>38</v>
      </c>
      <c r="Q1134" s="20">
        <v>40004.0</v>
      </c>
      <c r="R1134" s="17">
        <f t="shared" si="2"/>
        <v>18.39886801</v>
      </c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>
        <f t="shared" si="8"/>
        <v>1</v>
      </c>
      <c r="AF1134" s="19">
        <f t="shared" si="13"/>
        <v>1</v>
      </c>
      <c r="AG1134" s="9"/>
      <c r="AH1134" s="9"/>
      <c r="AI1134" s="9"/>
    </row>
    <row r="1135" ht="15.0" customHeight="1">
      <c r="A1135" s="11">
        <v>1134.0</v>
      </c>
      <c r="B1135" s="12">
        <f t="shared" ref="B1135:B1142" si="187">DATE(2012,12,31)-1273</f>
        <v>40001</v>
      </c>
      <c r="C1135" s="13">
        <v>2009.0</v>
      </c>
      <c r="D1135" s="11" t="s">
        <v>44</v>
      </c>
      <c r="E1135" s="11">
        <v>12.0</v>
      </c>
      <c r="F1135" s="21" t="s">
        <v>238</v>
      </c>
      <c r="G1135" s="15">
        <v>0.04901234567901227</v>
      </c>
      <c r="H1135" s="11" t="s">
        <v>33</v>
      </c>
      <c r="I1135" s="16">
        <v>1.6239999999999999</v>
      </c>
      <c r="J1135" s="11" t="s">
        <v>152</v>
      </c>
      <c r="K1135" s="11" t="s">
        <v>61</v>
      </c>
      <c r="L1135" s="11" t="s">
        <v>27</v>
      </c>
      <c r="M1135" s="11" t="s">
        <v>49</v>
      </c>
      <c r="N1135" s="11" t="s">
        <v>73</v>
      </c>
      <c r="O1135" s="11" t="s">
        <v>1583</v>
      </c>
      <c r="P1135" s="11" t="s">
        <v>58</v>
      </c>
      <c r="Q1135" s="20">
        <v>40004.0</v>
      </c>
      <c r="R1135" s="17">
        <f t="shared" si="2"/>
        <v>3.02033679</v>
      </c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>
        <f t="shared" si="8"/>
        <v>1</v>
      </c>
      <c r="AF1135" s="19">
        <f t="shared" si="13"/>
        <v>4</v>
      </c>
      <c r="AG1135" s="9"/>
      <c r="AH1135" s="9"/>
      <c r="AI1135" s="9"/>
    </row>
    <row r="1136" ht="15.0" customHeight="1">
      <c r="A1136" s="11">
        <v>1135.0</v>
      </c>
      <c r="B1136" s="12">
        <f t="shared" si="187"/>
        <v>40001</v>
      </c>
      <c r="C1136" s="13">
        <v>2009.0</v>
      </c>
      <c r="D1136" s="11" t="s">
        <v>102</v>
      </c>
      <c r="E1136" s="11">
        <v>8.0</v>
      </c>
      <c r="F1136" s="21" t="s">
        <v>1584</v>
      </c>
      <c r="G1136" s="15">
        <v>0.0062332155477032155</v>
      </c>
      <c r="H1136" s="11" t="s">
        <v>45</v>
      </c>
      <c r="I1136" s="16">
        <v>25.744</v>
      </c>
      <c r="J1136" s="11" t="s">
        <v>1264</v>
      </c>
      <c r="K1136" s="11" t="s">
        <v>35</v>
      </c>
      <c r="L1136" s="11" t="s">
        <v>36</v>
      </c>
      <c r="M1136" s="11" t="s">
        <v>49</v>
      </c>
      <c r="N1136" s="11" t="s">
        <v>156</v>
      </c>
      <c r="O1136" s="11" t="s">
        <v>1585</v>
      </c>
      <c r="P1136" s="11" t="s">
        <v>87</v>
      </c>
      <c r="Q1136" s="20">
        <v>40004.0</v>
      </c>
      <c r="R1136" s="17">
        <f t="shared" si="2"/>
        <v>7.012018431</v>
      </c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>
        <f t="shared" si="8"/>
        <v>2</v>
      </c>
      <c r="AF1136" s="19">
        <f t="shared" si="13"/>
        <v>2</v>
      </c>
      <c r="AG1136" s="9"/>
      <c r="AH1136" s="9"/>
      <c r="AI1136" s="9"/>
    </row>
    <row r="1137" ht="15.0" customHeight="1">
      <c r="A1137" s="11">
        <v>1136.0</v>
      </c>
      <c r="B1137" s="12">
        <f t="shared" si="187"/>
        <v>40001</v>
      </c>
      <c r="C1137" s="13">
        <v>2009.0</v>
      </c>
      <c r="D1137" s="11" t="s">
        <v>32</v>
      </c>
      <c r="E1137" s="11">
        <v>13.0</v>
      </c>
      <c r="F1137" s="21" t="s">
        <v>319</v>
      </c>
      <c r="G1137" s="15">
        <v>0.02764397905759174</v>
      </c>
      <c r="H1137" s="11" t="s">
        <v>24</v>
      </c>
      <c r="I1137" s="16">
        <v>0.7440000000000001</v>
      </c>
      <c r="J1137" s="11" t="s">
        <v>1543</v>
      </c>
      <c r="K1137" s="11" t="s">
        <v>61</v>
      </c>
      <c r="L1137" s="11" t="s">
        <v>48</v>
      </c>
      <c r="M1137" s="11" t="s">
        <v>28</v>
      </c>
      <c r="N1137" s="11" t="s">
        <v>62</v>
      </c>
      <c r="O1137" s="11" t="s">
        <v>1427</v>
      </c>
      <c r="P1137" s="11" t="s">
        <v>58</v>
      </c>
      <c r="Q1137" s="20">
        <v>40005.0</v>
      </c>
      <c r="R1137" s="17">
        <f t="shared" si="2"/>
        <v>1.026807958</v>
      </c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>
        <f t="shared" si="8"/>
        <v>4</v>
      </c>
      <c r="AF1137" s="19">
        <f t="shared" si="13"/>
        <v>4</v>
      </c>
      <c r="AG1137" s="9"/>
      <c r="AH1137" s="9"/>
      <c r="AI1137" s="9"/>
    </row>
    <row r="1138" ht="15.0" customHeight="1">
      <c r="A1138" s="11">
        <v>1137.0</v>
      </c>
      <c r="B1138" s="12">
        <f t="shared" si="187"/>
        <v>40001</v>
      </c>
      <c r="C1138" s="13">
        <v>2009.0</v>
      </c>
      <c r="D1138" s="11" t="s">
        <v>44</v>
      </c>
      <c r="E1138" s="11">
        <v>20.0</v>
      </c>
      <c r="F1138" s="21" t="s">
        <v>1488</v>
      </c>
      <c r="G1138" s="15">
        <v>0.04241058856660096</v>
      </c>
      <c r="H1138" s="11" t="s">
        <v>33</v>
      </c>
      <c r="I1138" s="16">
        <v>4.08</v>
      </c>
      <c r="J1138" s="11" t="s">
        <v>1586</v>
      </c>
      <c r="K1138" s="11" t="s">
        <v>65</v>
      </c>
      <c r="L1138" s="11" t="s">
        <v>27</v>
      </c>
      <c r="M1138" s="11" t="s">
        <v>28</v>
      </c>
      <c r="N1138" s="11" t="s">
        <v>29</v>
      </c>
      <c r="O1138" s="11" t="s">
        <v>1489</v>
      </c>
      <c r="P1138" s="11" t="s">
        <v>38</v>
      </c>
      <c r="Q1138" s="20">
        <v>40005.0</v>
      </c>
      <c r="R1138" s="17">
        <f t="shared" si="2"/>
        <v>28.84259307</v>
      </c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>
        <f t="shared" si="8"/>
        <v>1</v>
      </c>
      <c r="AF1138" s="19">
        <f t="shared" si="13"/>
        <v>5</v>
      </c>
      <c r="AG1138" s="9"/>
      <c r="AH1138" s="9"/>
      <c r="AI1138" s="9"/>
    </row>
    <row r="1139" ht="15.0" customHeight="1">
      <c r="A1139" s="11">
        <v>1138.0</v>
      </c>
      <c r="B1139" s="12">
        <f t="shared" si="187"/>
        <v>40001</v>
      </c>
      <c r="C1139" s="13">
        <v>2009.0</v>
      </c>
      <c r="D1139" s="11" t="s">
        <v>44</v>
      </c>
      <c r="E1139" s="11">
        <v>25.0</v>
      </c>
      <c r="F1139" s="21" t="s">
        <v>638</v>
      </c>
      <c r="G1139" s="15">
        <v>0.025961538461538383</v>
      </c>
      <c r="H1139" s="11" t="s">
        <v>33</v>
      </c>
      <c r="I1139" s="16">
        <v>4.84</v>
      </c>
      <c r="J1139" s="11" t="s">
        <v>116</v>
      </c>
      <c r="K1139" s="11" t="s">
        <v>117</v>
      </c>
      <c r="L1139" s="11" t="s">
        <v>27</v>
      </c>
      <c r="M1139" s="11" t="s">
        <v>28</v>
      </c>
      <c r="N1139" s="11" t="s">
        <v>42</v>
      </c>
      <c r="O1139" s="11" t="s">
        <v>640</v>
      </c>
      <c r="P1139" s="11" t="s">
        <v>38</v>
      </c>
      <c r="Q1139" s="20">
        <v>40005.0</v>
      </c>
      <c r="R1139" s="17">
        <f t="shared" si="2"/>
        <v>4.733826923</v>
      </c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>
        <f t="shared" si="8"/>
        <v>1</v>
      </c>
      <c r="AF1139" s="19" t="b">
        <f t="shared" si="13"/>
        <v>0</v>
      </c>
      <c r="AG1139" s="9"/>
      <c r="AH1139" s="9"/>
      <c r="AI1139" s="9"/>
    </row>
    <row r="1140" ht="15.0" customHeight="1">
      <c r="A1140" s="11">
        <v>1139.0</v>
      </c>
      <c r="B1140" s="12">
        <f t="shared" si="187"/>
        <v>40001</v>
      </c>
      <c r="C1140" s="13">
        <v>2009.0</v>
      </c>
      <c r="D1140" s="11" t="s">
        <v>39</v>
      </c>
      <c r="E1140" s="11">
        <v>47.0</v>
      </c>
      <c r="F1140" s="21" t="s">
        <v>641</v>
      </c>
      <c r="G1140" s="15">
        <v>0.030542725173210116</v>
      </c>
      <c r="H1140" s="11" t="s">
        <v>33</v>
      </c>
      <c r="I1140" s="16">
        <v>4.24</v>
      </c>
      <c r="J1140" s="11" t="s">
        <v>634</v>
      </c>
      <c r="K1140" s="11" t="s">
        <v>83</v>
      </c>
      <c r="L1140" s="11" t="s">
        <v>41</v>
      </c>
      <c r="M1140" s="11" t="s">
        <v>49</v>
      </c>
      <c r="N1140" s="11" t="s">
        <v>73</v>
      </c>
      <c r="O1140" s="11" t="s">
        <v>880</v>
      </c>
      <c r="P1140" s="11" t="s">
        <v>58</v>
      </c>
      <c r="Q1140" s="20">
        <v>40005.0</v>
      </c>
      <c r="R1140" s="17">
        <f t="shared" si="2"/>
        <v>20.51371594</v>
      </c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>
        <f t="shared" si="8"/>
        <v>3</v>
      </c>
      <c r="AF1140" s="19" t="b">
        <f t="shared" si="13"/>
        <v>0</v>
      </c>
      <c r="AG1140" s="9"/>
      <c r="AH1140" s="9"/>
      <c r="AI1140" s="9"/>
    </row>
    <row r="1141" ht="15.0" customHeight="1">
      <c r="A1141" s="11">
        <v>1140.0</v>
      </c>
      <c r="B1141" s="12">
        <f t="shared" si="187"/>
        <v>40001</v>
      </c>
      <c r="C1141" s="13">
        <v>2009.0</v>
      </c>
      <c r="D1141" s="11" t="s">
        <v>39</v>
      </c>
      <c r="E1141" s="11">
        <v>37.0</v>
      </c>
      <c r="F1141" s="21" t="s">
        <v>583</v>
      </c>
      <c r="G1141" s="15">
        <v>0.044251242015614006</v>
      </c>
      <c r="H1141" s="11" t="s">
        <v>33</v>
      </c>
      <c r="I1141" s="16">
        <v>55.2</v>
      </c>
      <c r="J1141" s="11" t="s">
        <v>634</v>
      </c>
      <c r="K1141" s="11" t="s">
        <v>83</v>
      </c>
      <c r="L1141" s="11" t="s">
        <v>41</v>
      </c>
      <c r="M1141" s="11" t="s">
        <v>49</v>
      </c>
      <c r="N1141" s="11" t="s">
        <v>85</v>
      </c>
      <c r="O1141" s="11" t="s">
        <v>585</v>
      </c>
      <c r="P1141" s="11" t="s">
        <v>31</v>
      </c>
      <c r="Q1141" s="20">
        <v>40005.0</v>
      </c>
      <c r="R1141" s="17">
        <f t="shared" si="2"/>
        <v>119.1818701</v>
      </c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>
        <f t="shared" si="8"/>
        <v>3</v>
      </c>
      <c r="AF1141" s="19" t="b">
        <f t="shared" si="13"/>
        <v>0</v>
      </c>
      <c r="AG1141" s="9"/>
      <c r="AH1141" s="9"/>
      <c r="AI1141" s="9"/>
    </row>
    <row r="1142" ht="15.0" customHeight="1">
      <c r="A1142" s="11">
        <v>1141.0</v>
      </c>
      <c r="B1142" s="12">
        <f t="shared" si="187"/>
        <v>40001</v>
      </c>
      <c r="C1142" s="13">
        <v>2009.0</v>
      </c>
      <c r="D1142" s="11" t="s">
        <v>39</v>
      </c>
      <c r="E1142" s="11">
        <v>29.0</v>
      </c>
      <c r="F1142" s="21" t="s">
        <v>865</v>
      </c>
      <c r="G1142" s="15">
        <v>0.020313429075333785</v>
      </c>
      <c r="H1142" s="11" t="s">
        <v>24</v>
      </c>
      <c r="I1142" s="16">
        <v>6.464</v>
      </c>
      <c r="J1142" s="11" t="s">
        <v>634</v>
      </c>
      <c r="K1142" s="11" t="s">
        <v>83</v>
      </c>
      <c r="L1142" s="11" t="s">
        <v>41</v>
      </c>
      <c r="M1142" s="11" t="s">
        <v>66</v>
      </c>
      <c r="N1142" s="11" t="s">
        <v>80</v>
      </c>
      <c r="O1142" s="11" t="s">
        <v>1411</v>
      </c>
      <c r="P1142" s="11" t="s">
        <v>38</v>
      </c>
      <c r="Q1142" s="20">
        <v>40005.0</v>
      </c>
      <c r="R1142" s="17">
        <f t="shared" si="2"/>
        <v>118.4793751</v>
      </c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>
        <f t="shared" si="8"/>
        <v>3</v>
      </c>
      <c r="AF1142" s="19" t="b">
        <f t="shared" si="13"/>
        <v>0</v>
      </c>
      <c r="AG1142" s="9"/>
      <c r="AH1142" s="9"/>
      <c r="AI1142" s="9"/>
    </row>
    <row r="1143" ht="15.0" customHeight="1">
      <c r="A1143" s="11">
        <v>1142.0</v>
      </c>
      <c r="B1143" s="12">
        <f>DATE(2012,12,31)-1272</f>
        <v>40002</v>
      </c>
      <c r="C1143" s="13">
        <v>2009.0</v>
      </c>
      <c r="D1143" s="11" t="s">
        <v>44</v>
      </c>
      <c r="E1143" s="11">
        <v>23.0</v>
      </c>
      <c r="F1143" s="21" t="s">
        <v>336</v>
      </c>
      <c r="G1143" s="15">
        <v>0.03249137336093857</v>
      </c>
      <c r="H1143" s="11" t="s">
        <v>33</v>
      </c>
      <c r="I1143" s="16">
        <v>6.792000000000001</v>
      </c>
      <c r="J1143" s="11" t="s">
        <v>1252</v>
      </c>
      <c r="K1143" s="11" t="s">
        <v>35</v>
      </c>
      <c r="L1143" s="11" t="s">
        <v>27</v>
      </c>
      <c r="M1143" s="11" t="s">
        <v>28</v>
      </c>
      <c r="N1143" s="11" t="s">
        <v>42</v>
      </c>
      <c r="O1143" s="11" t="s">
        <v>338</v>
      </c>
      <c r="P1143" s="11" t="s">
        <v>38</v>
      </c>
      <c r="Q1143" s="20">
        <v>40005.0</v>
      </c>
      <c r="R1143" s="17">
        <f t="shared" si="2"/>
        <v>4.555030614</v>
      </c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>
        <f t="shared" si="8"/>
        <v>1</v>
      </c>
      <c r="AF1143" s="19">
        <f t="shared" si="13"/>
        <v>2</v>
      </c>
      <c r="AG1143" s="9"/>
      <c r="AH1143" s="9"/>
      <c r="AI1143" s="9"/>
    </row>
    <row r="1144" ht="15.0" customHeight="1">
      <c r="A1144" s="11">
        <v>1143.0</v>
      </c>
      <c r="B1144" s="12">
        <f t="shared" ref="B1144:B1150" si="188">DATE(2012,12,31)-1271</f>
        <v>40003</v>
      </c>
      <c r="C1144" s="13">
        <v>2009.0</v>
      </c>
      <c r="D1144" s="11" t="s">
        <v>39</v>
      </c>
      <c r="E1144" s="11">
        <v>1.0</v>
      </c>
      <c r="F1144" s="21" t="s">
        <v>1074</v>
      </c>
      <c r="G1144" s="15">
        <v>0.10642201834862386</v>
      </c>
      <c r="H1144" s="11" t="s">
        <v>33</v>
      </c>
      <c r="I1144" s="16">
        <v>4.24</v>
      </c>
      <c r="J1144" s="11" t="s">
        <v>1515</v>
      </c>
      <c r="K1144" s="11" t="s">
        <v>47</v>
      </c>
      <c r="L1144" s="11" t="s">
        <v>48</v>
      </c>
      <c r="M1144" s="11" t="s">
        <v>28</v>
      </c>
      <c r="N1144" s="11" t="s">
        <v>236</v>
      </c>
      <c r="O1144" s="11" t="s">
        <v>1075</v>
      </c>
      <c r="P1144" s="11" t="s">
        <v>38</v>
      </c>
      <c r="Q1144" s="20">
        <v>40005.0</v>
      </c>
      <c r="R1144" s="17">
        <f t="shared" si="2"/>
        <v>1.036550459</v>
      </c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>
        <f t="shared" si="8"/>
        <v>4</v>
      </c>
      <c r="AF1144" s="19">
        <f t="shared" si="13"/>
        <v>3</v>
      </c>
      <c r="AG1144" s="9"/>
      <c r="AH1144" s="9"/>
      <c r="AI1144" s="9"/>
    </row>
    <row r="1145" ht="15.0" customHeight="1">
      <c r="A1145" s="11">
        <v>1144.0</v>
      </c>
      <c r="B1145" s="12">
        <f t="shared" si="188"/>
        <v>40003</v>
      </c>
      <c r="C1145" s="13">
        <v>2009.0</v>
      </c>
      <c r="D1145" s="11" t="s">
        <v>39</v>
      </c>
      <c r="E1145" s="11">
        <v>38.0</v>
      </c>
      <c r="F1145" s="21" t="s">
        <v>415</v>
      </c>
      <c r="G1145" s="15">
        <v>0.04884910485933513</v>
      </c>
      <c r="H1145" s="11" t="s">
        <v>33</v>
      </c>
      <c r="I1145" s="16">
        <v>0.5599999999999999</v>
      </c>
      <c r="J1145" s="11" t="s">
        <v>1515</v>
      </c>
      <c r="K1145" s="11" t="s">
        <v>47</v>
      </c>
      <c r="L1145" s="11" t="s">
        <v>48</v>
      </c>
      <c r="M1145" s="11" t="s">
        <v>28</v>
      </c>
      <c r="N1145" s="11" t="s">
        <v>62</v>
      </c>
      <c r="O1145" s="11" t="s">
        <v>417</v>
      </c>
      <c r="P1145" s="11" t="s">
        <v>58</v>
      </c>
      <c r="Q1145" s="20">
        <v>40006.0</v>
      </c>
      <c r="R1145" s="17">
        <f t="shared" si="2"/>
        <v>7.266792839</v>
      </c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>
        <f t="shared" si="8"/>
        <v>4</v>
      </c>
      <c r="AF1145" s="19">
        <f t="shared" si="13"/>
        <v>3</v>
      </c>
      <c r="AG1145" s="9"/>
      <c r="AH1145" s="9"/>
      <c r="AI1145" s="9"/>
    </row>
    <row r="1146" ht="15.0" customHeight="1">
      <c r="A1146" s="11">
        <v>1145.0</v>
      </c>
      <c r="B1146" s="12">
        <f t="shared" si="188"/>
        <v>40003</v>
      </c>
      <c r="C1146" s="13">
        <v>2009.0</v>
      </c>
      <c r="D1146" s="11" t="s">
        <v>23</v>
      </c>
      <c r="E1146" s="11">
        <v>5.0</v>
      </c>
      <c r="F1146" s="21" t="s">
        <v>666</v>
      </c>
      <c r="G1146" s="15">
        <v>0.08062992125984246</v>
      </c>
      <c r="H1146" s="11" t="s">
        <v>33</v>
      </c>
      <c r="I1146" s="16">
        <v>4.352</v>
      </c>
      <c r="J1146" s="11" t="s">
        <v>104</v>
      </c>
      <c r="K1146" s="11" t="s">
        <v>65</v>
      </c>
      <c r="L1146" s="11" t="s">
        <v>48</v>
      </c>
      <c r="M1146" s="11" t="s">
        <v>28</v>
      </c>
      <c r="N1146" s="11" t="s">
        <v>42</v>
      </c>
      <c r="O1146" s="11" t="s">
        <v>1587</v>
      </c>
      <c r="P1146" s="11" t="s">
        <v>38</v>
      </c>
      <c r="Q1146" s="20">
        <v>40006.0</v>
      </c>
      <c r="R1146" s="17">
        <f t="shared" si="2"/>
        <v>1.882869921</v>
      </c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>
        <f t="shared" si="8"/>
        <v>4</v>
      </c>
      <c r="AF1146" s="19">
        <f t="shared" si="13"/>
        <v>5</v>
      </c>
      <c r="AG1146" s="9"/>
      <c r="AH1146" s="9"/>
      <c r="AI1146" s="9"/>
    </row>
    <row r="1147" ht="15.0" customHeight="1">
      <c r="A1147" s="11">
        <v>1146.0</v>
      </c>
      <c r="B1147" s="12">
        <f t="shared" si="188"/>
        <v>40003</v>
      </c>
      <c r="C1147" s="13">
        <v>2009.0</v>
      </c>
      <c r="D1147" s="11" t="s">
        <v>23</v>
      </c>
      <c r="E1147" s="11">
        <v>41.0</v>
      </c>
      <c r="F1147" s="21" t="s">
        <v>856</v>
      </c>
      <c r="G1147" s="15">
        <v>0.021115065243179135</v>
      </c>
      <c r="H1147" s="11" t="s">
        <v>33</v>
      </c>
      <c r="I1147" s="16">
        <v>1.04</v>
      </c>
      <c r="J1147" s="11" t="s">
        <v>104</v>
      </c>
      <c r="K1147" s="11" t="s">
        <v>65</v>
      </c>
      <c r="L1147" s="11" t="s">
        <v>48</v>
      </c>
      <c r="M1147" s="11" t="s">
        <v>28</v>
      </c>
      <c r="N1147" s="11" t="s">
        <v>56</v>
      </c>
      <c r="O1147" s="11" t="s">
        <v>858</v>
      </c>
      <c r="P1147" s="11" t="s">
        <v>58</v>
      </c>
      <c r="Q1147" s="20">
        <v>40006.0</v>
      </c>
      <c r="R1147" s="17">
        <f t="shared" si="2"/>
        <v>3.484830368</v>
      </c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>
        <f t="shared" si="8"/>
        <v>4</v>
      </c>
      <c r="AF1147" s="19">
        <f t="shared" si="13"/>
        <v>5</v>
      </c>
      <c r="AG1147" s="9"/>
      <c r="AH1147" s="9"/>
      <c r="AI1147" s="9"/>
    </row>
    <row r="1148" ht="15.0" customHeight="1">
      <c r="A1148" s="11">
        <v>1147.0</v>
      </c>
      <c r="B1148" s="12">
        <f t="shared" si="188"/>
        <v>40003</v>
      </c>
      <c r="C1148" s="13">
        <v>2009.0</v>
      </c>
      <c r="D1148" s="11" t="s">
        <v>39</v>
      </c>
      <c r="E1148" s="11">
        <v>45.0</v>
      </c>
      <c r="F1148" s="21" t="s">
        <v>431</v>
      </c>
      <c r="G1148" s="15">
        <v>0.05739427694382746</v>
      </c>
      <c r="H1148" s="11" t="s">
        <v>24</v>
      </c>
      <c r="I1148" s="16">
        <v>11.192</v>
      </c>
      <c r="J1148" s="11" t="s">
        <v>1588</v>
      </c>
      <c r="K1148" s="11" t="s">
        <v>65</v>
      </c>
      <c r="L1148" s="11" t="s">
        <v>36</v>
      </c>
      <c r="M1148" s="11" t="s">
        <v>66</v>
      </c>
      <c r="N1148" s="11" t="s">
        <v>80</v>
      </c>
      <c r="O1148" s="11" t="s">
        <v>1589</v>
      </c>
      <c r="P1148" s="11" t="s">
        <v>75</v>
      </c>
      <c r="Q1148" s="20">
        <v>40006.0</v>
      </c>
      <c r="R1148" s="17">
        <f t="shared" si="2"/>
        <v>465.2777257</v>
      </c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>
        <f t="shared" si="8"/>
        <v>2</v>
      </c>
      <c r="AF1148" s="19">
        <f t="shared" si="13"/>
        <v>5</v>
      </c>
      <c r="AG1148" s="9"/>
      <c r="AH1148" s="9"/>
      <c r="AI1148" s="9"/>
    </row>
    <row r="1149" ht="15.0" customHeight="1">
      <c r="A1149" s="11">
        <v>1148.0</v>
      </c>
      <c r="B1149" s="12">
        <f t="shared" si="188"/>
        <v>40003</v>
      </c>
      <c r="C1149" s="13">
        <v>2009.0</v>
      </c>
      <c r="D1149" s="11" t="s">
        <v>39</v>
      </c>
      <c r="E1149" s="11">
        <v>16.0</v>
      </c>
      <c r="F1149" s="21" t="s">
        <v>130</v>
      </c>
      <c r="G1149" s="15">
        <v>0.03502885725278948</v>
      </c>
      <c r="H1149" s="11" t="s">
        <v>24</v>
      </c>
      <c r="I1149" s="16">
        <v>7.192</v>
      </c>
      <c r="J1149" s="11" t="s">
        <v>604</v>
      </c>
      <c r="K1149" s="11" t="s">
        <v>83</v>
      </c>
      <c r="L1149" s="11" t="s">
        <v>36</v>
      </c>
      <c r="M1149" s="11" t="s">
        <v>28</v>
      </c>
      <c r="N1149" s="11" t="s">
        <v>62</v>
      </c>
      <c r="O1149" s="11" t="s">
        <v>1590</v>
      </c>
      <c r="P1149" s="11" t="s">
        <v>99</v>
      </c>
      <c r="Q1149" s="20">
        <v>40006.0</v>
      </c>
      <c r="R1149" s="17">
        <f t="shared" si="2"/>
        <v>17.57019457</v>
      </c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>
        <f t="shared" si="8"/>
        <v>2</v>
      </c>
      <c r="AF1149" s="19" t="b">
        <f t="shared" si="13"/>
        <v>0</v>
      </c>
      <c r="AG1149" s="9"/>
      <c r="AH1149" s="9"/>
      <c r="AI1149" s="9"/>
    </row>
    <row r="1150" ht="15.0" customHeight="1">
      <c r="A1150" s="11">
        <v>1149.0</v>
      </c>
      <c r="B1150" s="12">
        <f t="shared" si="188"/>
        <v>40003</v>
      </c>
      <c r="C1150" s="13">
        <v>2009.0</v>
      </c>
      <c r="D1150" s="11" t="s">
        <v>39</v>
      </c>
      <c r="E1150" s="11">
        <v>31.0</v>
      </c>
      <c r="F1150" s="21" t="s">
        <v>1162</v>
      </c>
      <c r="G1150" s="15">
        <v>0.010292444476789947</v>
      </c>
      <c r="H1150" s="11" t="s">
        <v>33</v>
      </c>
      <c r="I1150" s="16">
        <v>15.991999999999999</v>
      </c>
      <c r="J1150" s="11" t="s">
        <v>604</v>
      </c>
      <c r="K1150" s="11" t="s">
        <v>83</v>
      </c>
      <c r="L1150" s="11" t="s">
        <v>36</v>
      </c>
      <c r="M1150" s="11" t="s">
        <v>28</v>
      </c>
      <c r="N1150" s="11" t="s">
        <v>42</v>
      </c>
      <c r="O1150" s="11" t="s">
        <v>1163</v>
      </c>
      <c r="P1150" s="11" t="s">
        <v>38</v>
      </c>
      <c r="Q1150" s="20">
        <v>40007.0</v>
      </c>
      <c r="R1150" s="17">
        <f t="shared" si="2"/>
        <v>167.9612898</v>
      </c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>
        <f t="shared" si="8"/>
        <v>2</v>
      </c>
      <c r="AF1150" s="19" t="b">
        <f t="shared" si="13"/>
        <v>0</v>
      </c>
      <c r="AG1150" s="9"/>
      <c r="AH1150" s="9"/>
      <c r="AI1150" s="9"/>
    </row>
    <row r="1151" ht="15.0" customHeight="1">
      <c r="A1151" s="11">
        <v>1150.0</v>
      </c>
      <c r="B1151" s="12">
        <f t="shared" ref="B1151:B1152" si="189">DATE(2012,12,31)-1270</f>
        <v>40004</v>
      </c>
      <c r="C1151" s="13">
        <v>2009.0</v>
      </c>
      <c r="D1151" s="11" t="s">
        <v>32</v>
      </c>
      <c r="E1151" s="11">
        <v>38.0</v>
      </c>
      <c r="F1151" s="21" t="s">
        <v>952</v>
      </c>
      <c r="G1151" s="15">
        <v>0.09123963913727516</v>
      </c>
      <c r="H1151" s="11" t="s">
        <v>33</v>
      </c>
      <c r="I1151" s="16">
        <v>19.592</v>
      </c>
      <c r="J1151" s="11" t="s">
        <v>145</v>
      </c>
      <c r="K1151" s="11" t="s">
        <v>83</v>
      </c>
      <c r="L1151" s="11" t="s">
        <v>41</v>
      </c>
      <c r="M1151" s="11" t="s">
        <v>66</v>
      </c>
      <c r="N1151" s="11" t="s">
        <v>170</v>
      </c>
      <c r="O1151" s="11" t="s">
        <v>954</v>
      </c>
      <c r="P1151" s="11" t="s">
        <v>31</v>
      </c>
      <c r="Q1151" s="20">
        <v>40007.0</v>
      </c>
      <c r="R1151" s="17">
        <f t="shared" si="2"/>
        <v>2081.704629</v>
      </c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>
        <f t="shared" si="8"/>
        <v>3</v>
      </c>
      <c r="AF1151" s="19" t="b">
        <f t="shared" si="13"/>
        <v>0</v>
      </c>
      <c r="AG1151" s="9"/>
      <c r="AH1151" s="9"/>
      <c r="AI1151" s="9"/>
    </row>
    <row r="1152" ht="15.0" customHeight="1">
      <c r="A1152" s="11">
        <v>1151.0</v>
      </c>
      <c r="B1152" s="12">
        <f t="shared" si="189"/>
        <v>40004</v>
      </c>
      <c r="C1152" s="13">
        <v>2009.0</v>
      </c>
      <c r="D1152" s="11" t="s">
        <v>32</v>
      </c>
      <c r="E1152" s="11">
        <v>32.0</v>
      </c>
      <c r="F1152" s="21" t="s">
        <v>204</v>
      </c>
      <c r="G1152" s="15">
        <v>0.08577405857740575</v>
      </c>
      <c r="H1152" s="11" t="s">
        <v>33</v>
      </c>
      <c r="I1152" s="16">
        <v>1.0</v>
      </c>
      <c r="J1152" s="11" t="s">
        <v>145</v>
      </c>
      <c r="K1152" s="11" t="s">
        <v>83</v>
      </c>
      <c r="L1152" s="11" t="s">
        <v>41</v>
      </c>
      <c r="M1152" s="11" t="s">
        <v>28</v>
      </c>
      <c r="N1152" s="11" t="s">
        <v>62</v>
      </c>
      <c r="O1152" s="11" t="s">
        <v>1105</v>
      </c>
      <c r="P1152" s="11" t="s">
        <v>58</v>
      </c>
      <c r="Q1152" s="20">
        <v>40007.0</v>
      </c>
      <c r="R1152" s="17">
        <f t="shared" si="2"/>
        <v>7.49665272</v>
      </c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>
        <f t="shared" si="8"/>
        <v>3</v>
      </c>
      <c r="AF1152" s="19" t="b">
        <f t="shared" si="13"/>
        <v>0</v>
      </c>
      <c r="AG1152" s="9"/>
      <c r="AH1152" s="9"/>
      <c r="AI1152" s="9"/>
    </row>
    <row r="1153" ht="15.0" customHeight="1">
      <c r="A1153" s="11">
        <v>1152.0</v>
      </c>
      <c r="B1153" s="12">
        <f>DATE(2012,12,31)-1269</f>
        <v>40005</v>
      </c>
      <c r="C1153" s="13">
        <v>2009.0</v>
      </c>
      <c r="D1153" s="11" t="s">
        <v>39</v>
      </c>
      <c r="E1153" s="11">
        <v>16.0</v>
      </c>
      <c r="F1153" s="21" t="s">
        <v>641</v>
      </c>
      <c r="G1153" s="15">
        <v>0.07829549980087613</v>
      </c>
      <c r="H1153" s="11" t="s">
        <v>24</v>
      </c>
      <c r="I1153" s="16">
        <v>4.24</v>
      </c>
      <c r="J1153" s="11" t="s">
        <v>1114</v>
      </c>
      <c r="K1153" s="11" t="s">
        <v>47</v>
      </c>
      <c r="L1153" s="11" t="s">
        <v>27</v>
      </c>
      <c r="M1153" s="11" t="s">
        <v>49</v>
      </c>
      <c r="N1153" s="11" t="s">
        <v>73</v>
      </c>
      <c r="O1153" s="11" t="s">
        <v>880</v>
      </c>
      <c r="P1153" s="11" t="s">
        <v>58</v>
      </c>
      <c r="Q1153" s="20">
        <v>40007.0</v>
      </c>
      <c r="R1153" s="17">
        <f t="shared" si="2"/>
        <v>18.12071047</v>
      </c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>
        <f t="shared" si="8"/>
        <v>1</v>
      </c>
      <c r="AF1153" s="19">
        <f t="shared" si="13"/>
        <v>3</v>
      </c>
      <c r="AG1153" s="9"/>
      <c r="AH1153" s="9"/>
      <c r="AI1153" s="9"/>
    </row>
    <row r="1154" ht="15.0" customHeight="1">
      <c r="A1154" s="11">
        <v>1153.0</v>
      </c>
      <c r="B1154" s="12">
        <f t="shared" ref="B1154:B1164" si="190">DATE(2012,12,31)-1268</f>
        <v>40006</v>
      </c>
      <c r="C1154" s="13">
        <v>2009.0</v>
      </c>
      <c r="D1154" s="11" t="s">
        <v>44</v>
      </c>
      <c r="E1154" s="11">
        <v>43.0</v>
      </c>
      <c r="F1154" s="21" t="s">
        <v>1247</v>
      </c>
      <c r="G1154" s="15">
        <v>0.04790436005625868</v>
      </c>
      <c r="H1154" s="11" t="s">
        <v>33</v>
      </c>
      <c r="I1154" s="16">
        <v>4.176</v>
      </c>
      <c r="J1154" s="11" t="s">
        <v>395</v>
      </c>
      <c r="K1154" s="11" t="s">
        <v>35</v>
      </c>
      <c r="L1154" s="11" t="s">
        <v>36</v>
      </c>
      <c r="M1154" s="11" t="s">
        <v>49</v>
      </c>
      <c r="N1154" s="11" t="s">
        <v>73</v>
      </c>
      <c r="O1154" s="11" t="s">
        <v>1591</v>
      </c>
      <c r="P1154" s="11" t="s">
        <v>38</v>
      </c>
      <c r="Q1154" s="20">
        <v>40007.0</v>
      </c>
      <c r="R1154" s="17">
        <f t="shared" si="2"/>
        <v>12.971351</v>
      </c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>
        <f t="shared" si="8"/>
        <v>2</v>
      </c>
      <c r="AF1154" s="19">
        <f t="shared" si="13"/>
        <v>2</v>
      </c>
      <c r="AG1154" s="9"/>
      <c r="AH1154" s="9"/>
      <c r="AI1154" s="9"/>
    </row>
    <row r="1155" ht="15.0" customHeight="1">
      <c r="A1155" s="11">
        <v>1154.0</v>
      </c>
      <c r="B1155" s="12">
        <f t="shared" si="190"/>
        <v>40006</v>
      </c>
      <c r="C1155" s="13">
        <v>2009.0</v>
      </c>
      <c r="D1155" s="11" t="s">
        <v>44</v>
      </c>
      <c r="E1155" s="11">
        <v>5.0</v>
      </c>
      <c r="F1155" s="21" t="s">
        <v>135</v>
      </c>
      <c r="G1155" s="15">
        <v>0.09999999999999992</v>
      </c>
      <c r="H1155" s="11" t="s">
        <v>33</v>
      </c>
      <c r="I1155" s="16">
        <v>1.2000000000000002</v>
      </c>
      <c r="J1155" s="11" t="s">
        <v>395</v>
      </c>
      <c r="K1155" s="11" t="s">
        <v>35</v>
      </c>
      <c r="L1155" s="11" t="s">
        <v>36</v>
      </c>
      <c r="M1155" s="11" t="s">
        <v>28</v>
      </c>
      <c r="N1155" s="11" t="s">
        <v>62</v>
      </c>
      <c r="O1155" s="11" t="s">
        <v>978</v>
      </c>
      <c r="P1155" s="11" t="s">
        <v>58</v>
      </c>
      <c r="Q1155" s="20">
        <v>40007.0</v>
      </c>
      <c r="R1155" s="17">
        <f t="shared" si="2"/>
        <v>3.42</v>
      </c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>
        <f t="shared" si="8"/>
        <v>2</v>
      </c>
      <c r="AF1155" s="19">
        <f t="shared" si="13"/>
        <v>2</v>
      </c>
      <c r="AG1155" s="9"/>
      <c r="AH1155" s="9"/>
      <c r="AI1155" s="9"/>
    </row>
    <row r="1156" ht="15.0" customHeight="1">
      <c r="A1156" s="11">
        <v>1155.0</v>
      </c>
      <c r="B1156" s="12">
        <f t="shared" si="190"/>
        <v>40006</v>
      </c>
      <c r="C1156" s="13">
        <v>2009.0</v>
      </c>
      <c r="D1156" s="11" t="s">
        <v>44</v>
      </c>
      <c r="E1156" s="11">
        <v>28.0</v>
      </c>
      <c r="F1156" s="21" t="s">
        <v>1592</v>
      </c>
      <c r="G1156" s="15">
        <v>0.08388430474240711</v>
      </c>
      <c r="H1156" s="11" t="s">
        <v>45</v>
      </c>
      <c r="I1156" s="16">
        <v>33.528</v>
      </c>
      <c r="J1156" s="11" t="s">
        <v>395</v>
      </c>
      <c r="K1156" s="11" t="s">
        <v>35</v>
      </c>
      <c r="L1156" s="11" t="s">
        <v>36</v>
      </c>
      <c r="M1156" s="11" t="s">
        <v>49</v>
      </c>
      <c r="N1156" s="11" t="s">
        <v>156</v>
      </c>
      <c r="O1156" s="11" t="s">
        <v>1593</v>
      </c>
      <c r="P1156" s="11" t="s">
        <v>87</v>
      </c>
      <c r="Q1156" s="20">
        <v>40007.0</v>
      </c>
      <c r="R1156" s="17">
        <f t="shared" si="2"/>
        <v>615.604096</v>
      </c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>
        <f t="shared" si="8"/>
        <v>2</v>
      </c>
      <c r="AF1156" s="19">
        <f t="shared" si="13"/>
        <v>2</v>
      </c>
      <c r="AG1156" s="9"/>
      <c r="AH1156" s="9"/>
      <c r="AI1156" s="9"/>
    </row>
    <row r="1157" ht="15.0" customHeight="1">
      <c r="A1157" s="11">
        <v>1156.0</v>
      </c>
      <c r="B1157" s="12">
        <f t="shared" si="190"/>
        <v>40006</v>
      </c>
      <c r="C1157" s="13">
        <v>2009.0</v>
      </c>
      <c r="D1157" s="11" t="s">
        <v>32</v>
      </c>
      <c r="E1157" s="11">
        <v>34.0</v>
      </c>
      <c r="F1157" s="21" t="s">
        <v>314</v>
      </c>
      <c r="G1157" s="15">
        <v>0.047914818101153556</v>
      </c>
      <c r="H1157" s="11" t="s">
        <v>33</v>
      </c>
      <c r="I1157" s="16">
        <v>0.4</v>
      </c>
      <c r="J1157" s="11" t="s">
        <v>1594</v>
      </c>
      <c r="K1157" s="11" t="s">
        <v>61</v>
      </c>
      <c r="L1157" s="11" t="s">
        <v>48</v>
      </c>
      <c r="M1157" s="11" t="s">
        <v>28</v>
      </c>
      <c r="N1157" s="11" t="s">
        <v>188</v>
      </c>
      <c r="O1157" s="11" t="s">
        <v>516</v>
      </c>
      <c r="P1157" s="11" t="s">
        <v>38</v>
      </c>
      <c r="Q1157" s="20">
        <v>40008.0</v>
      </c>
      <c r="R1157" s="17">
        <f t="shared" si="2"/>
        <v>10.28251996</v>
      </c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>
        <f t="shared" si="8"/>
        <v>4</v>
      </c>
      <c r="AF1157" s="19">
        <f t="shared" si="13"/>
        <v>4</v>
      </c>
      <c r="AG1157" s="9"/>
      <c r="AH1157" s="9"/>
      <c r="AI1157" s="9"/>
    </row>
    <row r="1158" ht="15.0" customHeight="1">
      <c r="A1158" s="11">
        <v>1157.0</v>
      </c>
      <c r="B1158" s="12">
        <f t="shared" si="190"/>
        <v>40006</v>
      </c>
      <c r="C1158" s="13">
        <v>2009.0</v>
      </c>
      <c r="D1158" s="11" t="s">
        <v>32</v>
      </c>
      <c r="E1158" s="11">
        <v>33.0</v>
      </c>
      <c r="F1158" s="21" t="s">
        <v>100</v>
      </c>
      <c r="G1158" s="15">
        <v>0.08304666315917282</v>
      </c>
      <c r="H1158" s="11" t="s">
        <v>24</v>
      </c>
      <c r="I1158" s="16">
        <v>2.4000000000000004</v>
      </c>
      <c r="J1158" s="11" t="s">
        <v>1594</v>
      </c>
      <c r="K1158" s="11" t="s">
        <v>61</v>
      </c>
      <c r="L1158" s="11" t="s">
        <v>48</v>
      </c>
      <c r="M1158" s="11" t="s">
        <v>66</v>
      </c>
      <c r="N1158" s="11" t="s">
        <v>80</v>
      </c>
      <c r="O1158" s="11" t="s">
        <v>1595</v>
      </c>
      <c r="P1158" s="11" t="s">
        <v>38</v>
      </c>
      <c r="Q1158" s="20">
        <v>40008.0</v>
      </c>
      <c r="R1158" s="17">
        <f t="shared" si="2"/>
        <v>564.4764742</v>
      </c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>
        <f t="shared" si="8"/>
        <v>4</v>
      </c>
      <c r="AF1158" s="19">
        <f t="shared" si="13"/>
        <v>4</v>
      </c>
      <c r="AG1158" s="9"/>
      <c r="AH1158" s="9"/>
      <c r="AI1158" s="9"/>
    </row>
    <row r="1159" ht="15.0" customHeight="1">
      <c r="A1159" s="11">
        <v>1158.0</v>
      </c>
      <c r="B1159" s="12">
        <f t="shared" si="190"/>
        <v>40006</v>
      </c>
      <c r="C1159" s="13">
        <v>2009.0</v>
      </c>
      <c r="D1159" s="11" t="s">
        <v>32</v>
      </c>
      <c r="E1159" s="11">
        <v>41.0</v>
      </c>
      <c r="F1159" s="21" t="s">
        <v>1596</v>
      </c>
      <c r="G1159" s="15">
        <v>0.03983975998090751</v>
      </c>
      <c r="H1159" s="11" t="s">
        <v>24</v>
      </c>
      <c r="I1159" s="16">
        <v>19.592</v>
      </c>
      <c r="J1159" s="11" t="s">
        <v>288</v>
      </c>
      <c r="K1159" s="11" t="s">
        <v>61</v>
      </c>
      <c r="L1159" s="11" t="s">
        <v>27</v>
      </c>
      <c r="M1159" s="11" t="s">
        <v>49</v>
      </c>
      <c r="N1159" s="11" t="s">
        <v>73</v>
      </c>
      <c r="O1159" s="11" t="s">
        <v>1597</v>
      </c>
      <c r="P1159" s="11" t="s">
        <v>31</v>
      </c>
      <c r="Q1159" s="20">
        <v>40008.0</v>
      </c>
      <c r="R1159" s="17">
        <f t="shared" si="2"/>
        <v>224.3971294</v>
      </c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>
        <f t="shared" si="8"/>
        <v>1</v>
      </c>
      <c r="AF1159" s="19">
        <f t="shared" si="13"/>
        <v>4</v>
      </c>
      <c r="AG1159" s="9"/>
      <c r="AH1159" s="9"/>
      <c r="AI1159" s="9"/>
    </row>
    <row r="1160" ht="15.0" customHeight="1">
      <c r="A1160" s="11">
        <v>1159.0</v>
      </c>
      <c r="B1160" s="12">
        <f t="shared" si="190"/>
        <v>40006</v>
      </c>
      <c r="C1160" s="13">
        <v>2009.0</v>
      </c>
      <c r="D1160" s="11" t="s">
        <v>23</v>
      </c>
      <c r="E1160" s="11">
        <v>31.0</v>
      </c>
      <c r="F1160" s="21" t="s">
        <v>178</v>
      </c>
      <c r="G1160" s="15">
        <v>0.06748851385161266</v>
      </c>
      <c r="H1160" s="11" t="s">
        <v>33</v>
      </c>
      <c r="I1160" s="16">
        <v>7.040000000000001</v>
      </c>
      <c r="J1160" s="11" t="s">
        <v>617</v>
      </c>
      <c r="K1160" s="11" t="s">
        <v>61</v>
      </c>
      <c r="L1160" s="11" t="s">
        <v>27</v>
      </c>
      <c r="M1160" s="11" t="s">
        <v>66</v>
      </c>
      <c r="N1160" s="11" t="s">
        <v>80</v>
      </c>
      <c r="O1160" s="11" t="s">
        <v>812</v>
      </c>
      <c r="P1160" s="11" t="s">
        <v>38</v>
      </c>
      <c r="Q1160" s="20">
        <v>40008.0</v>
      </c>
      <c r="R1160" s="17">
        <f t="shared" si="2"/>
        <v>138.3474041</v>
      </c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>
        <f t="shared" si="8"/>
        <v>1</v>
      </c>
      <c r="AF1160" s="19">
        <f t="shared" si="13"/>
        <v>4</v>
      </c>
      <c r="AG1160" s="9"/>
      <c r="AH1160" s="9"/>
      <c r="AI1160" s="9"/>
    </row>
    <row r="1161" ht="15.0" customHeight="1">
      <c r="A1161" s="11">
        <v>1160.0</v>
      </c>
      <c r="B1161" s="12">
        <f t="shared" si="190"/>
        <v>40006</v>
      </c>
      <c r="C1161" s="13">
        <v>2009.0</v>
      </c>
      <c r="D1161" s="11" t="s">
        <v>23</v>
      </c>
      <c r="E1161" s="11">
        <v>35.0</v>
      </c>
      <c r="F1161" s="21" t="s">
        <v>1551</v>
      </c>
      <c r="G1161" s="15">
        <v>0.0357581167784922</v>
      </c>
      <c r="H1161" s="11" t="s">
        <v>24</v>
      </c>
      <c r="I1161" s="16">
        <v>1.592</v>
      </c>
      <c r="J1161" s="11" t="s">
        <v>617</v>
      </c>
      <c r="K1161" s="11" t="s">
        <v>61</v>
      </c>
      <c r="L1161" s="11" t="s">
        <v>27</v>
      </c>
      <c r="M1161" s="11" t="s">
        <v>66</v>
      </c>
      <c r="N1161" s="11" t="s">
        <v>67</v>
      </c>
      <c r="O1161" s="11" t="s">
        <v>1598</v>
      </c>
      <c r="P1161" s="11" t="s">
        <v>99</v>
      </c>
      <c r="Q1161" s="20">
        <v>40008.0</v>
      </c>
      <c r="R1161" s="17">
        <f t="shared" si="2"/>
        <v>12.57226779</v>
      </c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>
        <f t="shared" si="8"/>
        <v>1</v>
      </c>
      <c r="AF1161" s="19">
        <f t="shared" si="13"/>
        <v>4</v>
      </c>
      <c r="AG1161" s="9"/>
      <c r="AH1161" s="9"/>
      <c r="AI1161" s="9"/>
    </row>
    <row r="1162" ht="15.0" customHeight="1">
      <c r="A1162" s="11">
        <v>1161.0</v>
      </c>
      <c r="B1162" s="12">
        <f t="shared" si="190"/>
        <v>40006</v>
      </c>
      <c r="C1162" s="13">
        <v>2009.0</v>
      </c>
      <c r="D1162" s="11" t="s">
        <v>44</v>
      </c>
      <c r="E1162" s="11">
        <v>1.0</v>
      </c>
      <c r="F1162" s="21" t="s">
        <v>558</v>
      </c>
      <c r="G1162" s="15">
        <v>0.0220560747663552</v>
      </c>
      <c r="H1162" s="11" t="s">
        <v>33</v>
      </c>
      <c r="I1162" s="16">
        <v>1.592</v>
      </c>
      <c r="J1162" s="11" t="s">
        <v>1496</v>
      </c>
      <c r="K1162" s="11" t="s">
        <v>61</v>
      </c>
      <c r="L1162" s="11" t="s">
        <v>48</v>
      </c>
      <c r="M1162" s="11" t="s">
        <v>66</v>
      </c>
      <c r="N1162" s="11" t="s">
        <v>67</v>
      </c>
      <c r="O1162" s="11" t="s">
        <v>559</v>
      </c>
      <c r="P1162" s="11" t="s">
        <v>99</v>
      </c>
      <c r="Q1162" s="20">
        <v>40008.0</v>
      </c>
      <c r="R1162" s="17">
        <f t="shared" si="2"/>
        <v>0.6923842991</v>
      </c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>
        <f t="shared" si="8"/>
        <v>4</v>
      </c>
      <c r="AF1162" s="19">
        <f t="shared" si="13"/>
        <v>4</v>
      </c>
      <c r="AG1162" s="9"/>
      <c r="AH1162" s="9"/>
      <c r="AI1162" s="9"/>
    </row>
    <row r="1163" ht="15.0" customHeight="1">
      <c r="A1163" s="11">
        <v>1162.0</v>
      </c>
      <c r="B1163" s="12">
        <f t="shared" si="190"/>
        <v>40006</v>
      </c>
      <c r="C1163" s="13">
        <v>2009.0</v>
      </c>
      <c r="D1163" s="11" t="s">
        <v>32</v>
      </c>
      <c r="E1163" s="11">
        <v>5.0</v>
      </c>
      <c r="F1163" s="21" t="s">
        <v>461</v>
      </c>
      <c r="G1163" s="15">
        <v>0.05018920533758224</v>
      </c>
      <c r="H1163" s="11" t="s">
        <v>45</v>
      </c>
      <c r="I1163" s="16">
        <v>22.400000000000002</v>
      </c>
      <c r="J1163" s="11" t="s">
        <v>1599</v>
      </c>
      <c r="K1163" s="11" t="s">
        <v>35</v>
      </c>
      <c r="L1163" s="11" t="s">
        <v>36</v>
      </c>
      <c r="M1163" s="11" t="s">
        <v>66</v>
      </c>
      <c r="N1163" s="11" t="s">
        <v>69</v>
      </c>
      <c r="O1163" s="11" t="s">
        <v>1600</v>
      </c>
      <c r="P1163" s="11" t="s">
        <v>52</v>
      </c>
      <c r="Q1163" s="20">
        <v>40008.0</v>
      </c>
      <c r="R1163" s="17">
        <f t="shared" si="2"/>
        <v>23.93523203</v>
      </c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>
        <f t="shared" si="8"/>
        <v>2</v>
      </c>
      <c r="AF1163" s="19">
        <f t="shared" si="13"/>
        <v>2</v>
      </c>
      <c r="AG1163" s="9"/>
      <c r="AH1163" s="9"/>
      <c r="AI1163" s="9"/>
    </row>
    <row r="1164" ht="15.0" customHeight="1">
      <c r="A1164" s="11">
        <v>1163.0</v>
      </c>
      <c r="B1164" s="12">
        <f t="shared" si="190"/>
        <v>40006</v>
      </c>
      <c r="C1164" s="13">
        <v>2009.0</v>
      </c>
      <c r="D1164" s="11" t="s">
        <v>32</v>
      </c>
      <c r="E1164" s="11">
        <v>4.0</v>
      </c>
      <c r="F1164" s="21" t="s">
        <v>161</v>
      </c>
      <c r="G1164" s="15">
        <v>0.12289156626506022</v>
      </c>
      <c r="H1164" s="11" t="s">
        <v>33</v>
      </c>
      <c r="I1164" s="16">
        <v>28.0</v>
      </c>
      <c r="J1164" s="11" t="s">
        <v>1599</v>
      </c>
      <c r="K1164" s="11" t="s">
        <v>35</v>
      </c>
      <c r="L1164" s="11" t="s">
        <v>36</v>
      </c>
      <c r="M1164" s="11" t="s">
        <v>28</v>
      </c>
      <c r="N1164" s="11" t="s">
        <v>29</v>
      </c>
      <c r="O1164" s="11" t="s">
        <v>162</v>
      </c>
      <c r="P1164" s="11" t="s">
        <v>31</v>
      </c>
      <c r="Q1164" s="20">
        <v>40009.0</v>
      </c>
      <c r="R1164" s="17">
        <f t="shared" si="2"/>
        <v>13.41975904</v>
      </c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>
        <f t="shared" si="8"/>
        <v>2</v>
      </c>
      <c r="AF1164" s="19">
        <f t="shared" si="13"/>
        <v>2</v>
      </c>
      <c r="AG1164" s="9"/>
      <c r="AH1164" s="9"/>
      <c r="AI1164" s="9"/>
    </row>
    <row r="1165" ht="15.0" customHeight="1">
      <c r="A1165" s="11">
        <v>1164.0</v>
      </c>
      <c r="B1165" s="12">
        <f t="shared" ref="B1165:B1168" si="191">DATE(2012,12,31)-1267</f>
        <v>40007</v>
      </c>
      <c r="C1165" s="13">
        <v>2009.0</v>
      </c>
      <c r="D1165" s="11" t="s">
        <v>44</v>
      </c>
      <c r="E1165" s="11">
        <v>13.0</v>
      </c>
      <c r="F1165" s="21" t="s">
        <v>1084</v>
      </c>
      <c r="G1165" s="15">
        <v>0.15140845070422526</v>
      </c>
      <c r="H1165" s="11" t="s">
        <v>33</v>
      </c>
      <c r="I1165" s="16">
        <v>39.2</v>
      </c>
      <c r="J1165" s="11" t="s">
        <v>1288</v>
      </c>
      <c r="K1165" s="11" t="s">
        <v>47</v>
      </c>
      <c r="L1165" s="11" t="s">
        <v>48</v>
      </c>
      <c r="M1165" s="11" t="s">
        <v>28</v>
      </c>
      <c r="N1165" s="11" t="s">
        <v>197</v>
      </c>
      <c r="O1165" s="11" t="s">
        <v>1096</v>
      </c>
      <c r="P1165" s="11" t="s">
        <v>31</v>
      </c>
      <c r="Q1165" s="20">
        <v>40009.0</v>
      </c>
      <c r="R1165" s="17">
        <f t="shared" si="2"/>
        <v>14.59577465</v>
      </c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>
        <f t="shared" si="8"/>
        <v>4</v>
      </c>
      <c r="AF1165" s="19">
        <f t="shared" si="13"/>
        <v>3</v>
      </c>
      <c r="AG1165" s="9"/>
      <c r="AH1165" s="9"/>
      <c r="AI1165" s="9"/>
    </row>
    <row r="1166" ht="15.0" customHeight="1">
      <c r="A1166" s="11">
        <v>1165.0</v>
      </c>
      <c r="B1166" s="12">
        <f t="shared" si="191"/>
        <v>40007</v>
      </c>
      <c r="C1166" s="13">
        <v>2009.0</v>
      </c>
      <c r="D1166" s="11" t="s">
        <v>102</v>
      </c>
      <c r="E1166" s="11">
        <v>47.0</v>
      </c>
      <c r="F1166" s="21" t="s">
        <v>128</v>
      </c>
      <c r="G1166" s="15">
        <v>0.07485350875822304</v>
      </c>
      <c r="H1166" s="11" t="s">
        <v>33</v>
      </c>
      <c r="I1166" s="16">
        <v>3.3600000000000003</v>
      </c>
      <c r="J1166" s="11" t="s">
        <v>1259</v>
      </c>
      <c r="K1166" s="11" t="s">
        <v>65</v>
      </c>
      <c r="L1166" s="11" t="s">
        <v>41</v>
      </c>
      <c r="M1166" s="11" t="s">
        <v>66</v>
      </c>
      <c r="N1166" s="11" t="s">
        <v>80</v>
      </c>
      <c r="O1166" s="11" t="s">
        <v>1601</v>
      </c>
      <c r="P1166" s="11" t="s">
        <v>38</v>
      </c>
      <c r="Q1166" s="20">
        <v>40009.0</v>
      </c>
      <c r="R1166" s="17">
        <f t="shared" si="2"/>
        <v>443.1821752</v>
      </c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>
        <f t="shared" si="8"/>
        <v>3</v>
      </c>
      <c r="AF1166" s="19">
        <f t="shared" si="13"/>
        <v>5</v>
      </c>
      <c r="AG1166" s="9"/>
      <c r="AH1166" s="9"/>
      <c r="AI1166" s="9"/>
    </row>
    <row r="1167" ht="15.0" customHeight="1">
      <c r="A1167" s="11">
        <v>1166.0</v>
      </c>
      <c r="B1167" s="12">
        <f t="shared" si="191"/>
        <v>40007</v>
      </c>
      <c r="C1167" s="13">
        <v>2009.0</v>
      </c>
      <c r="D1167" s="11" t="s">
        <v>23</v>
      </c>
      <c r="E1167" s="11">
        <v>45.0</v>
      </c>
      <c r="F1167" s="21" t="s">
        <v>1084</v>
      </c>
      <c r="G1167" s="15">
        <v>0.08097636574970932</v>
      </c>
      <c r="H1167" s="11" t="s">
        <v>24</v>
      </c>
      <c r="I1167" s="16">
        <v>39.2</v>
      </c>
      <c r="J1167" s="11" t="s">
        <v>1602</v>
      </c>
      <c r="K1167" s="11" t="s">
        <v>117</v>
      </c>
      <c r="L1167" s="11" t="s">
        <v>36</v>
      </c>
      <c r="M1167" s="11" t="s">
        <v>28</v>
      </c>
      <c r="N1167" s="11" t="s">
        <v>197</v>
      </c>
      <c r="O1167" s="11" t="s">
        <v>1096</v>
      </c>
      <c r="P1167" s="11" t="s">
        <v>31</v>
      </c>
      <c r="Q1167" s="20">
        <v>40009.0</v>
      </c>
      <c r="R1167" s="17">
        <f t="shared" si="2"/>
        <v>19.20759396</v>
      </c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>
        <f t="shared" si="8"/>
        <v>2</v>
      </c>
      <c r="AF1167" s="19" t="b">
        <f t="shared" si="13"/>
        <v>0</v>
      </c>
      <c r="AG1167" s="9"/>
      <c r="AH1167" s="9"/>
      <c r="AI1167" s="9"/>
    </row>
    <row r="1168" ht="15.0" customHeight="1">
      <c r="A1168" s="11">
        <v>1167.0</v>
      </c>
      <c r="B1168" s="12">
        <f t="shared" si="191"/>
        <v>40007</v>
      </c>
      <c r="C1168" s="13">
        <v>2009.0</v>
      </c>
      <c r="D1168" s="11" t="s">
        <v>44</v>
      </c>
      <c r="E1168" s="11">
        <v>34.0</v>
      </c>
      <c r="F1168" s="21" t="s">
        <v>668</v>
      </c>
      <c r="G1168" s="15">
        <v>0.07017735334242826</v>
      </c>
      <c r="H1168" s="11" t="s">
        <v>33</v>
      </c>
      <c r="I1168" s="16">
        <v>4.024</v>
      </c>
      <c r="J1168" s="11" t="s">
        <v>800</v>
      </c>
      <c r="K1168" s="11" t="s">
        <v>61</v>
      </c>
      <c r="L1168" s="11" t="s">
        <v>41</v>
      </c>
      <c r="M1168" s="11" t="s">
        <v>66</v>
      </c>
      <c r="N1168" s="11" t="s">
        <v>80</v>
      </c>
      <c r="O1168" s="11" t="s">
        <v>1603</v>
      </c>
      <c r="P1168" s="11" t="s">
        <v>75</v>
      </c>
      <c r="Q1168" s="20">
        <v>40010.0</v>
      </c>
      <c r="R1168" s="17">
        <f t="shared" si="2"/>
        <v>19.13203078</v>
      </c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>
        <f t="shared" si="8"/>
        <v>3</v>
      </c>
      <c r="AF1168" s="19">
        <f t="shared" si="13"/>
        <v>4</v>
      </c>
      <c r="AG1168" s="9"/>
      <c r="AH1168" s="9"/>
      <c r="AI1168" s="9"/>
    </row>
    <row r="1169" ht="15.0" customHeight="1">
      <c r="A1169" s="11">
        <v>1168.0</v>
      </c>
      <c r="B1169" s="12">
        <f t="shared" ref="B1169:B1172" si="192">DATE(2012,12,31)-1266</f>
        <v>40008</v>
      </c>
      <c r="C1169" s="13">
        <v>2009.0</v>
      </c>
      <c r="D1169" s="11" t="s">
        <v>44</v>
      </c>
      <c r="E1169" s="11">
        <v>23.0</v>
      </c>
      <c r="F1169" s="21" t="s">
        <v>1562</v>
      </c>
      <c r="G1169" s="15">
        <v>0.06638479042795273</v>
      </c>
      <c r="H1169" s="11" t="s">
        <v>33</v>
      </c>
      <c r="I1169" s="16">
        <v>15.991999999999999</v>
      </c>
      <c r="J1169" s="11" t="s">
        <v>253</v>
      </c>
      <c r="K1169" s="11" t="s">
        <v>61</v>
      </c>
      <c r="L1169" s="11" t="s">
        <v>36</v>
      </c>
      <c r="M1169" s="11" t="s">
        <v>28</v>
      </c>
      <c r="N1169" s="11" t="s">
        <v>29</v>
      </c>
      <c r="O1169" s="11" t="s">
        <v>1563</v>
      </c>
      <c r="P1169" s="11" t="s">
        <v>38</v>
      </c>
      <c r="Q1169" s="20">
        <v>40010.0</v>
      </c>
      <c r="R1169" s="17">
        <f t="shared" si="2"/>
        <v>253.2972753</v>
      </c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>
        <f t="shared" si="8"/>
        <v>2</v>
      </c>
      <c r="AF1169" s="19">
        <f t="shared" si="13"/>
        <v>4</v>
      </c>
      <c r="AG1169" s="9"/>
      <c r="AH1169" s="9"/>
      <c r="AI1169" s="9"/>
    </row>
    <row r="1170" ht="15.0" customHeight="1">
      <c r="A1170" s="11">
        <v>1169.0</v>
      </c>
      <c r="B1170" s="12">
        <f t="shared" si="192"/>
        <v>40008</v>
      </c>
      <c r="C1170" s="13">
        <v>2009.0</v>
      </c>
      <c r="D1170" s="11" t="s">
        <v>44</v>
      </c>
      <c r="E1170" s="11">
        <v>30.0</v>
      </c>
      <c r="F1170" s="21" t="s">
        <v>158</v>
      </c>
      <c r="G1170" s="15">
        <v>0.03752741774675968</v>
      </c>
      <c r="H1170" s="11" t="s">
        <v>33</v>
      </c>
      <c r="I1170" s="16">
        <v>1.072</v>
      </c>
      <c r="J1170" s="11" t="s">
        <v>751</v>
      </c>
      <c r="K1170" s="11" t="s">
        <v>61</v>
      </c>
      <c r="L1170" s="11" t="s">
        <v>41</v>
      </c>
      <c r="M1170" s="11" t="s">
        <v>28</v>
      </c>
      <c r="N1170" s="11" t="s">
        <v>56</v>
      </c>
      <c r="O1170" s="11" t="s">
        <v>1604</v>
      </c>
      <c r="P1170" s="11" t="s">
        <v>58</v>
      </c>
      <c r="Q1170" s="20">
        <v>40010.0</v>
      </c>
      <c r="R1170" s="17">
        <f t="shared" si="2"/>
        <v>7.245493599</v>
      </c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>
        <f t="shared" si="8"/>
        <v>3</v>
      </c>
      <c r="AF1170" s="19">
        <f t="shared" si="13"/>
        <v>4</v>
      </c>
      <c r="AG1170" s="9"/>
      <c r="AH1170" s="9"/>
      <c r="AI1170" s="9"/>
    </row>
    <row r="1171" ht="15.0" customHeight="1">
      <c r="A1171" s="11">
        <v>1170.0</v>
      </c>
      <c r="B1171" s="12">
        <f t="shared" si="192"/>
        <v>40008</v>
      </c>
      <c r="C1171" s="13">
        <v>2009.0</v>
      </c>
      <c r="D1171" s="11" t="s">
        <v>23</v>
      </c>
      <c r="E1171" s="11">
        <v>47.0</v>
      </c>
      <c r="F1171" s="21" t="s">
        <v>1187</v>
      </c>
      <c r="G1171" s="15">
        <v>0.09228671328671331</v>
      </c>
      <c r="H1171" s="11" t="s">
        <v>33</v>
      </c>
      <c r="I1171" s="16">
        <v>4.424</v>
      </c>
      <c r="J1171" s="11" t="s">
        <v>131</v>
      </c>
      <c r="K1171" s="11" t="s">
        <v>35</v>
      </c>
      <c r="L1171" s="11" t="s">
        <v>27</v>
      </c>
      <c r="M1171" s="11" t="s">
        <v>28</v>
      </c>
      <c r="N1171" s="11" t="s">
        <v>62</v>
      </c>
      <c r="O1171" s="11" t="s">
        <v>1188</v>
      </c>
      <c r="P1171" s="11" t="s">
        <v>99</v>
      </c>
      <c r="Q1171" s="20">
        <v>40010.0</v>
      </c>
      <c r="R1171" s="17">
        <f t="shared" si="2"/>
        <v>95.83273796</v>
      </c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>
        <f t="shared" si="8"/>
        <v>1</v>
      </c>
      <c r="AF1171" s="19">
        <f t="shared" si="13"/>
        <v>2</v>
      </c>
      <c r="AG1171" s="9"/>
      <c r="AH1171" s="9"/>
      <c r="AI1171" s="9"/>
    </row>
    <row r="1172" ht="15.0" customHeight="1">
      <c r="A1172" s="11">
        <v>1171.0</v>
      </c>
      <c r="B1172" s="12">
        <f t="shared" si="192"/>
        <v>40008</v>
      </c>
      <c r="C1172" s="13">
        <v>2009.0</v>
      </c>
      <c r="D1172" s="11" t="s">
        <v>23</v>
      </c>
      <c r="E1172" s="11">
        <v>12.0</v>
      </c>
      <c r="F1172" s="21" t="s">
        <v>656</v>
      </c>
      <c r="G1172" s="15">
        <v>0.042634072012984886</v>
      </c>
      <c r="H1172" s="11" t="s">
        <v>45</v>
      </c>
      <c r="I1172" s="16">
        <v>47.392</v>
      </c>
      <c r="J1172" s="11" t="s">
        <v>131</v>
      </c>
      <c r="K1172" s="11" t="s">
        <v>35</v>
      </c>
      <c r="L1172" s="11" t="s">
        <v>27</v>
      </c>
      <c r="M1172" s="11" t="s">
        <v>49</v>
      </c>
      <c r="N1172" s="11" t="s">
        <v>85</v>
      </c>
      <c r="O1172" s="11" t="s">
        <v>658</v>
      </c>
      <c r="P1172" s="11" t="s">
        <v>87</v>
      </c>
      <c r="Q1172" s="20">
        <v>40010.0</v>
      </c>
      <c r="R1172" s="17">
        <f t="shared" si="2"/>
        <v>123.2206539</v>
      </c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>
        <f t="shared" si="8"/>
        <v>1</v>
      </c>
      <c r="AF1172" s="19">
        <f t="shared" si="13"/>
        <v>2</v>
      </c>
      <c r="AG1172" s="9"/>
      <c r="AH1172" s="9"/>
      <c r="AI1172" s="9"/>
    </row>
    <row r="1173" ht="15.0" customHeight="1">
      <c r="A1173" s="11">
        <v>1172.0</v>
      </c>
      <c r="B1173" s="12">
        <f t="shared" ref="B1173:B1178" si="193">DATE(2012,12,31)-1265</f>
        <v>40009</v>
      </c>
      <c r="C1173" s="13">
        <v>2009.0</v>
      </c>
      <c r="D1173" s="11" t="s">
        <v>39</v>
      </c>
      <c r="E1173" s="11">
        <v>24.0</v>
      </c>
      <c r="F1173" s="21" t="s">
        <v>319</v>
      </c>
      <c r="G1173" s="15">
        <v>0.10959264126149808</v>
      </c>
      <c r="H1173" s="11" t="s">
        <v>33</v>
      </c>
      <c r="I1173" s="16">
        <v>0.5599999999999999</v>
      </c>
      <c r="J1173" s="11" t="s">
        <v>1605</v>
      </c>
      <c r="K1173" s="11" t="s">
        <v>61</v>
      </c>
      <c r="L1173" s="11" t="s">
        <v>48</v>
      </c>
      <c r="M1173" s="11" t="s">
        <v>28</v>
      </c>
      <c r="N1173" s="11" t="s">
        <v>62</v>
      </c>
      <c r="O1173" s="11" t="s">
        <v>1606</v>
      </c>
      <c r="P1173" s="11" t="s">
        <v>58</v>
      </c>
      <c r="Q1173" s="20">
        <v>40010.0</v>
      </c>
      <c r="R1173" s="17">
        <f t="shared" si="2"/>
        <v>7.425997372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>
        <f t="shared" si="8"/>
        <v>4</v>
      </c>
      <c r="AF1173" s="19">
        <f t="shared" si="13"/>
        <v>4</v>
      </c>
      <c r="AG1173" s="9"/>
      <c r="AH1173" s="9"/>
      <c r="AI1173" s="9"/>
    </row>
    <row r="1174" ht="15.0" customHeight="1">
      <c r="A1174" s="11">
        <v>1173.0</v>
      </c>
      <c r="B1174" s="12">
        <f t="shared" si="193"/>
        <v>40009</v>
      </c>
      <c r="C1174" s="13">
        <v>2009.0</v>
      </c>
      <c r="D1174" s="11" t="s">
        <v>32</v>
      </c>
      <c r="E1174" s="11">
        <v>49.0</v>
      </c>
      <c r="F1174" s="21" t="s">
        <v>428</v>
      </c>
      <c r="G1174" s="15">
        <v>0.02521614209220335</v>
      </c>
      <c r="H1174" s="11" t="s">
        <v>33</v>
      </c>
      <c r="I1174" s="16">
        <v>1.592</v>
      </c>
      <c r="J1174" s="11" t="s">
        <v>1607</v>
      </c>
      <c r="K1174" s="11" t="s">
        <v>35</v>
      </c>
      <c r="L1174" s="11" t="s">
        <v>48</v>
      </c>
      <c r="M1174" s="11" t="s">
        <v>66</v>
      </c>
      <c r="N1174" s="11" t="s">
        <v>67</v>
      </c>
      <c r="O1174" s="11" t="s">
        <v>1004</v>
      </c>
      <c r="P1174" s="11" t="s">
        <v>99</v>
      </c>
      <c r="Q1174" s="20">
        <v>40011.0</v>
      </c>
      <c r="R1174" s="17">
        <f t="shared" si="2"/>
        <v>18.82112673</v>
      </c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>
        <f t="shared" si="8"/>
        <v>4</v>
      </c>
      <c r="AF1174" s="19">
        <f t="shared" si="13"/>
        <v>2</v>
      </c>
      <c r="AG1174" s="9"/>
      <c r="AH1174" s="9"/>
      <c r="AI1174" s="9"/>
    </row>
    <row r="1175" ht="15.0" customHeight="1">
      <c r="A1175" s="11">
        <v>1174.0</v>
      </c>
      <c r="B1175" s="12">
        <f t="shared" si="193"/>
        <v>40009</v>
      </c>
      <c r="C1175" s="13">
        <v>2009.0</v>
      </c>
      <c r="D1175" s="11" t="s">
        <v>32</v>
      </c>
      <c r="E1175" s="11">
        <v>3.0</v>
      </c>
      <c r="F1175" s="21" t="s">
        <v>869</v>
      </c>
      <c r="G1175" s="15">
        <v>0.026652828292496007</v>
      </c>
      <c r="H1175" s="11" t="s">
        <v>33</v>
      </c>
      <c r="I1175" s="16">
        <v>2.64</v>
      </c>
      <c r="J1175" s="11" t="s">
        <v>1607</v>
      </c>
      <c r="K1175" s="11" t="s">
        <v>35</v>
      </c>
      <c r="L1175" s="11" t="s">
        <v>48</v>
      </c>
      <c r="M1175" s="11" t="s">
        <v>66</v>
      </c>
      <c r="N1175" s="11" t="s">
        <v>80</v>
      </c>
      <c r="O1175" s="11" t="s">
        <v>1608</v>
      </c>
      <c r="P1175" s="11" t="s">
        <v>99</v>
      </c>
      <c r="Q1175" s="20">
        <v>40011.0</v>
      </c>
      <c r="R1175" s="17">
        <f t="shared" si="2"/>
        <v>6.938797318</v>
      </c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>
        <f t="shared" si="8"/>
        <v>4</v>
      </c>
      <c r="AF1175" s="19">
        <f t="shared" si="13"/>
        <v>2</v>
      </c>
      <c r="AG1175" s="9"/>
      <c r="AH1175" s="9"/>
      <c r="AI1175" s="9"/>
    </row>
    <row r="1176" ht="15.0" customHeight="1">
      <c r="A1176" s="11">
        <v>1175.0</v>
      </c>
      <c r="B1176" s="12">
        <f t="shared" si="193"/>
        <v>40009</v>
      </c>
      <c r="C1176" s="13">
        <v>2009.0</v>
      </c>
      <c r="D1176" s="11" t="s">
        <v>32</v>
      </c>
      <c r="E1176" s="11">
        <v>40.0</v>
      </c>
      <c r="F1176" s="21" t="s">
        <v>126</v>
      </c>
      <c r="G1176" s="15">
        <v>0.08014719411223555</v>
      </c>
      <c r="H1176" s="11" t="s">
        <v>33</v>
      </c>
      <c r="I1176" s="16">
        <v>3.976</v>
      </c>
      <c r="J1176" s="11" t="s">
        <v>373</v>
      </c>
      <c r="K1176" s="11" t="s">
        <v>83</v>
      </c>
      <c r="L1176" s="11" t="s">
        <v>48</v>
      </c>
      <c r="M1176" s="11" t="s">
        <v>28</v>
      </c>
      <c r="N1176" s="11" t="s">
        <v>42</v>
      </c>
      <c r="O1176" s="11" t="s">
        <v>1609</v>
      </c>
      <c r="P1176" s="11" t="s">
        <v>38</v>
      </c>
      <c r="Q1176" s="20">
        <v>40011.0</v>
      </c>
      <c r="R1176" s="17">
        <f t="shared" si="2"/>
        <v>16.02751529</v>
      </c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>
        <f t="shared" si="8"/>
        <v>4</v>
      </c>
      <c r="AF1176" s="19" t="b">
        <f t="shared" si="13"/>
        <v>0</v>
      </c>
      <c r="AG1176" s="9"/>
      <c r="AH1176" s="9"/>
      <c r="AI1176" s="9"/>
    </row>
    <row r="1177" ht="15.0" customHeight="1">
      <c r="A1177" s="11">
        <v>1176.0</v>
      </c>
      <c r="B1177" s="12">
        <f t="shared" si="193"/>
        <v>40009</v>
      </c>
      <c r="C1177" s="13">
        <v>2009.0</v>
      </c>
      <c r="D1177" s="11" t="s">
        <v>32</v>
      </c>
      <c r="E1177" s="11">
        <v>1.0</v>
      </c>
      <c r="F1177" s="21" t="s">
        <v>784</v>
      </c>
      <c r="G1177" s="15">
        <v>0.011295333876450158</v>
      </c>
      <c r="H1177" s="11" t="s">
        <v>33</v>
      </c>
      <c r="I1177" s="16">
        <v>19.592</v>
      </c>
      <c r="J1177" s="11" t="s">
        <v>373</v>
      </c>
      <c r="K1177" s="11" t="s">
        <v>83</v>
      </c>
      <c r="L1177" s="11" t="s">
        <v>48</v>
      </c>
      <c r="M1177" s="11" t="s">
        <v>66</v>
      </c>
      <c r="N1177" s="11" t="s">
        <v>170</v>
      </c>
      <c r="O1177" s="11" t="s">
        <v>785</v>
      </c>
      <c r="P1177" s="11" t="s">
        <v>31</v>
      </c>
      <c r="Q1177" s="20">
        <v>40011.0</v>
      </c>
      <c r="R1177" s="17">
        <f t="shared" si="2"/>
        <v>39.75383722</v>
      </c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>
        <f t="shared" si="8"/>
        <v>4</v>
      </c>
      <c r="AF1177" s="19" t="b">
        <f t="shared" si="13"/>
        <v>0</v>
      </c>
      <c r="AG1177" s="9"/>
      <c r="AH1177" s="9"/>
      <c r="AI1177" s="9"/>
    </row>
    <row r="1178" ht="15.0" customHeight="1">
      <c r="A1178" s="11">
        <v>1177.0</v>
      </c>
      <c r="B1178" s="12">
        <f t="shared" si="193"/>
        <v>40009</v>
      </c>
      <c r="C1178" s="13">
        <v>2009.0</v>
      </c>
      <c r="D1178" s="11" t="s">
        <v>32</v>
      </c>
      <c r="E1178" s="11">
        <v>8.0</v>
      </c>
      <c r="F1178" s="21" t="s">
        <v>336</v>
      </c>
      <c r="G1178" s="15">
        <v>0.03935091277890462</v>
      </c>
      <c r="H1178" s="11" t="s">
        <v>33</v>
      </c>
      <c r="I1178" s="16">
        <v>0.96</v>
      </c>
      <c r="J1178" s="11" t="s">
        <v>373</v>
      </c>
      <c r="K1178" s="11" t="s">
        <v>83</v>
      </c>
      <c r="L1178" s="11" t="s">
        <v>48</v>
      </c>
      <c r="M1178" s="11" t="s">
        <v>28</v>
      </c>
      <c r="N1178" s="11" t="s">
        <v>62</v>
      </c>
      <c r="O1178" s="11" t="s">
        <v>1540</v>
      </c>
      <c r="P1178" s="11" t="s">
        <v>58</v>
      </c>
      <c r="Q1178" s="20">
        <v>40011.0</v>
      </c>
      <c r="R1178" s="17">
        <f t="shared" si="2"/>
        <v>1.863659229</v>
      </c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>
        <f t="shared" si="8"/>
        <v>4</v>
      </c>
      <c r="AF1178" s="19" t="b">
        <f t="shared" si="13"/>
        <v>0</v>
      </c>
      <c r="AG1178" s="9"/>
      <c r="AH1178" s="9"/>
      <c r="AI1178" s="9"/>
    </row>
    <row r="1179" ht="15.0" customHeight="1">
      <c r="A1179" s="11">
        <v>1178.0</v>
      </c>
      <c r="B1179" s="12">
        <f t="shared" ref="B1179:B1186" si="194">DATE(2012,12,31)-1264</f>
        <v>40010</v>
      </c>
      <c r="C1179" s="13">
        <v>2009.0</v>
      </c>
      <c r="D1179" s="11" t="s">
        <v>32</v>
      </c>
      <c r="E1179" s="11">
        <v>37.0</v>
      </c>
      <c r="F1179" s="21" t="s">
        <v>629</v>
      </c>
      <c r="G1179" s="15">
        <v>0.041801047120419044</v>
      </c>
      <c r="H1179" s="11" t="s">
        <v>33</v>
      </c>
      <c r="I1179" s="16">
        <v>4.424</v>
      </c>
      <c r="J1179" s="11" t="s">
        <v>1211</v>
      </c>
      <c r="K1179" s="11" t="s">
        <v>35</v>
      </c>
      <c r="L1179" s="11" t="s">
        <v>48</v>
      </c>
      <c r="M1179" s="11" t="s">
        <v>66</v>
      </c>
      <c r="N1179" s="11" t="s">
        <v>67</v>
      </c>
      <c r="O1179" s="11" t="s">
        <v>1610</v>
      </c>
      <c r="P1179" s="11" t="s">
        <v>99</v>
      </c>
      <c r="Q1179" s="20">
        <v>40011.0</v>
      </c>
      <c r="R1179" s="17">
        <f t="shared" si="2"/>
        <v>11.47539066</v>
      </c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>
        <f t="shared" si="8"/>
        <v>4</v>
      </c>
      <c r="AF1179" s="19">
        <f t="shared" si="13"/>
        <v>2</v>
      </c>
      <c r="AG1179" s="9"/>
      <c r="AH1179" s="9"/>
      <c r="AI1179" s="9"/>
    </row>
    <row r="1180" ht="15.0" customHeight="1">
      <c r="A1180" s="11">
        <v>1179.0</v>
      </c>
      <c r="B1180" s="12">
        <f t="shared" si="194"/>
        <v>40010</v>
      </c>
      <c r="C1180" s="13">
        <v>2009.0</v>
      </c>
      <c r="D1180" s="11" t="s">
        <v>23</v>
      </c>
      <c r="E1180" s="11">
        <v>47.0</v>
      </c>
      <c r="F1180" s="21" t="s">
        <v>1611</v>
      </c>
      <c r="G1180" s="15">
        <v>0.04361535594483786</v>
      </c>
      <c r="H1180" s="11" t="s">
        <v>33</v>
      </c>
      <c r="I1180" s="16">
        <v>11.192</v>
      </c>
      <c r="J1180" s="11" t="s">
        <v>312</v>
      </c>
      <c r="K1180" s="11" t="s">
        <v>35</v>
      </c>
      <c r="L1180" s="11" t="s">
        <v>27</v>
      </c>
      <c r="M1180" s="11" t="s">
        <v>28</v>
      </c>
      <c r="N1180" s="11" t="s">
        <v>197</v>
      </c>
      <c r="O1180" s="11" t="s">
        <v>1612</v>
      </c>
      <c r="P1180" s="11" t="s">
        <v>75</v>
      </c>
      <c r="Q1180" s="20">
        <v>40012.0</v>
      </c>
      <c r="R1180" s="17">
        <f t="shared" si="2"/>
        <v>44.76645242</v>
      </c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>
        <f t="shared" si="8"/>
        <v>1</v>
      </c>
      <c r="AF1180" s="19">
        <f t="shared" si="13"/>
        <v>2</v>
      </c>
      <c r="AG1180" s="9"/>
      <c r="AH1180" s="9"/>
      <c r="AI1180" s="9"/>
    </row>
    <row r="1181" ht="15.0" customHeight="1">
      <c r="A1181" s="11">
        <v>1180.0</v>
      </c>
      <c r="B1181" s="12">
        <f t="shared" si="194"/>
        <v>40010</v>
      </c>
      <c r="C1181" s="13">
        <v>2009.0</v>
      </c>
      <c r="D1181" s="11" t="s">
        <v>23</v>
      </c>
      <c r="E1181" s="11">
        <v>18.0</v>
      </c>
      <c r="F1181" s="21" t="s">
        <v>254</v>
      </c>
      <c r="G1181" s="15">
        <v>0.0371552745950216</v>
      </c>
      <c r="H1181" s="11" t="s">
        <v>33</v>
      </c>
      <c r="I1181" s="16">
        <v>11.496</v>
      </c>
      <c r="J1181" s="11" t="s">
        <v>312</v>
      </c>
      <c r="K1181" s="11" t="s">
        <v>35</v>
      </c>
      <c r="L1181" s="11" t="s">
        <v>27</v>
      </c>
      <c r="M1181" s="11" t="s">
        <v>49</v>
      </c>
      <c r="N1181" s="11" t="s">
        <v>73</v>
      </c>
      <c r="O1181" s="11" t="s">
        <v>255</v>
      </c>
      <c r="P1181" s="11" t="s">
        <v>31</v>
      </c>
      <c r="Q1181" s="20">
        <v>40012.0</v>
      </c>
      <c r="R1181" s="17">
        <f t="shared" si="2"/>
        <v>9.054591798</v>
      </c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>
        <f t="shared" si="8"/>
        <v>1</v>
      </c>
      <c r="AF1181" s="19">
        <f t="shared" si="13"/>
        <v>2</v>
      </c>
      <c r="AG1181" s="9"/>
      <c r="AH1181" s="9"/>
      <c r="AI1181" s="9"/>
    </row>
    <row r="1182" ht="15.0" customHeight="1">
      <c r="A1182" s="11">
        <v>1181.0</v>
      </c>
      <c r="B1182" s="12">
        <f t="shared" si="194"/>
        <v>40010</v>
      </c>
      <c r="C1182" s="13">
        <v>2009.0</v>
      </c>
      <c r="D1182" s="11" t="s">
        <v>23</v>
      </c>
      <c r="E1182" s="11">
        <v>22.0</v>
      </c>
      <c r="F1182" s="21" t="s">
        <v>1091</v>
      </c>
      <c r="G1182" s="15">
        <v>0.05045372050816702</v>
      </c>
      <c r="H1182" s="11" t="s">
        <v>33</v>
      </c>
      <c r="I1182" s="16">
        <v>6.0</v>
      </c>
      <c r="J1182" s="11" t="s">
        <v>312</v>
      </c>
      <c r="K1182" s="11" t="s">
        <v>35</v>
      </c>
      <c r="L1182" s="11" t="s">
        <v>27</v>
      </c>
      <c r="M1182" s="11" t="s">
        <v>28</v>
      </c>
      <c r="N1182" s="11" t="s">
        <v>56</v>
      </c>
      <c r="O1182" s="11" t="s">
        <v>1451</v>
      </c>
      <c r="P1182" s="11" t="s">
        <v>38</v>
      </c>
      <c r="Q1182" s="20">
        <v>40012.0</v>
      </c>
      <c r="R1182" s="17">
        <f t="shared" si="2"/>
        <v>39.59607985</v>
      </c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>
        <f t="shared" si="8"/>
        <v>1</v>
      </c>
      <c r="AF1182" s="19">
        <f t="shared" si="13"/>
        <v>2</v>
      </c>
      <c r="AG1182" s="9"/>
      <c r="AH1182" s="9"/>
      <c r="AI1182" s="9"/>
    </row>
    <row r="1183" ht="15.0" customHeight="1">
      <c r="A1183" s="11">
        <v>1182.0</v>
      </c>
      <c r="B1183" s="12">
        <f t="shared" si="194"/>
        <v>40010</v>
      </c>
      <c r="C1183" s="13">
        <v>2009.0</v>
      </c>
      <c r="D1183" s="11" t="s">
        <v>23</v>
      </c>
      <c r="E1183" s="11">
        <v>45.0</v>
      </c>
      <c r="F1183" s="21" t="s">
        <v>254</v>
      </c>
      <c r="G1183" s="15">
        <v>0.02652863583235938</v>
      </c>
      <c r="H1183" s="11" t="s">
        <v>33</v>
      </c>
      <c r="I1183" s="16">
        <v>2.5120000000000005</v>
      </c>
      <c r="J1183" s="11" t="s">
        <v>312</v>
      </c>
      <c r="K1183" s="11" t="s">
        <v>35</v>
      </c>
      <c r="L1183" s="11" t="s">
        <v>27</v>
      </c>
      <c r="M1183" s="11" t="s">
        <v>28</v>
      </c>
      <c r="N1183" s="11" t="s">
        <v>442</v>
      </c>
      <c r="O1183" s="11" t="s">
        <v>1613</v>
      </c>
      <c r="P1183" s="11" t="s">
        <v>99</v>
      </c>
      <c r="Q1183" s="20">
        <v>40012.0</v>
      </c>
      <c r="R1183" s="17">
        <f t="shared" si="2"/>
        <v>15.46651303</v>
      </c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>
        <f t="shared" si="8"/>
        <v>1</v>
      </c>
      <c r="AF1183" s="19">
        <f t="shared" si="13"/>
        <v>2</v>
      </c>
      <c r="AG1183" s="9"/>
      <c r="AH1183" s="9"/>
      <c r="AI1183" s="9"/>
    </row>
    <row r="1184" ht="15.0" customHeight="1">
      <c r="A1184" s="11">
        <v>1183.0</v>
      </c>
      <c r="B1184" s="12">
        <f t="shared" si="194"/>
        <v>40010</v>
      </c>
      <c r="C1184" s="13">
        <v>2009.0</v>
      </c>
      <c r="D1184" s="11" t="s">
        <v>32</v>
      </c>
      <c r="E1184" s="11">
        <v>27.0</v>
      </c>
      <c r="F1184" s="21" t="s">
        <v>914</v>
      </c>
      <c r="G1184" s="15">
        <v>0.09506362672322377</v>
      </c>
      <c r="H1184" s="11" t="s">
        <v>33</v>
      </c>
      <c r="I1184" s="16">
        <v>10.384</v>
      </c>
      <c r="J1184" s="11" t="s">
        <v>1082</v>
      </c>
      <c r="K1184" s="11" t="s">
        <v>65</v>
      </c>
      <c r="L1184" s="11" t="s">
        <v>48</v>
      </c>
      <c r="M1184" s="11" t="s">
        <v>28</v>
      </c>
      <c r="N1184" s="11" t="s">
        <v>42</v>
      </c>
      <c r="O1184" s="11" t="s">
        <v>915</v>
      </c>
      <c r="P1184" s="11" t="s">
        <v>38</v>
      </c>
      <c r="Q1184" s="20">
        <v>40012.0</v>
      </c>
      <c r="R1184" s="17">
        <f t="shared" si="2"/>
        <v>64.89841695</v>
      </c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>
        <f t="shared" si="8"/>
        <v>4</v>
      </c>
      <c r="AF1184" s="19">
        <f t="shared" si="13"/>
        <v>5</v>
      </c>
      <c r="AG1184" s="9"/>
      <c r="AH1184" s="9"/>
      <c r="AI1184" s="9"/>
    </row>
    <row r="1185" ht="15.0" customHeight="1">
      <c r="A1185" s="11">
        <v>1184.0</v>
      </c>
      <c r="B1185" s="12">
        <f t="shared" si="194"/>
        <v>40010</v>
      </c>
      <c r="C1185" s="13">
        <v>2009.0</v>
      </c>
      <c r="D1185" s="11" t="s">
        <v>39</v>
      </c>
      <c r="E1185" s="11">
        <v>22.0</v>
      </c>
      <c r="F1185" s="21" t="s">
        <v>96</v>
      </c>
      <c r="G1185" s="15">
        <v>0.08569259962049348</v>
      </c>
      <c r="H1185" s="11" t="s">
        <v>33</v>
      </c>
      <c r="I1185" s="16">
        <v>1.592</v>
      </c>
      <c r="J1185" s="11" t="s">
        <v>1482</v>
      </c>
      <c r="K1185" s="11" t="s">
        <v>61</v>
      </c>
      <c r="L1185" s="11" t="s">
        <v>36</v>
      </c>
      <c r="M1185" s="11" t="s">
        <v>66</v>
      </c>
      <c r="N1185" s="11" t="s">
        <v>67</v>
      </c>
      <c r="O1185" s="11" t="s">
        <v>98</v>
      </c>
      <c r="P1185" s="11" t="s">
        <v>99</v>
      </c>
      <c r="Q1185" s="20">
        <v>40012.0</v>
      </c>
      <c r="R1185" s="17">
        <f t="shared" si="2"/>
        <v>53.67715886</v>
      </c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>
        <f t="shared" si="8"/>
        <v>2</v>
      </c>
      <c r="AF1185" s="19">
        <f t="shared" si="13"/>
        <v>4</v>
      </c>
      <c r="AG1185" s="9"/>
      <c r="AH1185" s="9"/>
      <c r="AI1185" s="9"/>
    </row>
    <row r="1186" ht="15.0" customHeight="1">
      <c r="A1186" s="11">
        <v>1185.0</v>
      </c>
      <c r="B1186" s="12">
        <f t="shared" si="194"/>
        <v>40010</v>
      </c>
      <c r="C1186" s="13">
        <v>2009.0</v>
      </c>
      <c r="D1186" s="11" t="s">
        <v>39</v>
      </c>
      <c r="E1186" s="11">
        <v>45.0</v>
      </c>
      <c r="F1186" s="21" t="s">
        <v>178</v>
      </c>
      <c r="G1186" s="15">
        <v>0.07564451361867684</v>
      </c>
      <c r="H1186" s="11" t="s">
        <v>24</v>
      </c>
      <c r="I1186" s="16">
        <v>3.9920000000000004</v>
      </c>
      <c r="J1186" s="11" t="s">
        <v>1482</v>
      </c>
      <c r="K1186" s="11" t="s">
        <v>61</v>
      </c>
      <c r="L1186" s="11" t="s">
        <v>36</v>
      </c>
      <c r="M1186" s="11" t="s">
        <v>66</v>
      </c>
      <c r="N1186" s="11" t="s">
        <v>80</v>
      </c>
      <c r="O1186" s="11" t="s">
        <v>1614</v>
      </c>
      <c r="P1186" s="11" t="s">
        <v>38</v>
      </c>
      <c r="Q1186" s="20">
        <v>40012.0</v>
      </c>
      <c r="R1186" s="17">
        <f t="shared" si="2"/>
        <v>224.625778</v>
      </c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>
        <f t="shared" si="8"/>
        <v>2</v>
      </c>
      <c r="AF1186" s="19">
        <f t="shared" si="13"/>
        <v>4</v>
      </c>
      <c r="AG1186" s="9"/>
      <c r="AH1186" s="9"/>
      <c r="AI1186" s="9"/>
    </row>
    <row r="1187" ht="15.0" customHeight="1">
      <c r="A1187" s="11">
        <v>1186.0</v>
      </c>
      <c r="B1187" s="12">
        <f t="shared" ref="B1187:B1196" si="195">DATE(2012,12,31)-1263</f>
        <v>40011</v>
      </c>
      <c r="C1187" s="13">
        <v>2009.0</v>
      </c>
      <c r="D1187" s="11" t="s">
        <v>102</v>
      </c>
      <c r="E1187" s="11">
        <v>47.0</v>
      </c>
      <c r="F1187" s="21" t="s">
        <v>352</v>
      </c>
      <c r="G1187" s="15">
        <v>0.023187546330615358</v>
      </c>
      <c r="H1187" s="11" t="s">
        <v>24</v>
      </c>
      <c r="I1187" s="16">
        <v>15.991999999999999</v>
      </c>
      <c r="J1187" s="11" t="s">
        <v>106</v>
      </c>
      <c r="K1187" s="11" t="s">
        <v>35</v>
      </c>
      <c r="L1187" s="11" t="s">
        <v>48</v>
      </c>
      <c r="M1187" s="11" t="s">
        <v>28</v>
      </c>
      <c r="N1187" s="11" t="s">
        <v>188</v>
      </c>
      <c r="O1187" s="11" t="s">
        <v>354</v>
      </c>
      <c r="P1187" s="11" t="s">
        <v>38</v>
      </c>
      <c r="Q1187" s="20">
        <v>40012.0</v>
      </c>
      <c r="R1187" s="17">
        <f t="shared" si="2"/>
        <v>33.61016291</v>
      </c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>
        <f t="shared" si="8"/>
        <v>4</v>
      </c>
      <c r="AF1187" s="19">
        <f t="shared" si="13"/>
        <v>2</v>
      </c>
      <c r="AG1187" s="9"/>
      <c r="AH1187" s="9"/>
      <c r="AI1187" s="9"/>
    </row>
    <row r="1188" ht="15.0" customHeight="1">
      <c r="A1188" s="11">
        <v>1187.0</v>
      </c>
      <c r="B1188" s="12">
        <f t="shared" si="195"/>
        <v>40011</v>
      </c>
      <c r="C1188" s="13">
        <v>2009.0</v>
      </c>
      <c r="D1188" s="11" t="s">
        <v>102</v>
      </c>
      <c r="E1188" s="11">
        <v>42.0</v>
      </c>
      <c r="F1188" s="21" t="s">
        <v>389</v>
      </c>
      <c r="G1188" s="15">
        <v>0.03196875297704097</v>
      </c>
      <c r="H1188" s="11" t="s">
        <v>45</v>
      </c>
      <c r="I1188" s="16">
        <v>44.912000000000006</v>
      </c>
      <c r="J1188" s="11" t="s">
        <v>485</v>
      </c>
      <c r="K1188" s="11" t="s">
        <v>47</v>
      </c>
      <c r="L1188" s="11" t="s">
        <v>41</v>
      </c>
      <c r="M1188" s="11" t="s">
        <v>66</v>
      </c>
      <c r="N1188" s="11" t="s">
        <v>69</v>
      </c>
      <c r="O1188" s="11" t="s">
        <v>390</v>
      </c>
      <c r="P1188" s="11" t="s">
        <v>87</v>
      </c>
      <c r="Q1188" s="20">
        <v>40012.0</v>
      </c>
      <c r="R1188" s="17">
        <f t="shared" si="2"/>
        <v>162.4240269</v>
      </c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>
        <f t="shared" si="8"/>
        <v>3</v>
      </c>
      <c r="AF1188" s="19">
        <f t="shared" si="13"/>
        <v>3</v>
      </c>
      <c r="AG1188" s="9"/>
      <c r="AH1188" s="9"/>
      <c r="AI1188" s="9"/>
    </row>
    <row r="1189" ht="15.0" customHeight="1">
      <c r="A1189" s="11">
        <v>1188.0</v>
      </c>
      <c r="B1189" s="12">
        <f t="shared" si="195"/>
        <v>40011</v>
      </c>
      <c r="C1189" s="13">
        <v>2009.0</v>
      </c>
      <c r="D1189" s="11" t="s">
        <v>102</v>
      </c>
      <c r="E1189" s="11">
        <v>9.0</v>
      </c>
      <c r="F1189" s="21" t="s">
        <v>1615</v>
      </c>
      <c r="G1189" s="15">
        <v>0.048716592173675</v>
      </c>
      <c r="H1189" s="11" t="s">
        <v>33</v>
      </c>
      <c r="I1189" s="16">
        <v>1.592</v>
      </c>
      <c r="J1189" s="11" t="s">
        <v>485</v>
      </c>
      <c r="K1189" s="11" t="s">
        <v>47</v>
      </c>
      <c r="L1189" s="11" t="s">
        <v>41</v>
      </c>
      <c r="M1189" s="11" t="s">
        <v>66</v>
      </c>
      <c r="N1189" s="11" t="s">
        <v>67</v>
      </c>
      <c r="O1189" s="11" t="s">
        <v>1616</v>
      </c>
      <c r="P1189" s="11" t="s">
        <v>99</v>
      </c>
      <c r="Q1189" s="20">
        <v>40013.0</v>
      </c>
      <c r="R1189" s="17">
        <f t="shared" si="2"/>
        <v>50.80614425</v>
      </c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>
        <f t="shared" si="8"/>
        <v>3</v>
      </c>
      <c r="AF1189" s="19">
        <f t="shared" si="13"/>
        <v>3</v>
      </c>
      <c r="AG1189" s="9"/>
      <c r="AH1189" s="9"/>
      <c r="AI1189" s="9"/>
    </row>
    <row r="1190" ht="15.0" customHeight="1">
      <c r="A1190" s="11">
        <v>1189.0</v>
      </c>
      <c r="B1190" s="12">
        <f t="shared" si="195"/>
        <v>40011</v>
      </c>
      <c r="C1190" s="13">
        <v>2009.0</v>
      </c>
      <c r="D1190" s="11" t="s">
        <v>23</v>
      </c>
      <c r="E1190" s="11">
        <v>42.0</v>
      </c>
      <c r="F1190" s="21" t="s">
        <v>119</v>
      </c>
      <c r="G1190" s="15">
        <v>0.044875621890547314</v>
      </c>
      <c r="H1190" s="11" t="s">
        <v>33</v>
      </c>
      <c r="I1190" s="16">
        <v>1.192</v>
      </c>
      <c r="J1190" s="11" t="s">
        <v>1373</v>
      </c>
      <c r="K1190" s="11" t="s">
        <v>47</v>
      </c>
      <c r="L1190" s="11" t="s">
        <v>27</v>
      </c>
      <c r="M1190" s="11" t="s">
        <v>28</v>
      </c>
      <c r="N1190" s="11" t="s">
        <v>42</v>
      </c>
      <c r="O1190" s="11" t="s">
        <v>1129</v>
      </c>
      <c r="P1190" s="11" t="s">
        <v>38</v>
      </c>
      <c r="Q1190" s="20">
        <v>40013.0</v>
      </c>
      <c r="R1190" s="17">
        <f t="shared" si="2"/>
        <v>3.446088756</v>
      </c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>
        <f t="shared" si="8"/>
        <v>1</v>
      </c>
      <c r="AF1190" s="19">
        <f t="shared" si="13"/>
        <v>3</v>
      </c>
      <c r="AG1190" s="9"/>
      <c r="AH1190" s="9"/>
      <c r="AI1190" s="9"/>
    </row>
    <row r="1191" ht="15.0" customHeight="1">
      <c r="A1191" s="11">
        <v>1190.0</v>
      </c>
      <c r="B1191" s="12">
        <f t="shared" si="195"/>
        <v>40011</v>
      </c>
      <c r="C1191" s="13">
        <v>2009.0</v>
      </c>
      <c r="D1191" s="11" t="s">
        <v>23</v>
      </c>
      <c r="E1191" s="11">
        <v>50.0</v>
      </c>
      <c r="F1191" s="21" t="s">
        <v>1015</v>
      </c>
      <c r="G1191" s="15">
        <v>0.07289145052833816</v>
      </c>
      <c r="H1191" s="11" t="s">
        <v>33</v>
      </c>
      <c r="I1191" s="16">
        <v>4.5360000000000005</v>
      </c>
      <c r="J1191" s="11" t="s">
        <v>1373</v>
      </c>
      <c r="K1191" s="11" t="s">
        <v>47</v>
      </c>
      <c r="L1191" s="11" t="s">
        <v>27</v>
      </c>
      <c r="M1191" s="11" t="s">
        <v>28</v>
      </c>
      <c r="N1191" s="11" t="s">
        <v>56</v>
      </c>
      <c r="O1191" s="11" t="s">
        <v>1617</v>
      </c>
      <c r="P1191" s="11" t="s">
        <v>38</v>
      </c>
      <c r="Q1191" s="20">
        <v>40013.0</v>
      </c>
      <c r="R1191" s="17">
        <f t="shared" si="2"/>
        <v>21.10469902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>
        <f t="shared" si="8"/>
        <v>1</v>
      </c>
      <c r="AF1191" s="19">
        <f t="shared" si="13"/>
        <v>3</v>
      </c>
      <c r="AG1191" s="9"/>
      <c r="AH1191" s="9"/>
      <c r="AI1191" s="9"/>
    </row>
    <row r="1192" ht="15.0" customHeight="1">
      <c r="A1192" s="11">
        <v>1191.0</v>
      </c>
      <c r="B1192" s="12">
        <f t="shared" si="195"/>
        <v>40011</v>
      </c>
      <c r="C1192" s="13">
        <v>2009.0</v>
      </c>
      <c r="D1192" s="11" t="s">
        <v>39</v>
      </c>
      <c r="E1192" s="11">
        <v>21.0</v>
      </c>
      <c r="F1192" s="21" t="s">
        <v>126</v>
      </c>
      <c r="G1192" s="15">
        <v>0.06768953068592046</v>
      </c>
      <c r="H1192" s="11" t="s">
        <v>33</v>
      </c>
      <c r="I1192" s="16">
        <v>0.4</v>
      </c>
      <c r="J1192" s="11" t="s">
        <v>1618</v>
      </c>
      <c r="K1192" s="11" t="s">
        <v>65</v>
      </c>
      <c r="L1192" s="11" t="s">
        <v>41</v>
      </c>
      <c r="M1192" s="11" t="s">
        <v>28</v>
      </c>
      <c r="N1192" s="11" t="s">
        <v>188</v>
      </c>
      <c r="O1192" s="11" t="s">
        <v>410</v>
      </c>
      <c r="P1192" s="11" t="s">
        <v>38</v>
      </c>
      <c r="Q1192" s="20">
        <v>40013.0</v>
      </c>
      <c r="R1192" s="17">
        <f t="shared" si="2"/>
        <v>6.99232852</v>
      </c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>
        <f t="shared" si="8"/>
        <v>3</v>
      </c>
      <c r="AF1192" s="19">
        <f t="shared" si="13"/>
        <v>5</v>
      </c>
      <c r="AG1192" s="9"/>
      <c r="AH1192" s="9"/>
      <c r="AI1192" s="9"/>
    </row>
    <row r="1193" ht="15.0" customHeight="1">
      <c r="A1193" s="11">
        <v>1192.0</v>
      </c>
      <c r="B1193" s="12">
        <f t="shared" si="195"/>
        <v>40011</v>
      </c>
      <c r="C1193" s="13">
        <v>2009.0</v>
      </c>
      <c r="D1193" s="11" t="s">
        <v>44</v>
      </c>
      <c r="E1193" s="11">
        <v>31.0</v>
      </c>
      <c r="F1193" s="21" t="s">
        <v>119</v>
      </c>
      <c r="G1193" s="15">
        <v>0.08443037974683541</v>
      </c>
      <c r="H1193" s="11" t="s">
        <v>33</v>
      </c>
      <c r="I1193" s="16">
        <v>2.064</v>
      </c>
      <c r="J1193" s="11" t="s">
        <v>1578</v>
      </c>
      <c r="K1193" s="11" t="s">
        <v>26</v>
      </c>
      <c r="L1193" s="11" t="s">
        <v>27</v>
      </c>
      <c r="M1193" s="11" t="s">
        <v>28</v>
      </c>
      <c r="N1193" s="11" t="s">
        <v>216</v>
      </c>
      <c r="O1193" s="11" t="s">
        <v>1619</v>
      </c>
      <c r="P1193" s="11" t="s">
        <v>58</v>
      </c>
      <c r="Q1193" s="20">
        <v>40013.0</v>
      </c>
      <c r="R1193" s="17">
        <f t="shared" si="2"/>
        <v>4.885479494</v>
      </c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>
        <f t="shared" si="8"/>
        <v>1</v>
      </c>
      <c r="AF1193" s="19">
        <f t="shared" si="13"/>
        <v>1</v>
      </c>
      <c r="AG1193" s="9"/>
      <c r="AH1193" s="9"/>
      <c r="AI1193" s="9"/>
    </row>
    <row r="1194" ht="15.0" customHeight="1">
      <c r="A1194" s="11">
        <v>1193.0</v>
      </c>
      <c r="B1194" s="12">
        <f t="shared" si="195"/>
        <v>40011</v>
      </c>
      <c r="C1194" s="13">
        <v>2009.0</v>
      </c>
      <c r="D1194" s="11" t="s">
        <v>102</v>
      </c>
      <c r="E1194" s="11">
        <v>50.0</v>
      </c>
      <c r="F1194" s="21" t="s">
        <v>147</v>
      </c>
      <c r="G1194" s="15">
        <v>0.10485397784491432</v>
      </c>
      <c r="H1194" s="11" t="s">
        <v>33</v>
      </c>
      <c r="I1194" s="16">
        <v>3.8880000000000003</v>
      </c>
      <c r="J1194" s="11" t="s">
        <v>82</v>
      </c>
      <c r="K1194" s="11" t="s">
        <v>83</v>
      </c>
      <c r="L1194" s="11" t="s">
        <v>27</v>
      </c>
      <c r="M1194" s="11" t="s">
        <v>49</v>
      </c>
      <c r="N1194" s="11" t="s">
        <v>73</v>
      </c>
      <c r="O1194" s="11" t="s">
        <v>1119</v>
      </c>
      <c r="P1194" s="11" t="s">
        <v>38</v>
      </c>
      <c r="Q1194" s="20">
        <v>40013.0</v>
      </c>
      <c r="R1194" s="17">
        <f t="shared" si="2"/>
        <v>9.320260383</v>
      </c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>
        <f t="shared" si="8"/>
        <v>1</v>
      </c>
      <c r="AF1194" s="19" t="b">
        <f t="shared" si="13"/>
        <v>0</v>
      </c>
      <c r="AG1194" s="9"/>
      <c r="AH1194" s="9"/>
      <c r="AI1194" s="9"/>
    </row>
    <row r="1195" ht="15.0" customHeight="1">
      <c r="A1195" s="11">
        <v>1194.0</v>
      </c>
      <c r="B1195" s="12">
        <f t="shared" si="195"/>
        <v>40011</v>
      </c>
      <c r="C1195" s="13">
        <v>2009.0</v>
      </c>
      <c r="D1195" s="11" t="s">
        <v>23</v>
      </c>
      <c r="E1195" s="11">
        <v>43.0</v>
      </c>
      <c r="F1195" s="21" t="s">
        <v>96</v>
      </c>
      <c r="G1195" s="15">
        <v>0.08542109199700812</v>
      </c>
      <c r="H1195" s="11" t="s">
        <v>33</v>
      </c>
      <c r="I1195" s="16">
        <v>1.592</v>
      </c>
      <c r="J1195" s="11" t="s">
        <v>1620</v>
      </c>
      <c r="K1195" s="11" t="s">
        <v>65</v>
      </c>
      <c r="L1195" s="11" t="s">
        <v>48</v>
      </c>
      <c r="M1195" s="11" t="s">
        <v>66</v>
      </c>
      <c r="N1195" s="11" t="s">
        <v>67</v>
      </c>
      <c r="O1195" s="11" t="s">
        <v>98</v>
      </c>
      <c r="P1195" s="11" t="s">
        <v>99</v>
      </c>
      <c r="Q1195" s="20">
        <v>40013.0</v>
      </c>
      <c r="R1195" s="17">
        <f t="shared" si="2"/>
        <v>104.4522279</v>
      </c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>
        <f t="shared" si="8"/>
        <v>4</v>
      </c>
      <c r="AF1195" s="19">
        <f t="shared" si="13"/>
        <v>5</v>
      </c>
      <c r="AG1195" s="9"/>
      <c r="AH1195" s="9"/>
      <c r="AI1195" s="9"/>
    </row>
    <row r="1196" ht="15.0" customHeight="1">
      <c r="A1196" s="11">
        <v>1195.0</v>
      </c>
      <c r="B1196" s="12">
        <f t="shared" si="195"/>
        <v>40011</v>
      </c>
      <c r="C1196" s="13">
        <v>2009.0</v>
      </c>
      <c r="D1196" s="11" t="s">
        <v>102</v>
      </c>
      <c r="E1196" s="11">
        <v>32.0</v>
      </c>
      <c r="F1196" s="21" t="s">
        <v>676</v>
      </c>
      <c r="G1196" s="15">
        <v>0.06234009360374429</v>
      </c>
      <c r="H1196" s="11" t="s">
        <v>33</v>
      </c>
      <c r="I1196" s="16">
        <v>1.1119999999999999</v>
      </c>
      <c r="J1196" s="11" t="s">
        <v>1621</v>
      </c>
      <c r="K1196" s="11" t="s">
        <v>35</v>
      </c>
      <c r="L1196" s="11" t="s">
        <v>36</v>
      </c>
      <c r="M1196" s="11" t="s">
        <v>28</v>
      </c>
      <c r="N1196" s="11" t="s">
        <v>236</v>
      </c>
      <c r="O1196" s="11" t="s">
        <v>677</v>
      </c>
      <c r="P1196" s="11" t="s">
        <v>38</v>
      </c>
      <c r="Q1196" s="20">
        <v>40014.0</v>
      </c>
      <c r="R1196" s="17">
        <f t="shared" si="2"/>
        <v>11.24066696</v>
      </c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>
        <f t="shared" si="8"/>
        <v>2</v>
      </c>
      <c r="AF1196" s="19">
        <f t="shared" si="13"/>
        <v>2</v>
      </c>
      <c r="AG1196" s="9"/>
      <c r="AH1196" s="9"/>
      <c r="AI1196" s="9"/>
    </row>
    <row r="1197" ht="15.0" customHeight="1">
      <c r="A1197" s="11">
        <v>1196.0</v>
      </c>
      <c r="B1197" s="12">
        <f t="shared" ref="B1197:B1204" si="196">DATE(2012,12,31)-1260</f>
        <v>40014</v>
      </c>
      <c r="C1197" s="13">
        <v>2009.0</v>
      </c>
      <c r="D1197" s="11" t="s">
        <v>23</v>
      </c>
      <c r="E1197" s="11">
        <v>34.0</v>
      </c>
      <c r="F1197" s="21" t="s">
        <v>158</v>
      </c>
      <c r="G1197" s="15">
        <v>0.036819360414865956</v>
      </c>
      <c r="H1197" s="11" t="s">
        <v>33</v>
      </c>
      <c r="I1197" s="16">
        <v>5.28</v>
      </c>
      <c r="J1197" s="11" t="s">
        <v>1303</v>
      </c>
      <c r="K1197" s="11" t="s">
        <v>61</v>
      </c>
      <c r="L1197" s="11" t="s">
        <v>41</v>
      </c>
      <c r="M1197" s="11" t="s">
        <v>28</v>
      </c>
      <c r="N1197" s="11" t="s">
        <v>56</v>
      </c>
      <c r="O1197" s="11" t="s">
        <v>543</v>
      </c>
      <c r="P1197" s="11" t="s">
        <v>38</v>
      </c>
      <c r="Q1197" s="20">
        <v>40015.0</v>
      </c>
      <c r="R1197" s="17">
        <f t="shared" si="2"/>
        <v>8.206299049</v>
      </c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>
        <f t="shared" si="8"/>
        <v>3</v>
      </c>
      <c r="AF1197" s="19">
        <f t="shared" si="13"/>
        <v>4</v>
      </c>
      <c r="AG1197" s="9"/>
      <c r="AH1197" s="9"/>
      <c r="AI1197" s="9"/>
    </row>
    <row r="1198" ht="15.0" customHeight="1">
      <c r="A1198" s="11">
        <v>1197.0</v>
      </c>
      <c r="B1198" s="12">
        <f t="shared" si="196"/>
        <v>40014</v>
      </c>
      <c r="C1198" s="13">
        <v>2009.0</v>
      </c>
      <c r="D1198" s="11" t="s">
        <v>23</v>
      </c>
      <c r="E1198" s="11">
        <v>16.0</v>
      </c>
      <c r="F1198" s="21" t="s">
        <v>1461</v>
      </c>
      <c r="G1198" s="15">
        <v>0.044516351118760615</v>
      </c>
      <c r="H1198" s="11" t="s">
        <v>33</v>
      </c>
      <c r="I1198" s="16">
        <v>3.968</v>
      </c>
      <c r="J1198" s="11" t="s">
        <v>1303</v>
      </c>
      <c r="K1198" s="11" t="s">
        <v>61</v>
      </c>
      <c r="L1198" s="11" t="s">
        <v>41</v>
      </c>
      <c r="M1198" s="11" t="s">
        <v>28</v>
      </c>
      <c r="N1198" s="11" t="s">
        <v>29</v>
      </c>
      <c r="O1198" s="11" t="s">
        <v>1463</v>
      </c>
      <c r="P1198" s="11" t="s">
        <v>38</v>
      </c>
      <c r="Q1198" s="20">
        <v>40015.0</v>
      </c>
      <c r="R1198" s="17">
        <f t="shared" si="2"/>
        <v>12.35631455</v>
      </c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>
        <f t="shared" si="8"/>
        <v>3</v>
      </c>
      <c r="AF1198" s="19">
        <f t="shared" si="13"/>
        <v>4</v>
      </c>
      <c r="AG1198" s="9"/>
      <c r="AH1198" s="9"/>
      <c r="AI1198" s="9"/>
    </row>
    <row r="1199" ht="15.0" customHeight="1">
      <c r="A1199" s="11">
        <v>1198.0</v>
      </c>
      <c r="B1199" s="12">
        <f t="shared" si="196"/>
        <v>40014</v>
      </c>
      <c r="C1199" s="13">
        <v>2009.0</v>
      </c>
      <c r="D1199" s="11" t="s">
        <v>23</v>
      </c>
      <c r="E1199" s="11">
        <v>6.0</v>
      </c>
      <c r="F1199" s="21" t="s">
        <v>1428</v>
      </c>
      <c r="G1199" s="15">
        <v>0.029701471689967295</v>
      </c>
      <c r="H1199" s="11" t="s">
        <v>33</v>
      </c>
      <c r="I1199" s="16">
        <v>15.991999999999999</v>
      </c>
      <c r="J1199" s="11" t="s">
        <v>1622</v>
      </c>
      <c r="K1199" s="11" t="s">
        <v>65</v>
      </c>
      <c r="L1199" s="11" t="s">
        <v>41</v>
      </c>
      <c r="M1199" s="11" t="s">
        <v>28</v>
      </c>
      <c r="N1199" s="11" t="s">
        <v>42</v>
      </c>
      <c r="O1199" s="11" t="s">
        <v>1429</v>
      </c>
      <c r="P1199" s="11" t="s">
        <v>38</v>
      </c>
      <c r="Q1199" s="20">
        <v>40015.0</v>
      </c>
      <c r="R1199" s="17">
        <f t="shared" si="2"/>
        <v>226.9605882</v>
      </c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>
        <f t="shared" si="8"/>
        <v>3</v>
      </c>
      <c r="AF1199" s="19">
        <f t="shared" si="13"/>
        <v>5</v>
      </c>
      <c r="AG1199" s="9"/>
      <c r="AH1199" s="9"/>
      <c r="AI1199" s="9"/>
    </row>
    <row r="1200" ht="15.0" customHeight="1">
      <c r="A1200" s="11">
        <v>1199.0</v>
      </c>
      <c r="B1200" s="12">
        <f t="shared" si="196"/>
        <v>40014</v>
      </c>
      <c r="C1200" s="13">
        <v>2009.0</v>
      </c>
      <c r="D1200" s="11" t="s">
        <v>23</v>
      </c>
      <c r="E1200" s="11">
        <v>1.0</v>
      </c>
      <c r="F1200" s="21" t="s">
        <v>616</v>
      </c>
      <c r="G1200" s="15">
        <v>0.06676994577846608</v>
      </c>
      <c r="H1200" s="11" t="s">
        <v>45</v>
      </c>
      <c r="I1200" s="16">
        <v>11.76</v>
      </c>
      <c r="J1200" s="11" t="s">
        <v>1622</v>
      </c>
      <c r="K1200" s="11" t="s">
        <v>65</v>
      </c>
      <c r="L1200" s="11" t="s">
        <v>41</v>
      </c>
      <c r="M1200" s="11" t="s">
        <v>66</v>
      </c>
      <c r="N1200" s="11" t="s">
        <v>69</v>
      </c>
      <c r="O1200" s="11" t="s">
        <v>618</v>
      </c>
      <c r="P1200" s="11" t="s">
        <v>52</v>
      </c>
      <c r="Q1200" s="20">
        <v>40015.0</v>
      </c>
      <c r="R1200" s="17">
        <f t="shared" si="2"/>
        <v>136.7555321</v>
      </c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>
        <f t="shared" si="8"/>
        <v>3</v>
      </c>
      <c r="AF1200" s="19">
        <f t="shared" si="13"/>
        <v>5</v>
      </c>
      <c r="AG1200" s="9"/>
      <c r="AH1200" s="9"/>
      <c r="AI1200" s="9"/>
    </row>
    <row r="1201" ht="15.0" customHeight="1">
      <c r="A1201" s="11">
        <v>1200.0</v>
      </c>
      <c r="B1201" s="12">
        <f t="shared" si="196"/>
        <v>40014</v>
      </c>
      <c r="C1201" s="13">
        <v>2009.0</v>
      </c>
      <c r="D1201" s="11" t="s">
        <v>102</v>
      </c>
      <c r="E1201" s="11">
        <v>26.0</v>
      </c>
      <c r="F1201" s="21" t="s">
        <v>128</v>
      </c>
      <c r="G1201" s="15">
        <v>0.08364245997373493</v>
      </c>
      <c r="H1201" s="11" t="s">
        <v>24</v>
      </c>
      <c r="I1201" s="16">
        <v>6.152000000000001</v>
      </c>
      <c r="J1201" s="11" t="s">
        <v>719</v>
      </c>
      <c r="K1201" s="11" t="s">
        <v>61</v>
      </c>
      <c r="L1201" s="11" t="s">
        <v>48</v>
      </c>
      <c r="M1201" s="11" t="s">
        <v>66</v>
      </c>
      <c r="N1201" s="11" t="s">
        <v>80</v>
      </c>
      <c r="O1201" s="11" t="s">
        <v>1100</v>
      </c>
      <c r="P1201" s="11" t="s">
        <v>38</v>
      </c>
      <c r="Q1201" s="20">
        <v>40016.0</v>
      </c>
      <c r="R1201" s="17">
        <f t="shared" si="2"/>
        <v>274.3097969</v>
      </c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>
        <f t="shared" si="8"/>
        <v>4</v>
      </c>
      <c r="AF1201" s="19">
        <f t="shared" si="13"/>
        <v>4</v>
      </c>
      <c r="AG1201" s="9"/>
      <c r="AH1201" s="9"/>
      <c r="AI1201" s="9"/>
    </row>
    <row r="1202" ht="15.0" customHeight="1">
      <c r="A1202" s="11">
        <v>1201.0</v>
      </c>
      <c r="B1202" s="12">
        <f t="shared" si="196"/>
        <v>40014</v>
      </c>
      <c r="C1202" s="13">
        <v>2009.0</v>
      </c>
      <c r="D1202" s="11" t="s">
        <v>23</v>
      </c>
      <c r="E1202" s="11">
        <v>30.0</v>
      </c>
      <c r="F1202" s="21" t="s">
        <v>638</v>
      </c>
      <c r="G1202" s="15">
        <v>0.02488809310653537</v>
      </c>
      <c r="H1202" s="11" t="s">
        <v>33</v>
      </c>
      <c r="I1202" s="16">
        <v>4.84</v>
      </c>
      <c r="J1202" s="11" t="s">
        <v>1623</v>
      </c>
      <c r="K1202" s="11" t="s">
        <v>61</v>
      </c>
      <c r="L1202" s="11" t="s">
        <v>48</v>
      </c>
      <c r="M1202" s="11" t="s">
        <v>28</v>
      </c>
      <c r="N1202" s="11" t="s">
        <v>42</v>
      </c>
      <c r="O1202" s="11" t="s">
        <v>640</v>
      </c>
      <c r="P1202" s="11" t="s">
        <v>38</v>
      </c>
      <c r="Q1202" s="20">
        <v>40016.0</v>
      </c>
      <c r="R1202" s="17">
        <f t="shared" si="2"/>
        <v>5.421622202</v>
      </c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>
        <f t="shared" si="8"/>
        <v>4</v>
      </c>
      <c r="AF1202" s="19">
        <f t="shared" si="13"/>
        <v>4</v>
      </c>
      <c r="AG1202" s="9"/>
      <c r="AH1202" s="9"/>
      <c r="AI1202" s="9"/>
    </row>
    <row r="1203" ht="15.0" customHeight="1">
      <c r="A1203" s="11">
        <v>1202.0</v>
      </c>
      <c r="B1203" s="12">
        <f t="shared" si="196"/>
        <v>40014</v>
      </c>
      <c r="C1203" s="13">
        <v>2009.0</v>
      </c>
      <c r="D1203" s="11" t="s">
        <v>23</v>
      </c>
      <c r="E1203" s="11">
        <v>21.0</v>
      </c>
      <c r="F1203" s="21" t="s">
        <v>1247</v>
      </c>
      <c r="G1203" s="15">
        <v>0.0667036780013877</v>
      </c>
      <c r="H1203" s="11" t="s">
        <v>33</v>
      </c>
      <c r="I1203" s="16">
        <v>4.288</v>
      </c>
      <c r="J1203" s="11" t="s">
        <v>1277</v>
      </c>
      <c r="K1203" s="11" t="s">
        <v>65</v>
      </c>
      <c r="L1203" s="11" t="s">
        <v>41</v>
      </c>
      <c r="M1203" s="11" t="s">
        <v>28</v>
      </c>
      <c r="N1203" s="11" t="s">
        <v>42</v>
      </c>
      <c r="O1203" s="11" t="s">
        <v>1624</v>
      </c>
      <c r="P1203" s="11" t="s">
        <v>38</v>
      </c>
      <c r="Q1203" s="20">
        <v>40016.0</v>
      </c>
      <c r="R1203" s="17">
        <f t="shared" si="2"/>
        <v>8.970844247</v>
      </c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>
        <f t="shared" si="8"/>
        <v>3</v>
      </c>
      <c r="AF1203" s="19">
        <f t="shared" si="13"/>
        <v>5</v>
      </c>
      <c r="AG1203" s="9"/>
      <c r="AH1203" s="9"/>
      <c r="AI1203" s="9"/>
    </row>
    <row r="1204" ht="15.0" customHeight="1">
      <c r="A1204" s="11">
        <v>1203.0</v>
      </c>
      <c r="B1204" s="12">
        <f t="shared" si="196"/>
        <v>40014</v>
      </c>
      <c r="C1204" s="13">
        <v>2009.0</v>
      </c>
      <c r="D1204" s="11" t="s">
        <v>23</v>
      </c>
      <c r="E1204" s="11">
        <v>45.0</v>
      </c>
      <c r="F1204" s="21" t="s">
        <v>523</v>
      </c>
      <c r="G1204" s="15">
        <v>0.06414886285320463</v>
      </c>
      <c r="H1204" s="11" t="s">
        <v>33</v>
      </c>
      <c r="I1204" s="16">
        <v>0.792</v>
      </c>
      <c r="J1204" s="11" t="s">
        <v>1277</v>
      </c>
      <c r="K1204" s="11" t="s">
        <v>65</v>
      </c>
      <c r="L1204" s="11" t="s">
        <v>41</v>
      </c>
      <c r="M1204" s="11" t="s">
        <v>28</v>
      </c>
      <c r="N1204" s="11" t="s">
        <v>188</v>
      </c>
      <c r="O1204" s="11" t="s">
        <v>1495</v>
      </c>
      <c r="P1204" s="11" t="s">
        <v>38</v>
      </c>
      <c r="Q1204" s="20">
        <v>40016.0</v>
      </c>
      <c r="R1204" s="17">
        <f t="shared" si="2"/>
        <v>8.710902385</v>
      </c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>
        <f t="shared" si="8"/>
        <v>3</v>
      </c>
      <c r="AF1204" s="19">
        <f t="shared" si="13"/>
        <v>5</v>
      </c>
      <c r="AG1204" s="9"/>
      <c r="AH1204" s="9"/>
      <c r="AI1204" s="9"/>
    </row>
    <row r="1205" ht="15.0" customHeight="1">
      <c r="A1205" s="11">
        <v>1204.0</v>
      </c>
      <c r="B1205" s="12">
        <f t="shared" ref="B1205:B1216" si="197">DATE(2012,12,31)-1259</f>
        <v>40015</v>
      </c>
      <c r="C1205" s="13">
        <v>2009.0</v>
      </c>
      <c r="D1205" s="11" t="s">
        <v>23</v>
      </c>
      <c r="E1205" s="11">
        <v>50.0</v>
      </c>
      <c r="F1205" s="21" t="s">
        <v>914</v>
      </c>
      <c r="G1205" s="15">
        <v>0.012279673766727403</v>
      </c>
      <c r="H1205" s="11" t="s">
        <v>33</v>
      </c>
      <c r="I1205" s="16">
        <v>2.3920000000000003</v>
      </c>
      <c r="J1205" s="11" t="s">
        <v>1625</v>
      </c>
      <c r="K1205" s="11" t="s">
        <v>35</v>
      </c>
      <c r="L1205" s="11" t="s">
        <v>36</v>
      </c>
      <c r="M1205" s="11" t="s">
        <v>28</v>
      </c>
      <c r="N1205" s="11" t="s">
        <v>42</v>
      </c>
      <c r="O1205" s="11" t="s">
        <v>1626</v>
      </c>
      <c r="P1205" s="11" t="s">
        <v>38</v>
      </c>
      <c r="Q1205" s="20">
        <v>40016.0</v>
      </c>
      <c r="R1205" s="17">
        <f t="shared" si="2"/>
        <v>15.31756682</v>
      </c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>
        <f t="shared" si="8"/>
        <v>2</v>
      </c>
      <c r="AF1205" s="19">
        <f t="shared" si="13"/>
        <v>2</v>
      </c>
      <c r="AG1205" s="9"/>
      <c r="AH1205" s="9"/>
      <c r="AI1205" s="9"/>
    </row>
    <row r="1206" ht="15.0" customHeight="1">
      <c r="A1206" s="11">
        <v>1205.0</v>
      </c>
      <c r="B1206" s="12">
        <f t="shared" si="197"/>
        <v>40015</v>
      </c>
      <c r="C1206" s="13">
        <v>2009.0</v>
      </c>
      <c r="D1206" s="11" t="s">
        <v>23</v>
      </c>
      <c r="E1206" s="11">
        <v>31.0</v>
      </c>
      <c r="F1206" s="21" t="s">
        <v>183</v>
      </c>
      <c r="G1206" s="15">
        <v>0.008344239539956316</v>
      </c>
      <c r="H1206" s="11" t="s">
        <v>33</v>
      </c>
      <c r="I1206" s="16">
        <v>7.192</v>
      </c>
      <c r="J1206" s="11" t="s">
        <v>1625</v>
      </c>
      <c r="K1206" s="11" t="s">
        <v>35</v>
      </c>
      <c r="L1206" s="11" t="s">
        <v>36</v>
      </c>
      <c r="M1206" s="11" t="s">
        <v>66</v>
      </c>
      <c r="N1206" s="11" t="s">
        <v>67</v>
      </c>
      <c r="O1206" s="11" t="s">
        <v>505</v>
      </c>
      <c r="P1206" s="11" t="s">
        <v>99</v>
      </c>
      <c r="Q1206" s="20">
        <v>40016.0</v>
      </c>
      <c r="R1206" s="17">
        <f t="shared" si="2"/>
        <v>4.17288744</v>
      </c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>
        <f t="shared" si="8"/>
        <v>2</v>
      </c>
      <c r="AF1206" s="19">
        <f t="shared" si="13"/>
        <v>2</v>
      </c>
      <c r="AG1206" s="9"/>
      <c r="AH1206" s="9"/>
      <c r="AI1206" s="9"/>
    </row>
    <row r="1207" ht="15.0" customHeight="1">
      <c r="A1207" s="11">
        <v>1206.0</v>
      </c>
      <c r="B1207" s="12">
        <f t="shared" si="197"/>
        <v>40015</v>
      </c>
      <c r="C1207" s="13">
        <v>2009.0</v>
      </c>
      <c r="D1207" s="11" t="s">
        <v>23</v>
      </c>
      <c r="E1207" s="11">
        <v>1.0</v>
      </c>
      <c r="F1207" s="21" t="s">
        <v>1627</v>
      </c>
      <c r="G1207" s="15">
        <v>0.09282117187871866</v>
      </c>
      <c r="H1207" s="11" t="s">
        <v>33</v>
      </c>
      <c r="I1207" s="16">
        <v>15.991999999999999</v>
      </c>
      <c r="J1207" s="11" t="s">
        <v>578</v>
      </c>
      <c r="K1207" s="11" t="s">
        <v>65</v>
      </c>
      <c r="L1207" s="11" t="s">
        <v>27</v>
      </c>
      <c r="M1207" s="11" t="s">
        <v>28</v>
      </c>
      <c r="N1207" s="11" t="s">
        <v>42</v>
      </c>
      <c r="O1207" s="11" t="s">
        <v>1628</v>
      </c>
      <c r="P1207" s="11" t="s">
        <v>38</v>
      </c>
      <c r="Q1207" s="20">
        <v>40016.0</v>
      </c>
      <c r="R1207" s="17">
        <f t="shared" si="2"/>
        <v>176.9071289</v>
      </c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>
        <f t="shared" si="8"/>
        <v>1</v>
      </c>
      <c r="AF1207" s="19">
        <f t="shared" si="13"/>
        <v>5</v>
      </c>
      <c r="AG1207" s="9"/>
      <c r="AH1207" s="9"/>
      <c r="AI1207" s="9"/>
    </row>
    <row r="1208" ht="15.0" customHeight="1">
      <c r="A1208" s="11">
        <v>1207.0</v>
      </c>
      <c r="B1208" s="12">
        <f t="shared" si="197"/>
        <v>40015</v>
      </c>
      <c r="C1208" s="13">
        <v>2009.0</v>
      </c>
      <c r="D1208" s="11" t="s">
        <v>23</v>
      </c>
      <c r="E1208" s="11">
        <v>8.0</v>
      </c>
      <c r="F1208" s="21" t="s">
        <v>641</v>
      </c>
      <c r="G1208" s="15">
        <v>0.020337837837837967</v>
      </c>
      <c r="H1208" s="11" t="s">
        <v>33</v>
      </c>
      <c r="I1208" s="16">
        <v>2.3920000000000003</v>
      </c>
      <c r="J1208" s="11" t="s">
        <v>1621</v>
      </c>
      <c r="K1208" s="11" t="s">
        <v>35</v>
      </c>
      <c r="L1208" s="11" t="s">
        <v>41</v>
      </c>
      <c r="M1208" s="11" t="s">
        <v>28</v>
      </c>
      <c r="N1208" s="11" t="s">
        <v>42</v>
      </c>
      <c r="O1208" s="11" t="s">
        <v>959</v>
      </c>
      <c r="P1208" s="11" t="s">
        <v>38</v>
      </c>
      <c r="Q1208" s="20">
        <v>40016.0</v>
      </c>
      <c r="R1208" s="17">
        <f t="shared" si="2"/>
        <v>2.359026486</v>
      </c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>
        <f t="shared" si="8"/>
        <v>3</v>
      </c>
      <c r="AF1208" s="19">
        <f t="shared" si="13"/>
        <v>2</v>
      </c>
      <c r="AG1208" s="9"/>
      <c r="AH1208" s="9"/>
      <c r="AI1208" s="9"/>
    </row>
    <row r="1209" ht="15.0" customHeight="1">
      <c r="A1209" s="11">
        <v>1208.0</v>
      </c>
      <c r="B1209" s="12">
        <f t="shared" si="197"/>
        <v>40015</v>
      </c>
      <c r="C1209" s="13">
        <v>2009.0</v>
      </c>
      <c r="D1209" s="11" t="s">
        <v>23</v>
      </c>
      <c r="E1209" s="11">
        <v>4.0</v>
      </c>
      <c r="F1209" s="21" t="s">
        <v>100</v>
      </c>
      <c r="G1209" s="15">
        <v>0.03557206415067743</v>
      </c>
      <c r="H1209" s="11" t="s">
        <v>33</v>
      </c>
      <c r="I1209" s="16">
        <v>4.792000000000001</v>
      </c>
      <c r="J1209" s="11" t="s">
        <v>1621</v>
      </c>
      <c r="K1209" s="11" t="s">
        <v>35</v>
      </c>
      <c r="L1209" s="11" t="s">
        <v>41</v>
      </c>
      <c r="M1209" s="11" t="s">
        <v>66</v>
      </c>
      <c r="N1209" s="11" t="s">
        <v>80</v>
      </c>
      <c r="O1209" s="11" t="s">
        <v>101</v>
      </c>
      <c r="P1209" s="11" t="s">
        <v>38</v>
      </c>
      <c r="Q1209" s="20">
        <v>40016.0</v>
      </c>
      <c r="R1209" s="17">
        <f t="shared" si="2"/>
        <v>29.46761337</v>
      </c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>
        <f t="shared" si="8"/>
        <v>3</v>
      </c>
      <c r="AF1209" s="19">
        <f t="shared" si="13"/>
        <v>2</v>
      </c>
      <c r="AG1209" s="9"/>
      <c r="AH1209" s="9"/>
      <c r="AI1209" s="9"/>
    </row>
    <row r="1210" ht="15.0" customHeight="1">
      <c r="A1210" s="11">
        <v>1209.0</v>
      </c>
      <c r="B1210" s="12">
        <f t="shared" si="197"/>
        <v>40015</v>
      </c>
      <c r="C1210" s="13">
        <v>2009.0</v>
      </c>
      <c r="D1210" s="11" t="s">
        <v>39</v>
      </c>
      <c r="E1210" s="11">
        <v>20.0</v>
      </c>
      <c r="F1210" s="21" t="s">
        <v>100</v>
      </c>
      <c r="G1210" s="15">
        <v>0.0392901558024173</v>
      </c>
      <c r="H1210" s="11" t="s">
        <v>33</v>
      </c>
      <c r="I1210" s="16">
        <v>7.192</v>
      </c>
      <c r="J1210" s="11" t="s">
        <v>1629</v>
      </c>
      <c r="K1210" s="11" t="s">
        <v>65</v>
      </c>
      <c r="L1210" s="11" t="s">
        <v>41</v>
      </c>
      <c r="M1210" s="11" t="s">
        <v>66</v>
      </c>
      <c r="N1210" s="11" t="s">
        <v>80</v>
      </c>
      <c r="O1210" s="11" t="s">
        <v>615</v>
      </c>
      <c r="P1210" s="11" t="s">
        <v>38</v>
      </c>
      <c r="Q1210" s="20">
        <v>40017.0</v>
      </c>
      <c r="R1210" s="17">
        <f t="shared" si="2"/>
        <v>162.0794364</v>
      </c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>
        <f t="shared" si="8"/>
        <v>3</v>
      </c>
      <c r="AF1210" s="19">
        <f t="shared" si="13"/>
        <v>5</v>
      </c>
      <c r="AG1210" s="9"/>
      <c r="AH1210" s="9"/>
      <c r="AI1210" s="9"/>
    </row>
    <row r="1211" ht="15.0" customHeight="1">
      <c r="A1211" s="11">
        <v>1210.0</v>
      </c>
      <c r="B1211" s="12">
        <f t="shared" si="197"/>
        <v>40015</v>
      </c>
      <c r="C1211" s="13">
        <v>2009.0</v>
      </c>
      <c r="D1211" s="11" t="s">
        <v>102</v>
      </c>
      <c r="E1211" s="11">
        <v>40.0</v>
      </c>
      <c r="F1211" s="21" t="s">
        <v>790</v>
      </c>
      <c r="G1211" s="15">
        <v>0.039999999999999966</v>
      </c>
      <c r="H1211" s="11" t="s">
        <v>33</v>
      </c>
      <c r="I1211" s="16">
        <v>3.2</v>
      </c>
      <c r="J1211" s="11" t="s">
        <v>323</v>
      </c>
      <c r="K1211" s="11" t="s">
        <v>61</v>
      </c>
      <c r="L1211" s="11" t="s">
        <v>27</v>
      </c>
      <c r="M1211" s="11" t="s">
        <v>66</v>
      </c>
      <c r="N1211" s="11" t="s">
        <v>67</v>
      </c>
      <c r="O1211" s="11" t="s">
        <v>791</v>
      </c>
      <c r="P1211" s="11" t="s">
        <v>38</v>
      </c>
      <c r="Q1211" s="20">
        <v>40017.0</v>
      </c>
      <c r="R1211" s="17">
        <f t="shared" si="2"/>
        <v>49.248</v>
      </c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>
        <f t="shared" si="8"/>
        <v>1</v>
      </c>
      <c r="AF1211" s="19">
        <f t="shared" si="13"/>
        <v>4</v>
      </c>
      <c r="AG1211" s="9"/>
      <c r="AH1211" s="9"/>
      <c r="AI1211" s="9"/>
    </row>
    <row r="1212" ht="15.0" customHeight="1">
      <c r="A1212" s="11">
        <v>1211.0</v>
      </c>
      <c r="B1212" s="12">
        <f t="shared" si="197"/>
        <v>40015</v>
      </c>
      <c r="C1212" s="13">
        <v>2009.0</v>
      </c>
      <c r="D1212" s="11" t="s">
        <v>23</v>
      </c>
      <c r="E1212" s="11">
        <v>23.0</v>
      </c>
      <c r="F1212" s="21" t="s">
        <v>379</v>
      </c>
      <c r="G1212" s="15">
        <v>0.0479609655880842</v>
      </c>
      <c r="H1212" s="11" t="s">
        <v>33</v>
      </c>
      <c r="I1212" s="16">
        <v>14.224000000000002</v>
      </c>
      <c r="J1212" s="11" t="s">
        <v>1288</v>
      </c>
      <c r="K1212" s="11" t="s">
        <v>83</v>
      </c>
      <c r="L1212" s="11" t="s">
        <v>48</v>
      </c>
      <c r="M1212" s="11" t="s">
        <v>28</v>
      </c>
      <c r="N1212" s="11" t="s">
        <v>29</v>
      </c>
      <c r="O1212" s="11" t="s">
        <v>380</v>
      </c>
      <c r="P1212" s="11" t="s">
        <v>38</v>
      </c>
      <c r="Q1212" s="20">
        <v>40017.0</v>
      </c>
      <c r="R1212" s="17">
        <f t="shared" si="2"/>
        <v>17.78028101</v>
      </c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>
        <f t="shared" si="8"/>
        <v>4</v>
      </c>
      <c r="AF1212" s="19" t="b">
        <f t="shared" si="13"/>
        <v>0</v>
      </c>
      <c r="AG1212" s="9"/>
      <c r="AH1212" s="9"/>
      <c r="AI1212" s="9"/>
    </row>
    <row r="1213" ht="15.0" customHeight="1">
      <c r="A1213" s="11">
        <v>1212.0</v>
      </c>
      <c r="B1213" s="12">
        <f t="shared" si="197"/>
        <v>40015</v>
      </c>
      <c r="C1213" s="13">
        <v>2009.0</v>
      </c>
      <c r="D1213" s="11" t="s">
        <v>23</v>
      </c>
      <c r="E1213" s="11">
        <v>24.0</v>
      </c>
      <c r="F1213" s="21" t="s">
        <v>350</v>
      </c>
      <c r="G1213" s="15">
        <v>0.0894835985709645</v>
      </c>
      <c r="H1213" s="11" t="s">
        <v>33</v>
      </c>
      <c r="I1213" s="16">
        <v>13.496000000000002</v>
      </c>
      <c r="J1213" s="11" t="s">
        <v>1257</v>
      </c>
      <c r="K1213" s="11" t="s">
        <v>35</v>
      </c>
      <c r="L1213" s="11" t="s">
        <v>36</v>
      </c>
      <c r="M1213" s="11" t="s">
        <v>28</v>
      </c>
      <c r="N1213" s="11" t="s">
        <v>56</v>
      </c>
      <c r="O1213" s="11" t="s">
        <v>1630</v>
      </c>
      <c r="P1213" s="11" t="s">
        <v>38</v>
      </c>
      <c r="Q1213" s="20">
        <v>40017.0</v>
      </c>
      <c r="R1213" s="17">
        <f t="shared" si="2"/>
        <v>50.17309578</v>
      </c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>
        <f t="shared" si="8"/>
        <v>2</v>
      </c>
      <c r="AF1213" s="19">
        <f t="shared" si="13"/>
        <v>2</v>
      </c>
      <c r="AG1213" s="9"/>
      <c r="AH1213" s="9"/>
      <c r="AI1213" s="9"/>
    </row>
    <row r="1214" ht="15.0" customHeight="1">
      <c r="A1214" s="11">
        <v>1213.0</v>
      </c>
      <c r="B1214" s="12">
        <f t="shared" si="197"/>
        <v>40015</v>
      </c>
      <c r="C1214" s="13">
        <v>2009.0</v>
      </c>
      <c r="D1214" s="11" t="s">
        <v>23</v>
      </c>
      <c r="E1214" s="11">
        <v>25.0</v>
      </c>
      <c r="F1214" s="21" t="s">
        <v>950</v>
      </c>
      <c r="G1214" s="15">
        <v>0.09930542340627972</v>
      </c>
      <c r="H1214" s="11" t="s">
        <v>24</v>
      </c>
      <c r="I1214" s="16">
        <v>6.152000000000001</v>
      </c>
      <c r="J1214" s="11" t="s">
        <v>1257</v>
      </c>
      <c r="K1214" s="11" t="s">
        <v>35</v>
      </c>
      <c r="L1214" s="11" t="s">
        <v>36</v>
      </c>
      <c r="M1214" s="11" t="s">
        <v>28</v>
      </c>
      <c r="N1214" s="11" t="s">
        <v>29</v>
      </c>
      <c r="O1214" s="11" t="s">
        <v>951</v>
      </c>
      <c r="P1214" s="11" t="s">
        <v>38</v>
      </c>
      <c r="Q1214" s="20">
        <v>40017.0</v>
      </c>
      <c r="R1214" s="17">
        <f t="shared" si="2"/>
        <v>37.60219718</v>
      </c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>
        <f t="shared" si="8"/>
        <v>2</v>
      </c>
      <c r="AF1214" s="19">
        <f t="shared" si="13"/>
        <v>2</v>
      </c>
      <c r="AG1214" s="9"/>
      <c r="AH1214" s="9"/>
      <c r="AI1214" s="9"/>
    </row>
    <row r="1215" ht="15.0" customHeight="1">
      <c r="A1215" s="11">
        <v>1214.0</v>
      </c>
      <c r="B1215" s="12">
        <f t="shared" si="197"/>
        <v>40015</v>
      </c>
      <c r="C1215" s="13">
        <v>2009.0</v>
      </c>
      <c r="D1215" s="11" t="s">
        <v>44</v>
      </c>
      <c r="E1215" s="11">
        <v>12.0</v>
      </c>
      <c r="F1215" s="21" t="s">
        <v>163</v>
      </c>
      <c r="G1215" s="15">
        <v>0.04027769012306707</v>
      </c>
      <c r="H1215" s="11" t="s">
        <v>33</v>
      </c>
      <c r="I1215" s="16">
        <v>5.744</v>
      </c>
      <c r="J1215" s="11" t="s">
        <v>1364</v>
      </c>
      <c r="K1215" s="11" t="s">
        <v>35</v>
      </c>
      <c r="L1215" s="11" t="s">
        <v>27</v>
      </c>
      <c r="M1215" s="11" t="s">
        <v>66</v>
      </c>
      <c r="N1215" s="11" t="s">
        <v>67</v>
      </c>
      <c r="O1215" s="11" t="s">
        <v>1181</v>
      </c>
      <c r="P1215" s="11" t="s">
        <v>38</v>
      </c>
      <c r="Q1215" s="20">
        <v>40017.0</v>
      </c>
      <c r="R1215" s="17">
        <f t="shared" si="2"/>
        <v>48.99958225</v>
      </c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>
        <f t="shared" si="8"/>
        <v>1</v>
      </c>
      <c r="AF1215" s="19">
        <f t="shared" si="13"/>
        <v>2</v>
      </c>
      <c r="AG1215" s="9"/>
      <c r="AH1215" s="9"/>
      <c r="AI1215" s="9"/>
    </row>
    <row r="1216" ht="15.0" customHeight="1">
      <c r="A1216" s="11">
        <v>1215.0</v>
      </c>
      <c r="B1216" s="12">
        <f t="shared" si="197"/>
        <v>40015</v>
      </c>
      <c r="C1216" s="13">
        <v>2009.0</v>
      </c>
      <c r="D1216" s="11" t="s">
        <v>44</v>
      </c>
      <c r="E1216" s="11">
        <v>33.0</v>
      </c>
      <c r="F1216" s="21" t="s">
        <v>481</v>
      </c>
      <c r="G1216" s="15">
        <v>0.02159346960804143</v>
      </c>
      <c r="H1216" s="11" t="s">
        <v>33</v>
      </c>
      <c r="I1216" s="16">
        <v>1.592</v>
      </c>
      <c r="J1216" s="11" t="s">
        <v>703</v>
      </c>
      <c r="K1216" s="11" t="s">
        <v>35</v>
      </c>
      <c r="L1216" s="11" t="s">
        <v>41</v>
      </c>
      <c r="M1216" s="11" t="s">
        <v>66</v>
      </c>
      <c r="N1216" s="11" t="s">
        <v>67</v>
      </c>
      <c r="O1216" s="11" t="s">
        <v>1631</v>
      </c>
      <c r="P1216" s="11" t="s">
        <v>99</v>
      </c>
      <c r="Q1216" s="20">
        <v>40018.0</v>
      </c>
      <c r="R1216" s="17">
        <f t="shared" si="2"/>
        <v>31.31683622</v>
      </c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>
        <f t="shared" si="8"/>
        <v>3</v>
      </c>
      <c r="AF1216" s="19">
        <f t="shared" si="13"/>
        <v>2</v>
      </c>
      <c r="AG1216" s="9"/>
      <c r="AH1216" s="9"/>
      <c r="AI1216" s="9"/>
    </row>
    <row r="1217" ht="15.0" customHeight="1">
      <c r="A1217" s="11">
        <v>1216.0</v>
      </c>
      <c r="B1217" s="12">
        <f t="shared" ref="B1217:B1221" si="198">DATE(2012,12,31)-1258</f>
        <v>40016</v>
      </c>
      <c r="C1217" s="13">
        <v>2009.0</v>
      </c>
      <c r="D1217" s="11" t="s">
        <v>102</v>
      </c>
      <c r="E1217" s="11">
        <v>32.0</v>
      </c>
      <c r="F1217" s="21" t="s">
        <v>666</v>
      </c>
      <c r="G1217" s="15">
        <v>0.11229588276343344</v>
      </c>
      <c r="H1217" s="11" t="s">
        <v>24</v>
      </c>
      <c r="I1217" s="16">
        <v>5.6080000000000005</v>
      </c>
      <c r="J1217" s="11" t="s">
        <v>1364</v>
      </c>
      <c r="K1217" s="11" t="s">
        <v>35</v>
      </c>
      <c r="L1217" s="11" t="s">
        <v>27</v>
      </c>
      <c r="M1217" s="11" t="s">
        <v>28</v>
      </c>
      <c r="N1217" s="11" t="s">
        <v>42</v>
      </c>
      <c r="O1217" s="11" t="s">
        <v>1632</v>
      </c>
      <c r="P1217" s="11" t="s">
        <v>38</v>
      </c>
      <c r="Q1217" s="20">
        <v>40018.0</v>
      </c>
      <c r="R1217" s="17">
        <f t="shared" si="2"/>
        <v>14.28493465</v>
      </c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>
        <f t="shared" si="8"/>
        <v>1</v>
      </c>
      <c r="AF1217" s="19">
        <f t="shared" si="13"/>
        <v>2</v>
      </c>
      <c r="AG1217" s="9"/>
      <c r="AH1217" s="9"/>
      <c r="AI1217" s="9"/>
    </row>
    <row r="1218" ht="15.0" customHeight="1">
      <c r="A1218" s="11">
        <v>1217.0</v>
      </c>
      <c r="B1218" s="12">
        <f t="shared" si="198"/>
        <v>40016</v>
      </c>
      <c r="C1218" s="13">
        <v>2009.0</v>
      </c>
      <c r="D1218" s="11" t="s">
        <v>23</v>
      </c>
      <c r="E1218" s="11">
        <v>9.0</v>
      </c>
      <c r="F1218" s="21" t="s">
        <v>352</v>
      </c>
      <c r="G1218" s="15">
        <v>0.08616501650165018</v>
      </c>
      <c r="H1218" s="11" t="s">
        <v>33</v>
      </c>
      <c r="I1218" s="16">
        <v>2.3920000000000003</v>
      </c>
      <c r="J1218" s="11" t="s">
        <v>1633</v>
      </c>
      <c r="K1218" s="11" t="s">
        <v>117</v>
      </c>
      <c r="L1218" s="11" t="s">
        <v>48</v>
      </c>
      <c r="M1218" s="11" t="s">
        <v>28</v>
      </c>
      <c r="N1218" s="11" t="s">
        <v>42</v>
      </c>
      <c r="O1218" s="11" t="s">
        <v>594</v>
      </c>
      <c r="P1218" s="11" t="s">
        <v>38</v>
      </c>
      <c r="Q1218" s="20">
        <v>40018.0</v>
      </c>
      <c r="R1218" s="17">
        <f t="shared" si="2"/>
        <v>23.85840375</v>
      </c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>
        <f t="shared" si="8"/>
        <v>4</v>
      </c>
      <c r="AF1218" s="19" t="b">
        <f t="shared" si="13"/>
        <v>0</v>
      </c>
      <c r="AG1218" s="9"/>
      <c r="AH1218" s="9"/>
      <c r="AI1218" s="9"/>
    </row>
    <row r="1219" ht="15.0" customHeight="1">
      <c r="A1219" s="11">
        <v>1218.0</v>
      </c>
      <c r="B1219" s="12">
        <f t="shared" si="198"/>
        <v>40016</v>
      </c>
      <c r="C1219" s="13">
        <v>2009.0</v>
      </c>
      <c r="D1219" s="11" t="s">
        <v>44</v>
      </c>
      <c r="E1219" s="11">
        <v>44.0</v>
      </c>
      <c r="F1219" s="21" t="s">
        <v>762</v>
      </c>
      <c r="G1219" s="15">
        <v>0.06373735581188987</v>
      </c>
      <c r="H1219" s="11" t="s">
        <v>33</v>
      </c>
      <c r="I1219" s="16">
        <v>3.9840000000000004</v>
      </c>
      <c r="J1219" s="11" t="s">
        <v>25</v>
      </c>
      <c r="K1219" s="11" t="s">
        <v>26</v>
      </c>
      <c r="L1219" s="11" t="s">
        <v>27</v>
      </c>
      <c r="M1219" s="11" t="s">
        <v>28</v>
      </c>
      <c r="N1219" s="11" t="s">
        <v>197</v>
      </c>
      <c r="O1219" s="11" t="s">
        <v>1001</v>
      </c>
      <c r="P1219" s="11" t="s">
        <v>38</v>
      </c>
      <c r="Q1219" s="20">
        <v>40018.0</v>
      </c>
      <c r="R1219" s="17">
        <f t="shared" si="2"/>
        <v>33.62680913</v>
      </c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>
        <f t="shared" si="8"/>
        <v>1</v>
      </c>
      <c r="AF1219" s="19">
        <f t="shared" si="13"/>
        <v>1</v>
      </c>
      <c r="AG1219" s="9"/>
      <c r="AH1219" s="9"/>
      <c r="AI1219" s="9"/>
    </row>
    <row r="1220" ht="15.0" customHeight="1">
      <c r="A1220" s="11">
        <v>1219.0</v>
      </c>
      <c r="B1220" s="12">
        <f t="shared" si="198"/>
        <v>40016</v>
      </c>
      <c r="C1220" s="13">
        <v>2009.0</v>
      </c>
      <c r="D1220" s="11" t="s">
        <v>44</v>
      </c>
      <c r="E1220" s="11">
        <v>41.0</v>
      </c>
      <c r="F1220" s="21" t="s">
        <v>506</v>
      </c>
      <c r="G1220" s="15">
        <v>0.0682622950819672</v>
      </c>
      <c r="H1220" s="11" t="s">
        <v>33</v>
      </c>
      <c r="I1220" s="16">
        <v>1.2800000000000002</v>
      </c>
      <c r="J1220" s="11" t="s">
        <v>25</v>
      </c>
      <c r="K1220" s="11" t="s">
        <v>26</v>
      </c>
      <c r="L1220" s="11" t="s">
        <v>27</v>
      </c>
      <c r="M1220" s="11" t="s">
        <v>28</v>
      </c>
      <c r="N1220" s="11" t="s">
        <v>56</v>
      </c>
      <c r="O1220" s="11" t="s">
        <v>508</v>
      </c>
      <c r="P1220" s="11" t="s">
        <v>58</v>
      </c>
      <c r="Q1220" s="20">
        <v>40019.0</v>
      </c>
      <c r="R1220" s="17">
        <f t="shared" si="2"/>
        <v>19.39877902</v>
      </c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>
        <f t="shared" si="8"/>
        <v>1</v>
      </c>
      <c r="AF1220" s="19">
        <f t="shared" si="13"/>
        <v>1</v>
      </c>
      <c r="AG1220" s="9"/>
      <c r="AH1220" s="9"/>
      <c r="AI1220" s="9"/>
    </row>
    <row r="1221" ht="15.0" customHeight="1">
      <c r="A1221" s="11">
        <v>1220.0</v>
      </c>
      <c r="B1221" s="12">
        <f t="shared" si="198"/>
        <v>40016</v>
      </c>
      <c r="C1221" s="13">
        <v>2009.0</v>
      </c>
      <c r="D1221" s="11" t="s">
        <v>32</v>
      </c>
      <c r="E1221" s="11">
        <v>38.0</v>
      </c>
      <c r="F1221" s="21" t="s">
        <v>287</v>
      </c>
      <c r="G1221" s="15">
        <v>0.04860390468637902</v>
      </c>
      <c r="H1221" s="11" t="s">
        <v>33</v>
      </c>
      <c r="I1221" s="16">
        <v>4.736</v>
      </c>
      <c r="J1221" s="11" t="s">
        <v>1634</v>
      </c>
      <c r="K1221" s="11" t="s">
        <v>65</v>
      </c>
      <c r="L1221" s="11" t="s">
        <v>41</v>
      </c>
      <c r="M1221" s="11" t="s">
        <v>66</v>
      </c>
      <c r="N1221" s="11" t="s">
        <v>80</v>
      </c>
      <c r="O1221" s="11" t="s">
        <v>435</v>
      </c>
      <c r="P1221" s="11" t="s">
        <v>38</v>
      </c>
      <c r="Q1221" s="20">
        <v>40019.0</v>
      </c>
      <c r="R1221" s="17">
        <f t="shared" si="2"/>
        <v>214.2915051</v>
      </c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>
        <f t="shared" si="8"/>
        <v>3</v>
      </c>
      <c r="AF1221" s="19">
        <f t="shared" si="13"/>
        <v>5</v>
      </c>
      <c r="AG1221" s="9"/>
      <c r="AH1221" s="9"/>
      <c r="AI1221" s="9"/>
    </row>
    <row r="1222" ht="15.0" customHeight="1">
      <c r="A1222" s="11">
        <v>1221.0</v>
      </c>
      <c r="B1222" s="12">
        <f t="shared" ref="B1222:B1228" si="199">DATE(2012,12,31)-1256</f>
        <v>40018</v>
      </c>
      <c r="C1222" s="13">
        <v>2009.0</v>
      </c>
      <c r="D1222" s="11" t="s">
        <v>23</v>
      </c>
      <c r="E1222" s="11">
        <v>33.0</v>
      </c>
      <c r="F1222" s="21" t="s">
        <v>1635</v>
      </c>
      <c r="G1222" s="15">
        <v>0.03590222730815063</v>
      </c>
      <c r="H1222" s="11" t="s">
        <v>24</v>
      </c>
      <c r="I1222" s="16">
        <v>28.0</v>
      </c>
      <c r="J1222" s="11" t="s">
        <v>1636</v>
      </c>
      <c r="K1222" s="11" t="s">
        <v>61</v>
      </c>
      <c r="L1222" s="11" t="s">
        <v>48</v>
      </c>
      <c r="M1222" s="11" t="s">
        <v>28</v>
      </c>
      <c r="N1222" s="11" t="s">
        <v>29</v>
      </c>
      <c r="O1222" s="11" t="s">
        <v>1637</v>
      </c>
      <c r="P1222" s="11" t="s">
        <v>31</v>
      </c>
      <c r="Q1222" s="20">
        <v>40019.0</v>
      </c>
      <c r="R1222" s="17">
        <f t="shared" si="2"/>
        <v>121.1412954</v>
      </c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>
        <f t="shared" si="8"/>
        <v>4</v>
      </c>
      <c r="AF1222" s="19">
        <f t="shared" si="13"/>
        <v>4</v>
      </c>
      <c r="AG1222" s="9"/>
      <c r="AH1222" s="9"/>
      <c r="AI1222" s="9"/>
    </row>
    <row r="1223" ht="15.0" customHeight="1">
      <c r="A1223" s="11">
        <v>1222.0</v>
      </c>
      <c r="B1223" s="12">
        <f t="shared" si="199"/>
        <v>40018</v>
      </c>
      <c r="C1223" s="13">
        <v>2009.0</v>
      </c>
      <c r="D1223" s="11" t="s">
        <v>23</v>
      </c>
      <c r="E1223" s="11">
        <v>8.0</v>
      </c>
      <c r="F1223" s="21" t="s">
        <v>498</v>
      </c>
      <c r="G1223" s="15">
        <v>0.09290671685684039</v>
      </c>
      <c r="H1223" s="11" t="s">
        <v>33</v>
      </c>
      <c r="I1223" s="16">
        <v>3.9200000000000004</v>
      </c>
      <c r="J1223" s="11" t="s">
        <v>1636</v>
      </c>
      <c r="K1223" s="11" t="s">
        <v>61</v>
      </c>
      <c r="L1223" s="11" t="s">
        <v>48</v>
      </c>
      <c r="M1223" s="11" t="s">
        <v>66</v>
      </c>
      <c r="N1223" s="11" t="s">
        <v>80</v>
      </c>
      <c r="O1223" s="11" t="s">
        <v>500</v>
      </c>
      <c r="P1223" s="11" t="s">
        <v>38</v>
      </c>
      <c r="Q1223" s="20">
        <v>40019.0</v>
      </c>
      <c r="R1223" s="17">
        <f t="shared" si="2"/>
        <v>71.6422275</v>
      </c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>
        <f t="shared" si="8"/>
        <v>4</v>
      </c>
      <c r="AF1223" s="19">
        <f t="shared" si="13"/>
        <v>4</v>
      </c>
      <c r="AG1223" s="9"/>
      <c r="AH1223" s="9"/>
      <c r="AI1223" s="9"/>
    </row>
    <row r="1224" ht="15.0" customHeight="1">
      <c r="A1224" s="11">
        <v>1223.0</v>
      </c>
      <c r="B1224" s="12">
        <f t="shared" si="199"/>
        <v>40018</v>
      </c>
      <c r="C1224" s="13">
        <v>2009.0</v>
      </c>
      <c r="D1224" s="11" t="s">
        <v>44</v>
      </c>
      <c r="E1224" s="11">
        <v>1.0</v>
      </c>
      <c r="F1224" s="21" t="s">
        <v>743</v>
      </c>
      <c r="G1224" s="15">
        <v>0.06179059180576635</v>
      </c>
      <c r="H1224" s="11" t="s">
        <v>24</v>
      </c>
      <c r="I1224" s="16">
        <v>10.928</v>
      </c>
      <c r="J1224" s="11" t="s">
        <v>1310</v>
      </c>
      <c r="K1224" s="11" t="s">
        <v>83</v>
      </c>
      <c r="L1224" s="11" t="s">
        <v>48</v>
      </c>
      <c r="M1224" s="11" t="s">
        <v>28</v>
      </c>
      <c r="N1224" s="11" t="s">
        <v>197</v>
      </c>
      <c r="O1224" s="11" t="s">
        <v>1638</v>
      </c>
      <c r="P1224" s="11" t="s">
        <v>38</v>
      </c>
      <c r="Q1224" s="20">
        <v>40019.0</v>
      </c>
      <c r="R1224" s="17">
        <f t="shared" si="2"/>
        <v>3.82038871</v>
      </c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>
        <f t="shared" si="8"/>
        <v>4</v>
      </c>
      <c r="AF1224" s="19" t="b">
        <f t="shared" si="13"/>
        <v>0</v>
      </c>
      <c r="AG1224" s="9"/>
      <c r="AH1224" s="9"/>
      <c r="AI1224" s="9"/>
    </row>
    <row r="1225" ht="15.0" customHeight="1">
      <c r="A1225" s="11">
        <v>1224.0</v>
      </c>
      <c r="B1225" s="12">
        <f t="shared" si="199"/>
        <v>40018</v>
      </c>
      <c r="C1225" s="13">
        <v>2009.0</v>
      </c>
      <c r="D1225" s="11" t="s">
        <v>44</v>
      </c>
      <c r="E1225" s="11">
        <v>20.0</v>
      </c>
      <c r="F1225" s="21" t="s">
        <v>1639</v>
      </c>
      <c r="G1225" s="15">
        <v>0.06960244648318038</v>
      </c>
      <c r="H1225" s="11" t="s">
        <v>33</v>
      </c>
      <c r="I1225" s="16">
        <v>15.991999999999999</v>
      </c>
      <c r="J1225" s="11" t="s">
        <v>1640</v>
      </c>
      <c r="K1225" s="11" t="s">
        <v>61</v>
      </c>
      <c r="L1225" s="11" t="s">
        <v>48</v>
      </c>
      <c r="M1225" s="11" t="s">
        <v>28</v>
      </c>
      <c r="N1225" s="11" t="s">
        <v>197</v>
      </c>
      <c r="O1225" s="11" t="s">
        <v>1641</v>
      </c>
      <c r="P1225" s="11" t="s">
        <v>38</v>
      </c>
      <c r="Q1225" s="20">
        <v>40020.0</v>
      </c>
      <c r="R1225" s="17">
        <f t="shared" si="2"/>
        <v>69.88029945</v>
      </c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>
        <f t="shared" si="8"/>
        <v>4</v>
      </c>
      <c r="AF1225" s="19">
        <f t="shared" si="13"/>
        <v>4</v>
      </c>
      <c r="AG1225" s="9"/>
      <c r="AH1225" s="9"/>
      <c r="AI1225" s="9"/>
    </row>
    <row r="1226" ht="15.0" customHeight="1">
      <c r="A1226" s="11">
        <v>1225.0</v>
      </c>
      <c r="B1226" s="12">
        <f t="shared" si="199"/>
        <v>40018</v>
      </c>
      <c r="C1226" s="13">
        <v>2009.0</v>
      </c>
      <c r="D1226" s="11" t="s">
        <v>23</v>
      </c>
      <c r="E1226" s="11">
        <v>14.0</v>
      </c>
      <c r="F1226" s="21" t="s">
        <v>428</v>
      </c>
      <c r="G1226" s="15">
        <v>0.0958040816326531</v>
      </c>
      <c r="H1226" s="11" t="s">
        <v>33</v>
      </c>
      <c r="I1226" s="16">
        <v>8.728</v>
      </c>
      <c r="J1226" s="11" t="s">
        <v>1345</v>
      </c>
      <c r="K1226" s="11" t="s">
        <v>83</v>
      </c>
      <c r="L1226" s="11" t="s">
        <v>48</v>
      </c>
      <c r="M1226" s="11" t="s">
        <v>28</v>
      </c>
      <c r="N1226" s="11" t="s">
        <v>42</v>
      </c>
      <c r="O1226" s="11" t="s">
        <v>1642</v>
      </c>
      <c r="P1226" s="11" t="s">
        <v>38</v>
      </c>
      <c r="Q1226" s="20">
        <v>40020.0</v>
      </c>
      <c r="R1226" s="17">
        <f t="shared" si="2"/>
        <v>21.2232866</v>
      </c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>
        <f t="shared" si="8"/>
        <v>4</v>
      </c>
      <c r="AF1226" s="19" t="b">
        <f t="shared" si="13"/>
        <v>0</v>
      </c>
      <c r="AG1226" s="9"/>
      <c r="AH1226" s="9"/>
      <c r="AI1226" s="9"/>
    </row>
    <row r="1227" ht="15.0" customHeight="1">
      <c r="A1227" s="11">
        <v>1226.0</v>
      </c>
      <c r="B1227" s="12">
        <f t="shared" si="199"/>
        <v>40018</v>
      </c>
      <c r="C1227" s="13">
        <v>2009.0</v>
      </c>
      <c r="D1227" s="11" t="s">
        <v>44</v>
      </c>
      <c r="E1227" s="11">
        <v>31.0</v>
      </c>
      <c r="F1227" s="21" t="s">
        <v>287</v>
      </c>
      <c r="G1227" s="15">
        <v>0.048610648258351166</v>
      </c>
      <c r="H1227" s="11" t="s">
        <v>33</v>
      </c>
      <c r="I1227" s="16">
        <v>4.208</v>
      </c>
      <c r="J1227" s="11" t="s">
        <v>1643</v>
      </c>
      <c r="K1227" s="11" t="s">
        <v>83</v>
      </c>
      <c r="L1227" s="11" t="s">
        <v>48</v>
      </c>
      <c r="M1227" s="11" t="s">
        <v>66</v>
      </c>
      <c r="N1227" s="11" t="s">
        <v>80</v>
      </c>
      <c r="O1227" s="11" t="s">
        <v>1644</v>
      </c>
      <c r="P1227" s="11" t="s">
        <v>38</v>
      </c>
      <c r="Q1227" s="20">
        <v>40020.0</v>
      </c>
      <c r="R1227" s="17">
        <f t="shared" si="2"/>
        <v>174.8577517</v>
      </c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>
        <f t="shared" si="8"/>
        <v>4</v>
      </c>
      <c r="AF1227" s="19" t="b">
        <f t="shared" si="13"/>
        <v>0</v>
      </c>
      <c r="AG1227" s="9"/>
      <c r="AH1227" s="9"/>
      <c r="AI1227" s="9"/>
    </row>
    <row r="1228" ht="15.0" customHeight="1">
      <c r="A1228" s="11">
        <v>1227.0</v>
      </c>
      <c r="B1228" s="12">
        <f t="shared" si="199"/>
        <v>40018</v>
      </c>
      <c r="C1228" s="13">
        <v>2009.0</v>
      </c>
      <c r="D1228" s="11" t="s">
        <v>39</v>
      </c>
      <c r="E1228" s="11">
        <v>43.0</v>
      </c>
      <c r="F1228" s="21" t="s">
        <v>119</v>
      </c>
      <c r="G1228" s="15">
        <v>0.07211334120425034</v>
      </c>
      <c r="H1228" s="11" t="s">
        <v>33</v>
      </c>
      <c r="I1228" s="16">
        <v>1.192</v>
      </c>
      <c r="J1228" s="11" t="s">
        <v>871</v>
      </c>
      <c r="K1228" s="11" t="s">
        <v>26</v>
      </c>
      <c r="L1228" s="11" t="s">
        <v>27</v>
      </c>
      <c r="M1228" s="11" t="s">
        <v>28</v>
      </c>
      <c r="N1228" s="11" t="s">
        <v>42</v>
      </c>
      <c r="O1228" s="11" t="s">
        <v>1129</v>
      </c>
      <c r="P1228" s="11" t="s">
        <v>38</v>
      </c>
      <c r="Q1228" s="20">
        <v>40020.0</v>
      </c>
      <c r="R1228" s="17">
        <f t="shared" si="2"/>
        <v>5.667531712</v>
      </c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>
        <f t="shared" si="8"/>
        <v>1</v>
      </c>
      <c r="AF1228" s="19">
        <f t="shared" si="13"/>
        <v>1</v>
      </c>
      <c r="AG1228" s="9"/>
      <c r="AH1228" s="9"/>
      <c r="AI1228" s="9"/>
    </row>
    <row r="1229" ht="15.0" customHeight="1">
      <c r="A1229" s="11">
        <v>1228.0</v>
      </c>
      <c r="B1229" s="12">
        <f>DATE(2012,12,31)-1255</f>
        <v>40019</v>
      </c>
      <c r="C1229" s="13">
        <v>2009.0</v>
      </c>
      <c r="D1229" s="11" t="s">
        <v>32</v>
      </c>
      <c r="E1229" s="11">
        <v>9.0</v>
      </c>
      <c r="F1229" s="21" t="s">
        <v>1479</v>
      </c>
      <c r="G1229" s="15">
        <v>0.044549763033175385</v>
      </c>
      <c r="H1229" s="11" t="s">
        <v>33</v>
      </c>
      <c r="I1229" s="16">
        <v>3.6</v>
      </c>
      <c r="J1229" s="11" t="s">
        <v>418</v>
      </c>
      <c r="K1229" s="11" t="s">
        <v>61</v>
      </c>
      <c r="L1229" s="11" t="s">
        <v>48</v>
      </c>
      <c r="M1229" s="11" t="s">
        <v>28</v>
      </c>
      <c r="N1229" s="11" t="s">
        <v>197</v>
      </c>
      <c r="O1229" s="11" t="s">
        <v>1480</v>
      </c>
      <c r="P1229" s="11" t="s">
        <v>38</v>
      </c>
      <c r="Q1229" s="20">
        <v>40021.0</v>
      </c>
      <c r="R1229" s="17">
        <f t="shared" si="2"/>
        <v>4.490616114</v>
      </c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>
        <f t="shared" si="8"/>
        <v>4</v>
      </c>
      <c r="AF1229" s="19">
        <f t="shared" si="13"/>
        <v>4</v>
      </c>
      <c r="AG1229" s="9"/>
      <c r="AH1229" s="9"/>
      <c r="AI1229" s="9"/>
    </row>
    <row r="1230" ht="15.0" customHeight="1">
      <c r="A1230" s="11">
        <v>1229.0</v>
      </c>
      <c r="B1230" s="12">
        <f t="shared" ref="B1230:B1241" si="200">DATE(2012,12,31)-1254</f>
        <v>40020</v>
      </c>
      <c r="C1230" s="13">
        <v>2009.0</v>
      </c>
      <c r="D1230" s="11" t="s">
        <v>23</v>
      </c>
      <c r="E1230" s="11">
        <v>10.0</v>
      </c>
      <c r="F1230" s="21" t="s">
        <v>384</v>
      </c>
      <c r="G1230" s="15">
        <v>0.08300539202687174</v>
      </c>
      <c r="H1230" s="11" t="s">
        <v>33</v>
      </c>
      <c r="I1230" s="16">
        <v>0.792</v>
      </c>
      <c r="J1230" s="11" t="s">
        <v>1384</v>
      </c>
      <c r="K1230" s="11" t="s">
        <v>35</v>
      </c>
      <c r="L1230" s="11" t="s">
        <v>48</v>
      </c>
      <c r="M1230" s="11" t="s">
        <v>28</v>
      </c>
      <c r="N1230" s="11" t="s">
        <v>197</v>
      </c>
      <c r="O1230" s="11" t="s">
        <v>386</v>
      </c>
      <c r="P1230" s="11" t="s">
        <v>38</v>
      </c>
      <c r="Q1230" s="20">
        <v>40022.0</v>
      </c>
      <c r="R1230" s="17">
        <f t="shared" si="2"/>
        <v>172.2189233</v>
      </c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>
        <f t="shared" si="8"/>
        <v>4</v>
      </c>
      <c r="AF1230" s="19">
        <f t="shared" si="13"/>
        <v>2</v>
      </c>
      <c r="AG1230" s="9"/>
      <c r="AH1230" s="9"/>
      <c r="AI1230" s="9"/>
    </row>
    <row r="1231" ht="15.0" customHeight="1">
      <c r="A1231" s="11">
        <v>1230.0</v>
      </c>
      <c r="B1231" s="12">
        <f t="shared" si="200"/>
        <v>40020</v>
      </c>
      <c r="C1231" s="13">
        <v>2009.0</v>
      </c>
      <c r="D1231" s="11" t="s">
        <v>44</v>
      </c>
      <c r="E1231" s="11">
        <v>26.0</v>
      </c>
      <c r="F1231" s="21" t="s">
        <v>1158</v>
      </c>
      <c r="G1231" s="15">
        <v>0.06412698412698412</v>
      </c>
      <c r="H1231" s="11" t="s">
        <v>33</v>
      </c>
      <c r="I1231" s="16">
        <v>3.3360000000000003</v>
      </c>
      <c r="J1231" s="11" t="s">
        <v>239</v>
      </c>
      <c r="K1231" s="11" t="s">
        <v>61</v>
      </c>
      <c r="L1231" s="11" t="s">
        <v>48</v>
      </c>
      <c r="M1231" s="11" t="s">
        <v>28</v>
      </c>
      <c r="N1231" s="11" t="s">
        <v>62</v>
      </c>
      <c r="O1231" s="11" t="s">
        <v>1532</v>
      </c>
      <c r="P1231" s="11" t="s">
        <v>99</v>
      </c>
      <c r="Q1231" s="20">
        <v>40022.0</v>
      </c>
      <c r="R1231" s="17">
        <f t="shared" si="2"/>
        <v>6.049483175</v>
      </c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>
        <f t="shared" si="8"/>
        <v>4</v>
      </c>
      <c r="AF1231" s="19">
        <f t="shared" si="13"/>
        <v>4</v>
      </c>
      <c r="AG1231" s="9"/>
      <c r="AH1231" s="9"/>
      <c r="AI1231" s="9"/>
    </row>
    <row r="1232" ht="15.0" customHeight="1">
      <c r="A1232" s="11">
        <v>1231.0</v>
      </c>
      <c r="B1232" s="12">
        <f t="shared" si="200"/>
        <v>40020</v>
      </c>
      <c r="C1232" s="13">
        <v>2009.0</v>
      </c>
      <c r="D1232" s="11" t="s">
        <v>44</v>
      </c>
      <c r="E1232" s="11">
        <v>48.0</v>
      </c>
      <c r="F1232" s="21" t="s">
        <v>865</v>
      </c>
      <c r="G1232" s="15">
        <v>0.04812764571800696</v>
      </c>
      <c r="H1232" s="11" t="s">
        <v>33</v>
      </c>
      <c r="I1232" s="16">
        <v>3.3600000000000003</v>
      </c>
      <c r="J1232" s="11" t="s">
        <v>239</v>
      </c>
      <c r="K1232" s="11" t="s">
        <v>61</v>
      </c>
      <c r="L1232" s="11" t="s">
        <v>48</v>
      </c>
      <c r="M1232" s="11" t="s">
        <v>66</v>
      </c>
      <c r="N1232" s="11" t="s">
        <v>80</v>
      </c>
      <c r="O1232" s="11" t="s">
        <v>1519</v>
      </c>
      <c r="P1232" s="11" t="s">
        <v>38</v>
      </c>
      <c r="Q1232" s="20">
        <v>40022.0</v>
      </c>
      <c r="R1232" s="17">
        <f t="shared" si="2"/>
        <v>464.2662221</v>
      </c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>
        <f t="shared" si="8"/>
        <v>4</v>
      </c>
      <c r="AF1232" s="19">
        <f t="shared" si="13"/>
        <v>4</v>
      </c>
      <c r="AG1232" s="9"/>
      <c r="AH1232" s="9"/>
      <c r="AI1232" s="9"/>
    </row>
    <row r="1233" ht="15.0" customHeight="1">
      <c r="A1233" s="11">
        <v>1232.0</v>
      </c>
      <c r="B1233" s="12">
        <f t="shared" si="200"/>
        <v>40020</v>
      </c>
      <c r="C1233" s="13">
        <v>2009.0</v>
      </c>
      <c r="D1233" s="11" t="s">
        <v>44</v>
      </c>
      <c r="E1233" s="11">
        <v>8.0</v>
      </c>
      <c r="F1233" s="21" t="s">
        <v>569</v>
      </c>
      <c r="G1233" s="15">
        <v>0.0668610715979137</v>
      </c>
      <c r="H1233" s="11" t="s">
        <v>33</v>
      </c>
      <c r="I1233" s="16">
        <v>7.192</v>
      </c>
      <c r="J1233" s="11" t="s">
        <v>239</v>
      </c>
      <c r="K1233" s="11" t="s">
        <v>61</v>
      </c>
      <c r="L1233" s="11" t="s">
        <v>48</v>
      </c>
      <c r="M1233" s="11" t="s">
        <v>66</v>
      </c>
      <c r="N1233" s="11" t="s">
        <v>80</v>
      </c>
      <c r="O1233" s="11" t="s">
        <v>1645</v>
      </c>
      <c r="P1233" s="11" t="s">
        <v>38</v>
      </c>
      <c r="Q1233" s="20">
        <v>40022.0</v>
      </c>
      <c r="R1233" s="17">
        <f t="shared" si="2"/>
        <v>105.2655362</v>
      </c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>
        <f t="shared" si="8"/>
        <v>4</v>
      </c>
      <c r="AF1233" s="19">
        <f t="shared" si="13"/>
        <v>4</v>
      </c>
      <c r="AG1233" s="9"/>
      <c r="AH1233" s="9"/>
      <c r="AI1233" s="9"/>
    </row>
    <row r="1234" ht="15.0" customHeight="1">
      <c r="A1234" s="11">
        <v>1233.0</v>
      </c>
      <c r="B1234" s="12">
        <f t="shared" si="200"/>
        <v>40020</v>
      </c>
      <c r="C1234" s="13">
        <v>2009.0</v>
      </c>
      <c r="D1234" s="11" t="s">
        <v>44</v>
      </c>
      <c r="E1234" s="11">
        <v>32.0</v>
      </c>
      <c r="F1234" s="21" t="s">
        <v>163</v>
      </c>
      <c r="G1234" s="15">
        <v>0.01411849710982651</v>
      </c>
      <c r="H1234" s="11" t="s">
        <v>45</v>
      </c>
      <c r="I1234" s="16">
        <v>45.904</v>
      </c>
      <c r="J1234" s="11" t="s">
        <v>1110</v>
      </c>
      <c r="K1234" s="11" t="s">
        <v>61</v>
      </c>
      <c r="L1234" s="11" t="s">
        <v>41</v>
      </c>
      <c r="M1234" s="11" t="s">
        <v>49</v>
      </c>
      <c r="N1234" s="11" t="s">
        <v>156</v>
      </c>
      <c r="O1234" s="11" t="s">
        <v>852</v>
      </c>
      <c r="P1234" s="11" t="s">
        <v>87</v>
      </c>
      <c r="Q1234" s="20">
        <v>40022.0</v>
      </c>
      <c r="R1234" s="17">
        <f t="shared" si="2"/>
        <v>46.23389896</v>
      </c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>
        <f t="shared" si="8"/>
        <v>3</v>
      </c>
      <c r="AF1234" s="19">
        <f t="shared" si="13"/>
        <v>4</v>
      </c>
      <c r="AG1234" s="9"/>
      <c r="AH1234" s="9"/>
      <c r="AI1234" s="9"/>
    </row>
    <row r="1235" ht="15.0" customHeight="1">
      <c r="A1235" s="11">
        <v>1234.0</v>
      </c>
      <c r="B1235" s="12">
        <f t="shared" si="200"/>
        <v>40020</v>
      </c>
      <c r="C1235" s="13">
        <v>2009.0</v>
      </c>
      <c r="D1235" s="11" t="s">
        <v>44</v>
      </c>
      <c r="E1235" s="11">
        <v>14.0</v>
      </c>
      <c r="F1235" s="21" t="s">
        <v>797</v>
      </c>
      <c r="G1235" s="15">
        <v>0.016373626373626278</v>
      </c>
      <c r="H1235" s="11" t="s">
        <v>33</v>
      </c>
      <c r="I1235" s="16">
        <v>1.816</v>
      </c>
      <c r="J1235" s="11" t="s">
        <v>1110</v>
      </c>
      <c r="K1235" s="11" t="s">
        <v>61</v>
      </c>
      <c r="L1235" s="11" t="s">
        <v>41</v>
      </c>
      <c r="M1235" s="11" t="s">
        <v>28</v>
      </c>
      <c r="N1235" s="11" t="s">
        <v>56</v>
      </c>
      <c r="O1235" s="11" t="s">
        <v>71</v>
      </c>
      <c r="P1235" s="11" t="s">
        <v>58</v>
      </c>
      <c r="Q1235" s="20">
        <v>40022.0</v>
      </c>
      <c r="R1235" s="17">
        <f t="shared" si="2"/>
        <v>2.344965275</v>
      </c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>
        <f t="shared" si="8"/>
        <v>3</v>
      </c>
      <c r="AF1235" s="19">
        <f t="shared" si="13"/>
        <v>4</v>
      </c>
      <c r="AG1235" s="9"/>
      <c r="AH1235" s="9"/>
      <c r="AI1235" s="9"/>
    </row>
    <row r="1236" ht="15.0" customHeight="1">
      <c r="A1236" s="11">
        <v>1235.0</v>
      </c>
      <c r="B1236" s="12">
        <f t="shared" si="200"/>
        <v>40020</v>
      </c>
      <c r="C1236" s="13">
        <v>2009.0</v>
      </c>
      <c r="D1236" s="11" t="s">
        <v>44</v>
      </c>
      <c r="E1236" s="11">
        <v>18.0</v>
      </c>
      <c r="F1236" s="21" t="s">
        <v>1646</v>
      </c>
      <c r="G1236" s="15">
        <v>0.07174295240982118</v>
      </c>
      <c r="H1236" s="11" t="s">
        <v>33</v>
      </c>
      <c r="I1236" s="16">
        <v>5.632000000000001</v>
      </c>
      <c r="J1236" s="11" t="s">
        <v>961</v>
      </c>
      <c r="K1236" s="11" t="s">
        <v>83</v>
      </c>
      <c r="L1236" s="11" t="s">
        <v>36</v>
      </c>
      <c r="M1236" s="11" t="s">
        <v>28</v>
      </c>
      <c r="N1236" s="11" t="s">
        <v>29</v>
      </c>
      <c r="O1236" s="11" t="s">
        <v>1647</v>
      </c>
      <c r="P1236" s="11" t="s">
        <v>38</v>
      </c>
      <c r="Q1236" s="20">
        <v>40022.0</v>
      </c>
      <c r="R1236" s="17">
        <f t="shared" si="2"/>
        <v>21.9699878</v>
      </c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>
        <f t="shared" si="8"/>
        <v>2</v>
      </c>
      <c r="AF1236" s="19" t="b">
        <f t="shared" si="13"/>
        <v>0</v>
      </c>
      <c r="AG1236" s="9"/>
      <c r="AH1236" s="9"/>
      <c r="AI1236" s="9"/>
    </row>
    <row r="1237" ht="15.0" customHeight="1">
      <c r="A1237" s="11">
        <v>1236.0</v>
      </c>
      <c r="B1237" s="12">
        <f t="shared" si="200"/>
        <v>40020</v>
      </c>
      <c r="C1237" s="13">
        <v>2009.0</v>
      </c>
      <c r="D1237" s="11" t="s">
        <v>44</v>
      </c>
      <c r="E1237" s="11">
        <v>13.0</v>
      </c>
      <c r="F1237" s="21" t="s">
        <v>536</v>
      </c>
      <c r="G1237" s="15">
        <v>0.05628530670470749</v>
      </c>
      <c r="H1237" s="11" t="s">
        <v>45</v>
      </c>
      <c r="I1237" s="16">
        <v>56.160000000000004</v>
      </c>
      <c r="J1237" s="11" t="s">
        <v>961</v>
      </c>
      <c r="K1237" s="11" t="s">
        <v>83</v>
      </c>
      <c r="L1237" s="11" t="s">
        <v>36</v>
      </c>
      <c r="M1237" s="11" t="s">
        <v>49</v>
      </c>
      <c r="N1237" s="11" t="s">
        <v>50</v>
      </c>
      <c r="O1237" s="11" t="s">
        <v>537</v>
      </c>
      <c r="P1237" s="11" t="s">
        <v>52</v>
      </c>
      <c r="Q1237" s="20">
        <v>40022.0</v>
      </c>
      <c r="R1237" s="17">
        <f t="shared" si="2"/>
        <v>93.08801735</v>
      </c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>
        <f t="shared" si="8"/>
        <v>2</v>
      </c>
      <c r="AF1237" s="19" t="b">
        <f t="shared" si="13"/>
        <v>0</v>
      </c>
      <c r="AG1237" s="9"/>
      <c r="AH1237" s="9"/>
      <c r="AI1237" s="9"/>
    </row>
    <row r="1238" ht="15.0" customHeight="1">
      <c r="A1238" s="11">
        <v>1237.0</v>
      </c>
      <c r="B1238" s="12">
        <f t="shared" si="200"/>
        <v>40020</v>
      </c>
      <c r="C1238" s="13">
        <v>2009.0</v>
      </c>
      <c r="D1238" s="11" t="s">
        <v>44</v>
      </c>
      <c r="E1238" s="11">
        <v>31.0</v>
      </c>
      <c r="F1238" s="21" t="s">
        <v>158</v>
      </c>
      <c r="G1238" s="15">
        <v>0.06482887951242383</v>
      </c>
      <c r="H1238" s="11" t="s">
        <v>33</v>
      </c>
      <c r="I1238" s="16">
        <v>1.072</v>
      </c>
      <c r="J1238" s="11" t="s">
        <v>961</v>
      </c>
      <c r="K1238" s="11" t="s">
        <v>83</v>
      </c>
      <c r="L1238" s="11" t="s">
        <v>36</v>
      </c>
      <c r="M1238" s="11" t="s">
        <v>28</v>
      </c>
      <c r="N1238" s="11" t="s">
        <v>56</v>
      </c>
      <c r="O1238" s="11" t="s">
        <v>1604</v>
      </c>
      <c r="P1238" s="11" t="s">
        <v>58</v>
      </c>
      <c r="Q1238" s="20">
        <v>40023.0</v>
      </c>
      <c r="R1238" s="17">
        <f t="shared" si="2"/>
        <v>12.93154625</v>
      </c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>
        <f t="shared" si="8"/>
        <v>2</v>
      </c>
      <c r="AF1238" s="19" t="b">
        <f t="shared" si="13"/>
        <v>0</v>
      </c>
      <c r="AG1238" s="9"/>
      <c r="AH1238" s="9"/>
      <c r="AI1238" s="9"/>
    </row>
    <row r="1239" ht="15.0" customHeight="1">
      <c r="A1239" s="11">
        <v>1238.0</v>
      </c>
      <c r="B1239" s="12">
        <f t="shared" si="200"/>
        <v>40020</v>
      </c>
      <c r="C1239" s="13">
        <v>2009.0</v>
      </c>
      <c r="D1239" s="11" t="s">
        <v>32</v>
      </c>
      <c r="E1239" s="11">
        <v>40.0</v>
      </c>
      <c r="F1239" s="21" t="s">
        <v>562</v>
      </c>
      <c r="G1239" s="15">
        <v>0.010312941013924938</v>
      </c>
      <c r="H1239" s="11" t="s">
        <v>45</v>
      </c>
      <c r="I1239" s="16">
        <v>20.8</v>
      </c>
      <c r="J1239" s="11" t="s">
        <v>1648</v>
      </c>
      <c r="K1239" s="11" t="s">
        <v>35</v>
      </c>
      <c r="L1239" s="11" t="s">
        <v>27</v>
      </c>
      <c r="M1239" s="11" t="s">
        <v>49</v>
      </c>
      <c r="N1239" s="11" t="s">
        <v>50</v>
      </c>
      <c r="O1239" s="11" t="s">
        <v>1649</v>
      </c>
      <c r="P1239" s="11" t="s">
        <v>52</v>
      </c>
      <c r="Q1239" s="20">
        <v>40023.0</v>
      </c>
      <c r="R1239" s="17">
        <f t="shared" si="2"/>
        <v>206.8445953</v>
      </c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>
        <f t="shared" si="8"/>
        <v>1</v>
      </c>
      <c r="AF1239" s="19">
        <f t="shared" si="13"/>
        <v>2</v>
      </c>
      <c r="AG1239" s="9"/>
      <c r="AH1239" s="9"/>
      <c r="AI1239" s="9"/>
    </row>
    <row r="1240" ht="15.0" customHeight="1">
      <c r="A1240" s="11">
        <v>1239.0</v>
      </c>
      <c r="B1240" s="12">
        <f t="shared" si="200"/>
        <v>40020</v>
      </c>
      <c r="C1240" s="13">
        <v>2009.0</v>
      </c>
      <c r="D1240" s="11" t="s">
        <v>102</v>
      </c>
      <c r="E1240" s="11">
        <v>50.0</v>
      </c>
      <c r="F1240" s="21" t="s">
        <v>668</v>
      </c>
      <c r="G1240" s="15">
        <v>0.0478281622911695</v>
      </c>
      <c r="H1240" s="11" t="s">
        <v>33</v>
      </c>
      <c r="I1240" s="16">
        <v>3.9600000000000004</v>
      </c>
      <c r="J1240" s="11" t="s">
        <v>925</v>
      </c>
      <c r="K1240" s="11" t="s">
        <v>35</v>
      </c>
      <c r="L1240" s="11" t="s">
        <v>27</v>
      </c>
      <c r="M1240" s="11" t="s">
        <v>49</v>
      </c>
      <c r="N1240" s="11" t="s">
        <v>73</v>
      </c>
      <c r="O1240" s="11" t="s">
        <v>1481</v>
      </c>
      <c r="P1240" s="11" t="s">
        <v>38</v>
      </c>
      <c r="Q1240" s="20">
        <v>40023.0</v>
      </c>
      <c r="R1240" s="17">
        <f t="shared" si="2"/>
        <v>19.08152363</v>
      </c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>
        <f t="shared" si="8"/>
        <v>1</v>
      </c>
      <c r="AF1240" s="19">
        <f t="shared" si="13"/>
        <v>2</v>
      </c>
      <c r="AG1240" s="9"/>
      <c r="AH1240" s="9"/>
      <c r="AI1240" s="9"/>
    </row>
    <row r="1241" ht="15.0" customHeight="1">
      <c r="A1241" s="11">
        <v>1240.0</v>
      </c>
      <c r="B1241" s="12">
        <f t="shared" si="200"/>
        <v>40020</v>
      </c>
      <c r="C1241" s="13">
        <v>2009.0</v>
      </c>
      <c r="D1241" s="11" t="s">
        <v>44</v>
      </c>
      <c r="E1241" s="11">
        <v>16.0</v>
      </c>
      <c r="F1241" s="21" t="s">
        <v>126</v>
      </c>
      <c r="G1241" s="15">
        <v>0.047414187643020654</v>
      </c>
      <c r="H1241" s="11" t="s">
        <v>33</v>
      </c>
      <c r="I1241" s="16">
        <v>4.856000000000001</v>
      </c>
      <c r="J1241" s="11" t="s">
        <v>608</v>
      </c>
      <c r="K1241" s="11" t="s">
        <v>35</v>
      </c>
      <c r="L1241" s="11" t="s">
        <v>27</v>
      </c>
      <c r="M1241" s="11" t="s">
        <v>28</v>
      </c>
      <c r="N1241" s="11" t="s">
        <v>56</v>
      </c>
      <c r="O1241" s="11" t="s">
        <v>1316</v>
      </c>
      <c r="P1241" s="11" t="s">
        <v>38</v>
      </c>
      <c r="Q1241" s="20">
        <v>40023.0</v>
      </c>
      <c r="R1241" s="17">
        <f t="shared" si="2"/>
        <v>3.947515606</v>
      </c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>
        <f t="shared" si="8"/>
        <v>1</v>
      </c>
      <c r="AF1241" s="19">
        <f t="shared" si="13"/>
        <v>2</v>
      </c>
      <c r="AG1241" s="9"/>
      <c r="AH1241" s="9"/>
      <c r="AI1241" s="9"/>
    </row>
    <row r="1242" ht="15.0" customHeight="1">
      <c r="A1242" s="11">
        <v>1241.0</v>
      </c>
      <c r="B1242" s="12">
        <f t="shared" ref="B1242:B1248" si="201">DATE(2012,12,31)-1253</f>
        <v>40021</v>
      </c>
      <c r="C1242" s="13">
        <v>2009.0</v>
      </c>
      <c r="D1242" s="11" t="s">
        <v>23</v>
      </c>
      <c r="E1242" s="11">
        <v>24.0</v>
      </c>
      <c r="F1242" s="21" t="s">
        <v>328</v>
      </c>
      <c r="G1242" s="15">
        <v>0.09224761904761893</v>
      </c>
      <c r="H1242" s="11" t="s">
        <v>24</v>
      </c>
      <c r="I1242" s="16">
        <v>7.192</v>
      </c>
      <c r="J1242" s="11" t="s">
        <v>1650</v>
      </c>
      <c r="K1242" s="11" t="s">
        <v>65</v>
      </c>
      <c r="L1242" s="11" t="s">
        <v>27</v>
      </c>
      <c r="M1242" s="11" t="s">
        <v>66</v>
      </c>
      <c r="N1242" s="11" t="s">
        <v>80</v>
      </c>
      <c r="O1242" s="11" t="s">
        <v>1651</v>
      </c>
      <c r="P1242" s="11" t="s">
        <v>38</v>
      </c>
      <c r="Q1242" s="20">
        <v>40023.0</v>
      </c>
      <c r="R1242" s="17">
        <f t="shared" si="2"/>
        <v>246.1897077</v>
      </c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>
        <f t="shared" si="8"/>
        <v>1</v>
      </c>
      <c r="AF1242" s="19">
        <f t="shared" si="13"/>
        <v>5</v>
      </c>
      <c r="AG1242" s="9"/>
      <c r="AH1242" s="9"/>
      <c r="AI1242" s="9"/>
    </row>
    <row r="1243" ht="15.0" customHeight="1">
      <c r="A1243" s="11">
        <v>1242.0</v>
      </c>
      <c r="B1243" s="12">
        <f t="shared" si="201"/>
        <v>40021</v>
      </c>
      <c r="C1243" s="13">
        <v>2009.0</v>
      </c>
      <c r="D1243" s="11" t="s">
        <v>23</v>
      </c>
      <c r="E1243" s="11">
        <v>39.0</v>
      </c>
      <c r="F1243" s="21" t="s">
        <v>624</v>
      </c>
      <c r="G1243" s="15">
        <v>0.022064541992383207</v>
      </c>
      <c r="H1243" s="11" t="s">
        <v>33</v>
      </c>
      <c r="I1243" s="16">
        <v>0.392</v>
      </c>
      <c r="J1243" s="11" t="s">
        <v>1599</v>
      </c>
      <c r="K1243" s="11" t="s">
        <v>35</v>
      </c>
      <c r="L1243" s="11" t="s">
        <v>36</v>
      </c>
      <c r="M1243" s="11" t="s">
        <v>28</v>
      </c>
      <c r="N1243" s="11" t="s">
        <v>188</v>
      </c>
      <c r="O1243" s="11" t="s">
        <v>1556</v>
      </c>
      <c r="P1243" s="11" t="s">
        <v>38</v>
      </c>
      <c r="Q1243" s="20">
        <v>40023.0</v>
      </c>
      <c r="R1243" s="17">
        <f t="shared" si="2"/>
        <v>10.76511352</v>
      </c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>
        <f t="shared" si="8"/>
        <v>2</v>
      </c>
      <c r="AF1243" s="19">
        <f t="shared" si="13"/>
        <v>2</v>
      </c>
      <c r="AG1243" s="9"/>
      <c r="AH1243" s="9"/>
      <c r="AI1243" s="9"/>
    </row>
    <row r="1244" ht="15.0" customHeight="1">
      <c r="A1244" s="11">
        <v>1243.0</v>
      </c>
      <c r="B1244" s="12">
        <f t="shared" si="201"/>
        <v>40021</v>
      </c>
      <c r="C1244" s="13">
        <v>2009.0</v>
      </c>
      <c r="D1244" s="11" t="s">
        <v>23</v>
      </c>
      <c r="E1244" s="11">
        <v>37.0</v>
      </c>
      <c r="F1244" s="21" t="s">
        <v>486</v>
      </c>
      <c r="G1244" s="15">
        <v>0.08140926640926639</v>
      </c>
      <c r="H1244" s="11" t="s">
        <v>24</v>
      </c>
      <c r="I1244" s="16">
        <v>1.6320000000000001</v>
      </c>
      <c r="J1244" s="11" t="s">
        <v>1599</v>
      </c>
      <c r="K1244" s="11" t="s">
        <v>35</v>
      </c>
      <c r="L1244" s="11" t="s">
        <v>36</v>
      </c>
      <c r="M1244" s="11" t="s">
        <v>28</v>
      </c>
      <c r="N1244" s="11" t="s">
        <v>56</v>
      </c>
      <c r="O1244" s="11" t="s">
        <v>1340</v>
      </c>
      <c r="P1244" s="11" t="s">
        <v>58</v>
      </c>
      <c r="Q1244" s="20">
        <v>40023.0</v>
      </c>
      <c r="R1244" s="17">
        <f t="shared" si="2"/>
        <v>15.49478849</v>
      </c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>
        <f t="shared" si="8"/>
        <v>2</v>
      </c>
      <c r="AF1244" s="19">
        <f t="shared" si="13"/>
        <v>2</v>
      </c>
      <c r="AG1244" s="9"/>
      <c r="AH1244" s="9"/>
      <c r="AI1244" s="9"/>
    </row>
    <row r="1245" ht="15.0" customHeight="1">
      <c r="A1245" s="11">
        <v>1244.0</v>
      </c>
      <c r="B1245" s="12">
        <f t="shared" si="201"/>
        <v>40021</v>
      </c>
      <c r="C1245" s="13">
        <v>2009.0</v>
      </c>
      <c r="D1245" s="11" t="s">
        <v>39</v>
      </c>
      <c r="E1245" s="11">
        <v>21.0</v>
      </c>
      <c r="F1245" s="21" t="s">
        <v>762</v>
      </c>
      <c r="G1245" s="15">
        <v>0.038318181818181765</v>
      </c>
      <c r="H1245" s="11" t="s">
        <v>33</v>
      </c>
      <c r="I1245" s="16">
        <v>3.9840000000000004</v>
      </c>
      <c r="J1245" s="11" t="s">
        <v>1652</v>
      </c>
      <c r="K1245" s="11" t="s">
        <v>117</v>
      </c>
      <c r="L1245" s="11" t="s">
        <v>48</v>
      </c>
      <c r="M1245" s="11" t="s">
        <v>28</v>
      </c>
      <c r="N1245" s="11" t="s">
        <v>197</v>
      </c>
      <c r="O1245" s="11" t="s">
        <v>1001</v>
      </c>
      <c r="P1245" s="11" t="s">
        <v>38</v>
      </c>
      <c r="Q1245" s="20">
        <v>40024.0</v>
      </c>
      <c r="R1245" s="17">
        <f t="shared" si="2"/>
        <v>9.728373273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>
        <f t="shared" si="8"/>
        <v>4</v>
      </c>
      <c r="AF1245" s="19" t="b">
        <f t="shared" si="13"/>
        <v>0</v>
      </c>
      <c r="AG1245" s="9"/>
      <c r="AH1245" s="9"/>
      <c r="AI1245" s="9"/>
    </row>
    <row r="1246" ht="15.0" customHeight="1">
      <c r="A1246" s="11">
        <v>1245.0</v>
      </c>
      <c r="B1246" s="12">
        <f t="shared" si="201"/>
        <v>40021</v>
      </c>
      <c r="C1246" s="13">
        <v>2009.0</v>
      </c>
      <c r="D1246" s="11" t="s">
        <v>102</v>
      </c>
      <c r="E1246" s="11">
        <v>31.0</v>
      </c>
      <c r="F1246" s="21" t="s">
        <v>333</v>
      </c>
      <c r="G1246" s="15">
        <v>0.08784708249496995</v>
      </c>
      <c r="H1246" s="11" t="s">
        <v>33</v>
      </c>
      <c r="I1246" s="16">
        <v>0.768</v>
      </c>
      <c r="J1246" s="11" t="s">
        <v>1653</v>
      </c>
      <c r="K1246" s="11" t="s">
        <v>83</v>
      </c>
      <c r="L1246" s="11" t="s">
        <v>36</v>
      </c>
      <c r="M1246" s="11" t="s">
        <v>28</v>
      </c>
      <c r="N1246" s="11" t="s">
        <v>62</v>
      </c>
      <c r="O1246" s="11" t="s">
        <v>549</v>
      </c>
      <c r="P1246" s="11" t="s">
        <v>58</v>
      </c>
      <c r="Q1246" s="20">
        <v>40024.0</v>
      </c>
      <c r="R1246" s="17">
        <f t="shared" si="2"/>
        <v>7.964919276</v>
      </c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>
        <f t="shared" si="8"/>
        <v>2</v>
      </c>
      <c r="AF1246" s="19" t="b">
        <f t="shared" si="13"/>
        <v>0</v>
      </c>
      <c r="AG1246" s="9"/>
      <c r="AH1246" s="9"/>
      <c r="AI1246" s="9"/>
    </row>
    <row r="1247" ht="15.0" customHeight="1">
      <c r="A1247" s="11">
        <v>1246.0</v>
      </c>
      <c r="B1247" s="12">
        <f t="shared" si="201"/>
        <v>40021</v>
      </c>
      <c r="C1247" s="13">
        <v>2009.0</v>
      </c>
      <c r="D1247" s="11" t="s">
        <v>23</v>
      </c>
      <c r="E1247" s="11">
        <v>15.0</v>
      </c>
      <c r="F1247" s="21" t="s">
        <v>147</v>
      </c>
      <c r="G1247" s="15">
        <v>0.06306188925081434</v>
      </c>
      <c r="H1247" s="11" t="s">
        <v>33</v>
      </c>
      <c r="I1247" s="16">
        <v>3.2640000000000002</v>
      </c>
      <c r="J1247" s="11" t="s">
        <v>1654</v>
      </c>
      <c r="K1247" s="11" t="s">
        <v>117</v>
      </c>
      <c r="L1247" s="11" t="s">
        <v>36</v>
      </c>
      <c r="M1247" s="11" t="s">
        <v>49</v>
      </c>
      <c r="N1247" s="11" t="s">
        <v>73</v>
      </c>
      <c r="O1247" s="11" t="s">
        <v>458</v>
      </c>
      <c r="P1247" s="11" t="s">
        <v>99</v>
      </c>
      <c r="Q1247" s="20">
        <v>40024.0</v>
      </c>
      <c r="R1247" s="17">
        <f t="shared" si="2"/>
        <v>1.813912182</v>
      </c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>
        <f t="shared" si="8"/>
        <v>2</v>
      </c>
      <c r="AF1247" s="19" t="b">
        <f t="shared" si="13"/>
        <v>0</v>
      </c>
      <c r="AG1247" s="9"/>
      <c r="AH1247" s="9"/>
      <c r="AI1247" s="9"/>
    </row>
    <row r="1248" ht="15.0" customHeight="1">
      <c r="A1248" s="11">
        <v>1247.0</v>
      </c>
      <c r="B1248" s="12">
        <f t="shared" si="201"/>
        <v>40021</v>
      </c>
      <c r="C1248" s="13">
        <v>2009.0</v>
      </c>
      <c r="D1248" s="11" t="s">
        <v>44</v>
      </c>
      <c r="E1248" s="11">
        <v>39.0</v>
      </c>
      <c r="F1248" s="21" t="s">
        <v>314</v>
      </c>
      <c r="G1248" s="15">
        <v>0.09121122599704586</v>
      </c>
      <c r="H1248" s="11" t="s">
        <v>33</v>
      </c>
      <c r="I1248" s="16">
        <v>0.4</v>
      </c>
      <c r="J1248" s="11" t="s">
        <v>1655</v>
      </c>
      <c r="K1248" s="11" t="s">
        <v>65</v>
      </c>
      <c r="L1248" s="11" t="s">
        <v>48</v>
      </c>
      <c r="M1248" s="11" t="s">
        <v>28</v>
      </c>
      <c r="N1248" s="11" t="s">
        <v>188</v>
      </c>
      <c r="O1248" s="11" t="s">
        <v>1143</v>
      </c>
      <c r="P1248" s="11" t="s">
        <v>38</v>
      </c>
      <c r="Q1248" s="20">
        <v>40024.0</v>
      </c>
      <c r="R1248" s="17">
        <f t="shared" si="2"/>
        <v>22.44708272</v>
      </c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>
        <f t="shared" si="8"/>
        <v>4</v>
      </c>
      <c r="AF1248" s="19">
        <f t="shared" si="13"/>
        <v>5</v>
      </c>
      <c r="AG1248" s="9"/>
      <c r="AH1248" s="9"/>
      <c r="AI1248" s="9"/>
    </row>
    <row r="1249" ht="15.0" customHeight="1">
      <c r="A1249" s="11">
        <v>1248.0</v>
      </c>
      <c r="B1249" s="12">
        <f t="shared" ref="B1249:B1251" si="202">DATE(2012,12,31)-1252</f>
        <v>40022</v>
      </c>
      <c r="C1249" s="13">
        <v>2009.0</v>
      </c>
      <c r="D1249" s="11" t="s">
        <v>39</v>
      </c>
      <c r="E1249" s="11">
        <v>40.0</v>
      </c>
      <c r="F1249" s="21" t="s">
        <v>619</v>
      </c>
      <c r="G1249" s="15">
        <v>0.011387121611216886</v>
      </c>
      <c r="H1249" s="11" t="s">
        <v>24</v>
      </c>
      <c r="I1249" s="16">
        <v>3.6</v>
      </c>
      <c r="J1249" s="11" t="s">
        <v>1324</v>
      </c>
      <c r="K1249" s="11" t="s">
        <v>61</v>
      </c>
      <c r="L1249" s="11" t="s">
        <v>48</v>
      </c>
      <c r="M1249" s="11" t="s">
        <v>28</v>
      </c>
      <c r="N1249" s="11" t="s">
        <v>197</v>
      </c>
      <c r="O1249" s="11" t="s">
        <v>1388</v>
      </c>
      <c r="P1249" s="11" t="s">
        <v>38</v>
      </c>
      <c r="Q1249" s="20">
        <v>40024.0</v>
      </c>
      <c r="R1249" s="17">
        <f t="shared" si="2"/>
        <v>27.78002188</v>
      </c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>
        <f t="shared" si="8"/>
        <v>4</v>
      </c>
      <c r="AF1249" s="19">
        <f t="shared" si="13"/>
        <v>4</v>
      </c>
      <c r="AG1249" s="9"/>
      <c r="AH1249" s="9"/>
      <c r="AI1249" s="9"/>
    </row>
    <row r="1250" ht="15.0" customHeight="1">
      <c r="A1250" s="11">
        <v>1249.0</v>
      </c>
      <c r="B1250" s="12">
        <f t="shared" si="202"/>
        <v>40022</v>
      </c>
      <c r="C1250" s="13">
        <v>2009.0</v>
      </c>
      <c r="D1250" s="11" t="s">
        <v>39</v>
      </c>
      <c r="E1250" s="11">
        <v>46.0</v>
      </c>
      <c r="F1250" s="21" t="s">
        <v>536</v>
      </c>
      <c r="G1250" s="15">
        <v>0.02653033722087386</v>
      </c>
      <c r="H1250" s="11" t="s">
        <v>45</v>
      </c>
      <c r="I1250" s="16">
        <v>56.160000000000004</v>
      </c>
      <c r="J1250" s="11" t="s">
        <v>1324</v>
      </c>
      <c r="K1250" s="11" t="s">
        <v>61</v>
      </c>
      <c r="L1250" s="11" t="s">
        <v>48</v>
      </c>
      <c r="M1250" s="11" t="s">
        <v>49</v>
      </c>
      <c r="N1250" s="11" t="s">
        <v>50</v>
      </c>
      <c r="O1250" s="11" t="s">
        <v>537</v>
      </c>
      <c r="P1250" s="11" t="s">
        <v>52</v>
      </c>
      <c r="Q1250" s="20">
        <v>40025.0</v>
      </c>
      <c r="R1250" s="17">
        <f t="shared" si="2"/>
        <v>151.4765522</v>
      </c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>
        <f t="shared" si="8"/>
        <v>4</v>
      </c>
      <c r="AF1250" s="19">
        <f t="shared" si="13"/>
        <v>4</v>
      </c>
      <c r="AG1250" s="9"/>
      <c r="AH1250" s="9"/>
      <c r="AI1250" s="9"/>
    </row>
    <row r="1251" ht="15.0" customHeight="1">
      <c r="A1251" s="11">
        <v>1250.0</v>
      </c>
      <c r="B1251" s="12">
        <f t="shared" si="202"/>
        <v>40022</v>
      </c>
      <c r="C1251" s="13">
        <v>2009.0</v>
      </c>
      <c r="D1251" s="11" t="s">
        <v>39</v>
      </c>
      <c r="E1251" s="11">
        <v>4.0</v>
      </c>
      <c r="F1251" s="21" t="s">
        <v>1656</v>
      </c>
      <c r="G1251" s="15">
        <v>0.06554762142880954</v>
      </c>
      <c r="H1251" s="11" t="s">
        <v>45</v>
      </c>
      <c r="I1251" s="16">
        <v>6.984000000000001</v>
      </c>
      <c r="J1251" s="11" t="s">
        <v>1657</v>
      </c>
      <c r="K1251" s="11" t="s">
        <v>61</v>
      </c>
      <c r="L1251" s="11" t="s">
        <v>48</v>
      </c>
      <c r="M1251" s="11" t="s">
        <v>66</v>
      </c>
      <c r="N1251" s="11" t="s">
        <v>69</v>
      </c>
      <c r="O1251" s="11" t="s">
        <v>1658</v>
      </c>
      <c r="P1251" s="11" t="s">
        <v>87</v>
      </c>
      <c r="Q1251" s="20">
        <v>40025.0</v>
      </c>
      <c r="R1251" s="17">
        <f t="shared" si="2"/>
        <v>918.6750846</v>
      </c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>
        <f t="shared" si="8"/>
        <v>4</v>
      </c>
      <c r="AF1251" s="19">
        <f t="shared" si="13"/>
        <v>4</v>
      </c>
      <c r="AG1251" s="9"/>
      <c r="AH1251" s="9"/>
      <c r="AI1251" s="9"/>
    </row>
    <row r="1252" ht="15.0" customHeight="1">
      <c r="A1252" s="11">
        <v>1251.0</v>
      </c>
      <c r="B1252" s="12">
        <f t="shared" ref="B1252:B1255" si="203">DATE(2012,12,31)-1251</f>
        <v>40023</v>
      </c>
      <c r="C1252" s="13">
        <v>2009.0</v>
      </c>
      <c r="D1252" s="11" t="s">
        <v>39</v>
      </c>
      <c r="E1252" s="11">
        <v>25.0</v>
      </c>
      <c r="F1252" s="21" t="s">
        <v>1659</v>
      </c>
      <c r="G1252" s="15">
        <v>0.10239017477562583</v>
      </c>
      <c r="H1252" s="11" t="s">
        <v>33</v>
      </c>
      <c r="I1252" s="16">
        <v>5.024000000000001</v>
      </c>
      <c r="J1252" s="11" t="s">
        <v>1384</v>
      </c>
      <c r="K1252" s="11" t="s">
        <v>35</v>
      </c>
      <c r="L1252" s="11" t="s">
        <v>48</v>
      </c>
      <c r="M1252" s="11" t="s">
        <v>28</v>
      </c>
      <c r="N1252" s="11" t="s">
        <v>42</v>
      </c>
      <c r="O1252" s="11" t="s">
        <v>1660</v>
      </c>
      <c r="P1252" s="11" t="s">
        <v>38</v>
      </c>
      <c r="Q1252" s="20">
        <v>40025.0</v>
      </c>
      <c r="R1252" s="17">
        <f t="shared" si="2"/>
        <v>19.45659057</v>
      </c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>
        <f t="shared" si="8"/>
        <v>4</v>
      </c>
      <c r="AF1252" s="19">
        <f t="shared" si="13"/>
        <v>2</v>
      </c>
      <c r="AG1252" s="9"/>
      <c r="AH1252" s="9"/>
      <c r="AI1252" s="9"/>
    </row>
    <row r="1253" ht="15.0" customHeight="1">
      <c r="A1253" s="11">
        <v>1252.0</v>
      </c>
      <c r="B1253" s="12">
        <f t="shared" si="203"/>
        <v>40023</v>
      </c>
      <c r="C1253" s="13">
        <v>2009.0</v>
      </c>
      <c r="D1253" s="11" t="s">
        <v>39</v>
      </c>
      <c r="E1253" s="11">
        <v>34.0</v>
      </c>
      <c r="F1253" s="21" t="s">
        <v>158</v>
      </c>
      <c r="G1253" s="15">
        <v>0.028263888888888766</v>
      </c>
      <c r="H1253" s="11" t="s">
        <v>33</v>
      </c>
      <c r="I1253" s="16">
        <v>6.288</v>
      </c>
      <c r="J1253" s="11" t="s">
        <v>1384</v>
      </c>
      <c r="K1253" s="11" t="s">
        <v>35</v>
      </c>
      <c r="L1253" s="11" t="s">
        <v>48</v>
      </c>
      <c r="M1253" s="11" t="s">
        <v>28</v>
      </c>
      <c r="N1253" s="11" t="s">
        <v>56</v>
      </c>
      <c r="O1253" s="11" t="s">
        <v>1285</v>
      </c>
      <c r="P1253" s="11" t="s">
        <v>38</v>
      </c>
      <c r="Q1253" s="20">
        <v>40025.0</v>
      </c>
      <c r="R1253" s="17">
        <f t="shared" si="2"/>
        <v>6.327945556</v>
      </c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>
        <f t="shared" si="8"/>
        <v>4</v>
      </c>
      <c r="AF1253" s="19">
        <f t="shared" si="13"/>
        <v>2</v>
      </c>
      <c r="AG1253" s="9"/>
      <c r="AH1253" s="9"/>
      <c r="AI1253" s="9"/>
    </row>
    <row r="1254" ht="15.0" customHeight="1">
      <c r="A1254" s="11">
        <v>1253.0</v>
      </c>
      <c r="B1254" s="12">
        <f t="shared" si="203"/>
        <v>40023</v>
      </c>
      <c r="C1254" s="13">
        <v>2009.0</v>
      </c>
      <c r="D1254" s="11" t="s">
        <v>102</v>
      </c>
      <c r="E1254" s="11">
        <v>35.0</v>
      </c>
      <c r="F1254" s="21" t="s">
        <v>238</v>
      </c>
      <c r="G1254" s="15">
        <v>0.0738779731127198</v>
      </c>
      <c r="H1254" s="11" t="s">
        <v>33</v>
      </c>
      <c r="I1254" s="16">
        <v>4.112</v>
      </c>
      <c r="J1254" s="11" t="s">
        <v>1196</v>
      </c>
      <c r="K1254" s="11" t="s">
        <v>61</v>
      </c>
      <c r="L1254" s="11" t="s">
        <v>41</v>
      </c>
      <c r="M1254" s="11" t="s">
        <v>66</v>
      </c>
      <c r="N1254" s="11" t="s">
        <v>67</v>
      </c>
      <c r="O1254" s="11" t="s">
        <v>240</v>
      </c>
      <c r="P1254" s="11" t="s">
        <v>99</v>
      </c>
      <c r="Q1254" s="20">
        <v>40025.0</v>
      </c>
      <c r="R1254" s="17">
        <f t="shared" si="2"/>
        <v>13.23243152</v>
      </c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>
        <f t="shared" si="8"/>
        <v>3</v>
      </c>
      <c r="AF1254" s="19">
        <f t="shared" si="13"/>
        <v>4</v>
      </c>
      <c r="AG1254" s="9"/>
      <c r="AH1254" s="9"/>
      <c r="AI1254" s="9"/>
    </row>
    <row r="1255" ht="15.0" customHeight="1">
      <c r="A1255" s="11">
        <v>1254.0</v>
      </c>
      <c r="B1255" s="12">
        <f t="shared" si="203"/>
        <v>40023</v>
      </c>
      <c r="C1255" s="13">
        <v>2009.0</v>
      </c>
      <c r="D1255" s="11" t="s">
        <v>102</v>
      </c>
      <c r="E1255" s="11">
        <v>19.0</v>
      </c>
      <c r="F1255" s="21" t="s">
        <v>799</v>
      </c>
      <c r="G1255" s="15">
        <v>0.06765627977066849</v>
      </c>
      <c r="H1255" s="11" t="s">
        <v>45</v>
      </c>
      <c r="I1255" s="16">
        <v>45.6</v>
      </c>
      <c r="J1255" s="11" t="s">
        <v>1196</v>
      </c>
      <c r="K1255" s="11" t="s">
        <v>61</v>
      </c>
      <c r="L1255" s="11" t="s">
        <v>41</v>
      </c>
      <c r="M1255" s="11" t="s">
        <v>49</v>
      </c>
      <c r="N1255" s="11" t="s">
        <v>50</v>
      </c>
      <c r="O1255" s="11" t="s">
        <v>801</v>
      </c>
      <c r="P1255" s="11" t="s">
        <v>52</v>
      </c>
      <c r="Q1255" s="20">
        <v>40026.0</v>
      </c>
      <c r="R1255" s="17">
        <f t="shared" si="2"/>
        <v>364.1734571</v>
      </c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>
        <f t="shared" si="8"/>
        <v>3</v>
      </c>
      <c r="AF1255" s="19">
        <f t="shared" si="13"/>
        <v>4</v>
      </c>
      <c r="AG1255" s="9"/>
      <c r="AH1255" s="9"/>
      <c r="AI1255" s="9"/>
    </row>
    <row r="1256" ht="15.0" customHeight="1">
      <c r="A1256" s="11">
        <v>1255.0</v>
      </c>
      <c r="B1256" s="12">
        <f t="shared" ref="B1256:B1261" si="204">DATE(2012,12,31)-1250</f>
        <v>40024</v>
      </c>
      <c r="C1256" s="13">
        <v>2009.0</v>
      </c>
      <c r="D1256" s="11" t="s">
        <v>23</v>
      </c>
      <c r="E1256" s="11">
        <v>7.0</v>
      </c>
      <c r="F1256" s="21" t="s">
        <v>142</v>
      </c>
      <c r="G1256" s="15">
        <v>0.041777440182301666</v>
      </c>
      <c r="H1256" s="11" t="s">
        <v>33</v>
      </c>
      <c r="I1256" s="16">
        <v>1.0</v>
      </c>
      <c r="J1256" s="11" t="s">
        <v>1564</v>
      </c>
      <c r="K1256" s="11" t="s">
        <v>35</v>
      </c>
      <c r="L1256" s="11" t="s">
        <v>27</v>
      </c>
      <c r="M1256" s="11" t="s">
        <v>66</v>
      </c>
      <c r="N1256" s="11" t="s">
        <v>80</v>
      </c>
      <c r="O1256" s="11" t="s">
        <v>1661</v>
      </c>
      <c r="P1256" s="11" t="s">
        <v>99</v>
      </c>
      <c r="Q1256" s="20">
        <v>40026.0</v>
      </c>
      <c r="R1256" s="17">
        <f t="shared" si="2"/>
        <v>10.54044816</v>
      </c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>
        <f t="shared" si="8"/>
        <v>1</v>
      </c>
      <c r="AF1256" s="19">
        <f t="shared" si="13"/>
        <v>2</v>
      </c>
      <c r="AG1256" s="9"/>
      <c r="AH1256" s="9"/>
      <c r="AI1256" s="9"/>
    </row>
    <row r="1257" ht="15.0" customHeight="1">
      <c r="A1257" s="11">
        <v>1256.0</v>
      </c>
      <c r="B1257" s="12">
        <f t="shared" si="204"/>
        <v>40024</v>
      </c>
      <c r="C1257" s="13">
        <v>2009.0</v>
      </c>
      <c r="D1257" s="11" t="s">
        <v>44</v>
      </c>
      <c r="E1257" s="11">
        <v>23.0</v>
      </c>
      <c r="F1257" s="21" t="s">
        <v>183</v>
      </c>
      <c r="G1257" s="15">
        <v>0.03154697554697562</v>
      </c>
      <c r="H1257" s="11" t="s">
        <v>24</v>
      </c>
      <c r="I1257" s="16">
        <v>10.544</v>
      </c>
      <c r="J1257" s="11" t="s">
        <v>274</v>
      </c>
      <c r="K1257" s="11" t="s">
        <v>35</v>
      </c>
      <c r="L1257" s="11" t="s">
        <v>48</v>
      </c>
      <c r="M1257" s="11" t="s">
        <v>28</v>
      </c>
      <c r="N1257" s="11" t="s">
        <v>42</v>
      </c>
      <c r="O1257" s="11" t="s">
        <v>185</v>
      </c>
      <c r="P1257" s="11" t="s">
        <v>38</v>
      </c>
      <c r="Q1257" s="20">
        <v>40026.0</v>
      </c>
      <c r="R1257" s="17">
        <f t="shared" si="2"/>
        <v>11.86936027</v>
      </c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>
        <f t="shared" si="8"/>
        <v>4</v>
      </c>
      <c r="AF1257" s="19">
        <f t="shared" si="13"/>
        <v>2</v>
      </c>
      <c r="AG1257" s="9"/>
      <c r="AH1257" s="9"/>
      <c r="AI1257" s="9"/>
    </row>
    <row r="1258" ht="15.0" customHeight="1">
      <c r="A1258" s="11">
        <v>1257.0</v>
      </c>
      <c r="B1258" s="12">
        <f t="shared" si="204"/>
        <v>40024</v>
      </c>
      <c r="C1258" s="13">
        <v>2009.0</v>
      </c>
      <c r="D1258" s="11" t="s">
        <v>44</v>
      </c>
      <c r="E1258" s="11">
        <v>32.0</v>
      </c>
      <c r="F1258" s="21" t="s">
        <v>1662</v>
      </c>
      <c r="G1258" s="15">
        <v>0.08414447282013865</v>
      </c>
      <c r="H1258" s="11" t="s">
        <v>24</v>
      </c>
      <c r="I1258" s="16">
        <v>5.416</v>
      </c>
      <c r="J1258" s="11" t="s">
        <v>274</v>
      </c>
      <c r="K1258" s="11" t="s">
        <v>35</v>
      </c>
      <c r="L1258" s="11" t="s">
        <v>48</v>
      </c>
      <c r="M1258" s="11" t="s">
        <v>49</v>
      </c>
      <c r="N1258" s="11" t="s">
        <v>73</v>
      </c>
      <c r="O1258" s="11" t="s">
        <v>1663</v>
      </c>
      <c r="P1258" s="11" t="s">
        <v>38</v>
      </c>
      <c r="Q1258" s="20">
        <v>40026.0</v>
      </c>
      <c r="R1258" s="17">
        <f t="shared" si="2"/>
        <v>126.7397513</v>
      </c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>
        <f t="shared" si="8"/>
        <v>4</v>
      </c>
      <c r="AF1258" s="19">
        <f t="shared" si="13"/>
        <v>2</v>
      </c>
      <c r="AG1258" s="9"/>
      <c r="AH1258" s="9"/>
      <c r="AI1258" s="9"/>
    </row>
    <row r="1259" ht="15.0" customHeight="1">
      <c r="A1259" s="11">
        <v>1258.0</v>
      </c>
      <c r="B1259" s="12">
        <f t="shared" si="204"/>
        <v>40024</v>
      </c>
      <c r="C1259" s="13">
        <v>2009.0</v>
      </c>
      <c r="D1259" s="11" t="s">
        <v>32</v>
      </c>
      <c r="E1259" s="11">
        <v>35.0</v>
      </c>
      <c r="F1259" s="21" t="s">
        <v>277</v>
      </c>
      <c r="G1259" s="15">
        <v>0.09548183254344388</v>
      </c>
      <c r="H1259" s="11" t="s">
        <v>33</v>
      </c>
      <c r="I1259" s="16">
        <v>1.2560000000000002</v>
      </c>
      <c r="J1259" s="11" t="s">
        <v>1623</v>
      </c>
      <c r="K1259" s="11" t="s">
        <v>35</v>
      </c>
      <c r="L1259" s="11" t="s">
        <v>48</v>
      </c>
      <c r="M1259" s="11" t="s">
        <v>28</v>
      </c>
      <c r="N1259" s="11" t="s">
        <v>62</v>
      </c>
      <c r="O1259" s="11" t="s">
        <v>355</v>
      </c>
      <c r="P1259" s="11" t="s">
        <v>58</v>
      </c>
      <c r="Q1259" s="20">
        <v>40026.0</v>
      </c>
      <c r="R1259" s="17">
        <f t="shared" si="2"/>
        <v>5.466907804</v>
      </c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>
        <f t="shared" si="8"/>
        <v>4</v>
      </c>
      <c r="AF1259" s="19">
        <f t="shared" si="13"/>
        <v>2</v>
      </c>
      <c r="AG1259" s="9"/>
      <c r="AH1259" s="9"/>
      <c r="AI1259" s="9"/>
    </row>
    <row r="1260" ht="15.0" customHeight="1">
      <c r="A1260" s="11">
        <v>1259.0</v>
      </c>
      <c r="B1260" s="12">
        <f t="shared" si="204"/>
        <v>40024</v>
      </c>
      <c r="C1260" s="13">
        <v>2009.0</v>
      </c>
      <c r="D1260" s="11" t="s">
        <v>32</v>
      </c>
      <c r="E1260" s="11">
        <v>2.0</v>
      </c>
      <c r="F1260" s="21" t="s">
        <v>521</v>
      </c>
      <c r="G1260" s="15">
        <v>0.11596988167802079</v>
      </c>
      <c r="H1260" s="11" t="s">
        <v>45</v>
      </c>
      <c r="I1260" s="16">
        <v>55.712</v>
      </c>
      <c r="J1260" s="11" t="s">
        <v>1623</v>
      </c>
      <c r="K1260" s="11" t="s">
        <v>35</v>
      </c>
      <c r="L1260" s="11" t="s">
        <v>48</v>
      </c>
      <c r="M1260" s="11" t="s">
        <v>49</v>
      </c>
      <c r="N1260" s="11" t="s">
        <v>85</v>
      </c>
      <c r="O1260" s="11" t="s">
        <v>522</v>
      </c>
      <c r="P1260" s="11" t="s">
        <v>87</v>
      </c>
      <c r="Q1260" s="20">
        <v>40026.0</v>
      </c>
      <c r="R1260" s="17">
        <f t="shared" si="2"/>
        <v>57.18614029</v>
      </c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>
        <f t="shared" si="8"/>
        <v>4</v>
      </c>
      <c r="AF1260" s="19">
        <f t="shared" si="13"/>
        <v>2</v>
      </c>
      <c r="AG1260" s="9"/>
      <c r="AH1260" s="9"/>
      <c r="AI1260" s="9"/>
    </row>
    <row r="1261" ht="15.0" customHeight="1">
      <c r="A1261" s="11">
        <v>1260.0</v>
      </c>
      <c r="B1261" s="12">
        <f t="shared" si="204"/>
        <v>40024</v>
      </c>
      <c r="C1261" s="13">
        <v>2009.0</v>
      </c>
      <c r="D1261" s="11" t="s">
        <v>32</v>
      </c>
      <c r="E1261" s="11">
        <v>8.0</v>
      </c>
      <c r="F1261" s="21" t="s">
        <v>1523</v>
      </c>
      <c r="G1261" s="15">
        <v>0.005106382978723481</v>
      </c>
      <c r="H1261" s="11" t="s">
        <v>33</v>
      </c>
      <c r="I1261" s="16">
        <v>1.576</v>
      </c>
      <c r="J1261" s="11" t="s">
        <v>1623</v>
      </c>
      <c r="K1261" s="11" t="s">
        <v>35</v>
      </c>
      <c r="L1261" s="11" t="s">
        <v>48</v>
      </c>
      <c r="M1261" s="11" t="s">
        <v>28</v>
      </c>
      <c r="N1261" s="11" t="s">
        <v>56</v>
      </c>
      <c r="O1261" s="11" t="s">
        <v>59</v>
      </c>
      <c r="P1261" s="11" t="s">
        <v>58</v>
      </c>
      <c r="Q1261" s="20">
        <v>40026.0</v>
      </c>
      <c r="R1261" s="17">
        <f t="shared" si="2"/>
        <v>0.620813617</v>
      </c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>
        <f t="shared" si="8"/>
        <v>4</v>
      </c>
      <c r="AF1261" s="19">
        <f t="shared" si="13"/>
        <v>2</v>
      </c>
      <c r="AG1261" s="9"/>
      <c r="AH1261" s="9"/>
      <c r="AI1261" s="9"/>
    </row>
    <row r="1262" ht="15.0" customHeight="1">
      <c r="A1262" s="11">
        <v>1261.0</v>
      </c>
      <c r="B1262" s="12">
        <f t="shared" ref="B1262:B1269" si="205">DATE(2012,12,31)-1249</f>
        <v>40025</v>
      </c>
      <c r="C1262" s="13">
        <v>2009.0</v>
      </c>
      <c r="D1262" s="11" t="s">
        <v>102</v>
      </c>
      <c r="E1262" s="11">
        <v>31.0</v>
      </c>
      <c r="F1262" s="21" t="s">
        <v>1282</v>
      </c>
      <c r="G1262" s="15">
        <v>0.030036273340312124</v>
      </c>
      <c r="H1262" s="11" t="s">
        <v>33</v>
      </c>
      <c r="I1262" s="16">
        <v>10.120000000000001</v>
      </c>
      <c r="J1262" s="11" t="s">
        <v>1664</v>
      </c>
      <c r="K1262" s="11" t="s">
        <v>35</v>
      </c>
      <c r="L1262" s="11" t="s">
        <v>48</v>
      </c>
      <c r="M1262" s="11" t="s">
        <v>49</v>
      </c>
      <c r="N1262" s="11" t="s">
        <v>50</v>
      </c>
      <c r="O1262" s="11" t="s">
        <v>1283</v>
      </c>
      <c r="P1262" s="11" t="s">
        <v>75</v>
      </c>
      <c r="Q1262" s="20">
        <v>40027.0</v>
      </c>
      <c r="R1262" s="17">
        <f t="shared" si="2"/>
        <v>119.6741246</v>
      </c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>
        <f t="shared" si="8"/>
        <v>4</v>
      </c>
      <c r="AF1262" s="19">
        <f t="shared" si="13"/>
        <v>2</v>
      </c>
      <c r="AG1262" s="9"/>
      <c r="AH1262" s="9"/>
      <c r="AI1262" s="9"/>
    </row>
    <row r="1263" ht="15.0" customHeight="1">
      <c r="A1263" s="11">
        <v>1262.0</v>
      </c>
      <c r="B1263" s="12">
        <f t="shared" si="205"/>
        <v>40025</v>
      </c>
      <c r="C1263" s="13">
        <v>2009.0</v>
      </c>
      <c r="D1263" s="11" t="s">
        <v>102</v>
      </c>
      <c r="E1263" s="11">
        <v>33.0</v>
      </c>
      <c r="F1263" s="21" t="s">
        <v>513</v>
      </c>
      <c r="G1263" s="15">
        <v>0.011490631428730285</v>
      </c>
      <c r="H1263" s="11" t="s">
        <v>45</v>
      </c>
      <c r="I1263" s="16">
        <v>24.0</v>
      </c>
      <c r="J1263" s="11" t="s">
        <v>1664</v>
      </c>
      <c r="K1263" s="11" t="s">
        <v>35</v>
      </c>
      <c r="L1263" s="11" t="s">
        <v>48</v>
      </c>
      <c r="M1263" s="11" t="s">
        <v>49</v>
      </c>
      <c r="N1263" s="11" t="s">
        <v>50</v>
      </c>
      <c r="O1263" s="11" t="s">
        <v>515</v>
      </c>
      <c r="P1263" s="11" t="s">
        <v>52</v>
      </c>
      <c r="Q1263" s="20">
        <v>40027.0</v>
      </c>
      <c r="R1263" s="17">
        <f t="shared" si="2"/>
        <v>61.28758085</v>
      </c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>
        <f t="shared" si="8"/>
        <v>4</v>
      </c>
      <c r="AF1263" s="19">
        <f t="shared" si="13"/>
        <v>2</v>
      </c>
      <c r="AG1263" s="9"/>
      <c r="AH1263" s="9"/>
      <c r="AI1263" s="9"/>
    </row>
    <row r="1264" ht="15.0" customHeight="1">
      <c r="A1264" s="11">
        <v>1263.0</v>
      </c>
      <c r="B1264" s="12">
        <f t="shared" si="205"/>
        <v>40025</v>
      </c>
      <c r="C1264" s="13">
        <v>2009.0</v>
      </c>
      <c r="D1264" s="11" t="s">
        <v>44</v>
      </c>
      <c r="E1264" s="11">
        <v>5.0</v>
      </c>
      <c r="F1264" s="21" t="s">
        <v>914</v>
      </c>
      <c r="G1264" s="15">
        <v>0.04810162314749453</v>
      </c>
      <c r="H1264" s="11" t="s">
        <v>33</v>
      </c>
      <c r="I1264" s="16">
        <v>10.384</v>
      </c>
      <c r="J1264" s="11" t="s">
        <v>613</v>
      </c>
      <c r="K1264" s="11" t="s">
        <v>65</v>
      </c>
      <c r="L1264" s="11" t="s">
        <v>41</v>
      </c>
      <c r="M1264" s="11" t="s">
        <v>28</v>
      </c>
      <c r="N1264" s="11" t="s">
        <v>42</v>
      </c>
      <c r="O1264" s="11" t="s">
        <v>915</v>
      </c>
      <c r="P1264" s="11" t="s">
        <v>38</v>
      </c>
      <c r="Q1264" s="20">
        <v>40027.0</v>
      </c>
      <c r="R1264" s="17">
        <f t="shared" si="2"/>
        <v>6.488139337</v>
      </c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>
        <f t="shared" si="8"/>
        <v>3</v>
      </c>
      <c r="AF1264" s="19">
        <f t="shared" si="13"/>
        <v>5</v>
      </c>
      <c r="AG1264" s="9"/>
      <c r="AH1264" s="9"/>
      <c r="AI1264" s="9"/>
    </row>
    <row r="1265" ht="15.0" customHeight="1">
      <c r="A1265" s="11">
        <v>1264.0</v>
      </c>
      <c r="B1265" s="12">
        <f t="shared" si="205"/>
        <v>40025</v>
      </c>
      <c r="C1265" s="13">
        <v>2009.0</v>
      </c>
      <c r="D1265" s="11" t="s">
        <v>44</v>
      </c>
      <c r="E1265" s="11">
        <v>8.0</v>
      </c>
      <c r="F1265" s="21" t="s">
        <v>144</v>
      </c>
      <c r="G1265" s="15">
        <v>0.14803149606299207</v>
      </c>
      <c r="H1265" s="11" t="s">
        <v>33</v>
      </c>
      <c r="I1265" s="16">
        <v>4.84</v>
      </c>
      <c r="J1265" s="11" t="s">
        <v>613</v>
      </c>
      <c r="K1265" s="11" t="s">
        <v>65</v>
      </c>
      <c r="L1265" s="11" t="s">
        <v>41</v>
      </c>
      <c r="M1265" s="11" t="s">
        <v>28</v>
      </c>
      <c r="N1265" s="11" t="s">
        <v>42</v>
      </c>
      <c r="O1265" s="11" t="s">
        <v>542</v>
      </c>
      <c r="P1265" s="11" t="s">
        <v>38</v>
      </c>
      <c r="Q1265" s="20">
        <v>40027.0</v>
      </c>
      <c r="R1265" s="17">
        <f t="shared" si="2"/>
        <v>3.203401575</v>
      </c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>
        <f t="shared" si="8"/>
        <v>3</v>
      </c>
      <c r="AF1265" s="19">
        <f t="shared" si="13"/>
        <v>5</v>
      </c>
      <c r="AG1265" s="9"/>
      <c r="AH1265" s="9"/>
      <c r="AI1265" s="9"/>
    </row>
    <row r="1266" ht="15.0" customHeight="1">
      <c r="A1266" s="11">
        <v>1265.0</v>
      </c>
      <c r="B1266" s="12">
        <f t="shared" si="205"/>
        <v>40025</v>
      </c>
      <c r="C1266" s="13">
        <v>2009.0</v>
      </c>
      <c r="D1266" s="11" t="s">
        <v>44</v>
      </c>
      <c r="E1266" s="11">
        <v>35.0</v>
      </c>
      <c r="F1266" s="21" t="s">
        <v>1665</v>
      </c>
      <c r="G1266" s="15">
        <v>0.02961202616169566</v>
      </c>
      <c r="H1266" s="11" t="s">
        <v>45</v>
      </c>
      <c r="I1266" s="16">
        <v>44.24</v>
      </c>
      <c r="J1266" s="11" t="s">
        <v>613</v>
      </c>
      <c r="K1266" s="11" t="s">
        <v>65</v>
      </c>
      <c r="L1266" s="11" t="s">
        <v>41</v>
      </c>
      <c r="M1266" s="11" t="s">
        <v>66</v>
      </c>
      <c r="N1266" s="11" t="s">
        <v>69</v>
      </c>
      <c r="O1266" s="11" t="s">
        <v>1666</v>
      </c>
      <c r="P1266" s="11" t="s">
        <v>52</v>
      </c>
      <c r="Q1266" s="20">
        <v>40027.0</v>
      </c>
      <c r="R1266" s="17">
        <f t="shared" si="2"/>
        <v>839.1527043</v>
      </c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>
        <f t="shared" si="8"/>
        <v>3</v>
      </c>
      <c r="AF1266" s="19">
        <f t="shared" si="13"/>
        <v>5</v>
      </c>
      <c r="AG1266" s="9"/>
      <c r="AH1266" s="9"/>
      <c r="AI1266" s="9"/>
    </row>
    <row r="1267" ht="15.0" customHeight="1">
      <c r="A1267" s="11">
        <v>1266.0</v>
      </c>
      <c r="B1267" s="12">
        <f t="shared" si="205"/>
        <v>40025</v>
      </c>
      <c r="C1267" s="13">
        <v>2009.0</v>
      </c>
      <c r="D1267" s="11" t="s">
        <v>44</v>
      </c>
      <c r="E1267" s="11">
        <v>10.0</v>
      </c>
      <c r="F1267" s="21" t="s">
        <v>158</v>
      </c>
      <c r="G1267" s="15">
        <v>0.03220850480109757</v>
      </c>
      <c r="H1267" s="11" t="s">
        <v>33</v>
      </c>
      <c r="I1267" s="16">
        <v>6.552</v>
      </c>
      <c r="J1267" s="11" t="s">
        <v>613</v>
      </c>
      <c r="K1267" s="11" t="s">
        <v>65</v>
      </c>
      <c r="L1267" s="11" t="s">
        <v>41</v>
      </c>
      <c r="M1267" s="11" t="s">
        <v>28</v>
      </c>
      <c r="N1267" s="11" t="s">
        <v>56</v>
      </c>
      <c r="O1267" s="11" t="s">
        <v>637</v>
      </c>
      <c r="P1267" s="11" t="s">
        <v>38</v>
      </c>
      <c r="Q1267" s="20">
        <v>40027.0</v>
      </c>
      <c r="R1267" s="17">
        <f t="shared" si="2"/>
        <v>2.272374431</v>
      </c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>
        <f t="shared" si="8"/>
        <v>3</v>
      </c>
      <c r="AF1267" s="19">
        <f t="shared" si="13"/>
        <v>5</v>
      </c>
      <c r="AG1267" s="9"/>
      <c r="AH1267" s="9"/>
      <c r="AI1267" s="9"/>
    </row>
    <row r="1268" ht="15.0" customHeight="1">
      <c r="A1268" s="11">
        <v>1267.0</v>
      </c>
      <c r="B1268" s="12">
        <f t="shared" si="205"/>
        <v>40025</v>
      </c>
      <c r="C1268" s="13">
        <v>2009.0</v>
      </c>
      <c r="D1268" s="11" t="s">
        <v>44</v>
      </c>
      <c r="E1268" s="11">
        <v>42.0</v>
      </c>
      <c r="F1268" s="21" t="s">
        <v>810</v>
      </c>
      <c r="G1268" s="15">
        <v>0.03742474916387947</v>
      </c>
      <c r="H1268" s="11" t="s">
        <v>33</v>
      </c>
      <c r="I1268" s="16">
        <v>2.696</v>
      </c>
      <c r="J1268" s="11" t="s">
        <v>613</v>
      </c>
      <c r="K1268" s="11" t="s">
        <v>65</v>
      </c>
      <c r="L1268" s="11" t="s">
        <v>41</v>
      </c>
      <c r="M1268" s="11" t="s">
        <v>28</v>
      </c>
      <c r="N1268" s="11" t="s">
        <v>442</v>
      </c>
      <c r="O1268" s="11" t="s">
        <v>1111</v>
      </c>
      <c r="P1268" s="11" t="s">
        <v>99</v>
      </c>
      <c r="Q1268" s="20">
        <v>40028.0</v>
      </c>
      <c r="R1268" s="17">
        <f t="shared" si="2"/>
        <v>17.23394729</v>
      </c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>
        <f t="shared" si="8"/>
        <v>3</v>
      </c>
      <c r="AF1268" s="19">
        <f t="shared" si="13"/>
        <v>5</v>
      </c>
      <c r="AG1268" s="9"/>
      <c r="AH1268" s="9"/>
      <c r="AI1268" s="9"/>
    </row>
    <row r="1269" ht="15.0" customHeight="1">
      <c r="A1269" s="11">
        <v>1268.0</v>
      </c>
      <c r="B1269" s="12">
        <f t="shared" si="205"/>
        <v>40025</v>
      </c>
      <c r="C1269" s="13">
        <v>2009.0</v>
      </c>
      <c r="D1269" s="11" t="s">
        <v>39</v>
      </c>
      <c r="E1269" s="11">
        <v>23.0</v>
      </c>
      <c r="F1269" s="21" t="s">
        <v>428</v>
      </c>
      <c r="G1269" s="15">
        <v>0.04495247880811728</v>
      </c>
      <c r="H1269" s="11" t="s">
        <v>45</v>
      </c>
      <c r="I1269" s="16">
        <v>22.200000000000003</v>
      </c>
      <c r="J1269" s="11" t="s">
        <v>1667</v>
      </c>
      <c r="K1269" s="11" t="s">
        <v>26</v>
      </c>
      <c r="L1269" s="11" t="s">
        <v>48</v>
      </c>
      <c r="M1269" s="11" t="s">
        <v>49</v>
      </c>
      <c r="N1269" s="11" t="s">
        <v>85</v>
      </c>
      <c r="O1269" s="11" t="s">
        <v>1668</v>
      </c>
      <c r="P1269" s="11" t="s">
        <v>87</v>
      </c>
      <c r="Q1269" s="20">
        <v>40028.0</v>
      </c>
      <c r="R1269" s="17">
        <f t="shared" si="2"/>
        <v>16.71333162</v>
      </c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>
        <f t="shared" si="8"/>
        <v>4</v>
      </c>
      <c r="AF1269" s="19">
        <f t="shared" si="13"/>
        <v>1</v>
      </c>
      <c r="AG1269" s="9"/>
      <c r="AH1269" s="9"/>
      <c r="AI1269" s="9"/>
    </row>
    <row r="1270" ht="15.0" customHeight="1">
      <c r="A1270" s="11">
        <v>1269.0</v>
      </c>
      <c r="B1270" s="12">
        <f t="shared" ref="B1270:B1274" si="206">DATE(2012,12,31)-1248</f>
        <v>40026</v>
      </c>
      <c r="C1270" s="13">
        <v>2009.0</v>
      </c>
      <c r="D1270" s="11" t="s">
        <v>39</v>
      </c>
      <c r="E1270" s="11">
        <v>30.0</v>
      </c>
      <c r="F1270" s="21" t="s">
        <v>314</v>
      </c>
      <c r="G1270" s="15">
        <v>0.04427511133102428</v>
      </c>
      <c r="H1270" s="11" t="s">
        <v>33</v>
      </c>
      <c r="I1270" s="16">
        <v>4.152</v>
      </c>
      <c r="J1270" s="11" t="s">
        <v>279</v>
      </c>
      <c r="K1270" s="11" t="s">
        <v>47</v>
      </c>
      <c r="L1270" s="11" t="s">
        <v>48</v>
      </c>
      <c r="M1270" s="11" t="s">
        <v>28</v>
      </c>
      <c r="N1270" s="11" t="s">
        <v>42</v>
      </c>
      <c r="O1270" s="11" t="s">
        <v>609</v>
      </c>
      <c r="P1270" s="11" t="s">
        <v>38</v>
      </c>
      <c r="Q1270" s="20">
        <v>40028.0</v>
      </c>
      <c r="R1270" s="17">
        <f t="shared" si="2"/>
        <v>8.551826304</v>
      </c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>
        <f t="shared" si="8"/>
        <v>4</v>
      </c>
      <c r="AF1270" s="19">
        <f t="shared" si="13"/>
        <v>3</v>
      </c>
      <c r="AG1270" s="9"/>
      <c r="AH1270" s="9"/>
      <c r="AI1270" s="9"/>
    </row>
    <row r="1271" ht="15.0" customHeight="1">
      <c r="A1271" s="11">
        <v>1270.0</v>
      </c>
      <c r="B1271" s="12">
        <f t="shared" si="206"/>
        <v>40026</v>
      </c>
      <c r="C1271" s="13">
        <v>2009.0</v>
      </c>
      <c r="D1271" s="11" t="s">
        <v>23</v>
      </c>
      <c r="E1271" s="11">
        <v>50.0</v>
      </c>
      <c r="F1271" s="21" t="s">
        <v>619</v>
      </c>
      <c r="G1271" s="15">
        <v>0.03051964996022272</v>
      </c>
      <c r="H1271" s="11" t="s">
        <v>33</v>
      </c>
      <c r="I1271" s="16">
        <v>1.592</v>
      </c>
      <c r="J1271" s="11" t="s">
        <v>271</v>
      </c>
      <c r="K1271" s="11" t="s">
        <v>61</v>
      </c>
      <c r="L1271" s="11" t="s">
        <v>48</v>
      </c>
      <c r="M1271" s="11" t="s">
        <v>66</v>
      </c>
      <c r="N1271" s="11" t="s">
        <v>67</v>
      </c>
      <c r="O1271" s="11" t="s">
        <v>1669</v>
      </c>
      <c r="P1271" s="11" t="s">
        <v>99</v>
      </c>
      <c r="Q1271" s="20">
        <v>40028.0</v>
      </c>
      <c r="R1271" s="17">
        <f t="shared" si="2"/>
        <v>92.98092141</v>
      </c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>
        <f t="shared" si="8"/>
        <v>4</v>
      </c>
      <c r="AF1271" s="19">
        <f t="shared" si="13"/>
        <v>4</v>
      </c>
      <c r="AG1271" s="9"/>
      <c r="AH1271" s="9"/>
      <c r="AI1271" s="9"/>
    </row>
    <row r="1272" ht="15.0" customHeight="1">
      <c r="A1272" s="11">
        <v>1271.0</v>
      </c>
      <c r="B1272" s="12">
        <f t="shared" si="206"/>
        <v>40026</v>
      </c>
      <c r="C1272" s="13">
        <v>2009.0</v>
      </c>
      <c r="D1272" s="11" t="s">
        <v>23</v>
      </c>
      <c r="E1272" s="11">
        <v>24.0</v>
      </c>
      <c r="F1272" s="21" t="s">
        <v>523</v>
      </c>
      <c r="G1272" s="15">
        <v>0.06557124518613612</v>
      </c>
      <c r="H1272" s="11" t="s">
        <v>33</v>
      </c>
      <c r="I1272" s="16">
        <v>0.792</v>
      </c>
      <c r="J1272" s="11" t="s">
        <v>271</v>
      </c>
      <c r="K1272" s="11" t="s">
        <v>61</v>
      </c>
      <c r="L1272" s="11" t="s">
        <v>48</v>
      </c>
      <c r="M1272" s="11" t="s">
        <v>28</v>
      </c>
      <c r="N1272" s="11" t="s">
        <v>188</v>
      </c>
      <c r="O1272" s="11" t="s">
        <v>1495</v>
      </c>
      <c r="P1272" s="11" t="s">
        <v>38</v>
      </c>
      <c r="Q1272" s="20">
        <v>40028.0</v>
      </c>
      <c r="R1272" s="17">
        <f t="shared" si="2"/>
        <v>4.77306208</v>
      </c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>
        <f t="shared" si="8"/>
        <v>4</v>
      </c>
      <c r="AF1272" s="19">
        <f t="shared" si="13"/>
        <v>4</v>
      </c>
      <c r="AG1272" s="9"/>
      <c r="AH1272" s="9"/>
      <c r="AI1272" s="9"/>
    </row>
    <row r="1273" ht="15.0" customHeight="1">
      <c r="A1273" s="11">
        <v>1272.0</v>
      </c>
      <c r="B1273" s="12">
        <f t="shared" si="206"/>
        <v>40026</v>
      </c>
      <c r="C1273" s="13">
        <v>2009.0</v>
      </c>
      <c r="D1273" s="11" t="s">
        <v>23</v>
      </c>
      <c r="E1273" s="11">
        <v>50.0</v>
      </c>
      <c r="F1273" s="21" t="s">
        <v>1670</v>
      </c>
      <c r="G1273" s="15">
        <v>0.035251129269085496</v>
      </c>
      <c r="H1273" s="11" t="s">
        <v>33</v>
      </c>
      <c r="I1273" s="16">
        <v>1.4320000000000002</v>
      </c>
      <c r="J1273" s="11" t="s">
        <v>271</v>
      </c>
      <c r="K1273" s="11" t="s">
        <v>61</v>
      </c>
      <c r="L1273" s="11" t="s">
        <v>48</v>
      </c>
      <c r="M1273" s="11" t="s">
        <v>28</v>
      </c>
      <c r="N1273" s="11" t="s">
        <v>56</v>
      </c>
      <c r="O1273" s="11" t="s">
        <v>1671</v>
      </c>
      <c r="P1273" s="11" t="s">
        <v>58</v>
      </c>
      <c r="Q1273" s="20">
        <v>40029.0</v>
      </c>
      <c r="R1273" s="17">
        <f t="shared" si="2"/>
        <v>18.20481119</v>
      </c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>
        <f t="shared" si="8"/>
        <v>4</v>
      </c>
      <c r="AF1273" s="19">
        <f t="shared" si="13"/>
        <v>4</v>
      </c>
      <c r="AG1273" s="9"/>
      <c r="AH1273" s="9"/>
      <c r="AI1273" s="9"/>
    </row>
    <row r="1274" ht="15.0" customHeight="1">
      <c r="A1274" s="11">
        <v>1273.0</v>
      </c>
      <c r="B1274" s="12">
        <f t="shared" si="206"/>
        <v>40026</v>
      </c>
      <c r="C1274" s="13">
        <v>2009.0</v>
      </c>
      <c r="D1274" s="11" t="s">
        <v>44</v>
      </c>
      <c r="E1274" s="11">
        <v>26.0</v>
      </c>
      <c r="F1274" s="21" t="s">
        <v>1672</v>
      </c>
      <c r="G1274" s="15">
        <v>0.049522083340458045</v>
      </c>
      <c r="H1274" s="11" t="s">
        <v>45</v>
      </c>
      <c r="I1274" s="16">
        <v>88.16000000000001</v>
      </c>
      <c r="J1274" s="11" t="s">
        <v>1581</v>
      </c>
      <c r="K1274" s="11" t="s">
        <v>61</v>
      </c>
      <c r="L1274" s="11" t="s">
        <v>36</v>
      </c>
      <c r="M1274" s="11" t="s">
        <v>49</v>
      </c>
      <c r="N1274" s="11" t="s">
        <v>85</v>
      </c>
      <c r="O1274" s="11" t="s">
        <v>1673</v>
      </c>
      <c r="P1274" s="11" t="s">
        <v>87</v>
      </c>
      <c r="Q1274" s="20">
        <v>40029.0</v>
      </c>
      <c r="R1274" s="17">
        <f t="shared" si="2"/>
        <v>550.5548284</v>
      </c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>
        <f t="shared" si="8"/>
        <v>2</v>
      </c>
      <c r="AF1274" s="19">
        <f t="shared" si="13"/>
        <v>4</v>
      </c>
      <c r="AG1274" s="9"/>
      <c r="AH1274" s="9"/>
      <c r="AI1274" s="9"/>
    </row>
    <row r="1275" ht="15.0" customHeight="1">
      <c r="A1275" s="11">
        <v>1274.0</v>
      </c>
      <c r="B1275" s="12">
        <f t="shared" ref="B1275:B1281" si="207">DATE(2012,12,31)-1247</f>
        <v>40027</v>
      </c>
      <c r="C1275" s="13">
        <v>2009.0</v>
      </c>
      <c r="D1275" s="11" t="s">
        <v>23</v>
      </c>
      <c r="E1275" s="11">
        <v>24.0</v>
      </c>
      <c r="F1275" s="21" t="s">
        <v>865</v>
      </c>
      <c r="G1275" s="15">
        <v>0.03008186195826643</v>
      </c>
      <c r="H1275" s="11" t="s">
        <v>45</v>
      </c>
      <c r="I1275" s="16">
        <v>12.472000000000001</v>
      </c>
      <c r="J1275" s="11" t="s">
        <v>1674</v>
      </c>
      <c r="K1275" s="11" t="s">
        <v>117</v>
      </c>
      <c r="L1275" s="11" t="s">
        <v>27</v>
      </c>
      <c r="M1275" s="11" t="s">
        <v>66</v>
      </c>
      <c r="N1275" s="11" t="s">
        <v>69</v>
      </c>
      <c r="O1275" s="11" t="s">
        <v>1675</v>
      </c>
      <c r="P1275" s="11" t="s">
        <v>52</v>
      </c>
      <c r="Q1275" s="20">
        <v>40029.0</v>
      </c>
      <c r="R1275" s="17">
        <f t="shared" si="2"/>
        <v>145.4178866</v>
      </c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>
        <f t="shared" si="8"/>
        <v>1</v>
      </c>
      <c r="AF1275" s="19" t="b">
        <f t="shared" si="13"/>
        <v>0</v>
      </c>
      <c r="AG1275" s="9"/>
      <c r="AH1275" s="9"/>
      <c r="AI1275" s="9"/>
    </row>
    <row r="1276" ht="15.0" customHeight="1">
      <c r="A1276" s="11">
        <v>1275.0</v>
      </c>
      <c r="B1276" s="12">
        <f t="shared" si="207"/>
        <v>40027</v>
      </c>
      <c r="C1276" s="13">
        <v>2009.0</v>
      </c>
      <c r="D1276" s="11" t="s">
        <v>39</v>
      </c>
      <c r="E1276" s="11">
        <v>42.0</v>
      </c>
      <c r="F1276" s="21" t="s">
        <v>254</v>
      </c>
      <c r="G1276" s="15">
        <v>0.005873306481142383</v>
      </c>
      <c r="H1276" s="11" t="s">
        <v>33</v>
      </c>
      <c r="I1276" s="16">
        <v>1.192</v>
      </c>
      <c r="J1276" s="11" t="s">
        <v>211</v>
      </c>
      <c r="K1276" s="11" t="s">
        <v>35</v>
      </c>
      <c r="L1276" s="11" t="s">
        <v>27</v>
      </c>
      <c r="M1276" s="11" t="s">
        <v>28</v>
      </c>
      <c r="N1276" s="11" t="s">
        <v>42</v>
      </c>
      <c r="O1276" s="11" t="s">
        <v>556</v>
      </c>
      <c r="P1276" s="11" t="s">
        <v>38</v>
      </c>
      <c r="Q1276" s="20">
        <v>40029.0</v>
      </c>
      <c r="R1276" s="17">
        <f t="shared" si="2"/>
        <v>3.189158433</v>
      </c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>
        <f t="shared" si="8"/>
        <v>1</v>
      </c>
      <c r="AF1276" s="19">
        <f t="shared" si="13"/>
        <v>2</v>
      </c>
      <c r="AG1276" s="9"/>
      <c r="AH1276" s="9"/>
      <c r="AI1276" s="9"/>
    </row>
    <row r="1277" ht="15.0" customHeight="1">
      <c r="A1277" s="11">
        <v>1276.0</v>
      </c>
      <c r="B1277" s="12">
        <f t="shared" si="207"/>
        <v>40027</v>
      </c>
      <c r="C1277" s="13">
        <v>2009.0</v>
      </c>
      <c r="D1277" s="11" t="s">
        <v>39</v>
      </c>
      <c r="E1277" s="11">
        <v>20.0</v>
      </c>
      <c r="F1277" s="21" t="s">
        <v>126</v>
      </c>
      <c r="G1277" s="15">
        <v>0.05927342256214139</v>
      </c>
      <c r="H1277" s="11" t="s">
        <v>33</v>
      </c>
      <c r="I1277" s="16">
        <v>0.4</v>
      </c>
      <c r="J1277" s="11" t="s">
        <v>211</v>
      </c>
      <c r="K1277" s="11" t="s">
        <v>35</v>
      </c>
      <c r="L1277" s="11" t="s">
        <v>27</v>
      </c>
      <c r="M1277" s="11" t="s">
        <v>28</v>
      </c>
      <c r="N1277" s="11" t="s">
        <v>188</v>
      </c>
      <c r="O1277" s="11" t="s">
        <v>410</v>
      </c>
      <c r="P1277" s="11" t="s">
        <v>38</v>
      </c>
      <c r="Q1277" s="20">
        <v>40029.0</v>
      </c>
      <c r="R1277" s="17">
        <f t="shared" si="2"/>
        <v>5.83250478</v>
      </c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>
        <f t="shared" si="8"/>
        <v>1</v>
      </c>
      <c r="AF1277" s="19">
        <f t="shared" si="13"/>
        <v>2</v>
      </c>
      <c r="AG1277" s="9"/>
      <c r="AH1277" s="9"/>
      <c r="AI1277" s="9"/>
    </row>
    <row r="1278" ht="15.0" customHeight="1">
      <c r="A1278" s="11">
        <v>1277.0</v>
      </c>
      <c r="B1278" s="12">
        <f t="shared" si="207"/>
        <v>40027</v>
      </c>
      <c r="C1278" s="13">
        <v>2009.0</v>
      </c>
      <c r="D1278" s="11" t="s">
        <v>23</v>
      </c>
      <c r="E1278" s="11">
        <v>15.0</v>
      </c>
      <c r="F1278" s="21" t="s">
        <v>356</v>
      </c>
      <c r="G1278" s="15">
        <v>0.025611963793782014</v>
      </c>
      <c r="H1278" s="11" t="s">
        <v>24</v>
      </c>
      <c r="I1278" s="16">
        <v>1.592</v>
      </c>
      <c r="J1278" s="11" t="s">
        <v>1080</v>
      </c>
      <c r="K1278" s="11" t="s">
        <v>47</v>
      </c>
      <c r="L1278" s="11" t="s">
        <v>48</v>
      </c>
      <c r="M1278" s="11" t="s">
        <v>66</v>
      </c>
      <c r="N1278" s="11" t="s">
        <v>67</v>
      </c>
      <c r="O1278" s="11" t="s">
        <v>358</v>
      </c>
      <c r="P1278" s="11" t="s">
        <v>99</v>
      </c>
      <c r="Q1278" s="20">
        <v>40029.0</v>
      </c>
      <c r="R1278" s="17">
        <f t="shared" si="2"/>
        <v>6.34131734</v>
      </c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>
        <f t="shared" si="8"/>
        <v>4</v>
      </c>
      <c r="AF1278" s="19">
        <f t="shared" si="13"/>
        <v>3</v>
      </c>
      <c r="AG1278" s="9"/>
      <c r="AH1278" s="9"/>
      <c r="AI1278" s="9"/>
    </row>
    <row r="1279" ht="15.0" customHeight="1">
      <c r="A1279" s="11">
        <v>1278.0</v>
      </c>
      <c r="B1279" s="12">
        <f t="shared" si="207"/>
        <v>40027</v>
      </c>
      <c r="C1279" s="13">
        <v>2009.0</v>
      </c>
      <c r="D1279" s="11" t="s">
        <v>23</v>
      </c>
      <c r="E1279" s="11">
        <v>27.0</v>
      </c>
      <c r="F1279" s="21" t="s">
        <v>894</v>
      </c>
      <c r="G1279" s="15">
        <v>0.09678068410462781</v>
      </c>
      <c r="H1279" s="11" t="s">
        <v>33</v>
      </c>
      <c r="I1279" s="16">
        <v>0.68</v>
      </c>
      <c r="J1279" s="11" t="s">
        <v>1080</v>
      </c>
      <c r="K1279" s="11" t="s">
        <v>47</v>
      </c>
      <c r="L1279" s="11" t="s">
        <v>48</v>
      </c>
      <c r="M1279" s="11" t="s">
        <v>28</v>
      </c>
      <c r="N1279" s="11" t="s">
        <v>62</v>
      </c>
      <c r="O1279" s="11" t="s">
        <v>1206</v>
      </c>
      <c r="P1279" s="11" t="s">
        <v>58</v>
      </c>
      <c r="Q1279" s="20">
        <v>40029.0</v>
      </c>
      <c r="R1279" s="17">
        <f t="shared" si="2"/>
        <v>8.688969819</v>
      </c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>
        <f t="shared" si="8"/>
        <v>4</v>
      </c>
      <c r="AF1279" s="19">
        <f t="shared" si="13"/>
        <v>3</v>
      </c>
      <c r="AG1279" s="9"/>
      <c r="AH1279" s="9"/>
      <c r="AI1279" s="9"/>
    </row>
    <row r="1280" ht="15.0" customHeight="1">
      <c r="A1280" s="11">
        <v>1279.0</v>
      </c>
      <c r="B1280" s="12">
        <f t="shared" si="207"/>
        <v>40027</v>
      </c>
      <c r="C1280" s="13">
        <v>2009.0</v>
      </c>
      <c r="D1280" s="11" t="s">
        <v>102</v>
      </c>
      <c r="E1280" s="11">
        <v>31.0</v>
      </c>
      <c r="F1280" s="21" t="s">
        <v>1247</v>
      </c>
      <c r="G1280" s="15">
        <v>0.09849541284403661</v>
      </c>
      <c r="H1280" s="11" t="s">
        <v>33</v>
      </c>
      <c r="I1280" s="16">
        <v>4.328</v>
      </c>
      <c r="J1280" s="11" t="s">
        <v>689</v>
      </c>
      <c r="K1280" s="11" t="s">
        <v>117</v>
      </c>
      <c r="L1280" s="11" t="s">
        <v>36</v>
      </c>
      <c r="M1280" s="11" t="s">
        <v>49</v>
      </c>
      <c r="N1280" s="11" t="s">
        <v>73</v>
      </c>
      <c r="O1280" s="11" t="s">
        <v>1676</v>
      </c>
      <c r="P1280" s="11" t="s">
        <v>38</v>
      </c>
      <c r="Q1280" s="20">
        <v>40029.0</v>
      </c>
      <c r="R1280" s="17">
        <f t="shared" si="2"/>
        <v>19.3571065</v>
      </c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>
        <f t="shared" si="8"/>
        <v>2</v>
      </c>
      <c r="AF1280" s="19" t="b">
        <f t="shared" si="13"/>
        <v>0</v>
      </c>
      <c r="AG1280" s="9"/>
      <c r="AH1280" s="9"/>
      <c r="AI1280" s="9"/>
    </row>
    <row r="1281" ht="15.0" customHeight="1">
      <c r="A1281" s="11">
        <v>1280.0</v>
      </c>
      <c r="B1281" s="12">
        <f t="shared" si="207"/>
        <v>40027</v>
      </c>
      <c r="C1281" s="13">
        <v>2009.0</v>
      </c>
      <c r="D1281" s="11" t="s">
        <v>39</v>
      </c>
      <c r="E1281" s="11">
        <v>1.0</v>
      </c>
      <c r="F1281" s="21" t="s">
        <v>740</v>
      </c>
      <c r="G1281" s="15">
        <v>0.044993230435960034</v>
      </c>
      <c r="H1281" s="11" t="s">
        <v>45</v>
      </c>
      <c r="I1281" s="16">
        <v>51.784000000000006</v>
      </c>
      <c r="J1281" s="11" t="s">
        <v>1602</v>
      </c>
      <c r="K1281" s="11" t="s">
        <v>117</v>
      </c>
      <c r="L1281" s="11" t="s">
        <v>48</v>
      </c>
      <c r="M1281" s="11" t="s">
        <v>49</v>
      </c>
      <c r="N1281" s="11" t="s">
        <v>50</v>
      </c>
      <c r="O1281" s="11" t="s">
        <v>742</v>
      </c>
      <c r="P1281" s="11" t="s">
        <v>52</v>
      </c>
      <c r="Q1281" s="20">
        <v>40030.0</v>
      </c>
      <c r="R1281" s="17">
        <f t="shared" si="2"/>
        <v>15.86839248</v>
      </c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>
        <f t="shared" si="8"/>
        <v>4</v>
      </c>
      <c r="AF1281" s="19" t="b">
        <f t="shared" si="13"/>
        <v>0</v>
      </c>
      <c r="AG1281" s="9"/>
      <c r="AH1281" s="9"/>
      <c r="AI1281" s="9"/>
    </row>
    <row r="1282" ht="15.0" customHeight="1">
      <c r="A1282" s="11">
        <v>1281.0</v>
      </c>
      <c r="B1282" s="12">
        <f t="shared" ref="B1282:B1284" si="208">DATE(2012,12,31)-1246</f>
        <v>40028</v>
      </c>
      <c r="C1282" s="13">
        <v>2009.0</v>
      </c>
      <c r="D1282" s="11" t="s">
        <v>44</v>
      </c>
      <c r="E1282" s="11">
        <v>24.0</v>
      </c>
      <c r="F1282" s="21" t="s">
        <v>1207</v>
      </c>
      <c r="G1282" s="15">
        <v>0.03556167497593355</v>
      </c>
      <c r="H1282" s="11" t="s">
        <v>45</v>
      </c>
      <c r="I1282" s="16">
        <v>24.0</v>
      </c>
      <c r="J1282" s="11" t="s">
        <v>584</v>
      </c>
      <c r="K1282" s="11" t="s">
        <v>65</v>
      </c>
      <c r="L1282" s="11" t="s">
        <v>36</v>
      </c>
      <c r="M1282" s="11" t="s">
        <v>49</v>
      </c>
      <c r="N1282" s="11" t="s">
        <v>50</v>
      </c>
      <c r="O1282" s="11" t="s">
        <v>1677</v>
      </c>
      <c r="P1282" s="11" t="s">
        <v>52</v>
      </c>
      <c r="Q1282" s="20">
        <v>40030.0</v>
      </c>
      <c r="R1282" s="17">
        <f t="shared" si="2"/>
        <v>155.2480483</v>
      </c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>
        <f t="shared" si="8"/>
        <v>2</v>
      </c>
      <c r="AF1282" s="19">
        <f t="shared" si="13"/>
        <v>5</v>
      </c>
      <c r="AG1282" s="9"/>
      <c r="AH1282" s="9"/>
      <c r="AI1282" s="9"/>
    </row>
    <row r="1283" ht="15.0" customHeight="1">
      <c r="A1283" s="11">
        <v>1282.0</v>
      </c>
      <c r="B1283" s="12">
        <f t="shared" si="208"/>
        <v>40028</v>
      </c>
      <c r="C1283" s="13">
        <v>2009.0</v>
      </c>
      <c r="D1283" s="11" t="s">
        <v>102</v>
      </c>
      <c r="E1283" s="11">
        <v>6.0</v>
      </c>
      <c r="F1283" s="21" t="s">
        <v>415</v>
      </c>
      <c r="G1283" s="15">
        <v>0.12076433121019114</v>
      </c>
      <c r="H1283" s="11" t="s">
        <v>33</v>
      </c>
      <c r="I1283" s="16">
        <v>4.208</v>
      </c>
      <c r="J1283" s="11" t="s">
        <v>1319</v>
      </c>
      <c r="K1283" s="11" t="s">
        <v>65</v>
      </c>
      <c r="L1283" s="11" t="s">
        <v>48</v>
      </c>
      <c r="M1283" s="11" t="s">
        <v>28</v>
      </c>
      <c r="N1283" s="11" t="s">
        <v>42</v>
      </c>
      <c r="O1283" s="11" t="s">
        <v>971</v>
      </c>
      <c r="P1283" s="11" t="s">
        <v>38</v>
      </c>
      <c r="Q1283" s="20">
        <v>40030.0</v>
      </c>
      <c r="R1283" s="17">
        <f t="shared" si="2"/>
        <v>3.334061656</v>
      </c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>
        <f t="shared" si="8"/>
        <v>4</v>
      </c>
      <c r="AF1283" s="19">
        <f t="shared" si="13"/>
        <v>5</v>
      </c>
      <c r="AG1283" s="9"/>
      <c r="AH1283" s="9"/>
      <c r="AI1283" s="9"/>
    </row>
    <row r="1284" ht="15.0" customHeight="1">
      <c r="A1284" s="11">
        <v>1283.0</v>
      </c>
      <c r="B1284" s="12">
        <f t="shared" si="208"/>
        <v>40028</v>
      </c>
      <c r="C1284" s="13">
        <v>2009.0</v>
      </c>
      <c r="D1284" s="11" t="s">
        <v>102</v>
      </c>
      <c r="E1284" s="11">
        <v>24.0</v>
      </c>
      <c r="F1284" s="21" t="s">
        <v>128</v>
      </c>
      <c r="G1284" s="15">
        <v>0.057422532576843884</v>
      </c>
      <c r="H1284" s="11" t="s">
        <v>33</v>
      </c>
      <c r="I1284" s="16">
        <v>2.0</v>
      </c>
      <c r="J1284" s="11" t="s">
        <v>1319</v>
      </c>
      <c r="K1284" s="11" t="s">
        <v>65</v>
      </c>
      <c r="L1284" s="11" t="s">
        <v>48</v>
      </c>
      <c r="M1284" s="11" t="s">
        <v>66</v>
      </c>
      <c r="N1284" s="11" t="s">
        <v>80</v>
      </c>
      <c r="O1284" s="11" t="s">
        <v>862</v>
      </c>
      <c r="P1284" s="11" t="s">
        <v>38</v>
      </c>
      <c r="Q1284" s="20">
        <v>40030.0</v>
      </c>
      <c r="R1284" s="17">
        <f t="shared" si="2"/>
        <v>173.6227695</v>
      </c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>
        <f t="shared" si="8"/>
        <v>4</v>
      </c>
      <c r="AF1284" s="19">
        <f t="shared" si="13"/>
        <v>5</v>
      </c>
      <c r="AG1284" s="9"/>
      <c r="AH1284" s="9"/>
      <c r="AI1284" s="9"/>
    </row>
    <row r="1285" ht="15.0" customHeight="1">
      <c r="A1285" s="11">
        <v>1284.0</v>
      </c>
      <c r="B1285" s="12">
        <f t="shared" ref="B1285:B1292" si="209">DATE(2012,12,31)-1245</f>
        <v>40029</v>
      </c>
      <c r="C1285" s="13">
        <v>2009.0</v>
      </c>
      <c r="D1285" s="11" t="s">
        <v>39</v>
      </c>
      <c r="E1285" s="11">
        <v>1.0</v>
      </c>
      <c r="F1285" s="21" t="s">
        <v>1656</v>
      </c>
      <c r="G1285" s="15">
        <v>0.010382695507487593</v>
      </c>
      <c r="H1285" s="11" t="s">
        <v>45</v>
      </c>
      <c r="I1285" s="16">
        <v>6.984000000000001</v>
      </c>
      <c r="J1285" s="11" t="s">
        <v>1417</v>
      </c>
      <c r="K1285" s="11" t="s">
        <v>47</v>
      </c>
      <c r="L1285" s="11" t="s">
        <v>48</v>
      </c>
      <c r="M1285" s="11" t="s">
        <v>66</v>
      </c>
      <c r="N1285" s="11" t="s">
        <v>69</v>
      </c>
      <c r="O1285" s="11" t="s">
        <v>1658</v>
      </c>
      <c r="P1285" s="11" t="s">
        <v>87</v>
      </c>
      <c r="Q1285" s="20">
        <v>40030.0</v>
      </c>
      <c r="R1285" s="17">
        <f t="shared" si="2"/>
        <v>36.43375068</v>
      </c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>
        <f t="shared" si="8"/>
        <v>4</v>
      </c>
      <c r="AF1285" s="19">
        <f t="shared" si="13"/>
        <v>3</v>
      </c>
      <c r="AG1285" s="9"/>
      <c r="AH1285" s="9"/>
      <c r="AI1285" s="9"/>
    </row>
    <row r="1286" ht="15.0" customHeight="1">
      <c r="A1286" s="11">
        <v>1285.0</v>
      </c>
      <c r="B1286" s="12">
        <f t="shared" si="209"/>
        <v>40029</v>
      </c>
      <c r="C1286" s="13">
        <v>2009.0</v>
      </c>
      <c r="D1286" s="11" t="s">
        <v>39</v>
      </c>
      <c r="E1286" s="11">
        <v>9.0</v>
      </c>
      <c r="F1286" s="21" t="s">
        <v>372</v>
      </c>
      <c r="G1286" s="15">
        <v>0.06753641545281834</v>
      </c>
      <c r="H1286" s="11" t="s">
        <v>33</v>
      </c>
      <c r="I1286" s="16">
        <v>5.936</v>
      </c>
      <c r="J1286" s="11" t="s">
        <v>1417</v>
      </c>
      <c r="K1286" s="11" t="s">
        <v>47</v>
      </c>
      <c r="L1286" s="11" t="s">
        <v>48</v>
      </c>
      <c r="M1286" s="11" t="s">
        <v>28</v>
      </c>
      <c r="N1286" s="11" t="s">
        <v>442</v>
      </c>
      <c r="O1286" s="11" t="s">
        <v>1678</v>
      </c>
      <c r="P1286" s="11" t="s">
        <v>99</v>
      </c>
      <c r="Q1286" s="20">
        <v>40030.0</v>
      </c>
      <c r="R1286" s="17">
        <f t="shared" si="2"/>
        <v>9.943791666</v>
      </c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>
        <f t="shared" si="8"/>
        <v>4</v>
      </c>
      <c r="AF1286" s="19">
        <f t="shared" si="13"/>
        <v>3</v>
      </c>
      <c r="AG1286" s="9"/>
      <c r="AH1286" s="9"/>
      <c r="AI1286" s="9"/>
    </row>
    <row r="1287" ht="15.0" customHeight="1">
      <c r="A1287" s="11">
        <v>1286.0</v>
      </c>
      <c r="B1287" s="12">
        <f t="shared" si="209"/>
        <v>40029</v>
      </c>
      <c r="C1287" s="13">
        <v>2009.0</v>
      </c>
      <c r="D1287" s="11" t="s">
        <v>102</v>
      </c>
      <c r="E1287" s="11">
        <v>34.0</v>
      </c>
      <c r="F1287" s="21" t="s">
        <v>422</v>
      </c>
      <c r="G1287" s="15">
        <v>0.06681653519314736</v>
      </c>
      <c r="H1287" s="11" t="s">
        <v>33</v>
      </c>
      <c r="I1287" s="16">
        <v>5.744</v>
      </c>
      <c r="J1287" s="11" t="s">
        <v>1572</v>
      </c>
      <c r="K1287" s="11" t="s">
        <v>83</v>
      </c>
      <c r="L1287" s="11" t="s">
        <v>48</v>
      </c>
      <c r="M1287" s="11" t="s">
        <v>66</v>
      </c>
      <c r="N1287" s="11" t="s">
        <v>67</v>
      </c>
      <c r="O1287" s="11" t="s">
        <v>1679</v>
      </c>
      <c r="P1287" s="11" t="s">
        <v>38</v>
      </c>
      <c r="Q1287" s="20">
        <v>40030.0</v>
      </c>
      <c r="R1287" s="17">
        <f t="shared" si="2"/>
        <v>184.1693559</v>
      </c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>
        <f t="shared" si="8"/>
        <v>4</v>
      </c>
      <c r="AF1287" s="19" t="b">
        <f t="shared" si="13"/>
        <v>0</v>
      </c>
      <c r="AG1287" s="9"/>
      <c r="AH1287" s="9"/>
      <c r="AI1287" s="9"/>
    </row>
    <row r="1288" ht="15.0" customHeight="1">
      <c r="A1288" s="11">
        <v>1287.0</v>
      </c>
      <c r="B1288" s="12">
        <f t="shared" si="209"/>
        <v>40029</v>
      </c>
      <c r="C1288" s="13">
        <v>2009.0</v>
      </c>
      <c r="D1288" s="11" t="s">
        <v>102</v>
      </c>
      <c r="E1288" s="11">
        <v>16.0</v>
      </c>
      <c r="F1288" s="21" t="s">
        <v>259</v>
      </c>
      <c r="G1288" s="15">
        <v>0.08627069133398246</v>
      </c>
      <c r="H1288" s="11" t="s">
        <v>33</v>
      </c>
      <c r="I1288" s="16">
        <v>6.88</v>
      </c>
      <c r="J1288" s="11" t="s">
        <v>1572</v>
      </c>
      <c r="K1288" s="11" t="s">
        <v>83</v>
      </c>
      <c r="L1288" s="11" t="s">
        <v>48</v>
      </c>
      <c r="M1288" s="11" t="s">
        <v>28</v>
      </c>
      <c r="N1288" s="11" t="s">
        <v>29</v>
      </c>
      <c r="O1288" s="11" t="s">
        <v>1680</v>
      </c>
      <c r="P1288" s="11" t="s">
        <v>38</v>
      </c>
      <c r="Q1288" s="20">
        <v>40031.0</v>
      </c>
      <c r="R1288" s="17">
        <f t="shared" si="2"/>
        <v>16.19128335</v>
      </c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>
        <f t="shared" si="8"/>
        <v>4</v>
      </c>
      <c r="AF1288" s="19" t="b">
        <f t="shared" si="13"/>
        <v>0</v>
      </c>
      <c r="AG1288" s="9"/>
      <c r="AH1288" s="9"/>
      <c r="AI1288" s="9"/>
    </row>
    <row r="1289" ht="15.0" customHeight="1">
      <c r="A1289" s="11">
        <v>1288.0</v>
      </c>
      <c r="B1289" s="12">
        <f t="shared" si="209"/>
        <v>40029</v>
      </c>
      <c r="C1289" s="13">
        <v>2009.0</v>
      </c>
      <c r="D1289" s="11" t="s">
        <v>23</v>
      </c>
      <c r="E1289" s="11">
        <v>43.0</v>
      </c>
      <c r="F1289" s="21" t="s">
        <v>1015</v>
      </c>
      <c r="G1289" s="15">
        <v>0.09057923497267761</v>
      </c>
      <c r="H1289" s="11" t="s">
        <v>33</v>
      </c>
      <c r="I1289" s="16">
        <v>4.5360000000000005</v>
      </c>
      <c r="J1289" s="11" t="s">
        <v>528</v>
      </c>
      <c r="K1289" s="11" t="s">
        <v>83</v>
      </c>
      <c r="L1289" s="11" t="s">
        <v>41</v>
      </c>
      <c r="M1289" s="11" t="s">
        <v>28</v>
      </c>
      <c r="N1289" s="11" t="s">
        <v>56</v>
      </c>
      <c r="O1289" s="11" t="s">
        <v>1617</v>
      </c>
      <c r="P1289" s="11" t="s">
        <v>38</v>
      </c>
      <c r="Q1289" s="20">
        <v>40031.0</v>
      </c>
      <c r="R1289" s="17">
        <f t="shared" si="2"/>
        <v>22.6118379</v>
      </c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>
        <f t="shared" si="8"/>
        <v>3</v>
      </c>
      <c r="AF1289" s="19" t="b">
        <f t="shared" si="13"/>
        <v>0</v>
      </c>
      <c r="AG1289" s="9"/>
      <c r="AH1289" s="9"/>
      <c r="AI1289" s="9"/>
    </row>
    <row r="1290" ht="15.0" customHeight="1">
      <c r="A1290" s="11">
        <v>1289.0</v>
      </c>
      <c r="B1290" s="12">
        <f t="shared" si="209"/>
        <v>40029</v>
      </c>
      <c r="C1290" s="13">
        <v>2009.0</v>
      </c>
      <c r="D1290" s="11" t="s">
        <v>39</v>
      </c>
      <c r="E1290" s="11">
        <v>37.0</v>
      </c>
      <c r="F1290" s="21" t="s">
        <v>1479</v>
      </c>
      <c r="G1290" s="15">
        <v>0.10020084802499436</v>
      </c>
      <c r="H1290" s="11" t="s">
        <v>33</v>
      </c>
      <c r="I1290" s="16">
        <v>3.6</v>
      </c>
      <c r="J1290" s="11" t="s">
        <v>444</v>
      </c>
      <c r="K1290" s="11" t="s">
        <v>61</v>
      </c>
      <c r="L1290" s="11" t="s">
        <v>36</v>
      </c>
      <c r="M1290" s="11" t="s">
        <v>28</v>
      </c>
      <c r="N1290" s="11" t="s">
        <v>197</v>
      </c>
      <c r="O1290" s="11" t="s">
        <v>1480</v>
      </c>
      <c r="P1290" s="11" t="s">
        <v>38</v>
      </c>
      <c r="Q1290" s="20">
        <v>40031.0</v>
      </c>
      <c r="R1290" s="17">
        <f t="shared" si="2"/>
        <v>40.40098192</v>
      </c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>
        <f t="shared" si="8"/>
        <v>2</v>
      </c>
      <c r="AF1290" s="19">
        <f t="shared" si="13"/>
        <v>4</v>
      </c>
      <c r="AG1290" s="9"/>
      <c r="AH1290" s="9"/>
      <c r="AI1290" s="9"/>
    </row>
    <row r="1291" ht="15.0" customHeight="1">
      <c r="A1291" s="11">
        <v>1290.0</v>
      </c>
      <c r="B1291" s="12">
        <f t="shared" si="209"/>
        <v>40029</v>
      </c>
      <c r="C1291" s="13">
        <v>2009.0</v>
      </c>
      <c r="D1291" s="11" t="s">
        <v>39</v>
      </c>
      <c r="E1291" s="11">
        <v>42.0</v>
      </c>
      <c r="F1291" s="21" t="s">
        <v>1156</v>
      </c>
      <c r="G1291" s="15">
        <v>0.01073150118470898</v>
      </c>
      <c r="H1291" s="11" t="s">
        <v>33</v>
      </c>
      <c r="I1291" s="16">
        <v>7.192</v>
      </c>
      <c r="J1291" s="11" t="s">
        <v>479</v>
      </c>
      <c r="K1291" s="11" t="s">
        <v>35</v>
      </c>
      <c r="L1291" s="11" t="s">
        <v>48</v>
      </c>
      <c r="M1291" s="11" t="s">
        <v>66</v>
      </c>
      <c r="N1291" s="11" t="s">
        <v>80</v>
      </c>
      <c r="O1291" s="11" t="s">
        <v>1580</v>
      </c>
      <c r="P1291" s="11" t="s">
        <v>38</v>
      </c>
      <c r="Q1291" s="20">
        <v>40031.0</v>
      </c>
      <c r="R1291" s="17">
        <f t="shared" si="2"/>
        <v>70.34490441</v>
      </c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>
        <f t="shared" si="8"/>
        <v>4</v>
      </c>
      <c r="AF1291" s="19">
        <f t="shared" si="13"/>
        <v>2</v>
      </c>
      <c r="AG1291" s="9"/>
      <c r="AH1291" s="9"/>
      <c r="AI1291" s="9"/>
    </row>
    <row r="1292" ht="15.0" customHeight="1">
      <c r="A1292" s="11">
        <v>1291.0</v>
      </c>
      <c r="B1292" s="12">
        <f t="shared" si="209"/>
        <v>40029</v>
      </c>
      <c r="C1292" s="13">
        <v>2009.0</v>
      </c>
      <c r="D1292" s="11" t="s">
        <v>23</v>
      </c>
      <c r="E1292" s="11">
        <v>44.0</v>
      </c>
      <c r="F1292" s="21" t="s">
        <v>93</v>
      </c>
      <c r="G1292" s="15">
        <v>0.015805221472572534</v>
      </c>
      <c r="H1292" s="11" t="s">
        <v>33</v>
      </c>
      <c r="I1292" s="16">
        <v>1.1119999999999999</v>
      </c>
      <c r="J1292" s="11" t="s">
        <v>1681</v>
      </c>
      <c r="K1292" s="11" t="s">
        <v>61</v>
      </c>
      <c r="L1292" s="11" t="s">
        <v>41</v>
      </c>
      <c r="M1292" s="11" t="s">
        <v>28</v>
      </c>
      <c r="N1292" s="11" t="s">
        <v>236</v>
      </c>
      <c r="O1292" s="11" t="s">
        <v>367</v>
      </c>
      <c r="P1292" s="11" t="s">
        <v>38</v>
      </c>
      <c r="Q1292" s="20">
        <v>40031.0</v>
      </c>
      <c r="R1292" s="17">
        <f t="shared" si="2"/>
        <v>5.302841467</v>
      </c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>
        <f t="shared" si="8"/>
        <v>3</v>
      </c>
      <c r="AF1292" s="19">
        <f t="shared" si="13"/>
        <v>4</v>
      </c>
      <c r="AG1292" s="9"/>
      <c r="AH1292" s="9"/>
      <c r="AI1292" s="9"/>
    </row>
    <row r="1293" ht="15.0" customHeight="1">
      <c r="A1293" s="11">
        <v>1292.0</v>
      </c>
      <c r="B1293" s="12">
        <f t="shared" ref="B1293:B1301" si="210">DATE(2012,12,31)-1244</f>
        <v>40030</v>
      </c>
      <c r="C1293" s="13">
        <v>2009.0</v>
      </c>
      <c r="D1293" s="11" t="s">
        <v>102</v>
      </c>
      <c r="E1293" s="11">
        <v>44.0</v>
      </c>
      <c r="F1293" s="21" t="s">
        <v>834</v>
      </c>
      <c r="G1293" s="15">
        <v>0.07469916860379903</v>
      </c>
      <c r="H1293" s="11" t="s">
        <v>45</v>
      </c>
      <c r="I1293" s="16">
        <v>34.016000000000005</v>
      </c>
      <c r="J1293" s="11" t="s">
        <v>1682</v>
      </c>
      <c r="K1293" s="11" t="s">
        <v>47</v>
      </c>
      <c r="L1293" s="11" t="s">
        <v>48</v>
      </c>
      <c r="M1293" s="11" t="s">
        <v>49</v>
      </c>
      <c r="N1293" s="11" t="s">
        <v>85</v>
      </c>
      <c r="O1293" s="11" t="s">
        <v>1115</v>
      </c>
      <c r="P1293" s="11" t="s">
        <v>87</v>
      </c>
      <c r="Q1293" s="20">
        <v>40031.0</v>
      </c>
      <c r="R1293" s="17">
        <f t="shared" si="2"/>
        <v>1320.204421</v>
      </c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>
        <f t="shared" si="8"/>
        <v>4</v>
      </c>
      <c r="AF1293" s="19">
        <f t="shared" si="13"/>
        <v>3</v>
      </c>
      <c r="AG1293" s="9"/>
      <c r="AH1293" s="9"/>
      <c r="AI1293" s="9"/>
    </row>
    <row r="1294" ht="15.0" customHeight="1">
      <c r="A1294" s="11">
        <v>1293.0</v>
      </c>
      <c r="B1294" s="12">
        <f t="shared" si="210"/>
        <v>40030</v>
      </c>
      <c r="C1294" s="13">
        <v>2009.0</v>
      </c>
      <c r="D1294" s="11" t="s">
        <v>23</v>
      </c>
      <c r="E1294" s="11">
        <v>49.0</v>
      </c>
      <c r="F1294" s="21" t="s">
        <v>277</v>
      </c>
      <c r="G1294" s="15">
        <v>0.12079470198675485</v>
      </c>
      <c r="H1294" s="11" t="s">
        <v>33</v>
      </c>
      <c r="I1294" s="16">
        <v>1.2560000000000002</v>
      </c>
      <c r="J1294" s="11" t="s">
        <v>689</v>
      </c>
      <c r="K1294" s="11" t="s">
        <v>117</v>
      </c>
      <c r="L1294" s="11" t="s">
        <v>36</v>
      </c>
      <c r="M1294" s="11" t="s">
        <v>28</v>
      </c>
      <c r="N1294" s="11" t="s">
        <v>62</v>
      </c>
      <c r="O1294" s="11" t="s">
        <v>355</v>
      </c>
      <c r="P1294" s="11" t="s">
        <v>58</v>
      </c>
      <c r="Q1294" s="20">
        <v>40031.0</v>
      </c>
      <c r="R1294" s="17">
        <f t="shared" si="2"/>
        <v>9.622022781</v>
      </c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>
        <f t="shared" si="8"/>
        <v>2</v>
      </c>
      <c r="AF1294" s="19" t="b">
        <f t="shared" si="13"/>
        <v>0</v>
      </c>
      <c r="AG1294" s="9"/>
      <c r="AH1294" s="9"/>
      <c r="AI1294" s="9"/>
    </row>
    <row r="1295" ht="15.0" customHeight="1">
      <c r="A1295" s="11">
        <v>1294.0</v>
      </c>
      <c r="B1295" s="12">
        <f t="shared" si="210"/>
        <v>40030</v>
      </c>
      <c r="C1295" s="13">
        <v>2009.0</v>
      </c>
      <c r="D1295" s="11" t="s">
        <v>102</v>
      </c>
      <c r="E1295" s="11">
        <v>44.0</v>
      </c>
      <c r="F1295" s="21" t="s">
        <v>256</v>
      </c>
      <c r="G1295" s="15">
        <v>0.0416916616676664</v>
      </c>
      <c r="H1295" s="11" t="s">
        <v>33</v>
      </c>
      <c r="I1295" s="16">
        <v>5.4</v>
      </c>
      <c r="J1295" s="11" t="s">
        <v>456</v>
      </c>
      <c r="K1295" s="11" t="s">
        <v>35</v>
      </c>
      <c r="L1295" s="11" t="s">
        <v>27</v>
      </c>
      <c r="M1295" s="11" t="s">
        <v>28</v>
      </c>
      <c r="N1295" s="11" t="s">
        <v>197</v>
      </c>
      <c r="O1295" s="11" t="s">
        <v>257</v>
      </c>
      <c r="P1295" s="11" t="s">
        <v>75</v>
      </c>
      <c r="Q1295" s="20">
        <v>40031.0</v>
      </c>
      <c r="R1295" s="17">
        <f t="shared" si="2"/>
        <v>26.64097181</v>
      </c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>
        <f t="shared" si="8"/>
        <v>1</v>
      </c>
      <c r="AF1295" s="19">
        <f t="shared" si="13"/>
        <v>2</v>
      </c>
      <c r="AG1295" s="9"/>
      <c r="AH1295" s="9"/>
      <c r="AI1295" s="9"/>
    </row>
    <row r="1296" ht="15.0" customHeight="1">
      <c r="A1296" s="11">
        <v>1295.0</v>
      </c>
      <c r="B1296" s="12">
        <f t="shared" si="210"/>
        <v>40030</v>
      </c>
      <c r="C1296" s="13">
        <v>2009.0</v>
      </c>
      <c r="D1296" s="11" t="s">
        <v>102</v>
      </c>
      <c r="E1296" s="11">
        <v>32.0</v>
      </c>
      <c r="F1296" s="21" t="s">
        <v>103</v>
      </c>
      <c r="G1296" s="15">
        <v>0.05642926829268285</v>
      </c>
      <c r="H1296" s="11" t="s">
        <v>33</v>
      </c>
      <c r="I1296" s="16">
        <v>4.632000000000001</v>
      </c>
      <c r="J1296" s="11" t="s">
        <v>456</v>
      </c>
      <c r="K1296" s="11" t="s">
        <v>35</v>
      </c>
      <c r="L1296" s="11" t="s">
        <v>27</v>
      </c>
      <c r="M1296" s="11" t="s">
        <v>28</v>
      </c>
      <c r="N1296" s="11" t="s">
        <v>56</v>
      </c>
      <c r="O1296" s="11" t="s">
        <v>283</v>
      </c>
      <c r="P1296" s="11" t="s">
        <v>38</v>
      </c>
      <c r="Q1296" s="20">
        <v>40032.0</v>
      </c>
      <c r="R1296" s="17">
        <f t="shared" si="2"/>
        <v>10.91522622</v>
      </c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>
        <f t="shared" si="8"/>
        <v>1</v>
      </c>
      <c r="AF1296" s="19">
        <f t="shared" si="13"/>
        <v>2</v>
      </c>
      <c r="AG1296" s="9"/>
      <c r="AH1296" s="9"/>
      <c r="AI1296" s="9"/>
    </row>
    <row r="1297" ht="15.0" customHeight="1">
      <c r="A1297" s="11">
        <v>1296.0</v>
      </c>
      <c r="B1297" s="12">
        <f t="shared" si="210"/>
        <v>40030</v>
      </c>
      <c r="C1297" s="13">
        <v>2009.0</v>
      </c>
      <c r="D1297" s="11" t="s">
        <v>102</v>
      </c>
      <c r="E1297" s="11">
        <v>16.0</v>
      </c>
      <c r="F1297" s="21" t="s">
        <v>178</v>
      </c>
      <c r="G1297" s="15">
        <v>0.032012400838880226</v>
      </c>
      <c r="H1297" s="11" t="s">
        <v>33</v>
      </c>
      <c r="I1297" s="16">
        <v>7.192</v>
      </c>
      <c r="J1297" s="11" t="s">
        <v>456</v>
      </c>
      <c r="K1297" s="11" t="s">
        <v>35</v>
      </c>
      <c r="L1297" s="11" t="s">
        <v>27</v>
      </c>
      <c r="M1297" s="11" t="s">
        <v>66</v>
      </c>
      <c r="N1297" s="11" t="s">
        <v>80</v>
      </c>
      <c r="O1297" s="11" t="s">
        <v>1263</v>
      </c>
      <c r="P1297" s="11" t="s">
        <v>38</v>
      </c>
      <c r="Q1297" s="20">
        <v>40032.0</v>
      </c>
      <c r="R1297" s="17">
        <f t="shared" si="2"/>
        <v>33.98410863</v>
      </c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>
        <f t="shared" si="8"/>
        <v>1</v>
      </c>
      <c r="AF1297" s="19">
        <f t="shared" si="13"/>
        <v>2</v>
      </c>
      <c r="AG1297" s="9"/>
      <c r="AH1297" s="9"/>
      <c r="AI1297" s="9"/>
    </row>
    <row r="1298" ht="15.0" customHeight="1">
      <c r="A1298" s="11">
        <v>1297.0</v>
      </c>
      <c r="B1298" s="12">
        <f t="shared" si="210"/>
        <v>40030</v>
      </c>
      <c r="C1298" s="13">
        <v>2009.0</v>
      </c>
      <c r="D1298" s="11" t="s">
        <v>23</v>
      </c>
      <c r="E1298" s="11">
        <v>8.0</v>
      </c>
      <c r="F1298" s="21" t="s">
        <v>1399</v>
      </c>
      <c r="G1298" s="15">
        <v>0.06919528446950282</v>
      </c>
      <c r="H1298" s="11" t="s">
        <v>33</v>
      </c>
      <c r="I1298" s="16">
        <v>28.0</v>
      </c>
      <c r="J1298" s="11" t="s">
        <v>588</v>
      </c>
      <c r="K1298" s="11" t="s">
        <v>47</v>
      </c>
      <c r="L1298" s="11" t="s">
        <v>27</v>
      </c>
      <c r="M1298" s="11" t="s">
        <v>28</v>
      </c>
      <c r="N1298" s="11" t="s">
        <v>29</v>
      </c>
      <c r="O1298" s="11" t="s">
        <v>1400</v>
      </c>
      <c r="P1298" s="11" t="s">
        <v>31</v>
      </c>
      <c r="Q1298" s="20">
        <v>40032.0</v>
      </c>
      <c r="R1298" s="17">
        <f t="shared" si="2"/>
        <v>37.69759098</v>
      </c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>
        <f t="shared" si="8"/>
        <v>1</v>
      </c>
      <c r="AF1298" s="19">
        <f t="shared" si="13"/>
        <v>3</v>
      </c>
      <c r="AG1298" s="9"/>
      <c r="AH1298" s="9"/>
      <c r="AI1298" s="9"/>
    </row>
    <row r="1299" ht="15.0" customHeight="1">
      <c r="A1299" s="11">
        <v>1298.0</v>
      </c>
      <c r="B1299" s="12">
        <f t="shared" si="210"/>
        <v>40030</v>
      </c>
      <c r="C1299" s="13">
        <v>2009.0</v>
      </c>
      <c r="D1299" s="11" t="s">
        <v>44</v>
      </c>
      <c r="E1299" s="11">
        <v>40.0</v>
      </c>
      <c r="F1299" s="21" t="s">
        <v>128</v>
      </c>
      <c r="G1299" s="15">
        <v>0.0832999745260017</v>
      </c>
      <c r="H1299" s="11" t="s">
        <v>33</v>
      </c>
      <c r="I1299" s="16">
        <v>2.0</v>
      </c>
      <c r="J1299" s="11" t="s">
        <v>1683</v>
      </c>
      <c r="K1299" s="11" t="s">
        <v>61</v>
      </c>
      <c r="L1299" s="11" t="s">
        <v>27</v>
      </c>
      <c r="M1299" s="11" t="s">
        <v>66</v>
      </c>
      <c r="N1299" s="11" t="s">
        <v>80</v>
      </c>
      <c r="O1299" s="11" t="s">
        <v>862</v>
      </c>
      <c r="P1299" s="11" t="s">
        <v>38</v>
      </c>
      <c r="Q1299" s="20">
        <v>40032.0</v>
      </c>
      <c r="R1299" s="17">
        <f t="shared" si="2"/>
        <v>419.6652717</v>
      </c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>
        <f t="shared" si="8"/>
        <v>1</v>
      </c>
      <c r="AF1299" s="19">
        <f t="shared" si="13"/>
        <v>4</v>
      </c>
      <c r="AG1299" s="9"/>
      <c r="AH1299" s="9"/>
      <c r="AI1299" s="9"/>
    </row>
    <row r="1300" ht="15.0" customHeight="1">
      <c r="A1300" s="11">
        <v>1299.0</v>
      </c>
      <c r="B1300" s="12">
        <f t="shared" si="210"/>
        <v>40030</v>
      </c>
      <c r="C1300" s="13">
        <v>2009.0</v>
      </c>
      <c r="D1300" s="11" t="s">
        <v>102</v>
      </c>
      <c r="E1300" s="11">
        <v>26.0</v>
      </c>
      <c r="F1300" s="21" t="s">
        <v>731</v>
      </c>
      <c r="G1300" s="15">
        <v>0.0274435074401769</v>
      </c>
      <c r="H1300" s="11" t="s">
        <v>33</v>
      </c>
      <c r="I1300" s="16">
        <v>10.32</v>
      </c>
      <c r="J1300" s="11" t="s">
        <v>1684</v>
      </c>
      <c r="K1300" s="11" t="s">
        <v>47</v>
      </c>
      <c r="L1300" s="11" t="s">
        <v>48</v>
      </c>
      <c r="M1300" s="11" t="s">
        <v>28</v>
      </c>
      <c r="N1300" s="11" t="s">
        <v>29</v>
      </c>
      <c r="O1300" s="11" t="s">
        <v>733</v>
      </c>
      <c r="P1300" s="11" t="s">
        <v>38</v>
      </c>
      <c r="Q1300" s="20">
        <v>40032.0</v>
      </c>
      <c r="R1300" s="17">
        <f t="shared" si="2"/>
        <v>27.18334299</v>
      </c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>
        <f t="shared" si="8"/>
        <v>4</v>
      </c>
      <c r="AF1300" s="19">
        <f t="shared" si="13"/>
        <v>3</v>
      </c>
      <c r="AG1300" s="9"/>
      <c r="AH1300" s="9"/>
      <c r="AI1300" s="9"/>
    </row>
    <row r="1301" ht="15.0" customHeight="1">
      <c r="A1301" s="11">
        <v>1300.0</v>
      </c>
      <c r="B1301" s="12">
        <f t="shared" si="210"/>
        <v>40030</v>
      </c>
      <c r="C1301" s="13">
        <v>2009.0</v>
      </c>
      <c r="D1301" s="11" t="s">
        <v>44</v>
      </c>
      <c r="E1301" s="11">
        <v>42.0</v>
      </c>
      <c r="F1301" s="21" t="s">
        <v>747</v>
      </c>
      <c r="G1301" s="15">
        <v>0.018524810013410716</v>
      </c>
      <c r="H1301" s="11" t="s">
        <v>33</v>
      </c>
      <c r="I1301" s="16">
        <v>2.3120000000000003</v>
      </c>
      <c r="J1301" s="11" t="s">
        <v>1685</v>
      </c>
      <c r="K1301" s="11" t="s">
        <v>61</v>
      </c>
      <c r="L1301" s="11" t="s">
        <v>41</v>
      </c>
      <c r="M1301" s="11" t="s">
        <v>28</v>
      </c>
      <c r="N1301" s="11" t="s">
        <v>62</v>
      </c>
      <c r="O1301" s="11" t="s">
        <v>1491</v>
      </c>
      <c r="P1301" s="11" t="s">
        <v>99</v>
      </c>
      <c r="Q1301" s="20">
        <v>40032.0</v>
      </c>
      <c r="R1301" s="17">
        <f t="shared" si="2"/>
        <v>8.134466375</v>
      </c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>
        <f t="shared" si="8"/>
        <v>3</v>
      </c>
      <c r="AF1301" s="19">
        <f t="shared" si="13"/>
        <v>4</v>
      </c>
      <c r="AG1301" s="9"/>
      <c r="AH1301" s="9"/>
      <c r="AI1301" s="9"/>
    </row>
    <row r="1302" ht="15.0" customHeight="1">
      <c r="A1302" s="11">
        <v>1301.0</v>
      </c>
      <c r="B1302" s="12">
        <f t="shared" ref="B1302:B1312" si="211">DATE(2012,12,31)-1243</f>
        <v>40031</v>
      </c>
      <c r="C1302" s="13">
        <v>2009.0</v>
      </c>
      <c r="D1302" s="11" t="s">
        <v>32</v>
      </c>
      <c r="E1302" s="11">
        <v>31.0</v>
      </c>
      <c r="F1302" s="21" t="s">
        <v>948</v>
      </c>
      <c r="G1302" s="15">
        <v>0.042957393483709416</v>
      </c>
      <c r="H1302" s="11" t="s">
        <v>33</v>
      </c>
      <c r="I1302" s="16">
        <v>3.944</v>
      </c>
      <c r="J1302" s="11" t="s">
        <v>1686</v>
      </c>
      <c r="K1302" s="11" t="s">
        <v>35</v>
      </c>
      <c r="L1302" s="11" t="s">
        <v>48</v>
      </c>
      <c r="M1302" s="11" t="s">
        <v>66</v>
      </c>
      <c r="N1302" s="11" t="s">
        <v>67</v>
      </c>
      <c r="O1302" s="11" t="s">
        <v>1295</v>
      </c>
      <c r="P1302" s="11" t="s">
        <v>99</v>
      </c>
      <c r="Q1302" s="20">
        <v>40032.0</v>
      </c>
      <c r="R1302" s="17">
        <f t="shared" si="2"/>
        <v>6.56148411</v>
      </c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>
        <f t="shared" si="8"/>
        <v>4</v>
      </c>
      <c r="AF1302" s="19">
        <f t="shared" si="13"/>
        <v>2</v>
      </c>
      <c r="AG1302" s="9"/>
      <c r="AH1302" s="9"/>
      <c r="AI1302" s="9"/>
    </row>
    <row r="1303" ht="15.0" customHeight="1">
      <c r="A1303" s="11">
        <v>1302.0</v>
      </c>
      <c r="B1303" s="12">
        <f t="shared" si="211"/>
        <v>40031</v>
      </c>
      <c r="C1303" s="13">
        <v>2009.0</v>
      </c>
      <c r="D1303" s="11" t="s">
        <v>32</v>
      </c>
      <c r="E1303" s="11">
        <v>12.0</v>
      </c>
      <c r="F1303" s="21" t="s">
        <v>1551</v>
      </c>
      <c r="G1303" s="15">
        <v>0.07351104341203363</v>
      </c>
      <c r="H1303" s="11" t="s">
        <v>33</v>
      </c>
      <c r="I1303" s="16">
        <v>1.6480000000000001</v>
      </c>
      <c r="J1303" s="11" t="s">
        <v>1686</v>
      </c>
      <c r="K1303" s="11" t="s">
        <v>35</v>
      </c>
      <c r="L1303" s="11" t="s">
        <v>48</v>
      </c>
      <c r="M1303" s="11" t="s">
        <v>28</v>
      </c>
      <c r="N1303" s="11" t="s">
        <v>56</v>
      </c>
      <c r="O1303" s="11" t="s">
        <v>1552</v>
      </c>
      <c r="P1303" s="11" t="s">
        <v>58</v>
      </c>
      <c r="Q1303" s="20">
        <v>40032.0</v>
      </c>
      <c r="R1303" s="17">
        <f t="shared" si="2"/>
        <v>8.942471409</v>
      </c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>
        <f t="shared" si="8"/>
        <v>4</v>
      </c>
      <c r="AF1303" s="19">
        <f t="shared" si="13"/>
        <v>2</v>
      </c>
      <c r="AG1303" s="9"/>
      <c r="AH1303" s="9"/>
      <c r="AI1303" s="9"/>
    </row>
    <row r="1304" ht="15.0" customHeight="1">
      <c r="A1304" s="11">
        <v>1303.0</v>
      </c>
      <c r="B1304" s="12">
        <f t="shared" si="211"/>
        <v>40031</v>
      </c>
      <c r="C1304" s="13">
        <v>2009.0</v>
      </c>
      <c r="D1304" s="11" t="s">
        <v>44</v>
      </c>
      <c r="E1304" s="11">
        <v>9.0</v>
      </c>
      <c r="F1304" s="21" t="s">
        <v>158</v>
      </c>
      <c r="G1304" s="15">
        <v>0.036630265210608304</v>
      </c>
      <c r="H1304" s="11" t="s">
        <v>33</v>
      </c>
      <c r="I1304" s="16">
        <v>4.152</v>
      </c>
      <c r="J1304" s="11" t="s">
        <v>576</v>
      </c>
      <c r="K1304" s="11" t="s">
        <v>117</v>
      </c>
      <c r="L1304" s="11" t="s">
        <v>36</v>
      </c>
      <c r="M1304" s="11" t="s">
        <v>28</v>
      </c>
      <c r="N1304" s="11" t="s">
        <v>56</v>
      </c>
      <c r="O1304" s="11" t="s">
        <v>1687</v>
      </c>
      <c r="P1304" s="11" t="s">
        <v>38</v>
      </c>
      <c r="Q1304" s="20">
        <v>40032.0</v>
      </c>
      <c r="R1304" s="17">
        <f t="shared" si="2"/>
        <v>2.261992137</v>
      </c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>
        <f t="shared" si="8"/>
        <v>2</v>
      </c>
      <c r="AF1304" s="19" t="b">
        <f t="shared" si="13"/>
        <v>0</v>
      </c>
      <c r="AG1304" s="9"/>
      <c r="AH1304" s="9"/>
      <c r="AI1304" s="9"/>
    </row>
    <row r="1305" ht="15.0" customHeight="1">
      <c r="A1305" s="11">
        <v>1304.0</v>
      </c>
      <c r="B1305" s="12">
        <f t="shared" si="211"/>
        <v>40031</v>
      </c>
      <c r="C1305" s="13">
        <v>2009.0</v>
      </c>
      <c r="D1305" s="11" t="s">
        <v>39</v>
      </c>
      <c r="E1305" s="11">
        <v>45.0</v>
      </c>
      <c r="F1305" s="21" t="s">
        <v>186</v>
      </c>
      <c r="G1305" s="15">
        <v>0.07672869735553382</v>
      </c>
      <c r="H1305" s="11" t="s">
        <v>33</v>
      </c>
      <c r="I1305" s="16">
        <v>4.032</v>
      </c>
      <c r="J1305" s="11" t="s">
        <v>823</v>
      </c>
      <c r="K1305" s="11" t="s">
        <v>61</v>
      </c>
      <c r="L1305" s="11" t="s">
        <v>36</v>
      </c>
      <c r="M1305" s="11" t="s">
        <v>28</v>
      </c>
      <c r="N1305" s="11" t="s">
        <v>42</v>
      </c>
      <c r="O1305" s="11" t="s">
        <v>864</v>
      </c>
      <c r="P1305" s="11" t="s">
        <v>38</v>
      </c>
      <c r="Q1305" s="20">
        <v>40032.0</v>
      </c>
      <c r="R1305" s="17">
        <f t="shared" si="2"/>
        <v>14.46581477</v>
      </c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>
        <f t="shared" si="8"/>
        <v>2</v>
      </c>
      <c r="AF1305" s="19">
        <f t="shared" si="13"/>
        <v>4</v>
      </c>
      <c r="AG1305" s="9"/>
      <c r="AH1305" s="9"/>
      <c r="AI1305" s="9"/>
    </row>
    <row r="1306" ht="15.0" customHeight="1">
      <c r="A1306" s="11">
        <v>1305.0</v>
      </c>
      <c r="B1306" s="12">
        <f t="shared" si="211"/>
        <v>40031</v>
      </c>
      <c r="C1306" s="13">
        <v>2009.0</v>
      </c>
      <c r="D1306" s="11" t="s">
        <v>39</v>
      </c>
      <c r="E1306" s="11">
        <v>30.0</v>
      </c>
      <c r="F1306" s="21" t="s">
        <v>1084</v>
      </c>
      <c r="G1306" s="15">
        <v>0.021183345507669874</v>
      </c>
      <c r="H1306" s="11" t="s">
        <v>33</v>
      </c>
      <c r="I1306" s="16">
        <v>2.0</v>
      </c>
      <c r="J1306" s="11" t="s">
        <v>823</v>
      </c>
      <c r="K1306" s="11" t="s">
        <v>61</v>
      </c>
      <c r="L1306" s="11" t="s">
        <v>36</v>
      </c>
      <c r="M1306" s="11" t="s">
        <v>28</v>
      </c>
      <c r="N1306" s="11" t="s">
        <v>236</v>
      </c>
      <c r="O1306" s="11" t="s">
        <v>1510</v>
      </c>
      <c r="P1306" s="11" t="s">
        <v>38</v>
      </c>
      <c r="Q1306" s="20">
        <v>40032.0</v>
      </c>
      <c r="R1306" s="17">
        <f t="shared" si="2"/>
        <v>2.838568298</v>
      </c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>
        <f t="shared" si="8"/>
        <v>2</v>
      </c>
      <c r="AF1306" s="19">
        <f t="shared" si="13"/>
        <v>4</v>
      </c>
      <c r="AG1306" s="9"/>
      <c r="AH1306" s="9"/>
      <c r="AI1306" s="9"/>
    </row>
    <row r="1307" ht="15.0" customHeight="1">
      <c r="A1307" s="11">
        <v>1306.0</v>
      </c>
      <c r="B1307" s="12">
        <f t="shared" si="211"/>
        <v>40031</v>
      </c>
      <c r="C1307" s="13">
        <v>2009.0</v>
      </c>
      <c r="D1307" s="11" t="s">
        <v>44</v>
      </c>
      <c r="E1307" s="11">
        <v>41.0</v>
      </c>
      <c r="F1307" s="21" t="s">
        <v>1330</v>
      </c>
      <c r="G1307" s="15">
        <v>0.01514981273408235</v>
      </c>
      <c r="H1307" s="11" t="s">
        <v>33</v>
      </c>
      <c r="I1307" s="16">
        <v>5.056000000000001</v>
      </c>
      <c r="J1307" s="11" t="s">
        <v>1415</v>
      </c>
      <c r="K1307" s="11" t="s">
        <v>65</v>
      </c>
      <c r="L1307" s="11" t="s">
        <v>36</v>
      </c>
      <c r="M1307" s="11" t="s">
        <v>28</v>
      </c>
      <c r="N1307" s="11" t="s">
        <v>197</v>
      </c>
      <c r="O1307" s="11" t="s">
        <v>1331</v>
      </c>
      <c r="P1307" s="11" t="s">
        <v>38</v>
      </c>
      <c r="Q1307" s="20">
        <v>40033.0</v>
      </c>
      <c r="R1307" s="17">
        <f t="shared" si="2"/>
        <v>12.74790082</v>
      </c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>
        <f t="shared" si="8"/>
        <v>2</v>
      </c>
      <c r="AF1307" s="19">
        <f t="shared" si="13"/>
        <v>5</v>
      </c>
      <c r="AG1307" s="9"/>
      <c r="AH1307" s="9"/>
      <c r="AI1307" s="9"/>
    </row>
    <row r="1308" ht="15.0" customHeight="1">
      <c r="A1308" s="11">
        <v>1307.0</v>
      </c>
      <c r="B1308" s="12">
        <f t="shared" si="211"/>
        <v>40031</v>
      </c>
      <c r="C1308" s="13">
        <v>2009.0</v>
      </c>
      <c r="D1308" s="11" t="s">
        <v>44</v>
      </c>
      <c r="E1308" s="11">
        <v>26.0</v>
      </c>
      <c r="F1308" s="21" t="s">
        <v>119</v>
      </c>
      <c r="G1308" s="15">
        <v>0.11956756756756749</v>
      </c>
      <c r="H1308" s="11" t="s">
        <v>33</v>
      </c>
      <c r="I1308" s="16">
        <v>2.064</v>
      </c>
      <c r="J1308" s="11" t="s">
        <v>1415</v>
      </c>
      <c r="K1308" s="11" t="s">
        <v>65</v>
      </c>
      <c r="L1308" s="11" t="s">
        <v>36</v>
      </c>
      <c r="M1308" s="11" t="s">
        <v>28</v>
      </c>
      <c r="N1308" s="11" t="s">
        <v>216</v>
      </c>
      <c r="O1308" s="11" t="s">
        <v>1619</v>
      </c>
      <c r="P1308" s="11" t="s">
        <v>58</v>
      </c>
      <c r="Q1308" s="20">
        <v>40033.0</v>
      </c>
      <c r="R1308" s="17">
        <f t="shared" si="2"/>
        <v>5.842549622</v>
      </c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>
        <f t="shared" si="8"/>
        <v>2</v>
      </c>
      <c r="AF1308" s="19">
        <f t="shared" si="13"/>
        <v>5</v>
      </c>
      <c r="AG1308" s="9"/>
      <c r="AH1308" s="9"/>
      <c r="AI1308" s="9"/>
    </row>
    <row r="1309" ht="15.0" customHeight="1">
      <c r="A1309" s="11">
        <v>1308.0</v>
      </c>
      <c r="B1309" s="12">
        <f t="shared" si="211"/>
        <v>40031</v>
      </c>
      <c r="C1309" s="13">
        <v>2009.0</v>
      </c>
      <c r="D1309" s="11" t="s">
        <v>44</v>
      </c>
      <c r="E1309" s="11">
        <v>38.0</v>
      </c>
      <c r="F1309" s="21" t="s">
        <v>100</v>
      </c>
      <c r="G1309" s="15">
        <v>0.07453438183645718</v>
      </c>
      <c r="H1309" s="11" t="s">
        <v>33</v>
      </c>
      <c r="I1309" s="16">
        <v>2.0</v>
      </c>
      <c r="J1309" s="11" t="s">
        <v>1415</v>
      </c>
      <c r="K1309" s="11" t="s">
        <v>65</v>
      </c>
      <c r="L1309" s="11" t="s">
        <v>36</v>
      </c>
      <c r="M1309" s="11" t="s">
        <v>66</v>
      </c>
      <c r="N1309" s="11" t="s">
        <v>80</v>
      </c>
      <c r="O1309" s="11" t="s">
        <v>478</v>
      </c>
      <c r="P1309" s="11" t="s">
        <v>38</v>
      </c>
      <c r="Q1309" s="20">
        <v>40033.0</v>
      </c>
      <c r="R1309" s="17">
        <f t="shared" si="2"/>
        <v>583.3209791</v>
      </c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>
        <f t="shared" si="8"/>
        <v>2</v>
      </c>
      <c r="AF1309" s="19">
        <f t="shared" si="13"/>
        <v>5</v>
      </c>
      <c r="AG1309" s="9"/>
      <c r="AH1309" s="9"/>
      <c r="AI1309" s="9"/>
    </row>
    <row r="1310" ht="15.0" customHeight="1">
      <c r="A1310" s="11">
        <v>1309.0</v>
      </c>
      <c r="B1310" s="12">
        <f t="shared" si="211"/>
        <v>40031</v>
      </c>
      <c r="C1310" s="13">
        <v>2009.0</v>
      </c>
      <c r="D1310" s="11" t="s">
        <v>32</v>
      </c>
      <c r="E1310" s="11">
        <v>46.0</v>
      </c>
      <c r="F1310" s="21" t="s">
        <v>908</v>
      </c>
      <c r="G1310" s="15">
        <v>0.01418517152342314</v>
      </c>
      <c r="H1310" s="11" t="s">
        <v>33</v>
      </c>
      <c r="I1310" s="16">
        <v>6.872</v>
      </c>
      <c r="J1310" s="11" t="s">
        <v>1688</v>
      </c>
      <c r="K1310" s="11" t="s">
        <v>61</v>
      </c>
      <c r="L1310" s="11" t="s">
        <v>27</v>
      </c>
      <c r="M1310" s="11" t="s">
        <v>66</v>
      </c>
      <c r="N1310" s="11" t="s">
        <v>80</v>
      </c>
      <c r="O1310" s="11" t="s">
        <v>909</v>
      </c>
      <c r="P1310" s="11" t="s">
        <v>75</v>
      </c>
      <c r="Q1310" s="20">
        <v>40033.0</v>
      </c>
      <c r="R1310" s="17">
        <f t="shared" si="2"/>
        <v>18.95524752</v>
      </c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>
        <f t="shared" si="8"/>
        <v>1</v>
      </c>
      <c r="AF1310" s="19">
        <f t="shared" si="13"/>
        <v>4</v>
      </c>
      <c r="AG1310" s="9"/>
      <c r="AH1310" s="9"/>
      <c r="AI1310" s="9"/>
    </row>
    <row r="1311" ht="15.0" customHeight="1">
      <c r="A1311" s="11">
        <v>1310.0</v>
      </c>
      <c r="B1311" s="12">
        <f t="shared" si="211"/>
        <v>40031</v>
      </c>
      <c r="C1311" s="13">
        <v>2009.0</v>
      </c>
      <c r="D1311" s="11" t="s">
        <v>44</v>
      </c>
      <c r="E1311" s="11">
        <v>46.0</v>
      </c>
      <c r="F1311" s="21" t="s">
        <v>676</v>
      </c>
      <c r="G1311" s="15">
        <v>0.10580157912804686</v>
      </c>
      <c r="H1311" s="11" t="s">
        <v>24</v>
      </c>
      <c r="I1311" s="16">
        <v>2.8800000000000003</v>
      </c>
      <c r="J1311" s="11" t="s">
        <v>167</v>
      </c>
      <c r="K1311" s="11" t="s">
        <v>26</v>
      </c>
      <c r="L1311" s="11" t="s">
        <v>27</v>
      </c>
      <c r="M1311" s="11" t="s">
        <v>28</v>
      </c>
      <c r="N1311" s="11" t="s">
        <v>442</v>
      </c>
      <c r="O1311" s="11" t="s">
        <v>1689</v>
      </c>
      <c r="P1311" s="11" t="s">
        <v>99</v>
      </c>
      <c r="Q1311" s="20">
        <v>40033.0</v>
      </c>
      <c r="R1311" s="17">
        <f t="shared" si="2"/>
        <v>27.55919533</v>
      </c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>
        <f t="shared" si="8"/>
        <v>1</v>
      </c>
      <c r="AF1311" s="19">
        <f t="shared" si="13"/>
        <v>1</v>
      </c>
      <c r="AG1311" s="9"/>
      <c r="AH1311" s="9"/>
      <c r="AI1311" s="9"/>
    </row>
    <row r="1312" ht="15.0" customHeight="1">
      <c r="A1312" s="11">
        <v>1311.0</v>
      </c>
      <c r="B1312" s="12">
        <f t="shared" si="211"/>
        <v>40031</v>
      </c>
      <c r="C1312" s="13">
        <v>2009.0</v>
      </c>
      <c r="D1312" s="11" t="s">
        <v>32</v>
      </c>
      <c r="E1312" s="11">
        <v>48.0</v>
      </c>
      <c r="F1312" s="21" t="s">
        <v>178</v>
      </c>
      <c r="G1312" s="15">
        <v>0.011500280951488947</v>
      </c>
      <c r="H1312" s="11" t="s">
        <v>24</v>
      </c>
      <c r="I1312" s="16">
        <v>3.3600000000000003</v>
      </c>
      <c r="J1312" s="11" t="s">
        <v>1199</v>
      </c>
      <c r="K1312" s="11" t="s">
        <v>83</v>
      </c>
      <c r="L1312" s="11" t="s">
        <v>36</v>
      </c>
      <c r="M1312" s="11" t="s">
        <v>66</v>
      </c>
      <c r="N1312" s="11" t="s">
        <v>80</v>
      </c>
      <c r="O1312" s="11" t="s">
        <v>1690</v>
      </c>
      <c r="P1312" s="11" t="s">
        <v>38</v>
      </c>
      <c r="Q1312" s="20">
        <v>40034.0</v>
      </c>
      <c r="R1312" s="17">
        <f t="shared" si="2"/>
        <v>36.41632965</v>
      </c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>
        <f t="shared" si="8"/>
        <v>2</v>
      </c>
      <c r="AF1312" s="19" t="b">
        <f t="shared" si="13"/>
        <v>0</v>
      </c>
      <c r="AG1312" s="9"/>
      <c r="AH1312" s="9"/>
      <c r="AI1312" s="9"/>
    </row>
    <row r="1313" ht="15.0" customHeight="1">
      <c r="A1313" s="11">
        <v>1312.0</v>
      </c>
      <c r="B1313" s="12">
        <f t="shared" ref="B1313:B1317" si="212">DATE(2012,12,31)-1242</f>
        <v>40032</v>
      </c>
      <c r="C1313" s="13">
        <v>2009.0</v>
      </c>
      <c r="D1313" s="11" t="s">
        <v>23</v>
      </c>
      <c r="E1313" s="11">
        <v>48.0</v>
      </c>
      <c r="F1313" s="21" t="s">
        <v>178</v>
      </c>
      <c r="G1313" s="15">
        <v>0.07567589647827737</v>
      </c>
      <c r="H1313" s="11" t="s">
        <v>33</v>
      </c>
      <c r="I1313" s="16">
        <v>4.736</v>
      </c>
      <c r="J1313" s="11" t="s">
        <v>855</v>
      </c>
      <c r="K1313" s="11" t="s">
        <v>26</v>
      </c>
      <c r="L1313" s="11" t="s">
        <v>36</v>
      </c>
      <c r="M1313" s="11" t="s">
        <v>66</v>
      </c>
      <c r="N1313" s="11" t="s">
        <v>80</v>
      </c>
      <c r="O1313" s="11" t="s">
        <v>1691</v>
      </c>
      <c r="P1313" s="11" t="s">
        <v>38</v>
      </c>
      <c r="Q1313" s="20">
        <v>40034.0</v>
      </c>
      <c r="R1313" s="17">
        <f t="shared" si="2"/>
        <v>239.7363968</v>
      </c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>
        <f t="shared" si="8"/>
        <v>2</v>
      </c>
      <c r="AF1313" s="19">
        <f t="shared" si="13"/>
        <v>1</v>
      </c>
      <c r="AG1313" s="9"/>
      <c r="AH1313" s="9"/>
      <c r="AI1313" s="9"/>
    </row>
    <row r="1314" ht="15.0" customHeight="1">
      <c r="A1314" s="11">
        <v>1313.0</v>
      </c>
      <c r="B1314" s="12">
        <f t="shared" si="212"/>
        <v>40032</v>
      </c>
      <c r="C1314" s="13">
        <v>2009.0</v>
      </c>
      <c r="D1314" s="11" t="s">
        <v>32</v>
      </c>
      <c r="E1314" s="11">
        <v>26.0</v>
      </c>
      <c r="F1314" s="21" t="s">
        <v>632</v>
      </c>
      <c r="G1314" s="15">
        <v>0.0582501341921632</v>
      </c>
      <c r="H1314" s="11" t="s">
        <v>24</v>
      </c>
      <c r="I1314" s="16">
        <v>1.2480000000000002</v>
      </c>
      <c r="J1314" s="11" t="s">
        <v>444</v>
      </c>
      <c r="K1314" s="11" t="s">
        <v>61</v>
      </c>
      <c r="L1314" s="11" t="s">
        <v>36</v>
      </c>
      <c r="M1314" s="11" t="s">
        <v>28</v>
      </c>
      <c r="N1314" s="11" t="s">
        <v>62</v>
      </c>
      <c r="O1314" s="11" t="s">
        <v>633</v>
      </c>
      <c r="P1314" s="11" t="s">
        <v>58</v>
      </c>
      <c r="Q1314" s="20">
        <v>40034.0</v>
      </c>
      <c r="R1314" s="17">
        <f t="shared" si="2"/>
        <v>10.21986954</v>
      </c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>
        <f t="shared" si="8"/>
        <v>2</v>
      </c>
      <c r="AF1314" s="19">
        <f t="shared" si="13"/>
        <v>4</v>
      </c>
      <c r="AG1314" s="9"/>
      <c r="AH1314" s="9"/>
      <c r="AI1314" s="9"/>
    </row>
    <row r="1315" ht="15.0" customHeight="1">
      <c r="A1315" s="11">
        <v>1314.0</v>
      </c>
      <c r="B1315" s="12">
        <f t="shared" si="212"/>
        <v>40032</v>
      </c>
      <c r="C1315" s="13">
        <v>2009.0</v>
      </c>
      <c r="D1315" s="11" t="s">
        <v>39</v>
      </c>
      <c r="E1315" s="11">
        <v>44.0</v>
      </c>
      <c r="F1315" s="21" t="s">
        <v>362</v>
      </c>
      <c r="G1315" s="15">
        <v>0.07832335329341321</v>
      </c>
      <c r="H1315" s="11" t="s">
        <v>33</v>
      </c>
      <c r="I1315" s="16">
        <v>10.656</v>
      </c>
      <c r="J1315" s="11" t="s">
        <v>993</v>
      </c>
      <c r="K1315" s="11" t="s">
        <v>83</v>
      </c>
      <c r="L1315" s="11" t="s">
        <v>48</v>
      </c>
      <c r="M1315" s="11" t="s">
        <v>28</v>
      </c>
      <c r="N1315" s="11" t="s">
        <v>197</v>
      </c>
      <c r="O1315" s="11" t="s">
        <v>364</v>
      </c>
      <c r="P1315" s="11" t="s">
        <v>38</v>
      </c>
      <c r="Q1315" s="20">
        <v>40035.0</v>
      </c>
      <c r="R1315" s="17">
        <f t="shared" si="2"/>
        <v>51.83878132</v>
      </c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>
        <f t="shared" si="8"/>
        <v>4</v>
      </c>
      <c r="AF1315" s="19" t="b">
        <f t="shared" si="13"/>
        <v>0</v>
      </c>
      <c r="AG1315" s="9"/>
      <c r="AH1315" s="9"/>
      <c r="AI1315" s="9"/>
    </row>
    <row r="1316" ht="15.0" customHeight="1">
      <c r="A1316" s="11">
        <v>1315.0</v>
      </c>
      <c r="B1316" s="12">
        <f t="shared" si="212"/>
        <v>40032</v>
      </c>
      <c r="C1316" s="13">
        <v>2009.0</v>
      </c>
      <c r="D1316" s="11" t="s">
        <v>32</v>
      </c>
      <c r="E1316" s="11">
        <v>13.0</v>
      </c>
      <c r="F1316" s="21" t="s">
        <v>1692</v>
      </c>
      <c r="G1316" s="15">
        <v>0.09271641791044778</v>
      </c>
      <c r="H1316" s="11" t="s">
        <v>33</v>
      </c>
      <c r="I1316" s="16">
        <v>2.3920000000000003</v>
      </c>
      <c r="J1316" s="11" t="s">
        <v>1693</v>
      </c>
      <c r="K1316" s="11" t="s">
        <v>61</v>
      </c>
      <c r="L1316" s="11" t="s">
        <v>41</v>
      </c>
      <c r="M1316" s="11" t="s">
        <v>28</v>
      </c>
      <c r="N1316" s="11" t="s">
        <v>42</v>
      </c>
      <c r="O1316" s="11" t="s">
        <v>1694</v>
      </c>
      <c r="P1316" s="11" t="s">
        <v>38</v>
      </c>
      <c r="Q1316" s="20">
        <v>40035.0</v>
      </c>
      <c r="R1316" s="17">
        <f t="shared" si="2"/>
        <v>50.72441051</v>
      </c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>
        <f t="shared" si="8"/>
        <v>3</v>
      </c>
      <c r="AF1316" s="19">
        <f t="shared" si="13"/>
        <v>4</v>
      </c>
      <c r="AG1316" s="9"/>
      <c r="AH1316" s="9"/>
      <c r="AI1316" s="9"/>
    </row>
    <row r="1317" ht="15.0" customHeight="1">
      <c r="A1317" s="11">
        <v>1316.0</v>
      </c>
      <c r="B1317" s="12">
        <f t="shared" si="212"/>
        <v>40032</v>
      </c>
      <c r="C1317" s="13">
        <v>2009.0</v>
      </c>
      <c r="D1317" s="11" t="s">
        <v>32</v>
      </c>
      <c r="E1317" s="11">
        <v>22.0</v>
      </c>
      <c r="F1317" s="21" t="s">
        <v>166</v>
      </c>
      <c r="G1317" s="15">
        <v>0.09680170575692962</v>
      </c>
      <c r="H1317" s="11" t="s">
        <v>33</v>
      </c>
      <c r="I1317" s="16">
        <v>0.5599999999999999</v>
      </c>
      <c r="J1317" s="11" t="s">
        <v>1693</v>
      </c>
      <c r="K1317" s="11" t="s">
        <v>61</v>
      </c>
      <c r="L1317" s="11" t="s">
        <v>41</v>
      </c>
      <c r="M1317" s="11" t="s">
        <v>28</v>
      </c>
      <c r="N1317" s="11" t="s">
        <v>216</v>
      </c>
      <c r="O1317" s="11" t="s">
        <v>266</v>
      </c>
      <c r="P1317" s="11" t="s">
        <v>58</v>
      </c>
      <c r="Q1317" s="20">
        <v>40035.0</v>
      </c>
      <c r="R1317" s="17">
        <f t="shared" si="2"/>
        <v>4.100520256</v>
      </c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>
        <f t="shared" si="8"/>
        <v>3</v>
      </c>
      <c r="AF1317" s="19">
        <f t="shared" si="13"/>
        <v>4</v>
      </c>
      <c r="AG1317" s="9"/>
      <c r="AH1317" s="9"/>
      <c r="AI1317" s="9"/>
    </row>
    <row r="1318" ht="15.0" customHeight="1">
      <c r="A1318" s="11">
        <v>1317.0</v>
      </c>
      <c r="B1318" s="12">
        <f>DATE(2012,12,31)-1241</f>
        <v>40033</v>
      </c>
      <c r="C1318" s="13">
        <v>2009.0</v>
      </c>
      <c r="D1318" s="11" t="s">
        <v>32</v>
      </c>
      <c r="E1318" s="11">
        <v>15.0</v>
      </c>
      <c r="F1318" s="21" t="s">
        <v>498</v>
      </c>
      <c r="G1318" s="15">
        <v>0.03063172043010748</v>
      </c>
      <c r="H1318" s="11" t="s">
        <v>33</v>
      </c>
      <c r="I1318" s="16">
        <v>3.9200000000000004</v>
      </c>
      <c r="J1318" s="11" t="s">
        <v>606</v>
      </c>
      <c r="K1318" s="11" t="s">
        <v>65</v>
      </c>
      <c r="L1318" s="11" t="s">
        <v>48</v>
      </c>
      <c r="M1318" s="11" t="s">
        <v>66</v>
      </c>
      <c r="N1318" s="11" t="s">
        <v>80</v>
      </c>
      <c r="O1318" s="11" t="s">
        <v>500</v>
      </c>
      <c r="P1318" s="11" t="s">
        <v>38</v>
      </c>
      <c r="Q1318" s="20">
        <v>40035.0</v>
      </c>
      <c r="R1318" s="17">
        <f t="shared" si="2"/>
        <v>44.18380618</v>
      </c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>
        <f t="shared" si="8"/>
        <v>4</v>
      </c>
      <c r="AF1318" s="19">
        <f t="shared" si="13"/>
        <v>5</v>
      </c>
      <c r="AG1318" s="9"/>
      <c r="AH1318" s="9"/>
      <c r="AI1318" s="9"/>
    </row>
    <row r="1319" ht="15.0" customHeight="1">
      <c r="A1319" s="11">
        <v>1318.0</v>
      </c>
      <c r="B1319" s="12">
        <f t="shared" ref="B1319:B1322" si="213">DATE(2012,12,31)-1240</f>
        <v>40034</v>
      </c>
      <c r="C1319" s="13">
        <v>2009.0</v>
      </c>
      <c r="D1319" s="11" t="s">
        <v>23</v>
      </c>
      <c r="E1319" s="11">
        <v>8.0</v>
      </c>
      <c r="F1319" s="21" t="s">
        <v>130</v>
      </c>
      <c r="G1319" s="15">
        <v>0.09949734513274337</v>
      </c>
      <c r="H1319" s="11" t="s">
        <v>33</v>
      </c>
      <c r="I1319" s="16">
        <v>7.192</v>
      </c>
      <c r="J1319" s="11" t="s">
        <v>366</v>
      </c>
      <c r="K1319" s="11" t="s">
        <v>35</v>
      </c>
      <c r="L1319" s="11" t="s">
        <v>48</v>
      </c>
      <c r="M1319" s="11" t="s">
        <v>28</v>
      </c>
      <c r="N1319" s="11" t="s">
        <v>62</v>
      </c>
      <c r="O1319" s="11" t="s">
        <v>1590</v>
      </c>
      <c r="P1319" s="11" t="s">
        <v>99</v>
      </c>
      <c r="Q1319" s="20">
        <v>40036.0</v>
      </c>
      <c r="R1319" s="17">
        <f t="shared" si="2"/>
        <v>25.31132862</v>
      </c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>
        <f t="shared" si="8"/>
        <v>4</v>
      </c>
      <c r="AF1319" s="19">
        <f t="shared" si="13"/>
        <v>2</v>
      </c>
      <c r="AG1319" s="9"/>
      <c r="AH1319" s="9"/>
      <c r="AI1319" s="9"/>
    </row>
    <row r="1320" ht="15.0" customHeight="1">
      <c r="A1320" s="11">
        <v>1319.0</v>
      </c>
      <c r="B1320" s="12">
        <f t="shared" si="213"/>
        <v>40034</v>
      </c>
      <c r="C1320" s="13">
        <v>2009.0</v>
      </c>
      <c r="D1320" s="11" t="s">
        <v>102</v>
      </c>
      <c r="E1320" s="11">
        <v>42.0</v>
      </c>
      <c r="F1320" s="21" t="s">
        <v>122</v>
      </c>
      <c r="G1320" s="15">
        <v>0.06889756303407532</v>
      </c>
      <c r="H1320" s="11" t="s">
        <v>33</v>
      </c>
      <c r="I1320" s="16">
        <v>4.792000000000001</v>
      </c>
      <c r="J1320" s="11" t="s">
        <v>653</v>
      </c>
      <c r="K1320" s="11" t="s">
        <v>65</v>
      </c>
      <c r="L1320" s="11" t="s">
        <v>41</v>
      </c>
      <c r="M1320" s="11" t="s">
        <v>66</v>
      </c>
      <c r="N1320" s="11" t="s">
        <v>67</v>
      </c>
      <c r="O1320" s="11" t="s">
        <v>1485</v>
      </c>
      <c r="P1320" s="11" t="s">
        <v>38</v>
      </c>
      <c r="Q1320" s="20">
        <v>40036.0</v>
      </c>
      <c r="R1320" s="17">
        <f t="shared" si="2"/>
        <v>60.80843795</v>
      </c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>
        <f t="shared" si="8"/>
        <v>3</v>
      </c>
      <c r="AF1320" s="19">
        <f t="shared" si="13"/>
        <v>5</v>
      </c>
      <c r="AG1320" s="9"/>
      <c r="AH1320" s="9"/>
      <c r="AI1320" s="9"/>
    </row>
    <row r="1321" ht="15.0" customHeight="1">
      <c r="A1321" s="11">
        <v>1320.0</v>
      </c>
      <c r="B1321" s="12">
        <f t="shared" si="213"/>
        <v>40034</v>
      </c>
      <c r="C1321" s="13">
        <v>2009.0</v>
      </c>
      <c r="D1321" s="11" t="s">
        <v>44</v>
      </c>
      <c r="E1321" s="11">
        <v>28.0</v>
      </c>
      <c r="F1321" s="21" t="s">
        <v>186</v>
      </c>
      <c r="G1321" s="15">
        <v>0.09834633385335417</v>
      </c>
      <c r="H1321" s="11" t="s">
        <v>33</v>
      </c>
      <c r="I1321" s="16">
        <v>0.792</v>
      </c>
      <c r="J1321" s="11" t="s">
        <v>1199</v>
      </c>
      <c r="K1321" s="11" t="s">
        <v>83</v>
      </c>
      <c r="L1321" s="11" t="s">
        <v>36</v>
      </c>
      <c r="M1321" s="11" t="s">
        <v>28</v>
      </c>
      <c r="N1321" s="11" t="s">
        <v>188</v>
      </c>
      <c r="O1321" s="11" t="s">
        <v>189</v>
      </c>
      <c r="P1321" s="11" t="s">
        <v>38</v>
      </c>
      <c r="Q1321" s="20">
        <v>40036.0</v>
      </c>
      <c r="R1321" s="17">
        <f t="shared" si="2"/>
        <v>11.36804942</v>
      </c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>
        <f t="shared" si="8"/>
        <v>2</v>
      </c>
      <c r="AF1321" s="19" t="b">
        <f t="shared" si="13"/>
        <v>0</v>
      </c>
      <c r="AG1321" s="9"/>
      <c r="AH1321" s="9"/>
      <c r="AI1321" s="9"/>
    </row>
    <row r="1322" ht="15.0" customHeight="1">
      <c r="A1322" s="11">
        <v>1321.0</v>
      </c>
      <c r="B1322" s="12">
        <f t="shared" si="213"/>
        <v>40034</v>
      </c>
      <c r="C1322" s="13">
        <v>2009.0</v>
      </c>
      <c r="D1322" s="11" t="s">
        <v>32</v>
      </c>
      <c r="E1322" s="11">
        <v>3.0</v>
      </c>
      <c r="F1322" s="21" t="s">
        <v>1015</v>
      </c>
      <c r="G1322" s="15">
        <v>0.12049999999999998</v>
      </c>
      <c r="H1322" s="11" t="s">
        <v>33</v>
      </c>
      <c r="I1322" s="16">
        <v>4.008</v>
      </c>
      <c r="J1322" s="11" t="s">
        <v>113</v>
      </c>
      <c r="K1322" s="11" t="s">
        <v>61</v>
      </c>
      <c r="L1322" s="11" t="s">
        <v>48</v>
      </c>
      <c r="M1322" s="11" t="s">
        <v>28</v>
      </c>
      <c r="N1322" s="11" t="s">
        <v>42</v>
      </c>
      <c r="O1322" s="11" t="s">
        <v>1547</v>
      </c>
      <c r="P1322" s="11" t="s">
        <v>38</v>
      </c>
      <c r="Q1322" s="20">
        <v>40036.0</v>
      </c>
      <c r="R1322" s="17">
        <f t="shared" si="2"/>
        <v>2.543514</v>
      </c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>
        <f t="shared" si="8"/>
        <v>4</v>
      </c>
      <c r="AF1322" s="19">
        <f t="shared" si="13"/>
        <v>4</v>
      </c>
      <c r="AG1322" s="9"/>
      <c r="AH1322" s="9"/>
      <c r="AI1322" s="9"/>
    </row>
    <row r="1323" ht="15.0" customHeight="1">
      <c r="A1323" s="11">
        <v>1322.0</v>
      </c>
      <c r="B1323" s="12">
        <f t="shared" ref="B1323:B1332" si="214">DATE(2012,12,31)-1239</f>
        <v>40035</v>
      </c>
      <c r="C1323" s="13">
        <v>2009.0</v>
      </c>
      <c r="D1323" s="11" t="s">
        <v>39</v>
      </c>
      <c r="E1323" s="11">
        <v>23.0</v>
      </c>
      <c r="F1323" s="21" t="s">
        <v>126</v>
      </c>
      <c r="G1323" s="15">
        <v>0.0348440065681445</v>
      </c>
      <c r="H1323" s="11" t="s">
        <v>33</v>
      </c>
      <c r="I1323" s="16">
        <v>4.856000000000001</v>
      </c>
      <c r="J1323" s="11" t="s">
        <v>1303</v>
      </c>
      <c r="K1323" s="11" t="s">
        <v>61</v>
      </c>
      <c r="L1323" s="11" t="s">
        <v>41</v>
      </c>
      <c r="M1323" s="11" t="s">
        <v>28</v>
      </c>
      <c r="N1323" s="11" t="s">
        <v>56</v>
      </c>
      <c r="O1323" s="11" t="s">
        <v>1316</v>
      </c>
      <c r="P1323" s="11" t="s">
        <v>38</v>
      </c>
      <c r="Q1323" s="20">
        <v>40036.0</v>
      </c>
      <c r="R1323" s="17">
        <f t="shared" si="2"/>
        <v>4.096122036</v>
      </c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>
        <f t="shared" si="8"/>
        <v>3</v>
      </c>
      <c r="AF1323" s="19">
        <f t="shared" si="13"/>
        <v>4</v>
      </c>
      <c r="AG1323" s="9"/>
      <c r="AH1323" s="9"/>
      <c r="AI1323" s="9"/>
    </row>
    <row r="1324" ht="15.0" customHeight="1">
      <c r="A1324" s="11">
        <v>1323.0</v>
      </c>
      <c r="B1324" s="12">
        <f t="shared" si="214"/>
        <v>40035</v>
      </c>
      <c r="C1324" s="13">
        <v>2009.0</v>
      </c>
      <c r="D1324" s="11" t="s">
        <v>44</v>
      </c>
      <c r="E1324" s="11">
        <v>16.0</v>
      </c>
      <c r="F1324" s="21" t="s">
        <v>1050</v>
      </c>
      <c r="G1324" s="15">
        <v>0.011310640578933334</v>
      </c>
      <c r="H1324" s="11" t="s">
        <v>24</v>
      </c>
      <c r="I1324" s="16">
        <v>12.08</v>
      </c>
      <c r="J1324" s="11" t="s">
        <v>1212</v>
      </c>
      <c r="K1324" s="11" t="s">
        <v>117</v>
      </c>
      <c r="L1324" s="11" t="s">
        <v>27</v>
      </c>
      <c r="M1324" s="11" t="s">
        <v>28</v>
      </c>
      <c r="N1324" s="11" t="s">
        <v>42</v>
      </c>
      <c r="O1324" s="11" t="s">
        <v>1052</v>
      </c>
      <c r="P1324" s="11" t="s">
        <v>38</v>
      </c>
      <c r="Q1324" s="20">
        <v>40036.0</v>
      </c>
      <c r="R1324" s="17">
        <f t="shared" si="2"/>
        <v>4.172269097</v>
      </c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>
        <f t="shared" si="8"/>
        <v>1</v>
      </c>
      <c r="AF1324" s="19" t="b">
        <f t="shared" si="13"/>
        <v>0</v>
      </c>
      <c r="AG1324" s="9"/>
      <c r="AH1324" s="9"/>
      <c r="AI1324" s="9"/>
    </row>
    <row r="1325" ht="15.0" customHeight="1">
      <c r="A1325" s="11">
        <v>1324.0</v>
      </c>
      <c r="B1325" s="12">
        <f t="shared" si="214"/>
        <v>40035</v>
      </c>
      <c r="C1325" s="13">
        <v>2009.0</v>
      </c>
      <c r="D1325" s="11" t="s">
        <v>44</v>
      </c>
      <c r="E1325" s="11">
        <v>6.0</v>
      </c>
      <c r="F1325" s="21" t="s">
        <v>103</v>
      </c>
      <c r="G1325" s="15">
        <v>0.09788018433179702</v>
      </c>
      <c r="H1325" s="11" t="s">
        <v>33</v>
      </c>
      <c r="I1325" s="16">
        <v>3.7520000000000007</v>
      </c>
      <c r="J1325" s="11" t="s">
        <v>1212</v>
      </c>
      <c r="K1325" s="11" t="s">
        <v>117</v>
      </c>
      <c r="L1325" s="11" t="s">
        <v>27</v>
      </c>
      <c r="M1325" s="11" t="s">
        <v>28</v>
      </c>
      <c r="N1325" s="11" t="s">
        <v>29</v>
      </c>
      <c r="O1325" s="11" t="s">
        <v>37</v>
      </c>
      <c r="P1325" s="11" t="s">
        <v>38</v>
      </c>
      <c r="Q1325" s="20">
        <v>40036.0</v>
      </c>
      <c r="R1325" s="17">
        <f t="shared" si="2"/>
        <v>3.832204977</v>
      </c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>
        <f t="shared" si="8"/>
        <v>1</v>
      </c>
      <c r="AF1325" s="19" t="b">
        <f t="shared" si="13"/>
        <v>0</v>
      </c>
      <c r="AG1325" s="9"/>
      <c r="AH1325" s="9"/>
      <c r="AI1325" s="9"/>
    </row>
    <row r="1326" ht="15.0" customHeight="1">
      <c r="A1326" s="11">
        <v>1325.0</v>
      </c>
      <c r="B1326" s="12">
        <f t="shared" si="214"/>
        <v>40035</v>
      </c>
      <c r="C1326" s="13">
        <v>2009.0</v>
      </c>
      <c r="D1326" s="11" t="s">
        <v>44</v>
      </c>
      <c r="E1326" s="11">
        <v>35.0</v>
      </c>
      <c r="F1326" s="21" t="s">
        <v>933</v>
      </c>
      <c r="G1326" s="15">
        <v>0.02150634302267503</v>
      </c>
      <c r="H1326" s="11" t="s">
        <v>33</v>
      </c>
      <c r="I1326" s="16">
        <v>2.64</v>
      </c>
      <c r="J1326" s="11" t="s">
        <v>1212</v>
      </c>
      <c r="K1326" s="11" t="s">
        <v>117</v>
      </c>
      <c r="L1326" s="11" t="s">
        <v>27</v>
      </c>
      <c r="M1326" s="11" t="s">
        <v>66</v>
      </c>
      <c r="N1326" s="11" t="s">
        <v>80</v>
      </c>
      <c r="O1326" s="11" t="s">
        <v>1695</v>
      </c>
      <c r="P1326" s="11" t="s">
        <v>99</v>
      </c>
      <c r="Q1326" s="20">
        <v>40036.0</v>
      </c>
      <c r="R1326" s="17">
        <f t="shared" si="2"/>
        <v>42.13393687</v>
      </c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>
        <f t="shared" si="8"/>
        <v>1</v>
      </c>
      <c r="AF1326" s="19" t="b">
        <f t="shared" si="13"/>
        <v>0</v>
      </c>
      <c r="AG1326" s="9"/>
      <c r="AH1326" s="9"/>
      <c r="AI1326" s="9"/>
    </row>
    <row r="1327" ht="15.0" customHeight="1">
      <c r="A1327" s="11">
        <v>1326.0</v>
      </c>
      <c r="B1327" s="12">
        <f t="shared" si="214"/>
        <v>40035</v>
      </c>
      <c r="C1327" s="13">
        <v>2009.0</v>
      </c>
      <c r="D1327" s="11" t="s">
        <v>39</v>
      </c>
      <c r="E1327" s="11">
        <v>19.0</v>
      </c>
      <c r="F1327" s="21" t="s">
        <v>158</v>
      </c>
      <c r="G1327" s="15">
        <v>0.030811638591117817</v>
      </c>
      <c r="H1327" s="11" t="s">
        <v>24</v>
      </c>
      <c r="I1327" s="16">
        <v>4.976</v>
      </c>
      <c r="J1327" s="11" t="s">
        <v>465</v>
      </c>
      <c r="K1327" s="11" t="s">
        <v>61</v>
      </c>
      <c r="L1327" s="11" t="s">
        <v>41</v>
      </c>
      <c r="M1327" s="11" t="s">
        <v>28</v>
      </c>
      <c r="N1327" s="11" t="s">
        <v>56</v>
      </c>
      <c r="O1327" s="11" t="s">
        <v>1216</v>
      </c>
      <c r="P1327" s="11" t="s">
        <v>38</v>
      </c>
      <c r="Q1327" s="20">
        <v>40037.0</v>
      </c>
      <c r="R1327" s="17">
        <f t="shared" si="2"/>
        <v>3.900013966</v>
      </c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>
        <f t="shared" si="8"/>
        <v>3</v>
      </c>
      <c r="AF1327" s="19">
        <f t="shared" si="13"/>
        <v>4</v>
      </c>
      <c r="AG1327" s="9"/>
      <c r="AH1327" s="9"/>
      <c r="AI1327" s="9"/>
    </row>
    <row r="1328" ht="15.0" customHeight="1">
      <c r="A1328" s="11">
        <v>1327.0</v>
      </c>
      <c r="B1328" s="12">
        <f t="shared" si="214"/>
        <v>40035</v>
      </c>
      <c r="C1328" s="13">
        <v>2009.0</v>
      </c>
      <c r="D1328" s="11" t="s">
        <v>39</v>
      </c>
      <c r="E1328" s="11">
        <v>35.0</v>
      </c>
      <c r="F1328" s="21" t="s">
        <v>869</v>
      </c>
      <c r="G1328" s="15">
        <v>0.030341894112718818</v>
      </c>
      <c r="H1328" s="11" t="s">
        <v>33</v>
      </c>
      <c r="I1328" s="16">
        <v>2.64</v>
      </c>
      <c r="J1328" s="11" t="s">
        <v>465</v>
      </c>
      <c r="K1328" s="11" t="s">
        <v>61</v>
      </c>
      <c r="L1328" s="11" t="s">
        <v>41</v>
      </c>
      <c r="M1328" s="11" t="s">
        <v>66</v>
      </c>
      <c r="N1328" s="11" t="s">
        <v>80</v>
      </c>
      <c r="O1328" s="11" t="s">
        <v>1608</v>
      </c>
      <c r="P1328" s="11" t="s">
        <v>99</v>
      </c>
      <c r="Q1328" s="20">
        <v>40037.0</v>
      </c>
      <c r="R1328" s="17">
        <f t="shared" si="2"/>
        <v>91.30300725</v>
      </c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>
        <f t="shared" si="8"/>
        <v>3</v>
      </c>
      <c r="AF1328" s="19">
        <f t="shared" si="13"/>
        <v>4</v>
      </c>
      <c r="AG1328" s="9"/>
      <c r="AH1328" s="9"/>
      <c r="AI1328" s="9"/>
    </row>
    <row r="1329" ht="15.0" customHeight="1">
      <c r="A1329" s="11">
        <v>1328.0</v>
      </c>
      <c r="B1329" s="12">
        <f t="shared" si="214"/>
        <v>40035</v>
      </c>
      <c r="C1329" s="13">
        <v>2009.0</v>
      </c>
      <c r="D1329" s="11" t="s">
        <v>39</v>
      </c>
      <c r="E1329" s="11">
        <v>44.0</v>
      </c>
      <c r="F1329" s="21" t="s">
        <v>805</v>
      </c>
      <c r="G1329" s="15">
        <v>0.04096022868143553</v>
      </c>
      <c r="H1329" s="11" t="s">
        <v>45</v>
      </c>
      <c r="I1329" s="16">
        <v>123.296</v>
      </c>
      <c r="J1329" s="11" t="s">
        <v>514</v>
      </c>
      <c r="K1329" s="11" t="s">
        <v>61</v>
      </c>
      <c r="L1329" s="11" t="s">
        <v>41</v>
      </c>
      <c r="M1329" s="11" t="s">
        <v>49</v>
      </c>
      <c r="N1329" s="11" t="s">
        <v>85</v>
      </c>
      <c r="O1329" s="11" t="s">
        <v>807</v>
      </c>
      <c r="P1329" s="11" t="s">
        <v>87</v>
      </c>
      <c r="Q1329" s="20">
        <v>40037.0</v>
      </c>
      <c r="R1329" s="17">
        <f t="shared" si="2"/>
        <v>538.6964757</v>
      </c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>
        <f t="shared" si="8"/>
        <v>3</v>
      </c>
      <c r="AF1329" s="19">
        <f t="shared" si="13"/>
        <v>4</v>
      </c>
      <c r="AG1329" s="9"/>
      <c r="AH1329" s="9"/>
      <c r="AI1329" s="9"/>
    </row>
    <row r="1330" ht="15.0" customHeight="1">
      <c r="A1330" s="11">
        <v>1329.0</v>
      </c>
      <c r="B1330" s="12">
        <f t="shared" si="214"/>
        <v>40035</v>
      </c>
      <c r="C1330" s="13">
        <v>2009.0</v>
      </c>
      <c r="D1330" s="11" t="s">
        <v>23</v>
      </c>
      <c r="E1330" s="11">
        <v>14.0</v>
      </c>
      <c r="F1330" s="21" t="s">
        <v>103</v>
      </c>
      <c r="G1330" s="15">
        <v>0.04905660377358477</v>
      </c>
      <c r="H1330" s="11" t="s">
        <v>33</v>
      </c>
      <c r="I1330" s="16">
        <v>3.08</v>
      </c>
      <c r="J1330" s="11" t="s">
        <v>317</v>
      </c>
      <c r="K1330" s="11" t="s">
        <v>65</v>
      </c>
      <c r="L1330" s="11" t="s">
        <v>27</v>
      </c>
      <c r="M1330" s="11" t="s">
        <v>66</v>
      </c>
      <c r="N1330" s="11" t="s">
        <v>67</v>
      </c>
      <c r="O1330" s="11" t="s">
        <v>1696</v>
      </c>
      <c r="P1330" s="11" t="s">
        <v>99</v>
      </c>
      <c r="Q1330" s="20">
        <v>40037.0</v>
      </c>
      <c r="R1330" s="17">
        <f t="shared" si="2"/>
        <v>4.203169811</v>
      </c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>
        <f t="shared" si="8"/>
        <v>1</v>
      </c>
      <c r="AF1330" s="19">
        <f t="shared" si="13"/>
        <v>5</v>
      </c>
      <c r="AG1330" s="9"/>
      <c r="AH1330" s="9"/>
      <c r="AI1330" s="9"/>
    </row>
    <row r="1331" ht="15.0" customHeight="1">
      <c r="A1331" s="11">
        <v>1330.0</v>
      </c>
      <c r="B1331" s="12">
        <f t="shared" si="214"/>
        <v>40035</v>
      </c>
      <c r="C1331" s="13">
        <v>2009.0</v>
      </c>
      <c r="D1331" s="11" t="s">
        <v>44</v>
      </c>
      <c r="E1331" s="11">
        <v>32.0</v>
      </c>
      <c r="F1331" s="21" t="s">
        <v>158</v>
      </c>
      <c r="G1331" s="15">
        <v>0.09101599654128834</v>
      </c>
      <c r="H1331" s="11" t="s">
        <v>33</v>
      </c>
      <c r="I1331" s="16">
        <v>5.448</v>
      </c>
      <c r="J1331" s="11" t="s">
        <v>1697</v>
      </c>
      <c r="K1331" s="11" t="s">
        <v>61</v>
      </c>
      <c r="L1331" s="11" t="s">
        <v>48</v>
      </c>
      <c r="M1331" s="11" t="s">
        <v>28</v>
      </c>
      <c r="N1331" s="11" t="s">
        <v>56</v>
      </c>
      <c r="O1331" s="11" t="s">
        <v>1698</v>
      </c>
      <c r="P1331" s="11" t="s">
        <v>38</v>
      </c>
      <c r="Q1331" s="20">
        <v>40038.0</v>
      </c>
      <c r="R1331" s="17">
        <f t="shared" si="2"/>
        <v>19.13593124</v>
      </c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>
        <f t="shared" si="8"/>
        <v>4</v>
      </c>
      <c r="AF1331" s="19">
        <f t="shared" si="13"/>
        <v>4</v>
      </c>
      <c r="AG1331" s="9"/>
      <c r="AH1331" s="9"/>
      <c r="AI1331" s="9"/>
    </row>
    <row r="1332" ht="15.0" customHeight="1">
      <c r="A1332" s="11">
        <v>1331.0</v>
      </c>
      <c r="B1332" s="12">
        <f t="shared" si="214"/>
        <v>40035</v>
      </c>
      <c r="C1332" s="13">
        <v>2009.0</v>
      </c>
      <c r="D1332" s="11" t="s">
        <v>44</v>
      </c>
      <c r="E1332" s="11">
        <v>7.0</v>
      </c>
      <c r="F1332" s="21" t="s">
        <v>122</v>
      </c>
      <c r="G1332" s="15">
        <v>0.13349862258953177</v>
      </c>
      <c r="H1332" s="11" t="s">
        <v>45</v>
      </c>
      <c r="I1332" s="16">
        <v>42.42400000000001</v>
      </c>
      <c r="J1332" s="11" t="s">
        <v>1697</v>
      </c>
      <c r="K1332" s="11" t="s">
        <v>61</v>
      </c>
      <c r="L1332" s="11" t="s">
        <v>48</v>
      </c>
      <c r="M1332" s="11" t="s">
        <v>28</v>
      </c>
      <c r="N1332" s="11" t="s">
        <v>29</v>
      </c>
      <c r="O1332" s="11" t="s">
        <v>725</v>
      </c>
      <c r="P1332" s="11" t="s">
        <v>52</v>
      </c>
      <c r="Q1332" s="20">
        <v>40038.0</v>
      </c>
      <c r="R1332" s="17">
        <f t="shared" si="2"/>
        <v>25.19439405</v>
      </c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>
        <f t="shared" si="8"/>
        <v>4</v>
      </c>
      <c r="AF1332" s="19">
        <f t="shared" si="13"/>
        <v>4</v>
      </c>
      <c r="AG1332" s="9"/>
      <c r="AH1332" s="9"/>
      <c r="AI1332" s="9"/>
    </row>
    <row r="1333" ht="15.0" customHeight="1">
      <c r="A1333" s="11">
        <v>1332.0</v>
      </c>
      <c r="B1333" s="12">
        <f t="shared" ref="B1333:B1339" si="215">DATE(2012,12,31)-1238</f>
        <v>40036</v>
      </c>
      <c r="C1333" s="13">
        <v>2009.0</v>
      </c>
      <c r="D1333" s="11" t="s">
        <v>32</v>
      </c>
      <c r="E1333" s="11">
        <v>31.0</v>
      </c>
      <c r="F1333" s="21" t="s">
        <v>1592</v>
      </c>
      <c r="G1333" s="15">
        <v>0.0837842533364922</v>
      </c>
      <c r="H1333" s="11" t="s">
        <v>45</v>
      </c>
      <c r="I1333" s="16">
        <v>33.528</v>
      </c>
      <c r="J1333" s="11" t="s">
        <v>271</v>
      </c>
      <c r="K1333" s="11" t="s">
        <v>61</v>
      </c>
      <c r="L1333" s="11" t="s">
        <v>48</v>
      </c>
      <c r="M1333" s="11" t="s">
        <v>49</v>
      </c>
      <c r="N1333" s="11" t="s">
        <v>156</v>
      </c>
      <c r="O1333" s="11" t="s">
        <v>1593</v>
      </c>
      <c r="P1333" s="11" t="s">
        <v>87</v>
      </c>
      <c r="Q1333" s="20">
        <v>40038.0</v>
      </c>
      <c r="R1333" s="17">
        <f t="shared" si="2"/>
        <v>680.447781</v>
      </c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>
        <f t="shared" si="8"/>
        <v>4</v>
      </c>
      <c r="AF1333" s="19">
        <f t="shared" si="13"/>
        <v>4</v>
      </c>
      <c r="AG1333" s="9"/>
      <c r="AH1333" s="9"/>
      <c r="AI1333" s="9"/>
    </row>
    <row r="1334" ht="15.0" customHeight="1">
      <c r="A1334" s="11">
        <v>1333.0</v>
      </c>
      <c r="B1334" s="12">
        <f t="shared" si="215"/>
        <v>40036</v>
      </c>
      <c r="C1334" s="13">
        <v>2009.0</v>
      </c>
      <c r="D1334" s="11" t="s">
        <v>32</v>
      </c>
      <c r="E1334" s="11">
        <v>24.0</v>
      </c>
      <c r="F1334" s="21" t="s">
        <v>1699</v>
      </c>
      <c r="G1334" s="15">
        <v>0.017673003802281463</v>
      </c>
      <c r="H1334" s="11" t="s">
        <v>33</v>
      </c>
      <c r="I1334" s="16">
        <v>6.352</v>
      </c>
      <c r="J1334" s="11" t="s">
        <v>271</v>
      </c>
      <c r="K1334" s="11" t="s">
        <v>61</v>
      </c>
      <c r="L1334" s="11" t="s">
        <v>48</v>
      </c>
      <c r="M1334" s="11" t="s">
        <v>49</v>
      </c>
      <c r="N1334" s="11" t="s">
        <v>73</v>
      </c>
      <c r="O1334" s="11" t="s">
        <v>1700</v>
      </c>
      <c r="P1334" s="11" t="s">
        <v>99</v>
      </c>
      <c r="Q1334" s="20">
        <v>40038.0</v>
      </c>
      <c r="R1334" s="17">
        <f t="shared" si="2"/>
        <v>4.565855878</v>
      </c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>
        <f t="shared" si="8"/>
        <v>4</v>
      </c>
      <c r="AF1334" s="19">
        <f t="shared" si="13"/>
        <v>4</v>
      </c>
      <c r="AG1334" s="9"/>
      <c r="AH1334" s="9"/>
      <c r="AI1334" s="9"/>
    </row>
    <row r="1335" ht="15.0" customHeight="1">
      <c r="A1335" s="11">
        <v>1334.0</v>
      </c>
      <c r="B1335" s="12">
        <f t="shared" si="215"/>
        <v>40036</v>
      </c>
      <c r="C1335" s="13">
        <v>2009.0</v>
      </c>
      <c r="D1335" s="11" t="s">
        <v>32</v>
      </c>
      <c r="E1335" s="11">
        <v>30.0</v>
      </c>
      <c r="F1335" s="21" t="s">
        <v>103</v>
      </c>
      <c r="G1335" s="15">
        <v>0.03987408184679955</v>
      </c>
      <c r="H1335" s="11" t="s">
        <v>24</v>
      </c>
      <c r="I1335" s="16">
        <v>6.0</v>
      </c>
      <c r="J1335" s="11" t="s">
        <v>271</v>
      </c>
      <c r="K1335" s="11" t="s">
        <v>61</v>
      </c>
      <c r="L1335" s="11" t="s">
        <v>48</v>
      </c>
      <c r="M1335" s="11" t="s">
        <v>28</v>
      </c>
      <c r="N1335" s="11" t="s">
        <v>56</v>
      </c>
      <c r="O1335" s="11" t="s">
        <v>1701</v>
      </c>
      <c r="P1335" s="11" t="s">
        <v>38</v>
      </c>
      <c r="Q1335" s="20">
        <v>40038.0</v>
      </c>
      <c r="R1335" s="17">
        <f t="shared" si="2"/>
        <v>7.296956978</v>
      </c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>
        <f t="shared" si="8"/>
        <v>4</v>
      </c>
      <c r="AF1335" s="19">
        <f t="shared" si="13"/>
        <v>4</v>
      </c>
      <c r="AG1335" s="9"/>
      <c r="AH1335" s="9"/>
      <c r="AI1335" s="9"/>
    </row>
    <row r="1336" ht="15.0" customHeight="1">
      <c r="A1336" s="11">
        <v>1335.0</v>
      </c>
      <c r="B1336" s="12">
        <f t="shared" si="215"/>
        <v>40036</v>
      </c>
      <c r="C1336" s="13">
        <v>2009.0</v>
      </c>
      <c r="D1336" s="11" t="s">
        <v>32</v>
      </c>
      <c r="E1336" s="11">
        <v>4.0</v>
      </c>
      <c r="F1336" s="21" t="s">
        <v>186</v>
      </c>
      <c r="G1336" s="15">
        <v>0.10458333333333329</v>
      </c>
      <c r="H1336" s="11" t="s">
        <v>33</v>
      </c>
      <c r="I1336" s="16">
        <v>0.792</v>
      </c>
      <c r="J1336" s="11" t="s">
        <v>1702</v>
      </c>
      <c r="K1336" s="11" t="s">
        <v>35</v>
      </c>
      <c r="L1336" s="11" t="s">
        <v>41</v>
      </c>
      <c r="M1336" s="11" t="s">
        <v>28</v>
      </c>
      <c r="N1336" s="11" t="s">
        <v>188</v>
      </c>
      <c r="O1336" s="11" t="s">
        <v>189</v>
      </c>
      <c r="P1336" s="11" t="s">
        <v>38</v>
      </c>
      <c r="Q1336" s="20">
        <v>40038.0</v>
      </c>
      <c r="R1336" s="17">
        <f t="shared" si="2"/>
        <v>1.797996667</v>
      </c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>
        <f t="shared" si="8"/>
        <v>3</v>
      </c>
      <c r="AF1336" s="19">
        <f t="shared" si="13"/>
        <v>2</v>
      </c>
      <c r="AG1336" s="9"/>
      <c r="AH1336" s="9"/>
      <c r="AI1336" s="9"/>
    </row>
    <row r="1337" ht="15.0" customHeight="1">
      <c r="A1337" s="11">
        <v>1336.0</v>
      </c>
      <c r="B1337" s="12">
        <f t="shared" si="215"/>
        <v>40036</v>
      </c>
      <c r="C1337" s="13">
        <v>2009.0</v>
      </c>
      <c r="D1337" s="11" t="s">
        <v>32</v>
      </c>
      <c r="E1337" s="11">
        <v>5.0</v>
      </c>
      <c r="F1337" s="21" t="s">
        <v>126</v>
      </c>
      <c r="G1337" s="15">
        <v>0.057121212121212094</v>
      </c>
      <c r="H1337" s="11" t="s">
        <v>33</v>
      </c>
      <c r="I1337" s="16">
        <v>0.392</v>
      </c>
      <c r="J1337" s="11" t="s">
        <v>1702</v>
      </c>
      <c r="K1337" s="11" t="s">
        <v>35</v>
      </c>
      <c r="L1337" s="11" t="s">
        <v>41</v>
      </c>
      <c r="M1337" s="11" t="s">
        <v>28</v>
      </c>
      <c r="N1337" s="11" t="s">
        <v>188</v>
      </c>
      <c r="O1337" s="11" t="s">
        <v>1703</v>
      </c>
      <c r="P1337" s="11" t="s">
        <v>38</v>
      </c>
      <c r="Q1337" s="20">
        <v>40038.0</v>
      </c>
      <c r="R1337" s="17">
        <f t="shared" si="2"/>
        <v>1.421861212</v>
      </c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>
        <f t="shared" si="8"/>
        <v>3</v>
      </c>
      <c r="AF1337" s="19">
        <f t="shared" si="13"/>
        <v>2</v>
      </c>
      <c r="AG1337" s="9"/>
      <c r="AH1337" s="9"/>
      <c r="AI1337" s="9"/>
    </row>
    <row r="1338" ht="15.0" customHeight="1">
      <c r="A1338" s="11">
        <v>1337.0</v>
      </c>
      <c r="B1338" s="12">
        <f t="shared" si="215"/>
        <v>40036</v>
      </c>
      <c r="C1338" s="13">
        <v>2009.0</v>
      </c>
      <c r="D1338" s="11" t="s">
        <v>102</v>
      </c>
      <c r="E1338" s="11">
        <v>31.0</v>
      </c>
      <c r="F1338" s="21" t="s">
        <v>461</v>
      </c>
      <c r="G1338" s="15">
        <v>0.058253719916114645</v>
      </c>
      <c r="H1338" s="11" t="s">
        <v>45</v>
      </c>
      <c r="I1338" s="16">
        <v>11.200000000000001</v>
      </c>
      <c r="J1338" s="11" t="s">
        <v>1360</v>
      </c>
      <c r="K1338" s="11" t="s">
        <v>65</v>
      </c>
      <c r="L1338" s="11" t="s">
        <v>27</v>
      </c>
      <c r="M1338" s="11" t="s">
        <v>66</v>
      </c>
      <c r="N1338" s="11" t="s">
        <v>69</v>
      </c>
      <c r="O1338" s="11" t="s">
        <v>779</v>
      </c>
      <c r="P1338" s="11" t="s">
        <v>52</v>
      </c>
      <c r="Q1338" s="20">
        <v>40039.0</v>
      </c>
      <c r="R1338" s="17">
        <f t="shared" si="2"/>
        <v>164.805599</v>
      </c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>
        <f t="shared" si="8"/>
        <v>1</v>
      </c>
      <c r="AF1338" s="19">
        <f t="shared" si="13"/>
        <v>5</v>
      </c>
      <c r="AG1338" s="9"/>
      <c r="AH1338" s="9"/>
      <c r="AI1338" s="9"/>
    </row>
    <row r="1339" ht="15.0" customHeight="1">
      <c r="A1339" s="11">
        <v>1338.0</v>
      </c>
      <c r="B1339" s="12">
        <f t="shared" si="215"/>
        <v>40036</v>
      </c>
      <c r="C1339" s="13">
        <v>2009.0</v>
      </c>
      <c r="D1339" s="11" t="s">
        <v>23</v>
      </c>
      <c r="E1339" s="11">
        <v>3.0</v>
      </c>
      <c r="F1339" s="21" t="s">
        <v>1038</v>
      </c>
      <c r="G1339" s="15">
        <v>0.03787581699346425</v>
      </c>
      <c r="H1339" s="11" t="s">
        <v>33</v>
      </c>
      <c r="I1339" s="16">
        <v>4.064</v>
      </c>
      <c r="J1339" s="11" t="s">
        <v>1292</v>
      </c>
      <c r="K1339" s="11" t="s">
        <v>61</v>
      </c>
      <c r="L1339" s="11" t="s">
        <v>27</v>
      </c>
      <c r="M1339" s="11" t="s">
        <v>28</v>
      </c>
      <c r="N1339" s="11" t="s">
        <v>56</v>
      </c>
      <c r="O1339" s="11" t="s">
        <v>1040</v>
      </c>
      <c r="P1339" s="11" t="s">
        <v>58</v>
      </c>
      <c r="Q1339" s="20">
        <v>40039.0</v>
      </c>
      <c r="R1339" s="17">
        <f t="shared" si="2"/>
        <v>4.460407712</v>
      </c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>
        <f t="shared" si="8"/>
        <v>1</v>
      </c>
      <c r="AF1339" s="19">
        <f t="shared" si="13"/>
        <v>4</v>
      </c>
      <c r="AG1339" s="9"/>
      <c r="AH1339" s="9"/>
      <c r="AI1339" s="9"/>
    </row>
    <row r="1340" ht="15.0" customHeight="1">
      <c r="A1340" s="11">
        <v>1339.0</v>
      </c>
      <c r="B1340" s="12">
        <f t="shared" ref="B1340:B1344" si="216">DATE(2012,12,31)-1237</f>
        <v>40037</v>
      </c>
      <c r="C1340" s="13">
        <v>2009.0</v>
      </c>
      <c r="D1340" s="11" t="s">
        <v>32</v>
      </c>
      <c r="E1340" s="11">
        <v>7.0</v>
      </c>
      <c r="F1340" s="21" t="s">
        <v>369</v>
      </c>
      <c r="G1340" s="15">
        <v>0.09155456570155902</v>
      </c>
      <c r="H1340" s="11" t="s">
        <v>33</v>
      </c>
      <c r="I1340" s="16">
        <v>1.192</v>
      </c>
      <c r="J1340" s="11" t="s">
        <v>1704</v>
      </c>
      <c r="K1340" s="11" t="s">
        <v>117</v>
      </c>
      <c r="L1340" s="11" t="s">
        <v>48</v>
      </c>
      <c r="M1340" s="11" t="s">
        <v>28</v>
      </c>
      <c r="N1340" s="11" t="s">
        <v>42</v>
      </c>
      <c r="O1340" s="11" t="s">
        <v>371</v>
      </c>
      <c r="P1340" s="11" t="s">
        <v>38</v>
      </c>
      <c r="Q1340" s="20">
        <v>40039.0</v>
      </c>
      <c r="R1340" s="17">
        <f t="shared" si="2"/>
        <v>37.34437491</v>
      </c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>
        <f t="shared" si="8"/>
        <v>4</v>
      </c>
      <c r="AF1340" s="19" t="b">
        <f t="shared" si="13"/>
        <v>0</v>
      </c>
      <c r="AG1340" s="9"/>
      <c r="AH1340" s="9"/>
      <c r="AI1340" s="9"/>
    </row>
    <row r="1341" ht="15.0" customHeight="1">
      <c r="A1341" s="11">
        <v>1340.0</v>
      </c>
      <c r="B1341" s="12">
        <f t="shared" si="216"/>
        <v>40037</v>
      </c>
      <c r="C1341" s="13">
        <v>2009.0</v>
      </c>
      <c r="D1341" s="11" t="s">
        <v>32</v>
      </c>
      <c r="E1341" s="11">
        <v>3.0</v>
      </c>
      <c r="F1341" s="21" t="s">
        <v>1705</v>
      </c>
      <c r="G1341" s="15">
        <v>0.01409585179218687</v>
      </c>
      <c r="H1341" s="11" t="s">
        <v>33</v>
      </c>
      <c r="I1341" s="16">
        <v>3.6</v>
      </c>
      <c r="J1341" s="11" t="s">
        <v>1704</v>
      </c>
      <c r="K1341" s="11" t="s">
        <v>117</v>
      </c>
      <c r="L1341" s="11" t="s">
        <v>48</v>
      </c>
      <c r="M1341" s="11" t="s">
        <v>28</v>
      </c>
      <c r="N1341" s="11" t="s">
        <v>197</v>
      </c>
      <c r="O1341" s="11" t="s">
        <v>1706</v>
      </c>
      <c r="P1341" s="11" t="s">
        <v>38</v>
      </c>
      <c r="Q1341" s="20">
        <v>40040.0</v>
      </c>
      <c r="R1341" s="17">
        <f t="shared" si="2"/>
        <v>3.450664519</v>
      </c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>
        <f t="shared" si="8"/>
        <v>4</v>
      </c>
      <c r="AF1341" s="19" t="b">
        <f t="shared" si="13"/>
        <v>0</v>
      </c>
      <c r="AG1341" s="9"/>
      <c r="AH1341" s="9"/>
      <c r="AI1341" s="9"/>
    </row>
    <row r="1342" ht="15.0" customHeight="1">
      <c r="A1342" s="11">
        <v>1341.0</v>
      </c>
      <c r="B1342" s="12">
        <f t="shared" si="216"/>
        <v>40037</v>
      </c>
      <c r="C1342" s="13">
        <v>2009.0</v>
      </c>
      <c r="D1342" s="11" t="s">
        <v>102</v>
      </c>
      <c r="E1342" s="11">
        <v>1.0</v>
      </c>
      <c r="F1342" s="21" t="s">
        <v>933</v>
      </c>
      <c r="G1342" s="15">
        <v>0.008561643835616438</v>
      </c>
      <c r="H1342" s="11" t="s">
        <v>33</v>
      </c>
      <c r="I1342" s="16">
        <v>2.0</v>
      </c>
      <c r="J1342" s="11" t="s">
        <v>1707</v>
      </c>
      <c r="K1342" s="11" t="s">
        <v>35</v>
      </c>
      <c r="L1342" s="11" t="s">
        <v>41</v>
      </c>
      <c r="M1342" s="11" t="s">
        <v>66</v>
      </c>
      <c r="N1342" s="11" t="s">
        <v>80</v>
      </c>
      <c r="O1342" s="11" t="s">
        <v>1708</v>
      </c>
      <c r="P1342" s="11" t="s">
        <v>99</v>
      </c>
      <c r="Q1342" s="20">
        <v>40040.0</v>
      </c>
      <c r="R1342" s="17">
        <f t="shared" si="2"/>
        <v>0.4957191781</v>
      </c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>
        <f t="shared" si="8"/>
        <v>3</v>
      </c>
      <c r="AF1342" s="19">
        <f t="shared" si="13"/>
        <v>2</v>
      </c>
      <c r="AG1342" s="9"/>
      <c r="AH1342" s="9"/>
      <c r="AI1342" s="9"/>
    </row>
    <row r="1343" ht="15.0" customHeight="1">
      <c r="A1343" s="11">
        <v>1342.0</v>
      </c>
      <c r="B1343" s="12">
        <f t="shared" si="216"/>
        <v>40037</v>
      </c>
      <c r="C1343" s="13">
        <v>2009.0</v>
      </c>
      <c r="D1343" s="11" t="s">
        <v>32</v>
      </c>
      <c r="E1343" s="11">
        <v>5.0</v>
      </c>
      <c r="F1343" s="21" t="s">
        <v>115</v>
      </c>
      <c r="G1343" s="15">
        <v>0.057155715571557186</v>
      </c>
      <c r="H1343" s="11" t="s">
        <v>45</v>
      </c>
      <c r="I1343" s="16">
        <v>24.0</v>
      </c>
      <c r="J1343" s="11" t="s">
        <v>546</v>
      </c>
      <c r="K1343" s="11" t="s">
        <v>61</v>
      </c>
      <c r="L1343" s="11" t="s">
        <v>36</v>
      </c>
      <c r="M1343" s="11" t="s">
        <v>49</v>
      </c>
      <c r="N1343" s="11" t="s">
        <v>50</v>
      </c>
      <c r="O1343" s="11" t="s">
        <v>1402</v>
      </c>
      <c r="P1343" s="11" t="s">
        <v>52</v>
      </c>
      <c r="Q1343" s="20">
        <v>40040.0</v>
      </c>
      <c r="R1343" s="17">
        <f t="shared" si="2"/>
        <v>35.92236724</v>
      </c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>
        <f t="shared" si="8"/>
        <v>2</v>
      </c>
      <c r="AF1343" s="19">
        <f t="shared" si="13"/>
        <v>4</v>
      </c>
      <c r="AG1343" s="9"/>
      <c r="AH1343" s="9"/>
      <c r="AI1343" s="9"/>
    </row>
    <row r="1344" ht="15.0" customHeight="1">
      <c r="A1344" s="11">
        <v>1343.0</v>
      </c>
      <c r="B1344" s="12">
        <f t="shared" si="216"/>
        <v>40037</v>
      </c>
      <c r="C1344" s="13">
        <v>2009.0</v>
      </c>
      <c r="D1344" s="11" t="s">
        <v>102</v>
      </c>
      <c r="E1344" s="11">
        <v>49.0</v>
      </c>
      <c r="F1344" s="21" t="s">
        <v>624</v>
      </c>
      <c r="G1344" s="15">
        <v>0.007839098954143133</v>
      </c>
      <c r="H1344" s="11" t="s">
        <v>33</v>
      </c>
      <c r="I1344" s="16">
        <v>4.128</v>
      </c>
      <c r="J1344" s="11" t="s">
        <v>1108</v>
      </c>
      <c r="K1344" s="11" t="s">
        <v>47</v>
      </c>
      <c r="L1344" s="11" t="s">
        <v>48</v>
      </c>
      <c r="M1344" s="11" t="s">
        <v>49</v>
      </c>
      <c r="N1344" s="11" t="s">
        <v>73</v>
      </c>
      <c r="O1344" s="11" t="s">
        <v>1709</v>
      </c>
      <c r="P1344" s="11" t="s">
        <v>38</v>
      </c>
      <c r="Q1344" s="20">
        <v>40040.0</v>
      </c>
      <c r="R1344" s="17">
        <f t="shared" si="2"/>
        <v>4.83380791</v>
      </c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>
        <f t="shared" si="8"/>
        <v>4</v>
      </c>
      <c r="AF1344" s="19">
        <f t="shared" si="13"/>
        <v>3</v>
      </c>
      <c r="AG1344" s="9"/>
      <c r="AH1344" s="9"/>
      <c r="AI1344" s="9"/>
    </row>
    <row r="1345" ht="15.0" customHeight="1">
      <c r="A1345" s="11">
        <v>1344.0</v>
      </c>
      <c r="B1345" s="12">
        <f t="shared" ref="B1345:B1346" si="217">DATE(2012,12,31)-1236</f>
        <v>40038</v>
      </c>
      <c r="C1345" s="13">
        <v>2009.0</v>
      </c>
      <c r="D1345" s="11" t="s">
        <v>102</v>
      </c>
      <c r="E1345" s="11">
        <v>10.0</v>
      </c>
      <c r="F1345" s="21" t="s">
        <v>103</v>
      </c>
      <c r="G1345" s="15">
        <v>0.09214899713467042</v>
      </c>
      <c r="H1345" s="11" t="s">
        <v>33</v>
      </c>
      <c r="I1345" s="16">
        <v>4.368</v>
      </c>
      <c r="J1345" s="11" t="s">
        <v>1620</v>
      </c>
      <c r="K1345" s="11" t="s">
        <v>65</v>
      </c>
      <c r="L1345" s="11" t="s">
        <v>48</v>
      </c>
      <c r="M1345" s="11" t="s">
        <v>28</v>
      </c>
      <c r="N1345" s="11" t="s">
        <v>56</v>
      </c>
      <c r="O1345" s="11" t="s">
        <v>693</v>
      </c>
      <c r="P1345" s="11" t="s">
        <v>38</v>
      </c>
      <c r="Q1345" s="20">
        <v>40040.0</v>
      </c>
      <c r="R1345" s="17">
        <f t="shared" si="2"/>
        <v>5.83929765</v>
      </c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>
        <f t="shared" si="8"/>
        <v>4</v>
      </c>
      <c r="AF1345" s="19">
        <f t="shared" si="13"/>
        <v>5</v>
      </c>
      <c r="AG1345" s="9"/>
      <c r="AH1345" s="9"/>
      <c r="AI1345" s="9"/>
    </row>
    <row r="1346" ht="15.0" customHeight="1">
      <c r="A1346" s="11">
        <v>1345.0</v>
      </c>
      <c r="B1346" s="12">
        <f t="shared" si="217"/>
        <v>40038</v>
      </c>
      <c r="C1346" s="13">
        <v>2009.0</v>
      </c>
      <c r="D1346" s="11" t="s">
        <v>32</v>
      </c>
      <c r="E1346" s="11">
        <v>15.0</v>
      </c>
      <c r="F1346" s="21" t="s">
        <v>1710</v>
      </c>
      <c r="G1346" s="15">
        <v>0.03503035208417647</v>
      </c>
      <c r="H1346" s="11" t="s">
        <v>45</v>
      </c>
      <c r="I1346" s="16">
        <v>41.552</v>
      </c>
      <c r="J1346" s="11" t="s">
        <v>945</v>
      </c>
      <c r="K1346" s="11" t="s">
        <v>65</v>
      </c>
      <c r="L1346" s="11" t="s">
        <v>41</v>
      </c>
      <c r="M1346" s="11" t="s">
        <v>49</v>
      </c>
      <c r="N1346" s="11" t="s">
        <v>85</v>
      </c>
      <c r="O1346" s="11" t="s">
        <v>1711</v>
      </c>
      <c r="P1346" s="11" t="s">
        <v>87</v>
      </c>
      <c r="Q1346" s="20">
        <v>40040.0</v>
      </c>
      <c r="R1346" s="17">
        <f t="shared" si="2"/>
        <v>66.82221818</v>
      </c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>
        <f t="shared" si="8"/>
        <v>3</v>
      </c>
      <c r="AF1346" s="19">
        <f t="shared" si="13"/>
        <v>5</v>
      </c>
      <c r="AG1346" s="9"/>
      <c r="AH1346" s="9"/>
      <c r="AI1346" s="9"/>
    </row>
    <row r="1347" ht="15.0" customHeight="1">
      <c r="A1347" s="11">
        <v>1346.0</v>
      </c>
      <c r="B1347" s="12">
        <f t="shared" ref="B1347:B1359" si="218">DATE(2012,12,31)-1235</f>
        <v>40039</v>
      </c>
      <c r="C1347" s="13">
        <v>2009.0</v>
      </c>
      <c r="D1347" s="11" t="s">
        <v>39</v>
      </c>
      <c r="E1347" s="11">
        <v>43.0</v>
      </c>
      <c r="F1347" s="21" t="s">
        <v>284</v>
      </c>
      <c r="G1347" s="15">
        <v>0.08853002070393368</v>
      </c>
      <c r="H1347" s="11" t="s">
        <v>33</v>
      </c>
      <c r="I1347" s="16">
        <v>2.048</v>
      </c>
      <c r="J1347" s="11" t="s">
        <v>571</v>
      </c>
      <c r="K1347" s="11" t="s">
        <v>65</v>
      </c>
      <c r="L1347" s="11" t="s">
        <v>27</v>
      </c>
      <c r="M1347" s="11" t="s">
        <v>28</v>
      </c>
      <c r="N1347" s="11" t="s">
        <v>442</v>
      </c>
      <c r="O1347" s="11" t="s">
        <v>692</v>
      </c>
      <c r="P1347" s="11" t="s">
        <v>99</v>
      </c>
      <c r="Q1347" s="20">
        <v>40040.0</v>
      </c>
      <c r="R1347" s="17">
        <f t="shared" si="2"/>
        <v>7.794891263</v>
      </c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>
        <f t="shared" si="8"/>
        <v>1</v>
      </c>
      <c r="AF1347" s="19">
        <f t="shared" si="13"/>
        <v>5</v>
      </c>
      <c r="AG1347" s="9"/>
      <c r="AH1347" s="9"/>
      <c r="AI1347" s="9"/>
    </row>
    <row r="1348" ht="15.0" customHeight="1">
      <c r="A1348" s="11">
        <v>1347.0</v>
      </c>
      <c r="B1348" s="12">
        <f t="shared" si="218"/>
        <v>40039</v>
      </c>
      <c r="C1348" s="13">
        <v>2009.0</v>
      </c>
      <c r="D1348" s="11" t="s">
        <v>39</v>
      </c>
      <c r="E1348" s="11">
        <v>43.0</v>
      </c>
      <c r="F1348" s="21" t="s">
        <v>1084</v>
      </c>
      <c r="G1348" s="15">
        <v>0.09254864736592298</v>
      </c>
      <c r="H1348" s="11" t="s">
        <v>33</v>
      </c>
      <c r="I1348" s="16">
        <v>2.0</v>
      </c>
      <c r="J1348" s="11" t="s">
        <v>1218</v>
      </c>
      <c r="K1348" s="11" t="s">
        <v>61</v>
      </c>
      <c r="L1348" s="11" t="s">
        <v>41</v>
      </c>
      <c r="M1348" s="11" t="s">
        <v>28</v>
      </c>
      <c r="N1348" s="11" t="s">
        <v>236</v>
      </c>
      <c r="O1348" s="11" t="s">
        <v>1510</v>
      </c>
      <c r="P1348" s="11" t="s">
        <v>38</v>
      </c>
      <c r="Q1348" s="20">
        <v>40040.0</v>
      </c>
      <c r="R1348" s="17">
        <f t="shared" si="2"/>
        <v>17.69530138</v>
      </c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>
        <f t="shared" si="8"/>
        <v>3</v>
      </c>
      <c r="AF1348" s="19">
        <f t="shared" si="13"/>
        <v>4</v>
      </c>
      <c r="AG1348" s="9"/>
      <c r="AH1348" s="9"/>
      <c r="AI1348" s="9"/>
    </row>
    <row r="1349" ht="15.0" customHeight="1">
      <c r="A1349" s="11">
        <v>1348.0</v>
      </c>
      <c r="B1349" s="12">
        <f t="shared" si="218"/>
        <v>40039</v>
      </c>
      <c r="C1349" s="13">
        <v>2009.0</v>
      </c>
      <c r="D1349" s="11" t="s">
        <v>23</v>
      </c>
      <c r="E1349" s="11">
        <v>24.0</v>
      </c>
      <c r="F1349" s="21" t="s">
        <v>1247</v>
      </c>
      <c r="G1349" s="15">
        <v>0.056512630930375826</v>
      </c>
      <c r="H1349" s="11" t="s">
        <v>33</v>
      </c>
      <c r="I1349" s="16">
        <v>4.328</v>
      </c>
      <c r="J1349" s="11" t="s">
        <v>1712</v>
      </c>
      <c r="K1349" s="11" t="s">
        <v>35</v>
      </c>
      <c r="L1349" s="11" t="s">
        <v>41</v>
      </c>
      <c r="M1349" s="11" t="s">
        <v>49</v>
      </c>
      <c r="N1349" s="11" t="s">
        <v>73</v>
      </c>
      <c r="O1349" s="11" t="s">
        <v>1676</v>
      </c>
      <c r="P1349" s="11" t="s">
        <v>38</v>
      </c>
      <c r="Q1349" s="20">
        <v>40040.0</v>
      </c>
      <c r="R1349" s="17">
        <f t="shared" si="2"/>
        <v>8.653666149</v>
      </c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>
        <f t="shared" si="8"/>
        <v>3</v>
      </c>
      <c r="AF1349" s="19">
        <f t="shared" si="13"/>
        <v>2</v>
      </c>
      <c r="AG1349" s="9"/>
      <c r="AH1349" s="9"/>
      <c r="AI1349" s="9"/>
    </row>
    <row r="1350" ht="15.0" customHeight="1">
      <c r="A1350" s="11">
        <v>1349.0</v>
      </c>
      <c r="B1350" s="12">
        <f t="shared" si="218"/>
        <v>40039</v>
      </c>
      <c r="C1350" s="13">
        <v>2009.0</v>
      </c>
      <c r="D1350" s="11" t="s">
        <v>23</v>
      </c>
      <c r="E1350" s="11">
        <v>46.0</v>
      </c>
      <c r="F1350" s="21" t="s">
        <v>869</v>
      </c>
      <c r="G1350" s="15">
        <v>0.05807906379334949</v>
      </c>
      <c r="H1350" s="11" t="s">
        <v>33</v>
      </c>
      <c r="I1350" s="16">
        <v>8.624</v>
      </c>
      <c r="J1350" s="11" t="s">
        <v>1712</v>
      </c>
      <c r="K1350" s="11" t="s">
        <v>35</v>
      </c>
      <c r="L1350" s="11" t="s">
        <v>41</v>
      </c>
      <c r="M1350" s="11" t="s">
        <v>66</v>
      </c>
      <c r="N1350" s="11" t="s">
        <v>80</v>
      </c>
      <c r="O1350" s="11" t="s">
        <v>1713</v>
      </c>
      <c r="P1350" s="11" t="s">
        <v>38</v>
      </c>
      <c r="Q1350" s="20">
        <v>40040.0</v>
      </c>
      <c r="R1350" s="17">
        <f t="shared" si="2"/>
        <v>229.9944865</v>
      </c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>
        <f t="shared" si="8"/>
        <v>3</v>
      </c>
      <c r="AF1350" s="19">
        <f t="shared" si="13"/>
        <v>2</v>
      </c>
      <c r="AG1350" s="9"/>
      <c r="AH1350" s="9"/>
      <c r="AI1350" s="9"/>
    </row>
    <row r="1351" ht="15.0" customHeight="1">
      <c r="A1351" s="11">
        <v>1350.0</v>
      </c>
      <c r="B1351" s="12">
        <f t="shared" si="218"/>
        <v>40039</v>
      </c>
      <c r="C1351" s="13">
        <v>2009.0</v>
      </c>
      <c r="D1351" s="11" t="s">
        <v>32</v>
      </c>
      <c r="E1351" s="11">
        <v>15.0</v>
      </c>
      <c r="F1351" s="21" t="s">
        <v>788</v>
      </c>
      <c r="G1351" s="15">
        <v>0.057701321366242765</v>
      </c>
      <c r="H1351" s="11" t="s">
        <v>33</v>
      </c>
      <c r="I1351" s="16">
        <v>7.192</v>
      </c>
      <c r="J1351" s="11" t="s">
        <v>55</v>
      </c>
      <c r="K1351" s="11" t="s">
        <v>26</v>
      </c>
      <c r="L1351" s="11" t="s">
        <v>41</v>
      </c>
      <c r="M1351" s="11" t="s">
        <v>66</v>
      </c>
      <c r="N1351" s="11" t="s">
        <v>80</v>
      </c>
      <c r="O1351" s="11" t="s">
        <v>996</v>
      </c>
      <c r="P1351" s="11" t="s">
        <v>38</v>
      </c>
      <c r="Q1351" s="20">
        <v>40041.0</v>
      </c>
      <c r="R1351" s="17">
        <f t="shared" si="2"/>
        <v>152.6599243</v>
      </c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>
        <f t="shared" si="8"/>
        <v>3</v>
      </c>
      <c r="AF1351" s="19">
        <f t="shared" si="13"/>
        <v>1</v>
      </c>
      <c r="AG1351" s="9"/>
      <c r="AH1351" s="9"/>
      <c r="AI1351" s="9"/>
    </row>
    <row r="1352" ht="15.0" customHeight="1">
      <c r="A1352" s="11">
        <v>1351.0</v>
      </c>
      <c r="B1352" s="12">
        <f t="shared" si="218"/>
        <v>40039</v>
      </c>
      <c r="C1352" s="13">
        <v>2009.0</v>
      </c>
      <c r="D1352" s="11" t="s">
        <v>39</v>
      </c>
      <c r="E1352" s="11">
        <v>48.0</v>
      </c>
      <c r="F1352" s="21" t="s">
        <v>119</v>
      </c>
      <c r="G1352" s="15">
        <v>0.09402705515088437</v>
      </c>
      <c r="H1352" s="11" t="s">
        <v>33</v>
      </c>
      <c r="I1352" s="16">
        <v>0.664</v>
      </c>
      <c r="J1352" s="11" t="s">
        <v>1401</v>
      </c>
      <c r="K1352" s="11" t="s">
        <v>83</v>
      </c>
      <c r="L1352" s="11" t="s">
        <v>41</v>
      </c>
      <c r="M1352" s="11" t="s">
        <v>28</v>
      </c>
      <c r="N1352" s="11" t="s">
        <v>62</v>
      </c>
      <c r="O1352" s="11" t="s">
        <v>1714</v>
      </c>
      <c r="P1352" s="11" t="s">
        <v>58</v>
      </c>
      <c r="Q1352" s="20">
        <v>40041.0</v>
      </c>
      <c r="R1352" s="17">
        <f t="shared" si="2"/>
        <v>8.18637153</v>
      </c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>
        <f t="shared" si="8"/>
        <v>3</v>
      </c>
      <c r="AF1352" s="19" t="b">
        <f t="shared" si="13"/>
        <v>0</v>
      </c>
      <c r="AG1352" s="9"/>
      <c r="AH1352" s="9"/>
      <c r="AI1352" s="9"/>
    </row>
    <row r="1353" ht="15.0" customHeight="1">
      <c r="A1353" s="11">
        <v>1352.0</v>
      </c>
      <c r="B1353" s="12">
        <f t="shared" si="218"/>
        <v>40039</v>
      </c>
      <c r="C1353" s="13">
        <v>2009.0</v>
      </c>
      <c r="D1353" s="11" t="s">
        <v>32</v>
      </c>
      <c r="E1353" s="11">
        <v>18.0</v>
      </c>
      <c r="F1353" s="21" t="s">
        <v>218</v>
      </c>
      <c r="G1353" s="15">
        <v>0.0156975228161668</v>
      </c>
      <c r="H1353" s="11" t="s">
        <v>33</v>
      </c>
      <c r="I1353" s="16">
        <v>1.592</v>
      </c>
      <c r="J1353" s="11" t="s">
        <v>1715</v>
      </c>
      <c r="K1353" s="11" t="s">
        <v>26</v>
      </c>
      <c r="L1353" s="11" t="s">
        <v>36</v>
      </c>
      <c r="M1353" s="11" t="s">
        <v>66</v>
      </c>
      <c r="N1353" s="11" t="s">
        <v>67</v>
      </c>
      <c r="O1353" s="11" t="s">
        <v>749</v>
      </c>
      <c r="P1353" s="11" t="s">
        <v>99</v>
      </c>
      <c r="Q1353" s="20">
        <v>40041.0</v>
      </c>
      <c r="R1353" s="17">
        <f t="shared" si="2"/>
        <v>2.370200365</v>
      </c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>
        <f t="shared" si="8"/>
        <v>2</v>
      </c>
      <c r="AF1353" s="19">
        <f t="shared" si="13"/>
        <v>1</v>
      </c>
      <c r="AG1353" s="9"/>
      <c r="AH1353" s="9"/>
      <c r="AI1353" s="9"/>
    </row>
    <row r="1354" ht="15.0" customHeight="1">
      <c r="A1354" s="11">
        <v>1353.0</v>
      </c>
      <c r="B1354" s="12">
        <f t="shared" si="218"/>
        <v>40039</v>
      </c>
      <c r="C1354" s="13">
        <v>2009.0</v>
      </c>
      <c r="D1354" s="11" t="s">
        <v>32</v>
      </c>
      <c r="E1354" s="11">
        <v>38.0</v>
      </c>
      <c r="F1354" s="21" t="s">
        <v>869</v>
      </c>
      <c r="G1354" s="15">
        <v>0.03951048745329921</v>
      </c>
      <c r="H1354" s="11" t="s">
        <v>33</v>
      </c>
      <c r="I1354" s="16">
        <v>0.792</v>
      </c>
      <c r="J1354" s="11" t="s">
        <v>1715</v>
      </c>
      <c r="K1354" s="11" t="s">
        <v>26</v>
      </c>
      <c r="L1354" s="11" t="s">
        <v>36</v>
      </c>
      <c r="M1354" s="11" t="s">
        <v>66</v>
      </c>
      <c r="N1354" s="11" t="s">
        <v>80</v>
      </c>
      <c r="O1354" s="11" t="s">
        <v>1055</v>
      </c>
      <c r="P1354" s="11" t="s">
        <v>58</v>
      </c>
      <c r="Q1354" s="20">
        <v>40041.0</v>
      </c>
      <c r="R1354" s="17">
        <f t="shared" si="2"/>
        <v>129.0014255</v>
      </c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>
        <f t="shared" si="8"/>
        <v>2</v>
      </c>
      <c r="AF1354" s="19">
        <f t="shared" si="13"/>
        <v>1</v>
      </c>
      <c r="AG1354" s="9"/>
      <c r="AH1354" s="9"/>
      <c r="AI1354" s="9"/>
    </row>
    <row r="1355" ht="15.0" customHeight="1">
      <c r="A1355" s="11">
        <v>1354.0</v>
      </c>
      <c r="B1355" s="12">
        <f t="shared" si="218"/>
        <v>40039</v>
      </c>
      <c r="C1355" s="13">
        <v>2009.0</v>
      </c>
      <c r="D1355" s="11" t="s">
        <v>39</v>
      </c>
      <c r="E1355" s="11">
        <v>47.0</v>
      </c>
      <c r="F1355" s="21" t="s">
        <v>802</v>
      </c>
      <c r="G1355" s="15">
        <v>0.02961757651347978</v>
      </c>
      <c r="H1355" s="11" t="s">
        <v>33</v>
      </c>
      <c r="I1355" s="16">
        <v>4.648</v>
      </c>
      <c r="J1355" s="11" t="s">
        <v>1716</v>
      </c>
      <c r="K1355" s="11" t="s">
        <v>65</v>
      </c>
      <c r="L1355" s="11" t="s">
        <v>27</v>
      </c>
      <c r="M1355" s="11" t="s">
        <v>49</v>
      </c>
      <c r="N1355" s="11" t="s">
        <v>73</v>
      </c>
      <c r="O1355" s="11" t="s">
        <v>804</v>
      </c>
      <c r="P1355" s="11" t="s">
        <v>75</v>
      </c>
      <c r="Q1355" s="20">
        <v>40041.0</v>
      </c>
      <c r="R1355" s="17">
        <f t="shared" si="2"/>
        <v>149.7804678</v>
      </c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>
        <f t="shared" si="8"/>
        <v>1</v>
      </c>
      <c r="AF1355" s="19">
        <f t="shared" si="13"/>
        <v>5</v>
      </c>
      <c r="AG1355" s="9"/>
      <c r="AH1355" s="9"/>
      <c r="AI1355" s="9"/>
    </row>
    <row r="1356" ht="15.0" customHeight="1">
      <c r="A1356" s="11">
        <v>1355.0</v>
      </c>
      <c r="B1356" s="12">
        <f t="shared" si="218"/>
        <v>40039</v>
      </c>
      <c r="C1356" s="13">
        <v>2009.0</v>
      </c>
      <c r="D1356" s="11" t="s">
        <v>39</v>
      </c>
      <c r="E1356" s="11">
        <v>25.0</v>
      </c>
      <c r="F1356" s="21" t="s">
        <v>1265</v>
      </c>
      <c r="G1356" s="15">
        <v>0.05525782282944045</v>
      </c>
      <c r="H1356" s="11" t="s">
        <v>33</v>
      </c>
      <c r="I1356" s="16">
        <v>6.224</v>
      </c>
      <c r="J1356" s="11" t="s">
        <v>1716</v>
      </c>
      <c r="K1356" s="11" t="s">
        <v>65</v>
      </c>
      <c r="L1356" s="11" t="s">
        <v>27</v>
      </c>
      <c r="M1356" s="11" t="s">
        <v>28</v>
      </c>
      <c r="N1356" s="11" t="s">
        <v>62</v>
      </c>
      <c r="O1356" s="11" t="s">
        <v>1717</v>
      </c>
      <c r="P1356" s="11" t="s">
        <v>99</v>
      </c>
      <c r="Q1356" s="20">
        <v>40041.0</v>
      </c>
      <c r="R1356" s="17">
        <f t="shared" si="2"/>
        <v>23.69035483</v>
      </c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>
        <f t="shared" si="8"/>
        <v>1</v>
      </c>
      <c r="AF1356" s="19">
        <f t="shared" si="13"/>
        <v>5</v>
      </c>
      <c r="AG1356" s="9"/>
      <c r="AH1356" s="9"/>
      <c r="AI1356" s="9"/>
    </row>
    <row r="1357" ht="15.0" customHeight="1">
      <c r="A1357" s="11">
        <v>1356.0</v>
      </c>
      <c r="B1357" s="12">
        <f t="shared" si="218"/>
        <v>40039</v>
      </c>
      <c r="C1357" s="13">
        <v>2009.0</v>
      </c>
      <c r="D1357" s="11" t="s">
        <v>39</v>
      </c>
      <c r="E1357" s="11">
        <v>27.0</v>
      </c>
      <c r="F1357" s="21" t="s">
        <v>287</v>
      </c>
      <c r="G1357" s="15">
        <v>0.030128792569659384</v>
      </c>
      <c r="H1357" s="11" t="s">
        <v>33</v>
      </c>
      <c r="I1357" s="16">
        <v>3.3840000000000003</v>
      </c>
      <c r="J1357" s="11" t="s">
        <v>1716</v>
      </c>
      <c r="K1357" s="11" t="s">
        <v>65</v>
      </c>
      <c r="L1357" s="11" t="s">
        <v>27</v>
      </c>
      <c r="M1357" s="11" t="s">
        <v>66</v>
      </c>
      <c r="N1357" s="11" t="s">
        <v>80</v>
      </c>
      <c r="O1357" s="11" t="s">
        <v>1718</v>
      </c>
      <c r="P1357" s="11" t="s">
        <v>38</v>
      </c>
      <c r="Q1357" s="20">
        <v>40041.0</v>
      </c>
      <c r="R1357" s="17">
        <f t="shared" si="2"/>
        <v>94.38398642</v>
      </c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>
        <f t="shared" si="8"/>
        <v>1</v>
      </c>
      <c r="AF1357" s="19">
        <f t="shared" si="13"/>
        <v>5</v>
      </c>
      <c r="AG1357" s="9"/>
      <c r="AH1357" s="9"/>
      <c r="AI1357" s="9"/>
    </row>
    <row r="1358" ht="15.0" customHeight="1">
      <c r="A1358" s="11">
        <v>1357.0</v>
      </c>
      <c r="B1358" s="12">
        <f t="shared" si="218"/>
        <v>40039</v>
      </c>
      <c r="C1358" s="13">
        <v>2009.0</v>
      </c>
      <c r="D1358" s="11" t="s">
        <v>39</v>
      </c>
      <c r="E1358" s="11">
        <v>46.0</v>
      </c>
      <c r="F1358" s="21" t="s">
        <v>242</v>
      </c>
      <c r="G1358" s="15">
        <v>0.04110293258558237</v>
      </c>
      <c r="H1358" s="11" t="s">
        <v>45</v>
      </c>
      <c r="I1358" s="16">
        <v>21.480000000000004</v>
      </c>
      <c r="J1358" s="11" t="s">
        <v>1385</v>
      </c>
      <c r="K1358" s="11" t="s">
        <v>61</v>
      </c>
      <c r="L1358" s="11" t="s">
        <v>48</v>
      </c>
      <c r="M1358" s="11" t="s">
        <v>49</v>
      </c>
      <c r="N1358" s="11" t="s">
        <v>156</v>
      </c>
      <c r="O1358" s="11" t="s">
        <v>1719</v>
      </c>
      <c r="P1358" s="11" t="s">
        <v>87</v>
      </c>
      <c r="Q1358" s="20">
        <v>40041.0</v>
      </c>
      <c r="R1358" s="17">
        <f t="shared" si="2"/>
        <v>134.9359953</v>
      </c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>
        <f t="shared" si="8"/>
        <v>4</v>
      </c>
      <c r="AF1358" s="19">
        <f t="shared" si="13"/>
        <v>4</v>
      </c>
      <c r="AG1358" s="9"/>
      <c r="AH1358" s="9"/>
      <c r="AI1358" s="9"/>
    </row>
    <row r="1359" ht="15.0" customHeight="1">
      <c r="A1359" s="11">
        <v>1358.0</v>
      </c>
      <c r="B1359" s="12">
        <f t="shared" si="218"/>
        <v>40039</v>
      </c>
      <c r="C1359" s="13">
        <v>2009.0</v>
      </c>
      <c r="D1359" s="11" t="s">
        <v>39</v>
      </c>
      <c r="E1359" s="11">
        <v>31.0</v>
      </c>
      <c r="F1359" s="21" t="s">
        <v>270</v>
      </c>
      <c r="G1359" s="15">
        <v>0.0338528791076275</v>
      </c>
      <c r="H1359" s="11" t="s">
        <v>33</v>
      </c>
      <c r="I1359" s="16">
        <v>13.984000000000002</v>
      </c>
      <c r="J1359" s="11" t="s">
        <v>1385</v>
      </c>
      <c r="K1359" s="11" t="s">
        <v>61</v>
      </c>
      <c r="L1359" s="11" t="s">
        <v>48</v>
      </c>
      <c r="M1359" s="11" t="s">
        <v>28</v>
      </c>
      <c r="N1359" s="11" t="s">
        <v>56</v>
      </c>
      <c r="O1359" s="11" t="s">
        <v>1172</v>
      </c>
      <c r="P1359" s="11" t="s">
        <v>38</v>
      </c>
      <c r="Q1359" s="20">
        <v>40041.0</v>
      </c>
      <c r="R1359" s="17">
        <f t="shared" si="2"/>
        <v>43.39546408</v>
      </c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>
        <f t="shared" si="8"/>
        <v>4</v>
      </c>
      <c r="AF1359" s="19">
        <f t="shared" si="13"/>
        <v>4</v>
      </c>
      <c r="AG1359" s="9"/>
      <c r="AH1359" s="9"/>
      <c r="AI1359" s="9"/>
    </row>
    <row r="1360" ht="15.0" customHeight="1">
      <c r="A1360" s="11">
        <v>1359.0</v>
      </c>
      <c r="B1360" s="12">
        <f t="shared" ref="B1360:B1374" si="219">DATE(2012,12,31)-1234</f>
        <v>40040</v>
      </c>
      <c r="C1360" s="13">
        <v>2009.0</v>
      </c>
      <c r="D1360" s="11" t="s">
        <v>39</v>
      </c>
      <c r="E1360" s="11">
        <v>37.0</v>
      </c>
      <c r="F1360" s="21" t="s">
        <v>126</v>
      </c>
      <c r="G1360" s="15">
        <v>0.03560509554140127</v>
      </c>
      <c r="H1360" s="11" t="s">
        <v>33</v>
      </c>
      <c r="I1360" s="16">
        <v>0.392</v>
      </c>
      <c r="J1360" s="11" t="s">
        <v>1720</v>
      </c>
      <c r="K1360" s="11" t="s">
        <v>65</v>
      </c>
      <c r="L1360" s="11" t="s">
        <v>48</v>
      </c>
      <c r="M1360" s="11" t="s">
        <v>28</v>
      </c>
      <c r="N1360" s="11" t="s">
        <v>188</v>
      </c>
      <c r="O1360" s="11" t="s">
        <v>1703</v>
      </c>
      <c r="P1360" s="11" t="s">
        <v>38</v>
      </c>
      <c r="Q1360" s="20">
        <v>40041.0</v>
      </c>
      <c r="R1360" s="17">
        <f t="shared" si="2"/>
        <v>6.469161019</v>
      </c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>
        <f t="shared" si="8"/>
        <v>4</v>
      </c>
      <c r="AF1360" s="19">
        <f t="shared" si="13"/>
        <v>5</v>
      </c>
      <c r="AG1360" s="9"/>
      <c r="AH1360" s="9"/>
      <c r="AI1360" s="9"/>
    </row>
    <row r="1361" ht="15.0" customHeight="1">
      <c r="A1361" s="11">
        <v>1360.0</v>
      </c>
      <c r="B1361" s="12">
        <f t="shared" si="219"/>
        <v>40040</v>
      </c>
      <c r="C1361" s="13">
        <v>2009.0</v>
      </c>
      <c r="D1361" s="11" t="s">
        <v>39</v>
      </c>
      <c r="E1361" s="11">
        <v>21.0</v>
      </c>
      <c r="F1361" s="21" t="s">
        <v>122</v>
      </c>
      <c r="G1361" s="15">
        <v>0.014364492266308164</v>
      </c>
      <c r="H1361" s="11" t="s">
        <v>33</v>
      </c>
      <c r="I1361" s="16">
        <v>0.792</v>
      </c>
      <c r="J1361" s="11" t="s">
        <v>1720</v>
      </c>
      <c r="K1361" s="11" t="s">
        <v>65</v>
      </c>
      <c r="L1361" s="11" t="s">
        <v>48</v>
      </c>
      <c r="M1361" s="11" t="s">
        <v>66</v>
      </c>
      <c r="N1361" s="11" t="s">
        <v>80</v>
      </c>
      <c r="O1361" s="11" t="s">
        <v>1721</v>
      </c>
      <c r="P1361" s="11" t="s">
        <v>99</v>
      </c>
      <c r="Q1361" s="20">
        <v>40041.0</v>
      </c>
      <c r="R1361" s="17">
        <f t="shared" si="2"/>
        <v>6.315952334</v>
      </c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>
        <f t="shared" si="8"/>
        <v>4</v>
      </c>
      <c r="AF1361" s="19">
        <f t="shared" si="13"/>
        <v>5</v>
      </c>
      <c r="AG1361" s="9"/>
      <c r="AH1361" s="9"/>
      <c r="AI1361" s="9"/>
    </row>
    <row r="1362" ht="15.0" customHeight="1">
      <c r="A1362" s="11">
        <v>1361.0</v>
      </c>
      <c r="B1362" s="12">
        <f t="shared" si="219"/>
        <v>40040</v>
      </c>
      <c r="C1362" s="13">
        <v>2009.0</v>
      </c>
      <c r="D1362" s="11" t="s">
        <v>39</v>
      </c>
      <c r="E1362" s="11">
        <v>48.0</v>
      </c>
      <c r="F1362" s="21" t="s">
        <v>297</v>
      </c>
      <c r="G1362" s="15">
        <v>0.06728163265306114</v>
      </c>
      <c r="H1362" s="11" t="s">
        <v>33</v>
      </c>
      <c r="I1362" s="16">
        <v>5.832000000000001</v>
      </c>
      <c r="J1362" s="11" t="s">
        <v>1722</v>
      </c>
      <c r="K1362" s="11" t="s">
        <v>26</v>
      </c>
      <c r="L1362" s="11" t="s">
        <v>27</v>
      </c>
      <c r="M1362" s="11" t="s">
        <v>49</v>
      </c>
      <c r="N1362" s="11" t="s">
        <v>73</v>
      </c>
      <c r="O1362" s="11" t="s">
        <v>298</v>
      </c>
      <c r="P1362" s="11" t="s">
        <v>99</v>
      </c>
      <c r="Q1362" s="20">
        <v>40041.0</v>
      </c>
      <c r="R1362" s="17">
        <f t="shared" si="2"/>
        <v>30.74985913</v>
      </c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>
        <f t="shared" si="8"/>
        <v>1</v>
      </c>
      <c r="AF1362" s="19">
        <f t="shared" si="13"/>
        <v>1</v>
      </c>
      <c r="AG1362" s="9"/>
      <c r="AH1362" s="9"/>
      <c r="AI1362" s="9"/>
    </row>
    <row r="1363" ht="15.0" customHeight="1">
      <c r="A1363" s="11">
        <v>1362.0</v>
      </c>
      <c r="B1363" s="12">
        <f t="shared" si="219"/>
        <v>40040</v>
      </c>
      <c r="C1363" s="13">
        <v>2009.0</v>
      </c>
      <c r="D1363" s="11" t="s">
        <v>39</v>
      </c>
      <c r="E1363" s="11">
        <v>5.0</v>
      </c>
      <c r="F1363" s="21" t="s">
        <v>493</v>
      </c>
      <c r="G1363" s="15">
        <v>0.049575545694948556</v>
      </c>
      <c r="H1363" s="11" t="s">
        <v>33</v>
      </c>
      <c r="I1363" s="16">
        <v>15.991999999999999</v>
      </c>
      <c r="J1363" s="11" t="s">
        <v>1621</v>
      </c>
      <c r="K1363" s="11" t="s">
        <v>35</v>
      </c>
      <c r="L1363" s="11" t="s">
        <v>41</v>
      </c>
      <c r="M1363" s="11" t="s">
        <v>28</v>
      </c>
      <c r="N1363" s="11" t="s">
        <v>42</v>
      </c>
      <c r="O1363" s="11" t="s">
        <v>495</v>
      </c>
      <c r="P1363" s="11" t="s">
        <v>38</v>
      </c>
      <c r="Q1363" s="20">
        <v>40041.0</v>
      </c>
      <c r="R1363" s="17">
        <f t="shared" si="2"/>
        <v>105.124548</v>
      </c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>
        <f t="shared" si="8"/>
        <v>3</v>
      </c>
      <c r="AF1363" s="19">
        <f t="shared" si="13"/>
        <v>2</v>
      </c>
      <c r="AG1363" s="9"/>
      <c r="AH1363" s="9"/>
      <c r="AI1363" s="9"/>
    </row>
    <row r="1364" ht="15.0" customHeight="1">
      <c r="A1364" s="11">
        <v>1363.0</v>
      </c>
      <c r="B1364" s="12">
        <f t="shared" si="219"/>
        <v>40040</v>
      </c>
      <c r="C1364" s="13">
        <v>2009.0</v>
      </c>
      <c r="D1364" s="11" t="s">
        <v>32</v>
      </c>
      <c r="E1364" s="11">
        <v>13.0</v>
      </c>
      <c r="F1364" s="21" t="s">
        <v>210</v>
      </c>
      <c r="G1364" s="15">
        <v>0.0256410256410256</v>
      </c>
      <c r="H1364" s="11" t="s">
        <v>33</v>
      </c>
      <c r="I1364" s="16">
        <v>0.4</v>
      </c>
      <c r="J1364" s="11" t="s">
        <v>1723</v>
      </c>
      <c r="K1364" s="11" t="s">
        <v>117</v>
      </c>
      <c r="L1364" s="11" t="s">
        <v>48</v>
      </c>
      <c r="M1364" s="11" t="s">
        <v>28</v>
      </c>
      <c r="N1364" s="11" t="s">
        <v>188</v>
      </c>
      <c r="O1364" s="11" t="s">
        <v>1356</v>
      </c>
      <c r="P1364" s="11" t="s">
        <v>38</v>
      </c>
      <c r="Q1364" s="20">
        <v>40041.0</v>
      </c>
      <c r="R1364" s="17">
        <f t="shared" si="2"/>
        <v>0.8769230769</v>
      </c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>
        <f t="shared" si="8"/>
        <v>4</v>
      </c>
      <c r="AF1364" s="19" t="b">
        <f t="shared" si="13"/>
        <v>0</v>
      </c>
      <c r="AG1364" s="9"/>
      <c r="AH1364" s="9"/>
      <c r="AI1364" s="9"/>
    </row>
    <row r="1365" ht="15.0" customHeight="1">
      <c r="A1365" s="11">
        <v>1364.0</v>
      </c>
      <c r="B1365" s="12">
        <f t="shared" si="219"/>
        <v>40040</v>
      </c>
      <c r="C1365" s="13">
        <v>2009.0</v>
      </c>
      <c r="D1365" s="11" t="s">
        <v>32</v>
      </c>
      <c r="E1365" s="11">
        <v>26.0</v>
      </c>
      <c r="F1365" s="21" t="s">
        <v>629</v>
      </c>
      <c r="G1365" s="15">
        <v>0.09259541984732832</v>
      </c>
      <c r="H1365" s="11" t="s">
        <v>33</v>
      </c>
      <c r="I1365" s="16">
        <v>0.392</v>
      </c>
      <c r="J1365" s="11" t="s">
        <v>1723</v>
      </c>
      <c r="K1365" s="11" t="s">
        <v>117</v>
      </c>
      <c r="L1365" s="11" t="s">
        <v>48</v>
      </c>
      <c r="M1365" s="11" t="s">
        <v>28</v>
      </c>
      <c r="N1365" s="11" t="s">
        <v>188</v>
      </c>
      <c r="O1365" s="11" t="s">
        <v>631</v>
      </c>
      <c r="P1365" s="11" t="s">
        <v>38</v>
      </c>
      <c r="Q1365" s="20">
        <v>40042.0</v>
      </c>
      <c r="R1365" s="17">
        <f t="shared" si="2"/>
        <v>17.61090809</v>
      </c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>
        <f t="shared" si="8"/>
        <v>4</v>
      </c>
      <c r="AF1365" s="19" t="b">
        <f t="shared" si="13"/>
        <v>0</v>
      </c>
      <c r="AG1365" s="9"/>
      <c r="AH1365" s="9"/>
      <c r="AI1365" s="9"/>
    </row>
    <row r="1366" ht="15.0" customHeight="1">
      <c r="A1366" s="11">
        <v>1365.0</v>
      </c>
      <c r="B1366" s="12">
        <f t="shared" si="219"/>
        <v>40040</v>
      </c>
      <c r="C1366" s="13">
        <v>2009.0</v>
      </c>
      <c r="D1366" s="11" t="s">
        <v>32</v>
      </c>
      <c r="E1366" s="11">
        <v>50.0</v>
      </c>
      <c r="F1366" s="21" t="s">
        <v>122</v>
      </c>
      <c r="G1366" s="15">
        <v>0.09522986519184241</v>
      </c>
      <c r="H1366" s="11" t="s">
        <v>33</v>
      </c>
      <c r="I1366" s="16">
        <v>2.0</v>
      </c>
      <c r="J1366" s="11" t="s">
        <v>1723</v>
      </c>
      <c r="K1366" s="11" t="s">
        <v>117</v>
      </c>
      <c r="L1366" s="11" t="s">
        <v>48</v>
      </c>
      <c r="M1366" s="11" t="s">
        <v>66</v>
      </c>
      <c r="N1366" s="11" t="s">
        <v>80</v>
      </c>
      <c r="O1366" s="11" t="s">
        <v>1381</v>
      </c>
      <c r="P1366" s="11" t="s">
        <v>58</v>
      </c>
      <c r="Q1366" s="20">
        <v>40042.0</v>
      </c>
      <c r="R1366" s="17">
        <f t="shared" si="2"/>
        <v>99.70566886</v>
      </c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>
        <f t="shared" si="8"/>
        <v>4</v>
      </c>
      <c r="AF1366" s="19" t="b">
        <f t="shared" si="13"/>
        <v>0</v>
      </c>
      <c r="AG1366" s="9"/>
      <c r="AH1366" s="9"/>
      <c r="AI1366" s="9"/>
    </row>
    <row r="1367" ht="15.0" customHeight="1">
      <c r="A1367" s="11">
        <v>1366.0</v>
      </c>
      <c r="B1367" s="12">
        <f t="shared" si="219"/>
        <v>40040</v>
      </c>
      <c r="C1367" s="13">
        <v>2009.0</v>
      </c>
      <c r="D1367" s="11" t="s">
        <v>44</v>
      </c>
      <c r="E1367" s="11">
        <v>17.0</v>
      </c>
      <c r="F1367" s="21" t="s">
        <v>154</v>
      </c>
      <c r="G1367" s="15">
        <v>0.039115350147228355</v>
      </c>
      <c r="H1367" s="11" t="s">
        <v>45</v>
      </c>
      <c r="I1367" s="16">
        <v>35.64</v>
      </c>
      <c r="J1367" s="11" t="s">
        <v>184</v>
      </c>
      <c r="K1367" s="11" t="s">
        <v>61</v>
      </c>
      <c r="L1367" s="11" t="s">
        <v>41</v>
      </c>
      <c r="M1367" s="11" t="s">
        <v>49</v>
      </c>
      <c r="N1367" s="11" t="s">
        <v>156</v>
      </c>
      <c r="O1367" s="11" t="s">
        <v>157</v>
      </c>
      <c r="P1367" s="11" t="s">
        <v>87</v>
      </c>
      <c r="Q1367" s="20">
        <v>40042.0</v>
      </c>
      <c r="R1367" s="17">
        <f t="shared" si="2"/>
        <v>587.1581741</v>
      </c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>
        <f t="shared" si="8"/>
        <v>3</v>
      </c>
      <c r="AF1367" s="19">
        <f t="shared" si="13"/>
        <v>4</v>
      </c>
      <c r="AG1367" s="9"/>
      <c r="AH1367" s="9"/>
      <c r="AI1367" s="9"/>
    </row>
    <row r="1368" ht="15.0" customHeight="1">
      <c r="A1368" s="11">
        <v>1367.0</v>
      </c>
      <c r="B1368" s="12">
        <f t="shared" si="219"/>
        <v>40040</v>
      </c>
      <c r="C1368" s="13">
        <v>2009.0</v>
      </c>
      <c r="D1368" s="11" t="s">
        <v>44</v>
      </c>
      <c r="E1368" s="11">
        <v>24.0</v>
      </c>
      <c r="F1368" s="21" t="s">
        <v>344</v>
      </c>
      <c r="G1368" s="15">
        <v>0.06823125357756146</v>
      </c>
      <c r="H1368" s="11" t="s">
        <v>33</v>
      </c>
      <c r="I1368" s="16">
        <v>3.9600000000000004</v>
      </c>
      <c r="J1368" s="11" t="s">
        <v>184</v>
      </c>
      <c r="K1368" s="11" t="s">
        <v>61</v>
      </c>
      <c r="L1368" s="11" t="s">
        <v>41</v>
      </c>
      <c r="M1368" s="11" t="s">
        <v>49</v>
      </c>
      <c r="N1368" s="11" t="s">
        <v>73</v>
      </c>
      <c r="O1368" s="11" t="s">
        <v>1724</v>
      </c>
      <c r="P1368" s="11" t="s">
        <v>99</v>
      </c>
      <c r="Q1368" s="20">
        <v>40042.0</v>
      </c>
      <c r="R1368" s="17">
        <f t="shared" si="2"/>
        <v>22.21336691</v>
      </c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>
        <f t="shared" si="8"/>
        <v>3</v>
      </c>
      <c r="AF1368" s="19">
        <f t="shared" si="13"/>
        <v>4</v>
      </c>
      <c r="AG1368" s="9"/>
      <c r="AH1368" s="9"/>
      <c r="AI1368" s="9"/>
    </row>
    <row r="1369" ht="15.0" customHeight="1">
      <c r="A1369" s="11">
        <v>1368.0</v>
      </c>
      <c r="B1369" s="12">
        <f t="shared" si="219"/>
        <v>40040</v>
      </c>
      <c r="C1369" s="13">
        <v>2009.0</v>
      </c>
      <c r="D1369" s="11" t="s">
        <v>44</v>
      </c>
      <c r="E1369" s="11">
        <v>27.0</v>
      </c>
      <c r="F1369" s="21" t="s">
        <v>183</v>
      </c>
      <c r="G1369" s="15">
        <v>0.02028609745194449</v>
      </c>
      <c r="H1369" s="11" t="s">
        <v>33</v>
      </c>
      <c r="I1369" s="16">
        <v>9.024</v>
      </c>
      <c r="J1369" s="11" t="s">
        <v>184</v>
      </c>
      <c r="K1369" s="11" t="s">
        <v>61</v>
      </c>
      <c r="L1369" s="11" t="s">
        <v>41</v>
      </c>
      <c r="M1369" s="11" t="s">
        <v>66</v>
      </c>
      <c r="N1369" s="11" t="s">
        <v>69</v>
      </c>
      <c r="O1369" s="11" t="s">
        <v>1109</v>
      </c>
      <c r="P1369" s="11" t="s">
        <v>75</v>
      </c>
      <c r="Q1369" s="20">
        <v>40042.0</v>
      </c>
      <c r="R1369" s="17">
        <f t="shared" si="2"/>
        <v>8.89188338</v>
      </c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>
        <f t="shared" si="8"/>
        <v>3</v>
      </c>
      <c r="AF1369" s="19">
        <f t="shared" si="13"/>
        <v>4</v>
      </c>
      <c r="AG1369" s="9"/>
      <c r="AH1369" s="9"/>
      <c r="AI1369" s="9"/>
    </row>
    <row r="1370" ht="15.0" customHeight="1">
      <c r="A1370" s="11">
        <v>1369.0</v>
      </c>
      <c r="B1370" s="12">
        <f t="shared" si="219"/>
        <v>40040</v>
      </c>
      <c r="C1370" s="13">
        <v>2009.0</v>
      </c>
      <c r="D1370" s="11" t="s">
        <v>32</v>
      </c>
      <c r="E1370" s="11">
        <v>30.0</v>
      </c>
      <c r="F1370" s="21" t="s">
        <v>565</v>
      </c>
      <c r="G1370" s="15">
        <v>0.0751219848380427</v>
      </c>
      <c r="H1370" s="11" t="s">
        <v>33</v>
      </c>
      <c r="I1370" s="16">
        <v>15.991999999999999</v>
      </c>
      <c r="J1370" s="11" t="s">
        <v>1108</v>
      </c>
      <c r="K1370" s="11" t="s">
        <v>47</v>
      </c>
      <c r="L1370" s="11" t="s">
        <v>27</v>
      </c>
      <c r="M1370" s="11" t="s">
        <v>28</v>
      </c>
      <c r="N1370" s="11" t="s">
        <v>29</v>
      </c>
      <c r="O1370" s="11" t="s">
        <v>566</v>
      </c>
      <c r="P1370" s="11" t="s">
        <v>38</v>
      </c>
      <c r="Q1370" s="20">
        <v>40042.0</v>
      </c>
      <c r="R1370" s="17">
        <f t="shared" si="2"/>
        <v>403.2542136</v>
      </c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>
        <f t="shared" si="8"/>
        <v>1</v>
      </c>
      <c r="AF1370" s="19">
        <f t="shared" si="13"/>
        <v>3</v>
      </c>
      <c r="AG1370" s="9"/>
      <c r="AH1370" s="9"/>
      <c r="AI1370" s="9"/>
    </row>
    <row r="1371" ht="15.0" customHeight="1">
      <c r="A1371" s="11">
        <v>1370.0</v>
      </c>
      <c r="B1371" s="12">
        <f t="shared" si="219"/>
        <v>40040</v>
      </c>
      <c r="C1371" s="13">
        <v>2009.0</v>
      </c>
      <c r="D1371" s="11" t="s">
        <v>102</v>
      </c>
      <c r="E1371" s="11">
        <v>42.0</v>
      </c>
      <c r="F1371" s="21" t="s">
        <v>1088</v>
      </c>
      <c r="G1371" s="15">
        <v>0.0676017351786822</v>
      </c>
      <c r="H1371" s="11" t="s">
        <v>24</v>
      </c>
      <c r="I1371" s="16">
        <v>3.696</v>
      </c>
      <c r="J1371" s="11" t="s">
        <v>1725</v>
      </c>
      <c r="K1371" s="11" t="s">
        <v>61</v>
      </c>
      <c r="L1371" s="11" t="s">
        <v>48</v>
      </c>
      <c r="M1371" s="11" t="s">
        <v>28</v>
      </c>
      <c r="N1371" s="11" t="s">
        <v>197</v>
      </c>
      <c r="O1371" s="11" t="s">
        <v>1090</v>
      </c>
      <c r="P1371" s="11" t="s">
        <v>38</v>
      </c>
      <c r="Q1371" s="20">
        <v>40043.0</v>
      </c>
      <c r="R1371" s="17">
        <f t="shared" si="2"/>
        <v>122.0546625</v>
      </c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>
        <f t="shared" si="8"/>
        <v>4</v>
      </c>
      <c r="AF1371" s="19">
        <f t="shared" si="13"/>
        <v>4</v>
      </c>
      <c r="AG1371" s="9"/>
      <c r="AH1371" s="9"/>
      <c r="AI1371" s="9"/>
    </row>
    <row r="1372" ht="15.0" customHeight="1">
      <c r="A1372" s="11">
        <v>1371.0</v>
      </c>
      <c r="B1372" s="12">
        <f t="shared" si="219"/>
        <v>40040</v>
      </c>
      <c r="C1372" s="13">
        <v>2009.0</v>
      </c>
      <c r="D1372" s="11" t="s">
        <v>102</v>
      </c>
      <c r="E1372" s="11">
        <v>43.0</v>
      </c>
      <c r="F1372" s="21" t="s">
        <v>1151</v>
      </c>
      <c r="G1372" s="15">
        <v>0.032167589168259306</v>
      </c>
      <c r="H1372" s="11" t="s">
        <v>45</v>
      </c>
      <c r="I1372" s="16">
        <v>33.6</v>
      </c>
      <c r="J1372" s="11" t="s">
        <v>1725</v>
      </c>
      <c r="K1372" s="11" t="s">
        <v>61</v>
      </c>
      <c r="L1372" s="11" t="s">
        <v>48</v>
      </c>
      <c r="M1372" s="11" t="s">
        <v>49</v>
      </c>
      <c r="N1372" s="11" t="s">
        <v>50</v>
      </c>
      <c r="O1372" s="11" t="s">
        <v>1153</v>
      </c>
      <c r="P1372" s="11" t="s">
        <v>52</v>
      </c>
      <c r="Q1372" s="20">
        <v>40043.0</v>
      </c>
      <c r="R1372" s="17">
        <f t="shared" si="2"/>
        <v>125.4310804</v>
      </c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>
        <f t="shared" si="8"/>
        <v>4</v>
      </c>
      <c r="AF1372" s="19">
        <f t="shared" si="13"/>
        <v>4</v>
      </c>
      <c r="AG1372" s="9"/>
      <c r="AH1372" s="9"/>
      <c r="AI1372" s="9"/>
    </row>
    <row r="1373" ht="15.0" customHeight="1">
      <c r="A1373" s="11">
        <v>1372.0</v>
      </c>
      <c r="B1373" s="12">
        <f t="shared" si="219"/>
        <v>40040</v>
      </c>
      <c r="C1373" s="13">
        <v>2009.0</v>
      </c>
      <c r="D1373" s="11" t="s">
        <v>102</v>
      </c>
      <c r="E1373" s="11">
        <v>22.0</v>
      </c>
      <c r="F1373" s="21" t="s">
        <v>122</v>
      </c>
      <c r="G1373" s="15">
        <v>0.03299916457811209</v>
      </c>
      <c r="H1373" s="11" t="s">
        <v>33</v>
      </c>
      <c r="I1373" s="16">
        <v>3.2</v>
      </c>
      <c r="J1373" s="11" t="s">
        <v>1725</v>
      </c>
      <c r="K1373" s="11" t="s">
        <v>61</v>
      </c>
      <c r="L1373" s="11" t="s">
        <v>48</v>
      </c>
      <c r="M1373" s="11" t="s">
        <v>66</v>
      </c>
      <c r="N1373" s="11" t="s">
        <v>67</v>
      </c>
      <c r="O1373" s="11" t="s">
        <v>1485</v>
      </c>
      <c r="P1373" s="11" t="s">
        <v>38</v>
      </c>
      <c r="Q1373" s="20">
        <v>40043.0</v>
      </c>
      <c r="R1373" s="17">
        <f t="shared" si="2"/>
        <v>15.2786132</v>
      </c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>
        <f t="shared" si="8"/>
        <v>4</v>
      </c>
      <c r="AF1373" s="19">
        <f t="shared" si="13"/>
        <v>4</v>
      </c>
      <c r="AG1373" s="9"/>
      <c r="AH1373" s="9"/>
      <c r="AI1373" s="9"/>
    </row>
    <row r="1374" ht="15.0" customHeight="1">
      <c r="A1374" s="11">
        <v>1373.0</v>
      </c>
      <c r="B1374" s="12">
        <f t="shared" si="219"/>
        <v>40040</v>
      </c>
      <c r="C1374" s="13">
        <v>2009.0</v>
      </c>
      <c r="D1374" s="11" t="s">
        <v>23</v>
      </c>
      <c r="E1374" s="11">
        <v>34.0</v>
      </c>
      <c r="F1374" s="21" t="s">
        <v>158</v>
      </c>
      <c r="G1374" s="15">
        <v>0.04711489361702117</v>
      </c>
      <c r="H1374" s="11" t="s">
        <v>33</v>
      </c>
      <c r="I1374" s="16">
        <v>6.328</v>
      </c>
      <c r="J1374" s="11" t="s">
        <v>181</v>
      </c>
      <c r="K1374" s="11" t="s">
        <v>65</v>
      </c>
      <c r="L1374" s="11" t="s">
        <v>48</v>
      </c>
      <c r="M1374" s="11" t="s">
        <v>28</v>
      </c>
      <c r="N1374" s="11" t="s">
        <v>56</v>
      </c>
      <c r="O1374" s="11" t="s">
        <v>1392</v>
      </c>
      <c r="P1374" s="11" t="s">
        <v>38</v>
      </c>
      <c r="Q1374" s="20">
        <v>40043.0</v>
      </c>
      <c r="R1374" s="17">
        <f t="shared" si="2"/>
        <v>10.5503439</v>
      </c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>
        <f t="shared" si="8"/>
        <v>4</v>
      </c>
      <c r="AF1374" s="19">
        <f t="shared" si="13"/>
        <v>5</v>
      </c>
      <c r="AG1374" s="9"/>
      <c r="AH1374" s="9"/>
      <c r="AI1374" s="9"/>
    </row>
    <row r="1375" ht="15.0" customHeight="1">
      <c r="A1375" s="11">
        <v>1374.0</v>
      </c>
      <c r="B1375" s="12">
        <f t="shared" ref="B1375:B1380" si="220">DATE(2012,12,31)-1233</f>
        <v>40041</v>
      </c>
      <c r="C1375" s="13">
        <v>2009.0</v>
      </c>
      <c r="D1375" s="11" t="s">
        <v>102</v>
      </c>
      <c r="E1375" s="11">
        <v>1.0</v>
      </c>
      <c r="F1375" s="21" t="s">
        <v>513</v>
      </c>
      <c r="G1375" s="15">
        <v>0.05033384694401635</v>
      </c>
      <c r="H1375" s="11" t="s">
        <v>45</v>
      </c>
      <c r="I1375" s="16">
        <v>24.0</v>
      </c>
      <c r="J1375" s="11" t="s">
        <v>1564</v>
      </c>
      <c r="K1375" s="11" t="s">
        <v>35</v>
      </c>
      <c r="L1375" s="11" t="s">
        <v>27</v>
      </c>
      <c r="M1375" s="11" t="s">
        <v>49</v>
      </c>
      <c r="N1375" s="11" t="s">
        <v>50</v>
      </c>
      <c r="O1375" s="11" t="s">
        <v>515</v>
      </c>
      <c r="P1375" s="11" t="s">
        <v>52</v>
      </c>
      <c r="Q1375" s="20">
        <v>40043.0</v>
      </c>
      <c r="R1375" s="17">
        <f t="shared" si="2"/>
        <v>9.3067283</v>
      </c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>
        <f t="shared" si="8"/>
        <v>1</v>
      </c>
      <c r="AF1375" s="19">
        <f t="shared" si="13"/>
        <v>2</v>
      </c>
      <c r="AG1375" s="9"/>
      <c r="AH1375" s="9"/>
      <c r="AI1375" s="9"/>
    </row>
    <row r="1376" ht="15.0" customHeight="1">
      <c r="A1376" s="11">
        <v>1375.0</v>
      </c>
      <c r="B1376" s="12">
        <f t="shared" si="220"/>
        <v>40041</v>
      </c>
      <c r="C1376" s="13">
        <v>2009.0</v>
      </c>
      <c r="D1376" s="11" t="s">
        <v>102</v>
      </c>
      <c r="E1376" s="11">
        <v>24.0</v>
      </c>
      <c r="F1376" s="21" t="s">
        <v>1726</v>
      </c>
      <c r="G1376" s="15">
        <v>0.02638992500687097</v>
      </c>
      <c r="H1376" s="11" t="s">
        <v>33</v>
      </c>
      <c r="I1376" s="16">
        <v>55.2</v>
      </c>
      <c r="J1376" s="11" t="s">
        <v>988</v>
      </c>
      <c r="K1376" s="11" t="s">
        <v>26</v>
      </c>
      <c r="L1376" s="11" t="s">
        <v>27</v>
      </c>
      <c r="M1376" s="11" t="s">
        <v>49</v>
      </c>
      <c r="N1376" s="11" t="s">
        <v>85</v>
      </c>
      <c r="O1376" s="11" t="s">
        <v>1727</v>
      </c>
      <c r="P1376" s="11" t="s">
        <v>31</v>
      </c>
      <c r="Q1376" s="20">
        <v>40043.0</v>
      </c>
      <c r="R1376" s="17">
        <f t="shared" si="2"/>
        <v>134.0185952</v>
      </c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>
        <f t="shared" si="8"/>
        <v>1</v>
      </c>
      <c r="AF1376" s="19">
        <f t="shared" si="13"/>
        <v>1</v>
      </c>
      <c r="AG1376" s="9"/>
      <c r="AH1376" s="9"/>
      <c r="AI1376" s="9"/>
    </row>
    <row r="1377" ht="15.0" customHeight="1">
      <c r="A1377" s="11">
        <v>1376.0</v>
      </c>
      <c r="B1377" s="12">
        <f t="shared" si="220"/>
        <v>40041</v>
      </c>
      <c r="C1377" s="13">
        <v>2009.0</v>
      </c>
      <c r="D1377" s="11" t="s">
        <v>44</v>
      </c>
      <c r="E1377" s="11">
        <v>2.0</v>
      </c>
      <c r="F1377" s="21" t="s">
        <v>245</v>
      </c>
      <c r="G1377" s="15">
        <v>0.13667673716012088</v>
      </c>
      <c r="H1377" s="11" t="s">
        <v>33</v>
      </c>
      <c r="I1377" s="16">
        <v>5.5760000000000005</v>
      </c>
      <c r="J1377" s="11" t="s">
        <v>1222</v>
      </c>
      <c r="K1377" s="11" t="s">
        <v>83</v>
      </c>
      <c r="L1377" s="11" t="s">
        <v>48</v>
      </c>
      <c r="M1377" s="11" t="s">
        <v>28</v>
      </c>
      <c r="N1377" s="11" t="s">
        <v>236</v>
      </c>
      <c r="O1377" s="11" t="s">
        <v>376</v>
      </c>
      <c r="P1377" s="11" t="s">
        <v>38</v>
      </c>
      <c r="Q1377" s="20">
        <v>40043.0</v>
      </c>
      <c r="R1377" s="17">
        <f t="shared" si="2"/>
        <v>3.905674441</v>
      </c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>
        <f t="shared" si="8"/>
        <v>4</v>
      </c>
      <c r="AF1377" s="19" t="b">
        <f t="shared" si="13"/>
        <v>0</v>
      </c>
      <c r="AG1377" s="9"/>
      <c r="AH1377" s="9"/>
      <c r="AI1377" s="9"/>
    </row>
    <row r="1378" ht="15.0" customHeight="1">
      <c r="A1378" s="11">
        <v>1377.0</v>
      </c>
      <c r="B1378" s="12">
        <f t="shared" si="220"/>
        <v>40041</v>
      </c>
      <c r="C1378" s="13">
        <v>2009.0</v>
      </c>
      <c r="D1378" s="11" t="s">
        <v>23</v>
      </c>
      <c r="E1378" s="11">
        <v>39.0</v>
      </c>
      <c r="F1378" s="21" t="s">
        <v>469</v>
      </c>
      <c r="G1378" s="15">
        <v>0.05187774558369953</v>
      </c>
      <c r="H1378" s="11" t="s">
        <v>24</v>
      </c>
      <c r="I1378" s="16">
        <v>4.296</v>
      </c>
      <c r="J1378" s="11" t="s">
        <v>1417</v>
      </c>
      <c r="K1378" s="11" t="s">
        <v>47</v>
      </c>
      <c r="L1378" s="11" t="s">
        <v>48</v>
      </c>
      <c r="M1378" s="11" t="s">
        <v>28</v>
      </c>
      <c r="N1378" s="11" t="s">
        <v>62</v>
      </c>
      <c r="O1378" s="11" t="s">
        <v>1728</v>
      </c>
      <c r="P1378" s="11" t="s">
        <v>38</v>
      </c>
      <c r="Q1378" s="20">
        <v>40044.0</v>
      </c>
      <c r="R1378" s="17">
        <f t="shared" si="2"/>
        <v>52.62457761</v>
      </c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>
        <f t="shared" si="8"/>
        <v>4</v>
      </c>
      <c r="AF1378" s="19">
        <f t="shared" si="13"/>
        <v>3</v>
      </c>
      <c r="AG1378" s="9"/>
      <c r="AH1378" s="9"/>
      <c r="AI1378" s="9"/>
    </row>
    <row r="1379" ht="15.0" customHeight="1">
      <c r="A1379" s="11">
        <v>1378.0</v>
      </c>
      <c r="B1379" s="12">
        <f t="shared" si="220"/>
        <v>40041</v>
      </c>
      <c r="C1379" s="13">
        <v>2009.0</v>
      </c>
      <c r="D1379" s="11" t="s">
        <v>39</v>
      </c>
      <c r="E1379" s="11">
        <v>17.0</v>
      </c>
      <c r="F1379" s="21" t="s">
        <v>242</v>
      </c>
      <c r="G1379" s="15">
        <v>0.053219346888478056</v>
      </c>
      <c r="H1379" s="11" t="s">
        <v>45</v>
      </c>
      <c r="I1379" s="16">
        <v>24.0</v>
      </c>
      <c r="J1379" s="11" t="s">
        <v>719</v>
      </c>
      <c r="K1379" s="11" t="s">
        <v>61</v>
      </c>
      <c r="L1379" s="11" t="s">
        <v>48</v>
      </c>
      <c r="M1379" s="11" t="s">
        <v>49</v>
      </c>
      <c r="N1379" s="11" t="s">
        <v>50</v>
      </c>
      <c r="O1379" s="11" t="s">
        <v>1729</v>
      </c>
      <c r="P1379" s="11" t="s">
        <v>52</v>
      </c>
      <c r="Q1379" s="20">
        <v>40044.0</v>
      </c>
      <c r="R1379" s="17">
        <f t="shared" si="2"/>
        <v>65.42254313</v>
      </c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>
        <f t="shared" si="8"/>
        <v>4</v>
      </c>
      <c r="AF1379" s="19">
        <f t="shared" si="13"/>
        <v>4</v>
      </c>
      <c r="AG1379" s="9"/>
      <c r="AH1379" s="9"/>
      <c r="AI1379" s="9"/>
    </row>
    <row r="1380" ht="15.0" customHeight="1">
      <c r="A1380" s="11">
        <v>1379.0</v>
      </c>
      <c r="B1380" s="12">
        <f t="shared" si="220"/>
        <v>40041</v>
      </c>
      <c r="C1380" s="13">
        <v>2009.0</v>
      </c>
      <c r="D1380" s="11" t="s">
        <v>39</v>
      </c>
      <c r="E1380" s="11">
        <v>18.0</v>
      </c>
      <c r="F1380" s="21" t="s">
        <v>126</v>
      </c>
      <c r="G1380" s="15">
        <v>0.07111111111111103</v>
      </c>
      <c r="H1380" s="11" t="s">
        <v>33</v>
      </c>
      <c r="I1380" s="16">
        <v>3.7600000000000002</v>
      </c>
      <c r="J1380" s="11" t="s">
        <v>719</v>
      </c>
      <c r="K1380" s="11" t="s">
        <v>61</v>
      </c>
      <c r="L1380" s="11" t="s">
        <v>48</v>
      </c>
      <c r="M1380" s="11" t="s">
        <v>28</v>
      </c>
      <c r="N1380" s="11" t="s">
        <v>56</v>
      </c>
      <c r="O1380" s="11" t="s">
        <v>1730</v>
      </c>
      <c r="P1380" s="11" t="s">
        <v>38</v>
      </c>
      <c r="Q1380" s="20">
        <v>40044.0</v>
      </c>
      <c r="R1380" s="17">
        <f t="shared" si="2"/>
        <v>6.539377778</v>
      </c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>
        <f t="shared" si="8"/>
        <v>4</v>
      </c>
      <c r="AF1380" s="19">
        <f t="shared" si="13"/>
        <v>4</v>
      </c>
      <c r="AG1380" s="9"/>
      <c r="AH1380" s="9"/>
      <c r="AI1380" s="9"/>
    </row>
    <row r="1381" ht="15.0" customHeight="1">
      <c r="A1381" s="11">
        <v>1380.0</v>
      </c>
      <c r="B1381" s="12">
        <f t="shared" ref="B1381:B1382" si="221">DATE(2012,12,31)-1232</f>
        <v>40042</v>
      </c>
      <c r="C1381" s="13">
        <v>2009.0</v>
      </c>
      <c r="D1381" s="11" t="s">
        <v>32</v>
      </c>
      <c r="E1381" s="11">
        <v>47.0</v>
      </c>
      <c r="F1381" s="21" t="s">
        <v>270</v>
      </c>
      <c r="G1381" s="15">
        <v>0.03322260461868431</v>
      </c>
      <c r="H1381" s="11" t="s">
        <v>33</v>
      </c>
      <c r="I1381" s="16">
        <v>15.991999999999999</v>
      </c>
      <c r="J1381" s="11" t="s">
        <v>876</v>
      </c>
      <c r="K1381" s="11" t="s">
        <v>35</v>
      </c>
      <c r="L1381" s="11" t="s">
        <v>48</v>
      </c>
      <c r="M1381" s="11" t="s">
        <v>28</v>
      </c>
      <c r="N1381" s="11" t="s">
        <v>56</v>
      </c>
      <c r="O1381" s="11" t="s">
        <v>1306</v>
      </c>
      <c r="P1381" s="11" t="s">
        <v>38</v>
      </c>
      <c r="Q1381" s="20">
        <v>40044.0</v>
      </c>
      <c r="R1381" s="17">
        <f t="shared" si="2"/>
        <v>64.39510875</v>
      </c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>
        <f t="shared" si="8"/>
        <v>4</v>
      </c>
      <c r="AF1381" s="19">
        <f t="shared" si="13"/>
        <v>2</v>
      </c>
      <c r="AG1381" s="9"/>
      <c r="AH1381" s="9"/>
      <c r="AI1381" s="9"/>
    </row>
    <row r="1382" ht="15.0" customHeight="1">
      <c r="A1382" s="11">
        <v>1381.0</v>
      </c>
      <c r="B1382" s="12">
        <f t="shared" si="221"/>
        <v>40042</v>
      </c>
      <c r="C1382" s="13">
        <v>2009.0</v>
      </c>
      <c r="D1382" s="11" t="s">
        <v>102</v>
      </c>
      <c r="E1382" s="11">
        <v>11.0</v>
      </c>
      <c r="F1382" s="21" t="s">
        <v>126</v>
      </c>
      <c r="G1382" s="15">
        <v>0.06793548387096768</v>
      </c>
      <c r="H1382" s="11" t="s">
        <v>33</v>
      </c>
      <c r="I1382" s="16">
        <v>3.8880000000000003</v>
      </c>
      <c r="J1382" s="11" t="s">
        <v>1731</v>
      </c>
      <c r="K1382" s="11" t="s">
        <v>35</v>
      </c>
      <c r="L1382" s="11" t="s">
        <v>27</v>
      </c>
      <c r="M1382" s="11" t="s">
        <v>28</v>
      </c>
      <c r="N1382" s="11" t="s">
        <v>56</v>
      </c>
      <c r="O1382" s="11" t="s">
        <v>1732</v>
      </c>
      <c r="P1382" s="11" t="s">
        <v>38</v>
      </c>
      <c r="Q1382" s="20">
        <v>40045.0</v>
      </c>
      <c r="R1382" s="17">
        <f t="shared" si="2"/>
        <v>3.925855742</v>
      </c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>
        <f t="shared" si="8"/>
        <v>1</v>
      </c>
      <c r="AF1382" s="19">
        <f t="shared" si="13"/>
        <v>2</v>
      </c>
      <c r="AG1382" s="9"/>
      <c r="AH1382" s="9"/>
      <c r="AI1382" s="9"/>
    </row>
    <row r="1383" ht="15.0" customHeight="1">
      <c r="A1383" s="11">
        <v>1382.0</v>
      </c>
      <c r="B1383" s="12">
        <f t="shared" ref="B1383:B1390" si="222">DATE(2012,12,31)-1231</f>
        <v>40043</v>
      </c>
      <c r="C1383" s="13">
        <v>2009.0</v>
      </c>
      <c r="D1383" s="11" t="s">
        <v>32</v>
      </c>
      <c r="E1383" s="11">
        <v>7.0</v>
      </c>
      <c r="F1383" s="21" t="s">
        <v>1182</v>
      </c>
      <c r="G1383" s="15">
        <v>0.04644880174291935</v>
      </c>
      <c r="H1383" s="11" t="s">
        <v>33</v>
      </c>
      <c r="I1383" s="16">
        <v>5.968</v>
      </c>
      <c r="J1383" s="11" t="s">
        <v>1462</v>
      </c>
      <c r="K1383" s="11" t="s">
        <v>61</v>
      </c>
      <c r="L1383" s="11" t="s">
        <v>27</v>
      </c>
      <c r="M1383" s="11" t="s">
        <v>28</v>
      </c>
      <c r="N1383" s="11" t="s">
        <v>42</v>
      </c>
      <c r="O1383" s="11" t="s">
        <v>1378</v>
      </c>
      <c r="P1383" s="11" t="s">
        <v>38</v>
      </c>
      <c r="Q1383" s="20">
        <v>40045.0</v>
      </c>
      <c r="R1383" s="17">
        <f t="shared" si="2"/>
        <v>2.032971155</v>
      </c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>
        <f t="shared" si="8"/>
        <v>1</v>
      </c>
      <c r="AF1383" s="19">
        <f t="shared" si="13"/>
        <v>4</v>
      </c>
      <c r="AG1383" s="9"/>
      <c r="AH1383" s="9"/>
      <c r="AI1383" s="9"/>
    </row>
    <row r="1384" ht="15.0" customHeight="1">
      <c r="A1384" s="11">
        <v>1383.0</v>
      </c>
      <c r="B1384" s="12">
        <f t="shared" si="222"/>
        <v>40043</v>
      </c>
      <c r="C1384" s="13">
        <v>2009.0</v>
      </c>
      <c r="D1384" s="11" t="s">
        <v>32</v>
      </c>
      <c r="E1384" s="11">
        <v>41.0</v>
      </c>
      <c r="F1384" s="21" t="s">
        <v>1733</v>
      </c>
      <c r="G1384" s="15">
        <v>0.02019045140018661</v>
      </c>
      <c r="H1384" s="11" t="s">
        <v>45</v>
      </c>
      <c r="I1384" s="16">
        <v>39.2</v>
      </c>
      <c r="J1384" s="11" t="s">
        <v>1462</v>
      </c>
      <c r="K1384" s="11" t="s">
        <v>61</v>
      </c>
      <c r="L1384" s="11" t="s">
        <v>27</v>
      </c>
      <c r="M1384" s="11" t="s">
        <v>66</v>
      </c>
      <c r="N1384" s="11" t="s">
        <v>170</v>
      </c>
      <c r="O1384" s="11" t="s">
        <v>1734</v>
      </c>
      <c r="P1384" s="11" t="s">
        <v>52</v>
      </c>
      <c r="Q1384" s="20">
        <v>40045.0</v>
      </c>
      <c r="R1384" s="17">
        <f t="shared" si="2"/>
        <v>456.0033639</v>
      </c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>
        <f t="shared" si="8"/>
        <v>1</v>
      </c>
      <c r="AF1384" s="19">
        <f t="shared" si="13"/>
        <v>4</v>
      </c>
      <c r="AG1384" s="9"/>
      <c r="AH1384" s="9"/>
      <c r="AI1384" s="9"/>
    </row>
    <row r="1385" ht="15.0" customHeight="1">
      <c r="A1385" s="11">
        <v>1384.0</v>
      </c>
      <c r="B1385" s="12">
        <f t="shared" si="222"/>
        <v>40043</v>
      </c>
      <c r="C1385" s="13">
        <v>2009.0</v>
      </c>
      <c r="D1385" s="11" t="s">
        <v>32</v>
      </c>
      <c r="E1385" s="11">
        <v>15.0</v>
      </c>
      <c r="F1385" s="21" t="s">
        <v>1187</v>
      </c>
      <c r="G1385" s="15">
        <v>0.03261787677176746</v>
      </c>
      <c r="H1385" s="11" t="s">
        <v>24</v>
      </c>
      <c r="I1385" s="16">
        <v>4.424</v>
      </c>
      <c r="J1385" s="11" t="s">
        <v>1462</v>
      </c>
      <c r="K1385" s="11" t="s">
        <v>61</v>
      </c>
      <c r="L1385" s="11" t="s">
        <v>27</v>
      </c>
      <c r="M1385" s="11" t="s">
        <v>28</v>
      </c>
      <c r="N1385" s="11" t="s">
        <v>62</v>
      </c>
      <c r="O1385" s="11" t="s">
        <v>1188</v>
      </c>
      <c r="P1385" s="11" t="s">
        <v>99</v>
      </c>
      <c r="Q1385" s="20">
        <v>40045.0</v>
      </c>
      <c r="R1385" s="17">
        <f t="shared" si="2"/>
        <v>10.90820082</v>
      </c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>
        <f t="shared" si="8"/>
        <v>1</v>
      </c>
      <c r="AF1385" s="19">
        <f t="shared" si="13"/>
        <v>4</v>
      </c>
      <c r="AG1385" s="9"/>
      <c r="AH1385" s="9"/>
      <c r="AI1385" s="9"/>
    </row>
    <row r="1386" ht="15.0" customHeight="1">
      <c r="A1386" s="11">
        <v>1385.0</v>
      </c>
      <c r="B1386" s="12">
        <f t="shared" si="222"/>
        <v>40043</v>
      </c>
      <c r="C1386" s="13">
        <v>2009.0</v>
      </c>
      <c r="D1386" s="11" t="s">
        <v>32</v>
      </c>
      <c r="E1386" s="11">
        <v>15.0</v>
      </c>
      <c r="F1386" s="21" t="s">
        <v>1219</v>
      </c>
      <c r="G1386" s="15">
        <v>0.08683991683991688</v>
      </c>
      <c r="H1386" s="11" t="s">
        <v>33</v>
      </c>
      <c r="I1386" s="16">
        <v>6.5760000000000005</v>
      </c>
      <c r="J1386" s="11" t="s">
        <v>1462</v>
      </c>
      <c r="K1386" s="11" t="s">
        <v>61</v>
      </c>
      <c r="L1386" s="11" t="s">
        <v>27</v>
      </c>
      <c r="M1386" s="11" t="s">
        <v>28</v>
      </c>
      <c r="N1386" s="11" t="s">
        <v>29</v>
      </c>
      <c r="O1386" s="11" t="s">
        <v>1735</v>
      </c>
      <c r="P1386" s="11" t="s">
        <v>38</v>
      </c>
      <c r="Q1386" s="20">
        <v>40045.0</v>
      </c>
      <c r="R1386" s="17">
        <f t="shared" si="2"/>
        <v>45.77123601</v>
      </c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>
        <f t="shared" si="8"/>
        <v>1</v>
      </c>
      <c r="AF1386" s="19">
        <f t="shared" si="13"/>
        <v>4</v>
      </c>
      <c r="AG1386" s="9"/>
      <c r="AH1386" s="9"/>
      <c r="AI1386" s="9"/>
    </row>
    <row r="1387" ht="15.0" customHeight="1">
      <c r="A1387" s="11">
        <v>1386.0</v>
      </c>
      <c r="B1387" s="12">
        <f t="shared" si="222"/>
        <v>40043</v>
      </c>
      <c r="C1387" s="13">
        <v>2009.0</v>
      </c>
      <c r="D1387" s="11" t="s">
        <v>39</v>
      </c>
      <c r="E1387" s="11">
        <v>50.0</v>
      </c>
      <c r="F1387" s="21" t="s">
        <v>183</v>
      </c>
      <c r="G1387" s="15">
        <v>0.018586744639376186</v>
      </c>
      <c r="H1387" s="11" t="s">
        <v>33</v>
      </c>
      <c r="I1387" s="16">
        <v>10.544</v>
      </c>
      <c r="J1387" s="11" t="s">
        <v>1633</v>
      </c>
      <c r="K1387" s="11" t="s">
        <v>117</v>
      </c>
      <c r="L1387" s="11" t="s">
        <v>48</v>
      </c>
      <c r="M1387" s="11" t="s">
        <v>28</v>
      </c>
      <c r="N1387" s="11" t="s">
        <v>42</v>
      </c>
      <c r="O1387" s="11" t="s">
        <v>185</v>
      </c>
      <c r="P1387" s="11" t="s">
        <v>38</v>
      </c>
      <c r="Q1387" s="20">
        <v>40045.0</v>
      </c>
      <c r="R1387" s="17">
        <f t="shared" si="2"/>
        <v>14.97244062</v>
      </c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>
        <f t="shared" si="8"/>
        <v>4</v>
      </c>
      <c r="AF1387" s="19" t="b">
        <f t="shared" si="13"/>
        <v>0</v>
      </c>
      <c r="AG1387" s="9"/>
      <c r="AH1387" s="9"/>
      <c r="AI1387" s="9"/>
    </row>
    <row r="1388" ht="15.0" customHeight="1">
      <c r="A1388" s="11">
        <v>1387.0</v>
      </c>
      <c r="B1388" s="12">
        <f t="shared" si="222"/>
        <v>40043</v>
      </c>
      <c r="C1388" s="13">
        <v>2009.0</v>
      </c>
      <c r="D1388" s="11" t="s">
        <v>102</v>
      </c>
      <c r="E1388" s="11">
        <v>23.0</v>
      </c>
      <c r="F1388" s="21" t="s">
        <v>486</v>
      </c>
      <c r="G1388" s="15">
        <v>0.065</v>
      </c>
      <c r="H1388" s="11" t="s">
        <v>33</v>
      </c>
      <c r="I1388" s="16">
        <v>1.6320000000000001</v>
      </c>
      <c r="J1388" s="11" t="s">
        <v>1314</v>
      </c>
      <c r="K1388" s="11" t="s">
        <v>47</v>
      </c>
      <c r="L1388" s="11" t="s">
        <v>27</v>
      </c>
      <c r="M1388" s="11" t="s">
        <v>28</v>
      </c>
      <c r="N1388" s="11" t="s">
        <v>56</v>
      </c>
      <c r="O1388" s="11" t="s">
        <v>1340</v>
      </c>
      <c r="P1388" s="11" t="s">
        <v>58</v>
      </c>
      <c r="Q1388" s="20">
        <v>40045.0</v>
      </c>
      <c r="R1388" s="17">
        <f t="shared" si="2"/>
        <v>7.73058</v>
      </c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>
        <f t="shared" si="8"/>
        <v>1</v>
      </c>
      <c r="AF1388" s="19">
        <f t="shared" si="13"/>
        <v>3</v>
      </c>
      <c r="AG1388" s="9"/>
      <c r="AH1388" s="9"/>
      <c r="AI1388" s="9"/>
    </row>
    <row r="1389" ht="15.0" customHeight="1">
      <c r="A1389" s="11">
        <v>1388.0</v>
      </c>
      <c r="B1389" s="12">
        <f t="shared" si="222"/>
        <v>40043</v>
      </c>
      <c r="C1389" s="13">
        <v>2009.0</v>
      </c>
      <c r="D1389" s="11" t="s">
        <v>39</v>
      </c>
      <c r="E1389" s="11">
        <v>5.0</v>
      </c>
      <c r="F1389" s="21" t="s">
        <v>853</v>
      </c>
      <c r="G1389" s="15">
        <v>0.06087562960092993</v>
      </c>
      <c r="H1389" s="11" t="s">
        <v>33</v>
      </c>
      <c r="I1389" s="16">
        <v>2.888</v>
      </c>
      <c r="J1389" s="11" t="s">
        <v>1736</v>
      </c>
      <c r="K1389" s="11" t="s">
        <v>65</v>
      </c>
      <c r="L1389" s="11" t="s">
        <v>27</v>
      </c>
      <c r="M1389" s="11" t="s">
        <v>66</v>
      </c>
      <c r="N1389" s="11" t="s">
        <v>67</v>
      </c>
      <c r="O1389" s="11" t="s">
        <v>854</v>
      </c>
      <c r="P1389" s="11" t="s">
        <v>99</v>
      </c>
      <c r="Q1389" s="20">
        <v>40045.0</v>
      </c>
      <c r="R1389" s="17">
        <f t="shared" si="2"/>
        <v>14.75552211</v>
      </c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>
        <f t="shared" si="8"/>
        <v>1</v>
      </c>
      <c r="AF1389" s="19">
        <f t="shared" si="13"/>
        <v>5</v>
      </c>
      <c r="AG1389" s="9"/>
      <c r="AH1389" s="9"/>
      <c r="AI1389" s="9"/>
    </row>
    <row r="1390" ht="15.0" customHeight="1">
      <c r="A1390" s="11">
        <v>1389.0</v>
      </c>
      <c r="B1390" s="12">
        <f t="shared" si="222"/>
        <v>40043</v>
      </c>
      <c r="C1390" s="13">
        <v>2009.0</v>
      </c>
      <c r="D1390" s="11" t="s">
        <v>102</v>
      </c>
      <c r="E1390" s="11">
        <v>34.0</v>
      </c>
      <c r="F1390" s="21" t="s">
        <v>788</v>
      </c>
      <c r="G1390" s="15">
        <v>0.060669271616070615</v>
      </c>
      <c r="H1390" s="11" t="s">
        <v>33</v>
      </c>
      <c r="I1390" s="16">
        <v>3.9920000000000004</v>
      </c>
      <c r="J1390" s="11" t="s">
        <v>1252</v>
      </c>
      <c r="K1390" s="11" t="s">
        <v>35</v>
      </c>
      <c r="L1390" s="11" t="s">
        <v>27</v>
      </c>
      <c r="M1390" s="11" t="s">
        <v>66</v>
      </c>
      <c r="N1390" s="11" t="s">
        <v>80</v>
      </c>
      <c r="O1390" s="11" t="s">
        <v>789</v>
      </c>
      <c r="P1390" s="11" t="s">
        <v>38</v>
      </c>
      <c r="Q1390" s="20">
        <v>40045.0</v>
      </c>
      <c r="R1390" s="17">
        <f t="shared" si="2"/>
        <v>363.0808376</v>
      </c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>
        <f t="shared" si="8"/>
        <v>1</v>
      </c>
      <c r="AF1390" s="19">
        <f t="shared" si="13"/>
        <v>2</v>
      </c>
      <c r="AG1390" s="9"/>
      <c r="AH1390" s="9"/>
      <c r="AI1390" s="9"/>
    </row>
    <row r="1391" ht="15.0" customHeight="1">
      <c r="A1391" s="11">
        <v>1390.0</v>
      </c>
      <c r="B1391" s="12">
        <f t="shared" ref="B1391:B1395" si="223">DATE(2012,12,31)-1230</f>
        <v>40044</v>
      </c>
      <c r="C1391" s="13">
        <v>2009.0</v>
      </c>
      <c r="D1391" s="11" t="s">
        <v>23</v>
      </c>
      <c r="E1391" s="11">
        <v>29.0</v>
      </c>
      <c r="F1391" s="21" t="s">
        <v>397</v>
      </c>
      <c r="G1391" s="15">
        <v>0.06811171827565281</v>
      </c>
      <c r="H1391" s="11" t="s">
        <v>33</v>
      </c>
      <c r="I1391" s="16">
        <v>1.592</v>
      </c>
      <c r="J1391" s="11" t="s">
        <v>1737</v>
      </c>
      <c r="K1391" s="11" t="s">
        <v>61</v>
      </c>
      <c r="L1391" s="11" t="s">
        <v>27</v>
      </c>
      <c r="M1391" s="11" t="s">
        <v>66</v>
      </c>
      <c r="N1391" s="11" t="s">
        <v>67</v>
      </c>
      <c r="O1391" s="11" t="s">
        <v>502</v>
      </c>
      <c r="P1391" s="11" t="s">
        <v>99</v>
      </c>
      <c r="Q1391" s="20">
        <v>40046.0</v>
      </c>
      <c r="R1391" s="17">
        <f t="shared" si="2"/>
        <v>62.72353647</v>
      </c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>
        <f t="shared" si="8"/>
        <v>1</v>
      </c>
      <c r="AF1391" s="19">
        <f t="shared" si="13"/>
        <v>4</v>
      </c>
      <c r="AG1391" s="9"/>
      <c r="AH1391" s="9"/>
      <c r="AI1391" s="9"/>
    </row>
    <row r="1392" ht="15.0" customHeight="1">
      <c r="A1392" s="11">
        <v>1391.0</v>
      </c>
      <c r="B1392" s="12">
        <f t="shared" si="223"/>
        <v>40044</v>
      </c>
      <c r="C1392" s="13">
        <v>2009.0</v>
      </c>
      <c r="D1392" s="11" t="s">
        <v>23</v>
      </c>
      <c r="E1392" s="11">
        <v>11.0</v>
      </c>
      <c r="F1392" s="21" t="s">
        <v>103</v>
      </c>
      <c r="G1392" s="15">
        <v>0.01906158357771257</v>
      </c>
      <c r="H1392" s="11" t="s">
        <v>33</v>
      </c>
      <c r="I1392" s="16">
        <v>2.0</v>
      </c>
      <c r="J1392" s="11" t="s">
        <v>1737</v>
      </c>
      <c r="K1392" s="11" t="s">
        <v>61</v>
      </c>
      <c r="L1392" s="11" t="s">
        <v>27</v>
      </c>
      <c r="M1392" s="11" t="s">
        <v>28</v>
      </c>
      <c r="N1392" s="11" t="s">
        <v>236</v>
      </c>
      <c r="O1392" s="11" t="s">
        <v>1164</v>
      </c>
      <c r="P1392" s="11" t="s">
        <v>38</v>
      </c>
      <c r="Q1392" s="20">
        <v>40046.0</v>
      </c>
      <c r="R1392" s="17">
        <f t="shared" si="2"/>
        <v>1.275219941</v>
      </c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>
        <f t="shared" si="8"/>
        <v>1</v>
      </c>
      <c r="AF1392" s="19">
        <f t="shared" si="13"/>
        <v>4</v>
      </c>
      <c r="AG1392" s="9"/>
      <c r="AH1392" s="9"/>
      <c r="AI1392" s="9"/>
    </row>
    <row r="1393" ht="15.0" customHeight="1">
      <c r="A1393" s="11">
        <v>1392.0</v>
      </c>
      <c r="B1393" s="12">
        <f t="shared" si="223"/>
        <v>40044</v>
      </c>
      <c r="C1393" s="13">
        <v>2009.0</v>
      </c>
      <c r="D1393" s="11" t="s">
        <v>23</v>
      </c>
      <c r="E1393" s="11">
        <v>43.0</v>
      </c>
      <c r="F1393" s="21" t="s">
        <v>142</v>
      </c>
      <c r="G1393" s="15">
        <v>0.09329028470795413</v>
      </c>
      <c r="H1393" s="11" t="s">
        <v>24</v>
      </c>
      <c r="I1393" s="16">
        <v>0.8800000000000001</v>
      </c>
      <c r="J1393" s="11" t="s">
        <v>1737</v>
      </c>
      <c r="K1393" s="11" t="s">
        <v>61</v>
      </c>
      <c r="L1393" s="11" t="s">
        <v>27</v>
      </c>
      <c r="M1393" s="11" t="s">
        <v>66</v>
      </c>
      <c r="N1393" s="11" t="s">
        <v>80</v>
      </c>
      <c r="O1393" s="11" t="s">
        <v>143</v>
      </c>
      <c r="P1393" s="11" t="s">
        <v>38</v>
      </c>
      <c r="Q1393" s="20">
        <v>40046.0</v>
      </c>
      <c r="R1393" s="17">
        <f t="shared" si="2"/>
        <v>144.094308</v>
      </c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>
        <f t="shared" si="8"/>
        <v>1</v>
      </c>
      <c r="AF1393" s="19">
        <f t="shared" si="13"/>
        <v>4</v>
      </c>
      <c r="AG1393" s="9"/>
      <c r="AH1393" s="9"/>
      <c r="AI1393" s="9"/>
    </row>
    <row r="1394" ht="15.0" customHeight="1">
      <c r="A1394" s="11">
        <v>1393.0</v>
      </c>
      <c r="B1394" s="12">
        <f t="shared" si="223"/>
        <v>40044</v>
      </c>
      <c r="C1394" s="13">
        <v>2009.0</v>
      </c>
      <c r="D1394" s="11" t="s">
        <v>44</v>
      </c>
      <c r="E1394" s="11">
        <v>19.0</v>
      </c>
      <c r="F1394" s="21" t="s">
        <v>178</v>
      </c>
      <c r="G1394" s="15">
        <v>0.012072029566721602</v>
      </c>
      <c r="H1394" s="11" t="s">
        <v>33</v>
      </c>
      <c r="I1394" s="16">
        <v>4.248</v>
      </c>
      <c r="J1394" s="11" t="s">
        <v>681</v>
      </c>
      <c r="K1394" s="11" t="s">
        <v>61</v>
      </c>
      <c r="L1394" s="11" t="s">
        <v>41</v>
      </c>
      <c r="M1394" s="11" t="s">
        <v>66</v>
      </c>
      <c r="N1394" s="11" t="s">
        <v>80</v>
      </c>
      <c r="O1394" s="11" t="s">
        <v>1738</v>
      </c>
      <c r="P1394" s="11" t="s">
        <v>38</v>
      </c>
      <c r="Q1394" s="20">
        <v>40046.0</v>
      </c>
      <c r="R1394" s="17">
        <f t="shared" si="2"/>
        <v>15.1666702</v>
      </c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>
        <f t="shared" si="8"/>
        <v>3</v>
      </c>
      <c r="AF1394" s="19">
        <f t="shared" si="13"/>
        <v>4</v>
      </c>
      <c r="AG1394" s="9"/>
      <c r="AH1394" s="9"/>
      <c r="AI1394" s="9"/>
    </row>
    <row r="1395" ht="15.0" customHeight="1">
      <c r="A1395" s="11">
        <v>1394.0</v>
      </c>
      <c r="B1395" s="12">
        <f t="shared" si="223"/>
        <v>40044</v>
      </c>
      <c r="C1395" s="13">
        <v>2009.0</v>
      </c>
      <c r="D1395" s="11" t="s">
        <v>44</v>
      </c>
      <c r="E1395" s="11">
        <v>19.0</v>
      </c>
      <c r="F1395" s="21" t="s">
        <v>1739</v>
      </c>
      <c r="G1395" s="15">
        <v>0.09431546069755324</v>
      </c>
      <c r="H1395" s="11" t="s">
        <v>33</v>
      </c>
      <c r="I1395" s="16">
        <v>15.991999999999999</v>
      </c>
      <c r="J1395" s="11" t="s">
        <v>550</v>
      </c>
      <c r="K1395" s="11" t="s">
        <v>65</v>
      </c>
      <c r="L1395" s="11" t="s">
        <v>48</v>
      </c>
      <c r="M1395" s="11" t="s">
        <v>28</v>
      </c>
      <c r="N1395" s="11" t="s">
        <v>29</v>
      </c>
      <c r="O1395" s="11" t="s">
        <v>1740</v>
      </c>
      <c r="P1395" s="11" t="s">
        <v>38</v>
      </c>
      <c r="Q1395" s="20">
        <v>40047.0</v>
      </c>
      <c r="R1395" s="17">
        <f t="shared" si="2"/>
        <v>98.4551549</v>
      </c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>
        <f t="shared" si="8"/>
        <v>4</v>
      </c>
      <c r="AF1395" s="19">
        <f t="shared" si="13"/>
        <v>5</v>
      </c>
      <c r="AG1395" s="9"/>
      <c r="AH1395" s="9"/>
      <c r="AI1395" s="9"/>
    </row>
    <row r="1396" ht="15.0" customHeight="1">
      <c r="A1396" s="11">
        <v>1395.0</v>
      </c>
      <c r="B1396" s="12">
        <f t="shared" ref="B1396:B1398" si="224">DATE(2012,12,31)-1229</f>
        <v>40045</v>
      </c>
      <c r="C1396" s="13">
        <v>2009.0</v>
      </c>
      <c r="D1396" s="11" t="s">
        <v>23</v>
      </c>
      <c r="E1396" s="11">
        <v>31.0</v>
      </c>
      <c r="F1396" s="21" t="s">
        <v>245</v>
      </c>
      <c r="G1396" s="15">
        <v>0.04216816499206764</v>
      </c>
      <c r="H1396" s="11" t="s">
        <v>33</v>
      </c>
      <c r="I1396" s="16">
        <v>5.752000000000001</v>
      </c>
      <c r="J1396" s="11" t="s">
        <v>844</v>
      </c>
      <c r="K1396" s="11" t="s">
        <v>117</v>
      </c>
      <c r="L1396" s="11" t="s">
        <v>27</v>
      </c>
      <c r="M1396" s="11" t="s">
        <v>28</v>
      </c>
      <c r="N1396" s="11" t="s">
        <v>42</v>
      </c>
      <c r="O1396" s="11" t="s">
        <v>1030</v>
      </c>
      <c r="P1396" s="11" t="s">
        <v>38</v>
      </c>
      <c r="Q1396" s="20">
        <v>40047.0</v>
      </c>
      <c r="R1396" s="17">
        <f t="shared" si="2"/>
        <v>15.2755021</v>
      </c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>
        <f t="shared" si="8"/>
        <v>1</v>
      </c>
      <c r="AF1396" s="19" t="b">
        <f t="shared" si="13"/>
        <v>0</v>
      </c>
      <c r="AG1396" s="9"/>
      <c r="AH1396" s="9"/>
      <c r="AI1396" s="9"/>
    </row>
    <row r="1397" ht="15.0" customHeight="1">
      <c r="A1397" s="11">
        <v>1396.0</v>
      </c>
      <c r="B1397" s="12">
        <f t="shared" si="224"/>
        <v>40045</v>
      </c>
      <c r="C1397" s="13">
        <v>2009.0</v>
      </c>
      <c r="D1397" s="11" t="s">
        <v>23</v>
      </c>
      <c r="E1397" s="11">
        <v>3.0</v>
      </c>
      <c r="F1397" s="21" t="s">
        <v>372</v>
      </c>
      <c r="G1397" s="15">
        <v>0.05714285714285724</v>
      </c>
      <c r="H1397" s="11" t="s">
        <v>33</v>
      </c>
      <c r="I1397" s="16">
        <v>9.0</v>
      </c>
      <c r="J1397" s="11" t="s">
        <v>844</v>
      </c>
      <c r="K1397" s="11" t="s">
        <v>117</v>
      </c>
      <c r="L1397" s="11" t="s">
        <v>27</v>
      </c>
      <c r="M1397" s="11" t="s">
        <v>28</v>
      </c>
      <c r="N1397" s="11" t="s">
        <v>29</v>
      </c>
      <c r="O1397" s="11" t="s">
        <v>1741</v>
      </c>
      <c r="P1397" s="11" t="s">
        <v>38</v>
      </c>
      <c r="Q1397" s="20">
        <v>40047.0</v>
      </c>
      <c r="R1397" s="17">
        <f t="shared" si="2"/>
        <v>3.205714286</v>
      </c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>
        <f t="shared" si="8"/>
        <v>1</v>
      </c>
      <c r="AF1397" s="19" t="b">
        <f t="shared" si="13"/>
        <v>0</v>
      </c>
      <c r="AG1397" s="9"/>
      <c r="AH1397" s="9"/>
      <c r="AI1397" s="9"/>
    </row>
    <row r="1398" ht="15.0" customHeight="1">
      <c r="A1398" s="11">
        <v>1397.0</v>
      </c>
      <c r="B1398" s="12">
        <f t="shared" si="224"/>
        <v>40045</v>
      </c>
      <c r="C1398" s="13">
        <v>2009.0</v>
      </c>
      <c r="D1398" s="11" t="s">
        <v>23</v>
      </c>
      <c r="E1398" s="11">
        <v>47.0</v>
      </c>
      <c r="F1398" s="21" t="s">
        <v>979</v>
      </c>
      <c r="G1398" s="15">
        <v>0.048215684161367914</v>
      </c>
      <c r="H1398" s="11" t="s">
        <v>45</v>
      </c>
      <c r="I1398" s="16">
        <v>22.928</v>
      </c>
      <c r="J1398" s="11" t="s">
        <v>844</v>
      </c>
      <c r="K1398" s="11" t="s">
        <v>117</v>
      </c>
      <c r="L1398" s="11" t="s">
        <v>27</v>
      </c>
      <c r="M1398" s="11" t="s">
        <v>28</v>
      </c>
      <c r="N1398" s="11" t="s">
        <v>29</v>
      </c>
      <c r="O1398" s="11" t="s">
        <v>1742</v>
      </c>
      <c r="P1398" s="11" t="s">
        <v>52</v>
      </c>
      <c r="Q1398" s="20">
        <v>40047.0</v>
      </c>
      <c r="R1398" s="17">
        <f t="shared" si="2"/>
        <v>510.9863492</v>
      </c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>
        <f t="shared" si="8"/>
        <v>1</v>
      </c>
      <c r="AF1398" s="19" t="b">
        <f t="shared" si="13"/>
        <v>0</v>
      </c>
      <c r="AG1398" s="9"/>
      <c r="AH1398" s="9"/>
      <c r="AI1398" s="9"/>
    </row>
    <row r="1399" ht="15.0" customHeight="1">
      <c r="A1399" s="11">
        <v>1398.0</v>
      </c>
      <c r="B1399" s="12">
        <f t="shared" ref="B1399:B1404" si="225">DATE(2012,12,31)-1228</f>
        <v>40046</v>
      </c>
      <c r="C1399" s="13">
        <v>2009.0</v>
      </c>
      <c r="D1399" s="11" t="s">
        <v>23</v>
      </c>
      <c r="E1399" s="11">
        <v>14.0</v>
      </c>
      <c r="F1399" s="21" t="s">
        <v>616</v>
      </c>
      <c r="G1399" s="15">
        <v>0.06555053551361138</v>
      </c>
      <c r="H1399" s="11" t="s">
        <v>45</v>
      </c>
      <c r="I1399" s="16">
        <v>11.76</v>
      </c>
      <c r="J1399" s="11" t="s">
        <v>488</v>
      </c>
      <c r="K1399" s="11" t="s">
        <v>61</v>
      </c>
      <c r="L1399" s="11" t="s">
        <v>48</v>
      </c>
      <c r="M1399" s="11" t="s">
        <v>66</v>
      </c>
      <c r="N1399" s="11" t="s">
        <v>69</v>
      </c>
      <c r="O1399" s="11" t="s">
        <v>618</v>
      </c>
      <c r="P1399" s="11" t="s">
        <v>52</v>
      </c>
      <c r="Q1399" s="20">
        <v>40047.0</v>
      </c>
      <c r="R1399" s="17">
        <f t="shared" si="2"/>
        <v>1869.590422</v>
      </c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>
        <f t="shared" si="8"/>
        <v>4</v>
      </c>
      <c r="AF1399" s="19">
        <f t="shared" si="13"/>
        <v>4</v>
      </c>
      <c r="AG1399" s="9"/>
      <c r="AH1399" s="9"/>
      <c r="AI1399" s="9"/>
    </row>
    <row r="1400" ht="15.0" customHeight="1">
      <c r="A1400" s="11">
        <v>1399.0</v>
      </c>
      <c r="B1400" s="12">
        <f t="shared" si="225"/>
        <v>40046</v>
      </c>
      <c r="C1400" s="13">
        <v>2009.0</v>
      </c>
      <c r="D1400" s="11" t="s">
        <v>32</v>
      </c>
      <c r="E1400" s="11">
        <v>40.0</v>
      </c>
      <c r="F1400" s="21" t="s">
        <v>1743</v>
      </c>
      <c r="G1400" s="15">
        <v>0.058685195082843346</v>
      </c>
      <c r="H1400" s="11" t="s">
        <v>33</v>
      </c>
      <c r="I1400" s="16">
        <v>4.12</v>
      </c>
      <c r="J1400" s="11" t="s">
        <v>1744</v>
      </c>
      <c r="K1400" s="11" t="s">
        <v>61</v>
      </c>
      <c r="L1400" s="11" t="s">
        <v>36</v>
      </c>
      <c r="M1400" s="11" t="s">
        <v>28</v>
      </c>
      <c r="N1400" s="11" t="s">
        <v>197</v>
      </c>
      <c r="O1400" s="11" t="s">
        <v>1745</v>
      </c>
      <c r="P1400" s="11" t="s">
        <v>38</v>
      </c>
      <c r="Q1400" s="20">
        <v>40048.0</v>
      </c>
      <c r="R1400" s="17">
        <f t="shared" si="2"/>
        <v>10.33563656</v>
      </c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>
        <f t="shared" si="8"/>
        <v>2</v>
      </c>
      <c r="AF1400" s="19">
        <f t="shared" si="13"/>
        <v>4</v>
      </c>
      <c r="AG1400" s="9"/>
      <c r="AH1400" s="9"/>
      <c r="AI1400" s="9"/>
    </row>
    <row r="1401" ht="15.0" customHeight="1">
      <c r="A1401" s="11">
        <v>1400.0</v>
      </c>
      <c r="B1401" s="12">
        <f t="shared" si="225"/>
        <v>40046</v>
      </c>
      <c r="C1401" s="13">
        <v>2009.0</v>
      </c>
      <c r="D1401" s="11" t="s">
        <v>32</v>
      </c>
      <c r="E1401" s="11">
        <v>8.0</v>
      </c>
      <c r="F1401" s="21" t="s">
        <v>1156</v>
      </c>
      <c r="G1401" s="15">
        <v>0.08438540145985397</v>
      </c>
      <c r="H1401" s="11" t="s">
        <v>33</v>
      </c>
      <c r="I1401" s="16">
        <v>7.192</v>
      </c>
      <c r="J1401" s="11" t="s">
        <v>1744</v>
      </c>
      <c r="K1401" s="11" t="s">
        <v>61</v>
      </c>
      <c r="L1401" s="11" t="s">
        <v>36</v>
      </c>
      <c r="M1401" s="11" t="s">
        <v>66</v>
      </c>
      <c r="N1401" s="11" t="s">
        <v>80</v>
      </c>
      <c r="O1401" s="11" t="s">
        <v>1580</v>
      </c>
      <c r="P1401" s="11" t="s">
        <v>38</v>
      </c>
      <c r="Q1401" s="20">
        <v>40048.0</v>
      </c>
      <c r="R1401" s="17">
        <f t="shared" si="2"/>
        <v>105.8523725</v>
      </c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>
        <f t="shared" si="8"/>
        <v>2</v>
      </c>
      <c r="AF1401" s="19">
        <f t="shared" si="13"/>
        <v>4</v>
      </c>
      <c r="AG1401" s="9"/>
      <c r="AH1401" s="9"/>
      <c r="AI1401" s="9"/>
    </row>
    <row r="1402" ht="15.0" customHeight="1">
      <c r="A1402" s="11">
        <v>1401.0</v>
      </c>
      <c r="B1402" s="12">
        <f t="shared" si="225"/>
        <v>40046</v>
      </c>
      <c r="C1402" s="13">
        <v>2009.0</v>
      </c>
      <c r="D1402" s="11" t="s">
        <v>39</v>
      </c>
      <c r="E1402" s="11">
        <v>33.0</v>
      </c>
      <c r="F1402" s="21" t="s">
        <v>1746</v>
      </c>
      <c r="G1402" s="15">
        <v>0.026710764393557435</v>
      </c>
      <c r="H1402" s="11" t="s">
        <v>45</v>
      </c>
      <c r="I1402" s="16">
        <v>33.6</v>
      </c>
      <c r="J1402" s="11" t="s">
        <v>1747</v>
      </c>
      <c r="K1402" s="11" t="s">
        <v>61</v>
      </c>
      <c r="L1402" s="11" t="s">
        <v>36</v>
      </c>
      <c r="M1402" s="11" t="s">
        <v>49</v>
      </c>
      <c r="N1402" s="11" t="s">
        <v>50</v>
      </c>
      <c r="O1402" s="11" t="s">
        <v>1748</v>
      </c>
      <c r="P1402" s="11" t="s">
        <v>52</v>
      </c>
      <c r="Q1402" s="20">
        <v>40048.0</v>
      </c>
      <c r="R1402" s="17">
        <f t="shared" si="2"/>
        <v>89.74816836</v>
      </c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>
        <f t="shared" si="8"/>
        <v>2</v>
      </c>
      <c r="AF1402" s="19">
        <f t="shared" si="13"/>
        <v>4</v>
      </c>
      <c r="AG1402" s="9"/>
      <c r="AH1402" s="9"/>
      <c r="AI1402" s="9"/>
    </row>
    <row r="1403" ht="15.0" customHeight="1">
      <c r="A1403" s="11">
        <v>1402.0</v>
      </c>
      <c r="B1403" s="12">
        <f t="shared" si="225"/>
        <v>40046</v>
      </c>
      <c r="C1403" s="13">
        <v>2009.0</v>
      </c>
      <c r="D1403" s="11" t="s">
        <v>39</v>
      </c>
      <c r="E1403" s="11">
        <v>43.0</v>
      </c>
      <c r="F1403" s="21" t="s">
        <v>377</v>
      </c>
      <c r="G1403" s="15">
        <v>0.01333642046770094</v>
      </c>
      <c r="H1403" s="11" t="s">
        <v>33</v>
      </c>
      <c r="I1403" s="16">
        <v>28.0</v>
      </c>
      <c r="J1403" s="11" t="s">
        <v>1747</v>
      </c>
      <c r="K1403" s="11" t="s">
        <v>61</v>
      </c>
      <c r="L1403" s="11" t="s">
        <v>36</v>
      </c>
      <c r="M1403" s="11" t="s">
        <v>28</v>
      </c>
      <c r="N1403" s="11" t="s">
        <v>29</v>
      </c>
      <c r="O1403" s="11" t="s">
        <v>1749</v>
      </c>
      <c r="P1403" s="11" t="s">
        <v>31</v>
      </c>
      <c r="Q1403" s="20">
        <v>40048.0</v>
      </c>
      <c r="R1403" s="17">
        <f t="shared" si="2"/>
        <v>28.41591109</v>
      </c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>
        <f t="shared" si="8"/>
        <v>2</v>
      </c>
      <c r="AF1403" s="19">
        <f t="shared" si="13"/>
        <v>4</v>
      </c>
      <c r="AG1403" s="9"/>
      <c r="AH1403" s="9"/>
      <c r="AI1403" s="9"/>
    </row>
    <row r="1404" ht="15.0" customHeight="1">
      <c r="A1404" s="11">
        <v>1403.0</v>
      </c>
      <c r="B1404" s="12">
        <f t="shared" si="225"/>
        <v>40046</v>
      </c>
      <c r="C1404" s="13">
        <v>2009.0</v>
      </c>
      <c r="D1404" s="11" t="s">
        <v>32</v>
      </c>
      <c r="E1404" s="11">
        <v>20.0</v>
      </c>
      <c r="F1404" s="21" t="s">
        <v>108</v>
      </c>
      <c r="G1404" s="15">
        <v>0.0836593005046112</v>
      </c>
      <c r="H1404" s="11" t="s">
        <v>33</v>
      </c>
      <c r="I1404" s="16">
        <v>16.968</v>
      </c>
      <c r="J1404" s="11" t="s">
        <v>849</v>
      </c>
      <c r="K1404" s="11" t="s">
        <v>65</v>
      </c>
      <c r="L1404" s="11" t="s">
        <v>48</v>
      </c>
      <c r="M1404" s="11" t="s">
        <v>49</v>
      </c>
      <c r="N1404" s="11" t="s">
        <v>73</v>
      </c>
      <c r="O1404" s="11" t="s">
        <v>109</v>
      </c>
      <c r="P1404" s="11" t="s">
        <v>31</v>
      </c>
      <c r="Q1404" s="20">
        <v>40048.0</v>
      </c>
      <c r="R1404" s="17">
        <f t="shared" si="2"/>
        <v>352.4539559</v>
      </c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>
        <f t="shared" si="8"/>
        <v>4</v>
      </c>
      <c r="AF1404" s="19">
        <f t="shared" si="13"/>
        <v>5</v>
      </c>
      <c r="AG1404" s="9"/>
      <c r="AH1404" s="9"/>
      <c r="AI1404" s="9"/>
    </row>
    <row r="1405" ht="15.0" customHeight="1">
      <c r="A1405" s="11">
        <v>1404.0</v>
      </c>
      <c r="B1405" s="12">
        <f t="shared" ref="B1405:B1412" si="226">DATE(2012,12,31)-1227</f>
        <v>40047</v>
      </c>
      <c r="C1405" s="13">
        <v>2009.0</v>
      </c>
      <c r="D1405" s="11" t="s">
        <v>23</v>
      </c>
      <c r="E1405" s="11">
        <v>1.0</v>
      </c>
      <c r="F1405" s="21" t="s">
        <v>700</v>
      </c>
      <c r="G1405" s="15">
        <v>0.10920634920634917</v>
      </c>
      <c r="H1405" s="11" t="s">
        <v>33</v>
      </c>
      <c r="I1405" s="16">
        <v>1.6239999999999999</v>
      </c>
      <c r="J1405" s="11" t="s">
        <v>1750</v>
      </c>
      <c r="K1405" s="11" t="s">
        <v>65</v>
      </c>
      <c r="L1405" s="11" t="s">
        <v>36</v>
      </c>
      <c r="M1405" s="11" t="s">
        <v>28</v>
      </c>
      <c r="N1405" s="11" t="s">
        <v>56</v>
      </c>
      <c r="O1405" s="11" t="s">
        <v>1751</v>
      </c>
      <c r="P1405" s="11" t="s">
        <v>58</v>
      </c>
      <c r="Q1405" s="20">
        <v>40048.0</v>
      </c>
      <c r="R1405" s="17">
        <f t="shared" si="2"/>
        <v>1.225732063</v>
      </c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>
        <f t="shared" si="8"/>
        <v>2</v>
      </c>
      <c r="AF1405" s="19">
        <f t="shared" si="13"/>
        <v>5</v>
      </c>
      <c r="AG1405" s="9"/>
      <c r="AH1405" s="9"/>
      <c r="AI1405" s="9"/>
    </row>
    <row r="1406" ht="15.0" customHeight="1">
      <c r="A1406" s="11">
        <v>1405.0</v>
      </c>
      <c r="B1406" s="12">
        <f t="shared" si="226"/>
        <v>40047</v>
      </c>
      <c r="C1406" s="13">
        <v>2009.0</v>
      </c>
      <c r="D1406" s="11" t="s">
        <v>23</v>
      </c>
      <c r="E1406" s="11">
        <v>12.0</v>
      </c>
      <c r="F1406" s="21" t="s">
        <v>137</v>
      </c>
      <c r="G1406" s="15">
        <v>0.04061026936026924</v>
      </c>
      <c r="H1406" s="11" t="s">
        <v>45</v>
      </c>
      <c r="I1406" s="16">
        <v>12.808000000000002</v>
      </c>
      <c r="J1406" s="11" t="s">
        <v>1750</v>
      </c>
      <c r="K1406" s="11" t="s">
        <v>65</v>
      </c>
      <c r="L1406" s="11" t="s">
        <v>36</v>
      </c>
      <c r="M1406" s="11" t="s">
        <v>49</v>
      </c>
      <c r="N1406" s="11" t="s">
        <v>85</v>
      </c>
      <c r="O1406" s="11" t="s">
        <v>127</v>
      </c>
      <c r="P1406" s="11" t="s">
        <v>87</v>
      </c>
      <c r="Q1406" s="20">
        <v>40048.0</v>
      </c>
      <c r="R1406" s="17">
        <f t="shared" si="2"/>
        <v>74.05721209</v>
      </c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>
        <f t="shared" si="8"/>
        <v>2</v>
      </c>
      <c r="AF1406" s="19">
        <f t="shared" si="13"/>
        <v>5</v>
      </c>
      <c r="AG1406" s="9"/>
      <c r="AH1406" s="9"/>
      <c r="AI1406" s="9"/>
    </row>
    <row r="1407" ht="15.0" customHeight="1">
      <c r="A1407" s="11">
        <v>1406.0</v>
      </c>
      <c r="B1407" s="12">
        <f t="shared" si="226"/>
        <v>40047</v>
      </c>
      <c r="C1407" s="13">
        <v>2009.0</v>
      </c>
      <c r="D1407" s="11" t="s">
        <v>39</v>
      </c>
      <c r="E1407" s="11">
        <v>43.0</v>
      </c>
      <c r="F1407" s="21" t="s">
        <v>176</v>
      </c>
      <c r="G1407" s="15">
        <v>0.020900024624476758</v>
      </c>
      <c r="H1407" s="11" t="s">
        <v>33</v>
      </c>
      <c r="I1407" s="16">
        <v>3.2</v>
      </c>
      <c r="J1407" s="11" t="s">
        <v>1752</v>
      </c>
      <c r="K1407" s="11" t="s">
        <v>83</v>
      </c>
      <c r="L1407" s="11" t="s">
        <v>41</v>
      </c>
      <c r="M1407" s="11" t="s">
        <v>66</v>
      </c>
      <c r="N1407" s="11" t="s">
        <v>67</v>
      </c>
      <c r="O1407" s="11" t="s">
        <v>445</v>
      </c>
      <c r="P1407" s="11" t="s">
        <v>38</v>
      </c>
      <c r="Q1407" s="20">
        <v>40049.0</v>
      </c>
      <c r="R1407" s="17">
        <f t="shared" si="2"/>
        <v>66.48088833</v>
      </c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>
        <f t="shared" si="8"/>
        <v>3</v>
      </c>
      <c r="AF1407" s="19" t="b">
        <f t="shared" si="13"/>
        <v>0</v>
      </c>
      <c r="AG1407" s="9"/>
      <c r="AH1407" s="9"/>
      <c r="AI1407" s="9"/>
    </row>
    <row r="1408" ht="15.0" customHeight="1">
      <c r="A1408" s="11">
        <v>1407.0</v>
      </c>
      <c r="B1408" s="12">
        <f t="shared" si="226"/>
        <v>40047</v>
      </c>
      <c r="C1408" s="13">
        <v>2009.0</v>
      </c>
      <c r="D1408" s="11" t="s">
        <v>39</v>
      </c>
      <c r="E1408" s="11">
        <v>50.0</v>
      </c>
      <c r="F1408" s="21" t="s">
        <v>997</v>
      </c>
      <c r="G1408" s="15">
        <v>0.031232764783985217</v>
      </c>
      <c r="H1408" s="11" t="s">
        <v>45</v>
      </c>
      <c r="I1408" s="16">
        <v>48.160000000000004</v>
      </c>
      <c r="J1408" s="11" t="s">
        <v>337</v>
      </c>
      <c r="K1408" s="11" t="s">
        <v>117</v>
      </c>
      <c r="L1408" s="11" t="s">
        <v>41</v>
      </c>
      <c r="M1408" s="11" t="s">
        <v>49</v>
      </c>
      <c r="N1408" s="11" t="s">
        <v>50</v>
      </c>
      <c r="O1408" s="11" t="s">
        <v>999</v>
      </c>
      <c r="P1408" s="11" t="s">
        <v>52</v>
      </c>
      <c r="Q1408" s="20">
        <v>40049.0</v>
      </c>
      <c r="R1408" s="17">
        <f t="shared" si="2"/>
        <v>236.9992164</v>
      </c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>
        <f t="shared" si="8"/>
        <v>3</v>
      </c>
      <c r="AF1408" s="19" t="b">
        <f t="shared" si="13"/>
        <v>0</v>
      </c>
      <c r="AG1408" s="9"/>
      <c r="AH1408" s="9"/>
      <c r="AI1408" s="9"/>
    </row>
    <row r="1409" ht="15.0" customHeight="1">
      <c r="A1409" s="11">
        <v>1408.0</v>
      </c>
      <c r="B1409" s="12">
        <f t="shared" si="226"/>
        <v>40047</v>
      </c>
      <c r="C1409" s="13">
        <v>2009.0</v>
      </c>
      <c r="D1409" s="11" t="s">
        <v>23</v>
      </c>
      <c r="E1409" s="11">
        <v>12.0</v>
      </c>
      <c r="F1409" s="21" t="s">
        <v>178</v>
      </c>
      <c r="G1409" s="15">
        <v>0.08499482103809398</v>
      </c>
      <c r="H1409" s="11" t="s">
        <v>33</v>
      </c>
      <c r="I1409" s="16">
        <v>4.248</v>
      </c>
      <c r="J1409" s="11" t="s">
        <v>446</v>
      </c>
      <c r="K1409" s="11" t="s">
        <v>61</v>
      </c>
      <c r="L1409" s="11" t="s">
        <v>48</v>
      </c>
      <c r="M1409" s="11" t="s">
        <v>66</v>
      </c>
      <c r="N1409" s="11" t="s">
        <v>80</v>
      </c>
      <c r="O1409" s="11" t="s">
        <v>1738</v>
      </c>
      <c r="P1409" s="11" t="s">
        <v>38</v>
      </c>
      <c r="Q1409" s="20">
        <v>40049.0</v>
      </c>
      <c r="R1409" s="17">
        <f t="shared" si="2"/>
        <v>67.57496248</v>
      </c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>
        <f t="shared" si="8"/>
        <v>4</v>
      </c>
      <c r="AF1409" s="19">
        <f t="shared" si="13"/>
        <v>4</v>
      </c>
      <c r="AG1409" s="9"/>
      <c r="AH1409" s="9"/>
      <c r="AI1409" s="9"/>
    </row>
    <row r="1410" ht="15.0" customHeight="1">
      <c r="A1410" s="11">
        <v>1409.0</v>
      </c>
      <c r="B1410" s="12">
        <f t="shared" si="226"/>
        <v>40047</v>
      </c>
      <c r="C1410" s="13">
        <v>2009.0</v>
      </c>
      <c r="D1410" s="11" t="s">
        <v>23</v>
      </c>
      <c r="E1410" s="11">
        <v>10.0</v>
      </c>
      <c r="F1410" s="21" t="s">
        <v>486</v>
      </c>
      <c r="G1410" s="15">
        <v>0.030718232044198882</v>
      </c>
      <c r="H1410" s="11" t="s">
        <v>33</v>
      </c>
      <c r="I1410" s="16">
        <v>1.6320000000000001</v>
      </c>
      <c r="J1410" s="11" t="s">
        <v>446</v>
      </c>
      <c r="K1410" s="11" t="s">
        <v>61</v>
      </c>
      <c r="L1410" s="11" t="s">
        <v>48</v>
      </c>
      <c r="M1410" s="11" t="s">
        <v>28</v>
      </c>
      <c r="N1410" s="11" t="s">
        <v>56</v>
      </c>
      <c r="O1410" s="11" t="s">
        <v>1340</v>
      </c>
      <c r="P1410" s="11" t="s">
        <v>58</v>
      </c>
      <c r="Q1410" s="20">
        <v>40049.0</v>
      </c>
      <c r="R1410" s="17">
        <f t="shared" si="2"/>
        <v>1.616761989</v>
      </c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>
        <f t="shared" si="8"/>
        <v>4</v>
      </c>
      <c r="AF1410" s="19">
        <f t="shared" si="13"/>
        <v>4</v>
      </c>
      <c r="AG1410" s="9"/>
      <c r="AH1410" s="9"/>
      <c r="AI1410" s="9"/>
    </row>
    <row r="1411" ht="15.0" customHeight="1">
      <c r="A1411" s="11">
        <v>1410.0</v>
      </c>
      <c r="B1411" s="12">
        <f t="shared" si="226"/>
        <v>40047</v>
      </c>
      <c r="C1411" s="13">
        <v>2009.0</v>
      </c>
      <c r="D1411" s="11" t="s">
        <v>102</v>
      </c>
      <c r="E1411" s="11">
        <v>40.0</v>
      </c>
      <c r="F1411" s="21" t="s">
        <v>853</v>
      </c>
      <c r="G1411" s="15">
        <v>0.06057862420647302</v>
      </c>
      <c r="H1411" s="11" t="s">
        <v>33</v>
      </c>
      <c r="I1411" s="16">
        <v>4.688000000000001</v>
      </c>
      <c r="J1411" s="11" t="s">
        <v>72</v>
      </c>
      <c r="K1411" s="11" t="s">
        <v>61</v>
      </c>
      <c r="L1411" s="11" t="s">
        <v>27</v>
      </c>
      <c r="M1411" s="11" t="s">
        <v>28</v>
      </c>
      <c r="N1411" s="11" t="s">
        <v>56</v>
      </c>
      <c r="O1411" s="11" t="s">
        <v>1034</v>
      </c>
      <c r="P1411" s="11" t="s">
        <v>38</v>
      </c>
      <c r="Q1411" s="20">
        <v>40049.0</v>
      </c>
      <c r="R1411" s="17">
        <f t="shared" si="2"/>
        <v>116.3526366</v>
      </c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>
        <f t="shared" si="8"/>
        <v>1</v>
      </c>
      <c r="AF1411" s="19">
        <f t="shared" si="13"/>
        <v>4</v>
      </c>
      <c r="AG1411" s="9"/>
      <c r="AH1411" s="9"/>
      <c r="AI1411" s="9"/>
    </row>
    <row r="1412" ht="15.0" customHeight="1">
      <c r="A1412" s="11">
        <v>1411.0</v>
      </c>
      <c r="B1412" s="12">
        <f t="shared" si="226"/>
        <v>40047</v>
      </c>
      <c r="C1412" s="13">
        <v>2009.0</v>
      </c>
      <c r="D1412" s="11" t="s">
        <v>32</v>
      </c>
      <c r="E1412" s="11">
        <v>23.0</v>
      </c>
      <c r="F1412" s="21" t="s">
        <v>490</v>
      </c>
      <c r="G1412" s="15">
        <v>0.04082752417360007</v>
      </c>
      <c r="H1412" s="11" t="s">
        <v>33</v>
      </c>
      <c r="I1412" s="16">
        <v>5.432</v>
      </c>
      <c r="J1412" s="11" t="s">
        <v>1257</v>
      </c>
      <c r="K1412" s="11" t="s">
        <v>35</v>
      </c>
      <c r="L1412" s="11" t="s">
        <v>48</v>
      </c>
      <c r="M1412" s="11" t="s">
        <v>28</v>
      </c>
      <c r="N1412" s="11" t="s">
        <v>56</v>
      </c>
      <c r="O1412" s="11" t="s">
        <v>761</v>
      </c>
      <c r="P1412" s="11" t="s">
        <v>38</v>
      </c>
      <c r="Q1412" s="20">
        <v>40049.0</v>
      </c>
      <c r="R1412" s="17">
        <f t="shared" si="2"/>
        <v>52.24420641</v>
      </c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>
        <f t="shared" si="8"/>
        <v>4</v>
      </c>
      <c r="AF1412" s="19">
        <f t="shared" si="13"/>
        <v>2</v>
      </c>
      <c r="AG1412" s="9"/>
      <c r="AH1412" s="9"/>
      <c r="AI1412" s="9"/>
    </row>
    <row r="1413" ht="15.0" customHeight="1">
      <c r="A1413" s="11">
        <v>1412.0</v>
      </c>
      <c r="B1413" s="12">
        <f t="shared" ref="B1413:B1419" si="227">DATE(2012,12,31)-1226</f>
        <v>40048</v>
      </c>
      <c r="C1413" s="13">
        <v>2009.0</v>
      </c>
      <c r="D1413" s="11" t="s">
        <v>102</v>
      </c>
      <c r="E1413" s="11">
        <v>10.0</v>
      </c>
      <c r="F1413" s="21" t="s">
        <v>544</v>
      </c>
      <c r="G1413" s="15">
        <v>0.030124085268851363</v>
      </c>
      <c r="H1413" s="11" t="s">
        <v>45</v>
      </c>
      <c r="I1413" s="16">
        <v>64.16000000000001</v>
      </c>
      <c r="J1413" s="11" t="s">
        <v>1753</v>
      </c>
      <c r="K1413" s="11" t="s">
        <v>65</v>
      </c>
      <c r="L1413" s="11" t="s">
        <v>48</v>
      </c>
      <c r="M1413" s="11" t="s">
        <v>49</v>
      </c>
      <c r="N1413" s="11" t="s">
        <v>85</v>
      </c>
      <c r="O1413" s="11" t="s">
        <v>545</v>
      </c>
      <c r="P1413" s="11" t="s">
        <v>87</v>
      </c>
      <c r="Q1413" s="20">
        <v>40049.0</v>
      </c>
      <c r="R1413" s="17">
        <f t="shared" si="2"/>
        <v>45.9139258</v>
      </c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>
        <f t="shared" si="8"/>
        <v>4</v>
      </c>
      <c r="AF1413" s="19">
        <f t="shared" si="13"/>
        <v>5</v>
      </c>
      <c r="AG1413" s="9"/>
      <c r="AH1413" s="9"/>
      <c r="AI1413" s="9"/>
    </row>
    <row r="1414" ht="15.0" customHeight="1">
      <c r="A1414" s="11">
        <v>1413.0</v>
      </c>
      <c r="B1414" s="12">
        <f t="shared" si="227"/>
        <v>40048</v>
      </c>
      <c r="C1414" s="13">
        <v>2009.0</v>
      </c>
      <c r="D1414" s="11" t="s">
        <v>102</v>
      </c>
      <c r="E1414" s="11">
        <v>31.0</v>
      </c>
      <c r="F1414" s="21" t="s">
        <v>178</v>
      </c>
      <c r="G1414" s="15">
        <v>0.05842828895939653</v>
      </c>
      <c r="H1414" s="11" t="s">
        <v>33</v>
      </c>
      <c r="I1414" s="16">
        <v>4.736</v>
      </c>
      <c r="J1414" s="11" t="s">
        <v>1753</v>
      </c>
      <c r="K1414" s="11" t="s">
        <v>65</v>
      </c>
      <c r="L1414" s="11" t="s">
        <v>48</v>
      </c>
      <c r="M1414" s="11" t="s">
        <v>66</v>
      </c>
      <c r="N1414" s="11" t="s">
        <v>80</v>
      </c>
      <c r="O1414" s="11" t="s">
        <v>1579</v>
      </c>
      <c r="P1414" s="11" t="s">
        <v>38</v>
      </c>
      <c r="Q1414" s="20">
        <v>40049.0</v>
      </c>
      <c r="R1414" s="17">
        <f t="shared" si="2"/>
        <v>119.6398679</v>
      </c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>
        <f t="shared" si="8"/>
        <v>4</v>
      </c>
      <c r="AF1414" s="19">
        <f t="shared" si="13"/>
        <v>5</v>
      </c>
      <c r="AG1414" s="9"/>
      <c r="AH1414" s="9"/>
      <c r="AI1414" s="9"/>
    </row>
    <row r="1415" ht="15.0" customHeight="1">
      <c r="A1415" s="11">
        <v>1414.0</v>
      </c>
      <c r="B1415" s="12">
        <f t="shared" si="227"/>
        <v>40048</v>
      </c>
      <c r="C1415" s="13">
        <v>2009.0</v>
      </c>
      <c r="D1415" s="11" t="s">
        <v>39</v>
      </c>
      <c r="E1415" s="11">
        <v>36.0</v>
      </c>
      <c r="F1415" s="21" t="s">
        <v>147</v>
      </c>
      <c r="G1415" s="15">
        <v>0.06978354978354977</v>
      </c>
      <c r="H1415" s="11" t="s">
        <v>33</v>
      </c>
      <c r="I1415" s="16">
        <v>3.2640000000000002</v>
      </c>
      <c r="J1415" s="11" t="s">
        <v>803</v>
      </c>
      <c r="K1415" s="11" t="s">
        <v>61</v>
      </c>
      <c r="L1415" s="11" t="s">
        <v>48</v>
      </c>
      <c r="M1415" s="11" t="s">
        <v>49</v>
      </c>
      <c r="N1415" s="11" t="s">
        <v>73</v>
      </c>
      <c r="O1415" s="11" t="s">
        <v>458</v>
      </c>
      <c r="P1415" s="11" t="s">
        <v>99</v>
      </c>
      <c r="Q1415" s="20">
        <v>40049.0</v>
      </c>
      <c r="R1415" s="17">
        <f t="shared" si="2"/>
        <v>4.498526753</v>
      </c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>
        <f t="shared" si="8"/>
        <v>4</v>
      </c>
      <c r="AF1415" s="19">
        <f t="shared" si="13"/>
        <v>4</v>
      </c>
      <c r="AG1415" s="9"/>
      <c r="AH1415" s="9"/>
      <c r="AI1415" s="9"/>
    </row>
    <row r="1416" ht="15.0" customHeight="1">
      <c r="A1416" s="11">
        <v>1415.0</v>
      </c>
      <c r="B1416" s="12">
        <f t="shared" si="227"/>
        <v>40048</v>
      </c>
      <c r="C1416" s="13">
        <v>2009.0</v>
      </c>
      <c r="D1416" s="11" t="s">
        <v>39</v>
      </c>
      <c r="E1416" s="11">
        <v>47.0</v>
      </c>
      <c r="F1416" s="21" t="s">
        <v>389</v>
      </c>
      <c r="G1416" s="15">
        <v>0.012583527448458073</v>
      </c>
      <c r="H1416" s="11" t="s">
        <v>45</v>
      </c>
      <c r="I1416" s="16">
        <v>44.912000000000006</v>
      </c>
      <c r="J1416" s="11" t="s">
        <v>803</v>
      </c>
      <c r="K1416" s="11" t="s">
        <v>61</v>
      </c>
      <c r="L1416" s="11" t="s">
        <v>48</v>
      </c>
      <c r="M1416" s="11" t="s">
        <v>66</v>
      </c>
      <c r="N1416" s="11" t="s">
        <v>69</v>
      </c>
      <c r="O1416" s="11" t="s">
        <v>390</v>
      </c>
      <c r="P1416" s="11" t="s">
        <v>87</v>
      </c>
      <c r="Q1416" s="20">
        <v>40049.0</v>
      </c>
      <c r="R1416" s="17">
        <f t="shared" si="2"/>
        <v>71.47710362</v>
      </c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>
        <f t="shared" si="8"/>
        <v>4</v>
      </c>
      <c r="AF1416" s="19">
        <f t="shared" si="13"/>
        <v>4</v>
      </c>
      <c r="AG1416" s="9"/>
      <c r="AH1416" s="9"/>
      <c r="AI1416" s="9"/>
    </row>
    <row r="1417" ht="15.0" customHeight="1">
      <c r="A1417" s="11">
        <v>1416.0</v>
      </c>
      <c r="B1417" s="12">
        <f t="shared" si="227"/>
        <v>40048</v>
      </c>
      <c r="C1417" s="13">
        <v>2009.0</v>
      </c>
      <c r="D1417" s="11" t="s">
        <v>32</v>
      </c>
      <c r="E1417" s="11">
        <v>24.0</v>
      </c>
      <c r="F1417" s="21" t="s">
        <v>1726</v>
      </c>
      <c r="G1417" s="15">
        <v>0.09366076527698446</v>
      </c>
      <c r="H1417" s="11" t="s">
        <v>33</v>
      </c>
      <c r="I1417" s="16">
        <v>55.2</v>
      </c>
      <c r="J1417" s="11" t="s">
        <v>1221</v>
      </c>
      <c r="K1417" s="11" t="s">
        <v>61</v>
      </c>
      <c r="L1417" s="11" t="s">
        <v>41</v>
      </c>
      <c r="M1417" s="11" t="s">
        <v>49</v>
      </c>
      <c r="N1417" s="11" t="s">
        <v>85</v>
      </c>
      <c r="O1417" s="11" t="s">
        <v>1727</v>
      </c>
      <c r="P1417" s="11" t="s">
        <v>31</v>
      </c>
      <c r="Q1417" s="20">
        <v>40049.0</v>
      </c>
      <c r="R1417" s="17">
        <f t="shared" si="2"/>
        <v>475.6468304</v>
      </c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>
        <f t="shared" si="8"/>
        <v>3</v>
      </c>
      <c r="AF1417" s="19">
        <f t="shared" si="13"/>
        <v>4</v>
      </c>
      <c r="AG1417" s="9"/>
      <c r="AH1417" s="9"/>
      <c r="AI1417" s="9"/>
    </row>
    <row r="1418" ht="15.0" customHeight="1">
      <c r="A1418" s="11">
        <v>1417.0</v>
      </c>
      <c r="B1418" s="12">
        <f t="shared" si="227"/>
        <v>40048</v>
      </c>
      <c r="C1418" s="13">
        <v>2009.0</v>
      </c>
      <c r="D1418" s="11" t="s">
        <v>32</v>
      </c>
      <c r="E1418" s="11">
        <v>20.0</v>
      </c>
      <c r="F1418" s="21" t="s">
        <v>126</v>
      </c>
      <c r="G1418" s="15">
        <v>0.0881720430107526</v>
      </c>
      <c r="H1418" s="11" t="s">
        <v>33</v>
      </c>
      <c r="I1418" s="16">
        <v>3.7600000000000002</v>
      </c>
      <c r="J1418" s="11" t="s">
        <v>1221</v>
      </c>
      <c r="K1418" s="11" t="s">
        <v>61</v>
      </c>
      <c r="L1418" s="11" t="s">
        <v>41</v>
      </c>
      <c r="M1418" s="11" t="s">
        <v>28</v>
      </c>
      <c r="N1418" s="11" t="s">
        <v>56</v>
      </c>
      <c r="O1418" s="11" t="s">
        <v>1730</v>
      </c>
      <c r="P1418" s="11" t="s">
        <v>38</v>
      </c>
      <c r="Q1418" s="20">
        <v>40050.0</v>
      </c>
      <c r="R1418" s="17">
        <f t="shared" si="2"/>
        <v>8.972387097</v>
      </c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>
        <f t="shared" si="8"/>
        <v>3</v>
      </c>
      <c r="AF1418" s="19">
        <f t="shared" si="13"/>
        <v>4</v>
      </c>
      <c r="AG1418" s="9"/>
      <c r="AH1418" s="9"/>
      <c r="AI1418" s="9"/>
    </row>
    <row r="1419" ht="15.0" customHeight="1">
      <c r="A1419" s="11">
        <v>1418.0</v>
      </c>
      <c r="B1419" s="12">
        <f t="shared" si="227"/>
        <v>40048</v>
      </c>
      <c r="C1419" s="13">
        <v>2009.0</v>
      </c>
      <c r="D1419" s="11" t="s">
        <v>102</v>
      </c>
      <c r="E1419" s="11">
        <v>16.0</v>
      </c>
      <c r="F1419" s="21" t="s">
        <v>1091</v>
      </c>
      <c r="G1419" s="15">
        <v>0.04847007580516833</v>
      </c>
      <c r="H1419" s="11" t="s">
        <v>24</v>
      </c>
      <c r="I1419" s="16">
        <v>1.592</v>
      </c>
      <c r="J1419" s="11" t="s">
        <v>882</v>
      </c>
      <c r="K1419" s="11" t="s">
        <v>65</v>
      </c>
      <c r="L1419" s="11" t="s">
        <v>48</v>
      </c>
      <c r="M1419" s="11" t="s">
        <v>66</v>
      </c>
      <c r="N1419" s="11" t="s">
        <v>67</v>
      </c>
      <c r="O1419" s="11" t="s">
        <v>1200</v>
      </c>
      <c r="P1419" s="11" t="s">
        <v>99</v>
      </c>
      <c r="Q1419" s="20">
        <v>40050.0</v>
      </c>
      <c r="R1419" s="17">
        <f t="shared" si="2"/>
        <v>27.5306153</v>
      </c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>
        <f t="shared" si="8"/>
        <v>4</v>
      </c>
      <c r="AF1419" s="19">
        <f t="shared" si="13"/>
        <v>5</v>
      </c>
      <c r="AG1419" s="9"/>
      <c r="AH1419" s="9"/>
      <c r="AI1419" s="9"/>
    </row>
    <row r="1420" ht="15.0" customHeight="1">
      <c r="A1420" s="11">
        <v>1419.0</v>
      </c>
      <c r="B1420" s="12">
        <f t="shared" ref="B1420:B1426" si="228">DATE(2012,12,31)-1225</f>
        <v>40049</v>
      </c>
      <c r="C1420" s="13">
        <v>2009.0</v>
      </c>
      <c r="D1420" s="11" t="s">
        <v>23</v>
      </c>
      <c r="E1420" s="11">
        <v>2.0</v>
      </c>
      <c r="F1420" s="21" t="s">
        <v>1710</v>
      </c>
      <c r="G1420" s="15">
        <v>0.08087369420702738</v>
      </c>
      <c r="H1420" s="11" t="s">
        <v>45</v>
      </c>
      <c r="I1420" s="16">
        <v>41.552</v>
      </c>
      <c r="J1420" s="11" t="s">
        <v>548</v>
      </c>
      <c r="K1420" s="11" t="s">
        <v>47</v>
      </c>
      <c r="L1420" s="11" t="s">
        <v>27</v>
      </c>
      <c r="M1420" s="11" t="s">
        <v>49</v>
      </c>
      <c r="N1420" s="11" t="s">
        <v>85</v>
      </c>
      <c r="O1420" s="11" t="s">
        <v>1711</v>
      </c>
      <c r="P1420" s="11" t="s">
        <v>87</v>
      </c>
      <c r="Q1420" s="20">
        <v>40050.0</v>
      </c>
      <c r="R1420" s="17">
        <f t="shared" si="2"/>
        <v>23.48183886</v>
      </c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>
        <f t="shared" si="8"/>
        <v>1</v>
      </c>
      <c r="AF1420" s="19">
        <f t="shared" si="13"/>
        <v>3</v>
      </c>
      <c r="AG1420" s="9"/>
      <c r="AH1420" s="9"/>
      <c r="AI1420" s="9"/>
    </row>
    <row r="1421" ht="15.0" customHeight="1">
      <c r="A1421" s="11">
        <v>1420.0</v>
      </c>
      <c r="B1421" s="12">
        <f t="shared" si="228"/>
        <v>40049</v>
      </c>
      <c r="C1421" s="13">
        <v>2009.0</v>
      </c>
      <c r="D1421" s="11" t="s">
        <v>102</v>
      </c>
      <c r="E1421" s="11">
        <v>35.0</v>
      </c>
      <c r="F1421" s="21" t="s">
        <v>702</v>
      </c>
      <c r="G1421" s="15">
        <v>0.042053982883476004</v>
      </c>
      <c r="H1421" s="11" t="s">
        <v>33</v>
      </c>
      <c r="I1421" s="16">
        <v>5.5120000000000005</v>
      </c>
      <c r="J1421" s="11" t="s">
        <v>1754</v>
      </c>
      <c r="K1421" s="11" t="s">
        <v>35</v>
      </c>
      <c r="L1421" s="11" t="s">
        <v>41</v>
      </c>
      <c r="M1421" s="11" t="s">
        <v>28</v>
      </c>
      <c r="N1421" s="11" t="s">
        <v>197</v>
      </c>
      <c r="O1421" s="11" t="s">
        <v>704</v>
      </c>
      <c r="P1421" s="11" t="s">
        <v>38</v>
      </c>
      <c r="Q1421" s="20">
        <v>40050.0</v>
      </c>
      <c r="R1421" s="17">
        <f t="shared" si="2"/>
        <v>6.119359157</v>
      </c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>
        <f t="shared" si="8"/>
        <v>3</v>
      </c>
      <c r="AF1421" s="19">
        <f t="shared" si="13"/>
        <v>2</v>
      </c>
      <c r="AG1421" s="9"/>
      <c r="AH1421" s="9"/>
      <c r="AI1421" s="9"/>
    </row>
    <row r="1422" ht="15.0" customHeight="1">
      <c r="A1422" s="11">
        <v>1421.0</v>
      </c>
      <c r="B1422" s="12">
        <f t="shared" si="228"/>
        <v>40049</v>
      </c>
      <c r="C1422" s="13">
        <v>2009.0</v>
      </c>
      <c r="D1422" s="11" t="s">
        <v>102</v>
      </c>
      <c r="E1422" s="11">
        <v>14.0</v>
      </c>
      <c r="F1422" s="21" t="s">
        <v>619</v>
      </c>
      <c r="G1422" s="15">
        <v>0.07082584510055624</v>
      </c>
      <c r="H1422" s="11" t="s">
        <v>33</v>
      </c>
      <c r="I1422" s="16">
        <v>15.991999999999999</v>
      </c>
      <c r="J1422" s="11" t="s">
        <v>1754</v>
      </c>
      <c r="K1422" s="11" t="s">
        <v>35</v>
      </c>
      <c r="L1422" s="11" t="s">
        <v>41</v>
      </c>
      <c r="M1422" s="11" t="s">
        <v>28</v>
      </c>
      <c r="N1422" s="11" t="s">
        <v>236</v>
      </c>
      <c r="O1422" s="11" t="s">
        <v>1755</v>
      </c>
      <c r="P1422" s="11" t="s">
        <v>38</v>
      </c>
      <c r="Q1422" s="20">
        <v>40051.0</v>
      </c>
      <c r="R1422" s="17">
        <f t="shared" si="2"/>
        <v>61.51876245</v>
      </c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>
        <f t="shared" si="8"/>
        <v>3</v>
      </c>
      <c r="AF1422" s="19">
        <f t="shared" si="13"/>
        <v>2</v>
      </c>
      <c r="AG1422" s="9"/>
      <c r="AH1422" s="9"/>
      <c r="AI1422" s="9"/>
    </row>
    <row r="1423" ht="15.0" customHeight="1">
      <c r="A1423" s="11">
        <v>1422.0</v>
      </c>
      <c r="B1423" s="12">
        <f t="shared" si="228"/>
        <v>40049</v>
      </c>
      <c r="C1423" s="13">
        <v>2009.0</v>
      </c>
      <c r="D1423" s="11" t="s">
        <v>23</v>
      </c>
      <c r="E1423" s="11">
        <v>27.0</v>
      </c>
      <c r="F1423" s="21" t="s">
        <v>93</v>
      </c>
      <c r="G1423" s="15">
        <v>0.03908424908424922</v>
      </c>
      <c r="H1423" s="11" t="s">
        <v>33</v>
      </c>
      <c r="I1423" s="16">
        <v>4.664000000000001</v>
      </c>
      <c r="J1423" s="11" t="s">
        <v>1756</v>
      </c>
      <c r="K1423" s="11" t="s">
        <v>117</v>
      </c>
      <c r="L1423" s="11" t="s">
        <v>48</v>
      </c>
      <c r="M1423" s="11" t="s">
        <v>28</v>
      </c>
      <c r="N1423" s="11" t="s">
        <v>56</v>
      </c>
      <c r="O1423" s="11" t="s">
        <v>95</v>
      </c>
      <c r="P1423" s="11" t="s">
        <v>58</v>
      </c>
      <c r="Q1423" s="20">
        <v>40051.0</v>
      </c>
      <c r="R1423" s="17">
        <f t="shared" si="2"/>
        <v>8.20237685</v>
      </c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>
        <f t="shared" si="8"/>
        <v>4</v>
      </c>
      <c r="AF1423" s="19" t="b">
        <f t="shared" si="13"/>
        <v>0</v>
      </c>
      <c r="AG1423" s="9"/>
      <c r="AH1423" s="9"/>
      <c r="AI1423" s="9"/>
    </row>
    <row r="1424" ht="15.0" customHeight="1">
      <c r="A1424" s="11">
        <v>1423.0</v>
      </c>
      <c r="B1424" s="12">
        <f t="shared" si="228"/>
        <v>40049</v>
      </c>
      <c r="C1424" s="13">
        <v>2009.0</v>
      </c>
      <c r="D1424" s="11" t="s">
        <v>32</v>
      </c>
      <c r="E1424" s="11">
        <v>4.0</v>
      </c>
      <c r="F1424" s="21" t="s">
        <v>476</v>
      </c>
      <c r="G1424" s="15">
        <v>0.05791566842357446</v>
      </c>
      <c r="H1424" s="11" t="s">
        <v>45</v>
      </c>
      <c r="I1424" s="16">
        <v>68.504</v>
      </c>
      <c r="J1424" s="11" t="s">
        <v>763</v>
      </c>
      <c r="K1424" s="11" t="s">
        <v>65</v>
      </c>
      <c r="L1424" s="11" t="s">
        <v>27</v>
      </c>
      <c r="M1424" s="11" t="s">
        <v>49</v>
      </c>
      <c r="N1424" s="11" t="s">
        <v>85</v>
      </c>
      <c r="O1424" s="11" t="s">
        <v>477</v>
      </c>
      <c r="P1424" s="11" t="s">
        <v>87</v>
      </c>
      <c r="Q1424" s="20">
        <v>40051.0</v>
      </c>
      <c r="R1424" s="17">
        <f t="shared" si="2"/>
        <v>91.09578653</v>
      </c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>
        <f t="shared" si="8"/>
        <v>1</v>
      </c>
      <c r="AF1424" s="19">
        <f t="shared" si="13"/>
        <v>5</v>
      </c>
      <c r="AG1424" s="9"/>
      <c r="AH1424" s="9"/>
      <c r="AI1424" s="9"/>
    </row>
    <row r="1425" ht="15.0" customHeight="1">
      <c r="A1425" s="11">
        <v>1424.0</v>
      </c>
      <c r="B1425" s="12">
        <f t="shared" si="228"/>
        <v>40049</v>
      </c>
      <c r="C1425" s="13">
        <v>2009.0</v>
      </c>
      <c r="D1425" s="11" t="s">
        <v>32</v>
      </c>
      <c r="E1425" s="11">
        <v>12.0</v>
      </c>
      <c r="F1425" s="21" t="s">
        <v>569</v>
      </c>
      <c r="G1425" s="15">
        <v>0.03496563025388909</v>
      </c>
      <c r="H1425" s="11" t="s">
        <v>33</v>
      </c>
      <c r="I1425" s="16">
        <v>7.192</v>
      </c>
      <c r="J1425" s="11" t="s">
        <v>763</v>
      </c>
      <c r="K1425" s="11" t="s">
        <v>65</v>
      </c>
      <c r="L1425" s="11" t="s">
        <v>27</v>
      </c>
      <c r="M1425" s="11" t="s">
        <v>66</v>
      </c>
      <c r="N1425" s="11" t="s">
        <v>80</v>
      </c>
      <c r="O1425" s="11" t="s">
        <v>755</v>
      </c>
      <c r="P1425" s="11" t="s">
        <v>38</v>
      </c>
      <c r="Q1425" s="20">
        <v>40051.0</v>
      </c>
      <c r="R1425" s="17">
        <f t="shared" si="2"/>
        <v>82.44867641</v>
      </c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>
        <f t="shared" si="8"/>
        <v>1</v>
      </c>
      <c r="AF1425" s="19">
        <f t="shared" si="13"/>
        <v>5</v>
      </c>
      <c r="AG1425" s="9"/>
      <c r="AH1425" s="9"/>
      <c r="AI1425" s="9"/>
    </row>
    <row r="1426" ht="15.0" customHeight="1">
      <c r="A1426" s="11">
        <v>1425.0</v>
      </c>
      <c r="B1426" s="12">
        <f t="shared" si="228"/>
        <v>40049</v>
      </c>
      <c r="C1426" s="13">
        <v>2009.0</v>
      </c>
      <c r="D1426" s="11" t="s">
        <v>102</v>
      </c>
      <c r="E1426" s="11">
        <v>7.0</v>
      </c>
      <c r="F1426" s="21" t="s">
        <v>280</v>
      </c>
      <c r="G1426" s="15">
        <v>0.013804284887087355</v>
      </c>
      <c r="H1426" s="11" t="s">
        <v>33</v>
      </c>
      <c r="I1426" s="16">
        <v>4.632000000000001</v>
      </c>
      <c r="J1426" s="11" t="s">
        <v>300</v>
      </c>
      <c r="K1426" s="11" t="s">
        <v>35</v>
      </c>
      <c r="L1426" s="11" t="s">
        <v>36</v>
      </c>
      <c r="M1426" s="11" t="s">
        <v>28</v>
      </c>
      <c r="N1426" s="11" t="s">
        <v>56</v>
      </c>
      <c r="O1426" s="11" t="s">
        <v>1430</v>
      </c>
      <c r="P1426" s="11" t="s">
        <v>38</v>
      </c>
      <c r="Q1426" s="20">
        <v>40051.0</v>
      </c>
      <c r="R1426" s="17">
        <f t="shared" si="2"/>
        <v>4.70218117</v>
      </c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>
        <f t="shared" si="8"/>
        <v>2</v>
      </c>
      <c r="AF1426" s="19">
        <f t="shared" si="13"/>
        <v>2</v>
      </c>
      <c r="AG1426" s="9"/>
      <c r="AH1426" s="9"/>
      <c r="AI1426" s="9"/>
    </row>
    <row r="1427" ht="15.0" customHeight="1">
      <c r="A1427" s="11">
        <v>1426.0</v>
      </c>
      <c r="B1427" s="12">
        <f t="shared" ref="B1427:B1430" si="229">DATE(2012,12,31)-1224</f>
        <v>40050</v>
      </c>
      <c r="C1427" s="13">
        <v>2009.0</v>
      </c>
      <c r="D1427" s="11" t="s">
        <v>102</v>
      </c>
      <c r="E1427" s="11">
        <v>14.0</v>
      </c>
      <c r="F1427" s="21" t="s">
        <v>210</v>
      </c>
      <c r="G1427" s="15">
        <v>0.07070707070707082</v>
      </c>
      <c r="H1427" s="11" t="s">
        <v>33</v>
      </c>
      <c r="I1427" s="16">
        <v>0.4</v>
      </c>
      <c r="J1427" s="11" t="s">
        <v>479</v>
      </c>
      <c r="K1427" s="11" t="s">
        <v>35</v>
      </c>
      <c r="L1427" s="11" t="s">
        <v>48</v>
      </c>
      <c r="M1427" s="11" t="s">
        <v>28</v>
      </c>
      <c r="N1427" s="11" t="s">
        <v>188</v>
      </c>
      <c r="O1427" s="11" t="s">
        <v>1356</v>
      </c>
      <c r="P1427" s="11" t="s">
        <v>38</v>
      </c>
      <c r="Q1427" s="20">
        <v>40051.0</v>
      </c>
      <c r="R1427" s="17">
        <f t="shared" si="2"/>
        <v>2.602020202</v>
      </c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>
        <f t="shared" si="8"/>
        <v>4</v>
      </c>
      <c r="AF1427" s="19">
        <f t="shared" si="13"/>
        <v>2</v>
      </c>
      <c r="AG1427" s="9"/>
      <c r="AH1427" s="9"/>
      <c r="AI1427" s="9"/>
    </row>
    <row r="1428" ht="15.0" customHeight="1">
      <c r="A1428" s="11">
        <v>1427.0</v>
      </c>
      <c r="B1428" s="12">
        <f t="shared" si="229"/>
        <v>40050</v>
      </c>
      <c r="C1428" s="13">
        <v>2009.0</v>
      </c>
      <c r="D1428" s="11" t="s">
        <v>32</v>
      </c>
      <c r="E1428" s="11">
        <v>47.0</v>
      </c>
      <c r="F1428" s="21" t="s">
        <v>1757</v>
      </c>
      <c r="G1428" s="15">
        <v>0.04883663746734306</v>
      </c>
      <c r="H1428" s="11" t="s">
        <v>33</v>
      </c>
      <c r="I1428" s="16">
        <v>12.888</v>
      </c>
      <c r="J1428" s="11" t="s">
        <v>897</v>
      </c>
      <c r="K1428" s="11" t="s">
        <v>26</v>
      </c>
      <c r="L1428" s="11" t="s">
        <v>41</v>
      </c>
      <c r="M1428" s="11" t="s">
        <v>28</v>
      </c>
      <c r="N1428" s="11" t="s">
        <v>42</v>
      </c>
      <c r="O1428" s="11" t="s">
        <v>1758</v>
      </c>
      <c r="P1428" s="11" t="s">
        <v>38</v>
      </c>
      <c r="Q1428" s="20">
        <v>40052.0</v>
      </c>
      <c r="R1428" s="17">
        <f t="shared" si="2"/>
        <v>120.9042773</v>
      </c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>
        <f t="shared" si="8"/>
        <v>3</v>
      </c>
      <c r="AF1428" s="19">
        <f t="shared" si="13"/>
        <v>1</v>
      </c>
      <c r="AG1428" s="9"/>
      <c r="AH1428" s="9"/>
      <c r="AI1428" s="9"/>
    </row>
    <row r="1429" ht="15.0" customHeight="1">
      <c r="A1429" s="11">
        <v>1428.0</v>
      </c>
      <c r="B1429" s="12">
        <f t="shared" si="229"/>
        <v>40050</v>
      </c>
      <c r="C1429" s="13">
        <v>2009.0</v>
      </c>
      <c r="D1429" s="11" t="s">
        <v>32</v>
      </c>
      <c r="E1429" s="11">
        <v>10.0</v>
      </c>
      <c r="F1429" s="21" t="s">
        <v>596</v>
      </c>
      <c r="G1429" s="15">
        <v>0.09840233236151606</v>
      </c>
      <c r="H1429" s="11" t="s">
        <v>33</v>
      </c>
      <c r="I1429" s="16">
        <v>3.6240000000000006</v>
      </c>
      <c r="J1429" s="11" t="s">
        <v>897</v>
      </c>
      <c r="K1429" s="11" t="s">
        <v>26</v>
      </c>
      <c r="L1429" s="11" t="s">
        <v>41</v>
      </c>
      <c r="M1429" s="11" t="s">
        <v>28</v>
      </c>
      <c r="N1429" s="11" t="s">
        <v>29</v>
      </c>
      <c r="O1429" s="11" t="s">
        <v>946</v>
      </c>
      <c r="P1429" s="11" t="s">
        <v>38</v>
      </c>
      <c r="Q1429" s="20">
        <v>40052.0</v>
      </c>
      <c r="R1429" s="17">
        <f t="shared" si="2"/>
        <v>15.21536224</v>
      </c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>
        <f t="shared" si="8"/>
        <v>3</v>
      </c>
      <c r="AF1429" s="19">
        <f t="shared" si="13"/>
        <v>1</v>
      </c>
      <c r="AG1429" s="9"/>
      <c r="AH1429" s="9"/>
      <c r="AI1429" s="9"/>
    </row>
    <row r="1430" ht="15.0" customHeight="1">
      <c r="A1430" s="11">
        <v>1429.0</v>
      </c>
      <c r="B1430" s="12">
        <f t="shared" si="229"/>
        <v>40050</v>
      </c>
      <c r="C1430" s="13">
        <v>2009.0</v>
      </c>
      <c r="D1430" s="11" t="s">
        <v>32</v>
      </c>
      <c r="E1430" s="11">
        <v>46.0</v>
      </c>
      <c r="F1430" s="21" t="s">
        <v>1047</v>
      </c>
      <c r="G1430" s="15">
        <v>0.05044553064778921</v>
      </c>
      <c r="H1430" s="11" t="s">
        <v>24</v>
      </c>
      <c r="I1430" s="16">
        <v>11.112000000000002</v>
      </c>
      <c r="J1430" s="11" t="s">
        <v>897</v>
      </c>
      <c r="K1430" s="11" t="s">
        <v>26</v>
      </c>
      <c r="L1430" s="11" t="s">
        <v>41</v>
      </c>
      <c r="M1430" s="11" t="s">
        <v>28</v>
      </c>
      <c r="N1430" s="11" t="s">
        <v>62</v>
      </c>
      <c r="O1430" s="11" t="s">
        <v>1049</v>
      </c>
      <c r="P1430" s="11" t="s">
        <v>58</v>
      </c>
      <c r="Q1430" s="20">
        <v>40052.0</v>
      </c>
      <c r="R1430" s="17">
        <f t="shared" si="2"/>
        <v>85.25859669</v>
      </c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>
        <f t="shared" si="8"/>
        <v>3</v>
      </c>
      <c r="AF1430" s="19">
        <f t="shared" si="13"/>
        <v>1</v>
      </c>
      <c r="AG1430" s="9"/>
      <c r="AH1430" s="9"/>
      <c r="AI1430" s="9"/>
    </row>
    <row r="1431" ht="15.0" customHeight="1">
      <c r="A1431" s="11">
        <v>1430.0</v>
      </c>
      <c r="B1431" s="12">
        <f t="shared" ref="B1431:B1434" si="230">DATE(2012,12,31)-1223</f>
        <v>40051</v>
      </c>
      <c r="C1431" s="13">
        <v>2009.0</v>
      </c>
      <c r="D1431" s="11" t="s">
        <v>44</v>
      </c>
      <c r="E1431" s="11">
        <v>26.0</v>
      </c>
      <c r="F1431" s="21" t="s">
        <v>158</v>
      </c>
      <c r="G1431" s="15">
        <v>0.05524653739612177</v>
      </c>
      <c r="H1431" s="11" t="s">
        <v>24</v>
      </c>
      <c r="I1431" s="16">
        <v>4.128</v>
      </c>
      <c r="J1431" s="11" t="s">
        <v>1386</v>
      </c>
      <c r="K1431" s="11" t="s">
        <v>83</v>
      </c>
      <c r="L1431" s="11" t="s">
        <v>48</v>
      </c>
      <c r="M1431" s="11" t="s">
        <v>28</v>
      </c>
      <c r="N1431" s="11" t="s">
        <v>56</v>
      </c>
      <c r="O1431" s="11" t="s">
        <v>1759</v>
      </c>
      <c r="P1431" s="11" t="s">
        <v>38</v>
      </c>
      <c r="Q1431" s="20">
        <v>40052.0</v>
      </c>
      <c r="R1431" s="17">
        <f t="shared" si="2"/>
        <v>9.421081529</v>
      </c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>
        <f t="shared" si="8"/>
        <v>4</v>
      </c>
      <c r="AF1431" s="19" t="b">
        <f t="shared" si="13"/>
        <v>0</v>
      </c>
      <c r="AG1431" s="9"/>
      <c r="AH1431" s="9"/>
      <c r="AI1431" s="9"/>
    </row>
    <row r="1432" ht="15.0" customHeight="1">
      <c r="A1432" s="11">
        <v>1431.0</v>
      </c>
      <c r="B1432" s="12">
        <f t="shared" si="230"/>
        <v>40051</v>
      </c>
      <c r="C1432" s="13">
        <v>2009.0</v>
      </c>
      <c r="D1432" s="11" t="s">
        <v>39</v>
      </c>
      <c r="E1432" s="11">
        <v>1.0</v>
      </c>
      <c r="F1432" s="21" t="s">
        <v>1139</v>
      </c>
      <c r="G1432" s="15">
        <v>0.08610418195157753</v>
      </c>
      <c r="H1432" s="11" t="s">
        <v>45</v>
      </c>
      <c r="I1432" s="16">
        <v>22.528000000000002</v>
      </c>
      <c r="J1432" s="11" t="s">
        <v>977</v>
      </c>
      <c r="K1432" s="11" t="s">
        <v>83</v>
      </c>
      <c r="L1432" s="11" t="s">
        <v>48</v>
      </c>
      <c r="M1432" s="11" t="s">
        <v>49</v>
      </c>
      <c r="N1432" s="11" t="s">
        <v>50</v>
      </c>
      <c r="O1432" s="11" t="s">
        <v>1140</v>
      </c>
      <c r="P1432" s="11" t="s">
        <v>52</v>
      </c>
      <c r="Q1432" s="20">
        <v>40052.0</v>
      </c>
      <c r="R1432" s="17">
        <f t="shared" si="2"/>
        <v>21.45096264</v>
      </c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>
        <f t="shared" si="8"/>
        <v>4</v>
      </c>
      <c r="AF1432" s="19" t="b">
        <f t="shared" si="13"/>
        <v>0</v>
      </c>
      <c r="AG1432" s="9"/>
      <c r="AH1432" s="9"/>
      <c r="AI1432" s="9"/>
    </row>
    <row r="1433" ht="15.0" customHeight="1">
      <c r="A1433" s="11">
        <v>1432.0</v>
      </c>
      <c r="B1433" s="12">
        <f t="shared" si="230"/>
        <v>40051</v>
      </c>
      <c r="C1433" s="13">
        <v>2009.0</v>
      </c>
      <c r="D1433" s="11" t="s">
        <v>39</v>
      </c>
      <c r="E1433" s="11">
        <v>45.0</v>
      </c>
      <c r="F1433" s="21" t="s">
        <v>122</v>
      </c>
      <c r="G1433" s="15">
        <v>0.08726529854211182</v>
      </c>
      <c r="H1433" s="11" t="s">
        <v>45</v>
      </c>
      <c r="I1433" s="16">
        <v>42.42400000000001</v>
      </c>
      <c r="J1433" s="11" t="s">
        <v>977</v>
      </c>
      <c r="K1433" s="11" t="s">
        <v>83</v>
      </c>
      <c r="L1433" s="11" t="s">
        <v>48</v>
      </c>
      <c r="M1433" s="11" t="s">
        <v>28</v>
      </c>
      <c r="N1433" s="11" t="s">
        <v>29</v>
      </c>
      <c r="O1433" s="11" t="s">
        <v>725</v>
      </c>
      <c r="P1433" s="11" t="s">
        <v>52</v>
      </c>
      <c r="Q1433" s="20">
        <v>40052.0</v>
      </c>
      <c r="R1433" s="17">
        <f t="shared" si="2"/>
        <v>85.7751563</v>
      </c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>
        <f t="shared" si="8"/>
        <v>4</v>
      </c>
      <c r="AF1433" s="19" t="b">
        <f t="shared" si="13"/>
        <v>0</v>
      </c>
      <c r="AG1433" s="9"/>
      <c r="AH1433" s="9"/>
      <c r="AI1433" s="9"/>
    </row>
    <row r="1434" ht="15.0" customHeight="1">
      <c r="A1434" s="11">
        <v>1433.0</v>
      </c>
      <c r="B1434" s="12">
        <f t="shared" si="230"/>
        <v>40051</v>
      </c>
      <c r="C1434" s="13">
        <v>2009.0</v>
      </c>
      <c r="D1434" s="11" t="s">
        <v>32</v>
      </c>
      <c r="E1434" s="11">
        <v>2.0</v>
      </c>
      <c r="F1434" s="21" t="s">
        <v>1233</v>
      </c>
      <c r="G1434" s="15">
        <v>0.07666556836902798</v>
      </c>
      <c r="H1434" s="11" t="s">
        <v>33</v>
      </c>
      <c r="I1434" s="16">
        <v>9.096</v>
      </c>
      <c r="J1434" s="11" t="s">
        <v>863</v>
      </c>
      <c r="K1434" s="11" t="s">
        <v>117</v>
      </c>
      <c r="L1434" s="11" t="s">
        <v>48</v>
      </c>
      <c r="M1434" s="11" t="s">
        <v>28</v>
      </c>
      <c r="N1434" s="11" t="s">
        <v>29</v>
      </c>
      <c r="O1434" s="11" t="s">
        <v>1234</v>
      </c>
      <c r="P1434" s="11" t="s">
        <v>38</v>
      </c>
      <c r="Q1434" s="20">
        <v>40053.0</v>
      </c>
      <c r="R1434" s="17">
        <f t="shared" si="2"/>
        <v>64.45243667</v>
      </c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>
        <f t="shared" si="8"/>
        <v>4</v>
      </c>
      <c r="AF1434" s="19" t="b">
        <f t="shared" si="13"/>
        <v>0</v>
      </c>
      <c r="AG1434" s="9"/>
      <c r="AH1434" s="9"/>
      <c r="AI1434" s="9"/>
    </row>
    <row r="1435" ht="15.0" customHeight="1">
      <c r="A1435" s="11">
        <v>1434.0</v>
      </c>
      <c r="B1435" s="12">
        <f t="shared" ref="B1435:B1443" si="231">DATE(2012,12,31)-1222</f>
        <v>40052</v>
      </c>
      <c r="C1435" s="13">
        <v>2009.0</v>
      </c>
      <c r="D1435" s="11" t="s">
        <v>44</v>
      </c>
      <c r="E1435" s="11">
        <v>31.0</v>
      </c>
      <c r="F1435" s="21" t="s">
        <v>1760</v>
      </c>
      <c r="G1435" s="15">
        <v>0.03986961245925403</v>
      </c>
      <c r="H1435" s="11" t="s">
        <v>33</v>
      </c>
      <c r="I1435" s="16">
        <v>1.592</v>
      </c>
      <c r="J1435" s="11" t="s">
        <v>1761</v>
      </c>
      <c r="K1435" s="11" t="s">
        <v>35</v>
      </c>
      <c r="L1435" s="11" t="s">
        <v>41</v>
      </c>
      <c r="M1435" s="11" t="s">
        <v>66</v>
      </c>
      <c r="N1435" s="11" t="s">
        <v>67</v>
      </c>
      <c r="O1435" s="11" t="s">
        <v>1762</v>
      </c>
      <c r="P1435" s="11" t="s">
        <v>99</v>
      </c>
      <c r="Q1435" s="20">
        <v>40053.0</v>
      </c>
      <c r="R1435" s="17">
        <f t="shared" si="2"/>
        <v>10.56911531</v>
      </c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>
        <f t="shared" si="8"/>
        <v>3</v>
      </c>
      <c r="AF1435" s="19">
        <f t="shared" si="13"/>
        <v>2</v>
      </c>
      <c r="AG1435" s="9"/>
      <c r="AH1435" s="9"/>
      <c r="AI1435" s="9"/>
    </row>
    <row r="1436" ht="15.0" customHeight="1">
      <c r="A1436" s="11">
        <v>1435.0</v>
      </c>
      <c r="B1436" s="12">
        <f t="shared" si="231"/>
        <v>40052</v>
      </c>
      <c r="C1436" s="13">
        <v>2009.0</v>
      </c>
      <c r="D1436" s="11" t="s">
        <v>44</v>
      </c>
      <c r="E1436" s="11">
        <v>12.0</v>
      </c>
      <c r="F1436" s="21" t="s">
        <v>183</v>
      </c>
      <c r="G1436" s="15">
        <v>0.10424570912375783</v>
      </c>
      <c r="H1436" s="11" t="s">
        <v>33</v>
      </c>
      <c r="I1436" s="16">
        <v>7.5200000000000005</v>
      </c>
      <c r="J1436" s="11" t="s">
        <v>1761</v>
      </c>
      <c r="K1436" s="11" t="s">
        <v>35</v>
      </c>
      <c r="L1436" s="11" t="s">
        <v>41</v>
      </c>
      <c r="M1436" s="11" t="s">
        <v>66</v>
      </c>
      <c r="N1436" s="11" t="s">
        <v>69</v>
      </c>
      <c r="O1436" s="11" t="s">
        <v>381</v>
      </c>
      <c r="P1436" s="11" t="s">
        <v>38</v>
      </c>
      <c r="Q1436" s="20">
        <v>40053.0</v>
      </c>
      <c r="R1436" s="17">
        <f t="shared" si="2"/>
        <v>20.67400903</v>
      </c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>
        <f t="shared" si="8"/>
        <v>3</v>
      </c>
      <c r="AF1436" s="19">
        <f t="shared" si="13"/>
        <v>2</v>
      </c>
      <c r="AG1436" s="9"/>
      <c r="AH1436" s="9"/>
      <c r="AI1436" s="9"/>
    </row>
    <row r="1437" ht="15.0" customHeight="1">
      <c r="A1437" s="11">
        <v>1436.0</v>
      </c>
      <c r="B1437" s="12">
        <f t="shared" si="231"/>
        <v>40052</v>
      </c>
      <c r="C1437" s="13">
        <v>2009.0</v>
      </c>
      <c r="D1437" s="11" t="s">
        <v>44</v>
      </c>
      <c r="E1437" s="11">
        <v>17.0</v>
      </c>
      <c r="F1437" s="21" t="s">
        <v>498</v>
      </c>
      <c r="G1437" s="15">
        <v>0.08438157011854165</v>
      </c>
      <c r="H1437" s="11" t="s">
        <v>33</v>
      </c>
      <c r="I1437" s="16">
        <v>7.192</v>
      </c>
      <c r="J1437" s="11" t="s">
        <v>1761</v>
      </c>
      <c r="K1437" s="11" t="s">
        <v>35</v>
      </c>
      <c r="L1437" s="11" t="s">
        <v>41</v>
      </c>
      <c r="M1437" s="11" t="s">
        <v>66</v>
      </c>
      <c r="N1437" s="11" t="s">
        <v>80</v>
      </c>
      <c r="O1437" s="11" t="s">
        <v>1763</v>
      </c>
      <c r="P1437" s="11" t="s">
        <v>38</v>
      </c>
      <c r="Q1437" s="20">
        <v>40053.0</v>
      </c>
      <c r="R1437" s="17">
        <f t="shared" si="2"/>
        <v>138.174146</v>
      </c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>
        <f t="shared" si="8"/>
        <v>3</v>
      </c>
      <c r="AF1437" s="19">
        <f t="shared" si="13"/>
        <v>2</v>
      </c>
      <c r="AG1437" s="9"/>
      <c r="AH1437" s="9"/>
      <c r="AI1437" s="9"/>
    </row>
    <row r="1438" ht="15.0" customHeight="1">
      <c r="A1438" s="11">
        <v>1437.0</v>
      </c>
      <c r="B1438" s="12">
        <f t="shared" si="231"/>
        <v>40052</v>
      </c>
      <c r="C1438" s="13">
        <v>2009.0</v>
      </c>
      <c r="D1438" s="11" t="s">
        <v>32</v>
      </c>
      <c r="E1438" s="11">
        <v>50.0</v>
      </c>
      <c r="F1438" s="21" t="s">
        <v>270</v>
      </c>
      <c r="G1438" s="15">
        <v>0.023391357966133973</v>
      </c>
      <c r="H1438" s="11" t="s">
        <v>33</v>
      </c>
      <c r="I1438" s="16">
        <v>13.984000000000002</v>
      </c>
      <c r="J1438" s="11" t="s">
        <v>798</v>
      </c>
      <c r="K1438" s="11" t="s">
        <v>117</v>
      </c>
      <c r="L1438" s="11" t="s">
        <v>36</v>
      </c>
      <c r="M1438" s="11" t="s">
        <v>28</v>
      </c>
      <c r="N1438" s="11" t="s">
        <v>56</v>
      </c>
      <c r="O1438" s="11" t="s">
        <v>1172</v>
      </c>
      <c r="P1438" s="11" t="s">
        <v>38</v>
      </c>
      <c r="Q1438" s="20">
        <v>40054.0</v>
      </c>
      <c r="R1438" s="17">
        <f t="shared" si="2"/>
        <v>48.16243179</v>
      </c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>
        <f t="shared" si="8"/>
        <v>2</v>
      </c>
      <c r="AF1438" s="19" t="b">
        <f t="shared" si="13"/>
        <v>0</v>
      </c>
      <c r="AG1438" s="9"/>
      <c r="AH1438" s="9"/>
      <c r="AI1438" s="9"/>
    </row>
    <row r="1439" ht="15.0" customHeight="1">
      <c r="A1439" s="11">
        <v>1438.0</v>
      </c>
      <c r="B1439" s="12">
        <f t="shared" si="231"/>
        <v>40052</v>
      </c>
      <c r="C1439" s="13">
        <v>2009.0</v>
      </c>
      <c r="D1439" s="11" t="s">
        <v>102</v>
      </c>
      <c r="E1439" s="11">
        <v>16.0</v>
      </c>
      <c r="F1439" s="21" t="s">
        <v>284</v>
      </c>
      <c r="G1439" s="15">
        <v>0.08055401662049864</v>
      </c>
      <c r="H1439" s="11" t="s">
        <v>33</v>
      </c>
      <c r="I1439" s="16">
        <v>1.192</v>
      </c>
      <c r="J1439" s="11" t="s">
        <v>1209</v>
      </c>
      <c r="K1439" s="11" t="s">
        <v>65</v>
      </c>
      <c r="L1439" s="11" t="s">
        <v>48</v>
      </c>
      <c r="M1439" s="11" t="s">
        <v>28</v>
      </c>
      <c r="N1439" s="11" t="s">
        <v>42</v>
      </c>
      <c r="O1439" s="11" t="s">
        <v>1344</v>
      </c>
      <c r="P1439" s="11" t="s">
        <v>38</v>
      </c>
      <c r="Q1439" s="20">
        <v>40054.0</v>
      </c>
      <c r="R1439" s="17">
        <f t="shared" si="2"/>
        <v>2.67374892</v>
      </c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>
        <f t="shared" si="8"/>
        <v>4</v>
      </c>
      <c r="AF1439" s="19">
        <f t="shared" si="13"/>
        <v>5</v>
      </c>
      <c r="AG1439" s="9"/>
      <c r="AH1439" s="9"/>
      <c r="AI1439" s="9"/>
    </row>
    <row r="1440" ht="15.0" customHeight="1">
      <c r="A1440" s="11">
        <v>1439.0</v>
      </c>
      <c r="B1440" s="12">
        <f t="shared" si="231"/>
        <v>40052</v>
      </c>
      <c r="C1440" s="13">
        <v>2009.0</v>
      </c>
      <c r="D1440" s="11" t="s">
        <v>102</v>
      </c>
      <c r="E1440" s="11">
        <v>19.0</v>
      </c>
      <c r="F1440" s="21" t="s">
        <v>1207</v>
      </c>
      <c r="G1440" s="15">
        <v>0.03590556102909159</v>
      </c>
      <c r="H1440" s="11" t="s">
        <v>45</v>
      </c>
      <c r="I1440" s="16">
        <v>24.0</v>
      </c>
      <c r="J1440" s="11" t="s">
        <v>1209</v>
      </c>
      <c r="K1440" s="11" t="s">
        <v>65</v>
      </c>
      <c r="L1440" s="11" t="s">
        <v>48</v>
      </c>
      <c r="M1440" s="11" t="s">
        <v>49</v>
      </c>
      <c r="N1440" s="11" t="s">
        <v>50</v>
      </c>
      <c r="O1440" s="11" t="s">
        <v>1677</v>
      </c>
      <c r="P1440" s="11" t="s">
        <v>52</v>
      </c>
      <c r="Q1440" s="20">
        <v>40054.0</v>
      </c>
      <c r="R1440" s="17">
        <f t="shared" si="2"/>
        <v>124.2727373</v>
      </c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>
        <f t="shared" si="8"/>
        <v>4</v>
      </c>
      <c r="AF1440" s="19">
        <f t="shared" si="13"/>
        <v>5</v>
      </c>
      <c r="AG1440" s="9"/>
      <c r="AH1440" s="9"/>
      <c r="AI1440" s="9"/>
    </row>
    <row r="1441" ht="15.0" customHeight="1">
      <c r="A1441" s="11">
        <v>1440.0</v>
      </c>
      <c r="B1441" s="12">
        <f t="shared" si="231"/>
        <v>40052</v>
      </c>
      <c r="C1441" s="13">
        <v>2009.0</v>
      </c>
      <c r="D1441" s="11" t="s">
        <v>102</v>
      </c>
      <c r="E1441" s="11">
        <v>18.0</v>
      </c>
      <c r="F1441" s="21" t="s">
        <v>1764</v>
      </c>
      <c r="G1441" s="15">
        <v>0.022075055187638082</v>
      </c>
      <c r="H1441" s="11" t="s">
        <v>24</v>
      </c>
      <c r="I1441" s="16">
        <v>4.4</v>
      </c>
      <c r="J1441" s="11" t="s">
        <v>1209</v>
      </c>
      <c r="K1441" s="11" t="s">
        <v>65</v>
      </c>
      <c r="L1441" s="11" t="s">
        <v>48</v>
      </c>
      <c r="M1441" s="11" t="s">
        <v>66</v>
      </c>
      <c r="N1441" s="11" t="s">
        <v>67</v>
      </c>
      <c r="O1441" s="11" t="s">
        <v>1765</v>
      </c>
      <c r="P1441" s="11" t="s">
        <v>38</v>
      </c>
      <c r="Q1441" s="20">
        <v>40054.0</v>
      </c>
      <c r="R1441" s="17">
        <f t="shared" si="2"/>
        <v>21.51434879</v>
      </c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>
        <f t="shared" si="8"/>
        <v>4</v>
      </c>
      <c r="AF1441" s="19">
        <f t="shared" si="13"/>
        <v>5</v>
      </c>
      <c r="AG1441" s="9"/>
      <c r="AH1441" s="9"/>
      <c r="AI1441" s="9"/>
    </row>
    <row r="1442" ht="15.0" customHeight="1">
      <c r="A1442" s="11">
        <v>1441.0</v>
      </c>
      <c r="B1442" s="12">
        <f t="shared" si="231"/>
        <v>40052</v>
      </c>
      <c r="C1442" s="13">
        <v>2009.0</v>
      </c>
      <c r="D1442" s="11" t="s">
        <v>102</v>
      </c>
      <c r="E1442" s="11">
        <v>15.0</v>
      </c>
      <c r="F1442" s="21" t="s">
        <v>126</v>
      </c>
      <c r="G1442" s="15">
        <v>0.07388291517323772</v>
      </c>
      <c r="H1442" s="11" t="s">
        <v>33</v>
      </c>
      <c r="I1442" s="16">
        <v>4.016</v>
      </c>
      <c r="J1442" s="11" t="s">
        <v>1209</v>
      </c>
      <c r="K1442" s="11" t="s">
        <v>65</v>
      </c>
      <c r="L1442" s="11" t="s">
        <v>48</v>
      </c>
      <c r="M1442" s="11" t="s">
        <v>28</v>
      </c>
      <c r="N1442" s="11" t="s">
        <v>56</v>
      </c>
      <c r="O1442" s="11" t="s">
        <v>1766</v>
      </c>
      <c r="P1442" s="11" t="s">
        <v>38</v>
      </c>
      <c r="Q1442" s="20">
        <v>40054.0</v>
      </c>
      <c r="R1442" s="17">
        <f t="shared" si="2"/>
        <v>5.727108053</v>
      </c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>
        <f t="shared" si="8"/>
        <v>4</v>
      </c>
      <c r="AF1442" s="19">
        <f t="shared" si="13"/>
        <v>5</v>
      </c>
      <c r="AG1442" s="9"/>
      <c r="AH1442" s="9"/>
      <c r="AI1442" s="9"/>
    </row>
    <row r="1443" ht="15.0" customHeight="1">
      <c r="A1443" s="11">
        <v>1442.0</v>
      </c>
      <c r="B1443" s="12">
        <f t="shared" si="231"/>
        <v>40052</v>
      </c>
      <c r="C1443" s="13">
        <v>2009.0</v>
      </c>
      <c r="D1443" s="11" t="s">
        <v>32</v>
      </c>
      <c r="E1443" s="11">
        <v>50.0</v>
      </c>
      <c r="F1443" s="21" t="s">
        <v>135</v>
      </c>
      <c r="G1443" s="15">
        <v>0.01493521790341579</v>
      </c>
      <c r="H1443" s="11" t="s">
        <v>33</v>
      </c>
      <c r="I1443" s="16">
        <v>4.5280000000000005</v>
      </c>
      <c r="J1443" s="11" t="s">
        <v>1468</v>
      </c>
      <c r="K1443" s="11" t="s">
        <v>83</v>
      </c>
      <c r="L1443" s="11" t="s">
        <v>27</v>
      </c>
      <c r="M1443" s="11" t="s">
        <v>28</v>
      </c>
      <c r="N1443" s="11" t="s">
        <v>56</v>
      </c>
      <c r="O1443" s="11" t="s">
        <v>590</v>
      </c>
      <c r="P1443" s="11" t="s">
        <v>38</v>
      </c>
      <c r="Q1443" s="20">
        <v>40054.0</v>
      </c>
      <c r="R1443" s="17">
        <f t="shared" si="2"/>
        <v>4.996248575</v>
      </c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>
        <f t="shared" si="8"/>
        <v>1</v>
      </c>
      <c r="AF1443" s="19" t="b">
        <f t="shared" si="13"/>
        <v>0</v>
      </c>
      <c r="AG1443" s="9"/>
      <c r="AH1443" s="9"/>
      <c r="AI1443" s="9"/>
    </row>
    <row r="1444" ht="15.0" customHeight="1">
      <c r="A1444" s="11">
        <v>1443.0</v>
      </c>
      <c r="B1444" s="12">
        <f t="shared" ref="B1444:B1450" si="232">DATE(2012,12,31)-1221</f>
        <v>40053</v>
      </c>
      <c r="C1444" s="13">
        <v>2009.0</v>
      </c>
      <c r="D1444" s="11" t="s">
        <v>102</v>
      </c>
      <c r="E1444" s="11">
        <v>41.0</v>
      </c>
      <c r="F1444" s="21" t="s">
        <v>158</v>
      </c>
      <c r="G1444" s="15">
        <v>0.026351400509275792</v>
      </c>
      <c r="H1444" s="11" t="s">
        <v>24</v>
      </c>
      <c r="I1444" s="16">
        <v>5.256</v>
      </c>
      <c r="J1444" s="11" t="s">
        <v>1767</v>
      </c>
      <c r="K1444" s="11" t="s">
        <v>35</v>
      </c>
      <c r="L1444" s="11" t="s">
        <v>27</v>
      </c>
      <c r="M1444" s="11" t="s">
        <v>28</v>
      </c>
      <c r="N1444" s="11" t="s">
        <v>56</v>
      </c>
      <c r="O1444" s="11" t="s">
        <v>1768</v>
      </c>
      <c r="P1444" s="11" t="s">
        <v>38</v>
      </c>
      <c r="Q1444" s="20">
        <v>40054.0</v>
      </c>
      <c r="R1444" s="17">
        <f t="shared" si="2"/>
        <v>7.053110455</v>
      </c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>
        <f t="shared" si="8"/>
        <v>1</v>
      </c>
      <c r="AF1444" s="19">
        <f t="shared" si="13"/>
        <v>2</v>
      </c>
      <c r="AG1444" s="9"/>
      <c r="AH1444" s="9"/>
      <c r="AI1444" s="9"/>
    </row>
    <row r="1445" ht="15.0" customHeight="1">
      <c r="A1445" s="11">
        <v>1444.0</v>
      </c>
      <c r="B1445" s="12">
        <f t="shared" si="232"/>
        <v>40053</v>
      </c>
      <c r="C1445" s="13">
        <v>2009.0</v>
      </c>
      <c r="D1445" s="11" t="s">
        <v>44</v>
      </c>
      <c r="E1445" s="11">
        <v>9.0</v>
      </c>
      <c r="F1445" s="21" t="s">
        <v>641</v>
      </c>
      <c r="G1445" s="15">
        <v>0.08937931034482764</v>
      </c>
      <c r="H1445" s="11" t="s">
        <v>33</v>
      </c>
      <c r="I1445" s="16">
        <v>4.24</v>
      </c>
      <c r="J1445" s="11" t="s">
        <v>1769</v>
      </c>
      <c r="K1445" s="11" t="s">
        <v>65</v>
      </c>
      <c r="L1445" s="11" t="s">
        <v>41</v>
      </c>
      <c r="M1445" s="11" t="s">
        <v>49</v>
      </c>
      <c r="N1445" s="11" t="s">
        <v>73</v>
      </c>
      <c r="O1445" s="11" t="s">
        <v>880</v>
      </c>
      <c r="P1445" s="11" t="s">
        <v>58</v>
      </c>
      <c r="Q1445" s="20">
        <v>40054.0</v>
      </c>
      <c r="R1445" s="17">
        <f t="shared" si="2"/>
        <v>11.80164414</v>
      </c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>
        <f t="shared" si="8"/>
        <v>3</v>
      </c>
      <c r="AF1445" s="19">
        <f t="shared" si="13"/>
        <v>5</v>
      </c>
      <c r="AG1445" s="9"/>
      <c r="AH1445" s="9"/>
      <c r="AI1445" s="9"/>
    </row>
    <row r="1446" ht="15.0" customHeight="1">
      <c r="A1446" s="11">
        <v>1445.0</v>
      </c>
      <c r="B1446" s="12">
        <f t="shared" si="232"/>
        <v>40053</v>
      </c>
      <c r="C1446" s="13">
        <v>2009.0</v>
      </c>
      <c r="D1446" s="11" t="s">
        <v>23</v>
      </c>
      <c r="E1446" s="11">
        <v>33.0</v>
      </c>
      <c r="F1446" s="21" t="s">
        <v>700</v>
      </c>
      <c r="G1446" s="15">
        <v>0.056098562628336665</v>
      </c>
      <c r="H1446" s="11" t="s">
        <v>33</v>
      </c>
      <c r="I1446" s="16">
        <v>4.976</v>
      </c>
      <c r="J1446" s="11" t="s">
        <v>1006</v>
      </c>
      <c r="K1446" s="11" t="s">
        <v>61</v>
      </c>
      <c r="L1446" s="11" t="s">
        <v>48</v>
      </c>
      <c r="M1446" s="11" t="s">
        <v>49</v>
      </c>
      <c r="N1446" s="11" t="s">
        <v>73</v>
      </c>
      <c r="O1446" s="11" t="s">
        <v>701</v>
      </c>
      <c r="P1446" s="11" t="s">
        <v>38</v>
      </c>
      <c r="Q1446" s="20">
        <v>40055.0</v>
      </c>
      <c r="R1446" s="17">
        <f t="shared" si="2"/>
        <v>18.05117109</v>
      </c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>
        <f t="shared" si="8"/>
        <v>4</v>
      </c>
      <c r="AF1446" s="19">
        <f t="shared" si="13"/>
        <v>4</v>
      </c>
      <c r="AG1446" s="9"/>
      <c r="AH1446" s="9"/>
      <c r="AI1446" s="9"/>
    </row>
    <row r="1447" ht="15.0" customHeight="1">
      <c r="A1447" s="11">
        <v>1446.0</v>
      </c>
      <c r="B1447" s="12">
        <f t="shared" si="232"/>
        <v>40053</v>
      </c>
      <c r="C1447" s="13">
        <v>2009.0</v>
      </c>
      <c r="D1447" s="11" t="s">
        <v>102</v>
      </c>
      <c r="E1447" s="11">
        <v>25.0</v>
      </c>
      <c r="F1447" s="21" t="s">
        <v>122</v>
      </c>
      <c r="G1447" s="15">
        <v>0.05333093525179864</v>
      </c>
      <c r="H1447" s="11" t="s">
        <v>33</v>
      </c>
      <c r="I1447" s="16">
        <v>3.848</v>
      </c>
      <c r="J1447" s="11" t="s">
        <v>1123</v>
      </c>
      <c r="K1447" s="11" t="s">
        <v>61</v>
      </c>
      <c r="L1447" s="11" t="s">
        <v>48</v>
      </c>
      <c r="M1447" s="11" t="s">
        <v>66</v>
      </c>
      <c r="N1447" s="11" t="s">
        <v>80</v>
      </c>
      <c r="O1447" s="11" t="s">
        <v>899</v>
      </c>
      <c r="P1447" s="11" t="s">
        <v>75</v>
      </c>
      <c r="Q1447" s="20">
        <v>40055.0</v>
      </c>
      <c r="R1447" s="17">
        <f t="shared" si="2"/>
        <v>28.07063111</v>
      </c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>
        <f t="shared" si="8"/>
        <v>4</v>
      </c>
      <c r="AF1447" s="19">
        <f t="shared" si="13"/>
        <v>4</v>
      </c>
      <c r="AG1447" s="9"/>
      <c r="AH1447" s="9"/>
      <c r="AI1447" s="9"/>
    </row>
    <row r="1448" ht="15.0" customHeight="1">
      <c r="A1448" s="11">
        <v>1447.0</v>
      </c>
      <c r="B1448" s="12">
        <f t="shared" si="232"/>
        <v>40053</v>
      </c>
      <c r="C1448" s="13">
        <v>2009.0</v>
      </c>
      <c r="D1448" s="11" t="s">
        <v>102</v>
      </c>
      <c r="E1448" s="11">
        <v>16.0</v>
      </c>
      <c r="F1448" s="21" t="s">
        <v>1770</v>
      </c>
      <c r="G1448" s="15">
        <v>0.04270158511371467</v>
      </c>
      <c r="H1448" s="11" t="s">
        <v>33</v>
      </c>
      <c r="I1448" s="16">
        <v>2.608</v>
      </c>
      <c r="J1448" s="11" t="s">
        <v>1417</v>
      </c>
      <c r="K1448" s="11" t="s">
        <v>47</v>
      </c>
      <c r="L1448" s="11" t="s">
        <v>27</v>
      </c>
      <c r="M1448" s="11" t="s">
        <v>28</v>
      </c>
      <c r="N1448" s="11" t="s">
        <v>442</v>
      </c>
      <c r="O1448" s="11" t="s">
        <v>1771</v>
      </c>
      <c r="P1448" s="11" t="s">
        <v>99</v>
      </c>
      <c r="Q1448" s="20">
        <v>40055.0</v>
      </c>
      <c r="R1448" s="17">
        <f t="shared" si="2"/>
        <v>11.86284196</v>
      </c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>
        <f t="shared" si="8"/>
        <v>1</v>
      </c>
      <c r="AF1448" s="19">
        <f t="shared" si="13"/>
        <v>3</v>
      </c>
      <c r="AG1448" s="9"/>
      <c r="AH1448" s="9"/>
      <c r="AI1448" s="9"/>
    </row>
    <row r="1449" ht="15.0" customHeight="1">
      <c r="A1449" s="11">
        <v>1448.0</v>
      </c>
      <c r="B1449" s="12">
        <f t="shared" si="232"/>
        <v>40053</v>
      </c>
      <c r="C1449" s="13">
        <v>2009.0</v>
      </c>
      <c r="D1449" s="11" t="s">
        <v>102</v>
      </c>
      <c r="E1449" s="11">
        <v>19.0</v>
      </c>
      <c r="F1449" s="21" t="s">
        <v>521</v>
      </c>
      <c r="G1449" s="15">
        <v>0.06871044076342951</v>
      </c>
      <c r="H1449" s="11" t="s">
        <v>45</v>
      </c>
      <c r="I1449" s="16">
        <v>55.712</v>
      </c>
      <c r="J1449" s="11" t="s">
        <v>1417</v>
      </c>
      <c r="K1449" s="11" t="s">
        <v>47</v>
      </c>
      <c r="L1449" s="11" t="s">
        <v>27</v>
      </c>
      <c r="M1449" s="11" t="s">
        <v>49</v>
      </c>
      <c r="N1449" s="11" t="s">
        <v>85</v>
      </c>
      <c r="O1449" s="11" t="s">
        <v>522</v>
      </c>
      <c r="P1449" s="11" t="s">
        <v>87</v>
      </c>
      <c r="Q1449" s="20">
        <v>40056.0</v>
      </c>
      <c r="R1449" s="17">
        <f t="shared" si="2"/>
        <v>289.3404906</v>
      </c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>
        <f t="shared" si="8"/>
        <v>1</v>
      </c>
      <c r="AF1449" s="19">
        <f t="shared" si="13"/>
        <v>3</v>
      </c>
      <c r="AG1449" s="9"/>
      <c r="AH1449" s="9"/>
      <c r="AI1449" s="9"/>
    </row>
    <row r="1450" ht="15.0" customHeight="1">
      <c r="A1450" s="11">
        <v>1449.0</v>
      </c>
      <c r="B1450" s="12">
        <f t="shared" si="232"/>
        <v>40053</v>
      </c>
      <c r="C1450" s="13">
        <v>2009.0</v>
      </c>
      <c r="D1450" s="11" t="s">
        <v>102</v>
      </c>
      <c r="E1450" s="11">
        <v>49.0</v>
      </c>
      <c r="F1450" s="21" t="s">
        <v>1726</v>
      </c>
      <c r="G1450" s="15">
        <v>0.0756120957836886</v>
      </c>
      <c r="H1450" s="11" t="s">
        <v>33</v>
      </c>
      <c r="I1450" s="16">
        <v>55.2</v>
      </c>
      <c r="J1450" s="11" t="s">
        <v>1417</v>
      </c>
      <c r="K1450" s="11" t="s">
        <v>47</v>
      </c>
      <c r="L1450" s="11" t="s">
        <v>27</v>
      </c>
      <c r="M1450" s="11" t="s">
        <v>49</v>
      </c>
      <c r="N1450" s="11" t="s">
        <v>85</v>
      </c>
      <c r="O1450" s="11" t="s">
        <v>1727</v>
      </c>
      <c r="P1450" s="11" t="s">
        <v>31</v>
      </c>
      <c r="Q1450" s="20">
        <v>40056.0</v>
      </c>
      <c r="R1450" s="17">
        <f t="shared" si="2"/>
        <v>779.6287584</v>
      </c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>
        <f t="shared" si="8"/>
        <v>1</v>
      </c>
      <c r="AF1450" s="19">
        <f t="shared" si="13"/>
        <v>3</v>
      </c>
      <c r="AG1450" s="9"/>
      <c r="AH1450" s="9"/>
      <c r="AI1450" s="9"/>
    </row>
    <row r="1451" ht="15.0" customHeight="1">
      <c r="A1451" s="11">
        <v>1450.0</v>
      </c>
      <c r="B1451" s="12">
        <f t="shared" ref="B1451:B1453" si="233">DATE(2012,12,31)-1220</f>
        <v>40054</v>
      </c>
      <c r="C1451" s="13">
        <v>2009.0</v>
      </c>
      <c r="D1451" s="11" t="s">
        <v>44</v>
      </c>
      <c r="E1451" s="11">
        <v>12.0</v>
      </c>
      <c r="F1451" s="21" t="s">
        <v>319</v>
      </c>
      <c r="G1451" s="15">
        <v>0.08602150537634434</v>
      </c>
      <c r="H1451" s="11" t="s">
        <v>33</v>
      </c>
      <c r="I1451" s="16">
        <v>0.4</v>
      </c>
      <c r="J1451" s="11" t="s">
        <v>1092</v>
      </c>
      <c r="K1451" s="11" t="s">
        <v>26</v>
      </c>
      <c r="L1451" s="11" t="s">
        <v>41</v>
      </c>
      <c r="M1451" s="11" t="s">
        <v>28</v>
      </c>
      <c r="N1451" s="11" t="s">
        <v>188</v>
      </c>
      <c r="O1451" s="11" t="s">
        <v>437</v>
      </c>
      <c r="P1451" s="11" t="s">
        <v>38</v>
      </c>
      <c r="Q1451" s="20">
        <v>40056.0</v>
      </c>
      <c r="R1451" s="17">
        <f t="shared" si="2"/>
        <v>2.924731183</v>
      </c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>
        <f t="shared" si="8"/>
        <v>3</v>
      </c>
      <c r="AF1451" s="19">
        <f t="shared" si="13"/>
        <v>1</v>
      </c>
      <c r="AG1451" s="9"/>
      <c r="AH1451" s="9"/>
      <c r="AI1451" s="9"/>
    </row>
    <row r="1452" ht="15.0" customHeight="1">
      <c r="A1452" s="11">
        <v>1451.0</v>
      </c>
      <c r="B1452" s="12">
        <f t="shared" si="233"/>
        <v>40054</v>
      </c>
      <c r="C1452" s="13">
        <v>2009.0</v>
      </c>
      <c r="D1452" s="11" t="s">
        <v>44</v>
      </c>
      <c r="E1452" s="11">
        <v>5.0</v>
      </c>
      <c r="F1452" s="21" t="s">
        <v>1437</v>
      </c>
      <c r="G1452" s="15">
        <v>0.038370582120582086</v>
      </c>
      <c r="H1452" s="11" t="s">
        <v>45</v>
      </c>
      <c r="I1452" s="16">
        <v>55.64</v>
      </c>
      <c r="J1452" s="11" t="s">
        <v>1684</v>
      </c>
      <c r="K1452" s="11" t="s">
        <v>47</v>
      </c>
      <c r="L1452" s="11" t="s">
        <v>48</v>
      </c>
      <c r="M1452" s="11" t="s">
        <v>49</v>
      </c>
      <c r="N1452" s="11" t="s">
        <v>50</v>
      </c>
      <c r="O1452" s="11" t="s">
        <v>1438</v>
      </c>
      <c r="P1452" s="11" t="s">
        <v>52</v>
      </c>
      <c r="Q1452" s="20">
        <v>40057.0</v>
      </c>
      <c r="R1452" s="17">
        <f t="shared" si="2"/>
        <v>56.79383342</v>
      </c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>
        <f t="shared" si="8"/>
        <v>4</v>
      </c>
      <c r="AF1452" s="19">
        <f t="shared" si="13"/>
        <v>3</v>
      </c>
      <c r="AG1452" s="9"/>
      <c r="AH1452" s="9"/>
      <c r="AI1452" s="9"/>
    </row>
    <row r="1453" ht="15.0" customHeight="1">
      <c r="A1453" s="11">
        <v>1452.0</v>
      </c>
      <c r="B1453" s="12">
        <f t="shared" si="233"/>
        <v>40054</v>
      </c>
      <c r="C1453" s="13">
        <v>2009.0</v>
      </c>
      <c r="D1453" s="11" t="s">
        <v>44</v>
      </c>
      <c r="E1453" s="11">
        <v>3.0</v>
      </c>
      <c r="F1453" s="21" t="s">
        <v>254</v>
      </c>
      <c r="G1453" s="15">
        <v>0.058236397748592725</v>
      </c>
      <c r="H1453" s="11" t="s">
        <v>33</v>
      </c>
      <c r="I1453" s="16">
        <v>11.496</v>
      </c>
      <c r="J1453" s="11" t="s">
        <v>1684</v>
      </c>
      <c r="K1453" s="11" t="s">
        <v>47</v>
      </c>
      <c r="L1453" s="11" t="s">
        <v>48</v>
      </c>
      <c r="M1453" s="11" t="s">
        <v>49</v>
      </c>
      <c r="N1453" s="11" t="s">
        <v>73</v>
      </c>
      <c r="O1453" s="11" t="s">
        <v>255</v>
      </c>
      <c r="P1453" s="11" t="s">
        <v>31</v>
      </c>
      <c r="Q1453" s="20">
        <v>40058.0</v>
      </c>
      <c r="R1453" s="17">
        <f t="shared" si="2"/>
        <v>2.923234221</v>
      </c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>
        <f t="shared" si="8"/>
        <v>4</v>
      </c>
      <c r="AF1453" s="19">
        <f t="shared" si="13"/>
        <v>3</v>
      </c>
      <c r="AG1453" s="9"/>
      <c r="AH1453" s="9"/>
      <c r="AI1453" s="9"/>
    </row>
    <row r="1454" ht="15.0" customHeight="1">
      <c r="A1454" s="11">
        <v>1453.0</v>
      </c>
      <c r="B1454" s="12">
        <f>DATE(2012,12,31)-1219</f>
        <v>40055</v>
      </c>
      <c r="C1454" s="13">
        <v>2009.0</v>
      </c>
      <c r="D1454" s="11" t="s">
        <v>23</v>
      </c>
      <c r="E1454" s="11">
        <v>27.0</v>
      </c>
      <c r="F1454" s="21" t="s">
        <v>245</v>
      </c>
      <c r="G1454" s="15">
        <v>0.09609953703703716</v>
      </c>
      <c r="H1454" s="11" t="s">
        <v>33</v>
      </c>
      <c r="I1454" s="16">
        <v>1.888</v>
      </c>
      <c r="J1454" s="11" t="s">
        <v>1276</v>
      </c>
      <c r="K1454" s="11" t="s">
        <v>47</v>
      </c>
      <c r="L1454" s="11" t="s">
        <v>36</v>
      </c>
      <c r="M1454" s="11" t="s">
        <v>28</v>
      </c>
      <c r="N1454" s="11" t="s">
        <v>62</v>
      </c>
      <c r="O1454" s="11" t="s">
        <v>246</v>
      </c>
      <c r="P1454" s="11" t="s">
        <v>58</v>
      </c>
      <c r="Q1454" s="20">
        <v>40058.0</v>
      </c>
      <c r="R1454" s="17">
        <f t="shared" si="2"/>
        <v>30.02034218</v>
      </c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>
        <f t="shared" si="8"/>
        <v>2</v>
      </c>
      <c r="AF1454" s="19">
        <f t="shared" si="13"/>
        <v>3</v>
      </c>
      <c r="AG1454" s="9"/>
      <c r="AH1454" s="9"/>
      <c r="AI1454" s="9"/>
    </row>
    <row r="1455" ht="15.0" customHeight="1">
      <c r="A1455" s="11">
        <v>1454.0</v>
      </c>
      <c r="B1455" s="12">
        <f t="shared" ref="B1455:B1462" si="234">DATE(2012,12,31)-1218</f>
        <v>40056</v>
      </c>
      <c r="C1455" s="13">
        <v>2009.0</v>
      </c>
      <c r="D1455" s="11" t="s">
        <v>102</v>
      </c>
      <c r="E1455" s="11">
        <v>34.0</v>
      </c>
      <c r="F1455" s="21" t="s">
        <v>314</v>
      </c>
      <c r="G1455" s="15">
        <v>0.01510148849797029</v>
      </c>
      <c r="H1455" s="11" t="s">
        <v>33</v>
      </c>
      <c r="I1455" s="16">
        <v>4.152</v>
      </c>
      <c r="J1455" s="11" t="s">
        <v>329</v>
      </c>
      <c r="K1455" s="11" t="s">
        <v>26</v>
      </c>
      <c r="L1455" s="11" t="s">
        <v>41</v>
      </c>
      <c r="M1455" s="11" t="s">
        <v>28</v>
      </c>
      <c r="N1455" s="11" t="s">
        <v>42</v>
      </c>
      <c r="O1455" s="11" t="s">
        <v>609</v>
      </c>
      <c r="P1455" s="11" t="s">
        <v>38</v>
      </c>
      <c r="Q1455" s="20">
        <v>40058.0</v>
      </c>
      <c r="R1455" s="17">
        <f t="shared" si="2"/>
        <v>3.297440217</v>
      </c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>
        <f t="shared" si="8"/>
        <v>3</v>
      </c>
      <c r="AF1455" s="19">
        <f t="shared" si="13"/>
        <v>1</v>
      </c>
      <c r="AG1455" s="9"/>
      <c r="AH1455" s="9"/>
      <c r="AI1455" s="9"/>
    </row>
    <row r="1456" ht="15.0" customHeight="1">
      <c r="A1456" s="11">
        <v>1455.0</v>
      </c>
      <c r="B1456" s="12">
        <f t="shared" si="234"/>
        <v>40056</v>
      </c>
      <c r="C1456" s="13">
        <v>2009.0</v>
      </c>
      <c r="D1456" s="11" t="s">
        <v>44</v>
      </c>
      <c r="E1456" s="11">
        <v>2.0</v>
      </c>
      <c r="F1456" s="21" t="s">
        <v>709</v>
      </c>
      <c r="G1456" s="15">
        <v>0.08220338983050852</v>
      </c>
      <c r="H1456" s="11" t="s">
        <v>33</v>
      </c>
      <c r="I1456" s="16">
        <v>4.920000000000001</v>
      </c>
      <c r="J1456" s="11" t="s">
        <v>1772</v>
      </c>
      <c r="K1456" s="11" t="s">
        <v>65</v>
      </c>
      <c r="L1456" s="11" t="s">
        <v>48</v>
      </c>
      <c r="M1456" s="11" t="s">
        <v>49</v>
      </c>
      <c r="N1456" s="11" t="s">
        <v>73</v>
      </c>
      <c r="O1456" s="11" t="s">
        <v>710</v>
      </c>
      <c r="P1456" s="11" t="s">
        <v>99</v>
      </c>
      <c r="Q1456" s="20">
        <v>40058.0</v>
      </c>
      <c r="R1456" s="17">
        <f t="shared" si="2"/>
        <v>3.561050847</v>
      </c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>
        <f t="shared" si="8"/>
        <v>4</v>
      </c>
      <c r="AF1456" s="19">
        <f t="shared" si="13"/>
        <v>5</v>
      </c>
      <c r="AG1456" s="9"/>
      <c r="AH1456" s="9"/>
      <c r="AI1456" s="9"/>
    </row>
    <row r="1457" ht="15.0" customHeight="1">
      <c r="A1457" s="11">
        <v>1456.0</v>
      </c>
      <c r="B1457" s="12">
        <f t="shared" si="234"/>
        <v>40056</v>
      </c>
      <c r="C1457" s="13">
        <v>2009.0</v>
      </c>
      <c r="D1457" s="11" t="s">
        <v>23</v>
      </c>
      <c r="E1457" s="11">
        <v>32.0</v>
      </c>
      <c r="F1457" s="21" t="s">
        <v>1760</v>
      </c>
      <c r="G1457" s="15">
        <v>0.04868999808758841</v>
      </c>
      <c r="H1457" s="11" t="s">
        <v>33</v>
      </c>
      <c r="I1457" s="16">
        <v>1.592</v>
      </c>
      <c r="J1457" s="11" t="s">
        <v>1773</v>
      </c>
      <c r="K1457" s="11" t="s">
        <v>61</v>
      </c>
      <c r="L1457" s="11" t="s">
        <v>48</v>
      </c>
      <c r="M1457" s="11" t="s">
        <v>66</v>
      </c>
      <c r="N1457" s="11" t="s">
        <v>67</v>
      </c>
      <c r="O1457" s="11" t="s">
        <v>1762</v>
      </c>
      <c r="P1457" s="11" t="s">
        <v>99</v>
      </c>
      <c r="Q1457" s="20">
        <v>40058.0</v>
      </c>
      <c r="R1457" s="17">
        <f t="shared" si="2"/>
        <v>13.32119396</v>
      </c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>
        <f t="shared" si="8"/>
        <v>4</v>
      </c>
      <c r="AF1457" s="19">
        <f t="shared" si="13"/>
        <v>4</v>
      </c>
      <c r="AG1457" s="9"/>
      <c r="AH1457" s="9"/>
      <c r="AI1457" s="9"/>
    </row>
    <row r="1458" ht="15.0" customHeight="1">
      <c r="A1458" s="11">
        <v>1457.0</v>
      </c>
      <c r="B1458" s="12">
        <f t="shared" si="234"/>
        <v>40056</v>
      </c>
      <c r="C1458" s="13">
        <v>2009.0</v>
      </c>
      <c r="D1458" s="11" t="s">
        <v>23</v>
      </c>
      <c r="E1458" s="11">
        <v>5.0</v>
      </c>
      <c r="F1458" s="21" t="s">
        <v>1774</v>
      </c>
      <c r="G1458" s="15">
        <v>0.037124999999999964</v>
      </c>
      <c r="H1458" s="11" t="s">
        <v>33</v>
      </c>
      <c r="I1458" s="16">
        <v>15.991999999999999</v>
      </c>
      <c r="J1458" s="11" t="s">
        <v>1773</v>
      </c>
      <c r="K1458" s="11" t="s">
        <v>61</v>
      </c>
      <c r="L1458" s="11" t="s">
        <v>48</v>
      </c>
      <c r="M1458" s="11" t="s">
        <v>28</v>
      </c>
      <c r="N1458" s="11" t="s">
        <v>29</v>
      </c>
      <c r="O1458" s="11" t="s">
        <v>1775</v>
      </c>
      <c r="P1458" s="11" t="s">
        <v>38</v>
      </c>
      <c r="Q1458" s="20">
        <v>40058.0</v>
      </c>
      <c r="R1458" s="17">
        <f t="shared" si="2"/>
        <v>18.302328</v>
      </c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>
        <f t="shared" si="8"/>
        <v>4</v>
      </c>
      <c r="AF1458" s="19">
        <f t="shared" si="13"/>
        <v>4</v>
      </c>
      <c r="AG1458" s="9"/>
      <c r="AH1458" s="9"/>
      <c r="AI1458" s="9"/>
    </row>
    <row r="1459" ht="15.0" customHeight="1">
      <c r="A1459" s="11">
        <v>1458.0</v>
      </c>
      <c r="B1459" s="12">
        <f t="shared" si="234"/>
        <v>40056</v>
      </c>
      <c r="C1459" s="13">
        <v>2009.0</v>
      </c>
      <c r="D1459" s="11" t="s">
        <v>23</v>
      </c>
      <c r="E1459" s="11">
        <v>35.0</v>
      </c>
      <c r="F1459" s="21" t="s">
        <v>718</v>
      </c>
      <c r="G1459" s="15">
        <v>0.05093242616359997</v>
      </c>
      <c r="H1459" s="11" t="s">
        <v>24</v>
      </c>
      <c r="I1459" s="16">
        <v>6.024000000000001</v>
      </c>
      <c r="J1459" s="11" t="s">
        <v>187</v>
      </c>
      <c r="K1459" s="11" t="s">
        <v>35</v>
      </c>
      <c r="L1459" s="11" t="s">
        <v>27</v>
      </c>
      <c r="M1459" s="11" t="s">
        <v>66</v>
      </c>
      <c r="N1459" s="11" t="s">
        <v>67</v>
      </c>
      <c r="O1459" s="11" t="s">
        <v>813</v>
      </c>
      <c r="P1459" s="11" t="s">
        <v>38</v>
      </c>
      <c r="Q1459" s="20">
        <v>40058.0</v>
      </c>
      <c r="R1459" s="17">
        <f t="shared" si="2"/>
        <v>62.52077549</v>
      </c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>
        <f t="shared" si="8"/>
        <v>1</v>
      </c>
      <c r="AF1459" s="19">
        <f t="shared" si="13"/>
        <v>2</v>
      </c>
      <c r="AG1459" s="9"/>
      <c r="AH1459" s="9"/>
      <c r="AI1459" s="9"/>
    </row>
    <row r="1460" ht="15.0" customHeight="1">
      <c r="A1460" s="11">
        <v>1459.0</v>
      </c>
      <c r="B1460" s="12">
        <f t="shared" si="234"/>
        <v>40056</v>
      </c>
      <c r="C1460" s="13">
        <v>2009.0</v>
      </c>
      <c r="D1460" s="11" t="s">
        <v>23</v>
      </c>
      <c r="E1460" s="11">
        <v>17.0</v>
      </c>
      <c r="F1460" s="21" t="s">
        <v>1369</v>
      </c>
      <c r="G1460" s="15">
        <v>0.019240506329113796</v>
      </c>
      <c r="H1460" s="11" t="s">
        <v>33</v>
      </c>
      <c r="I1460" s="16">
        <v>1.536</v>
      </c>
      <c r="J1460" s="11" t="s">
        <v>187</v>
      </c>
      <c r="K1460" s="11" t="s">
        <v>35</v>
      </c>
      <c r="L1460" s="11" t="s">
        <v>27</v>
      </c>
      <c r="M1460" s="11" t="s">
        <v>28</v>
      </c>
      <c r="N1460" s="11" t="s">
        <v>442</v>
      </c>
      <c r="O1460" s="11" t="s">
        <v>1776</v>
      </c>
      <c r="P1460" s="11" t="s">
        <v>58</v>
      </c>
      <c r="Q1460" s="20">
        <v>40058.0</v>
      </c>
      <c r="R1460" s="17">
        <f t="shared" si="2"/>
        <v>1.043528101</v>
      </c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>
        <f t="shared" si="8"/>
        <v>1</v>
      </c>
      <c r="AF1460" s="19">
        <f t="shared" si="13"/>
        <v>2</v>
      </c>
      <c r="AG1460" s="9"/>
      <c r="AH1460" s="9"/>
      <c r="AI1460" s="9"/>
    </row>
    <row r="1461" ht="15.0" customHeight="1">
      <c r="A1461" s="11">
        <v>1460.0</v>
      </c>
      <c r="B1461" s="12">
        <f t="shared" si="234"/>
        <v>40056</v>
      </c>
      <c r="C1461" s="13">
        <v>2009.0</v>
      </c>
      <c r="D1461" s="11" t="s">
        <v>102</v>
      </c>
      <c r="E1461" s="11">
        <v>6.0</v>
      </c>
      <c r="F1461" s="21" t="s">
        <v>204</v>
      </c>
      <c r="G1461" s="15">
        <v>0.05098901098901084</v>
      </c>
      <c r="H1461" s="11" t="s">
        <v>33</v>
      </c>
      <c r="I1461" s="16">
        <v>1.072</v>
      </c>
      <c r="J1461" s="11" t="s">
        <v>681</v>
      </c>
      <c r="K1461" s="11" t="s">
        <v>61</v>
      </c>
      <c r="L1461" s="11" t="s">
        <v>48</v>
      </c>
      <c r="M1461" s="11" t="s">
        <v>28</v>
      </c>
      <c r="N1461" s="11" t="s">
        <v>62</v>
      </c>
      <c r="O1461" s="11" t="s">
        <v>1514</v>
      </c>
      <c r="P1461" s="11" t="s">
        <v>58</v>
      </c>
      <c r="Q1461" s="20">
        <v>40058.0</v>
      </c>
      <c r="R1461" s="17">
        <f t="shared" si="2"/>
        <v>0.8806821978</v>
      </c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>
        <f t="shared" si="8"/>
        <v>4</v>
      </c>
      <c r="AF1461" s="19">
        <f t="shared" si="13"/>
        <v>4</v>
      </c>
      <c r="AG1461" s="9"/>
      <c r="AH1461" s="9"/>
      <c r="AI1461" s="9"/>
    </row>
    <row r="1462" ht="15.0" customHeight="1">
      <c r="A1462" s="11">
        <v>1461.0</v>
      </c>
      <c r="B1462" s="12">
        <f t="shared" si="234"/>
        <v>40056</v>
      </c>
      <c r="C1462" s="13">
        <v>2009.0</v>
      </c>
      <c r="D1462" s="11" t="s">
        <v>23</v>
      </c>
      <c r="E1462" s="11">
        <v>25.0</v>
      </c>
      <c r="F1462" s="21" t="s">
        <v>810</v>
      </c>
      <c r="G1462" s="15">
        <v>0.06676113360323872</v>
      </c>
      <c r="H1462" s="11" t="s">
        <v>33</v>
      </c>
      <c r="I1462" s="16">
        <v>4.112</v>
      </c>
      <c r="J1462" s="11" t="s">
        <v>1777</v>
      </c>
      <c r="K1462" s="11" t="s">
        <v>83</v>
      </c>
      <c r="L1462" s="11" t="s">
        <v>48</v>
      </c>
      <c r="M1462" s="11" t="s">
        <v>28</v>
      </c>
      <c r="N1462" s="11" t="s">
        <v>42</v>
      </c>
      <c r="O1462" s="11" t="s">
        <v>1778</v>
      </c>
      <c r="P1462" s="11" t="s">
        <v>38</v>
      </c>
      <c r="Q1462" s="20">
        <v>40059.0</v>
      </c>
      <c r="R1462" s="17">
        <f t="shared" si="2"/>
        <v>18.46693069</v>
      </c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>
        <f t="shared" si="8"/>
        <v>4</v>
      </c>
      <c r="AF1462" s="19" t="b">
        <f t="shared" si="13"/>
        <v>0</v>
      </c>
      <c r="AG1462" s="9"/>
      <c r="AH1462" s="9"/>
      <c r="AI1462" s="9"/>
    </row>
    <row r="1463" ht="15.0" customHeight="1">
      <c r="A1463" s="11">
        <v>1462.0</v>
      </c>
      <c r="B1463" s="12">
        <f t="shared" ref="B1463:B1470" si="235">DATE(2012,12,31)-1217</f>
        <v>40057</v>
      </c>
      <c r="C1463" s="13">
        <v>2009.0</v>
      </c>
      <c r="D1463" s="11" t="s">
        <v>23</v>
      </c>
      <c r="E1463" s="11">
        <v>33.0</v>
      </c>
      <c r="F1463" s="21" t="s">
        <v>1779</v>
      </c>
      <c r="G1463" s="15">
        <v>0.047845256873374944</v>
      </c>
      <c r="H1463" s="11" t="s">
        <v>45</v>
      </c>
      <c r="I1463" s="16">
        <v>11.76</v>
      </c>
      <c r="J1463" s="11" t="s">
        <v>1780</v>
      </c>
      <c r="K1463" s="11" t="s">
        <v>26</v>
      </c>
      <c r="L1463" s="11" t="s">
        <v>27</v>
      </c>
      <c r="M1463" s="11" t="s">
        <v>66</v>
      </c>
      <c r="N1463" s="11" t="s">
        <v>69</v>
      </c>
      <c r="O1463" s="11" t="s">
        <v>1781</v>
      </c>
      <c r="P1463" s="11" t="s">
        <v>52</v>
      </c>
      <c r="Q1463" s="20">
        <v>40059.0</v>
      </c>
      <c r="R1463" s="17">
        <f t="shared" si="2"/>
        <v>846.2180064</v>
      </c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>
        <f t="shared" si="8"/>
        <v>1</v>
      </c>
      <c r="AF1463" s="19">
        <f t="shared" si="13"/>
        <v>1</v>
      </c>
      <c r="AG1463" s="9"/>
      <c r="AH1463" s="9"/>
      <c r="AI1463" s="9"/>
    </row>
    <row r="1464" ht="15.0" customHeight="1">
      <c r="A1464" s="11">
        <v>1463.0</v>
      </c>
      <c r="B1464" s="12">
        <f t="shared" si="235"/>
        <v>40057</v>
      </c>
      <c r="C1464" s="13">
        <v>2009.0</v>
      </c>
      <c r="D1464" s="11" t="s">
        <v>23</v>
      </c>
      <c r="E1464" s="11">
        <v>1.0</v>
      </c>
      <c r="F1464" s="21" t="s">
        <v>1015</v>
      </c>
      <c r="G1464" s="15">
        <v>0.14826086956521728</v>
      </c>
      <c r="H1464" s="11" t="s">
        <v>33</v>
      </c>
      <c r="I1464" s="16">
        <v>2.136</v>
      </c>
      <c r="J1464" s="11" t="s">
        <v>1780</v>
      </c>
      <c r="K1464" s="11" t="s">
        <v>26</v>
      </c>
      <c r="L1464" s="11" t="s">
        <v>27</v>
      </c>
      <c r="M1464" s="11" t="s">
        <v>28</v>
      </c>
      <c r="N1464" s="11" t="s">
        <v>56</v>
      </c>
      <c r="O1464" s="11" t="s">
        <v>1617</v>
      </c>
      <c r="P1464" s="11" t="s">
        <v>38</v>
      </c>
      <c r="Q1464" s="20">
        <v>40059.0</v>
      </c>
      <c r="R1464" s="17">
        <f t="shared" si="2"/>
        <v>1.161772174</v>
      </c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>
        <f t="shared" si="8"/>
        <v>1</v>
      </c>
      <c r="AF1464" s="19">
        <f t="shared" si="13"/>
        <v>1</v>
      </c>
      <c r="AG1464" s="9"/>
      <c r="AH1464" s="9"/>
      <c r="AI1464" s="9"/>
    </row>
    <row r="1465" ht="15.0" customHeight="1">
      <c r="A1465" s="11">
        <v>1464.0</v>
      </c>
      <c r="B1465" s="12">
        <f t="shared" si="235"/>
        <v>40057</v>
      </c>
      <c r="C1465" s="13">
        <v>2009.0</v>
      </c>
      <c r="D1465" s="11" t="s">
        <v>32</v>
      </c>
      <c r="E1465" s="11">
        <v>21.0</v>
      </c>
      <c r="F1465" s="21" t="s">
        <v>1782</v>
      </c>
      <c r="G1465" s="15">
        <v>0.07656692913385829</v>
      </c>
      <c r="H1465" s="11" t="s">
        <v>33</v>
      </c>
      <c r="I1465" s="16">
        <v>2.904</v>
      </c>
      <c r="J1465" s="11" t="s">
        <v>763</v>
      </c>
      <c r="K1465" s="11" t="s">
        <v>65</v>
      </c>
      <c r="L1465" s="11" t="s">
        <v>27</v>
      </c>
      <c r="M1465" s="11" t="s">
        <v>49</v>
      </c>
      <c r="N1465" s="11" t="s">
        <v>73</v>
      </c>
      <c r="O1465" s="11" t="s">
        <v>1783</v>
      </c>
      <c r="P1465" s="11" t="s">
        <v>99</v>
      </c>
      <c r="Q1465" s="20">
        <v>40059.0</v>
      </c>
      <c r="R1465" s="17">
        <f t="shared" si="2"/>
        <v>35.91785272</v>
      </c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>
        <f t="shared" si="8"/>
        <v>1</v>
      </c>
      <c r="AF1465" s="19">
        <f t="shared" si="13"/>
        <v>5</v>
      </c>
      <c r="AG1465" s="9"/>
      <c r="AH1465" s="9"/>
      <c r="AI1465" s="9"/>
    </row>
    <row r="1466" ht="15.0" customHeight="1">
      <c r="A1466" s="11">
        <v>1465.0</v>
      </c>
      <c r="B1466" s="12">
        <f t="shared" si="235"/>
        <v>40057</v>
      </c>
      <c r="C1466" s="13">
        <v>2009.0</v>
      </c>
      <c r="D1466" s="11" t="s">
        <v>39</v>
      </c>
      <c r="E1466" s="11">
        <v>32.0</v>
      </c>
      <c r="F1466" s="21" t="s">
        <v>632</v>
      </c>
      <c r="G1466" s="15">
        <v>0.09754914261815134</v>
      </c>
      <c r="H1466" s="11" t="s">
        <v>33</v>
      </c>
      <c r="I1466" s="16">
        <v>1.3760000000000001</v>
      </c>
      <c r="J1466" s="11" t="s">
        <v>1784</v>
      </c>
      <c r="K1466" s="11" t="s">
        <v>117</v>
      </c>
      <c r="L1466" s="11" t="s">
        <v>41</v>
      </c>
      <c r="M1466" s="11" t="s">
        <v>28</v>
      </c>
      <c r="N1466" s="11" t="s">
        <v>56</v>
      </c>
      <c r="O1466" s="11" t="s">
        <v>1785</v>
      </c>
      <c r="P1466" s="11" t="s">
        <v>58</v>
      </c>
      <c r="Q1466" s="20">
        <v>40059.0</v>
      </c>
      <c r="R1466" s="17">
        <f t="shared" si="2"/>
        <v>21.0487638</v>
      </c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>
        <f t="shared" si="8"/>
        <v>3</v>
      </c>
      <c r="AF1466" s="19" t="b">
        <f t="shared" si="13"/>
        <v>0</v>
      </c>
      <c r="AG1466" s="9"/>
      <c r="AH1466" s="9"/>
      <c r="AI1466" s="9"/>
    </row>
    <row r="1467" ht="15.0" customHeight="1">
      <c r="A1467" s="11">
        <v>1466.0</v>
      </c>
      <c r="B1467" s="12">
        <f t="shared" si="235"/>
        <v>40057</v>
      </c>
      <c r="C1467" s="13">
        <v>2009.0</v>
      </c>
      <c r="D1467" s="11" t="s">
        <v>39</v>
      </c>
      <c r="E1467" s="11">
        <v>43.0</v>
      </c>
      <c r="F1467" s="21" t="s">
        <v>461</v>
      </c>
      <c r="G1467" s="15">
        <v>0.08594349655523174</v>
      </c>
      <c r="H1467" s="11" t="s">
        <v>24</v>
      </c>
      <c r="I1467" s="16">
        <v>44.96000000000001</v>
      </c>
      <c r="J1467" s="11" t="s">
        <v>1114</v>
      </c>
      <c r="K1467" s="11" t="s">
        <v>47</v>
      </c>
      <c r="L1467" s="11" t="s">
        <v>27</v>
      </c>
      <c r="M1467" s="11" t="s">
        <v>49</v>
      </c>
      <c r="N1467" s="11" t="s">
        <v>73</v>
      </c>
      <c r="O1467" s="11" t="s">
        <v>463</v>
      </c>
      <c r="P1467" s="11" t="s">
        <v>75</v>
      </c>
      <c r="Q1467" s="20">
        <v>40059.0</v>
      </c>
      <c r="R1467" s="17">
        <f t="shared" si="2"/>
        <v>339.7913646</v>
      </c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>
        <f t="shared" si="8"/>
        <v>1</v>
      </c>
      <c r="AF1467" s="19">
        <f t="shared" si="13"/>
        <v>3</v>
      </c>
      <c r="AG1467" s="9"/>
      <c r="AH1467" s="9"/>
      <c r="AI1467" s="9"/>
    </row>
    <row r="1468" ht="15.0" customHeight="1">
      <c r="A1468" s="11">
        <v>1467.0</v>
      </c>
      <c r="B1468" s="12">
        <f t="shared" si="235"/>
        <v>40057</v>
      </c>
      <c r="C1468" s="13">
        <v>2009.0</v>
      </c>
      <c r="D1468" s="11" t="s">
        <v>23</v>
      </c>
      <c r="E1468" s="11">
        <v>41.0</v>
      </c>
      <c r="F1468" s="21" t="s">
        <v>668</v>
      </c>
      <c r="G1468" s="15">
        <v>0.04255766423357654</v>
      </c>
      <c r="H1468" s="11" t="s">
        <v>33</v>
      </c>
      <c r="I1468" s="16">
        <v>4.024</v>
      </c>
      <c r="J1468" s="11" t="s">
        <v>1314</v>
      </c>
      <c r="K1468" s="11" t="s">
        <v>47</v>
      </c>
      <c r="L1468" s="11" t="s">
        <v>48</v>
      </c>
      <c r="M1468" s="11" t="s">
        <v>66</v>
      </c>
      <c r="N1468" s="11" t="s">
        <v>80</v>
      </c>
      <c r="O1468" s="11" t="s">
        <v>1603</v>
      </c>
      <c r="P1468" s="11" t="s">
        <v>75</v>
      </c>
      <c r="Q1468" s="20">
        <v>40059.0</v>
      </c>
      <c r="R1468" s="17">
        <f t="shared" si="2"/>
        <v>13.95567949</v>
      </c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>
        <f t="shared" si="8"/>
        <v>4</v>
      </c>
      <c r="AF1468" s="19">
        <f t="shared" si="13"/>
        <v>3</v>
      </c>
      <c r="AG1468" s="9"/>
      <c r="AH1468" s="9"/>
      <c r="AI1468" s="9"/>
    </row>
    <row r="1469" ht="15.0" customHeight="1">
      <c r="A1469" s="11">
        <v>1468.0</v>
      </c>
      <c r="B1469" s="12">
        <f t="shared" si="235"/>
        <v>40057</v>
      </c>
      <c r="C1469" s="13">
        <v>2009.0</v>
      </c>
      <c r="D1469" s="11" t="s">
        <v>32</v>
      </c>
      <c r="E1469" s="11">
        <v>11.0</v>
      </c>
      <c r="F1469" s="21" t="s">
        <v>306</v>
      </c>
      <c r="G1469" s="15">
        <v>0.06847540983606569</v>
      </c>
      <c r="H1469" s="11" t="s">
        <v>33</v>
      </c>
      <c r="I1469" s="16">
        <v>8.392000000000001</v>
      </c>
      <c r="J1469" s="11" t="s">
        <v>1634</v>
      </c>
      <c r="K1469" s="11" t="s">
        <v>65</v>
      </c>
      <c r="L1469" s="11" t="s">
        <v>41</v>
      </c>
      <c r="M1469" s="11" t="s">
        <v>49</v>
      </c>
      <c r="N1469" s="11" t="s">
        <v>73</v>
      </c>
      <c r="O1469" s="11" t="s">
        <v>1135</v>
      </c>
      <c r="P1469" s="11" t="s">
        <v>38</v>
      </c>
      <c r="Q1469" s="20">
        <v>40059.0</v>
      </c>
      <c r="R1469" s="17">
        <f t="shared" si="2"/>
        <v>15.56391285</v>
      </c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>
        <f t="shared" si="8"/>
        <v>3</v>
      </c>
      <c r="AF1469" s="19">
        <f t="shared" si="13"/>
        <v>5</v>
      </c>
      <c r="AG1469" s="9"/>
      <c r="AH1469" s="9"/>
      <c r="AI1469" s="9"/>
    </row>
    <row r="1470" ht="15.0" customHeight="1">
      <c r="A1470" s="11">
        <v>1469.0</v>
      </c>
      <c r="B1470" s="12">
        <f t="shared" si="235"/>
        <v>40057</v>
      </c>
      <c r="C1470" s="13">
        <v>2009.0</v>
      </c>
      <c r="D1470" s="11" t="s">
        <v>32</v>
      </c>
      <c r="E1470" s="11">
        <v>50.0</v>
      </c>
      <c r="F1470" s="21" t="s">
        <v>147</v>
      </c>
      <c r="G1470" s="15">
        <v>0.11289421157684629</v>
      </c>
      <c r="H1470" s="11" t="s">
        <v>33</v>
      </c>
      <c r="I1470" s="16">
        <v>3.8880000000000003</v>
      </c>
      <c r="J1470" s="11" t="s">
        <v>1634</v>
      </c>
      <c r="K1470" s="11" t="s">
        <v>65</v>
      </c>
      <c r="L1470" s="11" t="s">
        <v>41</v>
      </c>
      <c r="M1470" s="11" t="s">
        <v>49</v>
      </c>
      <c r="N1470" s="11" t="s">
        <v>73</v>
      </c>
      <c r="O1470" s="11" t="s">
        <v>1119</v>
      </c>
      <c r="P1470" s="11" t="s">
        <v>38</v>
      </c>
      <c r="Q1470" s="20">
        <v>40059.0</v>
      </c>
      <c r="R1470" s="17">
        <f t="shared" si="2"/>
        <v>10.03494068</v>
      </c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>
        <f t="shared" si="8"/>
        <v>3</v>
      </c>
      <c r="AF1470" s="19">
        <f t="shared" si="13"/>
        <v>5</v>
      </c>
      <c r="AG1470" s="9"/>
      <c r="AH1470" s="9"/>
      <c r="AI1470" s="9"/>
    </row>
    <row r="1471" ht="15.0" customHeight="1">
      <c r="A1471" s="11">
        <v>1470.0</v>
      </c>
      <c r="B1471" s="12">
        <f t="shared" ref="B1471:B1476" si="236">DATE(2012,12,31)-1216</f>
        <v>40058</v>
      </c>
      <c r="C1471" s="13">
        <v>2009.0</v>
      </c>
      <c r="D1471" s="11" t="s">
        <v>23</v>
      </c>
      <c r="E1471" s="11">
        <v>46.0</v>
      </c>
      <c r="F1471" s="21" t="s">
        <v>1227</v>
      </c>
      <c r="G1471" s="15">
        <v>0.035004730368968805</v>
      </c>
      <c r="H1471" s="11" t="s">
        <v>33</v>
      </c>
      <c r="I1471" s="16">
        <v>0.8</v>
      </c>
      <c r="J1471" s="11" t="s">
        <v>1235</v>
      </c>
      <c r="K1471" s="11" t="s">
        <v>35</v>
      </c>
      <c r="L1471" s="11" t="s">
        <v>41</v>
      </c>
      <c r="M1471" s="11" t="s">
        <v>28</v>
      </c>
      <c r="N1471" s="11" t="s">
        <v>62</v>
      </c>
      <c r="O1471" s="11" t="s">
        <v>1786</v>
      </c>
      <c r="P1471" s="11" t="s">
        <v>58</v>
      </c>
      <c r="Q1471" s="20">
        <v>40059.0</v>
      </c>
      <c r="R1471" s="17">
        <f t="shared" si="2"/>
        <v>3.570482498</v>
      </c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>
        <f t="shared" si="8"/>
        <v>3</v>
      </c>
      <c r="AF1471" s="19">
        <f t="shared" si="13"/>
        <v>2</v>
      </c>
      <c r="AG1471" s="9"/>
      <c r="AH1471" s="9"/>
      <c r="AI1471" s="9"/>
    </row>
    <row r="1472" ht="15.0" customHeight="1">
      <c r="A1472" s="11">
        <v>1471.0</v>
      </c>
      <c r="B1472" s="12">
        <f t="shared" si="236"/>
        <v>40058</v>
      </c>
      <c r="C1472" s="13">
        <v>2009.0</v>
      </c>
      <c r="D1472" s="11" t="s">
        <v>23</v>
      </c>
      <c r="E1472" s="11">
        <v>6.0</v>
      </c>
      <c r="F1472" s="21" t="s">
        <v>1562</v>
      </c>
      <c r="G1472" s="15">
        <v>0.08611559749569006</v>
      </c>
      <c r="H1472" s="11" t="s">
        <v>33</v>
      </c>
      <c r="I1472" s="16">
        <v>15.991999999999999</v>
      </c>
      <c r="J1472" s="11" t="s">
        <v>1235</v>
      </c>
      <c r="K1472" s="11" t="s">
        <v>35</v>
      </c>
      <c r="L1472" s="11" t="s">
        <v>41</v>
      </c>
      <c r="M1472" s="11" t="s">
        <v>28</v>
      </c>
      <c r="N1472" s="11" t="s">
        <v>29</v>
      </c>
      <c r="O1472" s="11" t="s">
        <v>1563</v>
      </c>
      <c r="P1472" s="11" t="s">
        <v>38</v>
      </c>
      <c r="Q1472" s="20">
        <v>40059.0</v>
      </c>
      <c r="R1472" s="17">
        <f t="shared" si="2"/>
        <v>86.73494087</v>
      </c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>
        <f t="shared" si="8"/>
        <v>3</v>
      </c>
      <c r="AF1472" s="19">
        <f t="shared" si="13"/>
        <v>2</v>
      </c>
      <c r="AG1472" s="9"/>
      <c r="AH1472" s="9"/>
      <c r="AI1472" s="9"/>
    </row>
    <row r="1473" ht="15.0" customHeight="1">
      <c r="A1473" s="11">
        <v>1472.0</v>
      </c>
      <c r="B1473" s="12">
        <f t="shared" si="236"/>
        <v>40058</v>
      </c>
      <c r="C1473" s="13">
        <v>2009.0</v>
      </c>
      <c r="D1473" s="11" t="s">
        <v>23</v>
      </c>
      <c r="E1473" s="11">
        <v>2.0</v>
      </c>
      <c r="F1473" s="21" t="s">
        <v>666</v>
      </c>
      <c r="G1473" s="15">
        <v>0.16405063291139244</v>
      </c>
      <c r="H1473" s="11" t="s">
        <v>33</v>
      </c>
      <c r="I1473" s="16">
        <v>5.6080000000000005</v>
      </c>
      <c r="J1473" s="11" t="s">
        <v>1235</v>
      </c>
      <c r="K1473" s="11" t="s">
        <v>35</v>
      </c>
      <c r="L1473" s="11" t="s">
        <v>41</v>
      </c>
      <c r="M1473" s="11" t="s">
        <v>28</v>
      </c>
      <c r="N1473" s="11" t="s">
        <v>42</v>
      </c>
      <c r="O1473" s="11" t="s">
        <v>1632</v>
      </c>
      <c r="P1473" s="11" t="s">
        <v>38</v>
      </c>
      <c r="Q1473" s="20">
        <v>40059.0</v>
      </c>
      <c r="R1473" s="17">
        <f t="shared" si="2"/>
        <v>2.166780759</v>
      </c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>
        <f t="shared" si="8"/>
        <v>3</v>
      </c>
      <c r="AF1473" s="19">
        <f t="shared" si="13"/>
        <v>2</v>
      </c>
      <c r="AG1473" s="9"/>
      <c r="AH1473" s="9"/>
      <c r="AI1473" s="9"/>
    </row>
    <row r="1474" ht="15.0" customHeight="1">
      <c r="A1474" s="11">
        <v>1473.0</v>
      </c>
      <c r="B1474" s="12">
        <f t="shared" si="236"/>
        <v>40058</v>
      </c>
      <c r="C1474" s="13">
        <v>2009.0</v>
      </c>
      <c r="D1474" s="11" t="s">
        <v>23</v>
      </c>
      <c r="E1474" s="11">
        <v>31.0</v>
      </c>
      <c r="F1474" s="21" t="s">
        <v>400</v>
      </c>
      <c r="G1474" s="15">
        <v>0.057812056224967864</v>
      </c>
      <c r="H1474" s="11" t="s">
        <v>45</v>
      </c>
      <c r="I1474" s="16">
        <v>47.136</v>
      </c>
      <c r="J1474" s="11" t="s">
        <v>1235</v>
      </c>
      <c r="K1474" s="11" t="s">
        <v>35</v>
      </c>
      <c r="L1474" s="11" t="s">
        <v>41</v>
      </c>
      <c r="M1474" s="11" t="s">
        <v>49</v>
      </c>
      <c r="N1474" s="11" t="s">
        <v>50</v>
      </c>
      <c r="O1474" s="11" t="s">
        <v>123</v>
      </c>
      <c r="P1474" s="11" t="s">
        <v>52</v>
      </c>
      <c r="Q1474" s="20">
        <v>40059.0</v>
      </c>
      <c r="R1474" s="17">
        <f t="shared" si="2"/>
        <v>640.5596642</v>
      </c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>
        <f t="shared" si="8"/>
        <v>3</v>
      </c>
      <c r="AF1474" s="19">
        <f t="shared" si="13"/>
        <v>2</v>
      </c>
      <c r="AG1474" s="9"/>
      <c r="AH1474" s="9"/>
      <c r="AI1474" s="9"/>
    </row>
    <row r="1475" ht="15.0" customHeight="1">
      <c r="A1475" s="11">
        <v>1474.0</v>
      </c>
      <c r="B1475" s="12">
        <f t="shared" si="236"/>
        <v>40058</v>
      </c>
      <c r="C1475" s="13">
        <v>2009.0</v>
      </c>
      <c r="D1475" s="11" t="s">
        <v>39</v>
      </c>
      <c r="E1475" s="11">
        <v>35.0</v>
      </c>
      <c r="F1475" s="21" t="s">
        <v>676</v>
      </c>
      <c r="G1475" s="15">
        <v>0.04380213385063037</v>
      </c>
      <c r="H1475" s="11" t="s">
        <v>33</v>
      </c>
      <c r="I1475" s="16">
        <v>1.168</v>
      </c>
      <c r="J1475" s="11" t="s">
        <v>326</v>
      </c>
      <c r="K1475" s="11" t="s">
        <v>35</v>
      </c>
      <c r="L1475" s="11" t="s">
        <v>36</v>
      </c>
      <c r="M1475" s="11" t="s">
        <v>28</v>
      </c>
      <c r="N1475" s="11" t="s">
        <v>56</v>
      </c>
      <c r="O1475" s="11" t="s">
        <v>1787</v>
      </c>
      <c r="P1475" s="11" t="s">
        <v>58</v>
      </c>
      <c r="Q1475" s="20">
        <v>40060.0</v>
      </c>
      <c r="R1475" s="17">
        <f t="shared" si="2"/>
        <v>8.636379127</v>
      </c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>
        <f t="shared" si="8"/>
        <v>2</v>
      </c>
      <c r="AF1475" s="19">
        <f t="shared" si="13"/>
        <v>2</v>
      </c>
      <c r="AG1475" s="9"/>
      <c r="AH1475" s="9"/>
      <c r="AI1475" s="9"/>
    </row>
    <row r="1476" ht="15.0" customHeight="1">
      <c r="A1476" s="11">
        <v>1475.0</v>
      </c>
      <c r="B1476" s="12">
        <f t="shared" si="236"/>
        <v>40058</v>
      </c>
      <c r="C1476" s="13">
        <v>2009.0</v>
      </c>
      <c r="D1476" s="11" t="s">
        <v>39</v>
      </c>
      <c r="E1476" s="11">
        <v>38.0</v>
      </c>
      <c r="F1476" s="21" t="s">
        <v>277</v>
      </c>
      <c r="G1476" s="15">
        <v>0.11111111111111105</v>
      </c>
      <c r="H1476" s="11" t="s">
        <v>33</v>
      </c>
      <c r="I1476" s="16">
        <v>0.8</v>
      </c>
      <c r="J1476" s="11" t="s">
        <v>326</v>
      </c>
      <c r="K1476" s="11" t="s">
        <v>35</v>
      </c>
      <c r="L1476" s="11" t="s">
        <v>36</v>
      </c>
      <c r="M1476" s="11" t="s">
        <v>28</v>
      </c>
      <c r="N1476" s="11" t="s">
        <v>62</v>
      </c>
      <c r="O1476" s="11" t="s">
        <v>278</v>
      </c>
      <c r="P1476" s="11" t="s">
        <v>58</v>
      </c>
      <c r="Q1476" s="20">
        <v>40060.0</v>
      </c>
      <c r="R1476" s="17">
        <f t="shared" si="2"/>
        <v>6.844444444</v>
      </c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>
        <f t="shared" si="8"/>
        <v>2</v>
      </c>
      <c r="AF1476" s="19">
        <f t="shared" si="13"/>
        <v>2</v>
      </c>
      <c r="AG1476" s="9"/>
      <c r="AH1476" s="9"/>
      <c r="AI1476" s="9"/>
    </row>
    <row r="1477" ht="15.0" customHeight="1">
      <c r="A1477" s="11">
        <v>1476.0</v>
      </c>
      <c r="B1477" s="12">
        <f>DATE(2012,12,31)-1215</f>
        <v>40059</v>
      </c>
      <c r="C1477" s="13">
        <v>2009.0</v>
      </c>
      <c r="D1477" s="11" t="s">
        <v>23</v>
      </c>
      <c r="E1477" s="11">
        <v>49.0</v>
      </c>
      <c r="F1477" s="21" t="s">
        <v>810</v>
      </c>
      <c r="G1477" s="15">
        <v>0.056080014037550314</v>
      </c>
      <c r="H1477" s="11" t="s">
        <v>33</v>
      </c>
      <c r="I1477" s="16">
        <v>3.84</v>
      </c>
      <c r="J1477" s="11" t="s">
        <v>1607</v>
      </c>
      <c r="K1477" s="11" t="s">
        <v>35</v>
      </c>
      <c r="L1477" s="11" t="s">
        <v>48</v>
      </c>
      <c r="M1477" s="11" t="s">
        <v>28</v>
      </c>
      <c r="N1477" s="11" t="s">
        <v>236</v>
      </c>
      <c r="O1477" s="11" t="s">
        <v>1494</v>
      </c>
      <c r="P1477" s="11" t="s">
        <v>38</v>
      </c>
      <c r="Q1477" s="20">
        <v>40061.0</v>
      </c>
      <c r="R1477" s="17">
        <f t="shared" si="2"/>
        <v>30.16768275</v>
      </c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>
        <f t="shared" si="8"/>
        <v>4</v>
      </c>
      <c r="AF1477" s="19">
        <f t="shared" si="13"/>
        <v>2</v>
      </c>
      <c r="AG1477" s="9"/>
      <c r="AH1477" s="9"/>
      <c r="AI1477" s="9"/>
    </row>
    <row r="1478" ht="15.0" customHeight="1">
      <c r="A1478" s="11">
        <v>1477.0</v>
      </c>
      <c r="B1478" s="12">
        <f t="shared" ref="B1478:B1488" si="237">DATE(2012,12,31)-1214</f>
        <v>40060</v>
      </c>
      <c r="C1478" s="13">
        <v>2009.0</v>
      </c>
      <c r="D1478" s="11" t="s">
        <v>102</v>
      </c>
      <c r="E1478" s="11">
        <v>50.0</v>
      </c>
      <c r="F1478" s="21" t="s">
        <v>788</v>
      </c>
      <c r="G1478" s="15">
        <v>0.05726825820133027</v>
      </c>
      <c r="H1478" s="11" t="s">
        <v>33</v>
      </c>
      <c r="I1478" s="16">
        <v>7.192</v>
      </c>
      <c r="J1478" s="11" t="s">
        <v>1314</v>
      </c>
      <c r="K1478" s="11" t="s">
        <v>47</v>
      </c>
      <c r="L1478" s="11" t="s">
        <v>48</v>
      </c>
      <c r="M1478" s="11" t="s">
        <v>66</v>
      </c>
      <c r="N1478" s="11" t="s">
        <v>80</v>
      </c>
      <c r="O1478" s="11" t="s">
        <v>996</v>
      </c>
      <c r="P1478" s="11" t="s">
        <v>38</v>
      </c>
      <c r="Q1478" s="20">
        <v>40061.0</v>
      </c>
      <c r="R1478" s="17">
        <f t="shared" si="2"/>
        <v>504.0862042</v>
      </c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>
        <f t="shared" si="8"/>
        <v>4</v>
      </c>
      <c r="AF1478" s="19">
        <f t="shared" si="13"/>
        <v>3</v>
      </c>
      <c r="AG1478" s="9"/>
      <c r="AH1478" s="9"/>
      <c r="AI1478" s="9"/>
    </row>
    <row r="1479" ht="15.0" customHeight="1">
      <c r="A1479" s="11">
        <v>1478.0</v>
      </c>
      <c r="B1479" s="12">
        <f t="shared" si="237"/>
        <v>40060</v>
      </c>
      <c r="C1479" s="13">
        <v>2009.0</v>
      </c>
      <c r="D1479" s="11" t="s">
        <v>102</v>
      </c>
      <c r="E1479" s="11">
        <v>5.0</v>
      </c>
      <c r="F1479" s="21" t="s">
        <v>415</v>
      </c>
      <c r="G1479" s="15">
        <v>0.05960159362549809</v>
      </c>
      <c r="H1479" s="11" t="s">
        <v>33</v>
      </c>
      <c r="I1479" s="16">
        <v>4.104</v>
      </c>
      <c r="J1479" s="11" t="s">
        <v>603</v>
      </c>
      <c r="K1479" s="11" t="s">
        <v>61</v>
      </c>
      <c r="L1479" s="11" t="s">
        <v>48</v>
      </c>
      <c r="M1479" s="11" t="s">
        <v>28</v>
      </c>
      <c r="N1479" s="11" t="s">
        <v>197</v>
      </c>
      <c r="O1479" s="11" t="s">
        <v>1788</v>
      </c>
      <c r="P1479" s="11" t="s">
        <v>38</v>
      </c>
      <c r="Q1479" s="20">
        <v>40061.0</v>
      </c>
      <c r="R1479" s="17">
        <f t="shared" si="2"/>
        <v>1.406836016</v>
      </c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>
        <f t="shared" si="8"/>
        <v>4</v>
      </c>
      <c r="AF1479" s="19">
        <f t="shared" si="13"/>
        <v>4</v>
      </c>
      <c r="AG1479" s="9"/>
      <c r="AH1479" s="9"/>
      <c r="AI1479" s="9"/>
    </row>
    <row r="1480" ht="15.0" customHeight="1">
      <c r="A1480" s="11">
        <v>1479.0</v>
      </c>
      <c r="B1480" s="12">
        <f t="shared" si="237"/>
        <v>40060</v>
      </c>
      <c r="C1480" s="13">
        <v>2009.0</v>
      </c>
      <c r="D1480" s="11" t="s">
        <v>102</v>
      </c>
      <c r="E1480" s="11">
        <v>37.0</v>
      </c>
      <c r="F1480" s="21" t="s">
        <v>1789</v>
      </c>
      <c r="G1480" s="15">
        <v>0.020132438903388613</v>
      </c>
      <c r="H1480" s="11" t="s">
        <v>33</v>
      </c>
      <c r="I1480" s="16">
        <v>15.991999999999999</v>
      </c>
      <c r="J1480" s="11" t="s">
        <v>603</v>
      </c>
      <c r="K1480" s="11" t="s">
        <v>61</v>
      </c>
      <c r="L1480" s="11" t="s">
        <v>48</v>
      </c>
      <c r="M1480" s="11" t="s">
        <v>28</v>
      </c>
      <c r="N1480" s="11" t="s">
        <v>42</v>
      </c>
      <c r="O1480" s="11" t="s">
        <v>1790</v>
      </c>
      <c r="P1480" s="11" t="s">
        <v>38</v>
      </c>
      <c r="Q1480" s="20">
        <v>40061.0</v>
      </c>
      <c r="R1480" s="17">
        <f t="shared" si="2"/>
        <v>274.370756</v>
      </c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>
        <f t="shared" si="8"/>
        <v>4</v>
      </c>
      <c r="AF1480" s="19">
        <f t="shared" si="13"/>
        <v>4</v>
      </c>
      <c r="AG1480" s="9"/>
      <c r="AH1480" s="9"/>
      <c r="AI1480" s="9"/>
    </row>
    <row r="1481" ht="15.0" customHeight="1">
      <c r="A1481" s="11">
        <v>1480.0</v>
      </c>
      <c r="B1481" s="12">
        <f t="shared" si="237"/>
        <v>40060</v>
      </c>
      <c r="C1481" s="13">
        <v>2009.0</v>
      </c>
      <c r="D1481" s="11" t="s">
        <v>102</v>
      </c>
      <c r="E1481" s="11">
        <v>39.0</v>
      </c>
      <c r="F1481" s="21" t="s">
        <v>476</v>
      </c>
      <c r="G1481" s="15">
        <v>0.03501450401671714</v>
      </c>
      <c r="H1481" s="11" t="s">
        <v>45</v>
      </c>
      <c r="I1481" s="16">
        <v>68.504</v>
      </c>
      <c r="J1481" s="11" t="s">
        <v>603</v>
      </c>
      <c r="K1481" s="11" t="s">
        <v>61</v>
      </c>
      <c r="L1481" s="11" t="s">
        <v>48</v>
      </c>
      <c r="M1481" s="11" t="s">
        <v>49</v>
      </c>
      <c r="N1481" s="11" t="s">
        <v>85</v>
      </c>
      <c r="O1481" s="11" t="s">
        <v>477</v>
      </c>
      <c r="P1481" s="11" t="s">
        <v>87</v>
      </c>
      <c r="Q1481" s="20">
        <v>40061.0</v>
      </c>
      <c r="R1481" s="17">
        <f t="shared" si="2"/>
        <v>515.987877</v>
      </c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>
        <f t="shared" si="8"/>
        <v>4</v>
      </c>
      <c r="AF1481" s="19">
        <f t="shared" si="13"/>
        <v>4</v>
      </c>
      <c r="AG1481" s="9"/>
      <c r="AH1481" s="9"/>
      <c r="AI1481" s="9"/>
    </row>
    <row r="1482" ht="15.0" customHeight="1">
      <c r="A1482" s="11">
        <v>1481.0</v>
      </c>
      <c r="B1482" s="12">
        <f t="shared" si="237"/>
        <v>40060</v>
      </c>
      <c r="C1482" s="13">
        <v>2009.0</v>
      </c>
      <c r="D1482" s="11" t="s">
        <v>102</v>
      </c>
      <c r="E1482" s="11">
        <v>6.0</v>
      </c>
      <c r="F1482" s="21" t="s">
        <v>498</v>
      </c>
      <c r="G1482" s="15">
        <v>0.040860927152317796</v>
      </c>
      <c r="H1482" s="11" t="s">
        <v>33</v>
      </c>
      <c r="I1482" s="16">
        <v>3.9200000000000004</v>
      </c>
      <c r="J1482" s="11" t="s">
        <v>603</v>
      </c>
      <c r="K1482" s="11" t="s">
        <v>61</v>
      </c>
      <c r="L1482" s="11" t="s">
        <v>48</v>
      </c>
      <c r="M1482" s="11" t="s">
        <v>66</v>
      </c>
      <c r="N1482" s="11" t="s">
        <v>80</v>
      </c>
      <c r="O1482" s="11" t="s">
        <v>500</v>
      </c>
      <c r="P1482" s="11" t="s">
        <v>38</v>
      </c>
      <c r="Q1482" s="20">
        <v>40061.0</v>
      </c>
      <c r="R1482" s="17">
        <f t="shared" si="2"/>
        <v>23.67155232</v>
      </c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>
        <f t="shared" si="8"/>
        <v>4</v>
      </c>
      <c r="AF1482" s="19">
        <f t="shared" si="13"/>
        <v>4</v>
      </c>
      <c r="AG1482" s="9"/>
      <c r="AH1482" s="9"/>
      <c r="AI1482" s="9"/>
    </row>
    <row r="1483" ht="15.0" customHeight="1">
      <c r="A1483" s="11">
        <v>1482.0</v>
      </c>
      <c r="B1483" s="12">
        <f t="shared" si="237"/>
        <v>40060</v>
      </c>
      <c r="C1483" s="13">
        <v>2009.0</v>
      </c>
      <c r="D1483" s="11" t="s">
        <v>39</v>
      </c>
      <c r="E1483" s="11">
        <v>8.0</v>
      </c>
      <c r="F1483" s="21" t="s">
        <v>1182</v>
      </c>
      <c r="G1483" s="15">
        <v>0.10138181818181806</v>
      </c>
      <c r="H1483" s="11" t="s">
        <v>33</v>
      </c>
      <c r="I1483" s="16">
        <v>6.224</v>
      </c>
      <c r="J1483" s="11" t="s">
        <v>337</v>
      </c>
      <c r="K1483" s="11" t="s">
        <v>117</v>
      </c>
      <c r="L1483" s="11" t="s">
        <v>48</v>
      </c>
      <c r="M1483" s="11" t="s">
        <v>28</v>
      </c>
      <c r="N1483" s="11" t="s">
        <v>42</v>
      </c>
      <c r="O1483" s="11" t="s">
        <v>1311</v>
      </c>
      <c r="P1483" s="11" t="s">
        <v>38</v>
      </c>
      <c r="Q1483" s="20">
        <v>40061.0</v>
      </c>
      <c r="R1483" s="17">
        <f t="shared" si="2"/>
        <v>5.010694982</v>
      </c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>
        <f t="shared" si="8"/>
        <v>4</v>
      </c>
      <c r="AF1483" s="19" t="b">
        <f t="shared" si="13"/>
        <v>0</v>
      </c>
      <c r="AG1483" s="9"/>
      <c r="AH1483" s="9"/>
      <c r="AI1483" s="9"/>
    </row>
    <row r="1484" ht="15.0" customHeight="1">
      <c r="A1484" s="11">
        <v>1483.0</v>
      </c>
      <c r="B1484" s="12">
        <f t="shared" si="237"/>
        <v>40060</v>
      </c>
      <c r="C1484" s="13">
        <v>2009.0</v>
      </c>
      <c r="D1484" s="11" t="s">
        <v>39</v>
      </c>
      <c r="E1484" s="11">
        <v>10.0</v>
      </c>
      <c r="F1484" s="21" t="s">
        <v>1791</v>
      </c>
      <c r="G1484" s="15">
        <v>0.10596078431372542</v>
      </c>
      <c r="H1484" s="11" t="s">
        <v>24</v>
      </c>
      <c r="I1484" s="16">
        <v>7.192</v>
      </c>
      <c r="J1484" s="11" t="s">
        <v>337</v>
      </c>
      <c r="K1484" s="11" t="s">
        <v>117</v>
      </c>
      <c r="L1484" s="11" t="s">
        <v>48</v>
      </c>
      <c r="M1484" s="11" t="s">
        <v>66</v>
      </c>
      <c r="N1484" s="11" t="s">
        <v>67</v>
      </c>
      <c r="O1484" s="11" t="s">
        <v>1792</v>
      </c>
      <c r="P1484" s="11" t="s">
        <v>99</v>
      </c>
      <c r="Q1484" s="20">
        <v>40061.0</v>
      </c>
      <c r="R1484" s="17">
        <f t="shared" si="2"/>
        <v>9.662775843</v>
      </c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>
        <f t="shared" si="8"/>
        <v>4</v>
      </c>
      <c r="AF1484" s="19" t="b">
        <f t="shared" si="13"/>
        <v>0</v>
      </c>
      <c r="AG1484" s="9"/>
      <c r="AH1484" s="9"/>
      <c r="AI1484" s="9"/>
    </row>
    <row r="1485" ht="15.0" customHeight="1">
      <c r="A1485" s="11">
        <v>1484.0</v>
      </c>
      <c r="B1485" s="12">
        <f t="shared" si="237"/>
        <v>40060</v>
      </c>
      <c r="C1485" s="13">
        <v>2009.0</v>
      </c>
      <c r="D1485" s="11" t="s">
        <v>39</v>
      </c>
      <c r="E1485" s="11">
        <v>22.0</v>
      </c>
      <c r="F1485" s="21" t="s">
        <v>950</v>
      </c>
      <c r="G1485" s="15">
        <v>0.1821484375</v>
      </c>
      <c r="H1485" s="11" t="s">
        <v>33</v>
      </c>
      <c r="I1485" s="16">
        <v>7.192</v>
      </c>
      <c r="J1485" s="11" t="s">
        <v>337</v>
      </c>
      <c r="K1485" s="11" t="s">
        <v>117</v>
      </c>
      <c r="L1485" s="11" t="s">
        <v>48</v>
      </c>
      <c r="M1485" s="11" t="s">
        <v>49</v>
      </c>
      <c r="N1485" s="11" t="s">
        <v>73</v>
      </c>
      <c r="O1485" s="11" t="s">
        <v>1793</v>
      </c>
      <c r="P1485" s="11" t="s">
        <v>99</v>
      </c>
      <c r="Q1485" s="20">
        <v>40061.0</v>
      </c>
      <c r="R1485" s="17">
        <f t="shared" si="2"/>
        <v>61.01826938</v>
      </c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>
        <f t="shared" si="8"/>
        <v>4</v>
      </c>
      <c r="AF1485" s="19" t="b">
        <f t="shared" si="13"/>
        <v>0</v>
      </c>
      <c r="AG1485" s="9"/>
      <c r="AH1485" s="9"/>
      <c r="AI1485" s="9"/>
    </row>
    <row r="1486" ht="15.0" customHeight="1">
      <c r="A1486" s="11">
        <v>1485.0</v>
      </c>
      <c r="B1486" s="12">
        <f t="shared" si="237"/>
        <v>40060</v>
      </c>
      <c r="C1486" s="13">
        <v>2009.0</v>
      </c>
      <c r="D1486" s="11" t="s">
        <v>39</v>
      </c>
      <c r="E1486" s="11">
        <v>48.0</v>
      </c>
      <c r="F1486" s="21" t="s">
        <v>1156</v>
      </c>
      <c r="G1486" s="15">
        <v>0.03922005285168163</v>
      </c>
      <c r="H1486" s="11" t="s">
        <v>33</v>
      </c>
      <c r="I1486" s="16">
        <v>6.464</v>
      </c>
      <c r="J1486" s="11" t="s">
        <v>337</v>
      </c>
      <c r="K1486" s="11" t="s">
        <v>117</v>
      </c>
      <c r="L1486" s="11" t="s">
        <v>48</v>
      </c>
      <c r="M1486" s="11" t="s">
        <v>66</v>
      </c>
      <c r="N1486" s="11" t="s">
        <v>80</v>
      </c>
      <c r="O1486" s="11" t="s">
        <v>1794</v>
      </c>
      <c r="P1486" s="11" t="s">
        <v>38</v>
      </c>
      <c r="Q1486" s="20">
        <v>40062.0</v>
      </c>
      <c r="R1486" s="17">
        <f t="shared" si="2"/>
        <v>293.7450179</v>
      </c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>
        <f t="shared" si="8"/>
        <v>4</v>
      </c>
      <c r="AF1486" s="19" t="b">
        <f t="shared" si="13"/>
        <v>0</v>
      </c>
      <c r="AG1486" s="9"/>
      <c r="AH1486" s="9"/>
      <c r="AI1486" s="9"/>
    </row>
    <row r="1487" ht="15.0" customHeight="1">
      <c r="A1487" s="11">
        <v>1486.0</v>
      </c>
      <c r="B1487" s="12">
        <f t="shared" si="237"/>
        <v>40060</v>
      </c>
      <c r="C1487" s="13">
        <v>2009.0</v>
      </c>
      <c r="D1487" s="11" t="s">
        <v>23</v>
      </c>
      <c r="E1487" s="11">
        <v>43.0</v>
      </c>
      <c r="F1487" s="21" t="s">
        <v>1795</v>
      </c>
      <c r="G1487" s="15">
        <v>0.06651025331724977</v>
      </c>
      <c r="H1487" s="11" t="s">
        <v>45</v>
      </c>
      <c r="I1487" s="16">
        <v>49.408</v>
      </c>
      <c r="J1487" s="11" t="s">
        <v>659</v>
      </c>
      <c r="K1487" s="11" t="s">
        <v>26</v>
      </c>
      <c r="L1487" s="11" t="s">
        <v>48</v>
      </c>
      <c r="M1487" s="11" t="s">
        <v>49</v>
      </c>
      <c r="N1487" s="11" t="s">
        <v>85</v>
      </c>
      <c r="O1487" s="11" t="s">
        <v>1796</v>
      </c>
      <c r="P1487" s="11" t="s">
        <v>87</v>
      </c>
      <c r="Q1487" s="20">
        <v>40062.0</v>
      </c>
      <c r="R1487" s="17">
        <f t="shared" si="2"/>
        <v>823.5171866</v>
      </c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>
        <f t="shared" si="8"/>
        <v>4</v>
      </c>
      <c r="AF1487" s="19">
        <f t="shared" si="13"/>
        <v>1</v>
      </c>
      <c r="AG1487" s="9"/>
      <c r="AH1487" s="9"/>
      <c r="AI1487" s="9"/>
    </row>
    <row r="1488" ht="15.0" customHeight="1">
      <c r="A1488" s="11">
        <v>1487.0</v>
      </c>
      <c r="B1488" s="12">
        <f t="shared" si="237"/>
        <v>40060</v>
      </c>
      <c r="C1488" s="13">
        <v>2009.0</v>
      </c>
      <c r="D1488" s="11" t="s">
        <v>23</v>
      </c>
      <c r="E1488" s="11">
        <v>25.0</v>
      </c>
      <c r="F1488" s="21" t="s">
        <v>610</v>
      </c>
      <c r="G1488" s="15">
        <v>0.01944162436548219</v>
      </c>
      <c r="H1488" s="11" t="s">
        <v>33</v>
      </c>
      <c r="I1488" s="16">
        <v>4.072</v>
      </c>
      <c r="J1488" s="11" t="s">
        <v>659</v>
      </c>
      <c r="K1488" s="11" t="s">
        <v>26</v>
      </c>
      <c r="L1488" s="11" t="s">
        <v>48</v>
      </c>
      <c r="M1488" s="11" t="s">
        <v>28</v>
      </c>
      <c r="N1488" s="11" t="s">
        <v>56</v>
      </c>
      <c r="O1488" s="11" t="s">
        <v>1797</v>
      </c>
      <c r="P1488" s="11" t="s">
        <v>38</v>
      </c>
      <c r="Q1488" s="20">
        <v>40062.0</v>
      </c>
      <c r="R1488" s="17">
        <f t="shared" si="2"/>
        <v>6.008861726</v>
      </c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>
        <f t="shared" si="8"/>
        <v>4</v>
      </c>
      <c r="AF1488" s="19">
        <f t="shared" si="13"/>
        <v>1</v>
      </c>
      <c r="AG1488" s="9"/>
      <c r="AH1488" s="9"/>
      <c r="AI1488" s="9"/>
    </row>
    <row r="1489" ht="15.0" customHeight="1">
      <c r="A1489" s="11">
        <v>1488.0</v>
      </c>
      <c r="B1489" s="12">
        <f t="shared" ref="B1489:B1496" si="238">DATE(2012,12,31)-1213</f>
        <v>40061</v>
      </c>
      <c r="C1489" s="13">
        <v>2009.0</v>
      </c>
      <c r="D1489" s="11" t="s">
        <v>44</v>
      </c>
      <c r="E1489" s="11">
        <v>28.0</v>
      </c>
      <c r="F1489" s="21" t="s">
        <v>956</v>
      </c>
      <c r="G1489" s="15">
        <v>0.05080597014925378</v>
      </c>
      <c r="H1489" s="11" t="s">
        <v>33</v>
      </c>
      <c r="I1489" s="16">
        <v>1.192</v>
      </c>
      <c r="J1489" s="11" t="s">
        <v>1798</v>
      </c>
      <c r="K1489" s="11" t="s">
        <v>83</v>
      </c>
      <c r="L1489" s="11" t="s">
        <v>48</v>
      </c>
      <c r="M1489" s="11" t="s">
        <v>28</v>
      </c>
      <c r="N1489" s="11" t="s">
        <v>42</v>
      </c>
      <c r="O1489" s="11" t="s">
        <v>957</v>
      </c>
      <c r="P1489" s="11" t="s">
        <v>38</v>
      </c>
      <c r="Q1489" s="20">
        <v>40062.0</v>
      </c>
      <c r="R1489" s="17">
        <f t="shared" si="2"/>
        <v>6.462112955</v>
      </c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>
        <f t="shared" si="8"/>
        <v>4</v>
      </c>
      <c r="AF1489" s="19" t="b">
        <f t="shared" si="13"/>
        <v>0</v>
      </c>
      <c r="AG1489" s="9"/>
      <c r="AH1489" s="9"/>
      <c r="AI1489" s="9"/>
    </row>
    <row r="1490" ht="15.0" customHeight="1">
      <c r="A1490" s="11">
        <v>1489.0</v>
      </c>
      <c r="B1490" s="12">
        <f t="shared" si="238"/>
        <v>40061</v>
      </c>
      <c r="C1490" s="13">
        <v>2009.0</v>
      </c>
      <c r="D1490" s="11" t="s">
        <v>32</v>
      </c>
      <c r="E1490" s="11">
        <v>39.0</v>
      </c>
      <c r="F1490" s="21" t="s">
        <v>151</v>
      </c>
      <c r="G1490" s="15">
        <v>0.07531791907514446</v>
      </c>
      <c r="H1490" s="11" t="s">
        <v>33</v>
      </c>
      <c r="I1490" s="16">
        <v>3.176</v>
      </c>
      <c r="J1490" s="11" t="s">
        <v>1799</v>
      </c>
      <c r="K1490" s="11" t="s">
        <v>117</v>
      </c>
      <c r="L1490" s="11" t="s">
        <v>48</v>
      </c>
      <c r="M1490" s="11" t="s">
        <v>28</v>
      </c>
      <c r="N1490" s="11" t="s">
        <v>62</v>
      </c>
      <c r="O1490" s="11" t="s">
        <v>153</v>
      </c>
      <c r="P1490" s="11" t="s">
        <v>58</v>
      </c>
      <c r="Q1490" s="20">
        <v>40062.0</v>
      </c>
      <c r="R1490" s="17">
        <f t="shared" si="2"/>
        <v>9.638886012</v>
      </c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>
        <f t="shared" si="8"/>
        <v>4</v>
      </c>
      <c r="AF1490" s="19" t="b">
        <f t="shared" si="13"/>
        <v>0</v>
      </c>
      <c r="AG1490" s="9"/>
      <c r="AH1490" s="9"/>
      <c r="AI1490" s="9"/>
    </row>
    <row r="1491" ht="15.0" customHeight="1">
      <c r="A1491" s="11">
        <v>1490.0</v>
      </c>
      <c r="B1491" s="12">
        <f t="shared" si="238"/>
        <v>40061</v>
      </c>
      <c r="C1491" s="13">
        <v>2009.0</v>
      </c>
      <c r="D1491" s="11" t="s">
        <v>32</v>
      </c>
      <c r="E1491" s="11">
        <v>32.0</v>
      </c>
      <c r="F1491" s="21" t="s">
        <v>506</v>
      </c>
      <c r="G1491" s="15">
        <v>0.047699999999999916</v>
      </c>
      <c r="H1491" s="11" t="s">
        <v>33</v>
      </c>
      <c r="I1491" s="16">
        <v>7.752</v>
      </c>
      <c r="J1491" s="11" t="s">
        <v>1799</v>
      </c>
      <c r="K1491" s="11" t="s">
        <v>117</v>
      </c>
      <c r="L1491" s="11" t="s">
        <v>48</v>
      </c>
      <c r="M1491" s="11" t="s">
        <v>28</v>
      </c>
      <c r="N1491" s="11" t="s">
        <v>29</v>
      </c>
      <c r="O1491" s="11" t="s">
        <v>1800</v>
      </c>
      <c r="P1491" s="11" t="s">
        <v>38</v>
      </c>
      <c r="Q1491" s="20">
        <v>40062.0</v>
      </c>
      <c r="R1491" s="17">
        <f t="shared" si="2"/>
        <v>10.9019304</v>
      </c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>
        <f t="shared" si="8"/>
        <v>4</v>
      </c>
      <c r="AF1491" s="19" t="b">
        <f t="shared" si="13"/>
        <v>0</v>
      </c>
      <c r="AG1491" s="9"/>
      <c r="AH1491" s="9"/>
      <c r="AI1491" s="9"/>
    </row>
    <row r="1492" ht="15.0" customHeight="1">
      <c r="A1492" s="11">
        <v>1491.0</v>
      </c>
      <c r="B1492" s="12">
        <f t="shared" si="238"/>
        <v>40061</v>
      </c>
      <c r="C1492" s="13">
        <v>2009.0</v>
      </c>
      <c r="D1492" s="11" t="s">
        <v>32</v>
      </c>
      <c r="E1492" s="11">
        <v>21.0</v>
      </c>
      <c r="F1492" s="21" t="s">
        <v>1244</v>
      </c>
      <c r="G1492" s="15">
        <v>0.05738617774250512</v>
      </c>
      <c r="H1492" s="11" t="s">
        <v>24</v>
      </c>
      <c r="I1492" s="16">
        <v>19.592</v>
      </c>
      <c r="J1492" s="11" t="s">
        <v>1801</v>
      </c>
      <c r="K1492" s="11" t="s">
        <v>26</v>
      </c>
      <c r="L1492" s="11" t="s">
        <v>48</v>
      </c>
      <c r="M1492" s="11" t="s">
        <v>49</v>
      </c>
      <c r="N1492" s="11" t="s">
        <v>50</v>
      </c>
      <c r="O1492" s="11" t="s">
        <v>1246</v>
      </c>
      <c r="P1492" s="11" t="s">
        <v>31</v>
      </c>
      <c r="Q1492" s="20">
        <v>40062.0</v>
      </c>
      <c r="R1492" s="17">
        <f t="shared" si="2"/>
        <v>333.9756181</v>
      </c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>
        <f t="shared" si="8"/>
        <v>4</v>
      </c>
      <c r="AF1492" s="19">
        <f t="shared" si="13"/>
        <v>1</v>
      </c>
      <c r="AG1492" s="9"/>
      <c r="AH1492" s="9"/>
      <c r="AI1492" s="9"/>
    </row>
    <row r="1493" ht="15.0" customHeight="1">
      <c r="A1493" s="11">
        <v>1492.0</v>
      </c>
      <c r="B1493" s="12">
        <f t="shared" si="238"/>
        <v>40061</v>
      </c>
      <c r="C1493" s="13">
        <v>2009.0</v>
      </c>
      <c r="D1493" s="11" t="s">
        <v>32</v>
      </c>
      <c r="E1493" s="11">
        <v>16.0</v>
      </c>
      <c r="F1493" s="21" t="s">
        <v>319</v>
      </c>
      <c r="G1493" s="15">
        <v>0.10884086444007857</v>
      </c>
      <c r="H1493" s="11" t="s">
        <v>33</v>
      </c>
      <c r="I1493" s="16">
        <v>0.5599999999999999</v>
      </c>
      <c r="J1493" s="11" t="s">
        <v>1801</v>
      </c>
      <c r="K1493" s="11" t="s">
        <v>26</v>
      </c>
      <c r="L1493" s="11" t="s">
        <v>48</v>
      </c>
      <c r="M1493" s="11" t="s">
        <v>28</v>
      </c>
      <c r="N1493" s="11" t="s">
        <v>62</v>
      </c>
      <c r="O1493" s="11" t="s">
        <v>1606</v>
      </c>
      <c r="P1493" s="11" t="s">
        <v>58</v>
      </c>
      <c r="Q1493" s="20">
        <v>40063.0</v>
      </c>
      <c r="R1493" s="17">
        <f t="shared" si="2"/>
        <v>4.937021611</v>
      </c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>
        <f t="shared" si="8"/>
        <v>4</v>
      </c>
      <c r="AF1493" s="19">
        <f t="shared" si="13"/>
        <v>1</v>
      </c>
      <c r="AG1493" s="9"/>
      <c r="AH1493" s="9"/>
      <c r="AI1493" s="9"/>
    </row>
    <row r="1494" ht="15.0" customHeight="1">
      <c r="A1494" s="11">
        <v>1493.0</v>
      </c>
      <c r="B1494" s="12">
        <f t="shared" si="238"/>
        <v>40061</v>
      </c>
      <c r="C1494" s="13">
        <v>2009.0</v>
      </c>
      <c r="D1494" s="11" t="s">
        <v>23</v>
      </c>
      <c r="E1494" s="11">
        <v>11.0</v>
      </c>
      <c r="F1494" s="21" t="s">
        <v>715</v>
      </c>
      <c r="G1494" s="15">
        <v>0.060684678774957826</v>
      </c>
      <c r="H1494" s="11" t="s">
        <v>45</v>
      </c>
      <c r="I1494" s="16">
        <v>11.76</v>
      </c>
      <c r="J1494" s="11" t="s">
        <v>780</v>
      </c>
      <c r="K1494" s="11" t="s">
        <v>83</v>
      </c>
      <c r="L1494" s="11" t="s">
        <v>48</v>
      </c>
      <c r="M1494" s="11" t="s">
        <v>66</v>
      </c>
      <c r="N1494" s="11" t="s">
        <v>69</v>
      </c>
      <c r="O1494" s="11" t="s">
        <v>717</v>
      </c>
      <c r="P1494" s="11" t="s">
        <v>52</v>
      </c>
      <c r="Q1494" s="20">
        <v>40063.0</v>
      </c>
      <c r="R1494" s="17">
        <f t="shared" si="2"/>
        <v>295.8293132</v>
      </c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>
        <f t="shared" si="8"/>
        <v>4</v>
      </c>
      <c r="AF1494" s="19" t="b">
        <f t="shared" si="13"/>
        <v>0</v>
      </c>
      <c r="AG1494" s="9"/>
      <c r="AH1494" s="9"/>
      <c r="AI1494" s="9"/>
    </row>
    <row r="1495" ht="15.0" customHeight="1">
      <c r="A1495" s="11">
        <v>1494.0</v>
      </c>
      <c r="B1495" s="12">
        <f t="shared" si="238"/>
        <v>40061</v>
      </c>
      <c r="C1495" s="13">
        <v>2009.0</v>
      </c>
      <c r="D1495" s="11" t="s">
        <v>23</v>
      </c>
      <c r="E1495" s="11">
        <v>33.0</v>
      </c>
      <c r="F1495" s="21" t="s">
        <v>1015</v>
      </c>
      <c r="G1495" s="15">
        <v>0.04707280832095106</v>
      </c>
      <c r="H1495" s="11" t="s">
        <v>33</v>
      </c>
      <c r="I1495" s="16">
        <v>4.296</v>
      </c>
      <c r="J1495" s="11" t="s">
        <v>1802</v>
      </c>
      <c r="K1495" s="11" t="s">
        <v>61</v>
      </c>
      <c r="L1495" s="11" t="s">
        <v>27</v>
      </c>
      <c r="M1495" s="11" t="s">
        <v>28</v>
      </c>
      <c r="N1495" s="11" t="s">
        <v>56</v>
      </c>
      <c r="O1495" s="11" t="s">
        <v>1803</v>
      </c>
      <c r="P1495" s="11" t="s">
        <v>38</v>
      </c>
      <c r="Q1495" s="20">
        <v>40063.0</v>
      </c>
      <c r="R1495" s="17">
        <f t="shared" si="2"/>
        <v>9.05662003</v>
      </c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>
        <f t="shared" si="8"/>
        <v>1</v>
      </c>
      <c r="AF1495" s="19">
        <f t="shared" si="13"/>
        <v>4</v>
      </c>
      <c r="AG1495" s="9"/>
      <c r="AH1495" s="9"/>
      <c r="AI1495" s="9"/>
    </row>
    <row r="1496" ht="15.0" customHeight="1">
      <c r="A1496" s="11">
        <v>1495.0</v>
      </c>
      <c r="B1496" s="12">
        <f t="shared" si="238"/>
        <v>40061</v>
      </c>
      <c r="C1496" s="13">
        <v>2009.0</v>
      </c>
      <c r="D1496" s="11" t="s">
        <v>102</v>
      </c>
      <c r="E1496" s="11">
        <v>43.0</v>
      </c>
      <c r="F1496" s="21" t="s">
        <v>869</v>
      </c>
      <c r="G1496" s="15">
        <v>0.03018978868617924</v>
      </c>
      <c r="H1496" s="11" t="s">
        <v>33</v>
      </c>
      <c r="I1496" s="16">
        <v>0.792</v>
      </c>
      <c r="J1496" s="11" t="s">
        <v>673</v>
      </c>
      <c r="K1496" s="11" t="s">
        <v>61</v>
      </c>
      <c r="L1496" s="11" t="s">
        <v>27</v>
      </c>
      <c r="M1496" s="11" t="s">
        <v>66</v>
      </c>
      <c r="N1496" s="11" t="s">
        <v>80</v>
      </c>
      <c r="O1496" s="11" t="s">
        <v>1055</v>
      </c>
      <c r="P1496" s="11" t="s">
        <v>58</v>
      </c>
      <c r="Q1496" s="20">
        <v>40063.0</v>
      </c>
      <c r="R1496" s="17">
        <f t="shared" si="2"/>
        <v>111.5359328</v>
      </c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>
        <f t="shared" si="8"/>
        <v>1</v>
      </c>
      <c r="AF1496" s="19">
        <f t="shared" si="13"/>
        <v>4</v>
      </c>
      <c r="AG1496" s="9"/>
      <c r="AH1496" s="9"/>
      <c r="AI1496" s="9"/>
    </row>
    <row r="1497" ht="15.0" customHeight="1">
      <c r="A1497" s="11">
        <v>1496.0</v>
      </c>
      <c r="B1497" s="12">
        <f t="shared" ref="B1497:B1503" si="239">DATE(2012,12,31)-1212</f>
        <v>40062</v>
      </c>
      <c r="C1497" s="13">
        <v>2009.0</v>
      </c>
      <c r="D1497" s="11" t="s">
        <v>44</v>
      </c>
      <c r="E1497" s="11">
        <v>10.0</v>
      </c>
      <c r="F1497" s="21" t="s">
        <v>186</v>
      </c>
      <c r="G1497" s="15">
        <v>0.08455696202531636</v>
      </c>
      <c r="H1497" s="11" t="s">
        <v>33</v>
      </c>
      <c r="I1497" s="16">
        <v>2.3920000000000003</v>
      </c>
      <c r="J1497" s="11" t="s">
        <v>561</v>
      </c>
      <c r="K1497" s="11" t="s">
        <v>65</v>
      </c>
      <c r="L1497" s="11" t="s">
        <v>36</v>
      </c>
      <c r="M1497" s="11" t="s">
        <v>28</v>
      </c>
      <c r="N1497" s="11" t="s">
        <v>42</v>
      </c>
      <c r="O1497" s="11" t="s">
        <v>1804</v>
      </c>
      <c r="P1497" s="11" t="s">
        <v>38</v>
      </c>
      <c r="Q1497" s="20">
        <v>40063.0</v>
      </c>
      <c r="R1497" s="17">
        <f t="shared" si="2"/>
        <v>3.669095696</v>
      </c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>
        <f t="shared" si="8"/>
        <v>2</v>
      </c>
      <c r="AF1497" s="19">
        <f t="shared" si="13"/>
        <v>5</v>
      </c>
      <c r="AG1497" s="9"/>
      <c r="AH1497" s="9"/>
      <c r="AI1497" s="9"/>
    </row>
    <row r="1498" ht="15.0" customHeight="1">
      <c r="A1498" s="11">
        <v>1497.0</v>
      </c>
      <c r="B1498" s="12">
        <f t="shared" si="239"/>
        <v>40062</v>
      </c>
      <c r="C1498" s="13">
        <v>2009.0</v>
      </c>
      <c r="D1498" s="11" t="s">
        <v>23</v>
      </c>
      <c r="E1498" s="11">
        <v>7.0</v>
      </c>
      <c r="F1498" s="21" t="s">
        <v>397</v>
      </c>
      <c r="G1498" s="15">
        <v>0.04054590570719604</v>
      </c>
      <c r="H1498" s="11" t="s">
        <v>33</v>
      </c>
      <c r="I1498" s="16">
        <v>10.096</v>
      </c>
      <c r="J1498" s="11" t="s">
        <v>1114</v>
      </c>
      <c r="K1498" s="11" t="s">
        <v>47</v>
      </c>
      <c r="L1498" s="11" t="s">
        <v>27</v>
      </c>
      <c r="M1498" s="11" t="s">
        <v>28</v>
      </c>
      <c r="N1498" s="11" t="s">
        <v>42</v>
      </c>
      <c r="O1498" s="11" t="s">
        <v>1333</v>
      </c>
      <c r="P1498" s="11" t="s">
        <v>38</v>
      </c>
      <c r="Q1498" s="20">
        <v>40063.0</v>
      </c>
      <c r="R1498" s="17">
        <f t="shared" si="2"/>
        <v>9.40648794</v>
      </c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>
        <f t="shared" si="8"/>
        <v>1</v>
      </c>
      <c r="AF1498" s="19">
        <f t="shared" si="13"/>
        <v>3</v>
      </c>
      <c r="AG1498" s="9"/>
      <c r="AH1498" s="9"/>
      <c r="AI1498" s="9"/>
    </row>
    <row r="1499" ht="15.0" customHeight="1">
      <c r="A1499" s="11">
        <v>1498.0</v>
      </c>
      <c r="B1499" s="12">
        <f t="shared" si="239"/>
        <v>40062</v>
      </c>
      <c r="C1499" s="13">
        <v>2009.0</v>
      </c>
      <c r="D1499" s="11" t="s">
        <v>39</v>
      </c>
      <c r="E1499" s="11">
        <v>44.0</v>
      </c>
      <c r="F1499" s="21" t="s">
        <v>573</v>
      </c>
      <c r="G1499" s="15">
        <v>0.05804072883172554</v>
      </c>
      <c r="H1499" s="11" t="s">
        <v>33</v>
      </c>
      <c r="I1499" s="16">
        <v>3.8240000000000003</v>
      </c>
      <c r="J1499" s="11" t="s">
        <v>1805</v>
      </c>
      <c r="K1499" s="11" t="s">
        <v>65</v>
      </c>
      <c r="L1499" s="11" t="s">
        <v>27</v>
      </c>
      <c r="M1499" s="11" t="s">
        <v>28</v>
      </c>
      <c r="N1499" s="11" t="s">
        <v>56</v>
      </c>
      <c r="O1499" s="11" t="s">
        <v>1806</v>
      </c>
      <c r="P1499" s="11" t="s">
        <v>38</v>
      </c>
      <c r="Q1499" s="20">
        <v>40063.0</v>
      </c>
      <c r="R1499" s="17">
        <f t="shared" si="2"/>
        <v>25.50448923</v>
      </c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>
        <f t="shared" si="8"/>
        <v>1</v>
      </c>
      <c r="AF1499" s="19">
        <f t="shared" si="13"/>
        <v>5</v>
      </c>
      <c r="AG1499" s="9"/>
      <c r="AH1499" s="9"/>
      <c r="AI1499" s="9"/>
    </row>
    <row r="1500" ht="15.0" customHeight="1">
      <c r="A1500" s="11">
        <v>1499.0</v>
      </c>
      <c r="B1500" s="12">
        <f t="shared" si="239"/>
        <v>40062</v>
      </c>
      <c r="C1500" s="13">
        <v>2009.0</v>
      </c>
      <c r="D1500" s="11" t="s">
        <v>39</v>
      </c>
      <c r="E1500" s="11">
        <v>43.0</v>
      </c>
      <c r="F1500" s="21" t="s">
        <v>536</v>
      </c>
      <c r="G1500" s="15">
        <v>0.05974085419527484</v>
      </c>
      <c r="H1500" s="11" t="s">
        <v>45</v>
      </c>
      <c r="I1500" s="16">
        <v>56.160000000000004</v>
      </c>
      <c r="J1500" s="11" t="s">
        <v>746</v>
      </c>
      <c r="K1500" s="11" t="s">
        <v>65</v>
      </c>
      <c r="L1500" s="11" t="s">
        <v>48</v>
      </c>
      <c r="M1500" s="11" t="s">
        <v>49</v>
      </c>
      <c r="N1500" s="11" t="s">
        <v>50</v>
      </c>
      <c r="O1500" s="11" t="s">
        <v>537</v>
      </c>
      <c r="P1500" s="11" t="s">
        <v>52</v>
      </c>
      <c r="Q1500" s="20">
        <v>40063.0</v>
      </c>
      <c r="R1500" s="17">
        <f t="shared" si="2"/>
        <v>319.0675385</v>
      </c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>
        <f t="shared" si="8"/>
        <v>4</v>
      </c>
      <c r="AF1500" s="19">
        <f t="shared" si="13"/>
        <v>5</v>
      </c>
      <c r="AG1500" s="9"/>
      <c r="AH1500" s="9"/>
      <c r="AI1500" s="9"/>
    </row>
    <row r="1501" ht="15.0" customHeight="1">
      <c r="A1501" s="11">
        <v>1500.0</v>
      </c>
      <c r="B1501" s="12">
        <f t="shared" si="239"/>
        <v>40062</v>
      </c>
      <c r="C1501" s="13">
        <v>2009.0</v>
      </c>
      <c r="D1501" s="11" t="s">
        <v>39</v>
      </c>
      <c r="E1501" s="11">
        <v>45.0</v>
      </c>
      <c r="F1501" s="21" t="s">
        <v>158</v>
      </c>
      <c r="G1501" s="15">
        <v>0.07345682888540037</v>
      </c>
      <c r="H1501" s="11" t="s">
        <v>33</v>
      </c>
      <c r="I1501" s="16">
        <v>7.104000000000001</v>
      </c>
      <c r="J1501" s="11" t="s">
        <v>746</v>
      </c>
      <c r="K1501" s="11" t="s">
        <v>65</v>
      </c>
      <c r="L1501" s="11" t="s">
        <v>48</v>
      </c>
      <c r="M1501" s="11" t="s">
        <v>28</v>
      </c>
      <c r="N1501" s="11" t="s">
        <v>56</v>
      </c>
      <c r="O1501" s="11" t="s">
        <v>1807</v>
      </c>
      <c r="P1501" s="11" t="s">
        <v>38</v>
      </c>
      <c r="Q1501" s="20">
        <v>40064.0</v>
      </c>
      <c r="R1501" s="17">
        <f t="shared" si="2"/>
        <v>21.67740403</v>
      </c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>
        <f t="shared" si="8"/>
        <v>4</v>
      </c>
      <c r="AF1501" s="19">
        <f t="shared" si="13"/>
        <v>5</v>
      </c>
      <c r="AG1501" s="9"/>
      <c r="AH1501" s="9"/>
      <c r="AI1501" s="9"/>
    </row>
    <row r="1502" ht="15.0" customHeight="1">
      <c r="A1502" s="11">
        <v>1501.0</v>
      </c>
      <c r="B1502" s="12">
        <f t="shared" si="239"/>
        <v>40062</v>
      </c>
      <c r="C1502" s="13">
        <v>2009.0</v>
      </c>
      <c r="D1502" s="11" t="s">
        <v>39</v>
      </c>
      <c r="E1502" s="11">
        <v>27.0</v>
      </c>
      <c r="F1502" s="21" t="s">
        <v>1097</v>
      </c>
      <c r="G1502" s="15">
        <v>0.08385750311603249</v>
      </c>
      <c r="H1502" s="11" t="s">
        <v>45</v>
      </c>
      <c r="I1502" s="16">
        <v>48.0</v>
      </c>
      <c r="J1502" s="11" t="s">
        <v>746</v>
      </c>
      <c r="K1502" s="11" t="s">
        <v>65</v>
      </c>
      <c r="L1502" s="11" t="s">
        <v>48</v>
      </c>
      <c r="M1502" s="11" t="s">
        <v>49</v>
      </c>
      <c r="N1502" s="11" t="s">
        <v>85</v>
      </c>
      <c r="O1502" s="11" t="s">
        <v>1098</v>
      </c>
      <c r="P1502" s="11" t="s">
        <v>52</v>
      </c>
      <c r="Q1502" s="20">
        <v>40064.0</v>
      </c>
      <c r="R1502" s="17">
        <f t="shared" si="2"/>
        <v>795.120073</v>
      </c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>
        <f t="shared" si="8"/>
        <v>4</v>
      </c>
      <c r="AF1502" s="19">
        <f t="shared" si="13"/>
        <v>5</v>
      </c>
      <c r="AG1502" s="9"/>
      <c r="AH1502" s="9"/>
      <c r="AI1502" s="9"/>
    </row>
    <row r="1503" ht="15.0" customHeight="1">
      <c r="A1503" s="11">
        <v>1502.0</v>
      </c>
      <c r="B1503" s="12">
        <f t="shared" si="239"/>
        <v>40062</v>
      </c>
      <c r="C1503" s="13">
        <v>2009.0</v>
      </c>
      <c r="D1503" s="11" t="s">
        <v>44</v>
      </c>
      <c r="E1503" s="11">
        <v>17.0</v>
      </c>
      <c r="F1503" s="21" t="s">
        <v>158</v>
      </c>
      <c r="G1503" s="15">
        <v>0.10362352941176461</v>
      </c>
      <c r="H1503" s="11" t="s">
        <v>33</v>
      </c>
      <c r="I1503" s="16">
        <v>5.488</v>
      </c>
      <c r="J1503" s="11" t="s">
        <v>843</v>
      </c>
      <c r="K1503" s="11" t="s">
        <v>61</v>
      </c>
      <c r="L1503" s="11" t="s">
        <v>48</v>
      </c>
      <c r="M1503" s="11" t="s">
        <v>28</v>
      </c>
      <c r="N1503" s="11" t="s">
        <v>56</v>
      </c>
      <c r="O1503" s="11" t="s">
        <v>817</v>
      </c>
      <c r="P1503" s="11" t="s">
        <v>38</v>
      </c>
      <c r="Q1503" s="20">
        <v>40064.0</v>
      </c>
      <c r="R1503" s="17">
        <f t="shared" si="2"/>
        <v>11.84292593</v>
      </c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>
        <f t="shared" si="8"/>
        <v>4</v>
      </c>
      <c r="AF1503" s="19">
        <f t="shared" si="13"/>
        <v>4</v>
      </c>
      <c r="AG1503" s="9"/>
      <c r="AH1503" s="9"/>
      <c r="AI1503" s="9"/>
    </row>
    <row r="1504" ht="15.0" customHeight="1">
      <c r="A1504" s="11">
        <v>1503.0</v>
      </c>
      <c r="B1504" s="12">
        <f t="shared" ref="B1504:B1506" si="240">DATE(2012,12,31)-1211</f>
        <v>40063</v>
      </c>
      <c r="C1504" s="13">
        <v>2009.0</v>
      </c>
      <c r="D1504" s="11" t="s">
        <v>23</v>
      </c>
      <c r="E1504" s="11">
        <v>16.0</v>
      </c>
      <c r="F1504" s="21" t="s">
        <v>678</v>
      </c>
      <c r="G1504" s="15">
        <v>0.07878095238095244</v>
      </c>
      <c r="H1504" s="11" t="s">
        <v>33</v>
      </c>
      <c r="I1504" s="16">
        <v>0.7280000000000001</v>
      </c>
      <c r="J1504" s="11" t="s">
        <v>744</v>
      </c>
      <c r="K1504" s="11" t="s">
        <v>61</v>
      </c>
      <c r="L1504" s="11" t="s">
        <v>48</v>
      </c>
      <c r="M1504" s="11" t="s">
        <v>28</v>
      </c>
      <c r="N1504" s="11" t="s">
        <v>62</v>
      </c>
      <c r="O1504" s="11" t="s">
        <v>1808</v>
      </c>
      <c r="P1504" s="11" t="s">
        <v>58</v>
      </c>
      <c r="Q1504" s="20">
        <v>40065.0</v>
      </c>
      <c r="R1504" s="17">
        <f t="shared" si="2"/>
        <v>7.620323962</v>
      </c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>
        <f t="shared" si="8"/>
        <v>4</v>
      </c>
      <c r="AF1504" s="19">
        <f t="shared" si="13"/>
        <v>4</v>
      </c>
      <c r="AG1504" s="9"/>
      <c r="AH1504" s="9"/>
      <c r="AI1504" s="9"/>
    </row>
    <row r="1505" ht="15.0" customHeight="1">
      <c r="A1505" s="11">
        <v>1504.0</v>
      </c>
      <c r="B1505" s="12">
        <f t="shared" si="240"/>
        <v>40063</v>
      </c>
      <c r="C1505" s="13">
        <v>2009.0</v>
      </c>
      <c r="D1505" s="11" t="s">
        <v>23</v>
      </c>
      <c r="E1505" s="11">
        <v>28.0</v>
      </c>
      <c r="F1505" s="21" t="s">
        <v>306</v>
      </c>
      <c r="G1505" s="15">
        <v>0.07567994731643081</v>
      </c>
      <c r="H1505" s="11" t="s">
        <v>33</v>
      </c>
      <c r="I1505" s="16">
        <v>4.232</v>
      </c>
      <c r="J1505" s="11" t="s">
        <v>744</v>
      </c>
      <c r="K1505" s="11" t="s">
        <v>61</v>
      </c>
      <c r="L1505" s="11" t="s">
        <v>48</v>
      </c>
      <c r="M1505" s="11" t="s">
        <v>28</v>
      </c>
      <c r="N1505" s="11" t="s">
        <v>197</v>
      </c>
      <c r="O1505" s="11" t="s">
        <v>1809</v>
      </c>
      <c r="P1505" s="11" t="s">
        <v>75</v>
      </c>
      <c r="Q1505" s="20">
        <v>40065.0</v>
      </c>
      <c r="R1505" s="17">
        <f t="shared" si="2"/>
        <v>42.48914418</v>
      </c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>
        <f t="shared" si="8"/>
        <v>4</v>
      </c>
      <c r="AF1505" s="19">
        <f t="shared" si="13"/>
        <v>4</v>
      </c>
      <c r="AG1505" s="9"/>
      <c r="AH1505" s="9"/>
      <c r="AI1505" s="9"/>
    </row>
    <row r="1506" ht="15.0" customHeight="1">
      <c r="A1506" s="11">
        <v>1505.0</v>
      </c>
      <c r="B1506" s="12">
        <f t="shared" si="240"/>
        <v>40063</v>
      </c>
      <c r="C1506" s="13">
        <v>2009.0</v>
      </c>
      <c r="D1506" s="11" t="s">
        <v>23</v>
      </c>
      <c r="E1506" s="11">
        <v>46.0</v>
      </c>
      <c r="F1506" s="21" t="s">
        <v>894</v>
      </c>
      <c r="G1506" s="15">
        <v>0.043804878048780645</v>
      </c>
      <c r="H1506" s="11" t="s">
        <v>33</v>
      </c>
      <c r="I1506" s="16">
        <v>5.016</v>
      </c>
      <c r="J1506" s="11" t="s">
        <v>744</v>
      </c>
      <c r="K1506" s="11" t="s">
        <v>61</v>
      </c>
      <c r="L1506" s="11" t="s">
        <v>48</v>
      </c>
      <c r="M1506" s="11" t="s">
        <v>28</v>
      </c>
      <c r="N1506" s="11" t="s">
        <v>42</v>
      </c>
      <c r="O1506" s="11" t="s">
        <v>89</v>
      </c>
      <c r="P1506" s="11" t="s">
        <v>38</v>
      </c>
      <c r="Q1506" s="20">
        <v>40065.0</v>
      </c>
      <c r="R1506" s="17">
        <f t="shared" si="2"/>
        <v>6.869305756</v>
      </c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>
        <f t="shared" si="8"/>
        <v>4</v>
      </c>
      <c r="AF1506" s="19">
        <f t="shared" si="13"/>
        <v>4</v>
      </c>
      <c r="AG1506" s="9"/>
      <c r="AH1506" s="9"/>
      <c r="AI1506" s="9"/>
    </row>
    <row r="1507" ht="15.0" customHeight="1">
      <c r="A1507" s="11">
        <v>1506.0</v>
      </c>
      <c r="B1507" s="12">
        <f t="shared" ref="B1507:B1510" si="241">DATE(2012,12,31)-1210</f>
        <v>40064</v>
      </c>
      <c r="C1507" s="13">
        <v>2009.0</v>
      </c>
      <c r="D1507" s="11" t="s">
        <v>44</v>
      </c>
      <c r="E1507" s="11">
        <v>38.0</v>
      </c>
      <c r="F1507" s="21" t="s">
        <v>207</v>
      </c>
      <c r="G1507" s="15">
        <v>0.0918360071301248</v>
      </c>
      <c r="H1507" s="11" t="s">
        <v>24</v>
      </c>
      <c r="I1507" s="16">
        <v>2.3920000000000003</v>
      </c>
      <c r="J1507" s="11" t="s">
        <v>973</v>
      </c>
      <c r="K1507" s="11" t="s">
        <v>61</v>
      </c>
      <c r="L1507" s="11" t="s">
        <v>36</v>
      </c>
      <c r="M1507" s="11" t="s">
        <v>28</v>
      </c>
      <c r="N1507" s="11" t="s">
        <v>42</v>
      </c>
      <c r="O1507" s="11" t="s">
        <v>682</v>
      </c>
      <c r="P1507" s="11" t="s">
        <v>38</v>
      </c>
      <c r="Q1507" s="20">
        <v>40066.0</v>
      </c>
      <c r="R1507" s="17">
        <f t="shared" si="2"/>
        <v>18.71544357</v>
      </c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>
        <f t="shared" si="8"/>
        <v>2</v>
      </c>
      <c r="AF1507" s="19">
        <f t="shared" si="13"/>
        <v>4</v>
      </c>
      <c r="AG1507" s="9"/>
      <c r="AH1507" s="9"/>
      <c r="AI1507" s="9"/>
    </row>
    <row r="1508" ht="15.0" customHeight="1">
      <c r="A1508" s="11">
        <v>1507.0</v>
      </c>
      <c r="B1508" s="12">
        <f t="shared" si="241"/>
        <v>40064</v>
      </c>
      <c r="C1508" s="13">
        <v>2009.0</v>
      </c>
      <c r="D1508" s="11" t="s">
        <v>44</v>
      </c>
      <c r="E1508" s="11">
        <v>10.0</v>
      </c>
      <c r="F1508" s="21" t="s">
        <v>394</v>
      </c>
      <c r="G1508" s="15">
        <v>0.07275723318643414</v>
      </c>
      <c r="H1508" s="11" t="s">
        <v>45</v>
      </c>
      <c r="I1508" s="16">
        <v>42.784</v>
      </c>
      <c r="J1508" s="11" t="s">
        <v>973</v>
      </c>
      <c r="K1508" s="11" t="s">
        <v>61</v>
      </c>
      <c r="L1508" s="11" t="s">
        <v>36</v>
      </c>
      <c r="M1508" s="11" t="s">
        <v>49</v>
      </c>
      <c r="N1508" s="11" t="s">
        <v>156</v>
      </c>
      <c r="O1508" s="11" t="s">
        <v>396</v>
      </c>
      <c r="P1508" s="11" t="s">
        <v>87</v>
      </c>
      <c r="Q1508" s="20">
        <v>40066.0</v>
      </c>
      <c r="R1508" s="17">
        <f t="shared" si="2"/>
        <v>105.627787</v>
      </c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>
        <f t="shared" si="8"/>
        <v>2</v>
      </c>
      <c r="AF1508" s="19">
        <f t="shared" si="13"/>
        <v>4</v>
      </c>
      <c r="AG1508" s="9"/>
      <c r="AH1508" s="9"/>
      <c r="AI1508" s="9"/>
    </row>
    <row r="1509" ht="15.0" customHeight="1">
      <c r="A1509" s="11">
        <v>1508.0</v>
      </c>
      <c r="B1509" s="12">
        <f t="shared" si="241"/>
        <v>40064</v>
      </c>
      <c r="C1509" s="13">
        <v>2009.0</v>
      </c>
      <c r="D1509" s="11" t="s">
        <v>44</v>
      </c>
      <c r="E1509" s="11">
        <v>25.0</v>
      </c>
      <c r="F1509" s="21" t="s">
        <v>100</v>
      </c>
      <c r="G1509" s="15">
        <v>0.057206229526197416</v>
      </c>
      <c r="H1509" s="11" t="s">
        <v>33</v>
      </c>
      <c r="I1509" s="16">
        <v>4.208</v>
      </c>
      <c r="J1509" s="11" t="s">
        <v>973</v>
      </c>
      <c r="K1509" s="11" t="s">
        <v>61</v>
      </c>
      <c r="L1509" s="11" t="s">
        <v>36</v>
      </c>
      <c r="M1509" s="11" t="s">
        <v>66</v>
      </c>
      <c r="N1509" s="11" t="s">
        <v>80</v>
      </c>
      <c r="O1509" s="11" t="s">
        <v>1810</v>
      </c>
      <c r="P1509" s="11" t="s">
        <v>38</v>
      </c>
      <c r="Q1509" s="20">
        <v>40067.0</v>
      </c>
      <c r="R1509" s="17">
        <f t="shared" si="2"/>
        <v>294.7097903</v>
      </c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>
        <f t="shared" si="8"/>
        <v>2</v>
      </c>
      <c r="AF1509" s="19">
        <f t="shared" si="13"/>
        <v>4</v>
      </c>
      <c r="AG1509" s="9"/>
      <c r="AH1509" s="9"/>
      <c r="AI1509" s="9"/>
    </row>
    <row r="1510" ht="15.0" customHeight="1">
      <c r="A1510" s="11">
        <v>1509.0</v>
      </c>
      <c r="B1510" s="12">
        <f t="shared" si="241"/>
        <v>40064</v>
      </c>
      <c r="C1510" s="13">
        <v>2009.0</v>
      </c>
      <c r="D1510" s="11" t="s">
        <v>39</v>
      </c>
      <c r="E1510" s="11">
        <v>31.0</v>
      </c>
      <c r="F1510" s="21" t="s">
        <v>245</v>
      </c>
      <c r="G1510" s="15">
        <v>0.025059847660500668</v>
      </c>
      <c r="H1510" s="11" t="s">
        <v>33</v>
      </c>
      <c r="I1510" s="16">
        <v>1.888</v>
      </c>
      <c r="J1510" s="11" t="s">
        <v>1466</v>
      </c>
      <c r="K1510" s="11" t="s">
        <v>65</v>
      </c>
      <c r="L1510" s="11" t="s">
        <v>48</v>
      </c>
      <c r="M1510" s="11" t="s">
        <v>28</v>
      </c>
      <c r="N1510" s="11" t="s">
        <v>62</v>
      </c>
      <c r="O1510" s="11" t="s">
        <v>246</v>
      </c>
      <c r="P1510" s="11" t="s">
        <v>58</v>
      </c>
      <c r="Q1510" s="20">
        <v>40067.0</v>
      </c>
      <c r="R1510" s="17">
        <f t="shared" si="2"/>
        <v>8.981148683</v>
      </c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>
        <f t="shared" si="8"/>
        <v>4</v>
      </c>
      <c r="AF1510" s="19">
        <f t="shared" si="13"/>
        <v>5</v>
      </c>
      <c r="AG1510" s="9"/>
      <c r="AH1510" s="9"/>
      <c r="AI1510" s="9"/>
    </row>
    <row r="1511" ht="15.0" customHeight="1">
      <c r="A1511" s="11">
        <v>1510.0</v>
      </c>
      <c r="B1511" s="12">
        <f>DATE(2012,12,31)-1209</f>
        <v>40065</v>
      </c>
      <c r="C1511" s="13">
        <v>2009.0</v>
      </c>
      <c r="D1511" s="11" t="s">
        <v>39</v>
      </c>
      <c r="E1511" s="11">
        <v>5.0</v>
      </c>
      <c r="F1511" s="21" t="s">
        <v>319</v>
      </c>
      <c r="G1511" s="15">
        <v>0.10674846625766872</v>
      </c>
      <c r="H1511" s="11" t="s">
        <v>33</v>
      </c>
      <c r="I1511" s="16">
        <v>0.5599999999999999</v>
      </c>
      <c r="J1511" s="11" t="s">
        <v>1811</v>
      </c>
      <c r="K1511" s="11" t="s">
        <v>65</v>
      </c>
      <c r="L1511" s="11" t="s">
        <v>48</v>
      </c>
      <c r="M1511" s="11" t="s">
        <v>28</v>
      </c>
      <c r="N1511" s="11" t="s">
        <v>62</v>
      </c>
      <c r="O1511" s="11" t="s">
        <v>1606</v>
      </c>
      <c r="P1511" s="11" t="s">
        <v>58</v>
      </c>
      <c r="Q1511" s="20">
        <v>40068.0</v>
      </c>
      <c r="R1511" s="17">
        <f t="shared" si="2"/>
        <v>1.554257669</v>
      </c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>
        <f t="shared" si="8"/>
        <v>4</v>
      </c>
      <c r="AF1511" s="19">
        <f t="shared" si="13"/>
        <v>5</v>
      </c>
      <c r="AG1511" s="9"/>
      <c r="AH1511" s="9"/>
      <c r="AI1511" s="9"/>
    </row>
    <row r="1512" ht="15.0" customHeight="1">
      <c r="A1512" s="11">
        <v>1511.0</v>
      </c>
      <c r="B1512" s="12">
        <f t="shared" ref="B1512:B1514" si="242">DATE(2012,12,31)-1208</f>
        <v>40066</v>
      </c>
      <c r="C1512" s="13">
        <v>2009.0</v>
      </c>
      <c r="D1512" s="11" t="s">
        <v>23</v>
      </c>
      <c r="E1512" s="11">
        <v>14.0</v>
      </c>
      <c r="F1512" s="21" t="s">
        <v>287</v>
      </c>
      <c r="G1512" s="15">
        <v>0.04861458818293343</v>
      </c>
      <c r="H1512" s="11" t="s">
        <v>33</v>
      </c>
      <c r="I1512" s="16">
        <v>2.0</v>
      </c>
      <c r="J1512" s="11" t="s">
        <v>1657</v>
      </c>
      <c r="K1512" s="11" t="s">
        <v>61</v>
      </c>
      <c r="L1512" s="11" t="s">
        <v>48</v>
      </c>
      <c r="M1512" s="11" t="s">
        <v>66</v>
      </c>
      <c r="N1512" s="11" t="s">
        <v>80</v>
      </c>
      <c r="O1512" s="11" t="s">
        <v>1812</v>
      </c>
      <c r="P1512" s="11" t="s">
        <v>38</v>
      </c>
      <c r="Q1512" s="20">
        <v>40068.0</v>
      </c>
      <c r="R1512" s="17">
        <f t="shared" si="2"/>
        <v>78.97925996</v>
      </c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>
        <f t="shared" si="8"/>
        <v>4</v>
      </c>
      <c r="AF1512" s="19">
        <f t="shared" si="13"/>
        <v>4</v>
      </c>
      <c r="AG1512" s="9"/>
      <c r="AH1512" s="9"/>
      <c r="AI1512" s="9"/>
    </row>
    <row r="1513" ht="15.0" customHeight="1">
      <c r="A1513" s="11">
        <v>1512.0</v>
      </c>
      <c r="B1513" s="12">
        <f t="shared" si="242"/>
        <v>40066</v>
      </c>
      <c r="C1513" s="13">
        <v>2009.0</v>
      </c>
      <c r="D1513" s="11" t="s">
        <v>23</v>
      </c>
      <c r="E1513" s="11">
        <v>38.0</v>
      </c>
      <c r="F1513" s="21" t="s">
        <v>103</v>
      </c>
      <c r="G1513" s="15">
        <v>0.036902356902356784</v>
      </c>
      <c r="H1513" s="11" t="s">
        <v>33</v>
      </c>
      <c r="I1513" s="16">
        <v>4.632000000000001</v>
      </c>
      <c r="J1513" s="11" t="s">
        <v>1657</v>
      </c>
      <c r="K1513" s="11" t="s">
        <v>61</v>
      </c>
      <c r="L1513" s="11" t="s">
        <v>48</v>
      </c>
      <c r="M1513" s="11" t="s">
        <v>28</v>
      </c>
      <c r="N1513" s="11" t="s">
        <v>56</v>
      </c>
      <c r="O1513" s="11" t="s">
        <v>283</v>
      </c>
      <c r="P1513" s="11" t="s">
        <v>38</v>
      </c>
      <c r="Q1513" s="20">
        <v>40068.0</v>
      </c>
      <c r="R1513" s="17">
        <f t="shared" si="2"/>
        <v>8.444440135</v>
      </c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>
        <f t="shared" si="8"/>
        <v>4</v>
      </c>
      <c r="AF1513" s="19">
        <f t="shared" si="13"/>
        <v>4</v>
      </c>
      <c r="AG1513" s="9"/>
      <c r="AH1513" s="9"/>
      <c r="AI1513" s="9"/>
    </row>
    <row r="1514" ht="15.0" customHeight="1">
      <c r="A1514" s="11">
        <v>1513.0</v>
      </c>
      <c r="B1514" s="12">
        <f t="shared" si="242"/>
        <v>40066</v>
      </c>
      <c r="C1514" s="13">
        <v>2009.0</v>
      </c>
      <c r="D1514" s="11" t="s">
        <v>39</v>
      </c>
      <c r="E1514" s="11">
        <v>24.0</v>
      </c>
      <c r="F1514" s="21" t="s">
        <v>1282</v>
      </c>
      <c r="G1514" s="15">
        <v>0.05765919775322076</v>
      </c>
      <c r="H1514" s="11" t="s">
        <v>24</v>
      </c>
      <c r="I1514" s="16">
        <v>10.120000000000001</v>
      </c>
      <c r="J1514" s="11" t="s">
        <v>412</v>
      </c>
      <c r="K1514" s="11" t="s">
        <v>35</v>
      </c>
      <c r="L1514" s="11" t="s">
        <v>27</v>
      </c>
      <c r="M1514" s="11" t="s">
        <v>49</v>
      </c>
      <c r="N1514" s="11" t="s">
        <v>50</v>
      </c>
      <c r="O1514" s="11" t="s">
        <v>1283</v>
      </c>
      <c r="P1514" s="11" t="s">
        <v>75</v>
      </c>
      <c r="Q1514" s="20">
        <v>40068.0</v>
      </c>
      <c r="R1514" s="17">
        <f t="shared" si="2"/>
        <v>177.9893307</v>
      </c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>
        <f t="shared" si="8"/>
        <v>1</v>
      </c>
      <c r="AF1514" s="19">
        <f t="shared" si="13"/>
        <v>2</v>
      </c>
      <c r="AG1514" s="9"/>
      <c r="AH1514" s="9"/>
      <c r="AI1514" s="9"/>
    </row>
    <row r="1515" ht="15.0" customHeight="1">
      <c r="A1515" s="11">
        <v>1514.0</v>
      </c>
      <c r="B1515" s="12">
        <f t="shared" ref="B1515:B1524" si="243">DATE(2012,12,31)-1207</f>
        <v>40067</v>
      </c>
      <c r="C1515" s="13">
        <v>2009.0</v>
      </c>
      <c r="D1515" s="11" t="s">
        <v>39</v>
      </c>
      <c r="E1515" s="11">
        <v>39.0</v>
      </c>
      <c r="F1515" s="21" t="s">
        <v>218</v>
      </c>
      <c r="G1515" s="15">
        <v>0.06972806279786924</v>
      </c>
      <c r="H1515" s="11" t="s">
        <v>33</v>
      </c>
      <c r="I1515" s="16">
        <v>8.128</v>
      </c>
      <c r="J1515" s="11" t="s">
        <v>597</v>
      </c>
      <c r="K1515" s="11" t="s">
        <v>26</v>
      </c>
      <c r="L1515" s="11" t="s">
        <v>48</v>
      </c>
      <c r="M1515" s="11" t="s">
        <v>49</v>
      </c>
      <c r="N1515" s="11" t="s">
        <v>73</v>
      </c>
      <c r="O1515" s="11" t="s">
        <v>1517</v>
      </c>
      <c r="P1515" s="11" t="s">
        <v>31</v>
      </c>
      <c r="Q1515" s="20">
        <v>40068.0</v>
      </c>
      <c r="R1515" s="17">
        <f t="shared" si="2"/>
        <v>23.13772362</v>
      </c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>
        <f t="shared" si="8"/>
        <v>4</v>
      </c>
      <c r="AF1515" s="19">
        <f t="shared" si="13"/>
        <v>1</v>
      </c>
      <c r="AG1515" s="9"/>
      <c r="AH1515" s="9"/>
      <c r="AI1515" s="9"/>
    </row>
    <row r="1516" ht="15.0" customHeight="1">
      <c r="A1516" s="11">
        <v>1515.0</v>
      </c>
      <c r="B1516" s="12">
        <f t="shared" si="243"/>
        <v>40067</v>
      </c>
      <c r="C1516" s="13">
        <v>2009.0</v>
      </c>
      <c r="D1516" s="11" t="s">
        <v>39</v>
      </c>
      <c r="E1516" s="11">
        <v>14.0</v>
      </c>
      <c r="F1516" s="21" t="s">
        <v>158</v>
      </c>
      <c r="G1516" s="15">
        <v>0.10904411764705874</v>
      </c>
      <c r="H1516" s="11" t="s">
        <v>24</v>
      </c>
      <c r="I1516" s="16">
        <v>7.336</v>
      </c>
      <c r="J1516" s="11" t="s">
        <v>597</v>
      </c>
      <c r="K1516" s="11" t="s">
        <v>26</v>
      </c>
      <c r="L1516" s="11" t="s">
        <v>48</v>
      </c>
      <c r="M1516" s="11" t="s">
        <v>28</v>
      </c>
      <c r="N1516" s="11" t="s">
        <v>56</v>
      </c>
      <c r="O1516" s="11" t="s">
        <v>241</v>
      </c>
      <c r="P1516" s="11" t="s">
        <v>38</v>
      </c>
      <c r="Q1516" s="20">
        <v>40068.0</v>
      </c>
      <c r="R1516" s="17">
        <f t="shared" si="2"/>
        <v>10.57030059</v>
      </c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>
        <f t="shared" si="8"/>
        <v>4</v>
      </c>
      <c r="AF1516" s="19">
        <f t="shared" si="13"/>
        <v>1</v>
      </c>
      <c r="AG1516" s="9"/>
      <c r="AH1516" s="9"/>
      <c r="AI1516" s="9"/>
    </row>
    <row r="1517" ht="15.0" customHeight="1">
      <c r="A1517" s="11">
        <v>1516.0</v>
      </c>
      <c r="B1517" s="12">
        <f t="shared" si="243"/>
        <v>40067</v>
      </c>
      <c r="C1517" s="13">
        <v>2009.0</v>
      </c>
      <c r="D1517" s="11" t="s">
        <v>39</v>
      </c>
      <c r="E1517" s="11">
        <v>1.0</v>
      </c>
      <c r="F1517" s="21" t="s">
        <v>210</v>
      </c>
      <c r="G1517" s="15">
        <v>0.06250000000000006</v>
      </c>
      <c r="H1517" s="11" t="s">
        <v>24</v>
      </c>
      <c r="I1517" s="16">
        <v>0.4</v>
      </c>
      <c r="J1517" s="11" t="s">
        <v>1425</v>
      </c>
      <c r="K1517" s="11" t="s">
        <v>47</v>
      </c>
      <c r="L1517" s="11" t="s">
        <v>48</v>
      </c>
      <c r="M1517" s="11" t="s">
        <v>28</v>
      </c>
      <c r="N1517" s="11" t="s">
        <v>188</v>
      </c>
      <c r="O1517" s="11" t="s">
        <v>918</v>
      </c>
      <c r="P1517" s="11" t="s">
        <v>38</v>
      </c>
      <c r="Q1517" s="20">
        <v>40068.0</v>
      </c>
      <c r="R1517" s="17">
        <f t="shared" si="2"/>
        <v>0.1875</v>
      </c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>
        <f t="shared" si="8"/>
        <v>4</v>
      </c>
      <c r="AF1517" s="19">
        <f t="shared" si="13"/>
        <v>3</v>
      </c>
      <c r="AG1517" s="9"/>
      <c r="AH1517" s="9"/>
      <c r="AI1517" s="9"/>
    </row>
    <row r="1518" ht="15.0" customHeight="1">
      <c r="A1518" s="11">
        <v>1517.0</v>
      </c>
      <c r="B1518" s="12">
        <f t="shared" si="243"/>
        <v>40067</v>
      </c>
      <c r="C1518" s="13">
        <v>2009.0</v>
      </c>
      <c r="D1518" s="11" t="s">
        <v>39</v>
      </c>
      <c r="E1518" s="11">
        <v>48.0</v>
      </c>
      <c r="F1518" s="21" t="s">
        <v>314</v>
      </c>
      <c r="G1518" s="15">
        <v>0.01808290155440434</v>
      </c>
      <c r="H1518" s="11" t="s">
        <v>33</v>
      </c>
      <c r="I1518" s="16">
        <v>0.8160000000000001</v>
      </c>
      <c r="J1518" s="11" t="s">
        <v>1425</v>
      </c>
      <c r="K1518" s="11" t="s">
        <v>47</v>
      </c>
      <c r="L1518" s="11" t="s">
        <v>48</v>
      </c>
      <c r="M1518" s="11" t="s">
        <v>28</v>
      </c>
      <c r="N1518" s="11" t="s">
        <v>56</v>
      </c>
      <c r="O1518" s="11" t="s">
        <v>315</v>
      </c>
      <c r="P1518" s="11" t="s">
        <v>58</v>
      </c>
      <c r="Q1518" s="20">
        <v>40069.0</v>
      </c>
      <c r="R1518" s="17">
        <f t="shared" si="2"/>
        <v>5.483025078</v>
      </c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>
        <f t="shared" si="8"/>
        <v>4</v>
      </c>
      <c r="AF1518" s="19">
        <f t="shared" si="13"/>
        <v>3</v>
      </c>
      <c r="AG1518" s="9"/>
      <c r="AH1518" s="9"/>
      <c r="AI1518" s="9"/>
    </row>
    <row r="1519" ht="15.0" customHeight="1">
      <c r="A1519" s="11">
        <v>1518.0</v>
      </c>
      <c r="B1519" s="12">
        <f t="shared" si="243"/>
        <v>40067</v>
      </c>
      <c r="C1519" s="13">
        <v>2009.0</v>
      </c>
      <c r="D1519" s="11" t="s">
        <v>32</v>
      </c>
      <c r="E1519" s="11">
        <v>40.0</v>
      </c>
      <c r="F1519" s="21" t="s">
        <v>810</v>
      </c>
      <c r="G1519" s="15">
        <v>0.013023671281822228</v>
      </c>
      <c r="H1519" s="11" t="s">
        <v>33</v>
      </c>
      <c r="I1519" s="16">
        <v>5.968</v>
      </c>
      <c r="J1519" s="11" t="s">
        <v>1017</v>
      </c>
      <c r="K1519" s="11" t="s">
        <v>117</v>
      </c>
      <c r="L1519" s="11" t="s">
        <v>36</v>
      </c>
      <c r="M1519" s="11" t="s">
        <v>28</v>
      </c>
      <c r="N1519" s="11" t="s">
        <v>29</v>
      </c>
      <c r="O1519" s="11" t="s">
        <v>1813</v>
      </c>
      <c r="P1519" s="11" t="s">
        <v>38</v>
      </c>
      <c r="Q1519" s="20">
        <v>40069.0</v>
      </c>
      <c r="R1519" s="17">
        <f t="shared" si="2"/>
        <v>5.756045949</v>
      </c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>
        <f t="shared" si="8"/>
        <v>2</v>
      </c>
      <c r="AF1519" s="19" t="b">
        <f t="shared" si="13"/>
        <v>0</v>
      </c>
      <c r="AG1519" s="9"/>
      <c r="AH1519" s="9"/>
      <c r="AI1519" s="9"/>
    </row>
    <row r="1520" ht="15.0" customHeight="1">
      <c r="A1520" s="11">
        <v>1519.0</v>
      </c>
      <c r="B1520" s="12">
        <f t="shared" si="243"/>
        <v>40067</v>
      </c>
      <c r="C1520" s="13">
        <v>2009.0</v>
      </c>
      <c r="D1520" s="11" t="s">
        <v>32</v>
      </c>
      <c r="E1520" s="11">
        <v>49.0</v>
      </c>
      <c r="F1520" s="21" t="s">
        <v>668</v>
      </c>
      <c r="G1520" s="15">
        <v>0.10313230910341664</v>
      </c>
      <c r="H1520" s="11" t="s">
        <v>33</v>
      </c>
      <c r="I1520" s="16">
        <v>4.024</v>
      </c>
      <c r="J1520" s="11" t="s">
        <v>1017</v>
      </c>
      <c r="K1520" s="11" t="s">
        <v>117</v>
      </c>
      <c r="L1520" s="11" t="s">
        <v>36</v>
      </c>
      <c r="M1520" s="11" t="s">
        <v>66</v>
      </c>
      <c r="N1520" s="11" t="s">
        <v>80</v>
      </c>
      <c r="O1520" s="11" t="s">
        <v>1603</v>
      </c>
      <c r="P1520" s="11" t="s">
        <v>75</v>
      </c>
      <c r="Q1520" s="20">
        <v>40069.0</v>
      </c>
      <c r="R1520" s="17">
        <f t="shared" si="2"/>
        <v>40.33752127</v>
      </c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>
        <f t="shared" si="8"/>
        <v>2</v>
      </c>
      <c r="AF1520" s="19" t="b">
        <f t="shared" si="13"/>
        <v>0</v>
      </c>
      <c r="AG1520" s="9"/>
      <c r="AH1520" s="9"/>
      <c r="AI1520" s="9"/>
    </row>
    <row r="1521" ht="15.0" customHeight="1">
      <c r="A1521" s="11">
        <v>1520.0</v>
      </c>
      <c r="B1521" s="12">
        <f t="shared" si="243"/>
        <v>40067</v>
      </c>
      <c r="C1521" s="13">
        <v>2009.0</v>
      </c>
      <c r="D1521" s="11" t="s">
        <v>39</v>
      </c>
      <c r="E1521" s="11">
        <v>4.0</v>
      </c>
      <c r="F1521" s="21" t="s">
        <v>1247</v>
      </c>
      <c r="G1521" s="15">
        <v>0.12290030211480366</v>
      </c>
      <c r="H1521" s="11" t="s">
        <v>33</v>
      </c>
      <c r="I1521" s="16">
        <v>4.232</v>
      </c>
      <c r="J1521" s="11" t="s">
        <v>597</v>
      </c>
      <c r="K1521" s="11" t="s">
        <v>26</v>
      </c>
      <c r="L1521" s="11" t="s">
        <v>48</v>
      </c>
      <c r="M1521" s="11" t="s">
        <v>49</v>
      </c>
      <c r="N1521" s="11" t="s">
        <v>73</v>
      </c>
      <c r="O1521" s="11" t="s">
        <v>1248</v>
      </c>
      <c r="P1521" s="11" t="s">
        <v>38</v>
      </c>
      <c r="Q1521" s="20">
        <v>40069.0</v>
      </c>
      <c r="R1521" s="17">
        <f t="shared" si="2"/>
        <v>3.568041571</v>
      </c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>
        <f t="shared" si="8"/>
        <v>4</v>
      </c>
      <c r="AF1521" s="19">
        <f t="shared" si="13"/>
        <v>1</v>
      </c>
      <c r="AG1521" s="9"/>
      <c r="AH1521" s="9"/>
      <c r="AI1521" s="9"/>
    </row>
    <row r="1522" ht="15.0" customHeight="1">
      <c r="A1522" s="11">
        <v>1521.0</v>
      </c>
      <c r="B1522" s="12">
        <f t="shared" si="243"/>
        <v>40067</v>
      </c>
      <c r="C1522" s="13">
        <v>2009.0</v>
      </c>
      <c r="D1522" s="11" t="s">
        <v>39</v>
      </c>
      <c r="E1522" s="11">
        <v>37.0</v>
      </c>
      <c r="F1522" s="21" t="s">
        <v>596</v>
      </c>
      <c r="G1522" s="15">
        <v>0.033143053645117035</v>
      </c>
      <c r="H1522" s="11" t="s">
        <v>33</v>
      </c>
      <c r="I1522" s="16">
        <v>3.6240000000000006</v>
      </c>
      <c r="J1522" s="11" t="s">
        <v>597</v>
      </c>
      <c r="K1522" s="11" t="s">
        <v>26</v>
      </c>
      <c r="L1522" s="11" t="s">
        <v>48</v>
      </c>
      <c r="M1522" s="11" t="s">
        <v>28</v>
      </c>
      <c r="N1522" s="11" t="s">
        <v>29</v>
      </c>
      <c r="O1522" s="11" t="s">
        <v>946</v>
      </c>
      <c r="P1522" s="11" t="s">
        <v>38</v>
      </c>
      <c r="Q1522" s="20">
        <v>40069.0</v>
      </c>
      <c r="R1522" s="17">
        <f t="shared" si="2"/>
        <v>18.6371345</v>
      </c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>
        <f t="shared" si="8"/>
        <v>4</v>
      </c>
      <c r="AF1522" s="19">
        <f t="shared" si="13"/>
        <v>1</v>
      </c>
      <c r="AG1522" s="9"/>
      <c r="AH1522" s="9"/>
      <c r="AI1522" s="9"/>
    </row>
    <row r="1523" ht="15.0" customHeight="1">
      <c r="A1523" s="11">
        <v>1522.0</v>
      </c>
      <c r="B1523" s="12">
        <f t="shared" si="243"/>
        <v>40067</v>
      </c>
      <c r="C1523" s="13">
        <v>2009.0</v>
      </c>
      <c r="D1523" s="11" t="s">
        <v>102</v>
      </c>
      <c r="E1523" s="11">
        <v>21.0</v>
      </c>
      <c r="F1523" s="21" t="s">
        <v>103</v>
      </c>
      <c r="G1523" s="15">
        <v>0.03478395061728392</v>
      </c>
      <c r="H1523" s="11" t="s">
        <v>33</v>
      </c>
      <c r="I1523" s="16">
        <v>1.192</v>
      </c>
      <c r="J1523" s="11" t="s">
        <v>1417</v>
      </c>
      <c r="K1523" s="11" t="s">
        <v>47</v>
      </c>
      <c r="L1523" s="11" t="s">
        <v>48</v>
      </c>
      <c r="M1523" s="11" t="s">
        <v>28</v>
      </c>
      <c r="N1523" s="11" t="s">
        <v>42</v>
      </c>
      <c r="O1523" s="11" t="s">
        <v>1473</v>
      </c>
      <c r="P1523" s="11" t="s">
        <v>38</v>
      </c>
      <c r="Q1523" s="20">
        <v>40069.0</v>
      </c>
      <c r="R1523" s="17">
        <f t="shared" si="2"/>
        <v>4.351193951</v>
      </c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>
        <f t="shared" si="8"/>
        <v>4</v>
      </c>
      <c r="AF1523" s="19">
        <f t="shared" si="13"/>
        <v>3</v>
      </c>
      <c r="AG1523" s="9"/>
      <c r="AH1523" s="9"/>
      <c r="AI1523" s="9"/>
    </row>
    <row r="1524" ht="15.0" customHeight="1">
      <c r="A1524" s="11">
        <v>1523.0</v>
      </c>
      <c r="B1524" s="12">
        <f t="shared" si="243"/>
        <v>40067</v>
      </c>
      <c r="C1524" s="13">
        <v>2009.0</v>
      </c>
      <c r="D1524" s="11" t="s">
        <v>39</v>
      </c>
      <c r="E1524" s="11">
        <v>36.0</v>
      </c>
      <c r="F1524" s="21" t="s">
        <v>210</v>
      </c>
      <c r="G1524" s="15">
        <v>0.05238095238095239</v>
      </c>
      <c r="H1524" s="11" t="s">
        <v>33</v>
      </c>
      <c r="I1524" s="16">
        <v>1.92</v>
      </c>
      <c r="J1524" s="11" t="s">
        <v>1814</v>
      </c>
      <c r="K1524" s="11" t="s">
        <v>35</v>
      </c>
      <c r="L1524" s="11" t="s">
        <v>48</v>
      </c>
      <c r="M1524" s="11" t="s">
        <v>28</v>
      </c>
      <c r="N1524" s="11" t="s">
        <v>62</v>
      </c>
      <c r="O1524" s="11" t="s">
        <v>212</v>
      </c>
      <c r="P1524" s="11" t="s">
        <v>58</v>
      </c>
      <c r="Q1524" s="20">
        <v>40069.0</v>
      </c>
      <c r="R1524" s="17">
        <f t="shared" si="2"/>
        <v>5.003428571</v>
      </c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>
        <f t="shared" si="8"/>
        <v>4</v>
      </c>
      <c r="AF1524" s="19">
        <f t="shared" si="13"/>
        <v>2</v>
      </c>
      <c r="AG1524" s="9"/>
      <c r="AH1524" s="9"/>
      <c r="AI1524" s="9"/>
    </row>
    <row r="1525" ht="15.0" customHeight="1">
      <c r="A1525" s="11">
        <v>1524.0</v>
      </c>
      <c r="B1525" s="12">
        <f t="shared" ref="B1525:B1532" si="244">DATE(2012,12,31)-1206</f>
        <v>40068</v>
      </c>
      <c r="C1525" s="13">
        <v>2009.0</v>
      </c>
      <c r="D1525" s="11" t="s">
        <v>39</v>
      </c>
      <c r="E1525" s="11">
        <v>34.0</v>
      </c>
      <c r="F1525" s="21" t="s">
        <v>350</v>
      </c>
      <c r="G1525" s="15">
        <v>0.005878497605243098</v>
      </c>
      <c r="H1525" s="11" t="s">
        <v>33</v>
      </c>
      <c r="I1525" s="16">
        <v>13.536000000000001</v>
      </c>
      <c r="J1525" s="11" t="s">
        <v>421</v>
      </c>
      <c r="K1525" s="11" t="s">
        <v>83</v>
      </c>
      <c r="L1525" s="11" t="s">
        <v>27</v>
      </c>
      <c r="M1525" s="11" t="s">
        <v>28</v>
      </c>
      <c r="N1525" s="11" t="s">
        <v>56</v>
      </c>
      <c r="O1525" s="11" t="s">
        <v>1815</v>
      </c>
      <c r="P1525" s="11" t="s">
        <v>38</v>
      </c>
      <c r="Q1525" s="20">
        <v>40070.0</v>
      </c>
      <c r="R1525" s="17">
        <f t="shared" si="2"/>
        <v>4.636582687</v>
      </c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>
        <f t="shared" si="8"/>
        <v>1</v>
      </c>
      <c r="AF1525" s="19" t="b">
        <f t="shared" si="13"/>
        <v>0</v>
      </c>
      <c r="AG1525" s="9"/>
      <c r="AH1525" s="9"/>
      <c r="AI1525" s="9"/>
    </row>
    <row r="1526" ht="15.0" customHeight="1">
      <c r="A1526" s="11">
        <v>1525.0</v>
      </c>
      <c r="B1526" s="12">
        <f t="shared" si="244"/>
        <v>40068</v>
      </c>
      <c r="C1526" s="13">
        <v>2009.0</v>
      </c>
      <c r="D1526" s="11" t="s">
        <v>44</v>
      </c>
      <c r="E1526" s="11">
        <v>48.0</v>
      </c>
      <c r="F1526" s="21" t="s">
        <v>100</v>
      </c>
      <c r="G1526" s="15">
        <v>0.057186925064106796</v>
      </c>
      <c r="H1526" s="11" t="s">
        <v>33</v>
      </c>
      <c r="I1526" s="16">
        <v>7.192</v>
      </c>
      <c r="J1526" s="11" t="s">
        <v>719</v>
      </c>
      <c r="K1526" s="11" t="s">
        <v>61</v>
      </c>
      <c r="L1526" s="11" t="s">
        <v>48</v>
      </c>
      <c r="M1526" s="11" t="s">
        <v>66</v>
      </c>
      <c r="N1526" s="11" t="s">
        <v>80</v>
      </c>
      <c r="O1526" s="11" t="s">
        <v>615</v>
      </c>
      <c r="P1526" s="11" t="s">
        <v>38</v>
      </c>
      <c r="Q1526" s="20">
        <v>40070.0</v>
      </c>
      <c r="R1526" s="17">
        <f t="shared" si="2"/>
        <v>565.6011062</v>
      </c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>
        <f t="shared" si="8"/>
        <v>4</v>
      </c>
      <c r="AF1526" s="19">
        <f t="shared" si="13"/>
        <v>4</v>
      </c>
      <c r="AG1526" s="9"/>
      <c r="AH1526" s="9"/>
      <c r="AI1526" s="9"/>
    </row>
    <row r="1527" ht="15.0" customHeight="1">
      <c r="A1527" s="11">
        <v>1526.0</v>
      </c>
      <c r="B1527" s="12">
        <f t="shared" si="244"/>
        <v>40068</v>
      </c>
      <c r="C1527" s="13">
        <v>2009.0</v>
      </c>
      <c r="D1527" s="11" t="s">
        <v>23</v>
      </c>
      <c r="E1527" s="11">
        <v>33.0</v>
      </c>
      <c r="F1527" s="21" t="s">
        <v>119</v>
      </c>
      <c r="G1527" s="15">
        <v>0.10762886597938154</v>
      </c>
      <c r="H1527" s="11" t="s">
        <v>33</v>
      </c>
      <c r="I1527" s="16">
        <v>1.192</v>
      </c>
      <c r="J1527" s="11" t="s">
        <v>326</v>
      </c>
      <c r="K1527" s="11" t="s">
        <v>35</v>
      </c>
      <c r="L1527" s="11" t="s">
        <v>36</v>
      </c>
      <c r="M1527" s="11" t="s">
        <v>28</v>
      </c>
      <c r="N1527" s="11" t="s">
        <v>42</v>
      </c>
      <c r="O1527" s="11" t="s">
        <v>1129</v>
      </c>
      <c r="P1527" s="11" t="s">
        <v>38</v>
      </c>
      <c r="Q1527" s="20">
        <v>40070.0</v>
      </c>
      <c r="R1527" s="17">
        <f t="shared" si="2"/>
        <v>6.521448247</v>
      </c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>
        <f t="shared" si="8"/>
        <v>2</v>
      </c>
      <c r="AF1527" s="19">
        <f t="shared" si="13"/>
        <v>2</v>
      </c>
      <c r="AG1527" s="9"/>
      <c r="AH1527" s="9"/>
      <c r="AI1527" s="9"/>
    </row>
    <row r="1528" ht="15.0" customHeight="1">
      <c r="A1528" s="11">
        <v>1527.0</v>
      </c>
      <c r="B1528" s="12">
        <f t="shared" si="244"/>
        <v>40068</v>
      </c>
      <c r="C1528" s="13">
        <v>2009.0</v>
      </c>
      <c r="D1528" s="11" t="s">
        <v>23</v>
      </c>
      <c r="E1528" s="11">
        <v>8.0</v>
      </c>
      <c r="F1528" s="21" t="s">
        <v>782</v>
      </c>
      <c r="G1528" s="15">
        <v>0.013978208875897017</v>
      </c>
      <c r="H1528" s="11" t="s">
        <v>33</v>
      </c>
      <c r="I1528" s="16">
        <v>3.84</v>
      </c>
      <c r="J1528" s="11" t="s">
        <v>326</v>
      </c>
      <c r="K1528" s="11" t="s">
        <v>35</v>
      </c>
      <c r="L1528" s="11" t="s">
        <v>36</v>
      </c>
      <c r="M1528" s="11" t="s">
        <v>49</v>
      </c>
      <c r="N1528" s="11" t="s">
        <v>73</v>
      </c>
      <c r="O1528" s="11" t="s">
        <v>1431</v>
      </c>
      <c r="P1528" s="11" t="s">
        <v>58</v>
      </c>
      <c r="Q1528" s="20">
        <v>40070.0</v>
      </c>
      <c r="R1528" s="17">
        <f t="shared" si="2"/>
        <v>5.186474621</v>
      </c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>
        <f t="shared" si="8"/>
        <v>2</v>
      </c>
      <c r="AF1528" s="19">
        <f t="shared" si="13"/>
        <v>2</v>
      </c>
      <c r="AG1528" s="9"/>
      <c r="AH1528" s="9"/>
      <c r="AI1528" s="9"/>
    </row>
    <row r="1529" ht="15.0" customHeight="1">
      <c r="A1529" s="11">
        <v>1528.0</v>
      </c>
      <c r="B1529" s="12">
        <f t="shared" si="244"/>
        <v>40068</v>
      </c>
      <c r="C1529" s="13">
        <v>2009.0</v>
      </c>
      <c r="D1529" s="11" t="s">
        <v>44</v>
      </c>
      <c r="E1529" s="11">
        <v>4.0</v>
      </c>
      <c r="F1529" s="21" t="s">
        <v>869</v>
      </c>
      <c r="G1529" s="15">
        <v>0.011220212460522582</v>
      </c>
      <c r="H1529" s="11" t="s">
        <v>33</v>
      </c>
      <c r="I1529" s="16">
        <v>0.792</v>
      </c>
      <c r="J1529" s="11" t="s">
        <v>1145</v>
      </c>
      <c r="K1529" s="11" t="s">
        <v>65</v>
      </c>
      <c r="L1529" s="11" t="s">
        <v>48</v>
      </c>
      <c r="M1529" s="11" t="s">
        <v>66</v>
      </c>
      <c r="N1529" s="11" t="s">
        <v>80</v>
      </c>
      <c r="O1529" s="11" t="s">
        <v>870</v>
      </c>
      <c r="P1529" s="11" t="s">
        <v>58</v>
      </c>
      <c r="Q1529" s="20">
        <v>40070.0</v>
      </c>
      <c r="R1529" s="17">
        <f t="shared" si="2"/>
        <v>3.86415141</v>
      </c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>
        <f t="shared" si="8"/>
        <v>4</v>
      </c>
      <c r="AF1529" s="19">
        <f t="shared" si="13"/>
        <v>5</v>
      </c>
      <c r="AG1529" s="9"/>
      <c r="AH1529" s="9"/>
      <c r="AI1529" s="9"/>
    </row>
    <row r="1530" ht="15.0" customHeight="1">
      <c r="A1530" s="11">
        <v>1529.0</v>
      </c>
      <c r="B1530" s="12">
        <f t="shared" si="244"/>
        <v>40068</v>
      </c>
      <c r="C1530" s="13">
        <v>2009.0</v>
      </c>
      <c r="D1530" s="11" t="s">
        <v>39</v>
      </c>
      <c r="E1530" s="11">
        <v>4.0</v>
      </c>
      <c r="F1530" s="21" t="s">
        <v>422</v>
      </c>
      <c r="G1530" s="15">
        <v>0.07570977917981062</v>
      </c>
      <c r="H1530" s="11" t="s">
        <v>33</v>
      </c>
      <c r="I1530" s="16">
        <v>28.0</v>
      </c>
      <c r="J1530" s="11" t="s">
        <v>1192</v>
      </c>
      <c r="K1530" s="11" t="s">
        <v>35</v>
      </c>
      <c r="L1530" s="11" t="s">
        <v>27</v>
      </c>
      <c r="M1530" s="11" t="s">
        <v>28</v>
      </c>
      <c r="N1530" s="11" t="s">
        <v>29</v>
      </c>
      <c r="O1530" s="11" t="s">
        <v>1571</v>
      </c>
      <c r="P1530" s="11" t="s">
        <v>31</v>
      </c>
      <c r="Q1530" s="20">
        <v>40070.0</v>
      </c>
      <c r="R1530" s="17">
        <f t="shared" si="2"/>
        <v>26.61955836</v>
      </c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>
        <f t="shared" si="8"/>
        <v>1</v>
      </c>
      <c r="AF1530" s="19">
        <f t="shared" si="13"/>
        <v>2</v>
      </c>
      <c r="AG1530" s="9"/>
      <c r="AH1530" s="9"/>
      <c r="AI1530" s="9"/>
    </row>
    <row r="1531" ht="15.0" customHeight="1">
      <c r="A1531" s="11">
        <v>1530.0</v>
      </c>
      <c r="B1531" s="12">
        <f t="shared" si="244"/>
        <v>40068</v>
      </c>
      <c r="C1531" s="13">
        <v>2009.0</v>
      </c>
      <c r="D1531" s="11" t="s">
        <v>23</v>
      </c>
      <c r="E1531" s="11">
        <v>19.0</v>
      </c>
      <c r="F1531" s="21" t="s">
        <v>126</v>
      </c>
      <c r="G1531" s="15">
        <v>0.07608695652173901</v>
      </c>
      <c r="H1531" s="11" t="s">
        <v>33</v>
      </c>
      <c r="I1531" s="16">
        <v>0.4</v>
      </c>
      <c r="J1531" s="11" t="s">
        <v>1816</v>
      </c>
      <c r="K1531" s="11" t="s">
        <v>47</v>
      </c>
      <c r="L1531" s="11" t="s">
        <v>41</v>
      </c>
      <c r="M1531" s="11" t="s">
        <v>28</v>
      </c>
      <c r="N1531" s="11" t="s">
        <v>188</v>
      </c>
      <c r="O1531" s="11" t="s">
        <v>410</v>
      </c>
      <c r="P1531" s="11" t="s">
        <v>38</v>
      </c>
      <c r="Q1531" s="20">
        <v>40070.0</v>
      </c>
      <c r="R1531" s="17">
        <f t="shared" si="2"/>
        <v>7.114130435</v>
      </c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>
        <f t="shared" si="8"/>
        <v>3</v>
      </c>
      <c r="AF1531" s="19">
        <f t="shared" si="13"/>
        <v>3</v>
      </c>
      <c r="AG1531" s="9"/>
      <c r="AH1531" s="9"/>
      <c r="AI1531" s="9"/>
    </row>
    <row r="1532" ht="15.0" customHeight="1">
      <c r="A1532" s="11">
        <v>1531.0</v>
      </c>
      <c r="B1532" s="12">
        <f t="shared" si="244"/>
        <v>40068</v>
      </c>
      <c r="C1532" s="13">
        <v>2009.0</v>
      </c>
      <c r="D1532" s="11" t="s">
        <v>23</v>
      </c>
      <c r="E1532" s="11">
        <v>40.0</v>
      </c>
      <c r="F1532" s="21" t="s">
        <v>103</v>
      </c>
      <c r="G1532" s="15">
        <v>0.014164588528678251</v>
      </c>
      <c r="H1532" s="11" t="s">
        <v>33</v>
      </c>
      <c r="I1532" s="16">
        <v>1.192</v>
      </c>
      <c r="J1532" s="11" t="s">
        <v>1816</v>
      </c>
      <c r="K1532" s="11" t="s">
        <v>47</v>
      </c>
      <c r="L1532" s="11" t="s">
        <v>41</v>
      </c>
      <c r="M1532" s="11" t="s">
        <v>28</v>
      </c>
      <c r="N1532" s="11" t="s">
        <v>42</v>
      </c>
      <c r="O1532" s="11" t="s">
        <v>1473</v>
      </c>
      <c r="P1532" s="11" t="s">
        <v>38</v>
      </c>
      <c r="Q1532" s="20">
        <v>40071.0</v>
      </c>
      <c r="R1532" s="17">
        <f t="shared" si="2"/>
        <v>3.359727082</v>
      </c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>
        <f t="shared" si="8"/>
        <v>3</v>
      </c>
      <c r="AF1532" s="19">
        <f t="shared" si="13"/>
        <v>3</v>
      </c>
      <c r="AG1532" s="9"/>
      <c r="AH1532" s="9"/>
      <c r="AI1532" s="9"/>
    </row>
    <row r="1533" ht="15.0" customHeight="1">
      <c r="A1533" s="11">
        <v>1532.0</v>
      </c>
      <c r="B1533" s="12">
        <f t="shared" ref="B1533:B1538" si="245">DATE(2012,12,31)-1205</f>
        <v>40069</v>
      </c>
      <c r="C1533" s="13">
        <v>2009.0</v>
      </c>
      <c r="D1533" s="11" t="s">
        <v>39</v>
      </c>
      <c r="E1533" s="11">
        <v>28.0</v>
      </c>
      <c r="F1533" s="21" t="s">
        <v>178</v>
      </c>
      <c r="G1533" s="15">
        <v>0.040658760163654155</v>
      </c>
      <c r="H1533" s="11" t="s">
        <v>33</v>
      </c>
      <c r="I1533" s="16">
        <v>7.192</v>
      </c>
      <c r="J1533" s="11" t="s">
        <v>1209</v>
      </c>
      <c r="K1533" s="11" t="s">
        <v>65</v>
      </c>
      <c r="L1533" s="11" t="s">
        <v>48</v>
      </c>
      <c r="M1533" s="11" t="s">
        <v>66</v>
      </c>
      <c r="N1533" s="11" t="s">
        <v>80</v>
      </c>
      <c r="O1533" s="11" t="s">
        <v>1272</v>
      </c>
      <c r="P1533" s="11" t="s">
        <v>38</v>
      </c>
      <c r="Q1533" s="20">
        <v>40071.0</v>
      </c>
      <c r="R1533" s="17">
        <f t="shared" si="2"/>
        <v>75.31596206</v>
      </c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>
        <f t="shared" si="8"/>
        <v>4</v>
      </c>
      <c r="AF1533" s="19">
        <f t="shared" si="13"/>
        <v>5</v>
      </c>
      <c r="AG1533" s="9"/>
      <c r="AH1533" s="9"/>
      <c r="AI1533" s="9"/>
    </row>
    <row r="1534" ht="15.0" customHeight="1">
      <c r="A1534" s="11">
        <v>1533.0</v>
      </c>
      <c r="B1534" s="12">
        <f t="shared" si="245"/>
        <v>40069</v>
      </c>
      <c r="C1534" s="13">
        <v>2009.0</v>
      </c>
      <c r="D1534" s="11" t="s">
        <v>102</v>
      </c>
      <c r="E1534" s="11">
        <v>47.0</v>
      </c>
      <c r="F1534" s="21" t="s">
        <v>591</v>
      </c>
      <c r="G1534" s="15">
        <v>0.0217037641300548</v>
      </c>
      <c r="H1534" s="11" t="s">
        <v>24</v>
      </c>
      <c r="I1534" s="16">
        <v>7.5760000000000005</v>
      </c>
      <c r="J1534" s="11" t="s">
        <v>550</v>
      </c>
      <c r="K1534" s="11" t="s">
        <v>65</v>
      </c>
      <c r="L1534" s="11" t="s">
        <v>48</v>
      </c>
      <c r="M1534" s="11" t="s">
        <v>28</v>
      </c>
      <c r="N1534" s="11" t="s">
        <v>29</v>
      </c>
      <c r="O1534" s="11" t="s">
        <v>592</v>
      </c>
      <c r="P1534" s="11" t="s">
        <v>38</v>
      </c>
      <c r="Q1534" s="20">
        <v>40071.0</v>
      </c>
      <c r="R1534" s="17">
        <f t="shared" si="2"/>
        <v>18.2197891</v>
      </c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>
        <f t="shared" si="8"/>
        <v>4</v>
      </c>
      <c r="AF1534" s="19">
        <f t="shared" si="13"/>
        <v>5</v>
      </c>
      <c r="AG1534" s="9"/>
      <c r="AH1534" s="9"/>
      <c r="AI1534" s="9"/>
    </row>
    <row r="1535" ht="15.0" customHeight="1">
      <c r="A1535" s="11">
        <v>1534.0</v>
      </c>
      <c r="B1535" s="12">
        <f t="shared" si="245"/>
        <v>40069</v>
      </c>
      <c r="C1535" s="13">
        <v>2009.0</v>
      </c>
      <c r="D1535" s="11" t="s">
        <v>39</v>
      </c>
      <c r="E1535" s="11">
        <v>48.0</v>
      </c>
      <c r="F1535" s="21" t="s">
        <v>565</v>
      </c>
      <c r="G1535" s="15">
        <v>0.07486013759786041</v>
      </c>
      <c r="H1535" s="11" t="s">
        <v>33</v>
      </c>
      <c r="I1535" s="16">
        <v>15.991999999999999</v>
      </c>
      <c r="J1535" s="11" t="s">
        <v>312</v>
      </c>
      <c r="K1535" s="11" t="s">
        <v>35</v>
      </c>
      <c r="L1535" s="11" t="s">
        <v>27</v>
      </c>
      <c r="M1535" s="11" t="s">
        <v>28</v>
      </c>
      <c r="N1535" s="11" t="s">
        <v>29</v>
      </c>
      <c r="O1535" s="11" t="s">
        <v>566</v>
      </c>
      <c r="P1535" s="11" t="s">
        <v>38</v>
      </c>
      <c r="Q1535" s="20">
        <v>40071.0</v>
      </c>
      <c r="R1535" s="17">
        <f t="shared" si="2"/>
        <v>642.2394936</v>
      </c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>
        <f t="shared" si="8"/>
        <v>1</v>
      </c>
      <c r="AF1535" s="19">
        <f t="shared" si="13"/>
        <v>2</v>
      </c>
      <c r="AG1535" s="9"/>
      <c r="AH1535" s="9"/>
      <c r="AI1535" s="9"/>
    </row>
    <row r="1536" ht="15.0" customHeight="1">
      <c r="A1536" s="11">
        <v>1535.0</v>
      </c>
      <c r="B1536" s="12">
        <f t="shared" si="245"/>
        <v>40069</v>
      </c>
      <c r="C1536" s="13">
        <v>2009.0</v>
      </c>
      <c r="D1536" s="11" t="s">
        <v>102</v>
      </c>
      <c r="E1536" s="11">
        <v>17.0</v>
      </c>
      <c r="F1536" s="21" t="s">
        <v>629</v>
      </c>
      <c r="G1536" s="15">
        <v>0.05455319148936175</v>
      </c>
      <c r="H1536" s="11" t="s">
        <v>33</v>
      </c>
      <c r="I1536" s="16">
        <v>9.208</v>
      </c>
      <c r="J1536" s="11" t="s">
        <v>1817</v>
      </c>
      <c r="K1536" s="11" t="s">
        <v>65</v>
      </c>
      <c r="L1536" s="11" t="s">
        <v>48</v>
      </c>
      <c r="M1536" s="11" t="s">
        <v>28</v>
      </c>
      <c r="N1536" s="11" t="s">
        <v>42</v>
      </c>
      <c r="O1536" s="11" t="s">
        <v>1041</v>
      </c>
      <c r="P1536" s="11" t="s">
        <v>38</v>
      </c>
      <c r="Q1536" s="20">
        <v>40071.0</v>
      </c>
      <c r="R1536" s="17">
        <f t="shared" si="2"/>
        <v>7.272376851</v>
      </c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>
        <f t="shared" si="8"/>
        <v>4</v>
      </c>
      <c r="AF1536" s="19">
        <f t="shared" si="13"/>
        <v>5</v>
      </c>
      <c r="AG1536" s="9"/>
      <c r="AH1536" s="9"/>
      <c r="AI1536" s="9"/>
    </row>
    <row r="1537" ht="15.0" customHeight="1">
      <c r="A1537" s="11">
        <v>1536.0</v>
      </c>
      <c r="B1537" s="12">
        <f t="shared" si="245"/>
        <v>40069</v>
      </c>
      <c r="C1537" s="13">
        <v>2009.0</v>
      </c>
      <c r="D1537" s="11" t="s">
        <v>102</v>
      </c>
      <c r="E1537" s="11">
        <v>35.0</v>
      </c>
      <c r="F1537" s="21" t="s">
        <v>158</v>
      </c>
      <c r="G1537" s="15">
        <v>0.06522727272727273</v>
      </c>
      <c r="H1537" s="11" t="s">
        <v>33</v>
      </c>
      <c r="I1537" s="16">
        <v>6.328</v>
      </c>
      <c r="J1537" s="11" t="s">
        <v>1817</v>
      </c>
      <c r="K1537" s="11" t="s">
        <v>65</v>
      </c>
      <c r="L1537" s="11" t="s">
        <v>48</v>
      </c>
      <c r="M1537" s="11" t="s">
        <v>28</v>
      </c>
      <c r="N1537" s="11" t="s">
        <v>56</v>
      </c>
      <c r="O1537" s="11" t="s">
        <v>1392</v>
      </c>
      <c r="P1537" s="11" t="s">
        <v>38</v>
      </c>
      <c r="Q1537" s="20">
        <v>40071.0</v>
      </c>
      <c r="R1537" s="17">
        <f t="shared" si="2"/>
        <v>15.02366727</v>
      </c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>
        <f t="shared" si="8"/>
        <v>4</v>
      </c>
      <c r="AF1537" s="19">
        <f t="shared" si="13"/>
        <v>5</v>
      </c>
      <c r="AG1537" s="9"/>
      <c r="AH1537" s="9"/>
      <c r="AI1537" s="9"/>
    </row>
    <row r="1538" ht="15.0" customHeight="1">
      <c r="A1538" s="11">
        <v>1537.0</v>
      </c>
      <c r="B1538" s="12">
        <f t="shared" si="245"/>
        <v>40069</v>
      </c>
      <c r="C1538" s="13">
        <v>2009.0</v>
      </c>
      <c r="D1538" s="11" t="s">
        <v>102</v>
      </c>
      <c r="E1538" s="11">
        <v>17.0</v>
      </c>
      <c r="F1538" s="21" t="s">
        <v>1818</v>
      </c>
      <c r="G1538" s="15">
        <v>0.03025499231950843</v>
      </c>
      <c r="H1538" s="11" t="s">
        <v>33</v>
      </c>
      <c r="I1538" s="16">
        <v>6.912000000000001</v>
      </c>
      <c r="J1538" s="11" t="s">
        <v>1817</v>
      </c>
      <c r="K1538" s="11" t="s">
        <v>65</v>
      </c>
      <c r="L1538" s="11" t="s">
        <v>48</v>
      </c>
      <c r="M1538" s="11" t="s">
        <v>28</v>
      </c>
      <c r="N1538" s="11" t="s">
        <v>29</v>
      </c>
      <c r="O1538" s="11" t="s">
        <v>1819</v>
      </c>
      <c r="P1538" s="11" t="s">
        <v>38</v>
      </c>
      <c r="Q1538" s="20">
        <v>40071.0</v>
      </c>
      <c r="R1538" s="17">
        <f t="shared" si="2"/>
        <v>57.30029301</v>
      </c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>
        <f t="shared" si="8"/>
        <v>4</v>
      </c>
      <c r="AF1538" s="19">
        <f t="shared" si="13"/>
        <v>5</v>
      </c>
      <c r="AG1538" s="9"/>
      <c r="AH1538" s="9"/>
      <c r="AI1538" s="9"/>
    </row>
    <row r="1539" ht="15.0" customHeight="1">
      <c r="A1539" s="11">
        <v>1538.0</v>
      </c>
      <c r="B1539" s="12">
        <f t="shared" ref="B1539:B1544" si="246">DATE(2012,12,31)-1204</f>
        <v>40070</v>
      </c>
      <c r="C1539" s="13">
        <v>2009.0</v>
      </c>
      <c r="D1539" s="11" t="s">
        <v>102</v>
      </c>
      <c r="E1539" s="11">
        <v>29.0</v>
      </c>
      <c r="F1539" s="21" t="s">
        <v>178</v>
      </c>
      <c r="G1539" s="15">
        <v>0.035533457828280955</v>
      </c>
      <c r="H1539" s="11" t="s">
        <v>33</v>
      </c>
      <c r="I1539" s="16">
        <v>3.192</v>
      </c>
      <c r="J1539" s="11" t="s">
        <v>145</v>
      </c>
      <c r="K1539" s="11" t="s">
        <v>83</v>
      </c>
      <c r="L1539" s="11" t="s">
        <v>41</v>
      </c>
      <c r="M1539" s="11" t="s">
        <v>66</v>
      </c>
      <c r="N1539" s="11" t="s">
        <v>80</v>
      </c>
      <c r="O1539" s="11" t="s">
        <v>587</v>
      </c>
      <c r="P1539" s="11" t="s">
        <v>38</v>
      </c>
      <c r="Q1539" s="20">
        <v>40071.0</v>
      </c>
      <c r="R1539" s="17">
        <f t="shared" si="2"/>
        <v>68.02141405</v>
      </c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>
        <f t="shared" si="8"/>
        <v>3</v>
      </c>
      <c r="AF1539" s="19" t="b">
        <f t="shared" si="13"/>
        <v>0</v>
      </c>
      <c r="AG1539" s="9"/>
      <c r="AH1539" s="9"/>
      <c r="AI1539" s="9"/>
    </row>
    <row r="1540" ht="15.0" customHeight="1">
      <c r="A1540" s="11">
        <v>1539.0</v>
      </c>
      <c r="B1540" s="12">
        <f t="shared" si="246"/>
        <v>40070</v>
      </c>
      <c r="C1540" s="13">
        <v>2009.0</v>
      </c>
      <c r="D1540" s="11" t="s">
        <v>32</v>
      </c>
      <c r="E1540" s="11">
        <v>26.0</v>
      </c>
      <c r="F1540" s="21" t="s">
        <v>231</v>
      </c>
      <c r="G1540" s="15">
        <v>0.035580870499731396</v>
      </c>
      <c r="H1540" s="11" t="s">
        <v>33</v>
      </c>
      <c r="I1540" s="16">
        <v>15.991999999999999</v>
      </c>
      <c r="J1540" s="11" t="s">
        <v>453</v>
      </c>
      <c r="K1540" s="11" t="s">
        <v>61</v>
      </c>
      <c r="L1540" s="11" t="s">
        <v>36</v>
      </c>
      <c r="M1540" s="11" t="s">
        <v>49</v>
      </c>
      <c r="N1540" s="11" t="s">
        <v>73</v>
      </c>
      <c r="O1540" s="11" t="s">
        <v>1820</v>
      </c>
      <c r="P1540" s="11" t="s">
        <v>38</v>
      </c>
      <c r="Q1540" s="20">
        <v>40071.0</v>
      </c>
      <c r="R1540" s="17">
        <f t="shared" si="2"/>
        <v>31.92998854</v>
      </c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>
        <f t="shared" si="8"/>
        <v>2</v>
      </c>
      <c r="AF1540" s="19">
        <f t="shared" si="13"/>
        <v>4</v>
      </c>
      <c r="AG1540" s="9"/>
      <c r="AH1540" s="9"/>
      <c r="AI1540" s="9"/>
    </row>
    <row r="1541" ht="15.0" customHeight="1">
      <c r="A1541" s="11">
        <v>1540.0</v>
      </c>
      <c r="B1541" s="12">
        <f t="shared" si="246"/>
        <v>40070</v>
      </c>
      <c r="C1541" s="13">
        <v>2009.0</v>
      </c>
      <c r="D1541" s="11" t="s">
        <v>32</v>
      </c>
      <c r="E1541" s="11">
        <v>7.0</v>
      </c>
      <c r="F1541" s="21" t="s">
        <v>527</v>
      </c>
      <c r="G1541" s="15">
        <v>0.07683444864707599</v>
      </c>
      <c r="H1541" s="11" t="s">
        <v>33</v>
      </c>
      <c r="I1541" s="16">
        <v>1.592</v>
      </c>
      <c r="J1541" s="11" t="s">
        <v>453</v>
      </c>
      <c r="K1541" s="11" t="s">
        <v>61</v>
      </c>
      <c r="L1541" s="11" t="s">
        <v>36</v>
      </c>
      <c r="M1541" s="11" t="s">
        <v>66</v>
      </c>
      <c r="N1541" s="11" t="s">
        <v>67</v>
      </c>
      <c r="O1541" s="11" t="s">
        <v>529</v>
      </c>
      <c r="P1541" s="11" t="s">
        <v>99</v>
      </c>
      <c r="Q1541" s="20">
        <v>40072.0</v>
      </c>
      <c r="R1541" s="17">
        <f t="shared" si="2"/>
        <v>24.37895588</v>
      </c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>
        <f t="shared" si="8"/>
        <v>2</v>
      </c>
      <c r="AF1541" s="19">
        <f t="shared" si="13"/>
        <v>4</v>
      </c>
      <c r="AG1541" s="9"/>
      <c r="AH1541" s="9"/>
      <c r="AI1541" s="9"/>
    </row>
    <row r="1542" ht="15.0" customHeight="1">
      <c r="A1542" s="11">
        <v>1541.0</v>
      </c>
      <c r="B1542" s="12">
        <f t="shared" si="246"/>
        <v>40070</v>
      </c>
      <c r="C1542" s="13">
        <v>2009.0</v>
      </c>
      <c r="D1542" s="11" t="s">
        <v>32</v>
      </c>
      <c r="E1542" s="11">
        <v>4.0</v>
      </c>
      <c r="F1542" s="21" t="s">
        <v>834</v>
      </c>
      <c r="G1542" s="15">
        <v>0.09933668776713739</v>
      </c>
      <c r="H1542" s="11" t="s">
        <v>45</v>
      </c>
      <c r="I1542" s="16">
        <v>61.096000000000004</v>
      </c>
      <c r="J1542" s="11" t="s">
        <v>453</v>
      </c>
      <c r="K1542" s="11" t="s">
        <v>61</v>
      </c>
      <c r="L1542" s="11" t="s">
        <v>36</v>
      </c>
      <c r="M1542" s="11" t="s">
        <v>49</v>
      </c>
      <c r="N1542" s="11" t="s">
        <v>85</v>
      </c>
      <c r="O1542" s="11" t="s">
        <v>1115</v>
      </c>
      <c r="P1542" s="11" t="s">
        <v>87</v>
      </c>
      <c r="Q1542" s="20">
        <v>40072.0</v>
      </c>
      <c r="R1542" s="17">
        <f t="shared" si="2"/>
        <v>165.3653868</v>
      </c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>
        <f t="shared" si="8"/>
        <v>2</v>
      </c>
      <c r="AF1542" s="19">
        <f t="shared" si="13"/>
        <v>4</v>
      </c>
      <c r="AG1542" s="9"/>
      <c r="AH1542" s="9"/>
      <c r="AI1542" s="9"/>
    </row>
    <row r="1543" ht="15.0" customHeight="1">
      <c r="A1543" s="11">
        <v>1542.0</v>
      </c>
      <c r="B1543" s="12">
        <f t="shared" si="246"/>
        <v>40070</v>
      </c>
      <c r="C1543" s="13">
        <v>2009.0</v>
      </c>
      <c r="D1543" s="11" t="s">
        <v>102</v>
      </c>
      <c r="E1543" s="11">
        <v>6.0</v>
      </c>
      <c r="F1543" s="21" t="s">
        <v>782</v>
      </c>
      <c r="G1543" s="15">
        <v>0.01518505463517798</v>
      </c>
      <c r="H1543" s="11" t="s">
        <v>33</v>
      </c>
      <c r="I1543" s="16">
        <v>3.9920000000000004</v>
      </c>
      <c r="J1543" s="11" t="s">
        <v>1065</v>
      </c>
      <c r="K1543" s="11" t="s">
        <v>65</v>
      </c>
      <c r="L1543" s="11" t="s">
        <v>27</v>
      </c>
      <c r="M1543" s="11" t="s">
        <v>66</v>
      </c>
      <c r="N1543" s="11" t="s">
        <v>80</v>
      </c>
      <c r="O1543" s="11" t="s">
        <v>783</v>
      </c>
      <c r="P1543" s="11" t="s">
        <v>38</v>
      </c>
      <c r="Q1543" s="20">
        <v>40072.0</v>
      </c>
      <c r="R1543" s="17">
        <f t="shared" si="2"/>
        <v>4.242582785</v>
      </c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>
        <f t="shared" si="8"/>
        <v>1</v>
      </c>
      <c r="AF1543" s="19">
        <f t="shared" si="13"/>
        <v>5</v>
      </c>
      <c r="AG1543" s="9"/>
      <c r="AH1543" s="9"/>
      <c r="AI1543" s="9"/>
    </row>
    <row r="1544" ht="15.0" customHeight="1">
      <c r="A1544" s="11">
        <v>1543.0</v>
      </c>
      <c r="B1544" s="12">
        <f t="shared" si="246"/>
        <v>40070</v>
      </c>
      <c r="C1544" s="13">
        <v>2009.0</v>
      </c>
      <c r="D1544" s="11" t="s">
        <v>23</v>
      </c>
      <c r="E1544" s="11">
        <v>26.0</v>
      </c>
      <c r="F1544" s="21" t="s">
        <v>126</v>
      </c>
      <c r="G1544" s="15">
        <v>0.09482401656314705</v>
      </c>
      <c r="H1544" s="11" t="s">
        <v>33</v>
      </c>
      <c r="I1544" s="16">
        <v>3.7600000000000002</v>
      </c>
      <c r="J1544" s="11" t="s">
        <v>1712</v>
      </c>
      <c r="K1544" s="11" t="s">
        <v>35</v>
      </c>
      <c r="L1544" s="11" t="s">
        <v>41</v>
      </c>
      <c r="M1544" s="11" t="s">
        <v>28</v>
      </c>
      <c r="N1544" s="11" t="s">
        <v>56</v>
      </c>
      <c r="O1544" s="11" t="s">
        <v>1730</v>
      </c>
      <c r="P1544" s="11" t="s">
        <v>38</v>
      </c>
      <c r="Q1544" s="20">
        <v>40072.0</v>
      </c>
      <c r="R1544" s="17">
        <f t="shared" si="2"/>
        <v>12.43711801</v>
      </c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>
        <f t="shared" si="8"/>
        <v>3</v>
      </c>
      <c r="AF1544" s="19">
        <f t="shared" si="13"/>
        <v>2</v>
      </c>
      <c r="AG1544" s="9"/>
      <c r="AH1544" s="9"/>
      <c r="AI1544" s="9"/>
    </row>
    <row r="1545" ht="15.0" customHeight="1">
      <c r="A1545" s="11">
        <v>1544.0</v>
      </c>
      <c r="B1545" s="12">
        <f t="shared" ref="B1545:B1549" si="247">DATE(2012,12,31)-1203</f>
        <v>40071</v>
      </c>
      <c r="C1545" s="13">
        <v>2009.0</v>
      </c>
      <c r="D1545" s="11" t="s">
        <v>32</v>
      </c>
      <c r="E1545" s="11">
        <v>31.0</v>
      </c>
      <c r="F1545" s="21" t="s">
        <v>629</v>
      </c>
      <c r="G1545" s="15">
        <v>0.03536929460580925</v>
      </c>
      <c r="H1545" s="11" t="s">
        <v>33</v>
      </c>
      <c r="I1545" s="16">
        <v>6.176</v>
      </c>
      <c r="J1545" s="11" t="s">
        <v>1821</v>
      </c>
      <c r="K1545" s="11" t="s">
        <v>35</v>
      </c>
      <c r="L1545" s="11" t="s">
        <v>36</v>
      </c>
      <c r="M1545" s="11" t="s">
        <v>28</v>
      </c>
      <c r="N1545" s="11" t="s">
        <v>42</v>
      </c>
      <c r="O1545" s="11" t="s">
        <v>1822</v>
      </c>
      <c r="P1545" s="11" t="s">
        <v>38</v>
      </c>
      <c r="Q1545" s="20">
        <v>40072.0</v>
      </c>
      <c r="R1545" s="17">
        <f t="shared" si="2"/>
        <v>8.222512133</v>
      </c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>
        <f t="shared" si="8"/>
        <v>2</v>
      </c>
      <c r="AF1545" s="19">
        <f t="shared" si="13"/>
        <v>2</v>
      </c>
      <c r="AG1545" s="9"/>
      <c r="AH1545" s="9"/>
      <c r="AI1545" s="9"/>
    </row>
    <row r="1546" ht="15.0" customHeight="1">
      <c r="A1546" s="11">
        <v>1545.0</v>
      </c>
      <c r="B1546" s="12">
        <f t="shared" si="247"/>
        <v>40071</v>
      </c>
      <c r="C1546" s="13">
        <v>2009.0</v>
      </c>
      <c r="D1546" s="11" t="s">
        <v>39</v>
      </c>
      <c r="E1546" s="11">
        <v>2.0</v>
      </c>
      <c r="F1546" s="21" t="s">
        <v>726</v>
      </c>
      <c r="G1546" s="15">
        <v>0.13070707070707074</v>
      </c>
      <c r="H1546" s="11" t="s">
        <v>33</v>
      </c>
      <c r="I1546" s="16">
        <v>7.024</v>
      </c>
      <c r="J1546" s="11" t="s">
        <v>353</v>
      </c>
      <c r="K1546" s="11" t="s">
        <v>83</v>
      </c>
      <c r="L1546" s="11" t="s">
        <v>41</v>
      </c>
      <c r="M1546" s="11" t="s">
        <v>49</v>
      </c>
      <c r="N1546" s="11" t="s">
        <v>73</v>
      </c>
      <c r="O1546" s="11" t="s">
        <v>728</v>
      </c>
      <c r="P1546" s="11" t="s">
        <v>38</v>
      </c>
      <c r="Q1546" s="20">
        <v>40072.0</v>
      </c>
      <c r="R1546" s="17">
        <f t="shared" si="2"/>
        <v>4.499460202</v>
      </c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>
        <f t="shared" si="8"/>
        <v>3</v>
      </c>
      <c r="AF1546" s="19" t="b">
        <f t="shared" si="13"/>
        <v>0</v>
      </c>
      <c r="AG1546" s="9"/>
      <c r="AH1546" s="9"/>
      <c r="AI1546" s="9"/>
    </row>
    <row r="1547" ht="15.0" customHeight="1">
      <c r="A1547" s="11">
        <v>1546.0</v>
      </c>
      <c r="B1547" s="12">
        <f t="shared" si="247"/>
        <v>40071</v>
      </c>
      <c r="C1547" s="13">
        <v>2009.0</v>
      </c>
      <c r="D1547" s="11" t="s">
        <v>23</v>
      </c>
      <c r="E1547" s="11">
        <v>25.0</v>
      </c>
      <c r="F1547" s="21" t="s">
        <v>151</v>
      </c>
      <c r="G1547" s="15">
        <v>0.08487584650112863</v>
      </c>
      <c r="H1547" s="11" t="s">
        <v>33</v>
      </c>
      <c r="I1547" s="16">
        <v>1.08</v>
      </c>
      <c r="J1547" s="11" t="s">
        <v>1823</v>
      </c>
      <c r="K1547" s="11" t="s">
        <v>26</v>
      </c>
      <c r="L1547" s="11" t="s">
        <v>36</v>
      </c>
      <c r="M1547" s="11" t="s">
        <v>28</v>
      </c>
      <c r="N1547" s="11" t="s">
        <v>216</v>
      </c>
      <c r="O1547" s="11" t="s">
        <v>217</v>
      </c>
      <c r="P1547" s="11" t="s">
        <v>58</v>
      </c>
      <c r="Q1547" s="20">
        <v>40073.0</v>
      </c>
      <c r="R1547" s="17">
        <f t="shared" si="2"/>
        <v>6.881733634</v>
      </c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>
        <f t="shared" si="8"/>
        <v>2</v>
      </c>
      <c r="AF1547" s="19">
        <f t="shared" si="13"/>
        <v>1</v>
      </c>
      <c r="AG1547" s="9"/>
      <c r="AH1547" s="9"/>
      <c r="AI1547" s="9"/>
    </row>
    <row r="1548" ht="15.0" customHeight="1">
      <c r="A1548" s="11">
        <v>1547.0</v>
      </c>
      <c r="B1548" s="12">
        <f t="shared" si="247"/>
        <v>40071</v>
      </c>
      <c r="C1548" s="13">
        <v>2009.0</v>
      </c>
      <c r="D1548" s="11" t="s">
        <v>102</v>
      </c>
      <c r="E1548" s="11">
        <v>49.0</v>
      </c>
      <c r="F1548" s="21" t="s">
        <v>1268</v>
      </c>
      <c r="G1548" s="15">
        <v>0.025804760463507378</v>
      </c>
      <c r="H1548" s="11" t="s">
        <v>33</v>
      </c>
      <c r="I1548" s="16">
        <v>6.296</v>
      </c>
      <c r="J1548" s="11" t="s">
        <v>662</v>
      </c>
      <c r="K1548" s="11" t="s">
        <v>61</v>
      </c>
      <c r="L1548" s="11" t="s">
        <v>41</v>
      </c>
      <c r="M1548" s="11" t="s">
        <v>49</v>
      </c>
      <c r="N1548" s="11" t="s">
        <v>73</v>
      </c>
      <c r="O1548" s="11" t="s">
        <v>1269</v>
      </c>
      <c r="P1548" s="11" t="s">
        <v>38</v>
      </c>
      <c r="Q1548" s="20">
        <v>40073.0</v>
      </c>
      <c r="R1548" s="17">
        <f t="shared" si="2"/>
        <v>37.21036137</v>
      </c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>
        <f t="shared" si="8"/>
        <v>3</v>
      </c>
      <c r="AF1548" s="19">
        <f t="shared" si="13"/>
        <v>4</v>
      </c>
      <c r="AG1548" s="9"/>
      <c r="AH1548" s="9"/>
      <c r="AI1548" s="9"/>
    </row>
    <row r="1549" ht="15.0" customHeight="1">
      <c r="A1549" s="11">
        <v>1548.0</v>
      </c>
      <c r="B1549" s="12">
        <f t="shared" si="247"/>
        <v>40071</v>
      </c>
      <c r="C1549" s="13">
        <v>2009.0</v>
      </c>
      <c r="D1549" s="11" t="s">
        <v>39</v>
      </c>
      <c r="E1549" s="11">
        <v>45.0</v>
      </c>
      <c r="F1549" s="21" t="s">
        <v>1824</v>
      </c>
      <c r="G1549" s="15">
        <v>0.020495378336200954</v>
      </c>
      <c r="H1549" s="11" t="s">
        <v>33</v>
      </c>
      <c r="I1549" s="16">
        <v>8.88</v>
      </c>
      <c r="J1549" s="11" t="s">
        <v>1825</v>
      </c>
      <c r="K1549" s="11" t="s">
        <v>65</v>
      </c>
      <c r="L1549" s="11" t="s">
        <v>36</v>
      </c>
      <c r="M1549" s="11" t="s">
        <v>49</v>
      </c>
      <c r="N1549" s="11" t="s">
        <v>73</v>
      </c>
      <c r="O1549" s="11" t="s">
        <v>1826</v>
      </c>
      <c r="P1549" s="11" t="s">
        <v>75</v>
      </c>
      <c r="Q1549" s="20">
        <v>40073.0</v>
      </c>
      <c r="R1549" s="17">
        <f t="shared" si="2"/>
        <v>50.17022672</v>
      </c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>
        <f t="shared" si="8"/>
        <v>2</v>
      </c>
      <c r="AF1549" s="19">
        <f t="shared" si="13"/>
        <v>5</v>
      </c>
      <c r="AG1549" s="9"/>
      <c r="AH1549" s="9"/>
      <c r="AI1549" s="9"/>
    </row>
    <row r="1550" ht="15.0" customHeight="1">
      <c r="A1550" s="11">
        <v>1549.0</v>
      </c>
      <c r="B1550" s="12">
        <f t="shared" ref="B1550:B1559" si="248">DATE(2012,12,31)-1202</f>
        <v>40072</v>
      </c>
      <c r="C1550" s="13">
        <v>2009.0</v>
      </c>
      <c r="D1550" s="11" t="s">
        <v>32</v>
      </c>
      <c r="E1550" s="11">
        <v>10.0</v>
      </c>
      <c r="F1550" s="21" t="s">
        <v>372</v>
      </c>
      <c r="G1550" s="15">
        <v>0.08359955005624299</v>
      </c>
      <c r="H1550" s="11" t="s">
        <v>24</v>
      </c>
      <c r="I1550" s="16">
        <v>5.936</v>
      </c>
      <c r="J1550" s="11" t="s">
        <v>1253</v>
      </c>
      <c r="K1550" s="11" t="s">
        <v>35</v>
      </c>
      <c r="L1550" s="11" t="s">
        <v>48</v>
      </c>
      <c r="M1550" s="11" t="s">
        <v>28</v>
      </c>
      <c r="N1550" s="11" t="s">
        <v>442</v>
      </c>
      <c r="O1550" s="11" t="s">
        <v>1678</v>
      </c>
      <c r="P1550" s="11" t="s">
        <v>99</v>
      </c>
      <c r="Q1550" s="20">
        <v>40073.0</v>
      </c>
      <c r="R1550" s="17">
        <f t="shared" si="2"/>
        <v>13.62137629</v>
      </c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>
        <f t="shared" si="8"/>
        <v>4</v>
      </c>
      <c r="AF1550" s="19">
        <f t="shared" si="13"/>
        <v>2</v>
      </c>
      <c r="AG1550" s="9"/>
      <c r="AH1550" s="9"/>
      <c r="AI1550" s="9"/>
    </row>
    <row r="1551" ht="15.0" customHeight="1">
      <c r="A1551" s="11">
        <v>1550.0</v>
      </c>
      <c r="B1551" s="12">
        <f t="shared" si="248"/>
        <v>40072</v>
      </c>
      <c r="C1551" s="13">
        <v>2009.0</v>
      </c>
      <c r="D1551" s="11" t="s">
        <v>44</v>
      </c>
      <c r="E1551" s="11">
        <v>27.0</v>
      </c>
      <c r="F1551" s="21" t="s">
        <v>350</v>
      </c>
      <c r="G1551" s="15">
        <v>0.04508803885853059</v>
      </c>
      <c r="H1551" s="11" t="s">
        <v>33</v>
      </c>
      <c r="I1551" s="16">
        <v>13.496000000000002</v>
      </c>
      <c r="J1551" s="11" t="s">
        <v>1827</v>
      </c>
      <c r="K1551" s="11" t="s">
        <v>117</v>
      </c>
      <c r="L1551" s="11" t="s">
        <v>27</v>
      </c>
      <c r="M1551" s="11" t="s">
        <v>28</v>
      </c>
      <c r="N1551" s="11" t="s">
        <v>56</v>
      </c>
      <c r="O1551" s="11" t="s">
        <v>1630</v>
      </c>
      <c r="P1551" s="11" t="s">
        <v>38</v>
      </c>
      <c r="Q1551" s="20">
        <v>40073.0</v>
      </c>
      <c r="R1551" s="17">
        <f t="shared" si="2"/>
        <v>28.36470489</v>
      </c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>
        <f t="shared" si="8"/>
        <v>1</v>
      </c>
      <c r="AF1551" s="19" t="b">
        <f t="shared" si="13"/>
        <v>0</v>
      </c>
      <c r="AG1551" s="9"/>
      <c r="AH1551" s="9"/>
      <c r="AI1551" s="9"/>
    </row>
    <row r="1552" ht="15.0" customHeight="1">
      <c r="A1552" s="11">
        <v>1551.0</v>
      </c>
      <c r="B1552" s="12">
        <f t="shared" si="248"/>
        <v>40072</v>
      </c>
      <c r="C1552" s="13">
        <v>2009.0</v>
      </c>
      <c r="D1552" s="11" t="s">
        <v>23</v>
      </c>
      <c r="E1552" s="11">
        <v>50.0</v>
      </c>
      <c r="F1552" s="21" t="s">
        <v>1828</v>
      </c>
      <c r="G1552" s="15">
        <v>0.0604329690927631</v>
      </c>
      <c r="H1552" s="11" t="s">
        <v>33</v>
      </c>
      <c r="I1552" s="16">
        <v>15.991999999999999</v>
      </c>
      <c r="J1552" s="11" t="s">
        <v>1829</v>
      </c>
      <c r="K1552" s="11" t="s">
        <v>83</v>
      </c>
      <c r="L1552" s="11" t="s">
        <v>48</v>
      </c>
      <c r="M1552" s="11" t="s">
        <v>28</v>
      </c>
      <c r="N1552" s="11" t="s">
        <v>42</v>
      </c>
      <c r="O1552" s="11" t="s">
        <v>1830</v>
      </c>
      <c r="P1552" s="11" t="s">
        <v>38</v>
      </c>
      <c r="Q1552" s="20">
        <v>40073.0</v>
      </c>
      <c r="R1552" s="17">
        <f t="shared" si="2"/>
        <v>1173.06388</v>
      </c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>
        <f t="shared" si="8"/>
        <v>4</v>
      </c>
      <c r="AF1552" s="19" t="b">
        <f t="shared" si="13"/>
        <v>0</v>
      </c>
      <c r="AG1552" s="9"/>
      <c r="AH1552" s="9"/>
      <c r="AI1552" s="9"/>
    </row>
    <row r="1553" ht="15.0" customHeight="1">
      <c r="A1553" s="11">
        <v>1552.0</v>
      </c>
      <c r="B1553" s="12">
        <f t="shared" si="248"/>
        <v>40072</v>
      </c>
      <c r="C1553" s="13">
        <v>2009.0</v>
      </c>
      <c r="D1553" s="11" t="s">
        <v>44</v>
      </c>
      <c r="E1553" s="11">
        <v>8.0</v>
      </c>
      <c r="F1553" s="21" t="s">
        <v>1291</v>
      </c>
      <c r="G1553" s="15">
        <v>0.06763915547024954</v>
      </c>
      <c r="H1553" s="11" t="s">
        <v>33</v>
      </c>
      <c r="I1553" s="16">
        <v>41.760000000000005</v>
      </c>
      <c r="J1553" s="11" t="s">
        <v>1831</v>
      </c>
      <c r="K1553" s="11" t="s">
        <v>61</v>
      </c>
      <c r="L1553" s="11" t="s">
        <v>27</v>
      </c>
      <c r="M1553" s="11" t="s">
        <v>49</v>
      </c>
      <c r="N1553" s="11" t="s">
        <v>73</v>
      </c>
      <c r="O1553" s="11" t="s">
        <v>1293</v>
      </c>
      <c r="P1553" s="11" t="s">
        <v>75</v>
      </c>
      <c r="Q1553" s="20">
        <v>40073.0</v>
      </c>
      <c r="R1553" s="17">
        <f t="shared" si="2"/>
        <v>32.85639616</v>
      </c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>
        <f t="shared" si="8"/>
        <v>1</v>
      </c>
      <c r="AF1553" s="19">
        <f t="shared" si="13"/>
        <v>4</v>
      </c>
      <c r="AG1553" s="9"/>
      <c r="AH1553" s="9"/>
      <c r="AI1553" s="9"/>
    </row>
    <row r="1554" ht="15.0" customHeight="1">
      <c r="A1554" s="11">
        <v>1553.0</v>
      </c>
      <c r="B1554" s="12">
        <f t="shared" si="248"/>
        <v>40072</v>
      </c>
      <c r="C1554" s="13">
        <v>2009.0</v>
      </c>
      <c r="D1554" s="11" t="s">
        <v>44</v>
      </c>
      <c r="E1554" s="11">
        <v>30.0</v>
      </c>
      <c r="F1554" s="21" t="s">
        <v>715</v>
      </c>
      <c r="G1554" s="15">
        <v>0.047912901282382236</v>
      </c>
      <c r="H1554" s="11" t="s">
        <v>45</v>
      </c>
      <c r="I1554" s="16">
        <v>11.76</v>
      </c>
      <c r="J1554" s="11" t="s">
        <v>1831</v>
      </c>
      <c r="K1554" s="11" t="s">
        <v>61</v>
      </c>
      <c r="L1554" s="11" t="s">
        <v>27</v>
      </c>
      <c r="M1554" s="11" t="s">
        <v>66</v>
      </c>
      <c r="N1554" s="11" t="s">
        <v>69</v>
      </c>
      <c r="O1554" s="11" t="s">
        <v>717</v>
      </c>
      <c r="P1554" s="11" t="s">
        <v>52</v>
      </c>
      <c r="Q1554" s="20">
        <v>40073.0</v>
      </c>
      <c r="R1554" s="17">
        <f t="shared" si="2"/>
        <v>636.0322654</v>
      </c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>
        <f t="shared" si="8"/>
        <v>1</v>
      </c>
      <c r="AF1554" s="19">
        <f t="shared" si="13"/>
        <v>4</v>
      </c>
      <c r="AG1554" s="9"/>
      <c r="AH1554" s="9"/>
      <c r="AI1554" s="9"/>
    </row>
    <row r="1555" ht="15.0" customHeight="1">
      <c r="A1555" s="11">
        <v>1554.0</v>
      </c>
      <c r="B1555" s="12">
        <f t="shared" si="248"/>
        <v>40072</v>
      </c>
      <c r="C1555" s="13">
        <v>2009.0</v>
      </c>
      <c r="D1555" s="11" t="s">
        <v>32</v>
      </c>
      <c r="E1555" s="11">
        <v>44.0</v>
      </c>
      <c r="F1555" s="21" t="s">
        <v>158</v>
      </c>
      <c r="G1555" s="15">
        <v>0.0534879099039416</v>
      </c>
      <c r="H1555" s="11" t="s">
        <v>33</v>
      </c>
      <c r="I1555" s="16">
        <v>4.152</v>
      </c>
      <c r="J1555" s="11" t="s">
        <v>1010</v>
      </c>
      <c r="K1555" s="11" t="s">
        <v>35</v>
      </c>
      <c r="L1555" s="11" t="s">
        <v>27</v>
      </c>
      <c r="M1555" s="11" t="s">
        <v>28</v>
      </c>
      <c r="N1555" s="11" t="s">
        <v>56</v>
      </c>
      <c r="O1555" s="11" t="s">
        <v>1687</v>
      </c>
      <c r="P1555" s="11" t="s">
        <v>38</v>
      </c>
      <c r="Q1555" s="20">
        <v>40074.0</v>
      </c>
      <c r="R1555" s="17">
        <f t="shared" si="2"/>
        <v>15.28427723</v>
      </c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>
        <f t="shared" si="8"/>
        <v>1</v>
      </c>
      <c r="AF1555" s="19">
        <f t="shared" si="13"/>
        <v>2</v>
      </c>
      <c r="AG1555" s="9"/>
      <c r="AH1555" s="9"/>
      <c r="AI1555" s="9"/>
    </row>
    <row r="1556" ht="15.0" customHeight="1">
      <c r="A1556" s="11">
        <v>1555.0</v>
      </c>
      <c r="B1556" s="12">
        <f t="shared" si="248"/>
        <v>40072</v>
      </c>
      <c r="C1556" s="13">
        <v>2009.0</v>
      </c>
      <c r="D1556" s="11" t="s">
        <v>23</v>
      </c>
      <c r="E1556" s="11">
        <v>8.0</v>
      </c>
      <c r="F1556" s="21" t="s">
        <v>93</v>
      </c>
      <c r="G1556" s="15">
        <v>0.03713841368584756</v>
      </c>
      <c r="H1556" s="11" t="s">
        <v>33</v>
      </c>
      <c r="I1556" s="16">
        <v>1.1119999999999999</v>
      </c>
      <c r="J1556" s="11" t="s">
        <v>1054</v>
      </c>
      <c r="K1556" s="11" t="s">
        <v>61</v>
      </c>
      <c r="L1556" s="11" t="s">
        <v>48</v>
      </c>
      <c r="M1556" s="11" t="s">
        <v>28</v>
      </c>
      <c r="N1556" s="11" t="s">
        <v>236</v>
      </c>
      <c r="O1556" s="11" t="s">
        <v>833</v>
      </c>
      <c r="P1556" s="11" t="s">
        <v>38</v>
      </c>
      <c r="Q1556" s="20">
        <v>40074.0</v>
      </c>
      <c r="R1556" s="17">
        <f t="shared" si="2"/>
        <v>2.299313468</v>
      </c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>
        <f t="shared" si="8"/>
        <v>4</v>
      </c>
      <c r="AF1556" s="19">
        <f t="shared" si="13"/>
        <v>4</v>
      </c>
      <c r="AG1556" s="9"/>
      <c r="AH1556" s="9"/>
      <c r="AI1556" s="9"/>
    </row>
    <row r="1557" ht="15.0" customHeight="1">
      <c r="A1557" s="11">
        <v>1556.0</v>
      </c>
      <c r="B1557" s="12">
        <f t="shared" si="248"/>
        <v>40072</v>
      </c>
      <c r="C1557" s="13">
        <v>2009.0</v>
      </c>
      <c r="D1557" s="11" t="s">
        <v>44</v>
      </c>
      <c r="E1557" s="11">
        <v>6.0</v>
      </c>
      <c r="F1557" s="21" t="s">
        <v>532</v>
      </c>
      <c r="G1557" s="15">
        <v>0.07852910749553278</v>
      </c>
      <c r="H1557" s="11" t="s">
        <v>24</v>
      </c>
      <c r="I1557" s="16">
        <v>55.2</v>
      </c>
      <c r="J1557" s="11" t="s">
        <v>326</v>
      </c>
      <c r="K1557" s="11" t="s">
        <v>35</v>
      </c>
      <c r="L1557" s="11" t="s">
        <v>27</v>
      </c>
      <c r="M1557" s="11" t="s">
        <v>49</v>
      </c>
      <c r="N1557" s="11" t="s">
        <v>85</v>
      </c>
      <c r="O1557" s="11" t="s">
        <v>534</v>
      </c>
      <c r="P1557" s="11" t="s">
        <v>31</v>
      </c>
      <c r="Q1557" s="20">
        <v>40074.0</v>
      </c>
      <c r="R1557" s="17">
        <f t="shared" si="2"/>
        <v>76.94281952</v>
      </c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>
        <f t="shared" si="8"/>
        <v>1</v>
      </c>
      <c r="AF1557" s="19">
        <f t="shared" si="13"/>
        <v>2</v>
      </c>
      <c r="AG1557" s="9"/>
      <c r="AH1557" s="9"/>
      <c r="AI1557" s="9"/>
    </row>
    <row r="1558" ht="15.0" customHeight="1">
      <c r="A1558" s="11">
        <v>1557.0</v>
      </c>
      <c r="B1558" s="12">
        <f t="shared" si="248"/>
        <v>40072</v>
      </c>
      <c r="C1558" s="13">
        <v>2009.0</v>
      </c>
      <c r="D1558" s="11" t="s">
        <v>32</v>
      </c>
      <c r="E1558" s="11">
        <v>26.0</v>
      </c>
      <c r="F1558" s="21" t="s">
        <v>290</v>
      </c>
      <c r="G1558" s="15">
        <v>0.06484349258649094</v>
      </c>
      <c r="H1558" s="11" t="s">
        <v>33</v>
      </c>
      <c r="I1558" s="16">
        <v>4.328</v>
      </c>
      <c r="J1558" s="11" t="s">
        <v>744</v>
      </c>
      <c r="K1558" s="11" t="s">
        <v>61</v>
      </c>
      <c r="L1558" s="11" t="s">
        <v>36</v>
      </c>
      <c r="M1558" s="11" t="s">
        <v>28</v>
      </c>
      <c r="N1558" s="11" t="s">
        <v>42</v>
      </c>
      <c r="O1558" s="11" t="s">
        <v>1475</v>
      </c>
      <c r="P1558" s="11" t="s">
        <v>38</v>
      </c>
      <c r="Q1558" s="20">
        <v>40074.0</v>
      </c>
      <c r="R1558" s="17">
        <f t="shared" si="2"/>
        <v>7.361552026</v>
      </c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>
        <f t="shared" si="8"/>
        <v>2</v>
      </c>
      <c r="AF1558" s="19">
        <f t="shared" si="13"/>
        <v>4</v>
      </c>
      <c r="AG1558" s="9"/>
      <c r="AH1558" s="9"/>
      <c r="AI1558" s="9"/>
    </row>
    <row r="1559" ht="15.0" customHeight="1">
      <c r="A1559" s="11">
        <v>1558.0</v>
      </c>
      <c r="B1559" s="12">
        <f t="shared" si="248"/>
        <v>40072</v>
      </c>
      <c r="C1559" s="13">
        <v>2009.0</v>
      </c>
      <c r="D1559" s="11" t="s">
        <v>32</v>
      </c>
      <c r="E1559" s="11">
        <v>27.0</v>
      </c>
      <c r="F1559" s="21" t="s">
        <v>1265</v>
      </c>
      <c r="G1559" s="15">
        <v>0.09980305078200434</v>
      </c>
      <c r="H1559" s="11" t="s">
        <v>33</v>
      </c>
      <c r="I1559" s="16">
        <v>9.912</v>
      </c>
      <c r="J1559" s="11" t="s">
        <v>744</v>
      </c>
      <c r="K1559" s="11" t="s">
        <v>61</v>
      </c>
      <c r="L1559" s="11" t="s">
        <v>36</v>
      </c>
      <c r="M1559" s="11" t="s">
        <v>28</v>
      </c>
      <c r="N1559" s="11" t="s">
        <v>236</v>
      </c>
      <c r="O1559" s="11" t="s">
        <v>1267</v>
      </c>
      <c r="P1559" s="11" t="s">
        <v>38</v>
      </c>
      <c r="Q1559" s="20">
        <v>40074.0</v>
      </c>
      <c r="R1559" s="17">
        <f t="shared" si="2"/>
        <v>46.52937991</v>
      </c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>
        <f t="shared" si="8"/>
        <v>2</v>
      </c>
      <c r="AF1559" s="19">
        <f t="shared" si="13"/>
        <v>4</v>
      </c>
      <c r="AG1559" s="9"/>
      <c r="AH1559" s="9"/>
      <c r="AI1559" s="9"/>
    </row>
    <row r="1560" ht="15.0" customHeight="1">
      <c r="A1560" s="11">
        <v>1559.0</v>
      </c>
      <c r="B1560" s="12">
        <f t="shared" ref="B1560:B1566" si="249">DATE(2012,12,31)-1201</f>
        <v>40073</v>
      </c>
      <c r="C1560" s="13">
        <v>2009.0</v>
      </c>
      <c r="D1560" s="11" t="s">
        <v>39</v>
      </c>
      <c r="E1560" s="11">
        <v>35.0</v>
      </c>
      <c r="F1560" s="21" t="s">
        <v>115</v>
      </c>
      <c r="G1560" s="15">
        <v>0.03933888044981516</v>
      </c>
      <c r="H1560" s="11" t="s">
        <v>33</v>
      </c>
      <c r="I1560" s="16">
        <v>5.688000000000001</v>
      </c>
      <c r="J1560" s="11" t="s">
        <v>1832</v>
      </c>
      <c r="K1560" s="11" t="s">
        <v>35</v>
      </c>
      <c r="L1560" s="11" t="s">
        <v>48</v>
      </c>
      <c r="M1560" s="11" t="s">
        <v>66</v>
      </c>
      <c r="N1560" s="11" t="s">
        <v>69</v>
      </c>
      <c r="O1560" s="11" t="s">
        <v>1833</v>
      </c>
      <c r="P1560" s="11" t="s">
        <v>75</v>
      </c>
      <c r="Q1560" s="20">
        <v>40074.0</v>
      </c>
      <c r="R1560" s="17">
        <f t="shared" si="2"/>
        <v>166.6862322</v>
      </c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>
        <f t="shared" si="8"/>
        <v>4</v>
      </c>
      <c r="AF1560" s="19">
        <f t="shared" si="13"/>
        <v>2</v>
      </c>
      <c r="AG1560" s="9"/>
      <c r="AH1560" s="9"/>
      <c r="AI1560" s="9"/>
    </row>
    <row r="1561" ht="15.0" customHeight="1">
      <c r="A1561" s="11">
        <v>1560.0</v>
      </c>
      <c r="B1561" s="12">
        <f t="shared" si="249"/>
        <v>40073</v>
      </c>
      <c r="C1561" s="13">
        <v>2009.0</v>
      </c>
      <c r="D1561" s="11" t="s">
        <v>39</v>
      </c>
      <c r="E1561" s="11">
        <v>36.0</v>
      </c>
      <c r="F1561" s="21" t="s">
        <v>569</v>
      </c>
      <c r="G1561" s="15">
        <v>0.06057225417150636</v>
      </c>
      <c r="H1561" s="11" t="s">
        <v>33</v>
      </c>
      <c r="I1561" s="16">
        <v>3.3600000000000003</v>
      </c>
      <c r="J1561" s="11" t="s">
        <v>1832</v>
      </c>
      <c r="K1561" s="11" t="s">
        <v>35</v>
      </c>
      <c r="L1561" s="11" t="s">
        <v>48</v>
      </c>
      <c r="M1561" s="11" t="s">
        <v>66</v>
      </c>
      <c r="N1561" s="11" t="s">
        <v>80</v>
      </c>
      <c r="O1561" s="11" t="s">
        <v>1834</v>
      </c>
      <c r="P1561" s="11" t="s">
        <v>38</v>
      </c>
      <c r="Q1561" s="20">
        <v>40075.0</v>
      </c>
      <c r="R1561" s="17">
        <f t="shared" si="2"/>
        <v>427.3832881</v>
      </c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>
        <f t="shared" si="8"/>
        <v>4</v>
      </c>
      <c r="AF1561" s="19">
        <f t="shared" si="13"/>
        <v>2</v>
      </c>
      <c r="AG1561" s="9"/>
      <c r="AH1561" s="9"/>
      <c r="AI1561" s="9"/>
    </row>
    <row r="1562" ht="15.0" customHeight="1">
      <c r="A1562" s="11">
        <v>1561.0</v>
      </c>
      <c r="B1562" s="12">
        <f t="shared" si="249"/>
        <v>40073</v>
      </c>
      <c r="C1562" s="13">
        <v>2009.0</v>
      </c>
      <c r="D1562" s="11" t="s">
        <v>44</v>
      </c>
      <c r="E1562" s="11">
        <v>11.0</v>
      </c>
      <c r="F1562" s="21" t="s">
        <v>810</v>
      </c>
      <c r="G1562" s="15">
        <v>0.10282798833819225</v>
      </c>
      <c r="H1562" s="11" t="s">
        <v>33</v>
      </c>
      <c r="I1562" s="16">
        <v>3.192</v>
      </c>
      <c r="J1562" s="11" t="s">
        <v>1835</v>
      </c>
      <c r="K1562" s="11" t="s">
        <v>47</v>
      </c>
      <c r="L1562" s="11" t="s">
        <v>48</v>
      </c>
      <c r="M1562" s="11" t="s">
        <v>28</v>
      </c>
      <c r="N1562" s="11" t="s">
        <v>197</v>
      </c>
      <c r="O1562" s="11" t="s">
        <v>1322</v>
      </c>
      <c r="P1562" s="11" t="s">
        <v>38</v>
      </c>
      <c r="Q1562" s="20">
        <v>40075.0</v>
      </c>
      <c r="R1562" s="17">
        <f t="shared" si="2"/>
        <v>12.65730274</v>
      </c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>
        <f t="shared" si="8"/>
        <v>4</v>
      </c>
      <c r="AF1562" s="19">
        <f t="shared" si="13"/>
        <v>3</v>
      </c>
      <c r="AG1562" s="9"/>
      <c r="AH1562" s="9"/>
      <c r="AI1562" s="9"/>
    </row>
    <row r="1563" ht="15.0" customHeight="1">
      <c r="A1563" s="11">
        <v>1562.0</v>
      </c>
      <c r="B1563" s="12">
        <f t="shared" si="249"/>
        <v>40073</v>
      </c>
      <c r="C1563" s="13">
        <v>2009.0</v>
      </c>
      <c r="D1563" s="11" t="s">
        <v>44</v>
      </c>
      <c r="E1563" s="11">
        <v>9.0</v>
      </c>
      <c r="F1563" s="21" t="s">
        <v>473</v>
      </c>
      <c r="G1563" s="15">
        <v>0.016742688489401688</v>
      </c>
      <c r="H1563" s="11" t="s">
        <v>33</v>
      </c>
      <c r="I1563" s="16">
        <v>7.359999999999999</v>
      </c>
      <c r="J1563" s="11" t="s">
        <v>1835</v>
      </c>
      <c r="K1563" s="11" t="s">
        <v>47</v>
      </c>
      <c r="L1563" s="11" t="s">
        <v>48</v>
      </c>
      <c r="M1563" s="11" t="s">
        <v>49</v>
      </c>
      <c r="N1563" s="11" t="s">
        <v>73</v>
      </c>
      <c r="O1563" s="11" t="s">
        <v>1836</v>
      </c>
      <c r="P1563" s="11" t="s">
        <v>58</v>
      </c>
      <c r="Q1563" s="20">
        <v>40075.0</v>
      </c>
      <c r="R1563" s="17">
        <f t="shared" si="2"/>
        <v>6.135525624</v>
      </c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>
        <f t="shared" si="8"/>
        <v>4</v>
      </c>
      <c r="AF1563" s="19">
        <f t="shared" si="13"/>
        <v>3</v>
      </c>
      <c r="AG1563" s="9"/>
      <c r="AH1563" s="9"/>
      <c r="AI1563" s="9"/>
    </row>
    <row r="1564" ht="15.0" customHeight="1">
      <c r="A1564" s="11">
        <v>1563.0</v>
      </c>
      <c r="B1564" s="12">
        <f t="shared" si="249"/>
        <v>40073</v>
      </c>
      <c r="C1564" s="13">
        <v>2009.0</v>
      </c>
      <c r="D1564" s="11" t="s">
        <v>102</v>
      </c>
      <c r="E1564" s="11">
        <v>12.0</v>
      </c>
      <c r="F1564" s="21" t="s">
        <v>299</v>
      </c>
      <c r="G1564" s="15">
        <v>0.09779385171790225</v>
      </c>
      <c r="H1564" s="11" t="s">
        <v>33</v>
      </c>
      <c r="I1564" s="16">
        <v>7.384</v>
      </c>
      <c r="J1564" s="11" t="s">
        <v>1837</v>
      </c>
      <c r="K1564" s="11" t="s">
        <v>35</v>
      </c>
      <c r="L1564" s="11" t="s">
        <v>48</v>
      </c>
      <c r="M1564" s="11" t="s">
        <v>28</v>
      </c>
      <c r="N1564" s="11" t="s">
        <v>197</v>
      </c>
      <c r="O1564" s="11" t="s">
        <v>301</v>
      </c>
      <c r="P1564" s="11" t="s">
        <v>38</v>
      </c>
      <c r="Q1564" s="20">
        <v>40075.0</v>
      </c>
      <c r="R1564" s="17">
        <f t="shared" si="2"/>
        <v>9.7582617</v>
      </c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>
        <f t="shared" si="8"/>
        <v>4</v>
      </c>
      <c r="AF1564" s="19">
        <f t="shared" si="13"/>
        <v>2</v>
      </c>
      <c r="AG1564" s="9"/>
      <c r="AH1564" s="9"/>
      <c r="AI1564" s="9"/>
    </row>
    <row r="1565" ht="15.0" customHeight="1">
      <c r="A1565" s="11">
        <v>1564.0</v>
      </c>
      <c r="B1565" s="12">
        <f t="shared" si="249"/>
        <v>40073</v>
      </c>
      <c r="C1565" s="13">
        <v>2009.0</v>
      </c>
      <c r="D1565" s="11" t="s">
        <v>102</v>
      </c>
      <c r="E1565" s="11">
        <v>34.0</v>
      </c>
      <c r="F1565" s="21" t="s">
        <v>881</v>
      </c>
      <c r="G1565" s="15">
        <v>0.07917261055634804</v>
      </c>
      <c r="H1565" s="11" t="s">
        <v>33</v>
      </c>
      <c r="I1565" s="16">
        <v>3.2</v>
      </c>
      <c r="J1565" s="11" t="s">
        <v>1837</v>
      </c>
      <c r="K1565" s="11" t="s">
        <v>35</v>
      </c>
      <c r="L1565" s="11" t="s">
        <v>48</v>
      </c>
      <c r="M1565" s="11" t="s">
        <v>49</v>
      </c>
      <c r="N1565" s="11" t="s">
        <v>73</v>
      </c>
      <c r="O1565" s="11" t="s">
        <v>883</v>
      </c>
      <c r="P1565" s="11" t="s">
        <v>58</v>
      </c>
      <c r="Q1565" s="20">
        <v>40075.0</v>
      </c>
      <c r="R1565" s="17">
        <f t="shared" si="2"/>
        <v>20.44236805</v>
      </c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>
        <f t="shared" si="8"/>
        <v>4</v>
      </c>
      <c r="AF1565" s="19">
        <f t="shared" si="13"/>
        <v>2</v>
      </c>
      <c r="AG1565" s="9"/>
      <c r="AH1565" s="9"/>
      <c r="AI1565" s="9"/>
    </row>
    <row r="1566" ht="15.0" customHeight="1">
      <c r="A1566" s="11">
        <v>1565.0</v>
      </c>
      <c r="B1566" s="12">
        <f t="shared" si="249"/>
        <v>40073</v>
      </c>
      <c r="C1566" s="13">
        <v>2009.0</v>
      </c>
      <c r="D1566" s="11" t="s">
        <v>23</v>
      </c>
      <c r="E1566" s="11">
        <v>47.0</v>
      </c>
      <c r="F1566" s="21" t="s">
        <v>1182</v>
      </c>
      <c r="G1566" s="15">
        <v>0.034803266518188485</v>
      </c>
      <c r="H1566" s="11" t="s">
        <v>33</v>
      </c>
      <c r="I1566" s="16">
        <v>6.224</v>
      </c>
      <c r="J1566" s="11" t="s">
        <v>1110</v>
      </c>
      <c r="K1566" s="11" t="s">
        <v>61</v>
      </c>
      <c r="L1566" s="11" t="s">
        <v>41</v>
      </c>
      <c r="M1566" s="11" t="s">
        <v>28</v>
      </c>
      <c r="N1566" s="11" t="s">
        <v>42</v>
      </c>
      <c r="O1566" s="11" t="s">
        <v>1311</v>
      </c>
      <c r="P1566" s="11" t="s">
        <v>38</v>
      </c>
      <c r="Q1566" s="20">
        <v>40075.0</v>
      </c>
      <c r="R1566" s="17">
        <f t="shared" si="2"/>
        <v>9.049684573</v>
      </c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>
        <f t="shared" si="8"/>
        <v>3</v>
      </c>
      <c r="AF1566" s="19">
        <f t="shared" si="13"/>
        <v>4</v>
      </c>
      <c r="AG1566" s="9"/>
      <c r="AH1566" s="9"/>
      <c r="AI1566" s="9"/>
    </row>
    <row r="1567" ht="15.0" customHeight="1">
      <c r="A1567" s="11">
        <v>1566.0</v>
      </c>
      <c r="B1567" s="12">
        <f t="shared" ref="B1567:B1571" si="250">DATE(2012,12,31)-1200</f>
        <v>40074</v>
      </c>
      <c r="C1567" s="13">
        <v>2009.0</v>
      </c>
      <c r="D1567" s="11" t="s">
        <v>102</v>
      </c>
      <c r="E1567" s="11">
        <v>30.0</v>
      </c>
      <c r="F1567" s="21" t="s">
        <v>481</v>
      </c>
      <c r="G1567" s="15">
        <v>0.02645769028081008</v>
      </c>
      <c r="H1567" s="11" t="s">
        <v>33</v>
      </c>
      <c r="I1567" s="16">
        <v>7.192</v>
      </c>
      <c r="J1567" s="11" t="s">
        <v>781</v>
      </c>
      <c r="K1567" s="11" t="s">
        <v>65</v>
      </c>
      <c r="L1567" s="11" t="s">
        <v>27</v>
      </c>
      <c r="M1567" s="11" t="s">
        <v>28</v>
      </c>
      <c r="N1567" s="11" t="s">
        <v>62</v>
      </c>
      <c r="O1567" s="11" t="s">
        <v>482</v>
      </c>
      <c r="P1567" s="11" t="s">
        <v>99</v>
      </c>
      <c r="Q1567" s="20">
        <v>40075.0</v>
      </c>
      <c r="R1567" s="17">
        <f t="shared" si="2"/>
        <v>35.03506181</v>
      </c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>
        <f t="shared" si="8"/>
        <v>1</v>
      </c>
      <c r="AF1567" s="19">
        <f t="shared" si="13"/>
        <v>5</v>
      </c>
      <c r="AG1567" s="9"/>
      <c r="AH1567" s="9"/>
      <c r="AI1567" s="9"/>
    </row>
    <row r="1568" ht="15.0" customHeight="1">
      <c r="A1568" s="11">
        <v>1567.0</v>
      </c>
      <c r="B1568" s="12">
        <f t="shared" si="250"/>
        <v>40074</v>
      </c>
      <c r="C1568" s="13">
        <v>2009.0</v>
      </c>
      <c r="D1568" s="11" t="s">
        <v>102</v>
      </c>
      <c r="E1568" s="11">
        <v>27.0</v>
      </c>
      <c r="F1568" s="21" t="s">
        <v>264</v>
      </c>
      <c r="G1568" s="15">
        <v>0.10203566121842503</v>
      </c>
      <c r="H1568" s="11" t="s">
        <v>33</v>
      </c>
      <c r="I1568" s="16">
        <v>6.832</v>
      </c>
      <c r="J1568" s="11" t="s">
        <v>1832</v>
      </c>
      <c r="K1568" s="11" t="s">
        <v>35</v>
      </c>
      <c r="L1568" s="11" t="s">
        <v>48</v>
      </c>
      <c r="M1568" s="11" t="s">
        <v>49</v>
      </c>
      <c r="N1568" s="11" t="s">
        <v>73</v>
      </c>
      <c r="O1568" s="11" t="s">
        <v>1838</v>
      </c>
      <c r="P1568" s="11" t="s">
        <v>99</v>
      </c>
      <c r="Q1568" s="20">
        <v>40075.0</v>
      </c>
      <c r="R1568" s="17">
        <f t="shared" si="2"/>
        <v>24.66528446</v>
      </c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>
        <f t="shared" si="8"/>
        <v>4</v>
      </c>
      <c r="AF1568" s="19">
        <f t="shared" si="13"/>
        <v>2</v>
      </c>
      <c r="AG1568" s="9"/>
      <c r="AH1568" s="9"/>
      <c r="AI1568" s="9"/>
    </row>
    <row r="1569" ht="15.0" customHeight="1">
      <c r="A1569" s="11">
        <v>1568.0</v>
      </c>
      <c r="B1569" s="12">
        <f t="shared" si="250"/>
        <v>40074</v>
      </c>
      <c r="C1569" s="13">
        <v>2009.0</v>
      </c>
      <c r="D1569" s="11" t="s">
        <v>102</v>
      </c>
      <c r="E1569" s="11">
        <v>28.0</v>
      </c>
      <c r="F1569" s="21" t="s">
        <v>933</v>
      </c>
      <c r="G1569" s="15">
        <v>0.03106829690008653</v>
      </c>
      <c r="H1569" s="11" t="s">
        <v>33</v>
      </c>
      <c r="I1569" s="16">
        <v>3.8880000000000003</v>
      </c>
      <c r="J1569" s="11" t="s">
        <v>1832</v>
      </c>
      <c r="K1569" s="11" t="s">
        <v>35</v>
      </c>
      <c r="L1569" s="11" t="s">
        <v>48</v>
      </c>
      <c r="M1569" s="11" t="s">
        <v>28</v>
      </c>
      <c r="N1569" s="11" t="s">
        <v>56</v>
      </c>
      <c r="O1569" s="11" t="s">
        <v>1566</v>
      </c>
      <c r="P1569" s="11" t="s">
        <v>38</v>
      </c>
      <c r="Q1569" s="20">
        <v>40075.0</v>
      </c>
      <c r="R1569" s="17">
        <f t="shared" si="2"/>
        <v>48.74889185</v>
      </c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>
        <f t="shared" si="8"/>
        <v>4</v>
      </c>
      <c r="AF1569" s="19">
        <f t="shared" si="13"/>
        <v>2</v>
      </c>
      <c r="AG1569" s="9"/>
      <c r="AH1569" s="9"/>
      <c r="AI1569" s="9"/>
    </row>
    <row r="1570" ht="15.0" customHeight="1">
      <c r="A1570" s="11">
        <v>1569.0</v>
      </c>
      <c r="B1570" s="12">
        <f t="shared" si="250"/>
        <v>40074</v>
      </c>
      <c r="C1570" s="13">
        <v>2009.0</v>
      </c>
      <c r="D1570" s="11" t="s">
        <v>32</v>
      </c>
      <c r="E1570" s="11">
        <v>28.0</v>
      </c>
      <c r="F1570" s="21" t="s">
        <v>1839</v>
      </c>
      <c r="G1570" s="15">
        <v>0.012797410304828626</v>
      </c>
      <c r="H1570" s="11" t="s">
        <v>33</v>
      </c>
      <c r="I1570" s="16">
        <v>1.1119999999999999</v>
      </c>
      <c r="J1570" s="11" t="s">
        <v>741</v>
      </c>
      <c r="K1570" s="11" t="s">
        <v>35</v>
      </c>
      <c r="L1570" s="11" t="s">
        <v>41</v>
      </c>
      <c r="M1570" s="11" t="s">
        <v>28</v>
      </c>
      <c r="N1570" s="11" t="s">
        <v>236</v>
      </c>
      <c r="O1570" s="11" t="s">
        <v>1840</v>
      </c>
      <c r="P1570" s="11" t="s">
        <v>38</v>
      </c>
      <c r="Q1570" s="20">
        <v>40075.0</v>
      </c>
      <c r="R1570" s="17">
        <f t="shared" si="2"/>
        <v>9.366578171</v>
      </c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>
        <f t="shared" si="8"/>
        <v>3</v>
      </c>
      <c r="AF1570" s="19">
        <f t="shared" si="13"/>
        <v>2</v>
      </c>
      <c r="AG1570" s="9"/>
      <c r="AH1570" s="9"/>
      <c r="AI1570" s="9"/>
    </row>
    <row r="1571" ht="15.0" customHeight="1">
      <c r="A1571" s="11">
        <v>1570.0</v>
      </c>
      <c r="B1571" s="12">
        <f t="shared" si="250"/>
        <v>40074</v>
      </c>
      <c r="C1571" s="13">
        <v>2009.0</v>
      </c>
      <c r="D1571" s="11" t="s">
        <v>102</v>
      </c>
      <c r="E1571" s="11">
        <v>16.0</v>
      </c>
      <c r="F1571" s="21" t="s">
        <v>126</v>
      </c>
      <c r="G1571" s="15">
        <v>0.03529964747356041</v>
      </c>
      <c r="H1571" s="11" t="s">
        <v>33</v>
      </c>
      <c r="I1571" s="16">
        <v>3.696</v>
      </c>
      <c r="J1571" s="11" t="s">
        <v>1841</v>
      </c>
      <c r="K1571" s="11" t="s">
        <v>61</v>
      </c>
      <c r="L1571" s="11" t="s">
        <v>36</v>
      </c>
      <c r="M1571" s="11" t="s">
        <v>66</v>
      </c>
      <c r="N1571" s="11" t="s">
        <v>67</v>
      </c>
      <c r="O1571" s="11" t="s">
        <v>675</v>
      </c>
      <c r="P1571" s="11" t="s">
        <v>99</v>
      </c>
      <c r="Q1571" s="20">
        <v>40075.0</v>
      </c>
      <c r="R1571" s="17">
        <f t="shared" si="2"/>
        <v>2.897959859</v>
      </c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>
        <f t="shared" si="8"/>
        <v>2</v>
      </c>
      <c r="AF1571" s="19">
        <f t="shared" si="13"/>
        <v>4</v>
      </c>
      <c r="AG1571" s="9"/>
      <c r="AH1571" s="9"/>
      <c r="AI1571" s="9"/>
    </row>
    <row r="1572" ht="15.0" customHeight="1">
      <c r="A1572" s="11">
        <v>1571.0</v>
      </c>
      <c r="B1572" s="12">
        <f t="shared" ref="B1572:B1582" si="251">DATE(2012,12,31)-1199</f>
        <v>40075</v>
      </c>
      <c r="C1572" s="13">
        <v>2009.0</v>
      </c>
      <c r="D1572" s="11" t="s">
        <v>32</v>
      </c>
      <c r="E1572" s="11">
        <v>35.0</v>
      </c>
      <c r="F1572" s="21" t="s">
        <v>1223</v>
      </c>
      <c r="G1572" s="15">
        <v>0.0276164437896645</v>
      </c>
      <c r="H1572" s="11" t="s">
        <v>33</v>
      </c>
      <c r="I1572" s="16">
        <v>2.2960000000000003</v>
      </c>
      <c r="J1572" s="11" t="s">
        <v>1842</v>
      </c>
      <c r="K1572" s="11" t="s">
        <v>65</v>
      </c>
      <c r="L1572" s="11" t="s">
        <v>48</v>
      </c>
      <c r="M1572" s="11" t="s">
        <v>28</v>
      </c>
      <c r="N1572" s="11" t="s">
        <v>62</v>
      </c>
      <c r="O1572" s="11" t="s">
        <v>1225</v>
      </c>
      <c r="P1572" s="11" t="s">
        <v>99</v>
      </c>
      <c r="Q1572" s="20">
        <v>40076.0</v>
      </c>
      <c r="R1572" s="17">
        <f t="shared" si="2"/>
        <v>21.23141152</v>
      </c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>
        <f t="shared" si="8"/>
        <v>4</v>
      </c>
      <c r="AF1572" s="19">
        <f t="shared" si="13"/>
        <v>5</v>
      </c>
      <c r="AG1572" s="9"/>
      <c r="AH1572" s="9"/>
      <c r="AI1572" s="9"/>
    </row>
    <row r="1573" ht="15.0" customHeight="1">
      <c r="A1573" s="11">
        <v>1572.0</v>
      </c>
      <c r="B1573" s="12">
        <f t="shared" si="251"/>
        <v>40075</v>
      </c>
      <c r="C1573" s="13">
        <v>2009.0</v>
      </c>
      <c r="D1573" s="11" t="s">
        <v>39</v>
      </c>
      <c r="E1573" s="11">
        <v>30.0</v>
      </c>
      <c r="F1573" s="21" t="s">
        <v>790</v>
      </c>
      <c r="G1573" s="15">
        <v>0.07570757075707564</v>
      </c>
      <c r="H1573" s="11" t="s">
        <v>33</v>
      </c>
      <c r="I1573" s="16">
        <v>3.2</v>
      </c>
      <c r="J1573" s="11" t="s">
        <v>300</v>
      </c>
      <c r="K1573" s="11" t="s">
        <v>35</v>
      </c>
      <c r="L1573" s="11" t="s">
        <v>36</v>
      </c>
      <c r="M1573" s="11" t="s">
        <v>66</v>
      </c>
      <c r="N1573" s="11" t="s">
        <v>67</v>
      </c>
      <c r="O1573" s="11" t="s">
        <v>791</v>
      </c>
      <c r="P1573" s="11" t="s">
        <v>38</v>
      </c>
      <c r="Q1573" s="20">
        <v>40076.0</v>
      </c>
      <c r="R1573" s="17">
        <f t="shared" si="2"/>
        <v>69.96893689</v>
      </c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>
        <f t="shared" si="8"/>
        <v>2</v>
      </c>
      <c r="AF1573" s="19">
        <f t="shared" si="13"/>
        <v>2</v>
      </c>
      <c r="AG1573" s="9"/>
      <c r="AH1573" s="9"/>
      <c r="AI1573" s="9"/>
    </row>
    <row r="1574" ht="15.0" customHeight="1">
      <c r="A1574" s="11">
        <v>1573.0</v>
      </c>
      <c r="B1574" s="12">
        <f t="shared" si="251"/>
        <v>40075</v>
      </c>
      <c r="C1574" s="13">
        <v>2009.0</v>
      </c>
      <c r="D1574" s="11" t="s">
        <v>39</v>
      </c>
      <c r="E1574" s="11">
        <v>7.0</v>
      </c>
      <c r="F1574" s="21" t="s">
        <v>195</v>
      </c>
      <c r="G1574" s="15">
        <v>0.056962025316455674</v>
      </c>
      <c r="H1574" s="11" t="s">
        <v>33</v>
      </c>
      <c r="I1574" s="16">
        <v>2.8000000000000003</v>
      </c>
      <c r="J1574" s="11" t="s">
        <v>300</v>
      </c>
      <c r="K1574" s="11" t="s">
        <v>35</v>
      </c>
      <c r="L1574" s="11" t="s">
        <v>36</v>
      </c>
      <c r="M1574" s="11" t="s">
        <v>28</v>
      </c>
      <c r="N1574" s="11" t="s">
        <v>197</v>
      </c>
      <c r="O1574" s="11" t="s">
        <v>198</v>
      </c>
      <c r="P1574" s="11" t="s">
        <v>38</v>
      </c>
      <c r="Q1574" s="20">
        <v>40076.0</v>
      </c>
      <c r="R1574" s="17">
        <f t="shared" si="2"/>
        <v>5.941139241</v>
      </c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>
        <f t="shared" si="8"/>
        <v>2</v>
      </c>
      <c r="AF1574" s="19">
        <f t="shared" si="13"/>
        <v>2</v>
      </c>
      <c r="AG1574" s="9"/>
      <c r="AH1574" s="9"/>
      <c r="AI1574" s="9"/>
    </row>
    <row r="1575" ht="15.0" customHeight="1">
      <c r="A1575" s="11">
        <v>1574.0</v>
      </c>
      <c r="B1575" s="12">
        <f t="shared" si="251"/>
        <v>40075</v>
      </c>
      <c r="C1575" s="13">
        <v>2009.0</v>
      </c>
      <c r="D1575" s="11" t="s">
        <v>39</v>
      </c>
      <c r="E1575" s="11">
        <v>11.0</v>
      </c>
      <c r="F1575" s="21" t="s">
        <v>1843</v>
      </c>
      <c r="G1575" s="15">
        <v>0.04856467001718419</v>
      </c>
      <c r="H1575" s="11" t="s">
        <v>33</v>
      </c>
      <c r="I1575" s="16">
        <v>9.312000000000001</v>
      </c>
      <c r="J1575" s="11" t="s">
        <v>300</v>
      </c>
      <c r="K1575" s="11" t="s">
        <v>35</v>
      </c>
      <c r="L1575" s="11" t="s">
        <v>36</v>
      </c>
      <c r="M1575" s="11" t="s">
        <v>66</v>
      </c>
      <c r="N1575" s="11" t="s">
        <v>170</v>
      </c>
      <c r="O1575" s="11" t="s">
        <v>1844</v>
      </c>
      <c r="P1575" s="11" t="s">
        <v>31</v>
      </c>
      <c r="Q1575" s="20">
        <v>40076.0</v>
      </c>
      <c r="R1575" s="17">
        <f t="shared" si="2"/>
        <v>160.6622241</v>
      </c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>
        <f t="shared" si="8"/>
        <v>2</v>
      </c>
      <c r="AF1575" s="19">
        <f t="shared" si="13"/>
        <v>2</v>
      </c>
      <c r="AG1575" s="9"/>
      <c r="AH1575" s="9"/>
      <c r="AI1575" s="9"/>
    </row>
    <row r="1576" ht="15.0" customHeight="1">
      <c r="A1576" s="11">
        <v>1575.0</v>
      </c>
      <c r="B1576" s="12">
        <f t="shared" si="251"/>
        <v>40075</v>
      </c>
      <c r="C1576" s="13">
        <v>2009.0</v>
      </c>
      <c r="D1576" s="11" t="s">
        <v>23</v>
      </c>
      <c r="E1576" s="11">
        <v>22.0</v>
      </c>
      <c r="F1576" s="21" t="s">
        <v>158</v>
      </c>
      <c r="G1576" s="15">
        <v>0.07404472843450476</v>
      </c>
      <c r="H1576" s="11" t="s">
        <v>24</v>
      </c>
      <c r="I1576" s="16">
        <v>4.112</v>
      </c>
      <c r="J1576" s="11" t="s">
        <v>1472</v>
      </c>
      <c r="K1576" s="11" t="s">
        <v>83</v>
      </c>
      <c r="L1576" s="11" t="s">
        <v>27</v>
      </c>
      <c r="M1576" s="11" t="s">
        <v>28</v>
      </c>
      <c r="N1576" s="11" t="s">
        <v>56</v>
      </c>
      <c r="O1576" s="11" t="s">
        <v>1424</v>
      </c>
      <c r="P1576" s="11" t="s">
        <v>38</v>
      </c>
      <c r="Q1576" s="20">
        <v>40076.0</v>
      </c>
      <c r="R1576" s="17">
        <f t="shared" si="2"/>
        <v>10.72996969</v>
      </c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>
        <f t="shared" si="8"/>
        <v>1</v>
      </c>
      <c r="AF1576" s="19" t="b">
        <f t="shared" si="13"/>
        <v>0</v>
      </c>
      <c r="AG1576" s="9"/>
      <c r="AH1576" s="9"/>
      <c r="AI1576" s="9"/>
    </row>
    <row r="1577" ht="15.0" customHeight="1">
      <c r="A1577" s="11">
        <v>1576.0</v>
      </c>
      <c r="B1577" s="12">
        <f t="shared" si="251"/>
        <v>40075</v>
      </c>
      <c r="C1577" s="13">
        <v>2009.0</v>
      </c>
      <c r="D1577" s="11" t="s">
        <v>23</v>
      </c>
      <c r="E1577" s="11">
        <v>35.0</v>
      </c>
      <c r="F1577" s="21" t="s">
        <v>790</v>
      </c>
      <c r="G1577" s="15">
        <v>0.02125147579693022</v>
      </c>
      <c r="H1577" s="11" t="s">
        <v>33</v>
      </c>
      <c r="I1577" s="16">
        <v>3.2</v>
      </c>
      <c r="J1577" s="11" t="s">
        <v>1472</v>
      </c>
      <c r="K1577" s="11" t="s">
        <v>83</v>
      </c>
      <c r="L1577" s="11" t="s">
        <v>27</v>
      </c>
      <c r="M1577" s="11" t="s">
        <v>66</v>
      </c>
      <c r="N1577" s="11" t="s">
        <v>67</v>
      </c>
      <c r="O1577" s="11" t="s">
        <v>791</v>
      </c>
      <c r="P1577" s="11" t="s">
        <v>38</v>
      </c>
      <c r="Q1577" s="20">
        <v>40077.0</v>
      </c>
      <c r="R1577" s="17">
        <f t="shared" si="2"/>
        <v>22.90271547</v>
      </c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>
        <f t="shared" si="8"/>
        <v>1</v>
      </c>
      <c r="AF1577" s="19" t="b">
        <f t="shared" si="13"/>
        <v>0</v>
      </c>
      <c r="AG1577" s="9"/>
      <c r="AH1577" s="9"/>
      <c r="AI1577" s="9"/>
    </row>
    <row r="1578" ht="15.0" customHeight="1">
      <c r="A1578" s="11">
        <v>1577.0</v>
      </c>
      <c r="B1578" s="12">
        <f t="shared" si="251"/>
        <v>40075</v>
      </c>
      <c r="C1578" s="13">
        <v>2009.0</v>
      </c>
      <c r="D1578" s="11" t="s">
        <v>23</v>
      </c>
      <c r="E1578" s="11">
        <v>6.0</v>
      </c>
      <c r="F1578" s="21" t="s">
        <v>126</v>
      </c>
      <c r="G1578" s="15">
        <v>0.06314465408805028</v>
      </c>
      <c r="H1578" s="11" t="s">
        <v>33</v>
      </c>
      <c r="I1578" s="16">
        <v>0.392</v>
      </c>
      <c r="J1578" s="11" t="s">
        <v>1439</v>
      </c>
      <c r="K1578" s="11" t="s">
        <v>61</v>
      </c>
      <c r="L1578" s="11" t="s">
        <v>41</v>
      </c>
      <c r="M1578" s="11" t="s">
        <v>28</v>
      </c>
      <c r="N1578" s="11" t="s">
        <v>188</v>
      </c>
      <c r="O1578" s="11" t="s">
        <v>1703</v>
      </c>
      <c r="P1578" s="11" t="s">
        <v>38</v>
      </c>
      <c r="Q1578" s="20">
        <v>40077.0</v>
      </c>
      <c r="R1578" s="17">
        <f t="shared" si="2"/>
        <v>1.881205535</v>
      </c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>
        <f t="shared" si="8"/>
        <v>3</v>
      </c>
      <c r="AF1578" s="19">
        <f t="shared" si="13"/>
        <v>4</v>
      </c>
      <c r="AG1578" s="9"/>
      <c r="AH1578" s="9"/>
      <c r="AI1578" s="9"/>
    </row>
    <row r="1579" ht="15.0" customHeight="1">
      <c r="A1579" s="11">
        <v>1578.0</v>
      </c>
      <c r="B1579" s="12">
        <f t="shared" si="251"/>
        <v>40075</v>
      </c>
      <c r="C1579" s="13">
        <v>2009.0</v>
      </c>
      <c r="D1579" s="11" t="s">
        <v>32</v>
      </c>
      <c r="E1579" s="11">
        <v>17.0</v>
      </c>
      <c r="F1579" s="21" t="s">
        <v>694</v>
      </c>
      <c r="G1579" s="15">
        <v>0.04086857142857152</v>
      </c>
      <c r="H1579" s="11" t="s">
        <v>24</v>
      </c>
      <c r="I1579" s="16">
        <v>1.592</v>
      </c>
      <c r="J1579" s="11" t="s">
        <v>1845</v>
      </c>
      <c r="K1579" s="11" t="s">
        <v>65</v>
      </c>
      <c r="L1579" s="11" t="s">
        <v>48</v>
      </c>
      <c r="M1579" s="11" t="s">
        <v>66</v>
      </c>
      <c r="N1579" s="11" t="s">
        <v>67</v>
      </c>
      <c r="O1579" s="11" t="s">
        <v>695</v>
      </c>
      <c r="P1579" s="11" t="s">
        <v>99</v>
      </c>
      <c r="Q1579" s="20">
        <v>40077.0</v>
      </c>
      <c r="R1579" s="17">
        <f t="shared" si="2"/>
        <v>27.43883191</v>
      </c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>
        <f t="shared" si="8"/>
        <v>4</v>
      </c>
      <c r="AF1579" s="19">
        <f t="shared" si="13"/>
        <v>5</v>
      </c>
      <c r="AG1579" s="9"/>
      <c r="AH1579" s="9"/>
      <c r="AI1579" s="9"/>
    </row>
    <row r="1580" ht="15.0" customHeight="1">
      <c r="A1580" s="11">
        <v>1579.0</v>
      </c>
      <c r="B1580" s="12">
        <f t="shared" si="251"/>
        <v>40075</v>
      </c>
      <c r="C1580" s="13">
        <v>2009.0</v>
      </c>
      <c r="D1580" s="11" t="s">
        <v>32</v>
      </c>
      <c r="E1580" s="11">
        <v>37.0</v>
      </c>
      <c r="F1580" s="21" t="s">
        <v>891</v>
      </c>
      <c r="G1580" s="15">
        <v>0.027418473779683285</v>
      </c>
      <c r="H1580" s="11" t="s">
        <v>33</v>
      </c>
      <c r="I1580" s="16">
        <v>2.2640000000000002</v>
      </c>
      <c r="J1580" s="11" t="s">
        <v>1845</v>
      </c>
      <c r="K1580" s="11" t="s">
        <v>65</v>
      </c>
      <c r="L1580" s="11" t="s">
        <v>48</v>
      </c>
      <c r="M1580" s="11" t="s">
        <v>66</v>
      </c>
      <c r="N1580" s="11" t="s">
        <v>67</v>
      </c>
      <c r="O1580" s="11" t="s">
        <v>893</v>
      </c>
      <c r="P1580" s="11" t="s">
        <v>99</v>
      </c>
      <c r="Q1580" s="20">
        <v>40077.0</v>
      </c>
      <c r="R1580" s="17">
        <f t="shared" si="2"/>
        <v>8.279392016</v>
      </c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>
        <f t="shared" si="8"/>
        <v>4</v>
      </c>
      <c r="AF1580" s="19">
        <f t="shared" si="13"/>
        <v>5</v>
      </c>
      <c r="AG1580" s="9"/>
      <c r="AH1580" s="9"/>
      <c r="AI1580" s="9"/>
    </row>
    <row r="1581" ht="15.0" customHeight="1">
      <c r="A1581" s="11">
        <v>1580.0</v>
      </c>
      <c r="B1581" s="12">
        <f t="shared" si="251"/>
        <v>40075</v>
      </c>
      <c r="C1581" s="13">
        <v>2009.0</v>
      </c>
      <c r="D1581" s="11" t="s">
        <v>39</v>
      </c>
      <c r="E1581" s="11">
        <v>43.0</v>
      </c>
      <c r="F1581" s="21" t="s">
        <v>210</v>
      </c>
      <c r="G1581" s="15">
        <v>0.10299309286262483</v>
      </c>
      <c r="H1581" s="11" t="s">
        <v>33</v>
      </c>
      <c r="I1581" s="16">
        <v>5.08</v>
      </c>
      <c r="J1581" s="11" t="s">
        <v>1707</v>
      </c>
      <c r="K1581" s="11" t="s">
        <v>35</v>
      </c>
      <c r="L1581" s="11" t="s">
        <v>41</v>
      </c>
      <c r="M1581" s="11" t="s">
        <v>28</v>
      </c>
      <c r="N1581" s="11" t="s">
        <v>236</v>
      </c>
      <c r="O1581" s="11" t="s">
        <v>1846</v>
      </c>
      <c r="P1581" s="11" t="s">
        <v>38</v>
      </c>
      <c r="Q1581" s="20">
        <v>40077.0</v>
      </c>
      <c r="R1581" s="17">
        <f t="shared" si="2"/>
        <v>12.03783269</v>
      </c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>
        <f t="shared" si="8"/>
        <v>3</v>
      </c>
      <c r="AF1581" s="19">
        <f t="shared" si="13"/>
        <v>2</v>
      </c>
      <c r="AG1581" s="9"/>
      <c r="AH1581" s="9"/>
      <c r="AI1581" s="9"/>
    </row>
    <row r="1582" ht="15.0" customHeight="1">
      <c r="A1582" s="11">
        <v>1581.0</v>
      </c>
      <c r="B1582" s="12">
        <f t="shared" si="251"/>
        <v>40075</v>
      </c>
      <c r="C1582" s="13">
        <v>2009.0</v>
      </c>
      <c r="D1582" s="11" t="s">
        <v>32</v>
      </c>
      <c r="E1582" s="11">
        <v>11.0</v>
      </c>
      <c r="F1582" s="21" t="s">
        <v>270</v>
      </c>
      <c r="G1582" s="15">
        <v>0.0344486692015209</v>
      </c>
      <c r="H1582" s="11" t="s">
        <v>24</v>
      </c>
      <c r="I1582" s="16">
        <v>7.192</v>
      </c>
      <c r="J1582" s="11" t="s">
        <v>366</v>
      </c>
      <c r="K1582" s="11" t="s">
        <v>35</v>
      </c>
      <c r="L1582" s="11" t="s">
        <v>48</v>
      </c>
      <c r="M1582" s="11" t="s">
        <v>28</v>
      </c>
      <c r="N1582" s="11" t="s">
        <v>62</v>
      </c>
      <c r="O1582" s="11" t="s">
        <v>1847</v>
      </c>
      <c r="P1582" s="11" t="s">
        <v>99</v>
      </c>
      <c r="Q1582" s="20">
        <v>40077.0</v>
      </c>
      <c r="R1582" s="17">
        <f t="shared" si="2"/>
        <v>15.7462111</v>
      </c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>
        <f t="shared" si="8"/>
        <v>4</v>
      </c>
      <c r="AF1582" s="19">
        <f t="shared" si="13"/>
        <v>2</v>
      </c>
      <c r="AG1582" s="9"/>
      <c r="AH1582" s="9"/>
      <c r="AI1582" s="9"/>
    </row>
    <row r="1583" ht="15.0" customHeight="1">
      <c r="A1583" s="11">
        <v>1582.0</v>
      </c>
      <c r="B1583" s="12">
        <f t="shared" ref="B1583:B1588" si="252">DATE(2012,12,31)-1198</f>
        <v>40076</v>
      </c>
      <c r="C1583" s="13">
        <v>2009.0</v>
      </c>
      <c r="D1583" s="11" t="s">
        <v>39</v>
      </c>
      <c r="E1583" s="11">
        <v>41.0</v>
      </c>
      <c r="F1583" s="21" t="s">
        <v>523</v>
      </c>
      <c r="G1583" s="15">
        <v>0.0643083900226758</v>
      </c>
      <c r="H1583" s="11" t="s">
        <v>33</v>
      </c>
      <c r="I1583" s="16">
        <v>0.792</v>
      </c>
      <c r="J1583" s="11" t="s">
        <v>1848</v>
      </c>
      <c r="K1583" s="11" t="s">
        <v>61</v>
      </c>
      <c r="L1583" s="11" t="s">
        <v>27</v>
      </c>
      <c r="M1583" s="11" t="s">
        <v>28</v>
      </c>
      <c r="N1583" s="11" t="s">
        <v>188</v>
      </c>
      <c r="O1583" s="11" t="s">
        <v>1495</v>
      </c>
      <c r="P1583" s="11" t="s">
        <v>38</v>
      </c>
      <c r="Q1583" s="20">
        <v>40077.0</v>
      </c>
      <c r="R1583" s="17">
        <f t="shared" si="2"/>
        <v>7.960864218</v>
      </c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>
        <f t="shared" si="8"/>
        <v>1</v>
      </c>
      <c r="AF1583" s="19">
        <f t="shared" si="13"/>
        <v>4</v>
      </c>
      <c r="AG1583" s="9"/>
      <c r="AH1583" s="9"/>
      <c r="AI1583" s="9"/>
    </row>
    <row r="1584" ht="15.0" customHeight="1">
      <c r="A1584" s="11">
        <v>1583.0</v>
      </c>
      <c r="B1584" s="12">
        <f t="shared" si="252"/>
        <v>40076</v>
      </c>
      <c r="C1584" s="13">
        <v>2009.0</v>
      </c>
      <c r="D1584" s="11" t="s">
        <v>39</v>
      </c>
      <c r="E1584" s="11">
        <v>29.0</v>
      </c>
      <c r="F1584" s="21" t="s">
        <v>158</v>
      </c>
      <c r="G1584" s="15">
        <v>0.03684210526315776</v>
      </c>
      <c r="H1584" s="11" t="s">
        <v>33</v>
      </c>
      <c r="I1584" s="16">
        <v>4.720000000000001</v>
      </c>
      <c r="J1584" s="11" t="s">
        <v>1848</v>
      </c>
      <c r="K1584" s="11" t="s">
        <v>61</v>
      </c>
      <c r="L1584" s="11" t="s">
        <v>27</v>
      </c>
      <c r="M1584" s="11" t="s">
        <v>28</v>
      </c>
      <c r="N1584" s="11" t="s">
        <v>56</v>
      </c>
      <c r="O1584" s="11" t="s">
        <v>1849</v>
      </c>
      <c r="P1584" s="11" t="s">
        <v>38</v>
      </c>
      <c r="Q1584" s="20">
        <v>40078.0</v>
      </c>
      <c r="R1584" s="17">
        <f t="shared" si="2"/>
        <v>7.011789474</v>
      </c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>
        <f t="shared" si="8"/>
        <v>1</v>
      </c>
      <c r="AF1584" s="19">
        <f t="shared" si="13"/>
        <v>4</v>
      </c>
      <c r="AG1584" s="9"/>
      <c r="AH1584" s="9"/>
      <c r="AI1584" s="9"/>
    </row>
    <row r="1585" ht="15.0" customHeight="1">
      <c r="A1585" s="11">
        <v>1584.0</v>
      </c>
      <c r="B1585" s="12">
        <f t="shared" si="252"/>
        <v>40076</v>
      </c>
      <c r="C1585" s="13">
        <v>2009.0</v>
      </c>
      <c r="D1585" s="11" t="s">
        <v>39</v>
      </c>
      <c r="E1585" s="11">
        <v>26.0</v>
      </c>
      <c r="F1585" s="21" t="s">
        <v>128</v>
      </c>
      <c r="G1585" s="15">
        <v>0.0393831901732578</v>
      </c>
      <c r="H1585" s="11" t="s">
        <v>33</v>
      </c>
      <c r="I1585" s="16">
        <v>3.3600000000000003</v>
      </c>
      <c r="J1585" s="11" t="s">
        <v>1848</v>
      </c>
      <c r="K1585" s="11" t="s">
        <v>61</v>
      </c>
      <c r="L1585" s="11" t="s">
        <v>27</v>
      </c>
      <c r="M1585" s="11" t="s">
        <v>66</v>
      </c>
      <c r="N1585" s="11" t="s">
        <v>80</v>
      </c>
      <c r="O1585" s="11" t="s">
        <v>774</v>
      </c>
      <c r="P1585" s="11" t="s">
        <v>38</v>
      </c>
      <c r="Q1585" s="20">
        <v>40078.0</v>
      </c>
      <c r="R1585" s="17">
        <f t="shared" si="2"/>
        <v>129.0492622</v>
      </c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>
        <f t="shared" si="8"/>
        <v>1</v>
      </c>
      <c r="AF1585" s="19">
        <f t="shared" si="13"/>
        <v>4</v>
      </c>
      <c r="AG1585" s="9"/>
      <c r="AH1585" s="9"/>
      <c r="AI1585" s="9"/>
    </row>
    <row r="1586" ht="15.0" customHeight="1">
      <c r="A1586" s="11">
        <v>1585.0</v>
      </c>
      <c r="B1586" s="12">
        <f t="shared" si="252"/>
        <v>40076</v>
      </c>
      <c r="C1586" s="13">
        <v>2009.0</v>
      </c>
      <c r="D1586" s="11" t="s">
        <v>102</v>
      </c>
      <c r="E1586" s="11">
        <v>46.0</v>
      </c>
      <c r="F1586" s="21" t="s">
        <v>726</v>
      </c>
      <c r="G1586" s="15">
        <v>0.06941882594056517</v>
      </c>
      <c r="H1586" s="11" t="s">
        <v>33</v>
      </c>
      <c r="I1586" s="16">
        <v>5.48</v>
      </c>
      <c r="J1586" s="11" t="s">
        <v>1240</v>
      </c>
      <c r="K1586" s="11" t="s">
        <v>35</v>
      </c>
      <c r="L1586" s="11" t="s">
        <v>41</v>
      </c>
      <c r="M1586" s="11" t="s">
        <v>49</v>
      </c>
      <c r="N1586" s="11" t="s">
        <v>73</v>
      </c>
      <c r="O1586" s="11" t="s">
        <v>1850</v>
      </c>
      <c r="P1586" s="11" t="s">
        <v>58</v>
      </c>
      <c r="Q1586" s="20">
        <v>40078.0</v>
      </c>
      <c r="R1586" s="17">
        <f t="shared" si="2"/>
        <v>44.12815927</v>
      </c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>
        <f t="shared" si="8"/>
        <v>3</v>
      </c>
      <c r="AF1586" s="19">
        <f t="shared" si="13"/>
        <v>2</v>
      </c>
      <c r="AG1586" s="9"/>
      <c r="AH1586" s="9"/>
      <c r="AI1586" s="9"/>
    </row>
    <row r="1587" ht="15.0" customHeight="1">
      <c r="A1587" s="11">
        <v>1586.0</v>
      </c>
      <c r="B1587" s="12">
        <f t="shared" si="252"/>
        <v>40076</v>
      </c>
      <c r="C1587" s="13">
        <v>2009.0</v>
      </c>
      <c r="D1587" s="11" t="s">
        <v>102</v>
      </c>
      <c r="E1587" s="11">
        <v>48.0</v>
      </c>
      <c r="F1587" s="21" t="s">
        <v>319</v>
      </c>
      <c r="G1587" s="15">
        <v>0.11140408701384316</v>
      </c>
      <c r="H1587" s="11" t="s">
        <v>33</v>
      </c>
      <c r="I1587" s="16">
        <v>0.4</v>
      </c>
      <c r="J1587" s="11" t="s">
        <v>806</v>
      </c>
      <c r="K1587" s="11" t="s">
        <v>61</v>
      </c>
      <c r="L1587" s="11" t="s">
        <v>27</v>
      </c>
      <c r="M1587" s="11" t="s">
        <v>28</v>
      </c>
      <c r="N1587" s="11" t="s">
        <v>188</v>
      </c>
      <c r="O1587" s="11" t="s">
        <v>437</v>
      </c>
      <c r="P1587" s="11" t="s">
        <v>38</v>
      </c>
      <c r="Q1587" s="20">
        <v>40079.0</v>
      </c>
      <c r="R1587" s="17">
        <f t="shared" si="2"/>
        <v>15.01727093</v>
      </c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>
        <f t="shared" si="8"/>
        <v>1</v>
      </c>
      <c r="AF1587" s="19">
        <f t="shared" si="13"/>
        <v>4</v>
      </c>
      <c r="AG1587" s="9"/>
      <c r="AH1587" s="9"/>
      <c r="AI1587" s="9"/>
    </row>
    <row r="1588" ht="15.0" customHeight="1">
      <c r="A1588" s="11">
        <v>1587.0</v>
      </c>
      <c r="B1588" s="12">
        <f t="shared" si="252"/>
        <v>40076</v>
      </c>
      <c r="C1588" s="13">
        <v>2009.0</v>
      </c>
      <c r="D1588" s="11" t="s">
        <v>102</v>
      </c>
      <c r="E1588" s="11">
        <v>5.0</v>
      </c>
      <c r="F1588" s="21" t="s">
        <v>377</v>
      </c>
      <c r="G1588" s="15">
        <v>0.024097140618879808</v>
      </c>
      <c r="H1588" s="11" t="s">
        <v>33</v>
      </c>
      <c r="I1588" s="16">
        <v>4.648</v>
      </c>
      <c r="J1588" s="11" t="s">
        <v>806</v>
      </c>
      <c r="K1588" s="11" t="s">
        <v>61</v>
      </c>
      <c r="L1588" s="11" t="s">
        <v>27</v>
      </c>
      <c r="M1588" s="11" t="s">
        <v>28</v>
      </c>
      <c r="N1588" s="11" t="s">
        <v>56</v>
      </c>
      <c r="O1588" s="11" t="s">
        <v>378</v>
      </c>
      <c r="P1588" s="11" t="s">
        <v>38</v>
      </c>
      <c r="Q1588" s="20">
        <v>40079.0</v>
      </c>
      <c r="R1588" s="17">
        <f t="shared" si="2"/>
        <v>6.003754391</v>
      </c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>
        <f t="shared" si="8"/>
        <v>1</v>
      </c>
      <c r="AF1588" s="19">
        <f t="shared" si="13"/>
        <v>4</v>
      </c>
      <c r="AG1588" s="9"/>
      <c r="AH1588" s="9"/>
      <c r="AI1588" s="9"/>
    </row>
    <row r="1589" ht="15.0" customHeight="1">
      <c r="A1589" s="11">
        <v>1588.0</v>
      </c>
      <c r="B1589" s="12">
        <f t="shared" ref="B1589:B1590" si="253">DATE(2012,12,31)-1197</f>
        <v>40077</v>
      </c>
      <c r="C1589" s="13">
        <v>2009.0</v>
      </c>
      <c r="D1589" s="11" t="s">
        <v>102</v>
      </c>
      <c r="E1589" s="11">
        <v>23.0</v>
      </c>
      <c r="F1589" s="21" t="s">
        <v>319</v>
      </c>
      <c r="G1589" s="15">
        <v>0.10939890710382527</v>
      </c>
      <c r="H1589" s="11" t="s">
        <v>33</v>
      </c>
      <c r="I1589" s="16">
        <v>0.792</v>
      </c>
      <c r="J1589" s="11" t="s">
        <v>1753</v>
      </c>
      <c r="K1589" s="11" t="s">
        <v>65</v>
      </c>
      <c r="L1589" s="11" t="s">
        <v>48</v>
      </c>
      <c r="M1589" s="11" t="s">
        <v>28</v>
      </c>
      <c r="N1589" s="11" t="s">
        <v>188</v>
      </c>
      <c r="O1589" s="11" t="s">
        <v>1570</v>
      </c>
      <c r="P1589" s="11" t="s">
        <v>38</v>
      </c>
      <c r="Q1589" s="20">
        <v>40080.0</v>
      </c>
      <c r="R1589" s="17">
        <f t="shared" si="2"/>
        <v>7.131933552</v>
      </c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>
        <f t="shared" si="8"/>
        <v>4</v>
      </c>
      <c r="AF1589" s="19">
        <f t="shared" si="13"/>
        <v>5</v>
      </c>
      <c r="AG1589" s="9"/>
      <c r="AH1589" s="9"/>
      <c r="AI1589" s="9"/>
    </row>
    <row r="1590" ht="15.0" customHeight="1">
      <c r="A1590" s="11">
        <v>1589.0</v>
      </c>
      <c r="B1590" s="12">
        <f t="shared" si="253"/>
        <v>40077</v>
      </c>
      <c r="C1590" s="13">
        <v>2009.0</v>
      </c>
      <c r="D1590" s="11" t="s">
        <v>44</v>
      </c>
      <c r="E1590" s="11">
        <v>16.0</v>
      </c>
      <c r="F1590" s="21" t="s">
        <v>1015</v>
      </c>
      <c r="G1590" s="15">
        <v>0.06339548577036318</v>
      </c>
      <c r="H1590" s="11" t="s">
        <v>33</v>
      </c>
      <c r="I1590" s="16">
        <v>4.24</v>
      </c>
      <c r="J1590" s="11" t="s">
        <v>1851</v>
      </c>
      <c r="K1590" s="11" t="s">
        <v>26</v>
      </c>
      <c r="L1590" s="11" t="s">
        <v>48</v>
      </c>
      <c r="M1590" s="11" t="s">
        <v>28</v>
      </c>
      <c r="N1590" s="11" t="s">
        <v>442</v>
      </c>
      <c r="O1590" s="11" t="s">
        <v>1852</v>
      </c>
      <c r="P1590" s="11" t="s">
        <v>99</v>
      </c>
      <c r="Q1590" s="20">
        <v>40080.0</v>
      </c>
      <c r="R1590" s="17">
        <f t="shared" si="2"/>
        <v>6.050465162</v>
      </c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>
        <f t="shared" si="8"/>
        <v>4</v>
      </c>
      <c r="AF1590" s="19">
        <f t="shared" si="13"/>
        <v>1</v>
      </c>
      <c r="AG1590" s="9"/>
      <c r="AH1590" s="9"/>
      <c r="AI1590" s="9"/>
    </row>
    <row r="1591" ht="15.0" customHeight="1">
      <c r="A1591" s="11">
        <v>1590.0</v>
      </c>
      <c r="B1591" s="12">
        <f t="shared" ref="B1591:B1592" si="254">DATE(2012,12,31)-1196</f>
        <v>40078</v>
      </c>
      <c r="C1591" s="13">
        <v>2009.0</v>
      </c>
      <c r="D1591" s="11" t="s">
        <v>32</v>
      </c>
      <c r="E1591" s="11">
        <v>20.0</v>
      </c>
      <c r="F1591" s="21" t="s">
        <v>126</v>
      </c>
      <c r="G1591" s="15">
        <v>0.08465116279069762</v>
      </c>
      <c r="H1591" s="11" t="s">
        <v>33</v>
      </c>
      <c r="I1591" s="16">
        <v>0.4</v>
      </c>
      <c r="J1591" s="11" t="s">
        <v>1422</v>
      </c>
      <c r="K1591" s="11" t="s">
        <v>61</v>
      </c>
      <c r="L1591" s="11" t="s">
        <v>48</v>
      </c>
      <c r="M1591" s="11" t="s">
        <v>28</v>
      </c>
      <c r="N1591" s="11" t="s">
        <v>188</v>
      </c>
      <c r="O1591" s="11" t="s">
        <v>551</v>
      </c>
      <c r="P1591" s="11" t="s">
        <v>38</v>
      </c>
      <c r="Q1591" s="20">
        <v>40080.0</v>
      </c>
      <c r="R1591" s="17">
        <f t="shared" si="2"/>
        <v>8.329674419</v>
      </c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>
        <f t="shared" si="8"/>
        <v>4</v>
      </c>
      <c r="AF1591" s="19">
        <f t="shared" si="13"/>
        <v>4</v>
      </c>
      <c r="AG1591" s="9"/>
      <c r="AH1591" s="9"/>
      <c r="AI1591" s="9"/>
    </row>
    <row r="1592" ht="15.0" customHeight="1">
      <c r="A1592" s="11">
        <v>1591.0</v>
      </c>
      <c r="B1592" s="12">
        <f t="shared" si="254"/>
        <v>40078</v>
      </c>
      <c r="C1592" s="13">
        <v>2009.0</v>
      </c>
      <c r="D1592" s="11" t="s">
        <v>32</v>
      </c>
      <c r="E1592" s="11">
        <v>19.0</v>
      </c>
      <c r="F1592" s="21" t="s">
        <v>805</v>
      </c>
      <c r="G1592" s="15">
        <v>0.012042591011275004</v>
      </c>
      <c r="H1592" s="11" t="s">
        <v>45</v>
      </c>
      <c r="I1592" s="16">
        <v>43.296</v>
      </c>
      <c r="J1592" s="11" t="s">
        <v>1422</v>
      </c>
      <c r="K1592" s="11" t="s">
        <v>61</v>
      </c>
      <c r="L1592" s="11" t="s">
        <v>48</v>
      </c>
      <c r="M1592" s="11" t="s">
        <v>49</v>
      </c>
      <c r="N1592" s="11" t="s">
        <v>85</v>
      </c>
      <c r="O1592" s="11" t="s">
        <v>807</v>
      </c>
      <c r="P1592" s="11" t="s">
        <v>87</v>
      </c>
      <c r="Q1592" s="20">
        <v>40080.0</v>
      </c>
      <c r="R1592" s="17">
        <f t="shared" si="2"/>
        <v>68.27180879</v>
      </c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>
        <f t="shared" si="8"/>
        <v>4</v>
      </c>
      <c r="AF1592" s="19">
        <f t="shared" si="13"/>
        <v>4</v>
      </c>
      <c r="AG1592" s="9"/>
      <c r="AH1592" s="9"/>
      <c r="AI1592" s="9"/>
    </row>
    <row r="1593" ht="15.0" customHeight="1">
      <c r="A1593" s="11">
        <v>1592.0</v>
      </c>
      <c r="B1593" s="12">
        <f t="shared" ref="B1593:B1598" si="255">DATE(2012,12,31)-1195</f>
        <v>40079</v>
      </c>
      <c r="C1593" s="13">
        <v>2009.0</v>
      </c>
      <c r="D1593" s="11" t="s">
        <v>39</v>
      </c>
      <c r="E1593" s="11">
        <v>16.0</v>
      </c>
      <c r="F1593" s="21" t="s">
        <v>891</v>
      </c>
      <c r="G1593" s="15">
        <v>0.03537673738112644</v>
      </c>
      <c r="H1593" s="11" t="s">
        <v>33</v>
      </c>
      <c r="I1593" s="16">
        <v>2.2640000000000002</v>
      </c>
      <c r="J1593" s="11" t="s">
        <v>243</v>
      </c>
      <c r="K1593" s="11" t="s">
        <v>61</v>
      </c>
      <c r="L1593" s="11" t="s">
        <v>41</v>
      </c>
      <c r="M1593" s="11" t="s">
        <v>66</v>
      </c>
      <c r="N1593" s="11" t="s">
        <v>67</v>
      </c>
      <c r="O1593" s="11" t="s">
        <v>893</v>
      </c>
      <c r="P1593" s="11" t="s">
        <v>99</v>
      </c>
      <c r="Q1593" s="20">
        <v>40080.0</v>
      </c>
      <c r="R1593" s="17">
        <f t="shared" si="2"/>
        <v>4.664918098</v>
      </c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>
        <f t="shared" si="8"/>
        <v>3</v>
      </c>
      <c r="AF1593" s="19">
        <f t="shared" si="13"/>
        <v>4</v>
      </c>
      <c r="AG1593" s="9"/>
      <c r="AH1593" s="9"/>
      <c r="AI1593" s="9"/>
    </row>
    <row r="1594" ht="15.0" customHeight="1">
      <c r="A1594" s="11">
        <v>1593.0</v>
      </c>
      <c r="B1594" s="12">
        <f t="shared" si="255"/>
        <v>40079</v>
      </c>
      <c r="C1594" s="13">
        <v>2009.0</v>
      </c>
      <c r="D1594" s="11" t="s">
        <v>39</v>
      </c>
      <c r="E1594" s="11">
        <v>15.0</v>
      </c>
      <c r="F1594" s="21" t="s">
        <v>124</v>
      </c>
      <c r="G1594" s="15">
        <v>0.04945364424918328</v>
      </c>
      <c r="H1594" s="11" t="s">
        <v>24</v>
      </c>
      <c r="I1594" s="16">
        <v>28.0</v>
      </c>
      <c r="J1594" s="11" t="s">
        <v>243</v>
      </c>
      <c r="K1594" s="11" t="s">
        <v>61</v>
      </c>
      <c r="L1594" s="11" t="s">
        <v>41</v>
      </c>
      <c r="M1594" s="11" t="s">
        <v>28</v>
      </c>
      <c r="N1594" s="11" t="s">
        <v>29</v>
      </c>
      <c r="O1594" s="11" t="s">
        <v>1313</v>
      </c>
      <c r="P1594" s="11" t="s">
        <v>31</v>
      </c>
      <c r="Q1594" s="20">
        <v>40080.0</v>
      </c>
      <c r="R1594" s="17">
        <f t="shared" si="2"/>
        <v>208.6449251</v>
      </c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>
        <f t="shared" si="8"/>
        <v>3</v>
      </c>
      <c r="AF1594" s="19">
        <f t="shared" si="13"/>
        <v>4</v>
      </c>
      <c r="AG1594" s="9"/>
      <c r="AH1594" s="9"/>
      <c r="AI1594" s="9"/>
    </row>
    <row r="1595" ht="15.0" customHeight="1">
      <c r="A1595" s="11">
        <v>1594.0</v>
      </c>
      <c r="B1595" s="12">
        <f t="shared" si="255"/>
        <v>40079</v>
      </c>
      <c r="C1595" s="13">
        <v>2009.0</v>
      </c>
      <c r="D1595" s="11" t="s">
        <v>39</v>
      </c>
      <c r="E1595" s="11">
        <v>31.0</v>
      </c>
      <c r="F1595" s="21" t="s">
        <v>270</v>
      </c>
      <c r="G1595" s="15">
        <v>0.061165958693423395</v>
      </c>
      <c r="H1595" s="11" t="s">
        <v>33</v>
      </c>
      <c r="I1595" s="16">
        <v>13.984000000000002</v>
      </c>
      <c r="J1595" s="11" t="s">
        <v>243</v>
      </c>
      <c r="K1595" s="11" t="s">
        <v>61</v>
      </c>
      <c r="L1595" s="11" t="s">
        <v>41</v>
      </c>
      <c r="M1595" s="11" t="s">
        <v>28</v>
      </c>
      <c r="N1595" s="11" t="s">
        <v>56</v>
      </c>
      <c r="O1595" s="11" t="s">
        <v>1172</v>
      </c>
      <c r="P1595" s="11" t="s">
        <v>38</v>
      </c>
      <c r="Q1595" s="20">
        <v>40081.0</v>
      </c>
      <c r="R1595" s="17">
        <f t="shared" si="2"/>
        <v>78.40766379</v>
      </c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>
        <f t="shared" si="8"/>
        <v>3</v>
      </c>
      <c r="AF1595" s="19">
        <f t="shared" si="13"/>
        <v>4</v>
      </c>
      <c r="AG1595" s="9"/>
      <c r="AH1595" s="9"/>
      <c r="AI1595" s="9"/>
    </row>
    <row r="1596" ht="15.0" customHeight="1">
      <c r="A1596" s="11">
        <v>1595.0</v>
      </c>
      <c r="B1596" s="12">
        <f t="shared" si="255"/>
        <v>40079</v>
      </c>
      <c r="C1596" s="13">
        <v>2009.0</v>
      </c>
      <c r="D1596" s="11" t="s">
        <v>23</v>
      </c>
      <c r="E1596" s="11">
        <v>32.0</v>
      </c>
      <c r="F1596" s="21" t="s">
        <v>619</v>
      </c>
      <c r="G1596" s="15">
        <v>0.03997639769877572</v>
      </c>
      <c r="H1596" s="11" t="s">
        <v>33</v>
      </c>
      <c r="I1596" s="16">
        <v>3.6</v>
      </c>
      <c r="J1596" s="11" t="s">
        <v>1231</v>
      </c>
      <c r="K1596" s="11" t="s">
        <v>65</v>
      </c>
      <c r="L1596" s="11" t="s">
        <v>48</v>
      </c>
      <c r="M1596" s="11" t="s">
        <v>28</v>
      </c>
      <c r="N1596" s="11" t="s">
        <v>197</v>
      </c>
      <c r="O1596" s="11" t="s">
        <v>1388</v>
      </c>
      <c r="P1596" s="11" t="s">
        <v>38</v>
      </c>
      <c r="Q1596" s="20">
        <v>40081.0</v>
      </c>
      <c r="R1596" s="17">
        <f t="shared" si="2"/>
        <v>78.04991887</v>
      </c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>
        <f t="shared" si="8"/>
        <v>4</v>
      </c>
      <c r="AF1596" s="19">
        <f t="shared" si="13"/>
        <v>5</v>
      </c>
      <c r="AG1596" s="9"/>
      <c r="AH1596" s="9"/>
      <c r="AI1596" s="9"/>
    </row>
    <row r="1597" ht="15.0" customHeight="1">
      <c r="A1597" s="11">
        <v>1596.0</v>
      </c>
      <c r="B1597" s="12">
        <f t="shared" si="255"/>
        <v>40079</v>
      </c>
      <c r="C1597" s="13">
        <v>2009.0</v>
      </c>
      <c r="D1597" s="11" t="s">
        <v>39</v>
      </c>
      <c r="E1597" s="11">
        <v>29.0</v>
      </c>
      <c r="F1597" s="21" t="s">
        <v>425</v>
      </c>
      <c r="G1597" s="15">
        <v>0.09525038402457763</v>
      </c>
      <c r="H1597" s="11" t="s">
        <v>33</v>
      </c>
      <c r="I1597" s="16">
        <v>3.192</v>
      </c>
      <c r="J1597" s="11" t="s">
        <v>366</v>
      </c>
      <c r="K1597" s="11" t="s">
        <v>35</v>
      </c>
      <c r="L1597" s="11" t="s">
        <v>48</v>
      </c>
      <c r="M1597" s="11" t="s">
        <v>28</v>
      </c>
      <c r="N1597" s="11" t="s">
        <v>197</v>
      </c>
      <c r="O1597" s="11" t="s">
        <v>1853</v>
      </c>
      <c r="P1597" s="11" t="s">
        <v>38</v>
      </c>
      <c r="Q1597" s="20">
        <v>40081.0</v>
      </c>
      <c r="R1597" s="17">
        <f t="shared" si="2"/>
        <v>56.10171419</v>
      </c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>
        <f t="shared" si="8"/>
        <v>4</v>
      </c>
      <c r="AF1597" s="19">
        <f t="shared" si="13"/>
        <v>2</v>
      </c>
      <c r="AG1597" s="9"/>
      <c r="AH1597" s="9"/>
      <c r="AI1597" s="9"/>
    </row>
    <row r="1598" ht="15.0" customHeight="1">
      <c r="A1598" s="11">
        <v>1597.0</v>
      </c>
      <c r="B1598" s="12">
        <f t="shared" si="255"/>
        <v>40079</v>
      </c>
      <c r="C1598" s="13">
        <v>2009.0</v>
      </c>
      <c r="D1598" s="11" t="s">
        <v>44</v>
      </c>
      <c r="E1598" s="11">
        <v>39.0</v>
      </c>
      <c r="F1598" s="21" t="s">
        <v>122</v>
      </c>
      <c r="G1598" s="15">
        <v>0.06078968573730874</v>
      </c>
      <c r="H1598" s="11" t="s">
        <v>33</v>
      </c>
      <c r="I1598" s="16">
        <v>0.792</v>
      </c>
      <c r="J1598" s="11" t="s">
        <v>1039</v>
      </c>
      <c r="K1598" s="11" t="s">
        <v>35</v>
      </c>
      <c r="L1598" s="11" t="s">
        <v>48</v>
      </c>
      <c r="M1598" s="11" t="s">
        <v>66</v>
      </c>
      <c r="N1598" s="11" t="s">
        <v>80</v>
      </c>
      <c r="O1598" s="11" t="s">
        <v>1854</v>
      </c>
      <c r="P1598" s="11" t="s">
        <v>58</v>
      </c>
      <c r="Q1598" s="20">
        <v>40081.0</v>
      </c>
      <c r="R1598" s="17">
        <f t="shared" si="2"/>
        <v>49.59781828</v>
      </c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>
        <f t="shared" si="8"/>
        <v>4</v>
      </c>
      <c r="AF1598" s="19">
        <f t="shared" si="13"/>
        <v>2</v>
      </c>
      <c r="AG1598" s="9"/>
      <c r="AH1598" s="9"/>
      <c r="AI1598" s="9"/>
    </row>
    <row r="1599" ht="15.0" customHeight="1">
      <c r="A1599" s="11">
        <v>1598.0</v>
      </c>
      <c r="B1599" s="12">
        <f t="shared" ref="B1599:B1606" si="256">DATE(2012,12,31)-1194</f>
        <v>40080</v>
      </c>
      <c r="C1599" s="13">
        <v>2009.0</v>
      </c>
      <c r="D1599" s="11" t="s">
        <v>102</v>
      </c>
      <c r="E1599" s="11">
        <v>44.0</v>
      </c>
      <c r="F1599" s="21" t="s">
        <v>242</v>
      </c>
      <c r="G1599" s="15">
        <v>0.06823166755587166</v>
      </c>
      <c r="H1599" s="11" t="s">
        <v>45</v>
      </c>
      <c r="I1599" s="16">
        <v>24.0</v>
      </c>
      <c r="J1599" s="11" t="s">
        <v>832</v>
      </c>
      <c r="K1599" s="11" t="s">
        <v>65</v>
      </c>
      <c r="L1599" s="11" t="s">
        <v>48</v>
      </c>
      <c r="M1599" s="11" t="s">
        <v>49</v>
      </c>
      <c r="N1599" s="11" t="s">
        <v>50</v>
      </c>
      <c r="O1599" s="11" t="s">
        <v>1855</v>
      </c>
      <c r="P1599" s="11" t="s">
        <v>52</v>
      </c>
      <c r="Q1599" s="20">
        <v>40081.0</v>
      </c>
      <c r="R1599" s="17">
        <f t="shared" si="2"/>
        <v>214.4930701</v>
      </c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>
        <f t="shared" si="8"/>
        <v>4</v>
      </c>
      <c r="AF1599" s="19">
        <f t="shared" si="13"/>
        <v>5</v>
      </c>
      <c r="AG1599" s="9"/>
      <c r="AH1599" s="9"/>
      <c r="AI1599" s="9"/>
    </row>
    <row r="1600" ht="15.0" customHeight="1">
      <c r="A1600" s="11">
        <v>1599.0</v>
      </c>
      <c r="B1600" s="12">
        <f t="shared" si="256"/>
        <v>40080</v>
      </c>
      <c r="C1600" s="13">
        <v>2009.0</v>
      </c>
      <c r="D1600" s="11" t="s">
        <v>44</v>
      </c>
      <c r="E1600" s="11">
        <v>2.0</v>
      </c>
      <c r="F1600" s="21" t="s">
        <v>379</v>
      </c>
      <c r="G1600" s="15">
        <v>0.08512820512820511</v>
      </c>
      <c r="H1600" s="11" t="s">
        <v>24</v>
      </c>
      <c r="I1600" s="16">
        <v>1.1119999999999999</v>
      </c>
      <c r="J1600" s="11" t="s">
        <v>78</v>
      </c>
      <c r="K1600" s="11" t="s">
        <v>35</v>
      </c>
      <c r="L1600" s="11" t="s">
        <v>48</v>
      </c>
      <c r="M1600" s="11" t="s">
        <v>28</v>
      </c>
      <c r="N1600" s="11" t="s">
        <v>236</v>
      </c>
      <c r="O1600" s="11" t="s">
        <v>885</v>
      </c>
      <c r="P1600" s="11" t="s">
        <v>38</v>
      </c>
      <c r="Q1600" s="20">
        <v>40081.0</v>
      </c>
      <c r="R1600" s="17">
        <f t="shared" si="2"/>
        <v>2.733636923</v>
      </c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>
        <f t="shared" si="8"/>
        <v>4</v>
      </c>
      <c r="AF1600" s="19">
        <f t="shared" si="13"/>
        <v>2</v>
      </c>
      <c r="AG1600" s="9"/>
      <c r="AH1600" s="9"/>
      <c r="AI1600" s="9"/>
    </row>
    <row r="1601" ht="15.0" customHeight="1">
      <c r="A1601" s="11">
        <v>1600.0</v>
      </c>
      <c r="B1601" s="12">
        <f t="shared" si="256"/>
        <v>40080</v>
      </c>
      <c r="C1601" s="13">
        <v>2009.0</v>
      </c>
      <c r="D1601" s="11" t="s">
        <v>39</v>
      </c>
      <c r="E1601" s="11">
        <v>9.0</v>
      </c>
      <c r="F1601" s="21" t="s">
        <v>872</v>
      </c>
      <c r="G1601" s="15">
        <v>0.06488332384746731</v>
      </c>
      <c r="H1601" s="11" t="s">
        <v>33</v>
      </c>
      <c r="I1601" s="16">
        <v>3.2</v>
      </c>
      <c r="J1601" s="11" t="s">
        <v>634</v>
      </c>
      <c r="K1601" s="11" t="s">
        <v>61</v>
      </c>
      <c r="L1601" s="11" t="s">
        <v>41</v>
      </c>
      <c r="M1601" s="11" t="s">
        <v>66</v>
      </c>
      <c r="N1601" s="11" t="s">
        <v>67</v>
      </c>
      <c r="O1601" s="11" t="s">
        <v>874</v>
      </c>
      <c r="P1601" s="11" t="s">
        <v>38</v>
      </c>
      <c r="Q1601" s="20">
        <v>40081.0</v>
      </c>
      <c r="R1601" s="17">
        <f t="shared" si="2"/>
        <v>10.66033011</v>
      </c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>
        <f t="shared" si="8"/>
        <v>3</v>
      </c>
      <c r="AF1601" s="19">
        <f t="shared" si="13"/>
        <v>4</v>
      </c>
      <c r="AG1601" s="9"/>
      <c r="AH1601" s="9"/>
      <c r="AI1601" s="9"/>
    </row>
    <row r="1602" ht="15.0" customHeight="1">
      <c r="A1602" s="11">
        <v>1601.0</v>
      </c>
      <c r="B1602" s="12">
        <f t="shared" si="256"/>
        <v>40080</v>
      </c>
      <c r="C1602" s="13">
        <v>2009.0</v>
      </c>
      <c r="D1602" s="11" t="s">
        <v>102</v>
      </c>
      <c r="E1602" s="11">
        <v>45.0</v>
      </c>
      <c r="F1602" s="21" t="s">
        <v>629</v>
      </c>
      <c r="G1602" s="15">
        <v>0.042688787185354786</v>
      </c>
      <c r="H1602" s="11" t="s">
        <v>33</v>
      </c>
      <c r="I1602" s="16">
        <v>6.176</v>
      </c>
      <c r="J1602" s="11" t="s">
        <v>1192</v>
      </c>
      <c r="K1602" s="11" t="s">
        <v>35</v>
      </c>
      <c r="L1602" s="11" t="s">
        <v>27</v>
      </c>
      <c r="M1602" s="11" t="s">
        <v>28</v>
      </c>
      <c r="N1602" s="11" t="s">
        <v>42</v>
      </c>
      <c r="O1602" s="11" t="s">
        <v>1822</v>
      </c>
      <c r="P1602" s="11" t="s">
        <v>38</v>
      </c>
      <c r="Q1602" s="20">
        <v>40081.0</v>
      </c>
      <c r="R1602" s="17">
        <f t="shared" si="2"/>
        <v>14.28691254</v>
      </c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>
        <f t="shared" si="8"/>
        <v>1</v>
      </c>
      <c r="AF1602" s="19">
        <f t="shared" si="13"/>
        <v>2</v>
      </c>
      <c r="AG1602" s="9"/>
      <c r="AH1602" s="9"/>
      <c r="AI1602" s="9"/>
    </row>
    <row r="1603" ht="15.0" customHeight="1">
      <c r="A1603" s="11">
        <v>1602.0</v>
      </c>
      <c r="B1603" s="12">
        <f t="shared" si="256"/>
        <v>40080</v>
      </c>
      <c r="C1603" s="13">
        <v>2009.0</v>
      </c>
      <c r="D1603" s="11" t="s">
        <v>102</v>
      </c>
      <c r="E1603" s="11">
        <v>11.0</v>
      </c>
      <c r="F1603" s="21" t="s">
        <v>415</v>
      </c>
      <c r="G1603" s="15">
        <v>0.07484407484407488</v>
      </c>
      <c r="H1603" s="11" t="s">
        <v>33</v>
      </c>
      <c r="I1603" s="16">
        <v>1.6</v>
      </c>
      <c r="J1603" s="11" t="s">
        <v>1192</v>
      </c>
      <c r="K1603" s="11" t="s">
        <v>35</v>
      </c>
      <c r="L1603" s="11" t="s">
        <v>27</v>
      </c>
      <c r="M1603" s="11" t="s">
        <v>28</v>
      </c>
      <c r="N1603" s="11" t="s">
        <v>216</v>
      </c>
      <c r="O1603" s="11" t="s">
        <v>1856</v>
      </c>
      <c r="P1603" s="11" t="s">
        <v>58</v>
      </c>
      <c r="Q1603" s="20">
        <v>40081.0</v>
      </c>
      <c r="R1603" s="17">
        <f t="shared" si="2"/>
        <v>3.330561331</v>
      </c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>
        <f t="shared" si="8"/>
        <v>1</v>
      </c>
      <c r="AF1603" s="19">
        <f t="shared" si="13"/>
        <v>2</v>
      </c>
      <c r="AG1603" s="9"/>
      <c r="AH1603" s="9"/>
      <c r="AI1603" s="9"/>
    </row>
    <row r="1604" ht="15.0" customHeight="1">
      <c r="A1604" s="11">
        <v>1603.0</v>
      </c>
      <c r="B1604" s="12">
        <f t="shared" si="256"/>
        <v>40080</v>
      </c>
      <c r="C1604" s="13">
        <v>2009.0</v>
      </c>
      <c r="D1604" s="11" t="s">
        <v>102</v>
      </c>
      <c r="E1604" s="11">
        <v>10.0</v>
      </c>
      <c r="F1604" s="21" t="s">
        <v>1002</v>
      </c>
      <c r="G1604" s="15">
        <v>0.0582691674893056</v>
      </c>
      <c r="H1604" s="11" t="s">
        <v>33</v>
      </c>
      <c r="I1604" s="16">
        <v>1.192</v>
      </c>
      <c r="J1604" s="11" t="s">
        <v>1857</v>
      </c>
      <c r="K1604" s="11" t="s">
        <v>61</v>
      </c>
      <c r="L1604" s="11" t="s">
        <v>27</v>
      </c>
      <c r="M1604" s="11" t="s">
        <v>28</v>
      </c>
      <c r="N1604" s="11" t="s">
        <v>42</v>
      </c>
      <c r="O1604" s="11" t="s">
        <v>1003</v>
      </c>
      <c r="P1604" s="11" t="s">
        <v>38</v>
      </c>
      <c r="Q1604" s="20">
        <v>40081.0</v>
      </c>
      <c r="R1604" s="17">
        <f t="shared" si="2"/>
        <v>16.67616958</v>
      </c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>
        <f t="shared" si="8"/>
        <v>1</v>
      </c>
      <c r="AF1604" s="19">
        <f t="shared" si="13"/>
        <v>4</v>
      </c>
      <c r="AG1604" s="9"/>
      <c r="AH1604" s="9"/>
      <c r="AI1604" s="9"/>
    </row>
    <row r="1605" ht="15.0" customHeight="1">
      <c r="A1605" s="11">
        <v>1604.0</v>
      </c>
      <c r="B1605" s="12">
        <f t="shared" si="256"/>
        <v>40080</v>
      </c>
      <c r="C1605" s="13">
        <v>2009.0</v>
      </c>
      <c r="D1605" s="11" t="s">
        <v>102</v>
      </c>
      <c r="E1605" s="11">
        <v>9.0</v>
      </c>
      <c r="F1605" s="21" t="s">
        <v>178</v>
      </c>
      <c r="G1605" s="15">
        <v>0.09322992700729926</v>
      </c>
      <c r="H1605" s="11" t="s">
        <v>33</v>
      </c>
      <c r="I1605" s="16">
        <v>3.192</v>
      </c>
      <c r="J1605" s="11" t="s">
        <v>1857</v>
      </c>
      <c r="K1605" s="11" t="s">
        <v>61</v>
      </c>
      <c r="L1605" s="11" t="s">
        <v>27</v>
      </c>
      <c r="M1605" s="11" t="s">
        <v>66</v>
      </c>
      <c r="N1605" s="11" t="s">
        <v>80</v>
      </c>
      <c r="O1605" s="11" t="s">
        <v>587</v>
      </c>
      <c r="P1605" s="11" t="s">
        <v>38</v>
      </c>
      <c r="Q1605" s="20">
        <v>40082.0</v>
      </c>
      <c r="R1605" s="17">
        <f t="shared" si="2"/>
        <v>55.59225964</v>
      </c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>
        <f t="shared" si="8"/>
        <v>1</v>
      </c>
      <c r="AF1605" s="19">
        <f t="shared" si="13"/>
        <v>4</v>
      </c>
      <c r="AG1605" s="9"/>
      <c r="AH1605" s="9"/>
      <c r="AI1605" s="9"/>
    </row>
    <row r="1606" ht="15.0" customHeight="1">
      <c r="A1606" s="11">
        <v>1605.0</v>
      </c>
      <c r="B1606" s="12">
        <f t="shared" si="256"/>
        <v>40080</v>
      </c>
      <c r="C1606" s="13">
        <v>2009.0</v>
      </c>
      <c r="D1606" s="11" t="s">
        <v>32</v>
      </c>
      <c r="E1606" s="11">
        <v>22.0</v>
      </c>
      <c r="F1606" s="21" t="s">
        <v>377</v>
      </c>
      <c r="G1606" s="15">
        <v>0.006480648064806522</v>
      </c>
      <c r="H1606" s="11" t="s">
        <v>33</v>
      </c>
      <c r="I1606" s="16">
        <v>28.0</v>
      </c>
      <c r="J1606" s="11" t="s">
        <v>1643</v>
      </c>
      <c r="K1606" s="11" t="s">
        <v>83</v>
      </c>
      <c r="L1606" s="11" t="s">
        <v>48</v>
      </c>
      <c r="M1606" s="11" t="s">
        <v>28</v>
      </c>
      <c r="N1606" s="11" t="s">
        <v>29</v>
      </c>
      <c r="O1606" s="11" t="s">
        <v>1749</v>
      </c>
      <c r="P1606" s="11" t="s">
        <v>31</v>
      </c>
      <c r="Q1606" s="20">
        <v>40082.0</v>
      </c>
      <c r="R1606" s="17">
        <f t="shared" si="2"/>
        <v>7.153339334</v>
      </c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>
        <f t="shared" si="8"/>
        <v>4</v>
      </c>
      <c r="AF1606" s="19" t="b">
        <f t="shared" si="13"/>
        <v>0</v>
      </c>
      <c r="AG1606" s="9"/>
      <c r="AH1606" s="9"/>
      <c r="AI1606" s="9"/>
    </row>
    <row r="1607" ht="15.0" customHeight="1">
      <c r="A1607" s="11">
        <v>1606.0</v>
      </c>
      <c r="B1607" s="12">
        <f t="shared" ref="B1607:B1617" si="257">DATE(2012,12,31)-1193</f>
        <v>40081</v>
      </c>
      <c r="C1607" s="13">
        <v>2009.0</v>
      </c>
      <c r="D1607" s="11" t="s">
        <v>44</v>
      </c>
      <c r="E1607" s="11">
        <v>33.0</v>
      </c>
      <c r="F1607" s="21" t="s">
        <v>619</v>
      </c>
      <c r="G1607" s="15">
        <v>0.08808082606373513</v>
      </c>
      <c r="H1607" s="11" t="s">
        <v>33</v>
      </c>
      <c r="I1607" s="16">
        <v>39.2</v>
      </c>
      <c r="J1607" s="11" t="s">
        <v>1137</v>
      </c>
      <c r="K1607" s="11" t="s">
        <v>83</v>
      </c>
      <c r="L1607" s="11" t="s">
        <v>41</v>
      </c>
      <c r="M1607" s="11" t="s">
        <v>28</v>
      </c>
      <c r="N1607" s="11" t="s">
        <v>197</v>
      </c>
      <c r="O1607" s="11" t="s">
        <v>620</v>
      </c>
      <c r="P1607" s="11" t="s">
        <v>31</v>
      </c>
      <c r="Q1607" s="20">
        <v>40082.0</v>
      </c>
      <c r="R1607" s="17">
        <f t="shared" si="2"/>
        <v>180.4688045</v>
      </c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>
        <f t="shared" si="8"/>
        <v>3</v>
      </c>
      <c r="AF1607" s="19" t="b">
        <f t="shared" si="13"/>
        <v>0</v>
      </c>
      <c r="AG1607" s="9"/>
      <c r="AH1607" s="9"/>
      <c r="AI1607" s="9"/>
    </row>
    <row r="1608" ht="15.0" customHeight="1">
      <c r="A1608" s="11">
        <v>1607.0</v>
      </c>
      <c r="B1608" s="12">
        <f t="shared" si="257"/>
        <v>40081</v>
      </c>
      <c r="C1608" s="13">
        <v>2009.0</v>
      </c>
      <c r="D1608" s="11" t="s">
        <v>44</v>
      </c>
      <c r="E1608" s="11">
        <v>27.0</v>
      </c>
      <c r="F1608" s="21" t="s">
        <v>558</v>
      </c>
      <c r="G1608" s="15">
        <v>0.05086884859901103</v>
      </c>
      <c r="H1608" s="11" t="s">
        <v>33</v>
      </c>
      <c r="I1608" s="16">
        <v>1.592</v>
      </c>
      <c r="J1608" s="11" t="s">
        <v>1137</v>
      </c>
      <c r="K1608" s="11" t="s">
        <v>83</v>
      </c>
      <c r="L1608" s="11" t="s">
        <v>41</v>
      </c>
      <c r="M1608" s="11" t="s">
        <v>66</v>
      </c>
      <c r="N1608" s="11" t="s">
        <v>67</v>
      </c>
      <c r="O1608" s="11" t="s">
        <v>559</v>
      </c>
      <c r="P1608" s="11" t="s">
        <v>99</v>
      </c>
      <c r="Q1608" s="20">
        <v>40082.0</v>
      </c>
      <c r="R1608" s="17">
        <f t="shared" si="2"/>
        <v>41.01005879</v>
      </c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>
        <f t="shared" si="8"/>
        <v>3</v>
      </c>
      <c r="AF1608" s="19" t="b">
        <f t="shared" si="13"/>
        <v>0</v>
      </c>
      <c r="AG1608" s="9"/>
      <c r="AH1608" s="9"/>
      <c r="AI1608" s="9"/>
    </row>
    <row r="1609" ht="15.0" customHeight="1">
      <c r="A1609" s="11">
        <v>1608.0</v>
      </c>
      <c r="B1609" s="12">
        <f t="shared" si="257"/>
        <v>40081</v>
      </c>
      <c r="C1609" s="13">
        <v>2009.0</v>
      </c>
      <c r="D1609" s="11" t="s">
        <v>39</v>
      </c>
      <c r="E1609" s="11">
        <v>2.0</v>
      </c>
      <c r="F1609" s="21" t="s">
        <v>142</v>
      </c>
      <c r="G1609" s="15">
        <v>0.07897934386391252</v>
      </c>
      <c r="H1609" s="11" t="s">
        <v>33</v>
      </c>
      <c r="I1609" s="16">
        <v>4.0</v>
      </c>
      <c r="J1609" s="11" t="s">
        <v>1858</v>
      </c>
      <c r="K1609" s="11" t="s">
        <v>61</v>
      </c>
      <c r="L1609" s="11" t="s">
        <v>41</v>
      </c>
      <c r="M1609" s="11" t="s">
        <v>66</v>
      </c>
      <c r="N1609" s="11" t="s">
        <v>80</v>
      </c>
      <c r="O1609" s="11" t="s">
        <v>1859</v>
      </c>
      <c r="P1609" s="11" t="s">
        <v>58</v>
      </c>
      <c r="Q1609" s="20">
        <v>40082.0</v>
      </c>
      <c r="R1609" s="17">
        <f t="shared" si="2"/>
        <v>5.986634265</v>
      </c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>
        <f t="shared" si="8"/>
        <v>3</v>
      </c>
      <c r="AF1609" s="19">
        <f t="shared" si="13"/>
        <v>4</v>
      </c>
      <c r="AG1609" s="9"/>
      <c r="AH1609" s="9"/>
      <c r="AI1609" s="9"/>
    </row>
    <row r="1610" ht="15.0" customHeight="1">
      <c r="A1610" s="11">
        <v>1609.0</v>
      </c>
      <c r="B1610" s="12">
        <f t="shared" si="257"/>
        <v>40081</v>
      </c>
      <c r="C1610" s="13">
        <v>2009.0</v>
      </c>
      <c r="D1610" s="11" t="s">
        <v>39</v>
      </c>
      <c r="E1610" s="11">
        <v>16.0</v>
      </c>
      <c r="F1610" s="21" t="s">
        <v>865</v>
      </c>
      <c r="G1610" s="15">
        <v>0.057820082338170396</v>
      </c>
      <c r="H1610" s="11" t="s">
        <v>45</v>
      </c>
      <c r="I1610" s="16">
        <v>12.472000000000001</v>
      </c>
      <c r="J1610" s="11" t="s">
        <v>1829</v>
      </c>
      <c r="K1610" s="11" t="s">
        <v>83</v>
      </c>
      <c r="L1610" s="11" t="s">
        <v>36</v>
      </c>
      <c r="M1610" s="11" t="s">
        <v>66</v>
      </c>
      <c r="N1610" s="11" t="s">
        <v>69</v>
      </c>
      <c r="O1610" s="11" t="s">
        <v>1675</v>
      </c>
      <c r="P1610" s="11" t="s">
        <v>52</v>
      </c>
      <c r="Q1610" s="20">
        <v>40083.0</v>
      </c>
      <c r="R1610" s="17">
        <f t="shared" si="2"/>
        <v>186.5780047</v>
      </c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>
        <f t="shared" si="8"/>
        <v>2</v>
      </c>
      <c r="AF1610" s="19" t="b">
        <f t="shared" si="13"/>
        <v>0</v>
      </c>
      <c r="AG1610" s="9"/>
      <c r="AH1610" s="9"/>
      <c r="AI1610" s="9"/>
    </row>
    <row r="1611" ht="15.0" customHeight="1">
      <c r="A1611" s="11">
        <v>1610.0</v>
      </c>
      <c r="B1611" s="12">
        <f t="shared" si="257"/>
        <v>40081</v>
      </c>
      <c r="C1611" s="13">
        <v>2009.0</v>
      </c>
      <c r="D1611" s="11" t="s">
        <v>39</v>
      </c>
      <c r="E1611" s="11">
        <v>1.0</v>
      </c>
      <c r="F1611" s="21" t="s">
        <v>362</v>
      </c>
      <c r="G1611" s="15">
        <v>0.17916279069767443</v>
      </c>
      <c r="H1611" s="11" t="s">
        <v>33</v>
      </c>
      <c r="I1611" s="16">
        <v>2.8480000000000003</v>
      </c>
      <c r="J1611" s="11" t="s">
        <v>514</v>
      </c>
      <c r="K1611" s="11" t="s">
        <v>61</v>
      </c>
      <c r="L1611" s="11" t="s">
        <v>36</v>
      </c>
      <c r="M1611" s="11" t="s">
        <v>49</v>
      </c>
      <c r="N1611" s="11" t="s">
        <v>73</v>
      </c>
      <c r="O1611" s="11" t="s">
        <v>1860</v>
      </c>
      <c r="P1611" s="11" t="s">
        <v>31</v>
      </c>
      <c r="Q1611" s="20">
        <v>40083.0</v>
      </c>
      <c r="R1611" s="17">
        <f t="shared" si="2"/>
        <v>3.16186493</v>
      </c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>
        <f t="shared" si="8"/>
        <v>2</v>
      </c>
      <c r="AF1611" s="19">
        <f t="shared" si="13"/>
        <v>4</v>
      </c>
      <c r="AG1611" s="9"/>
      <c r="AH1611" s="9"/>
      <c r="AI1611" s="9"/>
    </row>
    <row r="1612" ht="15.0" customHeight="1">
      <c r="A1612" s="11">
        <v>1611.0</v>
      </c>
      <c r="B1612" s="12">
        <f t="shared" si="257"/>
        <v>40081</v>
      </c>
      <c r="C1612" s="13">
        <v>2009.0</v>
      </c>
      <c r="D1612" s="11" t="s">
        <v>23</v>
      </c>
      <c r="E1612" s="11">
        <v>8.0</v>
      </c>
      <c r="F1612" s="21" t="s">
        <v>394</v>
      </c>
      <c r="G1612" s="15">
        <v>0.035642308975642176</v>
      </c>
      <c r="H1612" s="11" t="s">
        <v>45</v>
      </c>
      <c r="I1612" s="16">
        <v>28.872000000000003</v>
      </c>
      <c r="J1612" s="11" t="s">
        <v>1861</v>
      </c>
      <c r="K1612" s="11" t="s">
        <v>83</v>
      </c>
      <c r="L1612" s="11" t="s">
        <v>36</v>
      </c>
      <c r="M1612" s="11" t="s">
        <v>49</v>
      </c>
      <c r="N1612" s="11" t="s">
        <v>156</v>
      </c>
      <c r="O1612" s="11" t="s">
        <v>1194</v>
      </c>
      <c r="P1612" s="11" t="s">
        <v>87</v>
      </c>
      <c r="Q1612" s="20">
        <v>40083.0</v>
      </c>
      <c r="R1612" s="17">
        <f t="shared" si="2"/>
        <v>41.20507542</v>
      </c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>
        <f t="shared" si="8"/>
        <v>2</v>
      </c>
      <c r="AF1612" s="19" t="b">
        <f t="shared" si="13"/>
        <v>0</v>
      </c>
      <c r="AG1612" s="9"/>
      <c r="AH1612" s="9"/>
      <c r="AI1612" s="9"/>
    </row>
    <row r="1613" ht="15.0" customHeight="1">
      <c r="A1613" s="11">
        <v>1612.0</v>
      </c>
      <c r="B1613" s="12">
        <f t="shared" si="257"/>
        <v>40081</v>
      </c>
      <c r="C1613" s="13">
        <v>2009.0</v>
      </c>
      <c r="D1613" s="11" t="s">
        <v>23</v>
      </c>
      <c r="E1613" s="11">
        <v>32.0</v>
      </c>
      <c r="F1613" s="21" t="s">
        <v>178</v>
      </c>
      <c r="G1613" s="15">
        <v>0.07610706021045277</v>
      </c>
      <c r="H1613" s="11" t="s">
        <v>33</v>
      </c>
      <c r="I1613" s="16">
        <v>7.192</v>
      </c>
      <c r="J1613" s="11" t="s">
        <v>1861</v>
      </c>
      <c r="K1613" s="11" t="s">
        <v>83</v>
      </c>
      <c r="L1613" s="11" t="s">
        <v>36</v>
      </c>
      <c r="M1613" s="11" t="s">
        <v>66</v>
      </c>
      <c r="N1613" s="11" t="s">
        <v>80</v>
      </c>
      <c r="O1613" s="11" t="s">
        <v>1263</v>
      </c>
      <c r="P1613" s="11" t="s">
        <v>38</v>
      </c>
      <c r="Q1613" s="20">
        <v>40083.0</v>
      </c>
      <c r="R1613" s="17">
        <f t="shared" si="2"/>
        <v>161.0419305</v>
      </c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>
        <f t="shared" si="8"/>
        <v>2</v>
      </c>
      <c r="AF1613" s="19" t="b">
        <f t="shared" si="13"/>
        <v>0</v>
      </c>
      <c r="AG1613" s="9"/>
      <c r="AH1613" s="9"/>
      <c r="AI1613" s="9"/>
    </row>
    <row r="1614" ht="15.0" customHeight="1">
      <c r="A1614" s="11">
        <v>1613.0</v>
      </c>
      <c r="B1614" s="12">
        <f t="shared" si="257"/>
        <v>40081</v>
      </c>
      <c r="C1614" s="13">
        <v>2009.0</v>
      </c>
      <c r="D1614" s="11" t="s">
        <v>23</v>
      </c>
      <c r="E1614" s="11">
        <v>41.0</v>
      </c>
      <c r="F1614" s="21" t="s">
        <v>1336</v>
      </c>
      <c r="G1614" s="15">
        <v>0.010658975124048151</v>
      </c>
      <c r="H1614" s="11" t="s">
        <v>33</v>
      </c>
      <c r="I1614" s="16">
        <v>14.448</v>
      </c>
      <c r="J1614" s="11" t="s">
        <v>1862</v>
      </c>
      <c r="K1614" s="11" t="s">
        <v>61</v>
      </c>
      <c r="L1614" s="11" t="s">
        <v>36</v>
      </c>
      <c r="M1614" s="11" t="s">
        <v>49</v>
      </c>
      <c r="N1614" s="11" t="s">
        <v>50</v>
      </c>
      <c r="O1614" s="11" t="s">
        <v>1337</v>
      </c>
      <c r="P1614" s="11" t="s">
        <v>31</v>
      </c>
      <c r="Q1614" s="20">
        <v>40083.0</v>
      </c>
      <c r="R1614" s="17">
        <f t="shared" si="2"/>
        <v>95.42392053</v>
      </c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>
        <f t="shared" si="8"/>
        <v>2</v>
      </c>
      <c r="AF1614" s="19">
        <f t="shared" si="13"/>
        <v>4</v>
      </c>
      <c r="AG1614" s="9"/>
      <c r="AH1614" s="9"/>
      <c r="AI1614" s="9"/>
    </row>
    <row r="1615" ht="15.0" customHeight="1">
      <c r="A1615" s="11">
        <v>1614.0</v>
      </c>
      <c r="B1615" s="12">
        <f t="shared" si="257"/>
        <v>40081</v>
      </c>
      <c r="C1615" s="13">
        <v>2009.0</v>
      </c>
      <c r="D1615" s="11" t="s">
        <v>23</v>
      </c>
      <c r="E1615" s="11">
        <v>43.0</v>
      </c>
      <c r="F1615" s="21" t="s">
        <v>126</v>
      </c>
      <c r="G1615" s="15">
        <v>0.057599999999999936</v>
      </c>
      <c r="H1615" s="11" t="s">
        <v>33</v>
      </c>
      <c r="I1615" s="16">
        <v>3.696</v>
      </c>
      <c r="J1615" s="11" t="s">
        <v>1862</v>
      </c>
      <c r="K1615" s="11" t="s">
        <v>61</v>
      </c>
      <c r="L1615" s="11" t="s">
        <v>36</v>
      </c>
      <c r="M1615" s="11" t="s">
        <v>66</v>
      </c>
      <c r="N1615" s="11" t="s">
        <v>67</v>
      </c>
      <c r="O1615" s="11" t="s">
        <v>675</v>
      </c>
      <c r="P1615" s="11" t="s">
        <v>99</v>
      </c>
      <c r="Q1615" s="20">
        <v>40083.0</v>
      </c>
      <c r="R1615" s="17">
        <f t="shared" si="2"/>
        <v>12.3492096</v>
      </c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>
        <f t="shared" si="8"/>
        <v>2</v>
      </c>
      <c r="AF1615" s="19">
        <f t="shared" si="13"/>
        <v>4</v>
      </c>
      <c r="AG1615" s="9"/>
      <c r="AH1615" s="9"/>
      <c r="AI1615" s="9"/>
    </row>
    <row r="1616" ht="15.0" customHeight="1">
      <c r="A1616" s="11">
        <v>1615.0</v>
      </c>
      <c r="B1616" s="12">
        <f t="shared" si="257"/>
        <v>40081</v>
      </c>
      <c r="C1616" s="13">
        <v>2009.0</v>
      </c>
      <c r="D1616" s="11" t="s">
        <v>39</v>
      </c>
      <c r="E1616" s="11">
        <v>37.0</v>
      </c>
      <c r="F1616" s="21" t="s">
        <v>1191</v>
      </c>
      <c r="G1616" s="15">
        <v>0.07637292464878682</v>
      </c>
      <c r="H1616" s="11" t="s">
        <v>33</v>
      </c>
      <c r="I1616" s="16">
        <v>4.08</v>
      </c>
      <c r="J1616" s="11" t="s">
        <v>738</v>
      </c>
      <c r="K1616" s="11" t="s">
        <v>65</v>
      </c>
      <c r="L1616" s="11" t="s">
        <v>48</v>
      </c>
      <c r="M1616" s="11" t="s">
        <v>28</v>
      </c>
      <c r="N1616" s="11" t="s">
        <v>197</v>
      </c>
      <c r="O1616" s="11" t="s">
        <v>1193</v>
      </c>
      <c r="P1616" s="11" t="s">
        <v>75</v>
      </c>
      <c r="Q1616" s="20">
        <v>40083.0</v>
      </c>
      <c r="R1616" s="17">
        <f t="shared" si="2"/>
        <v>132.5589579</v>
      </c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>
        <f t="shared" si="8"/>
        <v>4</v>
      </c>
      <c r="AF1616" s="19">
        <f t="shared" si="13"/>
        <v>5</v>
      </c>
      <c r="AG1616" s="9"/>
      <c r="AH1616" s="9"/>
      <c r="AI1616" s="9"/>
    </row>
    <row r="1617" ht="15.0" customHeight="1">
      <c r="A1617" s="11">
        <v>1616.0</v>
      </c>
      <c r="B1617" s="12">
        <f t="shared" si="257"/>
        <v>40081</v>
      </c>
      <c r="C1617" s="13">
        <v>2009.0</v>
      </c>
      <c r="D1617" s="11" t="s">
        <v>39</v>
      </c>
      <c r="E1617" s="11">
        <v>40.0</v>
      </c>
      <c r="F1617" s="21" t="s">
        <v>254</v>
      </c>
      <c r="G1617" s="15">
        <v>0.0545003646973013</v>
      </c>
      <c r="H1617" s="11" t="s">
        <v>33</v>
      </c>
      <c r="I1617" s="16">
        <v>2.5120000000000005</v>
      </c>
      <c r="J1617" s="11" t="s">
        <v>738</v>
      </c>
      <c r="K1617" s="11" t="s">
        <v>65</v>
      </c>
      <c r="L1617" s="11" t="s">
        <v>48</v>
      </c>
      <c r="M1617" s="11" t="s">
        <v>28</v>
      </c>
      <c r="N1617" s="11" t="s">
        <v>442</v>
      </c>
      <c r="O1617" s="11" t="s">
        <v>1613</v>
      </c>
      <c r="P1617" s="11" t="s">
        <v>99</v>
      </c>
      <c r="Q1617" s="20">
        <v>40083.0</v>
      </c>
      <c r="R1617" s="17">
        <f t="shared" si="2"/>
        <v>28.2590931</v>
      </c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>
        <f t="shared" si="8"/>
        <v>4</v>
      </c>
      <c r="AF1617" s="19">
        <f t="shared" si="13"/>
        <v>5</v>
      </c>
      <c r="AG1617" s="9"/>
      <c r="AH1617" s="9"/>
      <c r="AI1617" s="9"/>
    </row>
    <row r="1618" ht="15.0" customHeight="1">
      <c r="A1618" s="11">
        <v>1617.0</v>
      </c>
      <c r="B1618" s="12">
        <f t="shared" ref="B1618:B1621" si="258">DATE(2012,12,31)-1192</f>
        <v>40082</v>
      </c>
      <c r="C1618" s="13">
        <v>2009.0</v>
      </c>
      <c r="D1618" s="11" t="s">
        <v>39</v>
      </c>
      <c r="E1618" s="11">
        <v>36.0</v>
      </c>
      <c r="F1618" s="21" t="s">
        <v>743</v>
      </c>
      <c r="G1618" s="15">
        <v>0.012096123864308372</v>
      </c>
      <c r="H1618" s="11" t="s">
        <v>33</v>
      </c>
      <c r="I1618" s="16">
        <v>5.2</v>
      </c>
      <c r="J1618" s="11" t="s">
        <v>1863</v>
      </c>
      <c r="K1618" s="11" t="s">
        <v>65</v>
      </c>
      <c r="L1618" s="11" t="s">
        <v>27</v>
      </c>
      <c r="M1618" s="11" t="s">
        <v>66</v>
      </c>
      <c r="N1618" s="11" t="s">
        <v>67</v>
      </c>
      <c r="O1618" s="11" t="s">
        <v>1864</v>
      </c>
      <c r="P1618" s="11" t="s">
        <v>38</v>
      </c>
      <c r="Q1618" s="20">
        <v>40084.0</v>
      </c>
      <c r="R1618" s="17">
        <f t="shared" si="2"/>
        <v>22.22783721</v>
      </c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>
        <f t="shared" si="8"/>
        <v>1</v>
      </c>
      <c r="AF1618" s="19">
        <f t="shared" si="13"/>
        <v>5</v>
      </c>
      <c r="AG1618" s="9"/>
      <c r="AH1618" s="9"/>
      <c r="AI1618" s="9"/>
    </row>
    <row r="1619" ht="15.0" customHeight="1">
      <c r="A1619" s="11">
        <v>1618.0</v>
      </c>
      <c r="B1619" s="12">
        <f t="shared" si="258"/>
        <v>40082</v>
      </c>
      <c r="C1619" s="13">
        <v>2009.0</v>
      </c>
      <c r="D1619" s="11" t="s">
        <v>39</v>
      </c>
      <c r="E1619" s="11">
        <v>6.0</v>
      </c>
      <c r="F1619" s="21" t="s">
        <v>1076</v>
      </c>
      <c r="G1619" s="15">
        <v>0.08067892503536078</v>
      </c>
      <c r="H1619" s="11" t="s">
        <v>33</v>
      </c>
      <c r="I1619" s="16">
        <v>15.184000000000001</v>
      </c>
      <c r="J1619" s="11" t="s">
        <v>1865</v>
      </c>
      <c r="K1619" s="11" t="s">
        <v>65</v>
      </c>
      <c r="L1619" s="11" t="s">
        <v>48</v>
      </c>
      <c r="M1619" s="11" t="s">
        <v>49</v>
      </c>
      <c r="N1619" s="11" t="s">
        <v>73</v>
      </c>
      <c r="O1619" s="11" t="s">
        <v>1077</v>
      </c>
      <c r="P1619" s="11" t="s">
        <v>38</v>
      </c>
      <c r="Q1619" s="20">
        <v>40084.0</v>
      </c>
      <c r="R1619" s="17">
        <f t="shared" si="2"/>
        <v>20.97522965</v>
      </c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>
        <f t="shared" si="8"/>
        <v>4</v>
      </c>
      <c r="AF1619" s="19">
        <f t="shared" si="13"/>
        <v>5</v>
      </c>
      <c r="AG1619" s="9"/>
      <c r="AH1619" s="9"/>
      <c r="AI1619" s="9"/>
    </row>
    <row r="1620" ht="15.0" customHeight="1">
      <c r="A1620" s="11">
        <v>1619.0</v>
      </c>
      <c r="B1620" s="12">
        <f t="shared" si="258"/>
        <v>40082</v>
      </c>
      <c r="C1620" s="13">
        <v>2009.0</v>
      </c>
      <c r="D1620" s="11" t="s">
        <v>39</v>
      </c>
      <c r="E1620" s="11">
        <v>26.0</v>
      </c>
      <c r="F1620" s="21" t="s">
        <v>306</v>
      </c>
      <c r="G1620" s="15">
        <v>0.006136277122192704</v>
      </c>
      <c r="H1620" s="11" t="s">
        <v>24</v>
      </c>
      <c r="I1620" s="16">
        <v>4.776</v>
      </c>
      <c r="J1620" s="11" t="s">
        <v>953</v>
      </c>
      <c r="K1620" s="11" t="s">
        <v>65</v>
      </c>
      <c r="L1620" s="11" t="s">
        <v>48</v>
      </c>
      <c r="M1620" s="11" t="s">
        <v>28</v>
      </c>
      <c r="N1620" s="11" t="s">
        <v>56</v>
      </c>
      <c r="O1620" s="11" t="s">
        <v>1866</v>
      </c>
      <c r="P1620" s="11" t="s">
        <v>38</v>
      </c>
      <c r="Q1620" s="20">
        <v>40084.0</v>
      </c>
      <c r="R1620" s="17">
        <f t="shared" si="2"/>
        <v>3.204216643</v>
      </c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>
        <f t="shared" si="8"/>
        <v>4</v>
      </c>
      <c r="AF1620" s="19">
        <f t="shared" si="13"/>
        <v>5</v>
      </c>
      <c r="AG1620" s="9"/>
      <c r="AH1620" s="9"/>
      <c r="AI1620" s="9"/>
    </row>
    <row r="1621" ht="15.0" customHeight="1">
      <c r="A1621" s="11">
        <v>1620.0</v>
      </c>
      <c r="B1621" s="12">
        <f t="shared" si="258"/>
        <v>40082</v>
      </c>
      <c r="C1621" s="13">
        <v>2009.0</v>
      </c>
      <c r="D1621" s="11" t="s">
        <v>32</v>
      </c>
      <c r="E1621" s="11">
        <v>47.0</v>
      </c>
      <c r="F1621" s="21" t="s">
        <v>1710</v>
      </c>
      <c r="G1621" s="15">
        <v>0.03152105263157897</v>
      </c>
      <c r="H1621" s="11" t="s">
        <v>45</v>
      </c>
      <c r="I1621" s="16">
        <v>41.552</v>
      </c>
      <c r="J1621" s="11" t="s">
        <v>525</v>
      </c>
      <c r="K1621" s="11" t="s">
        <v>65</v>
      </c>
      <c r="L1621" s="11" t="s">
        <v>48</v>
      </c>
      <c r="M1621" s="11" t="s">
        <v>49</v>
      </c>
      <c r="N1621" s="11" t="s">
        <v>85</v>
      </c>
      <c r="O1621" s="11" t="s">
        <v>1711</v>
      </c>
      <c r="P1621" s="11" t="s">
        <v>87</v>
      </c>
      <c r="Q1621" s="20">
        <v>40084.0</v>
      </c>
      <c r="R1621" s="17">
        <f t="shared" si="2"/>
        <v>185.6070533</v>
      </c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>
        <f t="shared" si="8"/>
        <v>4</v>
      </c>
      <c r="AF1621" s="19">
        <f t="shared" si="13"/>
        <v>5</v>
      </c>
      <c r="AG1621" s="9"/>
      <c r="AH1621" s="9"/>
      <c r="AI1621" s="9"/>
    </row>
    <row r="1622" ht="15.0" customHeight="1">
      <c r="A1622" s="11">
        <v>1621.0</v>
      </c>
      <c r="B1622" s="12">
        <f t="shared" ref="B1622:B1625" si="259">DATE(2012,12,31)-1191</f>
        <v>40083</v>
      </c>
      <c r="C1622" s="13">
        <v>2009.0</v>
      </c>
      <c r="D1622" s="11" t="s">
        <v>23</v>
      </c>
      <c r="E1622" s="11">
        <v>42.0</v>
      </c>
      <c r="F1622" s="21" t="s">
        <v>758</v>
      </c>
      <c r="G1622" s="15">
        <v>0.06188118811881171</v>
      </c>
      <c r="H1622" s="11" t="s">
        <v>33</v>
      </c>
      <c r="I1622" s="16">
        <v>0.4</v>
      </c>
      <c r="J1622" s="11" t="s">
        <v>771</v>
      </c>
      <c r="K1622" s="11" t="s">
        <v>61</v>
      </c>
      <c r="L1622" s="11" t="s">
        <v>48</v>
      </c>
      <c r="M1622" s="11" t="s">
        <v>28</v>
      </c>
      <c r="N1622" s="11" t="s">
        <v>188</v>
      </c>
      <c r="O1622" s="11" t="s">
        <v>1867</v>
      </c>
      <c r="P1622" s="11" t="s">
        <v>38</v>
      </c>
      <c r="Q1622" s="20">
        <v>40084.0</v>
      </c>
      <c r="R1622" s="17">
        <f t="shared" si="2"/>
        <v>9.381188119</v>
      </c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>
        <f t="shared" si="8"/>
        <v>4</v>
      </c>
      <c r="AF1622" s="19">
        <f t="shared" si="13"/>
        <v>4</v>
      </c>
      <c r="AG1622" s="9"/>
      <c r="AH1622" s="9"/>
      <c r="AI1622" s="9"/>
    </row>
    <row r="1623" ht="15.0" customHeight="1">
      <c r="A1623" s="11">
        <v>1622.0</v>
      </c>
      <c r="B1623" s="12">
        <f t="shared" si="259"/>
        <v>40083</v>
      </c>
      <c r="C1623" s="13">
        <v>2009.0</v>
      </c>
      <c r="D1623" s="11" t="s">
        <v>39</v>
      </c>
      <c r="E1623" s="11">
        <v>27.0</v>
      </c>
      <c r="F1623" s="21" t="s">
        <v>1868</v>
      </c>
      <c r="G1623" s="15">
        <v>0.09853593015446606</v>
      </c>
      <c r="H1623" s="11" t="s">
        <v>33</v>
      </c>
      <c r="I1623" s="16">
        <v>3.8560000000000003</v>
      </c>
      <c r="J1623" s="11" t="s">
        <v>1620</v>
      </c>
      <c r="K1623" s="11" t="s">
        <v>65</v>
      </c>
      <c r="L1623" s="11" t="s">
        <v>48</v>
      </c>
      <c r="M1623" s="11" t="s">
        <v>28</v>
      </c>
      <c r="N1623" s="11" t="s">
        <v>62</v>
      </c>
      <c r="O1623" s="11" t="s">
        <v>1869</v>
      </c>
      <c r="P1623" s="11" t="s">
        <v>58</v>
      </c>
      <c r="Q1623" s="20">
        <v>40085.0</v>
      </c>
      <c r="R1623" s="17">
        <f t="shared" si="2"/>
        <v>26.45256167</v>
      </c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>
        <f t="shared" si="8"/>
        <v>4</v>
      </c>
      <c r="AF1623" s="19">
        <f t="shared" si="13"/>
        <v>5</v>
      </c>
      <c r="AG1623" s="9"/>
      <c r="AH1623" s="9"/>
      <c r="AI1623" s="9"/>
    </row>
    <row r="1624" ht="15.0" customHeight="1">
      <c r="A1624" s="11">
        <v>1623.0</v>
      </c>
      <c r="B1624" s="12">
        <f t="shared" si="259"/>
        <v>40083</v>
      </c>
      <c r="C1624" s="13">
        <v>2009.0</v>
      </c>
      <c r="D1624" s="11" t="s">
        <v>39</v>
      </c>
      <c r="E1624" s="11">
        <v>19.0</v>
      </c>
      <c r="F1624" s="21" t="s">
        <v>128</v>
      </c>
      <c r="G1624" s="15">
        <v>0.039738938938938956</v>
      </c>
      <c r="H1624" s="11" t="s">
        <v>33</v>
      </c>
      <c r="I1624" s="16">
        <v>6.152000000000001</v>
      </c>
      <c r="J1624" s="11" t="s">
        <v>1620</v>
      </c>
      <c r="K1624" s="11" t="s">
        <v>65</v>
      </c>
      <c r="L1624" s="11" t="s">
        <v>48</v>
      </c>
      <c r="M1624" s="11" t="s">
        <v>66</v>
      </c>
      <c r="N1624" s="11" t="s">
        <v>80</v>
      </c>
      <c r="O1624" s="11" t="s">
        <v>589</v>
      </c>
      <c r="P1624" s="11" t="s">
        <v>38</v>
      </c>
      <c r="Q1624" s="20">
        <v>40085.0</v>
      </c>
      <c r="R1624" s="17">
        <f t="shared" si="2"/>
        <v>95.30398979</v>
      </c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>
        <f t="shared" si="8"/>
        <v>4</v>
      </c>
      <c r="AF1624" s="19">
        <f t="shared" si="13"/>
        <v>5</v>
      </c>
      <c r="AG1624" s="9"/>
      <c r="AH1624" s="9"/>
      <c r="AI1624" s="9"/>
    </row>
    <row r="1625" ht="15.0" customHeight="1">
      <c r="A1625" s="11">
        <v>1624.0</v>
      </c>
      <c r="B1625" s="12">
        <f t="shared" si="259"/>
        <v>40083</v>
      </c>
      <c r="C1625" s="13">
        <v>2009.0</v>
      </c>
      <c r="D1625" s="11" t="s">
        <v>102</v>
      </c>
      <c r="E1625" s="11">
        <v>49.0</v>
      </c>
      <c r="F1625" s="21" t="s">
        <v>1870</v>
      </c>
      <c r="G1625" s="15">
        <v>0.0666354109211252</v>
      </c>
      <c r="H1625" s="11" t="s">
        <v>24</v>
      </c>
      <c r="I1625" s="16">
        <v>6.928000000000001</v>
      </c>
      <c r="J1625" s="11" t="s">
        <v>732</v>
      </c>
      <c r="K1625" s="11" t="s">
        <v>61</v>
      </c>
      <c r="L1625" s="11" t="s">
        <v>27</v>
      </c>
      <c r="M1625" s="11" t="s">
        <v>49</v>
      </c>
      <c r="N1625" s="11" t="s">
        <v>73</v>
      </c>
      <c r="O1625" s="11" t="s">
        <v>1871</v>
      </c>
      <c r="P1625" s="11" t="s">
        <v>75</v>
      </c>
      <c r="Q1625" s="20">
        <v>40085.0</v>
      </c>
      <c r="R1625" s="17">
        <f t="shared" si="2"/>
        <v>135.3117312</v>
      </c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>
        <f t="shared" si="8"/>
        <v>1</v>
      </c>
      <c r="AF1625" s="19">
        <f t="shared" si="13"/>
        <v>4</v>
      </c>
      <c r="AG1625" s="9"/>
      <c r="AH1625" s="9"/>
      <c r="AI1625" s="9"/>
    </row>
    <row r="1626" ht="15.0" customHeight="1">
      <c r="A1626" s="11">
        <v>1625.0</v>
      </c>
      <c r="B1626" s="12">
        <f t="shared" ref="B1626:B1630" si="260">DATE(2012,12,31)-1190</f>
        <v>40084</v>
      </c>
      <c r="C1626" s="13">
        <v>2009.0</v>
      </c>
      <c r="D1626" s="11" t="s">
        <v>32</v>
      </c>
      <c r="E1626" s="11">
        <v>2.0</v>
      </c>
      <c r="F1626" s="21" t="s">
        <v>1173</v>
      </c>
      <c r="G1626" s="15">
        <v>0.06168857431749255</v>
      </c>
      <c r="H1626" s="11" t="s">
        <v>33</v>
      </c>
      <c r="I1626" s="16">
        <v>15.991999999999999</v>
      </c>
      <c r="J1626" s="11" t="s">
        <v>1750</v>
      </c>
      <c r="K1626" s="11" t="s">
        <v>65</v>
      </c>
      <c r="L1626" s="11" t="s">
        <v>36</v>
      </c>
      <c r="M1626" s="11" t="s">
        <v>28</v>
      </c>
      <c r="N1626" s="11" t="s">
        <v>197</v>
      </c>
      <c r="O1626" s="11" t="s">
        <v>1174</v>
      </c>
      <c r="P1626" s="11" t="s">
        <v>38</v>
      </c>
      <c r="Q1626" s="20">
        <v>40085.0</v>
      </c>
      <c r="R1626" s="17">
        <f t="shared" si="2"/>
        <v>45.79710406</v>
      </c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>
        <f t="shared" si="8"/>
        <v>2</v>
      </c>
      <c r="AF1626" s="19">
        <f t="shared" si="13"/>
        <v>5</v>
      </c>
      <c r="AG1626" s="9"/>
      <c r="AH1626" s="9"/>
      <c r="AI1626" s="9"/>
    </row>
    <row r="1627" ht="15.0" customHeight="1">
      <c r="A1627" s="11">
        <v>1626.0</v>
      </c>
      <c r="B1627" s="12">
        <f t="shared" si="260"/>
        <v>40084</v>
      </c>
      <c r="C1627" s="13">
        <v>2009.0</v>
      </c>
      <c r="D1627" s="11" t="s">
        <v>44</v>
      </c>
      <c r="E1627" s="11">
        <v>24.0</v>
      </c>
      <c r="F1627" s="21" t="s">
        <v>743</v>
      </c>
      <c r="G1627" s="15">
        <v>0.04096310193871176</v>
      </c>
      <c r="H1627" s="11" t="s">
        <v>33</v>
      </c>
      <c r="I1627" s="16">
        <v>5.2</v>
      </c>
      <c r="J1627" s="11" t="s">
        <v>138</v>
      </c>
      <c r="K1627" s="11" t="s">
        <v>61</v>
      </c>
      <c r="L1627" s="11" t="s">
        <v>41</v>
      </c>
      <c r="M1627" s="11" t="s">
        <v>66</v>
      </c>
      <c r="N1627" s="11" t="s">
        <v>67</v>
      </c>
      <c r="O1627" s="11" t="s">
        <v>1864</v>
      </c>
      <c r="P1627" s="11" t="s">
        <v>38</v>
      </c>
      <c r="Q1627" s="20">
        <v>40085.0</v>
      </c>
      <c r="R1627" s="17">
        <f t="shared" si="2"/>
        <v>50.25353346</v>
      </c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>
        <f t="shared" si="8"/>
        <v>3</v>
      </c>
      <c r="AF1627" s="19">
        <f t="shared" si="13"/>
        <v>4</v>
      </c>
      <c r="AG1627" s="9"/>
      <c r="AH1627" s="9"/>
      <c r="AI1627" s="9"/>
    </row>
    <row r="1628" ht="15.0" customHeight="1">
      <c r="A1628" s="11">
        <v>1627.0</v>
      </c>
      <c r="B1628" s="12">
        <f t="shared" si="260"/>
        <v>40084</v>
      </c>
      <c r="C1628" s="13">
        <v>2009.0</v>
      </c>
      <c r="D1628" s="11" t="s">
        <v>44</v>
      </c>
      <c r="E1628" s="11">
        <v>41.0</v>
      </c>
      <c r="F1628" s="21" t="s">
        <v>158</v>
      </c>
      <c r="G1628" s="15">
        <v>0.03507603186097007</v>
      </c>
      <c r="H1628" s="11" t="s">
        <v>33</v>
      </c>
      <c r="I1628" s="16">
        <v>4.112</v>
      </c>
      <c r="J1628" s="11" t="s">
        <v>138</v>
      </c>
      <c r="K1628" s="11" t="s">
        <v>61</v>
      </c>
      <c r="L1628" s="11" t="s">
        <v>41</v>
      </c>
      <c r="M1628" s="11" t="s">
        <v>28</v>
      </c>
      <c r="N1628" s="11" t="s">
        <v>56</v>
      </c>
      <c r="O1628" s="11" t="s">
        <v>1424</v>
      </c>
      <c r="P1628" s="11" t="s">
        <v>38</v>
      </c>
      <c r="Q1628" s="20">
        <v>40086.0</v>
      </c>
      <c r="R1628" s="17">
        <f t="shared" si="2"/>
        <v>9.348183403</v>
      </c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>
        <f t="shared" si="8"/>
        <v>3</v>
      </c>
      <c r="AF1628" s="19">
        <f t="shared" si="13"/>
        <v>4</v>
      </c>
      <c r="AG1628" s="9"/>
      <c r="AH1628" s="9"/>
      <c r="AI1628" s="9"/>
    </row>
    <row r="1629" ht="15.0" customHeight="1">
      <c r="A1629" s="11">
        <v>1628.0</v>
      </c>
      <c r="B1629" s="12">
        <f t="shared" si="260"/>
        <v>40084</v>
      </c>
      <c r="C1629" s="13">
        <v>2009.0</v>
      </c>
      <c r="D1629" s="11" t="s">
        <v>32</v>
      </c>
      <c r="E1629" s="11">
        <v>42.0</v>
      </c>
      <c r="F1629" s="21" t="s">
        <v>473</v>
      </c>
      <c r="G1629" s="15">
        <v>0.022611927298066346</v>
      </c>
      <c r="H1629" s="11" t="s">
        <v>33</v>
      </c>
      <c r="I1629" s="16">
        <v>7.359999999999999</v>
      </c>
      <c r="J1629" s="11" t="s">
        <v>1872</v>
      </c>
      <c r="K1629" s="11" t="s">
        <v>35</v>
      </c>
      <c r="L1629" s="11" t="s">
        <v>48</v>
      </c>
      <c r="M1629" s="11" t="s">
        <v>49</v>
      </c>
      <c r="N1629" s="11" t="s">
        <v>73</v>
      </c>
      <c r="O1629" s="11" t="s">
        <v>1836</v>
      </c>
      <c r="P1629" s="11" t="s">
        <v>58</v>
      </c>
      <c r="Q1629" s="20">
        <v>40086.0</v>
      </c>
      <c r="R1629" s="17">
        <f t="shared" si="2"/>
        <v>38.05949155</v>
      </c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>
        <f t="shared" si="8"/>
        <v>4</v>
      </c>
      <c r="AF1629" s="19">
        <f t="shared" si="13"/>
        <v>2</v>
      </c>
      <c r="AG1629" s="9"/>
      <c r="AH1629" s="9"/>
      <c r="AI1629" s="9"/>
    </row>
    <row r="1630" ht="15.0" customHeight="1">
      <c r="A1630" s="11">
        <v>1629.0</v>
      </c>
      <c r="B1630" s="12">
        <f t="shared" si="260"/>
        <v>40084</v>
      </c>
      <c r="C1630" s="13">
        <v>2009.0</v>
      </c>
      <c r="D1630" s="11" t="s">
        <v>102</v>
      </c>
      <c r="E1630" s="11">
        <v>16.0</v>
      </c>
      <c r="F1630" s="21" t="s">
        <v>948</v>
      </c>
      <c r="G1630" s="15">
        <v>0.07316628701594541</v>
      </c>
      <c r="H1630" s="11" t="s">
        <v>33</v>
      </c>
      <c r="I1630" s="16">
        <v>4.576</v>
      </c>
      <c r="J1630" s="11" t="s">
        <v>1384</v>
      </c>
      <c r="K1630" s="11" t="s">
        <v>35</v>
      </c>
      <c r="L1630" s="11" t="s">
        <v>36</v>
      </c>
      <c r="M1630" s="11" t="s">
        <v>49</v>
      </c>
      <c r="N1630" s="11" t="s">
        <v>73</v>
      </c>
      <c r="O1630" s="11" t="s">
        <v>1873</v>
      </c>
      <c r="P1630" s="11" t="s">
        <v>99</v>
      </c>
      <c r="Q1630" s="20">
        <v>40086.0</v>
      </c>
      <c r="R1630" s="17">
        <f t="shared" si="2"/>
        <v>5.953979772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>
        <f t="shared" si="8"/>
        <v>2</v>
      </c>
      <c r="AF1630" s="19">
        <f t="shared" si="13"/>
        <v>2</v>
      </c>
      <c r="AG1630" s="9"/>
      <c r="AH1630" s="9"/>
      <c r="AI1630" s="9"/>
    </row>
    <row r="1631" ht="15.0" customHeight="1">
      <c r="A1631" s="11">
        <v>1630.0</v>
      </c>
      <c r="B1631" s="12">
        <f t="shared" ref="B1631:B1637" si="261">DATE(2012,12,31)-1189</f>
        <v>40085</v>
      </c>
      <c r="C1631" s="13">
        <v>2009.0</v>
      </c>
      <c r="D1631" s="11" t="s">
        <v>23</v>
      </c>
      <c r="E1631" s="11">
        <v>6.0</v>
      </c>
      <c r="F1631" s="21" t="s">
        <v>629</v>
      </c>
      <c r="G1631" s="15">
        <v>0.0482539682539683</v>
      </c>
      <c r="H1631" s="11" t="s">
        <v>33</v>
      </c>
      <c r="I1631" s="16">
        <v>4.168</v>
      </c>
      <c r="J1631" s="11" t="s">
        <v>1664</v>
      </c>
      <c r="K1631" s="11" t="s">
        <v>35</v>
      </c>
      <c r="L1631" s="11" t="s">
        <v>48</v>
      </c>
      <c r="M1631" s="11" t="s">
        <v>49</v>
      </c>
      <c r="N1631" s="11" t="s">
        <v>73</v>
      </c>
      <c r="O1631" s="11" t="s">
        <v>1477</v>
      </c>
      <c r="P1631" s="11" t="s">
        <v>38</v>
      </c>
      <c r="Q1631" s="20">
        <v>40086.0</v>
      </c>
      <c r="R1631" s="17">
        <f t="shared" si="2"/>
        <v>2.314646349</v>
      </c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>
        <f t="shared" si="8"/>
        <v>4</v>
      </c>
      <c r="AF1631" s="19">
        <f t="shared" si="13"/>
        <v>2</v>
      </c>
      <c r="AG1631" s="9"/>
      <c r="AH1631" s="9"/>
      <c r="AI1631" s="9"/>
    </row>
    <row r="1632" ht="15.0" customHeight="1">
      <c r="A1632" s="11">
        <v>1631.0</v>
      </c>
      <c r="B1632" s="12">
        <f t="shared" si="261"/>
        <v>40085</v>
      </c>
      <c r="C1632" s="13">
        <v>2009.0</v>
      </c>
      <c r="D1632" s="11" t="s">
        <v>44</v>
      </c>
      <c r="E1632" s="11">
        <v>5.0</v>
      </c>
      <c r="F1632" s="21" t="s">
        <v>394</v>
      </c>
      <c r="G1632" s="15">
        <v>0.030859802847754605</v>
      </c>
      <c r="H1632" s="11" t="s">
        <v>33</v>
      </c>
      <c r="I1632" s="16">
        <v>3.3600000000000003</v>
      </c>
      <c r="J1632" s="11" t="s">
        <v>958</v>
      </c>
      <c r="K1632" s="11" t="s">
        <v>35</v>
      </c>
      <c r="L1632" s="11" t="s">
        <v>27</v>
      </c>
      <c r="M1632" s="11" t="s">
        <v>66</v>
      </c>
      <c r="N1632" s="11" t="s">
        <v>80</v>
      </c>
      <c r="O1632" s="11" t="s">
        <v>1874</v>
      </c>
      <c r="P1632" s="11" t="s">
        <v>38</v>
      </c>
      <c r="Q1632" s="20">
        <v>40086.0</v>
      </c>
      <c r="R1632" s="17">
        <f t="shared" si="2"/>
        <v>21.84442004</v>
      </c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>
        <f t="shared" si="8"/>
        <v>1</v>
      </c>
      <c r="AF1632" s="19">
        <f t="shared" si="13"/>
        <v>2</v>
      </c>
      <c r="AG1632" s="9"/>
      <c r="AH1632" s="9"/>
      <c r="AI1632" s="9"/>
    </row>
    <row r="1633" ht="15.0" customHeight="1">
      <c r="A1633" s="11">
        <v>1632.0</v>
      </c>
      <c r="B1633" s="12">
        <f t="shared" si="261"/>
        <v>40085</v>
      </c>
      <c r="C1633" s="13">
        <v>2009.0</v>
      </c>
      <c r="D1633" s="11" t="s">
        <v>32</v>
      </c>
      <c r="E1633" s="11">
        <v>2.0</v>
      </c>
      <c r="F1633" s="21" t="s">
        <v>1544</v>
      </c>
      <c r="G1633" s="15">
        <v>0.01865393794749397</v>
      </c>
      <c r="H1633" s="11" t="s">
        <v>33</v>
      </c>
      <c r="I1633" s="16">
        <v>7.192</v>
      </c>
      <c r="J1633" s="11" t="s">
        <v>1417</v>
      </c>
      <c r="K1633" s="11" t="s">
        <v>47</v>
      </c>
      <c r="L1633" s="11" t="s">
        <v>48</v>
      </c>
      <c r="M1633" s="11" t="s">
        <v>49</v>
      </c>
      <c r="N1633" s="11" t="s">
        <v>73</v>
      </c>
      <c r="O1633" s="11" t="s">
        <v>1545</v>
      </c>
      <c r="P1633" s="11" t="s">
        <v>99</v>
      </c>
      <c r="Q1633" s="20">
        <v>40086.0</v>
      </c>
      <c r="R1633" s="17">
        <f t="shared" si="2"/>
        <v>3.835100411</v>
      </c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>
        <f t="shared" si="8"/>
        <v>4</v>
      </c>
      <c r="AF1633" s="19">
        <f t="shared" si="13"/>
        <v>3</v>
      </c>
      <c r="AG1633" s="9"/>
      <c r="AH1633" s="9"/>
      <c r="AI1633" s="9"/>
    </row>
    <row r="1634" ht="15.0" customHeight="1">
      <c r="A1634" s="11">
        <v>1633.0</v>
      </c>
      <c r="B1634" s="12">
        <f t="shared" si="261"/>
        <v>40085</v>
      </c>
      <c r="C1634" s="13">
        <v>2009.0</v>
      </c>
      <c r="D1634" s="11" t="s">
        <v>32</v>
      </c>
      <c r="E1634" s="11">
        <v>11.0</v>
      </c>
      <c r="F1634" s="21" t="s">
        <v>178</v>
      </c>
      <c r="G1634" s="15">
        <v>0.013618970627863037</v>
      </c>
      <c r="H1634" s="11" t="s">
        <v>33</v>
      </c>
      <c r="I1634" s="16">
        <v>7.192</v>
      </c>
      <c r="J1634" s="11" t="s">
        <v>320</v>
      </c>
      <c r="K1634" s="11" t="s">
        <v>65</v>
      </c>
      <c r="L1634" s="11" t="s">
        <v>41</v>
      </c>
      <c r="M1634" s="11" t="s">
        <v>66</v>
      </c>
      <c r="N1634" s="11" t="s">
        <v>80</v>
      </c>
      <c r="O1634" s="11" t="s">
        <v>1875</v>
      </c>
      <c r="P1634" s="11" t="s">
        <v>38</v>
      </c>
      <c r="Q1634" s="20">
        <v>40087.0</v>
      </c>
      <c r="R1634" s="17">
        <f t="shared" si="2"/>
        <v>9.970339445</v>
      </c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>
        <f t="shared" si="8"/>
        <v>3</v>
      </c>
      <c r="AF1634" s="19">
        <f t="shared" si="13"/>
        <v>5</v>
      </c>
      <c r="AG1634" s="9"/>
      <c r="AH1634" s="9"/>
      <c r="AI1634" s="9"/>
    </row>
    <row r="1635" ht="15.0" customHeight="1">
      <c r="A1635" s="11">
        <v>1634.0</v>
      </c>
      <c r="B1635" s="12">
        <f t="shared" si="261"/>
        <v>40085</v>
      </c>
      <c r="C1635" s="13">
        <v>2009.0</v>
      </c>
      <c r="D1635" s="11" t="s">
        <v>102</v>
      </c>
      <c r="E1635" s="11">
        <v>29.0</v>
      </c>
      <c r="F1635" s="21" t="s">
        <v>325</v>
      </c>
      <c r="G1635" s="15">
        <v>0.07794779477947793</v>
      </c>
      <c r="H1635" s="11" t="s">
        <v>24</v>
      </c>
      <c r="I1635" s="16">
        <v>1.8800000000000001</v>
      </c>
      <c r="J1635" s="11" t="s">
        <v>855</v>
      </c>
      <c r="K1635" s="11" t="s">
        <v>26</v>
      </c>
      <c r="L1635" s="11" t="s">
        <v>36</v>
      </c>
      <c r="M1635" s="11" t="s">
        <v>28</v>
      </c>
      <c r="N1635" s="11" t="s">
        <v>62</v>
      </c>
      <c r="O1635" s="11" t="s">
        <v>1113</v>
      </c>
      <c r="P1635" s="11" t="s">
        <v>58</v>
      </c>
      <c r="Q1635" s="20">
        <v>40087.0</v>
      </c>
      <c r="R1635" s="17">
        <f t="shared" si="2"/>
        <v>15.96994419</v>
      </c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>
        <f t="shared" si="8"/>
        <v>2</v>
      </c>
      <c r="AF1635" s="19">
        <f t="shared" si="13"/>
        <v>1</v>
      </c>
      <c r="AG1635" s="9"/>
      <c r="AH1635" s="9"/>
      <c r="AI1635" s="9"/>
    </row>
    <row r="1636" ht="15.0" customHeight="1">
      <c r="A1636" s="11">
        <v>1635.0</v>
      </c>
      <c r="B1636" s="12">
        <f t="shared" si="261"/>
        <v>40085</v>
      </c>
      <c r="C1636" s="13">
        <v>2009.0</v>
      </c>
      <c r="D1636" s="11" t="s">
        <v>32</v>
      </c>
      <c r="E1636" s="11">
        <v>33.0</v>
      </c>
      <c r="F1636" s="21" t="s">
        <v>632</v>
      </c>
      <c r="G1636" s="15">
        <v>0.09991139750302062</v>
      </c>
      <c r="H1636" s="11" t="s">
        <v>33</v>
      </c>
      <c r="I1636" s="16">
        <v>2.3920000000000003</v>
      </c>
      <c r="J1636" s="11" t="s">
        <v>285</v>
      </c>
      <c r="K1636" s="11" t="s">
        <v>26</v>
      </c>
      <c r="L1636" s="11" t="s">
        <v>27</v>
      </c>
      <c r="M1636" s="11" t="s">
        <v>28</v>
      </c>
      <c r="N1636" s="11" t="s">
        <v>42</v>
      </c>
      <c r="O1636" s="11" t="s">
        <v>1576</v>
      </c>
      <c r="P1636" s="11" t="s">
        <v>38</v>
      </c>
      <c r="Q1636" s="20">
        <v>40087.0</v>
      </c>
      <c r="R1636" s="17">
        <f t="shared" si="2"/>
        <v>22.32939805</v>
      </c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>
        <f t="shared" si="8"/>
        <v>1</v>
      </c>
      <c r="AF1636" s="19">
        <f t="shared" si="13"/>
        <v>1</v>
      </c>
      <c r="AG1636" s="9"/>
      <c r="AH1636" s="9"/>
      <c r="AI1636" s="9"/>
    </row>
    <row r="1637" ht="15.0" customHeight="1">
      <c r="A1637" s="11">
        <v>1636.0</v>
      </c>
      <c r="B1637" s="12">
        <f t="shared" si="261"/>
        <v>40085</v>
      </c>
      <c r="C1637" s="13">
        <v>2009.0</v>
      </c>
      <c r="D1637" s="11" t="s">
        <v>32</v>
      </c>
      <c r="E1637" s="11">
        <v>38.0</v>
      </c>
      <c r="F1637" s="21" t="s">
        <v>1201</v>
      </c>
      <c r="G1637" s="15">
        <v>0.020729811429393914</v>
      </c>
      <c r="H1637" s="11" t="s">
        <v>24</v>
      </c>
      <c r="I1637" s="16">
        <v>15.991999999999999</v>
      </c>
      <c r="J1637" s="11" t="s">
        <v>285</v>
      </c>
      <c r="K1637" s="11" t="s">
        <v>26</v>
      </c>
      <c r="L1637" s="11" t="s">
        <v>27</v>
      </c>
      <c r="M1637" s="11" t="s">
        <v>28</v>
      </c>
      <c r="N1637" s="11" t="s">
        <v>29</v>
      </c>
      <c r="O1637" s="11" t="s">
        <v>1202</v>
      </c>
      <c r="P1637" s="11" t="s">
        <v>38</v>
      </c>
      <c r="Q1637" s="20">
        <v>40087.0</v>
      </c>
      <c r="R1637" s="17">
        <f t="shared" si="2"/>
        <v>112.8197599</v>
      </c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>
        <f t="shared" si="8"/>
        <v>1</v>
      </c>
      <c r="AF1637" s="19">
        <f t="shared" si="13"/>
        <v>1</v>
      </c>
      <c r="AG1637" s="9"/>
      <c r="AH1637" s="9"/>
      <c r="AI1637" s="9"/>
    </row>
    <row r="1638" ht="15.0" customHeight="1">
      <c r="A1638" s="11">
        <v>1637.0</v>
      </c>
      <c r="B1638" s="12">
        <f t="shared" ref="B1638:B1645" si="262">DATE(2012,12,31)-1188</f>
        <v>40086</v>
      </c>
      <c r="C1638" s="13">
        <v>2009.0</v>
      </c>
      <c r="D1638" s="11" t="s">
        <v>23</v>
      </c>
      <c r="E1638" s="11">
        <v>29.0</v>
      </c>
      <c r="F1638" s="21" t="s">
        <v>270</v>
      </c>
      <c r="G1638" s="15">
        <v>0.06770316912456856</v>
      </c>
      <c r="H1638" s="11" t="s">
        <v>33</v>
      </c>
      <c r="I1638" s="16">
        <v>2.3920000000000003</v>
      </c>
      <c r="J1638" s="11" t="s">
        <v>1876</v>
      </c>
      <c r="K1638" s="11" t="s">
        <v>61</v>
      </c>
      <c r="L1638" s="11" t="s">
        <v>27</v>
      </c>
      <c r="M1638" s="11" t="s">
        <v>28</v>
      </c>
      <c r="N1638" s="11" t="s">
        <v>42</v>
      </c>
      <c r="O1638" s="11" t="s">
        <v>43</v>
      </c>
      <c r="P1638" s="11" t="s">
        <v>38</v>
      </c>
      <c r="Q1638" s="20">
        <v>40087.0</v>
      </c>
      <c r="R1638" s="17">
        <f t="shared" si="2"/>
        <v>80.46467488</v>
      </c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>
        <f t="shared" si="8"/>
        <v>1</v>
      </c>
      <c r="AF1638" s="19">
        <f t="shared" si="13"/>
        <v>4</v>
      </c>
      <c r="AG1638" s="9"/>
      <c r="AH1638" s="9"/>
      <c r="AI1638" s="9"/>
    </row>
    <row r="1639" ht="15.0" customHeight="1">
      <c r="A1639" s="11">
        <v>1638.0</v>
      </c>
      <c r="B1639" s="12">
        <f t="shared" si="262"/>
        <v>40086</v>
      </c>
      <c r="C1639" s="13">
        <v>2009.0</v>
      </c>
      <c r="D1639" s="11" t="s">
        <v>39</v>
      </c>
      <c r="E1639" s="11">
        <v>47.0</v>
      </c>
      <c r="F1639" s="21" t="s">
        <v>889</v>
      </c>
      <c r="G1639" s="15">
        <v>0.04372913505311083</v>
      </c>
      <c r="H1639" s="11" t="s">
        <v>33</v>
      </c>
      <c r="I1639" s="16">
        <v>7.192</v>
      </c>
      <c r="J1639" s="11" t="s">
        <v>392</v>
      </c>
      <c r="K1639" s="11" t="s">
        <v>65</v>
      </c>
      <c r="L1639" s="11" t="s">
        <v>48</v>
      </c>
      <c r="M1639" s="11" t="s">
        <v>28</v>
      </c>
      <c r="N1639" s="11" t="s">
        <v>62</v>
      </c>
      <c r="O1639" s="11" t="s">
        <v>890</v>
      </c>
      <c r="P1639" s="11" t="s">
        <v>99</v>
      </c>
      <c r="Q1639" s="20">
        <v>40087.0</v>
      </c>
      <c r="R1639" s="17">
        <f t="shared" si="2"/>
        <v>44.09173704</v>
      </c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>
        <f t="shared" si="8"/>
        <v>4</v>
      </c>
      <c r="AF1639" s="19">
        <f t="shared" si="13"/>
        <v>5</v>
      </c>
      <c r="AG1639" s="9"/>
      <c r="AH1639" s="9"/>
      <c r="AI1639" s="9"/>
    </row>
    <row r="1640" ht="15.0" customHeight="1">
      <c r="A1640" s="11">
        <v>1639.0</v>
      </c>
      <c r="B1640" s="12">
        <f t="shared" si="262"/>
        <v>40086</v>
      </c>
      <c r="C1640" s="13">
        <v>2009.0</v>
      </c>
      <c r="D1640" s="11" t="s">
        <v>39</v>
      </c>
      <c r="E1640" s="11">
        <v>29.0</v>
      </c>
      <c r="F1640" s="21" t="s">
        <v>158</v>
      </c>
      <c r="G1640" s="15">
        <v>0.09198104265402837</v>
      </c>
      <c r="H1640" s="11" t="s">
        <v>33</v>
      </c>
      <c r="I1640" s="16">
        <v>5.992000000000001</v>
      </c>
      <c r="J1640" s="11" t="s">
        <v>1877</v>
      </c>
      <c r="K1640" s="11" t="s">
        <v>26</v>
      </c>
      <c r="L1640" s="11" t="s">
        <v>48</v>
      </c>
      <c r="M1640" s="11" t="s">
        <v>28</v>
      </c>
      <c r="N1640" s="11" t="s">
        <v>56</v>
      </c>
      <c r="O1640" s="11" t="s">
        <v>1042</v>
      </c>
      <c r="P1640" s="11" t="s">
        <v>38</v>
      </c>
      <c r="Q1640" s="20">
        <v>40087.0</v>
      </c>
      <c r="R1640" s="17">
        <f t="shared" si="2"/>
        <v>17.62283192</v>
      </c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>
        <f t="shared" si="8"/>
        <v>4</v>
      </c>
      <c r="AF1640" s="19">
        <f t="shared" si="13"/>
        <v>1</v>
      </c>
      <c r="AG1640" s="9"/>
      <c r="AH1640" s="9"/>
      <c r="AI1640" s="9"/>
    </row>
    <row r="1641" ht="15.0" customHeight="1">
      <c r="A1641" s="11">
        <v>1640.0</v>
      </c>
      <c r="B1641" s="12">
        <f t="shared" si="262"/>
        <v>40086</v>
      </c>
      <c r="C1641" s="13">
        <v>2009.0</v>
      </c>
      <c r="D1641" s="11" t="s">
        <v>102</v>
      </c>
      <c r="E1641" s="11">
        <v>47.0</v>
      </c>
      <c r="F1641" s="21" t="s">
        <v>1878</v>
      </c>
      <c r="G1641" s="15">
        <v>0.07409267563527651</v>
      </c>
      <c r="H1641" s="11" t="s">
        <v>33</v>
      </c>
      <c r="I1641" s="16">
        <v>4.216</v>
      </c>
      <c r="J1641" s="11" t="s">
        <v>76</v>
      </c>
      <c r="K1641" s="11" t="s">
        <v>61</v>
      </c>
      <c r="L1641" s="11" t="s">
        <v>48</v>
      </c>
      <c r="M1641" s="11" t="s">
        <v>28</v>
      </c>
      <c r="N1641" s="11" t="s">
        <v>42</v>
      </c>
      <c r="O1641" s="11" t="s">
        <v>1879</v>
      </c>
      <c r="P1641" s="11" t="s">
        <v>38</v>
      </c>
      <c r="Q1641" s="20">
        <v>40087.0</v>
      </c>
      <c r="R1641" s="17">
        <f t="shared" si="2"/>
        <v>22.94768713</v>
      </c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>
        <f t="shared" si="8"/>
        <v>4</v>
      </c>
      <c r="AF1641" s="19">
        <f t="shared" si="13"/>
        <v>4</v>
      </c>
      <c r="AG1641" s="9"/>
      <c r="AH1641" s="9"/>
      <c r="AI1641" s="9"/>
    </row>
    <row r="1642" ht="15.0" customHeight="1">
      <c r="A1642" s="11">
        <v>1641.0</v>
      </c>
      <c r="B1642" s="12">
        <f t="shared" si="262"/>
        <v>40086</v>
      </c>
      <c r="C1642" s="13">
        <v>2009.0</v>
      </c>
      <c r="D1642" s="11" t="s">
        <v>102</v>
      </c>
      <c r="E1642" s="11">
        <v>50.0</v>
      </c>
      <c r="F1642" s="21" t="s">
        <v>151</v>
      </c>
      <c r="G1642" s="15">
        <v>0.10857775318206961</v>
      </c>
      <c r="H1642" s="11" t="s">
        <v>33</v>
      </c>
      <c r="I1642" s="16">
        <v>1.08</v>
      </c>
      <c r="J1642" s="11" t="s">
        <v>76</v>
      </c>
      <c r="K1642" s="11" t="s">
        <v>61</v>
      </c>
      <c r="L1642" s="11" t="s">
        <v>48</v>
      </c>
      <c r="M1642" s="11" t="s">
        <v>28</v>
      </c>
      <c r="N1642" s="11" t="s">
        <v>216</v>
      </c>
      <c r="O1642" s="11" t="s">
        <v>217</v>
      </c>
      <c r="P1642" s="11" t="s">
        <v>58</v>
      </c>
      <c r="Q1642" s="20">
        <v>40088.0</v>
      </c>
      <c r="R1642" s="17">
        <f t="shared" si="2"/>
        <v>17.48970448</v>
      </c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>
        <f t="shared" si="8"/>
        <v>4</v>
      </c>
      <c r="AF1642" s="19">
        <f t="shared" si="13"/>
        <v>4</v>
      </c>
      <c r="AG1642" s="9"/>
      <c r="AH1642" s="9"/>
      <c r="AI1642" s="9"/>
    </row>
    <row r="1643" ht="15.0" customHeight="1">
      <c r="A1643" s="11">
        <v>1642.0</v>
      </c>
      <c r="B1643" s="12">
        <f t="shared" si="262"/>
        <v>40086</v>
      </c>
      <c r="C1643" s="13">
        <v>2009.0</v>
      </c>
      <c r="D1643" s="11" t="s">
        <v>44</v>
      </c>
      <c r="E1643" s="11">
        <v>50.0</v>
      </c>
      <c r="F1643" s="21" t="s">
        <v>178</v>
      </c>
      <c r="G1643" s="15">
        <v>0.030756485208143468</v>
      </c>
      <c r="H1643" s="11" t="s">
        <v>33</v>
      </c>
      <c r="I1643" s="16">
        <v>4.208</v>
      </c>
      <c r="J1643" s="11" t="s">
        <v>604</v>
      </c>
      <c r="K1643" s="11" t="s">
        <v>83</v>
      </c>
      <c r="L1643" s="11" t="s">
        <v>27</v>
      </c>
      <c r="M1643" s="11" t="s">
        <v>66</v>
      </c>
      <c r="N1643" s="11" t="s">
        <v>80</v>
      </c>
      <c r="O1643" s="11" t="s">
        <v>912</v>
      </c>
      <c r="P1643" s="11" t="s">
        <v>38</v>
      </c>
      <c r="Q1643" s="20">
        <v>40088.0</v>
      </c>
      <c r="R1643" s="17">
        <f t="shared" si="2"/>
        <v>101.4720421</v>
      </c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>
        <f t="shared" si="8"/>
        <v>1</v>
      </c>
      <c r="AF1643" s="19" t="b">
        <f t="shared" si="13"/>
        <v>0</v>
      </c>
      <c r="AG1643" s="9"/>
      <c r="AH1643" s="9"/>
      <c r="AI1643" s="9"/>
    </row>
    <row r="1644" ht="15.0" customHeight="1">
      <c r="A1644" s="11">
        <v>1643.0</v>
      </c>
      <c r="B1644" s="12">
        <f t="shared" si="262"/>
        <v>40086</v>
      </c>
      <c r="C1644" s="13">
        <v>2009.0</v>
      </c>
      <c r="D1644" s="11" t="s">
        <v>32</v>
      </c>
      <c r="E1644" s="11">
        <v>28.0</v>
      </c>
      <c r="F1644" s="21" t="s">
        <v>192</v>
      </c>
      <c r="G1644" s="15">
        <v>0.07431190024496716</v>
      </c>
      <c r="H1644" s="11" t="s">
        <v>33</v>
      </c>
      <c r="I1644" s="16">
        <v>15.991999999999999</v>
      </c>
      <c r="J1644" s="11" t="s">
        <v>535</v>
      </c>
      <c r="K1644" s="11" t="s">
        <v>35</v>
      </c>
      <c r="L1644" s="11" t="s">
        <v>48</v>
      </c>
      <c r="M1644" s="11" t="s">
        <v>28</v>
      </c>
      <c r="N1644" s="11" t="s">
        <v>42</v>
      </c>
      <c r="O1644" s="11" t="s">
        <v>194</v>
      </c>
      <c r="P1644" s="11" t="s">
        <v>38</v>
      </c>
      <c r="Q1644" s="20">
        <v>40088.0</v>
      </c>
      <c r="R1644" s="17">
        <f t="shared" si="2"/>
        <v>1867.398009</v>
      </c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>
        <f t="shared" si="8"/>
        <v>4</v>
      </c>
      <c r="AF1644" s="19">
        <f t="shared" si="13"/>
        <v>2</v>
      </c>
      <c r="AG1644" s="9"/>
      <c r="AH1644" s="9"/>
      <c r="AI1644" s="9"/>
    </row>
    <row r="1645" ht="15.0" customHeight="1">
      <c r="A1645" s="11">
        <v>1644.0</v>
      </c>
      <c r="B1645" s="12">
        <f t="shared" si="262"/>
        <v>40086</v>
      </c>
      <c r="C1645" s="13">
        <v>2009.0</v>
      </c>
      <c r="D1645" s="11" t="s">
        <v>32</v>
      </c>
      <c r="E1645" s="11">
        <v>10.0</v>
      </c>
      <c r="F1645" s="21" t="s">
        <v>112</v>
      </c>
      <c r="G1645" s="15">
        <v>0.024816077094840742</v>
      </c>
      <c r="H1645" s="11" t="s">
        <v>45</v>
      </c>
      <c r="I1645" s="16">
        <v>50.352000000000004</v>
      </c>
      <c r="J1645" s="11" t="s">
        <v>535</v>
      </c>
      <c r="K1645" s="11" t="s">
        <v>35</v>
      </c>
      <c r="L1645" s="11" t="s">
        <v>48</v>
      </c>
      <c r="M1645" s="11" t="s">
        <v>49</v>
      </c>
      <c r="N1645" s="11" t="s">
        <v>50</v>
      </c>
      <c r="O1645" s="11" t="s">
        <v>1880</v>
      </c>
      <c r="P1645" s="11" t="s">
        <v>52</v>
      </c>
      <c r="Q1645" s="20">
        <v>40088.0</v>
      </c>
      <c r="R1645" s="17">
        <f t="shared" si="2"/>
        <v>61.77595115</v>
      </c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>
        <f t="shared" si="8"/>
        <v>4</v>
      </c>
      <c r="AF1645" s="19">
        <f t="shared" si="13"/>
        <v>2</v>
      </c>
      <c r="AG1645" s="9"/>
      <c r="AH1645" s="9"/>
      <c r="AI1645" s="9"/>
    </row>
    <row r="1646" ht="15.0" customHeight="1">
      <c r="A1646" s="11">
        <v>1645.0</v>
      </c>
      <c r="B1646" s="12">
        <f t="shared" ref="B1646:B1652" si="263">DATE(2012,12,31)-1187</f>
        <v>40087</v>
      </c>
      <c r="C1646" s="13">
        <v>2009.0</v>
      </c>
      <c r="D1646" s="11" t="s">
        <v>23</v>
      </c>
      <c r="E1646" s="11">
        <v>50.0</v>
      </c>
      <c r="F1646" s="21" t="s">
        <v>1201</v>
      </c>
      <c r="G1646" s="15">
        <v>0.03006424679443724</v>
      </c>
      <c r="H1646" s="11" t="s">
        <v>33</v>
      </c>
      <c r="I1646" s="16">
        <v>15.991999999999999</v>
      </c>
      <c r="J1646" s="11" t="s">
        <v>1123</v>
      </c>
      <c r="K1646" s="11" t="s">
        <v>61</v>
      </c>
      <c r="L1646" s="11" t="s">
        <v>48</v>
      </c>
      <c r="M1646" s="11" t="s">
        <v>28</v>
      </c>
      <c r="N1646" s="11" t="s">
        <v>29</v>
      </c>
      <c r="O1646" s="11" t="s">
        <v>1202</v>
      </c>
      <c r="P1646" s="11" t="s">
        <v>38</v>
      </c>
      <c r="Q1646" s="20">
        <v>40089.0</v>
      </c>
      <c r="R1646" s="17">
        <f t="shared" si="2"/>
        <v>215.1395095</v>
      </c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>
        <f t="shared" si="8"/>
        <v>4</v>
      </c>
      <c r="AF1646" s="19">
        <f t="shared" si="13"/>
        <v>4</v>
      </c>
      <c r="AG1646" s="9"/>
      <c r="AH1646" s="9"/>
      <c r="AI1646" s="9"/>
    </row>
    <row r="1647" ht="15.0" customHeight="1">
      <c r="A1647" s="11">
        <v>1646.0</v>
      </c>
      <c r="B1647" s="12">
        <f t="shared" si="263"/>
        <v>40087</v>
      </c>
      <c r="C1647" s="13">
        <v>2009.0</v>
      </c>
      <c r="D1647" s="11" t="s">
        <v>102</v>
      </c>
      <c r="E1647" s="11">
        <v>35.0</v>
      </c>
      <c r="F1647" s="21" t="s">
        <v>1881</v>
      </c>
      <c r="G1647" s="15">
        <v>0.07669824930791112</v>
      </c>
      <c r="H1647" s="11" t="s">
        <v>24</v>
      </c>
      <c r="I1647" s="16">
        <v>15.991999999999999</v>
      </c>
      <c r="J1647" s="11" t="s">
        <v>800</v>
      </c>
      <c r="K1647" s="11" t="s">
        <v>65</v>
      </c>
      <c r="L1647" s="11" t="s">
        <v>41</v>
      </c>
      <c r="M1647" s="11" t="s">
        <v>28</v>
      </c>
      <c r="N1647" s="11" t="s">
        <v>42</v>
      </c>
      <c r="O1647" s="11" t="s">
        <v>1882</v>
      </c>
      <c r="P1647" s="11" t="s">
        <v>38</v>
      </c>
      <c r="Q1647" s="20">
        <v>40089.0</v>
      </c>
      <c r="R1647" s="17">
        <f t="shared" si="2"/>
        <v>181.6208408</v>
      </c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>
        <f t="shared" si="8"/>
        <v>3</v>
      </c>
      <c r="AF1647" s="19">
        <f t="shared" si="13"/>
        <v>5</v>
      </c>
      <c r="AG1647" s="9"/>
      <c r="AH1647" s="9"/>
      <c r="AI1647" s="9"/>
    </row>
    <row r="1648" ht="15.0" customHeight="1">
      <c r="A1648" s="11">
        <v>1647.0</v>
      </c>
      <c r="B1648" s="12">
        <f t="shared" si="263"/>
        <v>40087</v>
      </c>
      <c r="C1648" s="13">
        <v>2009.0</v>
      </c>
      <c r="D1648" s="11" t="s">
        <v>44</v>
      </c>
      <c r="E1648" s="11">
        <v>42.0</v>
      </c>
      <c r="F1648" s="21" t="s">
        <v>144</v>
      </c>
      <c r="G1648" s="15">
        <v>0.1318267419962335</v>
      </c>
      <c r="H1648" s="11" t="s">
        <v>33</v>
      </c>
      <c r="I1648" s="16">
        <v>4.0</v>
      </c>
      <c r="J1648" s="11" t="s">
        <v>1444</v>
      </c>
      <c r="K1648" s="11" t="s">
        <v>61</v>
      </c>
      <c r="L1648" s="11" t="s">
        <v>36</v>
      </c>
      <c r="M1648" s="11" t="s">
        <v>28</v>
      </c>
      <c r="N1648" s="11" t="s">
        <v>442</v>
      </c>
      <c r="O1648" s="11" t="s">
        <v>1883</v>
      </c>
      <c r="P1648" s="11" t="s">
        <v>58</v>
      </c>
      <c r="Q1648" s="20">
        <v>40089.0</v>
      </c>
      <c r="R1648" s="17">
        <f t="shared" si="2"/>
        <v>12.15442561</v>
      </c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>
        <f t="shared" si="8"/>
        <v>2</v>
      </c>
      <c r="AF1648" s="19">
        <f t="shared" si="13"/>
        <v>4</v>
      </c>
      <c r="AG1648" s="9"/>
      <c r="AH1648" s="9"/>
      <c r="AI1648" s="9"/>
    </row>
    <row r="1649" ht="15.0" customHeight="1">
      <c r="A1649" s="11">
        <v>1648.0</v>
      </c>
      <c r="B1649" s="12">
        <f t="shared" si="263"/>
        <v>40087</v>
      </c>
      <c r="C1649" s="13">
        <v>2009.0</v>
      </c>
      <c r="D1649" s="11" t="s">
        <v>44</v>
      </c>
      <c r="E1649" s="11">
        <v>8.0</v>
      </c>
      <c r="F1649" s="21" t="s">
        <v>486</v>
      </c>
      <c r="G1649" s="15">
        <v>0.07756521739130445</v>
      </c>
      <c r="H1649" s="11" t="s">
        <v>33</v>
      </c>
      <c r="I1649" s="16">
        <v>1.6320000000000001</v>
      </c>
      <c r="J1649" s="11" t="s">
        <v>1444</v>
      </c>
      <c r="K1649" s="11" t="s">
        <v>61</v>
      </c>
      <c r="L1649" s="11" t="s">
        <v>36</v>
      </c>
      <c r="M1649" s="11" t="s">
        <v>28</v>
      </c>
      <c r="N1649" s="11" t="s">
        <v>56</v>
      </c>
      <c r="O1649" s="11" t="s">
        <v>1340</v>
      </c>
      <c r="P1649" s="11" t="s">
        <v>58</v>
      </c>
      <c r="Q1649" s="20">
        <v>40089.0</v>
      </c>
      <c r="R1649" s="17">
        <f t="shared" si="2"/>
        <v>3.291247304</v>
      </c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>
        <f t="shared" si="8"/>
        <v>2</v>
      </c>
      <c r="AF1649" s="19">
        <f t="shared" si="13"/>
        <v>4</v>
      </c>
      <c r="AG1649" s="9"/>
      <c r="AH1649" s="9"/>
      <c r="AI1649" s="9"/>
    </row>
    <row r="1650" ht="15.0" customHeight="1">
      <c r="A1650" s="11">
        <v>1649.0</v>
      </c>
      <c r="B1650" s="12">
        <f t="shared" si="263"/>
        <v>40087</v>
      </c>
      <c r="C1650" s="13">
        <v>2009.0</v>
      </c>
      <c r="D1650" s="11" t="s">
        <v>32</v>
      </c>
      <c r="E1650" s="11">
        <v>46.0</v>
      </c>
      <c r="F1650" s="21" t="s">
        <v>158</v>
      </c>
      <c r="G1650" s="15">
        <v>0.06426351771286498</v>
      </c>
      <c r="H1650" s="11" t="s">
        <v>33</v>
      </c>
      <c r="I1650" s="16">
        <v>6.720000000000001</v>
      </c>
      <c r="J1650" s="11" t="s">
        <v>754</v>
      </c>
      <c r="K1650" s="11" t="s">
        <v>26</v>
      </c>
      <c r="L1650" s="11" t="s">
        <v>27</v>
      </c>
      <c r="M1650" s="11" t="s">
        <v>28</v>
      </c>
      <c r="N1650" s="11" t="s">
        <v>56</v>
      </c>
      <c r="O1650" s="11" t="s">
        <v>1260</v>
      </c>
      <c r="P1650" s="11" t="s">
        <v>38</v>
      </c>
      <c r="Q1650" s="20">
        <v>40089.0</v>
      </c>
      <c r="R1650" s="17">
        <f t="shared" si="2"/>
        <v>19.35103045</v>
      </c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>
        <f t="shared" si="8"/>
        <v>1</v>
      </c>
      <c r="AF1650" s="19">
        <f t="shared" si="13"/>
        <v>1</v>
      </c>
      <c r="AG1650" s="9"/>
      <c r="AH1650" s="9"/>
      <c r="AI1650" s="9"/>
    </row>
    <row r="1651" ht="15.0" customHeight="1">
      <c r="A1651" s="11">
        <v>1650.0</v>
      </c>
      <c r="B1651" s="12">
        <f t="shared" si="263"/>
        <v>40087</v>
      </c>
      <c r="C1651" s="13">
        <v>2009.0</v>
      </c>
      <c r="D1651" s="11" t="s">
        <v>32</v>
      </c>
      <c r="E1651" s="11">
        <v>5.0</v>
      </c>
      <c r="F1651" s="21" t="s">
        <v>933</v>
      </c>
      <c r="G1651" s="15">
        <v>0.05215646940822474</v>
      </c>
      <c r="H1651" s="11" t="s">
        <v>33</v>
      </c>
      <c r="I1651" s="16">
        <v>4.0</v>
      </c>
      <c r="J1651" s="11" t="s">
        <v>754</v>
      </c>
      <c r="K1651" s="11" t="s">
        <v>35</v>
      </c>
      <c r="L1651" s="11" t="s">
        <v>27</v>
      </c>
      <c r="M1651" s="11" t="s">
        <v>66</v>
      </c>
      <c r="N1651" s="11" t="s">
        <v>80</v>
      </c>
      <c r="O1651" s="11" t="s">
        <v>1023</v>
      </c>
      <c r="P1651" s="11" t="s">
        <v>99</v>
      </c>
      <c r="Q1651" s="20">
        <v>40090.0</v>
      </c>
      <c r="R1651" s="17">
        <f t="shared" si="2"/>
        <v>14.78635908</v>
      </c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>
        <f t="shared" si="8"/>
        <v>1</v>
      </c>
      <c r="AF1651" s="19">
        <f t="shared" si="13"/>
        <v>2</v>
      </c>
      <c r="AG1651" s="9"/>
      <c r="AH1651" s="9"/>
      <c r="AI1651" s="9"/>
    </row>
    <row r="1652" ht="15.0" customHeight="1">
      <c r="A1652" s="11">
        <v>1651.0</v>
      </c>
      <c r="B1652" s="12">
        <f t="shared" si="263"/>
        <v>40087</v>
      </c>
      <c r="C1652" s="13">
        <v>2009.0</v>
      </c>
      <c r="D1652" s="11" t="s">
        <v>39</v>
      </c>
      <c r="E1652" s="11">
        <v>10.0</v>
      </c>
      <c r="F1652" s="21" t="s">
        <v>369</v>
      </c>
      <c r="G1652" s="15">
        <v>0.022131068738984155</v>
      </c>
      <c r="H1652" s="11" t="s">
        <v>45</v>
      </c>
      <c r="I1652" s="16">
        <v>29.288</v>
      </c>
      <c r="J1652" s="11" t="s">
        <v>1884</v>
      </c>
      <c r="K1652" s="11" t="s">
        <v>117</v>
      </c>
      <c r="L1652" s="11" t="s">
        <v>36</v>
      </c>
      <c r="M1652" s="11" t="s">
        <v>49</v>
      </c>
      <c r="N1652" s="11" t="s">
        <v>156</v>
      </c>
      <c r="O1652" s="11" t="s">
        <v>1885</v>
      </c>
      <c r="P1652" s="11" t="s">
        <v>87</v>
      </c>
      <c r="Q1652" s="20">
        <v>40090.0</v>
      </c>
      <c r="R1652" s="17">
        <f t="shared" si="2"/>
        <v>13.50632568</v>
      </c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>
        <f t="shared" si="8"/>
        <v>2</v>
      </c>
      <c r="AF1652" s="19" t="b">
        <f t="shared" si="13"/>
        <v>0</v>
      </c>
      <c r="AG1652" s="9"/>
      <c r="AH1652" s="9"/>
      <c r="AI1652" s="9"/>
    </row>
    <row r="1653" ht="15.0" customHeight="1">
      <c r="A1653" s="11">
        <v>1652.0</v>
      </c>
      <c r="B1653" s="12">
        <f t="shared" ref="B1653:B1656" si="264">DATE(2012,12,31)-1186</f>
        <v>40088</v>
      </c>
      <c r="C1653" s="13">
        <v>2009.0</v>
      </c>
      <c r="D1653" s="11" t="s">
        <v>23</v>
      </c>
      <c r="E1653" s="11">
        <v>27.0</v>
      </c>
      <c r="F1653" s="21" t="s">
        <v>740</v>
      </c>
      <c r="G1653" s="15">
        <v>0.03068353348839421</v>
      </c>
      <c r="H1653" s="11" t="s">
        <v>45</v>
      </c>
      <c r="I1653" s="16">
        <v>43.93600000000001</v>
      </c>
      <c r="J1653" s="11" t="s">
        <v>1886</v>
      </c>
      <c r="K1653" s="11" t="s">
        <v>61</v>
      </c>
      <c r="L1653" s="11" t="s">
        <v>48</v>
      </c>
      <c r="M1653" s="11" t="s">
        <v>49</v>
      </c>
      <c r="N1653" s="11" t="s">
        <v>156</v>
      </c>
      <c r="O1653" s="11" t="s">
        <v>1070</v>
      </c>
      <c r="P1653" s="11" t="s">
        <v>87</v>
      </c>
      <c r="Q1653" s="20">
        <v>40090.0</v>
      </c>
      <c r="R1653" s="17">
        <f t="shared" si="2"/>
        <v>250.6303428</v>
      </c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>
        <f t="shared" si="8"/>
        <v>4</v>
      </c>
      <c r="AF1653" s="19">
        <f t="shared" si="13"/>
        <v>4</v>
      </c>
      <c r="AG1653" s="9"/>
      <c r="AH1653" s="9"/>
      <c r="AI1653" s="9"/>
    </row>
    <row r="1654" ht="15.0" customHeight="1">
      <c r="A1654" s="11">
        <v>1653.0</v>
      </c>
      <c r="B1654" s="12">
        <f t="shared" si="264"/>
        <v>40088</v>
      </c>
      <c r="C1654" s="13">
        <v>2009.0</v>
      </c>
      <c r="D1654" s="11" t="s">
        <v>23</v>
      </c>
      <c r="E1654" s="11">
        <v>4.0</v>
      </c>
      <c r="F1654" s="21" t="s">
        <v>1127</v>
      </c>
      <c r="G1654" s="15">
        <v>0.02018629968950046</v>
      </c>
      <c r="H1654" s="11" t="s">
        <v>45</v>
      </c>
      <c r="I1654" s="16">
        <v>23.76</v>
      </c>
      <c r="J1654" s="11" t="s">
        <v>1886</v>
      </c>
      <c r="K1654" s="11" t="s">
        <v>61</v>
      </c>
      <c r="L1654" s="11" t="s">
        <v>48</v>
      </c>
      <c r="M1654" s="11" t="s">
        <v>66</v>
      </c>
      <c r="N1654" s="11" t="s">
        <v>69</v>
      </c>
      <c r="O1654" s="11" t="s">
        <v>1128</v>
      </c>
      <c r="P1654" s="11" t="s">
        <v>52</v>
      </c>
      <c r="Q1654" s="20">
        <v>40090.0</v>
      </c>
      <c r="R1654" s="17">
        <f t="shared" si="2"/>
        <v>206.3879578</v>
      </c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>
        <f t="shared" si="8"/>
        <v>4</v>
      </c>
      <c r="AF1654" s="19">
        <f t="shared" si="13"/>
        <v>4</v>
      </c>
      <c r="AG1654" s="9"/>
      <c r="AH1654" s="9"/>
      <c r="AI1654" s="9"/>
    </row>
    <row r="1655" ht="15.0" customHeight="1">
      <c r="A1655" s="11">
        <v>1654.0</v>
      </c>
      <c r="B1655" s="12">
        <f t="shared" si="264"/>
        <v>40088</v>
      </c>
      <c r="C1655" s="13">
        <v>2009.0</v>
      </c>
      <c r="D1655" s="11" t="s">
        <v>23</v>
      </c>
      <c r="E1655" s="11">
        <v>27.0</v>
      </c>
      <c r="F1655" s="21" t="s">
        <v>306</v>
      </c>
      <c r="G1655" s="15">
        <v>0.03729996475149804</v>
      </c>
      <c r="H1655" s="11" t="s">
        <v>33</v>
      </c>
      <c r="I1655" s="16">
        <v>8.936</v>
      </c>
      <c r="J1655" s="11" t="s">
        <v>528</v>
      </c>
      <c r="K1655" s="11" t="s">
        <v>83</v>
      </c>
      <c r="L1655" s="11" t="s">
        <v>48</v>
      </c>
      <c r="M1655" s="11" t="s">
        <v>49</v>
      </c>
      <c r="N1655" s="11" t="s">
        <v>73</v>
      </c>
      <c r="O1655" s="11" t="s">
        <v>125</v>
      </c>
      <c r="P1655" s="11" t="s">
        <v>31</v>
      </c>
      <c r="Q1655" s="20">
        <v>40090.0</v>
      </c>
      <c r="R1655" s="17">
        <f t="shared" si="2"/>
        <v>20.37458355</v>
      </c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>
        <f t="shared" si="8"/>
        <v>4</v>
      </c>
      <c r="AF1655" s="19" t="b">
        <f t="shared" si="13"/>
        <v>0</v>
      </c>
      <c r="AG1655" s="9"/>
      <c r="AH1655" s="9"/>
      <c r="AI1655" s="9"/>
    </row>
    <row r="1656" ht="15.0" customHeight="1">
      <c r="A1656" s="11">
        <v>1655.0</v>
      </c>
      <c r="B1656" s="12">
        <f t="shared" si="264"/>
        <v>40088</v>
      </c>
      <c r="C1656" s="13">
        <v>2009.0</v>
      </c>
      <c r="D1656" s="11" t="s">
        <v>39</v>
      </c>
      <c r="E1656" s="11">
        <v>43.0</v>
      </c>
      <c r="F1656" s="21" t="s">
        <v>229</v>
      </c>
      <c r="G1656" s="15">
        <v>0.04845405219188702</v>
      </c>
      <c r="H1656" s="11" t="s">
        <v>33</v>
      </c>
      <c r="I1656" s="16">
        <v>15.991999999999999</v>
      </c>
      <c r="J1656" s="11" t="s">
        <v>1887</v>
      </c>
      <c r="K1656" s="11" t="s">
        <v>61</v>
      </c>
      <c r="L1656" s="11" t="s">
        <v>36</v>
      </c>
      <c r="M1656" s="11" t="s">
        <v>28</v>
      </c>
      <c r="N1656" s="11" t="s">
        <v>29</v>
      </c>
      <c r="O1656" s="11" t="s">
        <v>230</v>
      </c>
      <c r="P1656" s="11" t="s">
        <v>38</v>
      </c>
      <c r="Q1656" s="20">
        <v>40090.0</v>
      </c>
      <c r="R1656" s="17">
        <f t="shared" si="2"/>
        <v>337.2640426</v>
      </c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>
        <f t="shared" si="8"/>
        <v>2</v>
      </c>
      <c r="AF1656" s="19">
        <f t="shared" si="13"/>
        <v>4</v>
      </c>
      <c r="AG1656" s="9"/>
      <c r="AH1656" s="9"/>
      <c r="AI1656" s="9"/>
    </row>
    <row r="1657" ht="15.0" customHeight="1">
      <c r="A1657" s="11">
        <v>1656.0</v>
      </c>
      <c r="B1657" s="12">
        <f t="shared" ref="B1657:B1670" si="265">DATE(2012,12,31)-1184</f>
        <v>40090</v>
      </c>
      <c r="C1657" s="13">
        <v>2009.0</v>
      </c>
      <c r="D1657" s="11" t="s">
        <v>23</v>
      </c>
      <c r="E1657" s="11">
        <v>19.0</v>
      </c>
      <c r="F1657" s="21" t="s">
        <v>619</v>
      </c>
      <c r="G1657" s="15">
        <v>0.028740764796622627</v>
      </c>
      <c r="H1657" s="11" t="s">
        <v>33</v>
      </c>
      <c r="I1657" s="16">
        <v>39.2</v>
      </c>
      <c r="J1657" s="11" t="s">
        <v>1888</v>
      </c>
      <c r="K1657" s="11" t="s">
        <v>26</v>
      </c>
      <c r="L1657" s="11" t="s">
        <v>36</v>
      </c>
      <c r="M1657" s="11" t="s">
        <v>28</v>
      </c>
      <c r="N1657" s="11" t="s">
        <v>197</v>
      </c>
      <c r="O1657" s="11" t="s">
        <v>620</v>
      </c>
      <c r="P1657" s="11" t="s">
        <v>31</v>
      </c>
      <c r="Q1657" s="20">
        <v>40091.0</v>
      </c>
      <c r="R1657" s="17">
        <f t="shared" si="2"/>
        <v>34.38257693</v>
      </c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>
        <f t="shared" si="8"/>
        <v>2</v>
      </c>
      <c r="AF1657" s="19">
        <f t="shared" si="13"/>
        <v>1</v>
      </c>
      <c r="AG1657" s="9"/>
      <c r="AH1657" s="9"/>
      <c r="AI1657" s="9"/>
    </row>
    <row r="1658" ht="15.0" customHeight="1">
      <c r="A1658" s="11">
        <v>1657.0</v>
      </c>
      <c r="B1658" s="12">
        <f t="shared" si="265"/>
        <v>40090</v>
      </c>
      <c r="C1658" s="13">
        <v>2009.0</v>
      </c>
      <c r="D1658" s="11" t="s">
        <v>23</v>
      </c>
      <c r="E1658" s="11">
        <v>20.0</v>
      </c>
      <c r="F1658" s="21" t="s">
        <v>1428</v>
      </c>
      <c r="G1658" s="15">
        <v>0.019828044010251136</v>
      </c>
      <c r="H1658" s="11" t="s">
        <v>33</v>
      </c>
      <c r="I1658" s="16">
        <v>15.991999999999999</v>
      </c>
      <c r="J1658" s="11" t="s">
        <v>1888</v>
      </c>
      <c r="K1658" s="11" t="s">
        <v>26</v>
      </c>
      <c r="L1658" s="11" t="s">
        <v>36</v>
      </c>
      <c r="M1658" s="11" t="s">
        <v>28</v>
      </c>
      <c r="N1658" s="11" t="s">
        <v>42</v>
      </c>
      <c r="O1658" s="11" t="s">
        <v>1429</v>
      </c>
      <c r="P1658" s="11" t="s">
        <v>38</v>
      </c>
      <c r="Q1658" s="20">
        <v>40091.0</v>
      </c>
      <c r="R1658" s="17">
        <f t="shared" si="2"/>
        <v>504.3063127</v>
      </c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>
        <f t="shared" si="8"/>
        <v>2</v>
      </c>
      <c r="AF1658" s="19">
        <f t="shared" si="13"/>
        <v>1</v>
      </c>
      <c r="AG1658" s="9"/>
      <c r="AH1658" s="9"/>
      <c r="AI1658" s="9"/>
    </row>
    <row r="1659" ht="15.0" customHeight="1">
      <c r="A1659" s="11">
        <v>1658.0</v>
      </c>
      <c r="B1659" s="12">
        <f t="shared" si="265"/>
        <v>40090</v>
      </c>
      <c r="C1659" s="13">
        <v>2009.0</v>
      </c>
      <c r="D1659" s="11" t="s">
        <v>23</v>
      </c>
      <c r="E1659" s="11">
        <v>43.0</v>
      </c>
      <c r="F1659" s="21" t="s">
        <v>100</v>
      </c>
      <c r="G1659" s="15">
        <v>0.048218866141055604</v>
      </c>
      <c r="H1659" s="11" t="s">
        <v>24</v>
      </c>
      <c r="I1659" s="16">
        <v>7.192</v>
      </c>
      <c r="J1659" s="11" t="s">
        <v>1888</v>
      </c>
      <c r="K1659" s="11" t="s">
        <v>26</v>
      </c>
      <c r="L1659" s="11" t="s">
        <v>36</v>
      </c>
      <c r="M1659" s="11" t="s">
        <v>66</v>
      </c>
      <c r="N1659" s="11" t="s">
        <v>80</v>
      </c>
      <c r="O1659" s="11" t="s">
        <v>586</v>
      </c>
      <c r="P1659" s="11" t="s">
        <v>38</v>
      </c>
      <c r="Q1659" s="20">
        <v>40091.0</v>
      </c>
      <c r="R1659" s="17">
        <f t="shared" si="2"/>
        <v>427.2621652</v>
      </c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>
        <f t="shared" si="8"/>
        <v>2</v>
      </c>
      <c r="AF1659" s="19">
        <f t="shared" si="13"/>
        <v>1</v>
      </c>
      <c r="AG1659" s="9"/>
      <c r="AH1659" s="9"/>
      <c r="AI1659" s="9"/>
    </row>
    <row r="1660" ht="15.0" customHeight="1">
      <c r="A1660" s="11">
        <v>1659.0</v>
      </c>
      <c r="B1660" s="12">
        <f t="shared" si="265"/>
        <v>40090</v>
      </c>
      <c r="C1660" s="13">
        <v>2009.0</v>
      </c>
      <c r="D1660" s="11" t="s">
        <v>102</v>
      </c>
      <c r="E1660" s="11">
        <v>24.0</v>
      </c>
      <c r="F1660" s="21" t="s">
        <v>1538</v>
      </c>
      <c r="G1660" s="15">
        <v>0.0220354430379747</v>
      </c>
      <c r="H1660" s="11" t="s">
        <v>33</v>
      </c>
      <c r="I1660" s="16">
        <v>11.584000000000001</v>
      </c>
      <c r="J1660" s="11" t="s">
        <v>370</v>
      </c>
      <c r="K1660" s="11" t="s">
        <v>65</v>
      </c>
      <c r="L1660" s="11" t="s">
        <v>41</v>
      </c>
      <c r="M1660" s="11" t="s">
        <v>49</v>
      </c>
      <c r="N1660" s="11" t="s">
        <v>73</v>
      </c>
      <c r="O1660" s="11" t="s">
        <v>1539</v>
      </c>
      <c r="P1660" s="11" t="s">
        <v>38</v>
      </c>
      <c r="Q1660" s="20">
        <v>40092.0</v>
      </c>
      <c r="R1660" s="17">
        <f t="shared" si="2"/>
        <v>34.04881402</v>
      </c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>
        <f t="shared" si="8"/>
        <v>3</v>
      </c>
      <c r="AF1660" s="19">
        <f t="shared" si="13"/>
        <v>5</v>
      </c>
      <c r="AG1660" s="9"/>
      <c r="AH1660" s="9"/>
      <c r="AI1660" s="9"/>
    </row>
    <row r="1661" ht="15.0" customHeight="1">
      <c r="A1661" s="11">
        <v>1660.0</v>
      </c>
      <c r="B1661" s="12">
        <f t="shared" si="265"/>
        <v>40090</v>
      </c>
      <c r="C1661" s="13">
        <v>2009.0</v>
      </c>
      <c r="D1661" s="11" t="s">
        <v>102</v>
      </c>
      <c r="E1661" s="11">
        <v>10.0</v>
      </c>
      <c r="F1661" s="21" t="s">
        <v>238</v>
      </c>
      <c r="G1661" s="15">
        <v>0.030250896057347588</v>
      </c>
      <c r="H1661" s="11" t="s">
        <v>33</v>
      </c>
      <c r="I1661" s="16">
        <v>4.112</v>
      </c>
      <c r="J1661" s="11" t="s">
        <v>370</v>
      </c>
      <c r="K1661" s="11" t="s">
        <v>65</v>
      </c>
      <c r="L1661" s="11" t="s">
        <v>41</v>
      </c>
      <c r="M1661" s="11" t="s">
        <v>66</v>
      </c>
      <c r="N1661" s="11" t="s">
        <v>67</v>
      </c>
      <c r="O1661" s="11" t="s">
        <v>240</v>
      </c>
      <c r="P1661" s="11" t="s">
        <v>99</v>
      </c>
      <c r="Q1661" s="20">
        <v>40092.0</v>
      </c>
      <c r="R1661" s="17">
        <f t="shared" si="2"/>
        <v>1.636936487</v>
      </c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>
        <f t="shared" si="8"/>
        <v>3</v>
      </c>
      <c r="AF1661" s="19">
        <f t="shared" si="13"/>
        <v>5</v>
      </c>
      <c r="AG1661" s="9"/>
      <c r="AH1661" s="9"/>
      <c r="AI1661" s="9"/>
    </row>
    <row r="1662" ht="15.0" customHeight="1">
      <c r="A1662" s="11">
        <v>1661.0</v>
      </c>
      <c r="B1662" s="12">
        <f t="shared" si="265"/>
        <v>40090</v>
      </c>
      <c r="C1662" s="13">
        <v>2009.0</v>
      </c>
      <c r="D1662" s="11" t="s">
        <v>44</v>
      </c>
      <c r="E1662" s="11">
        <v>24.0</v>
      </c>
      <c r="F1662" s="21" t="s">
        <v>218</v>
      </c>
      <c r="G1662" s="15">
        <v>0.04339209147212947</v>
      </c>
      <c r="H1662" s="11" t="s">
        <v>33</v>
      </c>
      <c r="I1662" s="16">
        <v>1.592</v>
      </c>
      <c r="J1662" s="11" t="s">
        <v>1889</v>
      </c>
      <c r="K1662" s="11" t="s">
        <v>26</v>
      </c>
      <c r="L1662" s="11" t="s">
        <v>41</v>
      </c>
      <c r="M1662" s="11" t="s">
        <v>66</v>
      </c>
      <c r="N1662" s="11" t="s">
        <v>67</v>
      </c>
      <c r="O1662" s="11" t="s">
        <v>749</v>
      </c>
      <c r="P1662" s="11" t="s">
        <v>99</v>
      </c>
      <c r="Q1662" s="20">
        <v>40092.0</v>
      </c>
      <c r="R1662" s="17">
        <f t="shared" si="2"/>
        <v>8.712784831</v>
      </c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>
        <f t="shared" si="8"/>
        <v>3</v>
      </c>
      <c r="AF1662" s="19">
        <f t="shared" si="13"/>
        <v>1</v>
      </c>
      <c r="AG1662" s="9"/>
      <c r="AH1662" s="9"/>
      <c r="AI1662" s="9"/>
    </row>
    <row r="1663" ht="15.0" customHeight="1">
      <c r="A1663" s="11">
        <v>1662.0</v>
      </c>
      <c r="B1663" s="12">
        <f t="shared" si="265"/>
        <v>40090</v>
      </c>
      <c r="C1663" s="13">
        <v>2009.0</v>
      </c>
      <c r="D1663" s="11" t="s">
        <v>44</v>
      </c>
      <c r="E1663" s="11">
        <v>38.0</v>
      </c>
      <c r="F1663" s="21" t="s">
        <v>747</v>
      </c>
      <c r="G1663" s="15">
        <v>0.09690535351253665</v>
      </c>
      <c r="H1663" s="11" t="s">
        <v>24</v>
      </c>
      <c r="I1663" s="16">
        <v>4.6000000000000005</v>
      </c>
      <c r="J1663" s="11" t="s">
        <v>763</v>
      </c>
      <c r="K1663" s="11" t="s">
        <v>65</v>
      </c>
      <c r="L1663" s="11" t="s">
        <v>27</v>
      </c>
      <c r="M1663" s="11" t="s">
        <v>28</v>
      </c>
      <c r="N1663" s="11" t="s">
        <v>42</v>
      </c>
      <c r="O1663" s="11" t="s">
        <v>748</v>
      </c>
      <c r="P1663" s="11" t="s">
        <v>38</v>
      </c>
      <c r="Q1663" s="20">
        <v>40092.0</v>
      </c>
      <c r="R1663" s="17">
        <f t="shared" si="2"/>
        <v>38.74276033</v>
      </c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>
        <f t="shared" si="8"/>
        <v>1</v>
      </c>
      <c r="AF1663" s="19">
        <f t="shared" si="13"/>
        <v>5</v>
      </c>
      <c r="AG1663" s="9"/>
      <c r="AH1663" s="9"/>
      <c r="AI1663" s="9"/>
    </row>
    <row r="1664" ht="15.0" customHeight="1">
      <c r="A1664" s="11">
        <v>1663.0</v>
      </c>
      <c r="B1664" s="12">
        <f t="shared" si="265"/>
        <v>40090</v>
      </c>
      <c r="C1664" s="13">
        <v>2009.0</v>
      </c>
      <c r="D1664" s="11" t="s">
        <v>44</v>
      </c>
      <c r="E1664" s="11">
        <v>6.0</v>
      </c>
      <c r="F1664" s="21" t="s">
        <v>1227</v>
      </c>
      <c r="G1664" s="15">
        <v>0.14427860696517406</v>
      </c>
      <c r="H1664" s="11" t="s">
        <v>33</v>
      </c>
      <c r="I1664" s="16">
        <v>4.0</v>
      </c>
      <c r="J1664" s="11" t="s">
        <v>1684</v>
      </c>
      <c r="K1664" s="11" t="s">
        <v>47</v>
      </c>
      <c r="L1664" s="11" t="s">
        <v>48</v>
      </c>
      <c r="M1664" s="11" t="s">
        <v>28</v>
      </c>
      <c r="N1664" s="11" t="s">
        <v>197</v>
      </c>
      <c r="O1664" s="11" t="s">
        <v>1890</v>
      </c>
      <c r="P1664" s="11" t="s">
        <v>38</v>
      </c>
      <c r="Q1664" s="20">
        <v>40092.0</v>
      </c>
      <c r="R1664" s="17">
        <f t="shared" si="2"/>
        <v>2.48159204</v>
      </c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>
        <f t="shared" si="8"/>
        <v>4</v>
      </c>
      <c r="AF1664" s="19">
        <f t="shared" si="13"/>
        <v>3</v>
      </c>
      <c r="AG1664" s="9"/>
      <c r="AH1664" s="9"/>
      <c r="AI1664" s="9"/>
    </row>
    <row r="1665" ht="15.0" customHeight="1">
      <c r="A1665" s="11">
        <v>1664.0</v>
      </c>
      <c r="B1665" s="12">
        <f t="shared" si="265"/>
        <v>40090</v>
      </c>
      <c r="C1665" s="13">
        <v>2009.0</v>
      </c>
      <c r="D1665" s="11" t="s">
        <v>44</v>
      </c>
      <c r="E1665" s="11">
        <v>21.0</v>
      </c>
      <c r="F1665" s="21" t="s">
        <v>641</v>
      </c>
      <c r="G1665" s="15">
        <v>0.02281098546042004</v>
      </c>
      <c r="H1665" s="11" t="s">
        <v>33</v>
      </c>
      <c r="I1665" s="16">
        <v>4.24</v>
      </c>
      <c r="J1665" s="11" t="s">
        <v>1684</v>
      </c>
      <c r="K1665" s="11" t="s">
        <v>47</v>
      </c>
      <c r="L1665" s="11" t="s">
        <v>48</v>
      </c>
      <c r="M1665" s="11" t="s">
        <v>49</v>
      </c>
      <c r="N1665" s="11" t="s">
        <v>73</v>
      </c>
      <c r="O1665" s="11" t="s">
        <v>880</v>
      </c>
      <c r="P1665" s="11" t="s">
        <v>58</v>
      </c>
      <c r="Q1665" s="20">
        <v>40092.0</v>
      </c>
      <c r="R1665" s="17">
        <f t="shared" si="2"/>
        <v>6.898954443</v>
      </c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>
        <f t="shared" si="8"/>
        <v>4</v>
      </c>
      <c r="AF1665" s="19">
        <f t="shared" si="13"/>
        <v>3</v>
      </c>
      <c r="AG1665" s="9"/>
      <c r="AH1665" s="9"/>
      <c r="AI1665" s="9"/>
    </row>
    <row r="1666" ht="15.0" customHeight="1">
      <c r="A1666" s="11">
        <v>1665.0</v>
      </c>
      <c r="B1666" s="12">
        <f t="shared" si="265"/>
        <v>40090</v>
      </c>
      <c r="C1666" s="13">
        <v>2009.0</v>
      </c>
      <c r="D1666" s="11" t="s">
        <v>102</v>
      </c>
      <c r="E1666" s="11">
        <v>34.0</v>
      </c>
      <c r="F1666" s="21" t="s">
        <v>1891</v>
      </c>
      <c r="G1666" s="15">
        <v>0.10122403144300934</v>
      </c>
      <c r="H1666" s="11" t="s">
        <v>24</v>
      </c>
      <c r="I1666" s="16">
        <v>3.944</v>
      </c>
      <c r="J1666" s="11" t="s">
        <v>1017</v>
      </c>
      <c r="K1666" s="11" t="s">
        <v>117</v>
      </c>
      <c r="L1666" s="11" t="s">
        <v>36</v>
      </c>
      <c r="M1666" s="11" t="s">
        <v>49</v>
      </c>
      <c r="N1666" s="11" t="s">
        <v>73</v>
      </c>
      <c r="O1666" s="11" t="s">
        <v>1892</v>
      </c>
      <c r="P1666" s="11" t="s">
        <v>38</v>
      </c>
      <c r="Q1666" s="20">
        <v>40092.0</v>
      </c>
      <c r="R1666" s="17">
        <f t="shared" si="2"/>
        <v>32.40626632</v>
      </c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>
        <f t="shared" si="8"/>
        <v>2</v>
      </c>
      <c r="AF1666" s="19" t="b">
        <f t="shared" si="13"/>
        <v>0</v>
      </c>
      <c r="AG1666" s="9"/>
      <c r="AH1666" s="9"/>
      <c r="AI1666" s="9"/>
    </row>
    <row r="1667" ht="15.0" customHeight="1">
      <c r="A1667" s="11">
        <v>1666.0</v>
      </c>
      <c r="B1667" s="12">
        <f t="shared" si="265"/>
        <v>40090</v>
      </c>
      <c r="C1667" s="13">
        <v>2009.0</v>
      </c>
      <c r="D1667" s="11" t="s">
        <v>102</v>
      </c>
      <c r="E1667" s="11">
        <v>36.0</v>
      </c>
      <c r="F1667" s="21" t="s">
        <v>142</v>
      </c>
      <c r="G1667" s="15">
        <v>0.05015789087170462</v>
      </c>
      <c r="H1667" s="11" t="s">
        <v>33</v>
      </c>
      <c r="I1667" s="16">
        <v>1.0</v>
      </c>
      <c r="J1667" s="11" t="s">
        <v>1017</v>
      </c>
      <c r="K1667" s="11" t="s">
        <v>117</v>
      </c>
      <c r="L1667" s="11" t="s">
        <v>36</v>
      </c>
      <c r="M1667" s="11" t="s">
        <v>66</v>
      </c>
      <c r="N1667" s="11" t="s">
        <v>80</v>
      </c>
      <c r="O1667" s="11" t="s">
        <v>1661</v>
      </c>
      <c r="P1667" s="11" t="s">
        <v>99</v>
      </c>
      <c r="Q1667" s="20">
        <v>40092.0</v>
      </c>
      <c r="R1667" s="17">
        <f t="shared" si="2"/>
        <v>64.87421605</v>
      </c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>
        <f t="shared" si="8"/>
        <v>2</v>
      </c>
      <c r="AF1667" s="19" t="b">
        <f t="shared" si="13"/>
        <v>0</v>
      </c>
      <c r="AG1667" s="9"/>
      <c r="AH1667" s="9"/>
      <c r="AI1667" s="9"/>
    </row>
    <row r="1668" ht="15.0" customHeight="1">
      <c r="A1668" s="11">
        <v>1667.0</v>
      </c>
      <c r="B1668" s="12">
        <f t="shared" si="265"/>
        <v>40090</v>
      </c>
      <c r="C1668" s="13">
        <v>2009.0</v>
      </c>
      <c r="D1668" s="11" t="s">
        <v>102</v>
      </c>
      <c r="E1668" s="11">
        <v>17.0</v>
      </c>
      <c r="F1668" s="21" t="s">
        <v>1074</v>
      </c>
      <c r="G1668" s="15">
        <v>0.03801941747572812</v>
      </c>
      <c r="H1668" s="11" t="s">
        <v>33</v>
      </c>
      <c r="I1668" s="16">
        <v>5.5840000000000005</v>
      </c>
      <c r="J1668" s="11" t="s">
        <v>1731</v>
      </c>
      <c r="K1668" s="11" t="s">
        <v>35</v>
      </c>
      <c r="L1668" s="11" t="s">
        <v>48</v>
      </c>
      <c r="M1668" s="11" t="s">
        <v>28</v>
      </c>
      <c r="N1668" s="11" t="s">
        <v>42</v>
      </c>
      <c r="O1668" s="11" t="s">
        <v>1893</v>
      </c>
      <c r="P1668" s="11" t="s">
        <v>38</v>
      </c>
      <c r="Q1668" s="20">
        <v>40092.0</v>
      </c>
      <c r="R1668" s="17">
        <f t="shared" si="2"/>
        <v>3.767115961</v>
      </c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>
        <f t="shared" si="8"/>
        <v>4</v>
      </c>
      <c r="AF1668" s="19">
        <f t="shared" si="13"/>
        <v>2</v>
      </c>
      <c r="AG1668" s="9"/>
      <c r="AH1668" s="9"/>
      <c r="AI1668" s="9"/>
    </row>
    <row r="1669" ht="15.0" customHeight="1">
      <c r="A1669" s="11">
        <v>1668.0</v>
      </c>
      <c r="B1669" s="12">
        <f t="shared" si="265"/>
        <v>40090</v>
      </c>
      <c r="C1669" s="13">
        <v>2009.0</v>
      </c>
      <c r="D1669" s="11" t="s">
        <v>102</v>
      </c>
      <c r="E1669" s="11">
        <v>4.0</v>
      </c>
      <c r="F1669" s="21" t="s">
        <v>685</v>
      </c>
      <c r="G1669" s="15">
        <v>0.11486238532110088</v>
      </c>
      <c r="H1669" s="11" t="s">
        <v>33</v>
      </c>
      <c r="I1669" s="16">
        <v>27.360000000000003</v>
      </c>
      <c r="J1669" s="11" t="s">
        <v>1731</v>
      </c>
      <c r="K1669" s="11" t="s">
        <v>35</v>
      </c>
      <c r="L1669" s="11" t="s">
        <v>48</v>
      </c>
      <c r="M1669" s="11" t="s">
        <v>49</v>
      </c>
      <c r="N1669" s="11" t="s">
        <v>73</v>
      </c>
      <c r="O1669" s="11" t="s">
        <v>686</v>
      </c>
      <c r="P1669" s="11" t="s">
        <v>58</v>
      </c>
      <c r="Q1669" s="20">
        <v>40092.0</v>
      </c>
      <c r="R1669" s="17">
        <f t="shared" si="2"/>
        <v>22.16384587</v>
      </c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>
        <f t="shared" si="8"/>
        <v>4</v>
      </c>
      <c r="AF1669" s="19">
        <f t="shared" si="13"/>
        <v>2</v>
      </c>
      <c r="AG1669" s="9"/>
      <c r="AH1669" s="9"/>
      <c r="AI1669" s="9"/>
    </row>
    <row r="1670" ht="15.0" customHeight="1">
      <c r="A1670" s="11">
        <v>1669.0</v>
      </c>
      <c r="B1670" s="12">
        <f t="shared" si="265"/>
        <v>40090</v>
      </c>
      <c r="C1670" s="13">
        <v>2009.0</v>
      </c>
      <c r="D1670" s="11" t="s">
        <v>102</v>
      </c>
      <c r="E1670" s="11">
        <v>15.0</v>
      </c>
      <c r="F1670" s="21" t="s">
        <v>1894</v>
      </c>
      <c r="G1670" s="15">
        <v>0.03523777851679416</v>
      </c>
      <c r="H1670" s="11" t="s">
        <v>24</v>
      </c>
      <c r="I1670" s="16">
        <v>5.104</v>
      </c>
      <c r="J1670" s="11" t="s">
        <v>1731</v>
      </c>
      <c r="K1670" s="11" t="s">
        <v>35</v>
      </c>
      <c r="L1670" s="11" t="s">
        <v>48</v>
      </c>
      <c r="M1670" s="11" t="s">
        <v>49</v>
      </c>
      <c r="N1670" s="11" t="s">
        <v>73</v>
      </c>
      <c r="O1670" s="11" t="s">
        <v>1895</v>
      </c>
      <c r="P1670" s="11" t="s">
        <v>38</v>
      </c>
      <c r="Q1670" s="20">
        <v>40092.0</v>
      </c>
      <c r="R1670" s="17">
        <f t="shared" si="2"/>
        <v>10.2226205</v>
      </c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>
        <f t="shared" si="8"/>
        <v>4</v>
      </c>
      <c r="AF1670" s="19">
        <f t="shared" si="13"/>
        <v>2</v>
      </c>
      <c r="AG1670" s="9"/>
      <c r="AH1670" s="9"/>
      <c r="AI1670" s="9"/>
    </row>
    <row r="1671" ht="15.0" customHeight="1">
      <c r="A1671" s="11">
        <v>1670.0</v>
      </c>
      <c r="B1671" s="12">
        <f t="shared" ref="B1671:B1675" si="266">DATE(2012,12,31)-1183</f>
        <v>40091</v>
      </c>
      <c r="C1671" s="13">
        <v>2009.0</v>
      </c>
      <c r="D1671" s="11" t="s">
        <v>32</v>
      </c>
      <c r="E1671" s="11">
        <v>27.0</v>
      </c>
      <c r="F1671" s="21" t="s">
        <v>284</v>
      </c>
      <c r="G1671" s="15">
        <v>0.061771336553945226</v>
      </c>
      <c r="H1671" s="11" t="s">
        <v>33</v>
      </c>
      <c r="I1671" s="16">
        <v>4.264</v>
      </c>
      <c r="J1671" s="11" t="s">
        <v>1896</v>
      </c>
      <c r="K1671" s="11" t="s">
        <v>83</v>
      </c>
      <c r="L1671" s="11" t="s">
        <v>48</v>
      </c>
      <c r="M1671" s="11" t="s">
        <v>49</v>
      </c>
      <c r="N1671" s="11" t="s">
        <v>73</v>
      </c>
      <c r="O1671" s="11" t="s">
        <v>286</v>
      </c>
      <c r="P1671" s="11" t="s">
        <v>38</v>
      </c>
      <c r="Q1671" s="20">
        <v>40093.0</v>
      </c>
      <c r="R1671" s="17">
        <f t="shared" si="2"/>
        <v>3.599045153</v>
      </c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>
        <f t="shared" si="8"/>
        <v>4</v>
      </c>
      <c r="AF1671" s="19" t="b">
        <f t="shared" si="13"/>
        <v>0</v>
      </c>
      <c r="AG1671" s="9"/>
      <c r="AH1671" s="9"/>
      <c r="AI1671" s="9"/>
    </row>
    <row r="1672" ht="15.0" customHeight="1">
      <c r="A1672" s="11">
        <v>1671.0</v>
      </c>
      <c r="B1672" s="12">
        <f t="shared" si="266"/>
        <v>40091</v>
      </c>
      <c r="C1672" s="13">
        <v>2009.0</v>
      </c>
      <c r="D1672" s="11" t="s">
        <v>32</v>
      </c>
      <c r="E1672" s="11">
        <v>14.0</v>
      </c>
      <c r="F1672" s="21" t="s">
        <v>1897</v>
      </c>
      <c r="G1672" s="15">
        <v>0.03296340456755035</v>
      </c>
      <c r="H1672" s="11" t="s">
        <v>45</v>
      </c>
      <c r="I1672" s="16">
        <v>79.2</v>
      </c>
      <c r="J1672" s="11" t="s">
        <v>1896</v>
      </c>
      <c r="K1672" s="11" t="s">
        <v>83</v>
      </c>
      <c r="L1672" s="11" t="s">
        <v>48</v>
      </c>
      <c r="M1672" s="11" t="s">
        <v>28</v>
      </c>
      <c r="N1672" s="11" t="s">
        <v>29</v>
      </c>
      <c r="O1672" s="11" t="s">
        <v>1898</v>
      </c>
      <c r="P1672" s="11" t="s">
        <v>52</v>
      </c>
      <c r="Q1672" s="20">
        <v>40093.0</v>
      </c>
      <c r="R1672" s="17">
        <f t="shared" si="2"/>
        <v>173.7764762</v>
      </c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>
        <f t="shared" si="8"/>
        <v>4</v>
      </c>
      <c r="AF1672" s="19" t="b">
        <f t="shared" si="13"/>
        <v>0</v>
      </c>
      <c r="AG1672" s="9"/>
      <c r="AH1672" s="9"/>
      <c r="AI1672" s="9"/>
    </row>
    <row r="1673" ht="15.0" customHeight="1">
      <c r="A1673" s="11">
        <v>1672.0</v>
      </c>
      <c r="B1673" s="12">
        <f t="shared" si="266"/>
        <v>40091</v>
      </c>
      <c r="C1673" s="13">
        <v>2009.0</v>
      </c>
      <c r="D1673" s="11" t="s">
        <v>39</v>
      </c>
      <c r="E1673" s="11">
        <v>49.0</v>
      </c>
      <c r="F1673" s="21" t="s">
        <v>865</v>
      </c>
      <c r="G1673" s="15">
        <v>0.0659097160961079</v>
      </c>
      <c r="H1673" s="11" t="s">
        <v>33</v>
      </c>
      <c r="I1673" s="16">
        <v>3.3600000000000003</v>
      </c>
      <c r="J1673" s="11" t="s">
        <v>1851</v>
      </c>
      <c r="K1673" s="11" t="s">
        <v>26</v>
      </c>
      <c r="L1673" s="11" t="s">
        <v>48</v>
      </c>
      <c r="M1673" s="11" t="s">
        <v>66</v>
      </c>
      <c r="N1673" s="11" t="s">
        <v>80</v>
      </c>
      <c r="O1673" s="11" t="s">
        <v>1519</v>
      </c>
      <c r="P1673" s="11" t="s">
        <v>38</v>
      </c>
      <c r="Q1673" s="20">
        <v>40094.0</v>
      </c>
      <c r="R1673" s="17">
        <f t="shared" si="2"/>
        <v>649.0432929</v>
      </c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>
        <f t="shared" si="8"/>
        <v>4</v>
      </c>
      <c r="AF1673" s="19">
        <f t="shared" si="13"/>
        <v>1</v>
      </c>
      <c r="AG1673" s="9"/>
      <c r="AH1673" s="9"/>
      <c r="AI1673" s="9"/>
    </row>
    <row r="1674" ht="15.0" customHeight="1">
      <c r="A1674" s="11">
        <v>1673.0</v>
      </c>
      <c r="B1674" s="12">
        <f t="shared" si="266"/>
        <v>40091</v>
      </c>
      <c r="C1674" s="13">
        <v>2009.0</v>
      </c>
      <c r="D1674" s="11" t="s">
        <v>39</v>
      </c>
      <c r="E1674" s="11">
        <v>7.0</v>
      </c>
      <c r="F1674" s="21" t="s">
        <v>1899</v>
      </c>
      <c r="G1674" s="15">
        <v>0.011856321297256764</v>
      </c>
      <c r="H1674" s="11" t="s">
        <v>45</v>
      </c>
      <c r="I1674" s="16">
        <v>14.448</v>
      </c>
      <c r="J1674" s="11" t="s">
        <v>1851</v>
      </c>
      <c r="K1674" s="11" t="s">
        <v>26</v>
      </c>
      <c r="L1674" s="11" t="s">
        <v>48</v>
      </c>
      <c r="M1674" s="11" t="s">
        <v>66</v>
      </c>
      <c r="N1674" s="11" t="s">
        <v>69</v>
      </c>
      <c r="O1674" s="11" t="s">
        <v>225</v>
      </c>
      <c r="P1674" s="11" t="s">
        <v>52</v>
      </c>
      <c r="Q1674" s="20">
        <v>40094.0</v>
      </c>
      <c r="R1674" s="17">
        <f t="shared" si="2"/>
        <v>24.85378981</v>
      </c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>
        <f t="shared" si="8"/>
        <v>4</v>
      </c>
      <c r="AF1674" s="19">
        <f t="shared" si="13"/>
        <v>1</v>
      </c>
      <c r="AG1674" s="9"/>
      <c r="AH1674" s="9"/>
      <c r="AI1674" s="9"/>
    </row>
    <row r="1675" ht="15.0" customHeight="1">
      <c r="A1675" s="11">
        <v>1674.0</v>
      </c>
      <c r="B1675" s="12">
        <f t="shared" si="266"/>
        <v>40091</v>
      </c>
      <c r="C1675" s="13">
        <v>2009.0</v>
      </c>
      <c r="D1675" s="11" t="s">
        <v>23</v>
      </c>
      <c r="E1675" s="11">
        <v>16.0</v>
      </c>
      <c r="F1675" s="21" t="s">
        <v>1900</v>
      </c>
      <c r="G1675" s="15">
        <v>0.03034134959166004</v>
      </c>
      <c r="H1675" s="11" t="s">
        <v>45</v>
      </c>
      <c r="I1675" s="16">
        <v>23.36</v>
      </c>
      <c r="J1675" s="11" t="s">
        <v>1901</v>
      </c>
      <c r="K1675" s="11" t="s">
        <v>35</v>
      </c>
      <c r="L1675" s="11" t="s">
        <v>27</v>
      </c>
      <c r="M1675" s="11" t="s">
        <v>49</v>
      </c>
      <c r="N1675" s="11" t="s">
        <v>85</v>
      </c>
      <c r="O1675" s="11" t="s">
        <v>1902</v>
      </c>
      <c r="P1675" s="11" t="s">
        <v>87</v>
      </c>
      <c r="Q1675" s="20">
        <v>40094.0</v>
      </c>
      <c r="R1675" s="17">
        <f t="shared" si="2"/>
        <v>156.3477608</v>
      </c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>
        <f t="shared" si="8"/>
        <v>1</v>
      </c>
      <c r="AF1675" s="19">
        <f t="shared" si="13"/>
        <v>2</v>
      </c>
      <c r="AG1675" s="9"/>
      <c r="AH1675" s="9"/>
      <c r="AI1675" s="9"/>
    </row>
    <row r="1676" ht="15.0" customHeight="1">
      <c r="A1676" s="11">
        <v>1675.0</v>
      </c>
      <c r="B1676" s="12">
        <f t="shared" ref="B1676:B1678" si="267">DATE(2012,12,31)-1182</f>
        <v>40092</v>
      </c>
      <c r="C1676" s="13">
        <v>2009.0</v>
      </c>
      <c r="D1676" s="11" t="s">
        <v>39</v>
      </c>
      <c r="E1676" s="11">
        <v>31.0</v>
      </c>
      <c r="F1676" s="21" t="s">
        <v>486</v>
      </c>
      <c r="G1676" s="15">
        <v>0.08548622821810005</v>
      </c>
      <c r="H1676" s="11" t="s">
        <v>24</v>
      </c>
      <c r="I1676" s="16">
        <v>4.5920000000000005</v>
      </c>
      <c r="J1676" s="11" t="s">
        <v>1903</v>
      </c>
      <c r="K1676" s="11" t="s">
        <v>65</v>
      </c>
      <c r="L1676" s="11" t="s">
        <v>48</v>
      </c>
      <c r="M1676" s="11" t="s">
        <v>28</v>
      </c>
      <c r="N1676" s="11" t="s">
        <v>42</v>
      </c>
      <c r="O1676" s="11" t="s">
        <v>487</v>
      </c>
      <c r="P1676" s="11" t="s">
        <v>38</v>
      </c>
      <c r="Q1676" s="20">
        <v>40094.0</v>
      </c>
      <c r="R1676" s="17">
        <f t="shared" si="2"/>
        <v>13.90792544</v>
      </c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>
        <f t="shared" si="8"/>
        <v>4</v>
      </c>
      <c r="AF1676" s="19">
        <f t="shared" si="13"/>
        <v>5</v>
      </c>
      <c r="AG1676" s="9"/>
      <c r="AH1676" s="9"/>
      <c r="AI1676" s="9"/>
    </row>
    <row r="1677" ht="15.0" customHeight="1">
      <c r="A1677" s="11">
        <v>1676.0</v>
      </c>
      <c r="B1677" s="12">
        <f t="shared" si="267"/>
        <v>40092</v>
      </c>
      <c r="C1677" s="13">
        <v>2009.0</v>
      </c>
      <c r="D1677" s="11" t="s">
        <v>39</v>
      </c>
      <c r="E1677" s="11">
        <v>32.0</v>
      </c>
      <c r="F1677" s="21" t="s">
        <v>319</v>
      </c>
      <c r="G1677" s="15">
        <v>0.041533546325878655</v>
      </c>
      <c r="H1677" s="11" t="s">
        <v>33</v>
      </c>
      <c r="I1677" s="16">
        <v>0.4</v>
      </c>
      <c r="J1677" s="11" t="s">
        <v>1886</v>
      </c>
      <c r="K1677" s="11" t="s">
        <v>61</v>
      </c>
      <c r="L1677" s="11" t="s">
        <v>48</v>
      </c>
      <c r="M1677" s="11" t="s">
        <v>28</v>
      </c>
      <c r="N1677" s="11" t="s">
        <v>188</v>
      </c>
      <c r="O1677" s="11" t="s">
        <v>437</v>
      </c>
      <c r="P1677" s="11" t="s">
        <v>38</v>
      </c>
      <c r="Q1677" s="20">
        <v>40094.0</v>
      </c>
      <c r="R1677" s="17">
        <f t="shared" si="2"/>
        <v>3.738019169</v>
      </c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>
        <f t="shared" si="8"/>
        <v>4</v>
      </c>
      <c r="AF1677" s="19">
        <f t="shared" si="13"/>
        <v>4</v>
      </c>
      <c r="AG1677" s="9"/>
      <c r="AH1677" s="9"/>
      <c r="AI1677" s="9"/>
    </row>
    <row r="1678" ht="15.0" customHeight="1">
      <c r="A1678" s="11">
        <v>1677.0</v>
      </c>
      <c r="B1678" s="12">
        <f t="shared" si="267"/>
        <v>40092</v>
      </c>
      <c r="C1678" s="13">
        <v>2009.0</v>
      </c>
      <c r="D1678" s="11" t="s">
        <v>39</v>
      </c>
      <c r="E1678" s="11">
        <v>11.0</v>
      </c>
      <c r="F1678" s="21" t="s">
        <v>933</v>
      </c>
      <c r="G1678" s="15">
        <v>0.02642633497100522</v>
      </c>
      <c r="H1678" s="11" t="s">
        <v>33</v>
      </c>
      <c r="I1678" s="16">
        <v>4.0</v>
      </c>
      <c r="J1678" s="11" t="s">
        <v>1886</v>
      </c>
      <c r="K1678" s="11" t="s">
        <v>61</v>
      </c>
      <c r="L1678" s="11" t="s">
        <v>48</v>
      </c>
      <c r="M1678" s="11" t="s">
        <v>66</v>
      </c>
      <c r="N1678" s="11" t="s">
        <v>80</v>
      </c>
      <c r="O1678" s="11" t="s">
        <v>1023</v>
      </c>
      <c r="P1678" s="11" t="s">
        <v>99</v>
      </c>
      <c r="Q1678" s="20">
        <v>40094.0</v>
      </c>
      <c r="R1678" s="17">
        <f t="shared" si="2"/>
        <v>16.35525871</v>
      </c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>
        <f t="shared" si="8"/>
        <v>4</v>
      </c>
      <c r="AF1678" s="19">
        <f t="shared" si="13"/>
        <v>4</v>
      </c>
      <c r="AG1678" s="9"/>
      <c r="AH1678" s="9"/>
      <c r="AI1678" s="9"/>
    </row>
    <row r="1679" ht="15.0" customHeight="1">
      <c r="A1679" s="11">
        <v>1678.0</v>
      </c>
      <c r="B1679" s="12">
        <f t="shared" ref="B1679:B1688" si="268">DATE(2012,12,31)-1181</f>
        <v>40093</v>
      </c>
      <c r="C1679" s="13">
        <v>2009.0</v>
      </c>
      <c r="D1679" s="11" t="s">
        <v>102</v>
      </c>
      <c r="E1679" s="11">
        <v>25.0</v>
      </c>
      <c r="F1679" s="21" t="s">
        <v>1261</v>
      </c>
      <c r="G1679" s="15">
        <v>0.03301953070113812</v>
      </c>
      <c r="H1679" s="11" t="s">
        <v>33</v>
      </c>
      <c r="I1679" s="16">
        <v>3.2</v>
      </c>
      <c r="J1679" s="11" t="s">
        <v>1353</v>
      </c>
      <c r="K1679" s="11" t="s">
        <v>26</v>
      </c>
      <c r="L1679" s="11" t="s">
        <v>36</v>
      </c>
      <c r="M1679" s="11" t="s">
        <v>66</v>
      </c>
      <c r="N1679" s="11" t="s">
        <v>67</v>
      </c>
      <c r="O1679" s="11" t="s">
        <v>1262</v>
      </c>
      <c r="P1679" s="11" t="s">
        <v>38</v>
      </c>
      <c r="Q1679" s="20">
        <v>40094.0</v>
      </c>
      <c r="R1679" s="17">
        <f t="shared" si="2"/>
        <v>22.72404103</v>
      </c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>
        <f t="shared" si="8"/>
        <v>2</v>
      </c>
      <c r="AF1679" s="19">
        <f t="shared" si="13"/>
        <v>1</v>
      </c>
      <c r="AG1679" s="9"/>
      <c r="AH1679" s="9"/>
      <c r="AI1679" s="9"/>
    </row>
    <row r="1680" ht="15.0" customHeight="1">
      <c r="A1680" s="11">
        <v>1679.0</v>
      </c>
      <c r="B1680" s="12">
        <f t="shared" si="268"/>
        <v>40093</v>
      </c>
      <c r="C1680" s="13">
        <v>2009.0</v>
      </c>
      <c r="D1680" s="11" t="s">
        <v>102</v>
      </c>
      <c r="E1680" s="11">
        <v>32.0</v>
      </c>
      <c r="F1680" s="21" t="s">
        <v>431</v>
      </c>
      <c r="G1680" s="15">
        <v>0.09198565496413741</v>
      </c>
      <c r="H1680" s="11" t="s">
        <v>33</v>
      </c>
      <c r="I1680" s="16">
        <v>15.991999999999999</v>
      </c>
      <c r="J1680" s="11" t="s">
        <v>1353</v>
      </c>
      <c r="K1680" s="11" t="s">
        <v>26</v>
      </c>
      <c r="L1680" s="11" t="s">
        <v>36</v>
      </c>
      <c r="M1680" s="11" t="s">
        <v>66</v>
      </c>
      <c r="N1680" s="11" t="s">
        <v>67</v>
      </c>
      <c r="O1680" s="11" t="s">
        <v>432</v>
      </c>
      <c r="P1680" s="11" t="s">
        <v>38</v>
      </c>
      <c r="Q1680" s="20">
        <v>40095.0</v>
      </c>
      <c r="R1680" s="17">
        <f t="shared" si="2"/>
        <v>531.0140531</v>
      </c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>
        <f t="shared" si="8"/>
        <v>2</v>
      </c>
      <c r="AF1680" s="19">
        <f t="shared" si="13"/>
        <v>1</v>
      </c>
      <c r="AG1680" s="9"/>
      <c r="AH1680" s="9"/>
      <c r="AI1680" s="9"/>
    </row>
    <row r="1681" ht="15.0" customHeight="1">
      <c r="A1681" s="11">
        <v>1680.0</v>
      </c>
      <c r="B1681" s="12">
        <f t="shared" si="268"/>
        <v>40093</v>
      </c>
      <c r="C1681" s="13">
        <v>2009.0</v>
      </c>
      <c r="D1681" s="11" t="s">
        <v>102</v>
      </c>
      <c r="E1681" s="11">
        <v>42.0</v>
      </c>
      <c r="F1681" s="21" t="s">
        <v>1904</v>
      </c>
      <c r="G1681" s="15">
        <v>0.09183483428291357</v>
      </c>
      <c r="H1681" s="11" t="s">
        <v>33</v>
      </c>
      <c r="I1681" s="16">
        <v>15.991999999999999</v>
      </c>
      <c r="J1681" s="11" t="s">
        <v>1353</v>
      </c>
      <c r="K1681" s="11" t="s">
        <v>26</v>
      </c>
      <c r="L1681" s="11" t="s">
        <v>36</v>
      </c>
      <c r="M1681" s="11" t="s">
        <v>28</v>
      </c>
      <c r="N1681" s="11" t="s">
        <v>29</v>
      </c>
      <c r="O1681" s="11" t="s">
        <v>1905</v>
      </c>
      <c r="P1681" s="11" t="s">
        <v>38</v>
      </c>
      <c r="Q1681" s="20">
        <v>40095.0</v>
      </c>
      <c r="R1681" s="17">
        <f t="shared" si="2"/>
        <v>544.5430987</v>
      </c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>
        <f t="shared" si="8"/>
        <v>2</v>
      </c>
      <c r="AF1681" s="19">
        <f t="shared" si="13"/>
        <v>1</v>
      </c>
      <c r="AG1681" s="9"/>
      <c r="AH1681" s="9"/>
      <c r="AI1681" s="9"/>
    </row>
    <row r="1682" ht="15.0" customHeight="1">
      <c r="A1682" s="11">
        <v>1681.0</v>
      </c>
      <c r="B1682" s="12">
        <f t="shared" si="268"/>
        <v>40093</v>
      </c>
      <c r="C1682" s="13">
        <v>2009.0</v>
      </c>
      <c r="D1682" s="11" t="s">
        <v>32</v>
      </c>
      <c r="E1682" s="11">
        <v>2.0</v>
      </c>
      <c r="F1682" s="21" t="s">
        <v>1359</v>
      </c>
      <c r="G1682" s="15">
        <v>0.08713214079630711</v>
      </c>
      <c r="H1682" s="11" t="s">
        <v>33</v>
      </c>
      <c r="I1682" s="16">
        <v>3.2</v>
      </c>
      <c r="J1682" s="11" t="s">
        <v>1906</v>
      </c>
      <c r="K1682" s="11" t="s">
        <v>61</v>
      </c>
      <c r="L1682" s="11" t="s">
        <v>41</v>
      </c>
      <c r="M1682" s="11" t="s">
        <v>66</v>
      </c>
      <c r="N1682" s="11" t="s">
        <v>67</v>
      </c>
      <c r="O1682" s="11" t="s">
        <v>1361</v>
      </c>
      <c r="P1682" s="11" t="s">
        <v>38</v>
      </c>
      <c r="Q1682" s="20">
        <v>40095.0</v>
      </c>
      <c r="R1682" s="17">
        <f t="shared" si="2"/>
        <v>13.78430467</v>
      </c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>
        <f t="shared" si="8"/>
        <v>3</v>
      </c>
      <c r="AF1682" s="19">
        <f t="shared" si="13"/>
        <v>4</v>
      </c>
      <c r="AG1682" s="9"/>
      <c r="AH1682" s="9"/>
      <c r="AI1682" s="9"/>
    </row>
    <row r="1683" ht="15.0" customHeight="1">
      <c r="A1683" s="11">
        <v>1682.0</v>
      </c>
      <c r="B1683" s="12">
        <f t="shared" si="268"/>
        <v>40093</v>
      </c>
      <c r="C1683" s="13">
        <v>2009.0</v>
      </c>
      <c r="D1683" s="11" t="s">
        <v>32</v>
      </c>
      <c r="E1683" s="11">
        <v>44.0</v>
      </c>
      <c r="F1683" s="21" t="s">
        <v>782</v>
      </c>
      <c r="G1683" s="15">
        <v>0.07632280445499375</v>
      </c>
      <c r="H1683" s="11" t="s">
        <v>24</v>
      </c>
      <c r="I1683" s="16">
        <v>3.9920000000000004</v>
      </c>
      <c r="J1683" s="11" t="s">
        <v>1906</v>
      </c>
      <c r="K1683" s="11" t="s">
        <v>61</v>
      </c>
      <c r="L1683" s="11" t="s">
        <v>41</v>
      </c>
      <c r="M1683" s="11" t="s">
        <v>66</v>
      </c>
      <c r="N1683" s="11" t="s">
        <v>80</v>
      </c>
      <c r="O1683" s="11" t="s">
        <v>783</v>
      </c>
      <c r="P1683" s="11" t="s">
        <v>38</v>
      </c>
      <c r="Q1683" s="20">
        <v>40095.0</v>
      </c>
      <c r="R1683" s="17">
        <f t="shared" si="2"/>
        <v>154.4462165</v>
      </c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>
        <f t="shared" si="8"/>
        <v>3</v>
      </c>
      <c r="AF1683" s="19">
        <f t="shared" si="13"/>
        <v>4</v>
      </c>
      <c r="AG1683" s="9"/>
      <c r="AH1683" s="9"/>
      <c r="AI1683" s="9"/>
    </row>
    <row r="1684" ht="15.0" customHeight="1">
      <c r="A1684" s="11">
        <v>1683.0</v>
      </c>
      <c r="B1684" s="12">
        <f t="shared" si="268"/>
        <v>40093</v>
      </c>
      <c r="C1684" s="13">
        <v>2009.0</v>
      </c>
      <c r="D1684" s="11" t="s">
        <v>32</v>
      </c>
      <c r="E1684" s="11">
        <v>3.0</v>
      </c>
      <c r="F1684" s="21" t="s">
        <v>1291</v>
      </c>
      <c r="G1684" s="15">
        <v>0.08416886543535626</v>
      </c>
      <c r="H1684" s="11" t="s">
        <v>33</v>
      </c>
      <c r="I1684" s="16">
        <v>41.760000000000005</v>
      </c>
      <c r="J1684" s="11" t="s">
        <v>1907</v>
      </c>
      <c r="K1684" s="11" t="s">
        <v>61</v>
      </c>
      <c r="L1684" s="11" t="s">
        <v>36</v>
      </c>
      <c r="M1684" s="11" t="s">
        <v>49</v>
      </c>
      <c r="N1684" s="11" t="s">
        <v>73</v>
      </c>
      <c r="O1684" s="11" t="s">
        <v>1293</v>
      </c>
      <c r="P1684" s="11" t="s">
        <v>75</v>
      </c>
      <c r="Q1684" s="20">
        <v>40095.0</v>
      </c>
      <c r="R1684" s="17">
        <f t="shared" si="2"/>
        <v>17.52900792</v>
      </c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>
        <f t="shared" si="8"/>
        <v>2</v>
      </c>
      <c r="AF1684" s="19">
        <f t="shared" si="13"/>
        <v>4</v>
      </c>
      <c r="AG1684" s="9"/>
      <c r="AH1684" s="9"/>
      <c r="AI1684" s="9"/>
    </row>
    <row r="1685" ht="15.0" customHeight="1">
      <c r="A1685" s="11">
        <v>1684.0</v>
      </c>
      <c r="B1685" s="12">
        <f t="shared" si="268"/>
        <v>40093</v>
      </c>
      <c r="C1685" s="13">
        <v>2009.0</v>
      </c>
      <c r="D1685" s="11" t="s">
        <v>32</v>
      </c>
      <c r="E1685" s="11">
        <v>12.0</v>
      </c>
      <c r="F1685" s="21" t="s">
        <v>178</v>
      </c>
      <c r="G1685" s="15">
        <v>0.09299520219328296</v>
      </c>
      <c r="H1685" s="11" t="s">
        <v>24</v>
      </c>
      <c r="I1685" s="16">
        <v>3.192</v>
      </c>
      <c r="J1685" s="11" t="s">
        <v>1907</v>
      </c>
      <c r="K1685" s="11" t="s">
        <v>61</v>
      </c>
      <c r="L1685" s="11" t="s">
        <v>36</v>
      </c>
      <c r="M1685" s="11" t="s">
        <v>66</v>
      </c>
      <c r="N1685" s="11" t="s">
        <v>80</v>
      </c>
      <c r="O1685" s="11" t="s">
        <v>587</v>
      </c>
      <c r="P1685" s="11" t="s">
        <v>38</v>
      </c>
      <c r="Q1685" s="20">
        <v>40095.0</v>
      </c>
      <c r="R1685" s="17">
        <f t="shared" si="2"/>
        <v>73.83744658</v>
      </c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>
        <f t="shared" si="8"/>
        <v>2</v>
      </c>
      <c r="AF1685" s="19">
        <f t="shared" si="13"/>
        <v>4</v>
      </c>
      <c r="AG1685" s="9"/>
      <c r="AH1685" s="9"/>
      <c r="AI1685" s="9"/>
    </row>
    <row r="1686" ht="15.0" customHeight="1">
      <c r="A1686" s="11">
        <v>1685.0</v>
      </c>
      <c r="B1686" s="12">
        <f t="shared" si="268"/>
        <v>40093</v>
      </c>
      <c r="C1686" s="13">
        <v>2009.0</v>
      </c>
      <c r="D1686" s="11" t="s">
        <v>23</v>
      </c>
      <c r="E1686" s="11">
        <v>36.0</v>
      </c>
      <c r="F1686" s="21" t="s">
        <v>93</v>
      </c>
      <c r="G1686" s="15">
        <v>0.09568831168831181</v>
      </c>
      <c r="H1686" s="11" t="s">
        <v>33</v>
      </c>
      <c r="I1686" s="16">
        <v>4.928000000000001</v>
      </c>
      <c r="J1686" s="11" t="s">
        <v>271</v>
      </c>
      <c r="K1686" s="11" t="s">
        <v>61</v>
      </c>
      <c r="L1686" s="11" t="s">
        <v>41</v>
      </c>
      <c r="M1686" s="11" t="s">
        <v>28</v>
      </c>
      <c r="N1686" s="11" t="s">
        <v>42</v>
      </c>
      <c r="O1686" s="11" t="s">
        <v>134</v>
      </c>
      <c r="P1686" s="11" t="s">
        <v>38</v>
      </c>
      <c r="Q1686" s="20">
        <v>40095.0</v>
      </c>
      <c r="R1686" s="17">
        <f t="shared" si="2"/>
        <v>26.65187408</v>
      </c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>
        <f t="shared" si="8"/>
        <v>3</v>
      </c>
      <c r="AF1686" s="19">
        <f t="shared" si="13"/>
        <v>4</v>
      </c>
      <c r="AG1686" s="9"/>
      <c r="AH1686" s="9"/>
      <c r="AI1686" s="9"/>
    </row>
    <row r="1687" ht="15.0" customHeight="1">
      <c r="A1687" s="11">
        <v>1686.0</v>
      </c>
      <c r="B1687" s="12">
        <f t="shared" si="268"/>
        <v>40093</v>
      </c>
      <c r="C1687" s="13">
        <v>2009.0</v>
      </c>
      <c r="D1687" s="11" t="s">
        <v>23</v>
      </c>
      <c r="E1687" s="11">
        <v>13.0</v>
      </c>
      <c r="F1687" s="21" t="s">
        <v>1908</v>
      </c>
      <c r="G1687" s="15">
        <v>0.05012272828701071</v>
      </c>
      <c r="H1687" s="11" t="s">
        <v>45</v>
      </c>
      <c r="I1687" s="16">
        <v>39.04</v>
      </c>
      <c r="J1687" s="11" t="s">
        <v>271</v>
      </c>
      <c r="K1687" s="11" t="s">
        <v>61</v>
      </c>
      <c r="L1687" s="11" t="s">
        <v>41</v>
      </c>
      <c r="M1687" s="11" t="s">
        <v>49</v>
      </c>
      <c r="N1687" s="11" t="s">
        <v>50</v>
      </c>
      <c r="O1687" s="11" t="s">
        <v>51</v>
      </c>
      <c r="P1687" s="11" t="s">
        <v>52</v>
      </c>
      <c r="Q1687" s="20">
        <v>40095.0</v>
      </c>
      <c r="R1687" s="17">
        <f t="shared" si="2"/>
        <v>192.0271892</v>
      </c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>
        <f t="shared" si="8"/>
        <v>3</v>
      </c>
      <c r="AF1687" s="19">
        <f t="shared" si="13"/>
        <v>4</v>
      </c>
      <c r="AG1687" s="9"/>
      <c r="AH1687" s="9"/>
      <c r="AI1687" s="9"/>
    </row>
    <row r="1688" ht="15.0" customHeight="1">
      <c r="A1688" s="11">
        <v>1687.0</v>
      </c>
      <c r="B1688" s="12">
        <f t="shared" si="268"/>
        <v>40093</v>
      </c>
      <c r="C1688" s="13">
        <v>2009.0</v>
      </c>
      <c r="D1688" s="11" t="s">
        <v>23</v>
      </c>
      <c r="E1688" s="11">
        <v>47.0</v>
      </c>
      <c r="F1688" s="21" t="s">
        <v>306</v>
      </c>
      <c r="G1688" s="15">
        <v>0.04343985345003062</v>
      </c>
      <c r="H1688" s="11" t="s">
        <v>33</v>
      </c>
      <c r="I1688" s="16">
        <v>4.616</v>
      </c>
      <c r="J1688" s="11" t="s">
        <v>271</v>
      </c>
      <c r="K1688" s="11" t="s">
        <v>61</v>
      </c>
      <c r="L1688" s="11" t="s">
        <v>41</v>
      </c>
      <c r="M1688" s="11" t="s">
        <v>28</v>
      </c>
      <c r="N1688" s="11" t="s">
        <v>56</v>
      </c>
      <c r="O1688" s="11" t="s">
        <v>1169</v>
      </c>
      <c r="P1688" s="11" t="s">
        <v>38</v>
      </c>
      <c r="Q1688" s="20">
        <v>40095.0</v>
      </c>
      <c r="R1688" s="17">
        <f t="shared" si="2"/>
        <v>40.8298133</v>
      </c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>
        <f t="shared" si="8"/>
        <v>3</v>
      </c>
      <c r="AF1688" s="19">
        <f t="shared" si="13"/>
        <v>4</v>
      </c>
      <c r="AG1688" s="9"/>
      <c r="AH1688" s="9"/>
      <c r="AI1688" s="9"/>
    </row>
    <row r="1689" ht="15.0" customHeight="1">
      <c r="A1689" s="11">
        <v>1688.0</v>
      </c>
      <c r="B1689" s="12">
        <f t="shared" ref="B1689:B1695" si="269">DATE(2012,12,31)-1180</f>
        <v>40094</v>
      </c>
      <c r="C1689" s="13">
        <v>2009.0</v>
      </c>
      <c r="D1689" s="11" t="s">
        <v>23</v>
      </c>
      <c r="E1689" s="11">
        <v>43.0</v>
      </c>
      <c r="F1689" s="21" t="s">
        <v>242</v>
      </c>
      <c r="G1689" s="15">
        <v>0.04119550281074325</v>
      </c>
      <c r="H1689" s="11" t="s">
        <v>45</v>
      </c>
      <c r="I1689" s="16">
        <v>21.392</v>
      </c>
      <c r="J1689" s="11" t="s">
        <v>803</v>
      </c>
      <c r="K1689" s="11" t="s">
        <v>61</v>
      </c>
      <c r="L1689" s="11" t="s">
        <v>48</v>
      </c>
      <c r="M1689" s="11" t="s">
        <v>49</v>
      </c>
      <c r="N1689" s="11" t="s">
        <v>156</v>
      </c>
      <c r="O1689" s="11" t="s">
        <v>1909</v>
      </c>
      <c r="P1689" s="11" t="s">
        <v>87</v>
      </c>
      <c r="Q1689" s="20">
        <v>40095.0</v>
      </c>
      <c r="R1689" s="17">
        <f t="shared" si="2"/>
        <v>126.4739836</v>
      </c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>
        <f t="shared" si="8"/>
        <v>4</v>
      </c>
      <c r="AF1689" s="19">
        <f t="shared" si="13"/>
        <v>4</v>
      </c>
      <c r="AG1689" s="9"/>
      <c r="AH1689" s="9"/>
      <c r="AI1689" s="9"/>
    </row>
    <row r="1690" ht="15.0" customHeight="1">
      <c r="A1690" s="11">
        <v>1689.0</v>
      </c>
      <c r="B1690" s="12">
        <f t="shared" si="269"/>
        <v>40094</v>
      </c>
      <c r="C1690" s="13">
        <v>2009.0</v>
      </c>
      <c r="D1690" s="11" t="s">
        <v>39</v>
      </c>
      <c r="E1690" s="11">
        <v>15.0</v>
      </c>
      <c r="F1690" s="21" t="s">
        <v>178</v>
      </c>
      <c r="G1690" s="15">
        <v>0.09318360266593614</v>
      </c>
      <c r="H1690" s="11" t="s">
        <v>33</v>
      </c>
      <c r="I1690" s="16">
        <v>4.736</v>
      </c>
      <c r="J1690" s="11" t="s">
        <v>1784</v>
      </c>
      <c r="K1690" s="11" t="s">
        <v>117</v>
      </c>
      <c r="L1690" s="11" t="s">
        <v>41</v>
      </c>
      <c r="M1690" s="11" t="s">
        <v>66</v>
      </c>
      <c r="N1690" s="11" t="s">
        <v>80</v>
      </c>
      <c r="O1690" s="11" t="s">
        <v>1579</v>
      </c>
      <c r="P1690" s="11" t="s">
        <v>38</v>
      </c>
      <c r="Q1690" s="20">
        <v>40095.0</v>
      </c>
      <c r="R1690" s="17">
        <f t="shared" si="2"/>
        <v>92.55330878</v>
      </c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>
        <f t="shared" si="8"/>
        <v>3</v>
      </c>
      <c r="AF1690" s="19" t="b">
        <f t="shared" si="13"/>
        <v>0</v>
      </c>
      <c r="AG1690" s="9"/>
      <c r="AH1690" s="9"/>
      <c r="AI1690" s="9"/>
    </row>
    <row r="1691" ht="15.0" customHeight="1">
      <c r="A1691" s="11">
        <v>1690.0</v>
      </c>
      <c r="B1691" s="12">
        <f t="shared" si="269"/>
        <v>40094</v>
      </c>
      <c r="C1691" s="13">
        <v>2009.0</v>
      </c>
      <c r="D1691" s="11" t="s">
        <v>39</v>
      </c>
      <c r="E1691" s="11">
        <v>23.0</v>
      </c>
      <c r="F1691" s="21" t="s">
        <v>333</v>
      </c>
      <c r="G1691" s="15">
        <v>0.07994535519125688</v>
      </c>
      <c r="H1691" s="11" t="s">
        <v>33</v>
      </c>
      <c r="I1691" s="16">
        <v>0.6480000000000001</v>
      </c>
      <c r="J1691" s="11" t="s">
        <v>1152</v>
      </c>
      <c r="K1691" s="11" t="s">
        <v>65</v>
      </c>
      <c r="L1691" s="11" t="s">
        <v>48</v>
      </c>
      <c r="M1691" s="11" t="s">
        <v>28</v>
      </c>
      <c r="N1691" s="11" t="s">
        <v>62</v>
      </c>
      <c r="O1691" s="11" t="s">
        <v>1910</v>
      </c>
      <c r="P1691" s="11" t="s">
        <v>58</v>
      </c>
      <c r="Q1691" s="20">
        <v>40095.0</v>
      </c>
      <c r="R1691" s="17">
        <f t="shared" si="2"/>
        <v>5.384159781</v>
      </c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>
        <f t="shared" si="8"/>
        <v>4</v>
      </c>
      <c r="AF1691" s="19">
        <f t="shared" si="13"/>
        <v>5</v>
      </c>
      <c r="AG1691" s="9"/>
      <c r="AH1691" s="9"/>
      <c r="AI1691" s="9"/>
    </row>
    <row r="1692" ht="15.0" customHeight="1">
      <c r="A1692" s="11">
        <v>1691.0</v>
      </c>
      <c r="B1692" s="12">
        <f t="shared" si="269"/>
        <v>40094</v>
      </c>
      <c r="C1692" s="13">
        <v>2009.0</v>
      </c>
      <c r="D1692" s="11" t="s">
        <v>23</v>
      </c>
      <c r="E1692" s="11">
        <v>16.0</v>
      </c>
      <c r="F1692" s="21" t="s">
        <v>415</v>
      </c>
      <c r="G1692" s="15">
        <v>0.09622795115332426</v>
      </c>
      <c r="H1692" s="11" t="s">
        <v>33</v>
      </c>
      <c r="I1692" s="16">
        <v>4.208</v>
      </c>
      <c r="J1692" s="11" t="s">
        <v>940</v>
      </c>
      <c r="K1692" s="11" t="s">
        <v>26</v>
      </c>
      <c r="L1692" s="11" t="s">
        <v>41</v>
      </c>
      <c r="M1692" s="11" t="s">
        <v>28</v>
      </c>
      <c r="N1692" s="11" t="s">
        <v>42</v>
      </c>
      <c r="O1692" s="11" t="s">
        <v>971</v>
      </c>
      <c r="P1692" s="11" t="s">
        <v>38</v>
      </c>
      <c r="Q1692" s="20">
        <v>40095.0</v>
      </c>
      <c r="R1692" s="17">
        <f t="shared" si="2"/>
        <v>6.40955137</v>
      </c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>
        <f t="shared" si="8"/>
        <v>3</v>
      </c>
      <c r="AF1692" s="19">
        <f t="shared" si="13"/>
        <v>1</v>
      </c>
      <c r="AG1692" s="9"/>
      <c r="AH1692" s="9"/>
      <c r="AI1692" s="9"/>
    </row>
    <row r="1693" ht="15.0" customHeight="1">
      <c r="A1693" s="11">
        <v>1692.0</v>
      </c>
      <c r="B1693" s="12">
        <f t="shared" si="269"/>
        <v>40094</v>
      </c>
      <c r="C1693" s="13">
        <v>2009.0</v>
      </c>
      <c r="D1693" s="11" t="s">
        <v>23</v>
      </c>
      <c r="E1693" s="11">
        <v>27.0</v>
      </c>
      <c r="F1693" s="21" t="s">
        <v>610</v>
      </c>
      <c r="G1693" s="15">
        <v>0.06831460674157318</v>
      </c>
      <c r="H1693" s="11" t="s">
        <v>33</v>
      </c>
      <c r="I1693" s="16">
        <v>2.2800000000000002</v>
      </c>
      <c r="J1693" s="11" t="s">
        <v>940</v>
      </c>
      <c r="K1693" s="11" t="s">
        <v>26</v>
      </c>
      <c r="L1693" s="11" t="s">
        <v>41</v>
      </c>
      <c r="M1693" s="11" t="s">
        <v>49</v>
      </c>
      <c r="N1693" s="11" t="s">
        <v>73</v>
      </c>
      <c r="O1693" s="11" t="s">
        <v>612</v>
      </c>
      <c r="P1693" s="11" t="s">
        <v>99</v>
      </c>
      <c r="Q1693" s="20">
        <v>40095.0</v>
      </c>
      <c r="R1693" s="17">
        <f t="shared" si="2"/>
        <v>22.65858876</v>
      </c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>
        <f t="shared" si="8"/>
        <v>3</v>
      </c>
      <c r="AF1693" s="19">
        <f t="shared" si="13"/>
        <v>1</v>
      </c>
      <c r="AG1693" s="9"/>
      <c r="AH1693" s="9"/>
      <c r="AI1693" s="9"/>
    </row>
    <row r="1694" ht="15.0" customHeight="1">
      <c r="A1694" s="11">
        <v>1693.0</v>
      </c>
      <c r="B1694" s="12">
        <f t="shared" si="269"/>
        <v>40094</v>
      </c>
      <c r="C1694" s="13">
        <v>2009.0</v>
      </c>
      <c r="D1694" s="11" t="s">
        <v>102</v>
      </c>
      <c r="E1694" s="11">
        <v>42.0</v>
      </c>
      <c r="F1694" s="21" t="s">
        <v>1911</v>
      </c>
      <c r="G1694" s="15">
        <v>0.05182330121386564</v>
      </c>
      <c r="H1694" s="11" t="s">
        <v>33</v>
      </c>
      <c r="I1694" s="16">
        <v>11.776000000000002</v>
      </c>
      <c r="J1694" s="11" t="s">
        <v>781</v>
      </c>
      <c r="K1694" s="11" t="s">
        <v>65</v>
      </c>
      <c r="L1694" s="11" t="s">
        <v>27</v>
      </c>
      <c r="M1694" s="11" t="s">
        <v>28</v>
      </c>
      <c r="N1694" s="11" t="s">
        <v>236</v>
      </c>
      <c r="O1694" s="11" t="s">
        <v>1912</v>
      </c>
      <c r="P1694" s="11" t="s">
        <v>38</v>
      </c>
      <c r="Q1694" s="20">
        <v>40095.0</v>
      </c>
      <c r="R1694" s="17">
        <f t="shared" si="2"/>
        <v>78.5317869</v>
      </c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>
        <f t="shared" si="8"/>
        <v>1</v>
      </c>
      <c r="AF1694" s="19">
        <f t="shared" si="13"/>
        <v>5</v>
      </c>
      <c r="AG1694" s="9"/>
      <c r="AH1694" s="9"/>
      <c r="AI1694" s="9"/>
    </row>
    <row r="1695" ht="15.0" customHeight="1">
      <c r="A1695" s="11">
        <v>1694.0</v>
      </c>
      <c r="B1695" s="12">
        <f t="shared" si="269"/>
        <v>40094</v>
      </c>
      <c r="C1695" s="13">
        <v>2009.0</v>
      </c>
      <c r="D1695" s="11" t="s">
        <v>102</v>
      </c>
      <c r="E1695" s="11">
        <v>13.0</v>
      </c>
      <c r="F1695" s="21" t="s">
        <v>1913</v>
      </c>
      <c r="G1695" s="15">
        <v>0.01329883570504517</v>
      </c>
      <c r="H1695" s="11" t="s">
        <v>33</v>
      </c>
      <c r="I1695" s="16">
        <v>4.344</v>
      </c>
      <c r="J1695" s="11" t="s">
        <v>781</v>
      </c>
      <c r="K1695" s="11" t="s">
        <v>65</v>
      </c>
      <c r="L1695" s="11" t="s">
        <v>27</v>
      </c>
      <c r="M1695" s="11" t="s">
        <v>28</v>
      </c>
      <c r="N1695" s="11" t="s">
        <v>56</v>
      </c>
      <c r="O1695" s="11" t="s">
        <v>1914</v>
      </c>
      <c r="P1695" s="11" t="s">
        <v>38</v>
      </c>
      <c r="Q1695" s="20">
        <v>40095.0</v>
      </c>
      <c r="R1695" s="17">
        <f t="shared" si="2"/>
        <v>2.028657594</v>
      </c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>
        <f t="shared" si="8"/>
        <v>1</v>
      </c>
      <c r="AF1695" s="19">
        <f t="shared" si="13"/>
        <v>5</v>
      </c>
      <c r="AG1695" s="9"/>
      <c r="AH1695" s="9"/>
      <c r="AI1695" s="9"/>
    </row>
    <row r="1696" ht="15.0" customHeight="1">
      <c r="A1696" s="11">
        <v>1695.0</v>
      </c>
      <c r="B1696" s="12">
        <f t="shared" ref="B1696:B1709" si="270">DATE(2012,12,31)-1179</f>
        <v>40095</v>
      </c>
      <c r="C1696" s="13">
        <v>2009.0</v>
      </c>
      <c r="D1696" s="11" t="s">
        <v>32</v>
      </c>
      <c r="E1696" s="11">
        <v>47.0</v>
      </c>
      <c r="F1696" s="21" t="s">
        <v>666</v>
      </c>
      <c r="G1696" s="15">
        <v>0.029462592202318297</v>
      </c>
      <c r="H1696" s="11" t="s">
        <v>33</v>
      </c>
      <c r="I1696" s="16">
        <v>5.6080000000000005</v>
      </c>
      <c r="J1696" s="11" t="s">
        <v>504</v>
      </c>
      <c r="K1696" s="11" t="s">
        <v>117</v>
      </c>
      <c r="L1696" s="11" t="s">
        <v>48</v>
      </c>
      <c r="M1696" s="11" t="s">
        <v>28</v>
      </c>
      <c r="N1696" s="11" t="s">
        <v>42</v>
      </c>
      <c r="O1696" s="11" t="s">
        <v>1632</v>
      </c>
      <c r="P1696" s="11" t="s">
        <v>38</v>
      </c>
      <c r="Q1696" s="20">
        <v>40096.0</v>
      </c>
      <c r="R1696" s="17">
        <f t="shared" si="2"/>
        <v>5.427245184</v>
      </c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>
        <f t="shared" si="8"/>
        <v>4</v>
      </c>
      <c r="AF1696" s="19" t="b">
        <f t="shared" si="13"/>
        <v>0</v>
      </c>
      <c r="AG1696" s="9"/>
      <c r="AH1696" s="9"/>
      <c r="AI1696" s="9"/>
    </row>
    <row r="1697" ht="15.0" customHeight="1">
      <c r="A1697" s="11">
        <v>1696.0</v>
      </c>
      <c r="B1697" s="12">
        <f t="shared" si="270"/>
        <v>40095</v>
      </c>
      <c r="C1697" s="13">
        <v>2009.0</v>
      </c>
      <c r="D1697" s="11" t="s">
        <v>32</v>
      </c>
      <c r="E1697" s="11">
        <v>49.0</v>
      </c>
      <c r="F1697" s="21" t="s">
        <v>115</v>
      </c>
      <c r="G1697" s="15">
        <v>0.08409041914323542</v>
      </c>
      <c r="H1697" s="11" t="s">
        <v>45</v>
      </c>
      <c r="I1697" s="16">
        <v>24.0</v>
      </c>
      <c r="J1697" s="11" t="s">
        <v>504</v>
      </c>
      <c r="K1697" s="11" t="s">
        <v>117</v>
      </c>
      <c r="L1697" s="11" t="s">
        <v>48</v>
      </c>
      <c r="M1697" s="11" t="s">
        <v>49</v>
      </c>
      <c r="N1697" s="11" t="s">
        <v>50</v>
      </c>
      <c r="O1697" s="11" t="s">
        <v>1402</v>
      </c>
      <c r="P1697" s="11" t="s">
        <v>52</v>
      </c>
      <c r="Q1697" s="20">
        <v>40096.0</v>
      </c>
      <c r="R1697" s="17">
        <f t="shared" si="2"/>
        <v>500.1782221</v>
      </c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>
        <f t="shared" si="8"/>
        <v>4</v>
      </c>
      <c r="AF1697" s="19" t="b">
        <f t="shared" si="13"/>
        <v>0</v>
      </c>
      <c r="AG1697" s="9"/>
      <c r="AH1697" s="9"/>
      <c r="AI1697" s="9"/>
    </row>
    <row r="1698" ht="15.0" customHeight="1">
      <c r="A1698" s="11">
        <v>1697.0</v>
      </c>
      <c r="B1698" s="12">
        <f t="shared" si="270"/>
        <v>40095</v>
      </c>
      <c r="C1698" s="13">
        <v>2009.0</v>
      </c>
      <c r="D1698" s="11" t="s">
        <v>32</v>
      </c>
      <c r="E1698" s="11">
        <v>18.0</v>
      </c>
      <c r="F1698" s="21" t="s">
        <v>130</v>
      </c>
      <c r="G1698" s="15">
        <v>0.0950330805228339</v>
      </c>
      <c r="H1698" s="11" t="s">
        <v>33</v>
      </c>
      <c r="I1698" s="16">
        <v>4.608</v>
      </c>
      <c r="J1698" s="11" t="s">
        <v>504</v>
      </c>
      <c r="K1698" s="11" t="s">
        <v>117</v>
      </c>
      <c r="L1698" s="11" t="s">
        <v>48</v>
      </c>
      <c r="M1698" s="11" t="s">
        <v>28</v>
      </c>
      <c r="N1698" s="11" t="s">
        <v>56</v>
      </c>
      <c r="O1698" s="11" t="s">
        <v>132</v>
      </c>
      <c r="P1698" s="11" t="s">
        <v>38</v>
      </c>
      <c r="Q1698" s="20">
        <v>40096.0</v>
      </c>
      <c r="R1698" s="17">
        <f t="shared" si="2"/>
        <v>53.29531182</v>
      </c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>
        <f t="shared" si="8"/>
        <v>4</v>
      </c>
      <c r="AF1698" s="19" t="b">
        <f t="shared" si="13"/>
        <v>0</v>
      </c>
      <c r="AG1698" s="9"/>
      <c r="AH1698" s="9"/>
      <c r="AI1698" s="9"/>
    </row>
    <row r="1699" ht="15.0" customHeight="1">
      <c r="A1699" s="11">
        <v>1698.0</v>
      </c>
      <c r="B1699" s="12">
        <f t="shared" si="270"/>
        <v>40095</v>
      </c>
      <c r="C1699" s="13">
        <v>2009.0</v>
      </c>
      <c r="D1699" s="11" t="s">
        <v>39</v>
      </c>
      <c r="E1699" s="11">
        <v>25.0</v>
      </c>
      <c r="F1699" s="21" t="s">
        <v>1038</v>
      </c>
      <c r="G1699" s="15">
        <v>0.09279816951091631</v>
      </c>
      <c r="H1699" s="11" t="s">
        <v>24</v>
      </c>
      <c r="I1699" s="16">
        <v>4.064</v>
      </c>
      <c r="J1699" s="11" t="s">
        <v>1915</v>
      </c>
      <c r="K1699" s="11" t="s">
        <v>61</v>
      </c>
      <c r="L1699" s="11" t="s">
        <v>27</v>
      </c>
      <c r="M1699" s="11" t="s">
        <v>28</v>
      </c>
      <c r="N1699" s="11" t="s">
        <v>56</v>
      </c>
      <c r="O1699" s="11" t="s">
        <v>1040</v>
      </c>
      <c r="P1699" s="11" t="s">
        <v>58</v>
      </c>
      <c r="Q1699" s="20">
        <v>40096.0</v>
      </c>
      <c r="R1699" s="17">
        <f t="shared" si="2"/>
        <v>88.30339737</v>
      </c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>
        <f t="shared" si="8"/>
        <v>1</v>
      </c>
      <c r="AF1699" s="19">
        <f t="shared" si="13"/>
        <v>4</v>
      </c>
      <c r="AG1699" s="9"/>
      <c r="AH1699" s="9"/>
      <c r="AI1699" s="9"/>
    </row>
    <row r="1700" ht="15.0" customHeight="1">
      <c r="A1700" s="11">
        <v>1699.0</v>
      </c>
      <c r="B1700" s="12">
        <f t="shared" si="270"/>
        <v>40095</v>
      </c>
      <c r="C1700" s="13">
        <v>2009.0</v>
      </c>
      <c r="D1700" s="11" t="s">
        <v>39</v>
      </c>
      <c r="E1700" s="11">
        <v>24.0</v>
      </c>
      <c r="F1700" s="21" t="s">
        <v>1760</v>
      </c>
      <c r="G1700" s="15">
        <v>0.06943429844097992</v>
      </c>
      <c r="H1700" s="11" t="s">
        <v>33</v>
      </c>
      <c r="I1700" s="16">
        <v>4.912</v>
      </c>
      <c r="J1700" s="11" t="s">
        <v>1915</v>
      </c>
      <c r="K1700" s="11" t="s">
        <v>61</v>
      </c>
      <c r="L1700" s="11" t="s">
        <v>27</v>
      </c>
      <c r="M1700" s="11" t="s">
        <v>28</v>
      </c>
      <c r="N1700" s="11" t="s">
        <v>442</v>
      </c>
      <c r="O1700" s="11" t="s">
        <v>1916</v>
      </c>
      <c r="P1700" s="11" t="s">
        <v>99</v>
      </c>
      <c r="Q1700" s="20">
        <v>40096.0</v>
      </c>
      <c r="R1700" s="17">
        <f t="shared" si="2"/>
        <v>14.50565816</v>
      </c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>
        <f t="shared" si="8"/>
        <v>1</v>
      </c>
      <c r="AF1700" s="19">
        <f t="shared" si="13"/>
        <v>4</v>
      </c>
      <c r="AG1700" s="9"/>
      <c r="AH1700" s="9"/>
      <c r="AI1700" s="9"/>
    </row>
    <row r="1701" ht="15.0" customHeight="1">
      <c r="A1701" s="11">
        <v>1700.0</v>
      </c>
      <c r="B1701" s="12">
        <f t="shared" si="270"/>
        <v>40095</v>
      </c>
      <c r="C1701" s="13">
        <v>2009.0</v>
      </c>
      <c r="D1701" s="11" t="s">
        <v>32</v>
      </c>
      <c r="E1701" s="11">
        <v>20.0</v>
      </c>
      <c r="F1701" s="21" t="s">
        <v>126</v>
      </c>
      <c r="G1701" s="15">
        <v>0.07605633802816895</v>
      </c>
      <c r="H1701" s="11" t="s">
        <v>33</v>
      </c>
      <c r="I1701" s="16">
        <v>0.4</v>
      </c>
      <c r="J1701" s="11" t="s">
        <v>617</v>
      </c>
      <c r="K1701" s="11" t="s">
        <v>61</v>
      </c>
      <c r="L1701" s="11" t="s">
        <v>41</v>
      </c>
      <c r="M1701" s="11" t="s">
        <v>28</v>
      </c>
      <c r="N1701" s="11" t="s">
        <v>188</v>
      </c>
      <c r="O1701" s="11" t="s">
        <v>551</v>
      </c>
      <c r="P1701" s="11" t="s">
        <v>38</v>
      </c>
      <c r="Q1701" s="20">
        <v>40096.0</v>
      </c>
      <c r="R1701" s="17">
        <f t="shared" si="2"/>
        <v>7.483943662</v>
      </c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>
        <f t="shared" si="8"/>
        <v>3</v>
      </c>
      <c r="AF1701" s="19">
        <f t="shared" si="13"/>
        <v>4</v>
      </c>
      <c r="AG1701" s="9"/>
      <c r="AH1701" s="9"/>
      <c r="AI1701" s="9"/>
    </row>
    <row r="1702" ht="15.0" customHeight="1">
      <c r="A1702" s="11">
        <v>1701.0</v>
      </c>
      <c r="B1702" s="12">
        <f t="shared" si="270"/>
        <v>40095</v>
      </c>
      <c r="C1702" s="13">
        <v>2009.0</v>
      </c>
      <c r="D1702" s="11" t="s">
        <v>32</v>
      </c>
      <c r="E1702" s="11">
        <v>25.0</v>
      </c>
      <c r="F1702" s="21" t="s">
        <v>359</v>
      </c>
      <c r="G1702" s="15">
        <v>0.023013395939787303</v>
      </c>
      <c r="H1702" s="11" t="s">
        <v>33</v>
      </c>
      <c r="I1702" s="16">
        <v>4.936</v>
      </c>
      <c r="J1702" s="11" t="s">
        <v>617</v>
      </c>
      <c r="K1702" s="11" t="s">
        <v>61</v>
      </c>
      <c r="L1702" s="11" t="s">
        <v>41</v>
      </c>
      <c r="M1702" s="11" t="s">
        <v>28</v>
      </c>
      <c r="N1702" s="11" t="s">
        <v>62</v>
      </c>
      <c r="O1702" s="11" t="s">
        <v>361</v>
      </c>
      <c r="P1702" s="11" t="s">
        <v>99</v>
      </c>
      <c r="Q1702" s="20">
        <v>40096.0</v>
      </c>
      <c r="R1702" s="17">
        <f t="shared" si="2"/>
        <v>16.28050477</v>
      </c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>
        <f t="shared" si="8"/>
        <v>3</v>
      </c>
      <c r="AF1702" s="19">
        <f t="shared" si="13"/>
        <v>4</v>
      </c>
      <c r="AG1702" s="9"/>
      <c r="AH1702" s="9"/>
      <c r="AI1702" s="9"/>
    </row>
    <row r="1703" ht="15.0" customHeight="1">
      <c r="A1703" s="11">
        <v>1702.0</v>
      </c>
      <c r="B1703" s="12">
        <f t="shared" si="270"/>
        <v>40095</v>
      </c>
      <c r="C1703" s="13">
        <v>2009.0</v>
      </c>
      <c r="D1703" s="11" t="s">
        <v>23</v>
      </c>
      <c r="E1703" s="11">
        <v>30.0</v>
      </c>
      <c r="F1703" s="21" t="s">
        <v>666</v>
      </c>
      <c r="G1703" s="15">
        <v>0.04957095709570965</v>
      </c>
      <c r="H1703" s="11" t="s">
        <v>33</v>
      </c>
      <c r="I1703" s="16">
        <v>1.192</v>
      </c>
      <c r="J1703" s="11" t="s">
        <v>1704</v>
      </c>
      <c r="K1703" s="11" t="s">
        <v>117</v>
      </c>
      <c r="L1703" s="11" t="s">
        <v>48</v>
      </c>
      <c r="M1703" s="11" t="s">
        <v>28</v>
      </c>
      <c r="N1703" s="11" t="s">
        <v>42</v>
      </c>
      <c r="O1703" s="11" t="s">
        <v>667</v>
      </c>
      <c r="P1703" s="11" t="s">
        <v>38</v>
      </c>
      <c r="Q1703" s="20">
        <v>40096.0</v>
      </c>
      <c r="R1703" s="17">
        <f t="shared" si="2"/>
        <v>5.71017769</v>
      </c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>
        <f t="shared" si="8"/>
        <v>4</v>
      </c>
      <c r="AF1703" s="19" t="b">
        <f t="shared" si="13"/>
        <v>0</v>
      </c>
      <c r="AG1703" s="9"/>
      <c r="AH1703" s="9"/>
      <c r="AI1703" s="9"/>
    </row>
    <row r="1704" ht="15.0" customHeight="1">
      <c r="A1704" s="11">
        <v>1703.0</v>
      </c>
      <c r="B1704" s="12">
        <f t="shared" si="270"/>
        <v>40095</v>
      </c>
      <c r="C1704" s="13">
        <v>2009.0</v>
      </c>
      <c r="D1704" s="11" t="s">
        <v>23</v>
      </c>
      <c r="E1704" s="11">
        <v>15.0</v>
      </c>
      <c r="F1704" s="21" t="s">
        <v>790</v>
      </c>
      <c r="G1704" s="15">
        <v>0.08486283797118611</v>
      </c>
      <c r="H1704" s="11" t="s">
        <v>33</v>
      </c>
      <c r="I1704" s="16">
        <v>3.2</v>
      </c>
      <c r="J1704" s="11" t="s">
        <v>1704</v>
      </c>
      <c r="K1704" s="11" t="s">
        <v>117</v>
      </c>
      <c r="L1704" s="11" t="s">
        <v>48</v>
      </c>
      <c r="M1704" s="11" t="s">
        <v>66</v>
      </c>
      <c r="N1704" s="11" t="s">
        <v>67</v>
      </c>
      <c r="O1704" s="11" t="s">
        <v>791</v>
      </c>
      <c r="P1704" s="11" t="s">
        <v>38</v>
      </c>
      <c r="Q1704" s="20">
        <v>40097.0</v>
      </c>
      <c r="R1704" s="17">
        <f t="shared" si="2"/>
        <v>39.35089797</v>
      </c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>
        <f t="shared" si="8"/>
        <v>4</v>
      </c>
      <c r="AF1704" s="19" t="b">
        <f t="shared" si="13"/>
        <v>0</v>
      </c>
      <c r="AG1704" s="9"/>
      <c r="AH1704" s="9"/>
      <c r="AI1704" s="9"/>
    </row>
    <row r="1705" ht="15.0" customHeight="1">
      <c r="A1705" s="11">
        <v>1704.0</v>
      </c>
      <c r="B1705" s="12">
        <f t="shared" si="270"/>
        <v>40095</v>
      </c>
      <c r="C1705" s="13">
        <v>2009.0</v>
      </c>
      <c r="D1705" s="11" t="s">
        <v>23</v>
      </c>
      <c r="E1705" s="11">
        <v>49.0</v>
      </c>
      <c r="F1705" s="21" t="s">
        <v>128</v>
      </c>
      <c r="G1705" s="15">
        <v>0.048533604495749665</v>
      </c>
      <c r="H1705" s="11" t="s">
        <v>33</v>
      </c>
      <c r="I1705" s="16">
        <v>6.464</v>
      </c>
      <c r="J1705" s="11" t="s">
        <v>1704</v>
      </c>
      <c r="K1705" s="11" t="s">
        <v>117</v>
      </c>
      <c r="L1705" s="11" t="s">
        <v>48</v>
      </c>
      <c r="M1705" s="11" t="s">
        <v>66</v>
      </c>
      <c r="N1705" s="11" t="s">
        <v>80</v>
      </c>
      <c r="O1705" s="11" t="s">
        <v>1508</v>
      </c>
      <c r="P1705" s="11" t="s">
        <v>38</v>
      </c>
      <c r="Q1705" s="20">
        <v>40097.0</v>
      </c>
      <c r="R1705" s="17">
        <f t="shared" si="2"/>
        <v>299.7223807</v>
      </c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>
        <f t="shared" si="8"/>
        <v>4</v>
      </c>
      <c r="AF1705" s="19" t="b">
        <f t="shared" si="13"/>
        <v>0</v>
      </c>
      <c r="AG1705" s="9"/>
      <c r="AH1705" s="9"/>
      <c r="AI1705" s="9"/>
    </row>
    <row r="1706" ht="15.0" customHeight="1">
      <c r="A1706" s="11">
        <v>1705.0</v>
      </c>
      <c r="B1706" s="12">
        <f t="shared" si="270"/>
        <v>40095</v>
      </c>
      <c r="C1706" s="13">
        <v>2009.0</v>
      </c>
      <c r="D1706" s="11" t="s">
        <v>39</v>
      </c>
      <c r="E1706" s="11">
        <v>10.0</v>
      </c>
      <c r="F1706" s="21" t="s">
        <v>115</v>
      </c>
      <c r="G1706" s="15">
        <v>0.09282016856865813</v>
      </c>
      <c r="H1706" s="11" t="s">
        <v>24</v>
      </c>
      <c r="I1706" s="16">
        <v>7.256</v>
      </c>
      <c r="J1706" s="11" t="s">
        <v>1917</v>
      </c>
      <c r="K1706" s="11" t="s">
        <v>35</v>
      </c>
      <c r="L1706" s="11" t="s">
        <v>41</v>
      </c>
      <c r="M1706" s="11" t="s">
        <v>28</v>
      </c>
      <c r="N1706" s="11" t="s">
        <v>42</v>
      </c>
      <c r="O1706" s="11" t="s">
        <v>772</v>
      </c>
      <c r="P1706" s="11" t="s">
        <v>38</v>
      </c>
      <c r="Q1706" s="20">
        <v>40097.0</v>
      </c>
      <c r="R1706" s="17">
        <f t="shared" si="2"/>
        <v>112.8930869</v>
      </c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>
        <f t="shared" si="8"/>
        <v>3</v>
      </c>
      <c r="AF1706" s="19">
        <f t="shared" si="13"/>
        <v>2</v>
      </c>
      <c r="AG1706" s="9"/>
      <c r="AH1706" s="9"/>
      <c r="AI1706" s="9"/>
    </row>
    <row r="1707" ht="15.0" customHeight="1">
      <c r="A1707" s="11">
        <v>1706.0</v>
      </c>
      <c r="B1707" s="12">
        <f t="shared" si="270"/>
        <v>40095</v>
      </c>
      <c r="C1707" s="13">
        <v>2009.0</v>
      </c>
      <c r="D1707" s="11" t="s">
        <v>39</v>
      </c>
      <c r="E1707" s="11">
        <v>2.0</v>
      </c>
      <c r="F1707" s="21" t="s">
        <v>943</v>
      </c>
      <c r="G1707" s="15">
        <v>0.02392947103274566</v>
      </c>
      <c r="H1707" s="11" t="s">
        <v>24</v>
      </c>
      <c r="I1707" s="16">
        <v>5.2</v>
      </c>
      <c r="J1707" s="11" t="s">
        <v>1917</v>
      </c>
      <c r="K1707" s="11" t="s">
        <v>35</v>
      </c>
      <c r="L1707" s="11" t="s">
        <v>41</v>
      </c>
      <c r="M1707" s="11" t="s">
        <v>66</v>
      </c>
      <c r="N1707" s="11" t="s">
        <v>67</v>
      </c>
      <c r="O1707" s="11" t="s">
        <v>944</v>
      </c>
      <c r="P1707" s="11" t="s">
        <v>38</v>
      </c>
      <c r="Q1707" s="20">
        <v>40097.0</v>
      </c>
      <c r="R1707" s="17">
        <f t="shared" si="2"/>
        <v>7.41813602</v>
      </c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>
        <f t="shared" si="8"/>
        <v>3</v>
      </c>
      <c r="AF1707" s="19">
        <f t="shared" si="13"/>
        <v>2</v>
      </c>
      <c r="AG1707" s="9"/>
      <c r="AH1707" s="9"/>
      <c r="AI1707" s="9"/>
    </row>
    <row r="1708" ht="15.0" customHeight="1">
      <c r="A1708" s="11">
        <v>1707.0</v>
      </c>
      <c r="B1708" s="12">
        <f t="shared" si="270"/>
        <v>40095</v>
      </c>
      <c r="C1708" s="13">
        <v>2009.0</v>
      </c>
      <c r="D1708" s="11" t="s">
        <v>23</v>
      </c>
      <c r="E1708" s="11">
        <v>34.0</v>
      </c>
      <c r="F1708" s="21" t="s">
        <v>163</v>
      </c>
      <c r="G1708" s="15">
        <v>0.0754559862465414</v>
      </c>
      <c r="H1708" s="11" t="s">
        <v>45</v>
      </c>
      <c r="I1708" s="16">
        <v>11.200000000000001</v>
      </c>
      <c r="J1708" s="11" t="s">
        <v>317</v>
      </c>
      <c r="K1708" s="11" t="s">
        <v>65</v>
      </c>
      <c r="L1708" s="11" t="s">
        <v>27</v>
      </c>
      <c r="M1708" s="11" t="s">
        <v>66</v>
      </c>
      <c r="N1708" s="11" t="s">
        <v>69</v>
      </c>
      <c r="O1708" s="11" t="s">
        <v>1918</v>
      </c>
      <c r="P1708" s="11" t="s">
        <v>52</v>
      </c>
      <c r="Q1708" s="20">
        <v>40097.0</v>
      </c>
      <c r="R1708" s="17">
        <f t="shared" si="2"/>
        <v>259.7044135</v>
      </c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>
        <f t="shared" si="8"/>
        <v>1</v>
      </c>
      <c r="AF1708" s="19">
        <f t="shared" si="13"/>
        <v>5</v>
      </c>
      <c r="AG1708" s="9"/>
      <c r="AH1708" s="9"/>
      <c r="AI1708" s="9"/>
    </row>
    <row r="1709" ht="15.0" customHeight="1">
      <c r="A1709" s="11">
        <v>1708.0</v>
      </c>
      <c r="B1709" s="12">
        <f t="shared" si="270"/>
        <v>40095</v>
      </c>
      <c r="C1709" s="13">
        <v>2009.0</v>
      </c>
      <c r="D1709" s="11" t="s">
        <v>23</v>
      </c>
      <c r="E1709" s="11">
        <v>29.0</v>
      </c>
      <c r="F1709" s="21" t="s">
        <v>158</v>
      </c>
      <c r="G1709" s="15">
        <v>0.08314477468839869</v>
      </c>
      <c r="H1709" s="11" t="s">
        <v>33</v>
      </c>
      <c r="I1709" s="16">
        <v>5.656000000000001</v>
      </c>
      <c r="J1709" s="11" t="s">
        <v>317</v>
      </c>
      <c r="K1709" s="11" t="s">
        <v>65</v>
      </c>
      <c r="L1709" s="11" t="s">
        <v>27</v>
      </c>
      <c r="M1709" s="11" t="s">
        <v>28</v>
      </c>
      <c r="N1709" s="11" t="s">
        <v>56</v>
      </c>
      <c r="O1709" s="11" t="s">
        <v>1919</v>
      </c>
      <c r="P1709" s="11" t="s">
        <v>38</v>
      </c>
      <c r="Q1709" s="20">
        <v>40097.0</v>
      </c>
      <c r="R1709" s="17">
        <f t="shared" si="2"/>
        <v>15.90193703</v>
      </c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>
        <f t="shared" si="8"/>
        <v>1</v>
      </c>
      <c r="AF1709" s="19">
        <f t="shared" si="13"/>
        <v>5</v>
      </c>
      <c r="AG1709" s="9"/>
      <c r="AH1709" s="9"/>
      <c r="AI1709" s="9"/>
    </row>
    <row r="1710" ht="15.0" customHeight="1">
      <c r="A1710" s="11">
        <v>1709.0</v>
      </c>
      <c r="B1710" s="12">
        <f t="shared" ref="B1710:B1714" si="271">DATE(2012,12,31)-1178</f>
        <v>40096</v>
      </c>
      <c r="C1710" s="13">
        <v>2009.0</v>
      </c>
      <c r="D1710" s="11" t="s">
        <v>32</v>
      </c>
      <c r="E1710" s="11">
        <v>19.0</v>
      </c>
      <c r="F1710" s="21" t="s">
        <v>142</v>
      </c>
      <c r="G1710" s="15">
        <v>0.08525881570192947</v>
      </c>
      <c r="H1710" s="11" t="s">
        <v>33</v>
      </c>
      <c r="I1710" s="16">
        <v>5.328</v>
      </c>
      <c r="J1710" s="11" t="s">
        <v>898</v>
      </c>
      <c r="K1710" s="11" t="s">
        <v>35</v>
      </c>
      <c r="L1710" s="11" t="s">
        <v>48</v>
      </c>
      <c r="M1710" s="11" t="s">
        <v>28</v>
      </c>
      <c r="N1710" s="11" t="s">
        <v>236</v>
      </c>
      <c r="O1710" s="11" t="s">
        <v>1389</v>
      </c>
      <c r="P1710" s="11" t="s">
        <v>38</v>
      </c>
      <c r="Q1710" s="20">
        <v>40097.0</v>
      </c>
      <c r="R1710" s="17">
        <f t="shared" si="2"/>
        <v>58.60929716</v>
      </c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>
        <f t="shared" si="8"/>
        <v>4</v>
      </c>
      <c r="AF1710" s="19">
        <f t="shared" si="13"/>
        <v>2</v>
      </c>
      <c r="AG1710" s="9"/>
      <c r="AH1710" s="9"/>
      <c r="AI1710" s="9"/>
    </row>
    <row r="1711" ht="15.0" customHeight="1">
      <c r="A1711" s="11">
        <v>1710.0</v>
      </c>
      <c r="B1711" s="12">
        <f t="shared" si="271"/>
        <v>40096</v>
      </c>
      <c r="C1711" s="13">
        <v>2009.0</v>
      </c>
      <c r="D1711" s="11" t="s">
        <v>39</v>
      </c>
      <c r="E1711" s="11">
        <v>5.0</v>
      </c>
      <c r="F1711" s="21" t="s">
        <v>924</v>
      </c>
      <c r="G1711" s="15">
        <v>0.09885496183206106</v>
      </c>
      <c r="H1711" s="11" t="s">
        <v>33</v>
      </c>
      <c r="I1711" s="16">
        <v>1.72</v>
      </c>
      <c r="J1711" s="11" t="s">
        <v>340</v>
      </c>
      <c r="K1711" s="11" t="s">
        <v>26</v>
      </c>
      <c r="L1711" s="11" t="s">
        <v>27</v>
      </c>
      <c r="M1711" s="11" t="s">
        <v>28</v>
      </c>
      <c r="N1711" s="11" t="s">
        <v>56</v>
      </c>
      <c r="O1711" s="11" t="s">
        <v>57</v>
      </c>
      <c r="P1711" s="11" t="s">
        <v>58</v>
      </c>
      <c r="Q1711" s="20">
        <v>40098.0</v>
      </c>
      <c r="R1711" s="17">
        <f t="shared" si="2"/>
        <v>4.667931298</v>
      </c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>
        <f t="shared" si="8"/>
        <v>1</v>
      </c>
      <c r="AF1711" s="19">
        <f t="shared" si="13"/>
        <v>1</v>
      </c>
      <c r="AG1711" s="9"/>
      <c r="AH1711" s="9"/>
      <c r="AI1711" s="9"/>
    </row>
    <row r="1712" ht="15.0" customHeight="1">
      <c r="A1712" s="11">
        <v>1711.0</v>
      </c>
      <c r="B1712" s="12">
        <f t="shared" si="271"/>
        <v>40096</v>
      </c>
      <c r="C1712" s="13">
        <v>2009.0</v>
      </c>
      <c r="D1712" s="11" t="s">
        <v>44</v>
      </c>
      <c r="E1712" s="11">
        <v>10.0</v>
      </c>
      <c r="F1712" s="21" t="s">
        <v>126</v>
      </c>
      <c r="G1712" s="15">
        <v>0.09513513513513522</v>
      </c>
      <c r="H1712" s="11" t="s">
        <v>33</v>
      </c>
      <c r="I1712" s="16">
        <v>4.5680000000000005</v>
      </c>
      <c r="J1712" s="11" t="s">
        <v>665</v>
      </c>
      <c r="K1712" s="11" t="s">
        <v>65</v>
      </c>
      <c r="L1712" s="11" t="s">
        <v>36</v>
      </c>
      <c r="M1712" s="11" t="s">
        <v>49</v>
      </c>
      <c r="N1712" s="11" t="s">
        <v>73</v>
      </c>
      <c r="O1712" s="11" t="s">
        <v>1920</v>
      </c>
      <c r="P1712" s="11" t="s">
        <v>75</v>
      </c>
      <c r="Q1712" s="20">
        <v>40098.0</v>
      </c>
      <c r="R1712" s="17">
        <f t="shared" si="2"/>
        <v>5.096198919</v>
      </c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>
        <f t="shared" si="8"/>
        <v>2</v>
      </c>
      <c r="AF1712" s="19">
        <f t="shared" si="13"/>
        <v>5</v>
      </c>
      <c r="AG1712" s="9"/>
      <c r="AH1712" s="9"/>
      <c r="AI1712" s="9"/>
    </row>
    <row r="1713" ht="15.0" customHeight="1">
      <c r="A1713" s="11">
        <v>1712.0</v>
      </c>
      <c r="B1713" s="12">
        <f t="shared" si="271"/>
        <v>40096</v>
      </c>
      <c r="C1713" s="13">
        <v>2009.0</v>
      </c>
      <c r="D1713" s="11" t="s">
        <v>44</v>
      </c>
      <c r="E1713" s="11">
        <v>26.0</v>
      </c>
      <c r="F1713" s="21" t="s">
        <v>210</v>
      </c>
      <c r="G1713" s="15">
        <v>0.09134487350199715</v>
      </c>
      <c r="H1713" s="11" t="s">
        <v>33</v>
      </c>
      <c r="I1713" s="16">
        <v>0.6400000000000001</v>
      </c>
      <c r="J1713" s="11" t="s">
        <v>665</v>
      </c>
      <c r="K1713" s="11" t="s">
        <v>65</v>
      </c>
      <c r="L1713" s="11" t="s">
        <v>36</v>
      </c>
      <c r="M1713" s="11" t="s">
        <v>28</v>
      </c>
      <c r="N1713" s="11" t="s">
        <v>216</v>
      </c>
      <c r="O1713" s="11" t="s">
        <v>1290</v>
      </c>
      <c r="P1713" s="11" t="s">
        <v>58</v>
      </c>
      <c r="Q1713" s="20">
        <v>40098.0</v>
      </c>
      <c r="R1713" s="17">
        <f t="shared" si="2"/>
        <v>6.233374168</v>
      </c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>
        <f t="shared" si="8"/>
        <v>2</v>
      </c>
      <c r="AF1713" s="19">
        <f t="shared" si="13"/>
        <v>5</v>
      </c>
      <c r="AG1713" s="9"/>
      <c r="AH1713" s="9"/>
      <c r="AI1713" s="9"/>
    </row>
    <row r="1714" ht="15.0" customHeight="1">
      <c r="A1714" s="11">
        <v>1713.0</v>
      </c>
      <c r="B1714" s="12">
        <f t="shared" si="271"/>
        <v>40096</v>
      </c>
      <c r="C1714" s="13">
        <v>2009.0</v>
      </c>
      <c r="D1714" s="11" t="s">
        <v>44</v>
      </c>
      <c r="E1714" s="11">
        <v>46.0</v>
      </c>
      <c r="F1714" s="21" t="s">
        <v>178</v>
      </c>
      <c r="G1714" s="15">
        <v>0.0309860951651996</v>
      </c>
      <c r="H1714" s="11" t="s">
        <v>33</v>
      </c>
      <c r="I1714" s="16">
        <v>7.040000000000001</v>
      </c>
      <c r="J1714" s="11" t="s">
        <v>665</v>
      </c>
      <c r="K1714" s="11" t="s">
        <v>65</v>
      </c>
      <c r="L1714" s="11" t="s">
        <v>36</v>
      </c>
      <c r="M1714" s="11" t="s">
        <v>66</v>
      </c>
      <c r="N1714" s="11" t="s">
        <v>80</v>
      </c>
      <c r="O1714" s="11" t="s">
        <v>812</v>
      </c>
      <c r="P1714" s="11" t="s">
        <v>38</v>
      </c>
      <c r="Q1714" s="20">
        <v>40099.0</v>
      </c>
      <c r="R1714" s="17">
        <f t="shared" si="2"/>
        <v>94.14939099</v>
      </c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>
        <f t="shared" si="8"/>
        <v>2</v>
      </c>
      <c r="AF1714" s="19">
        <f t="shared" si="13"/>
        <v>5</v>
      </c>
      <c r="AG1714" s="9"/>
      <c r="AH1714" s="9"/>
      <c r="AI1714" s="9"/>
    </row>
    <row r="1715" ht="15.0" customHeight="1">
      <c r="A1715" s="11">
        <v>1714.0</v>
      </c>
      <c r="B1715" s="12">
        <f t="shared" ref="B1715:B1719" si="272">DATE(2012,12,31)-1177</f>
        <v>40097</v>
      </c>
      <c r="C1715" s="13">
        <v>2009.0</v>
      </c>
      <c r="D1715" s="11" t="s">
        <v>32</v>
      </c>
      <c r="E1715" s="11">
        <v>25.0</v>
      </c>
      <c r="F1715" s="21" t="s">
        <v>1015</v>
      </c>
      <c r="G1715" s="15">
        <v>0.019080612924716887</v>
      </c>
      <c r="H1715" s="11" t="s">
        <v>33</v>
      </c>
      <c r="I1715" s="16">
        <v>4.736</v>
      </c>
      <c r="J1715" s="11" t="s">
        <v>1921</v>
      </c>
      <c r="K1715" s="11" t="s">
        <v>35</v>
      </c>
      <c r="L1715" s="11" t="s">
        <v>27</v>
      </c>
      <c r="M1715" s="11" t="s">
        <v>49</v>
      </c>
      <c r="N1715" s="11" t="s">
        <v>73</v>
      </c>
      <c r="O1715" s="11" t="s">
        <v>1063</v>
      </c>
      <c r="P1715" s="11" t="s">
        <v>75</v>
      </c>
      <c r="Q1715" s="20">
        <v>40099.0</v>
      </c>
      <c r="R1715" s="17">
        <f t="shared" si="2"/>
        <v>2.809353125</v>
      </c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>
        <f t="shared" si="8"/>
        <v>1</v>
      </c>
      <c r="AF1715" s="19">
        <f t="shared" si="13"/>
        <v>2</v>
      </c>
      <c r="AG1715" s="9"/>
      <c r="AH1715" s="9"/>
      <c r="AI1715" s="9"/>
    </row>
    <row r="1716" ht="15.0" customHeight="1">
      <c r="A1716" s="11">
        <v>1715.0</v>
      </c>
      <c r="B1716" s="12">
        <f t="shared" si="272"/>
        <v>40097</v>
      </c>
      <c r="C1716" s="13">
        <v>2009.0</v>
      </c>
      <c r="D1716" s="11" t="s">
        <v>44</v>
      </c>
      <c r="E1716" s="11">
        <v>13.0</v>
      </c>
      <c r="F1716" s="21" t="s">
        <v>1922</v>
      </c>
      <c r="G1716" s="15">
        <v>0.03220665868937853</v>
      </c>
      <c r="H1716" s="11" t="s">
        <v>33</v>
      </c>
      <c r="I1716" s="16">
        <v>15.144</v>
      </c>
      <c r="J1716" s="11" t="s">
        <v>882</v>
      </c>
      <c r="K1716" s="11" t="s">
        <v>65</v>
      </c>
      <c r="L1716" s="11" t="s">
        <v>48</v>
      </c>
      <c r="M1716" s="11" t="s">
        <v>28</v>
      </c>
      <c r="N1716" s="11" t="s">
        <v>197</v>
      </c>
      <c r="O1716" s="11" t="s">
        <v>1923</v>
      </c>
      <c r="P1716" s="11" t="s">
        <v>38</v>
      </c>
      <c r="Q1716" s="20">
        <v>40099.0</v>
      </c>
      <c r="R1716" s="17">
        <f t="shared" si="2"/>
        <v>44.28235213</v>
      </c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>
        <f t="shared" si="8"/>
        <v>4</v>
      </c>
      <c r="AF1716" s="19">
        <f t="shared" si="13"/>
        <v>5</v>
      </c>
      <c r="AG1716" s="9"/>
      <c r="AH1716" s="9"/>
      <c r="AI1716" s="9"/>
    </row>
    <row r="1717" ht="15.0" customHeight="1">
      <c r="A1717" s="11">
        <v>1716.0</v>
      </c>
      <c r="B1717" s="12">
        <f t="shared" si="272"/>
        <v>40097</v>
      </c>
      <c r="C1717" s="13">
        <v>2009.0</v>
      </c>
      <c r="D1717" s="11" t="s">
        <v>44</v>
      </c>
      <c r="E1717" s="11">
        <v>49.0</v>
      </c>
      <c r="F1717" s="21" t="s">
        <v>199</v>
      </c>
      <c r="G1717" s="15">
        <v>0.03660744217230981</v>
      </c>
      <c r="H1717" s="11" t="s">
        <v>33</v>
      </c>
      <c r="I1717" s="16">
        <v>6.36</v>
      </c>
      <c r="J1717" s="11" t="s">
        <v>882</v>
      </c>
      <c r="K1717" s="11" t="s">
        <v>65</v>
      </c>
      <c r="L1717" s="11" t="s">
        <v>48</v>
      </c>
      <c r="M1717" s="11" t="s">
        <v>28</v>
      </c>
      <c r="N1717" s="11" t="s">
        <v>62</v>
      </c>
      <c r="O1717" s="11" t="s">
        <v>1924</v>
      </c>
      <c r="P1717" s="11" t="s">
        <v>99</v>
      </c>
      <c r="Q1717" s="20">
        <v>40099.0</v>
      </c>
      <c r="R1717" s="17">
        <f t="shared" si="2"/>
        <v>21.04049346</v>
      </c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>
        <f t="shared" si="8"/>
        <v>4</v>
      </c>
      <c r="AF1717" s="19">
        <f t="shared" si="13"/>
        <v>5</v>
      </c>
      <c r="AG1717" s="9"/>
      <c r="AH1717" s="9"/>
      <c r="AI1717" s="9"/>
    </row>
    <row r="1718" ht="15.0" customHeight="1">
      <c r="A1718" s="11">
        <v>1717.0</v>
      </c>
      <c r="B1718" s="12">
        <f t="shared" si="272"/>
        <v>40097</v>
      </c>
      <c r="C1718" s="13">
        <v>2009.0</v>
      </c>
      <c r="D1718" s="11" t="s">
        <v>102</v>
      </c>
      <c r="E1718" s="11">
        <v>3.0</v>
      </c>
      <c r="F1718" s="21" t="s">
        <v>552</v>
      </c>
      <c r="G1718" s="15">
        <v>0.0834834834834833</v>
      </c>
      <c r="H1718" s="11" t="s">
        <v>33</v>
      </c>
      <c r="I1718" s="16">
        <v>8.92</v>
      </c>
      <c r="J1718" s="11" t="s">
        <v>1513</v>
      </c>
      <c r="K1718" s="11" t="s">
        <v>83</v>
      </c>
      <c r="L1718" s="11" t="s">
        <v>48</v>
      </c>
      <c r="M1718" s="11" t="s">
        <v>28</v>
      </c>
      <c r="N1718" s="11" t="s">
        <v>56</v>
      </c>
      <c r="O1718" s="11" t="s">
        <v>553</v>
      </c>
      <c r="P1718" s="11" t="s">
        <v>38</v>
      </c>
      <c r="Q1718" s="20">
        <v>40100.0</v>
      </c>
      <c r="R1718" s="17">
        <f t="shared" si="2"/>
        <v>2.547915916</v>
      </c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>
        <f t="shared" si="8"/>
        <v>4</v>
      </c>
      <c r="AF1718" s="19" t="b">
        <f t="shared" si="13"/>
        <v>0</v>
      </c>
      <c r="AG1718" s="9"/>
      <c r="AH1718" s="9"/>
      <c r="AI1718" s="9"/>
    </row>
    <row r="1719" ht="15.0" customHeight="1">
      <c r="A1719" s="11">
        <v>1718.0</v>
      </c>
      <c r="B1719" s="12">
        <f t="shared" si="272"/>
        <v>40097</v>
      </c>
      <c r="C1719" s="13">
        <v>2009.0</v>
      </c>
      <c r="D1719" s="11" t="s">
        <v>44</v>
      </c>
      <c r="E1719" s="11">
        <v>46.0</v>
      </c>
      <c r="F1719" s="21" t="s">
        <v>709</v>
      </c>
      <c r="G1719" s="15">
        <v>0.08516687268232392</v>
      </c>
      <c r="H1719" s="11" t="s">
        <v>24</v>
      </c>
      <c r="I1719" s="16">
        <v>4.920000000000001</v>
      </c>
      <c r="J1719" s="11" t="s">
        <v>1385</v>
      </c>
      <c r="K1719" s="11" t="s">
        <v>61</v>
      </c>
      <c r="L1719" s="11" t="s">
        <v>48</v>
      </c>
      <c r="M1719" s="11" t="s">
        <v>49</v>
      </c>
      <c r="N1719" s="11" t="s">
        <v>73</v>
      </c>
      <c r="O1719" s="11" t="s">
        <v>710</v>
      </c>
      <c r="P1719" s="11" t="s">
        <v>99</v>
      </c>
      <c r="Q1719" s="20">
        <v>40100.0</v>
      </c>
      <c r="R1719" s="17">
        <f t="shared" si="2"/>
        <v>75.63840297</v>
      </c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>
        <f t="shared" si="8"/>
        <v>4</v>
      </c>
      <c r="AF1719" s="19">
        <f t="shared" si="13"/>
        <v>4</v>
      </c>
      <c r="AG1719" s="9"/>
      <c r="AH1719" s="9"/>
      <c r="AI1719" s="9"/>
    </row>
    <row r="1720" ht="15.0" customHeight="1">
      <c r="A1720" s="11">
        <v>1719.0</v>
      </c>
      <c r="B1720" s="12">
        <f t="shared" ref="B1720:B1721" si="273">DATE(2012,12,31)-1176</f>
        <v>40098</v>
      </c>
      <c r="C1720" s="13">
        <v>2009.0</v>
      </c>
      <c r="D1720" s="11" t="s">
        <v>23</v>
      </c>
      <c r="E1720" s="11">
        <v>15.0</v>
      </c>
      <c r="F1720" s="21" t="s">
        <v>135</v>
      </c>
      <c r="G1720" s="15">
        <v>0.04297994269340974</v>
      </c>
      <c r="H1720" s="11" t="s">
        <v>33</v>
      </c>
      <c r="I1720" s="16">
        <v>1.2000000000000002</v>
      </c>
      <c r="J1720" s="11" t="s">
        <v>1845</v>
      </c>
      <c r="K1720" s="11" t="s">
        <v>65</v>
      </c>
      <c r="L1720" s="11" t="s">
        <v>48</v>
      </c>
      <c r="M1720" s="11" t="s">
        <v>28</v>
      </c>
      <c r="N1720" s="11" t="s">
        <v>62</v>
      </c>
      <c r="O1720" s="11" t="s">
        <v>978</v>
      </c>
      <c r="P1720" s="11" t="s">
        <v>58</v>
      </c>
      <c r="Q1720" s="20">
        <v>40101.0</v>
      </c>
      <c r="R1720" s="17">
        <f t="shared" si="2"/>
        <v>4.306590258</v>
      </c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>
        <f t="shared" si="8"/>
        <v>4</v>
      </c>
      <c r="AF1720" s="19">
        <f t="shared" si="13"/>
        <v>5</v>
      </c>
      <c r="AG1720" s="9"/>
      <c r="AH1720" s="9"/>
      <c r="AI1720" s="9"/>
    </row>
    <row r="1721" ht="15.0" customHeight="1">
      <c r="A1721" s="11">
        <v>1720.0</v>
      </c>
      <c r="B1721" s="12">
        <f t="shared" si="273"/>
        <v>40098</v>
      </c>
      <c r="C1721" s="13">
        <v>2009.0</v>
      </c>
      <c r="D1721" s="11" t="s">
        <v>44</v>
      </c>
      <c r="E1721" s="11">
        <v>4.0</v>
      </c>
      <c r="F1721" s="21" t="s">
        <v>389</v>
      </c>
      <c r="G1721" s="15">
        <v>0.062464183381088806</v>
      </c>
      <c r="H1721" s="11" t="s">
        <v>45</v>
      </c>
      <c r="I1721" s="16">
        <v>11.200000000000001</v>
      </c>
      <c r="J1721" s="11" t="s">
        <v>1425</v>
      </c>
      <c r="K1721" s="11" t="s">
        <v>47</v>
      </c>
      <c r="L1721" s="11" t="s">
        <v>41</v>
      </c>
      <c r="M1721" s="11" t="s">
        <v>66</v>
      </c>
      <c r="N1721" s="11" t="s">
        <v>69</v>
      </c>
      <c r="O1721" s="11" t="s">
        <v>1502</v>
      </c>
      <c r="P1721" s="11" t="s">
        <v>52</v>
      </c>
      <c r="Q1721" s="20">
        <v>40101.0</v>
      </c>
      <c r="R1721" s="17">
        <f t="shared" si="2"/>
        <v>30.6574212</v>
      </c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>
        <f t="shared" si="8"/>
        <v>3</v>
      </c>
      <c r="AF1721" s="19">
        <f t="shared" si="13"/>
        <v>3</v>
      </c>
      <c r="AG1721" s="9"/>
      <c r="AH1721" s="9"/>
      <c r="AI1721" s="9"/>
    </row>
    <row r="1722" ht="15.0" customHeight="1">
      <c r="A1722" s="11">
        <v>1721.0</v>
      </c>
      <c r="B1722" s="12">
        <f t="shared" ref="B1722:B1727" si="274">DATE(2012,12,31)-1175</f>
        <v>40099</v>
      </c>
      <c r="C1722" s="13">
        <v>2009.0</v>
      </c>
      <c r="D1722" s="11" t="s">
        <v>39</v>
      </c>
      <c r="E1722" s="11">
        <v>12.0</v>
      </c>
      <c r="F1722" s="21" t="s">
        <v>610</v>
      </c>
      <c r="G1722" s="15">
        <v>0.05490000000000013</v>
      </c>
      <c r="H1722" s="11" t="s">
        <v>33</v>
      </c>
      <c r="I1722" s="16">
        <v>4.816</v>
      </c>
      <c r="J1722" s="11" t="s">
        <v>769</v>
      </c>
      <c r="K1722" s="11" t="s">
        <v>35</v>
      </c>
      <c r="L1722" s="11" t="s">
        <v>48</v>
      </c>
      <c r="M1722" s="11" t="s">
        <v>49</v>
      </c>
      <c r="N1722" s="11" t="s">
        <v>73</v>
      </c>
      <c r="O1722" s="11" t="s">
        <v>1925</v>
      </c>
      <c r="P1722" s="11" t="s">
        <v>99</v>
      </c>
      <c r="Q1722" s="20">
        <v>40101.0</v>
      </c>
      <c r="R1722" s="17">
        <f t="shared" si="2"/>
        <v>8.3017584</v>
      </c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>
        <f t="shared" si="8"/>
        <v>4</v>
      </c>
      <c r="AF1722" s="19">
        <f t="shared" si="13"/>
        <v>2</v>
      </c>
      <c r="AG1722" s="9"/>
      <c r="AH1722" s="9"/>
      <c r="AI1722" s="9"/>
    </row>
    <row r="1723" ht="15.0" customHeight="1">
      <c r="A1723" s="11">
        <v>1722.0</v>
      </c>
      <c r="B1723" s="12">
        <f t="shared" si="274"/>
        <v>40099</v>
      </c>
      <c r="C1723" s="13">
        <v>2009.0</v>
      </c>
      <c r="D1723" s="11" t="s">
        <v>102</v>
      </c>
      <c r="E1723" s="11">
        <v>31.0</v>
      </c>
      <c r="F1723" s="21" t="s">
        <v>1088</v>
      </c>
      <c r="G1723" s="15">
        <v>0.022075236488964044</v>
      </c>
      <c r="H1723" s="11" t="s">
        <v>33</v>
      </c>
      <c r="I1723" s="16">
        <v>3.696</v>
      </c>
      <c r="J1723" s="11" t="s">
        <v>88</v>
      </c>
      <c r="K1723" s="11" t="s">
        <v>35</v>
      </c>
      <c r="L1723" s="11" t="s">
        <v>48</v>
      </c>
      <c r="M1723" s="11" t="s">
        <v>28</v>
      </c>
      <c r="N1723" s="11" t="s">
        <v>197</v>
      </c>
      <c r="O1723" s="11" t="s">
        <v>1090</v>
      </c>
      <c r="P1723" s="11" t="s">
        <v>38</v>
      </c>
      <c r="Q1723" s="20">
        <v>40101.0</v>
      </c>
      <c r="R1723" s="17">
        <f t="shared" si="2"/>
        <v>29.43944708</v>
      </c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>
        <f t="shared" si="8"/>
        <v>4</v>
      </c>
      <c r="AF1723" s="19">
        <f t="shared" si="13"/>
        <v>2</v>
      </c>
      <c r="AG1723" s="9"/>
      <c r="AH1723" s="9"/>
      <c r="AI1723" s="9"/>
    </row>
    <row r="1724" ht="15.0" customHeight="1">
      <c r="A1724" s="11">
        <v>1723.0</v>
      </c>
      <c r="B1724" s="12">
        <f t="shared" si="274"/>
        <v>40099</v>
      </c>
      <c r="C1724" s="13">
        <v>2009.0</v>
      </c>
      <c r="D1724" s="11" t="s">
        <v>32</v>
      </c>
      <c r="E1724" s="11">
        <v>37.0</v>
      </c>
      <c r="F1724" s="21" t="s">
        <v>130</v>
      </c>
      <c r="G1724" s="15">
        <v>0.012744338241625726</v>
      </c>
      <c r="H1724" s="11" t="s">
        <v>33</v>
      </c>
      <c r="I1724" s="16">
        <v>3.2</v>
      </c>
      <c r="J1724" s="11" t="s">
        <v>895</v>
      </c>
      <c r="K1724" s="11" t="s">
        <v>35</v>
      </c>
      <c r="L1724" s="11" t="s">
        <v>27</v>
      </c>
      <c r="M1724" s="11" t="s">
        <v>66</v>
      </c>
      <c r="N1724" s="11" t="s">
        <v>67</v>
      </c>
      <c r="O1724" s="11" t="s">
        <v>1926</v>
      </c>
      <c r="P1724" s="11" t="s">
        <v>38</v>
      </c>
      <c r="Q1724" s="20">
        <v>40102.0</v>
      </c>
      <c r="R1724" s="17">
        <f t="shared" si="2"/>
        <v>14.61138379</v>
      </c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>
        <f t="shared" si="8"/>
        <v>1</v>
      </c>
      <c r="AF1724" s="19">
        <f t="shared" si="13"/>
        <v>2</v>
      </c>
      <c r="AG1724" s="9"/>
      <c r="AH1724" s="9"/>
      <c r="AI1724" s="9"/>
    </row>
    <row r="1725" ht="15.0" customHeight="1">
      <c r="A1725" s="11">
        <v>1724.0</v>
      </c>
      <c r="B1725" s="12">
        <f t="shared" si="274"/>
        <v>40099</v>
      </c>
      <c r="C1725" s="13">
        <v>2009.0</v>
      </c>
      <c r="D1725" s="11" t="s">
        <v>32</v>
      </c>
      <c r="E1725" s="11">
        <v>50.0</v>
      </c>
      <c r="F1725" s="21" t="s">
        <v>128</v>
      </c>
      <c r="G1725" s="15">
        <v>0.07495162734706458</v>
      </c>
      <c r="H1725" s="11" t="s">
        <v>33</v>
      </c>
      <c r="I1725" s="16">
        <v>6.152000000000001</v>
      </c>
      <c r="J1725" s="11" t="s">
        <v>895</v>
      </c>
      <c r="K1725" s="11" t="s">
        <v>35</v>
      </c>
      <c r="L1725" s="11" t="s">
        <v>27</v>
      </c>
      <c r="M1725" s="11" t="s">
        <v>66</v>
      </c>
      <c r="N1725" s="11" t="s">
        <v>80</v>
      </c>
      <c r="O1725" s="11" t="s">
        <v>589</v>
      </c>
      <c r="P1725" s="11" t="s">
        <v>38</v>
      </c>
      <c r="Q1725" s="20">
        <v>40102.0</v>
      </c>
      <c r="R1725" s="17">
        <f t="shared" si="2"/>
        <v>472.2815966</v>
      </c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>
        <f t="shared" si="8"/>
        <v>1</v>
      </c>
      <c r="AF1725" s="19">
        <f t="shared" si="13"/>
        <v>2</v>
      </c>
      <c r="AG1725" s="9"/>
      <c r="AH1725" s="9"/>
      <c r="AI1725" s="9"/>
    </row>
    <row r="1726" ht="15.0" customHeight="1">
      <c r="A1726" s="11">
        <v>1725.0</v>
      </c>
      <c r="B1726" s="12">
        <f t="shared" si="274"/>
        <v>40099</v>
      </c>
      <c r="C1726" s="13">
        <v>2009.0</v>
      </c>
      <c r="D1726" s="11" t="s">
        <v>44</v>
      </c>
      <c r="E1726" s="11">
        <v>48.0</v>
      </c>
      <c r="F1726" s="21" t="s">
        <v>284</v>
      </c>
      <c r="G1726" s="15">
        <v>0.046013320647002844</v>
      </c>
      <c r="H1726" s="11" t="s">
        <v>33</v>
      </c>
      <c r="I1726" s="16">
        <v>4.264</v>
      </c>
      <c r="J1726" s="11" t="s">
        <v>1648</v>
      </c>
      <c r="K1726" s="11" t="s">
        <v>35</v>
      </c>
      <c r="L1726" s="11" t="s">
        <v>27</v>
      </c>
      <c r="M1726" s="11" t="s">
        <v>49</v>
      </c>
      <c r="N1726" s="11" t="s">
        <v>73</v>
      </c>
      <c r="O1726" s="11" t="s">
        <v>286</v>
      </c>
      <c r="P1726" s="11" t="s">
        <v>38</v>
      </c>
      <c r="Q1726" s="20">
        <v>40102.0</v>
      </c>
      <c r="R1726" s="17">
        <f t="shared" si="2"/>
        <v>4.613479581</v>
      </c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>
        <f t="shared" si="8"/>
        <v>1</v>
      </c>
      <c r="AF1726" s="19">
        <f t="shared" si="13"/>
        <v>2</v>
      </c>
      <c r="AG1726" s="9"/>
      <c r="AH1726" s="9"/>
      <c r="AI1726" s="9"/>
    </row>
    <row r="1727" ht="15.0" customHeight="1">
      <c r="A1727" s="11">
        <v>1726.0</v>
      </c>
      <c r="B1727" s="12">
        <f t="shared" si="274"/>
        <v>40099</v>
      </c>
      <c r="C1727" s="13">
        <v>2009.0</v>
      </c>
      <c r="D1727" s="11" t="s">
        <v>23</v>
      </c>
      <c r="E1727" s="11">
        <v>22.0</v>
      </c>
      <c r="F1727" s="21" t="s">
        <v>1416</v>
      </c>
      <c r="G1727" s="15">
        <v>0.06857536290091226</v>
      </c>
      <c r="H1727" s="11" t="s">
        <v>45</v>
      </c>
      <c r="I1727" s="16">
        <v>36.96</v>
      </c>
      <c r="J1727" s="11" t="s">
        <v>857</v>
      </c>
      <c r="K1727" s="11" t="s">
        <v>35</v>
      </c>
      <c r="L1727" s="11" t="s">
        <v>48</v>
      </c>
      <c r="M1727" s="11" t="s">
        <v>49</v>
      </c>
      <c r="N1727" s="11" t="s">
        <v>85</v>
      </c>
      <c r="O1727" s="11" t="s">
        <v>1418</v>
      </c>
      <c r="P1727" s="11" t="s">
        <v>87</v>
      </c>
      <c r="Q1727" s="20">
        <v>40103.0</v>
      </c>
      <c r="R1727" s="17">
        <f t="shared" si="2"/>
        <v>222.6477453</v>
      </c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>
        <f t="shared" si="8"/>
        <v>4</v>
      </c>
      <c r="AF1727" s="19">
        <f t="shared" si="13"/>
        <v>2</v>
      </c>
      <c r="AG1727" s="9"/>
      <c r="AH1727" s="9"/>
      <c r="AI1727" s="9"/>
    </row>
    <row r="1728" ht="15.0" customHeight="1">
      <c r="A1728" s="11">
        <v>1727.0</v>
      </c>
      <c r="B1728" s="12">
        <f t="shared" ref="B1728:B1736" si="275">DATE(2012,12,31)-1173</f>
        <v>40101</v>
      </c>
      <c r="C1728" s="13">
        <v>2009.0</v>
      </c>
      <c r="D1728" s="11" t="s">
        <v>44</v>
      </c>
      <c r="E1728" s="11">
        <v>35.0</v>
      </c>
      <c r="F1728" s="21" t="s">
        <v>126</v>
      </c>
      <c r="G1728" s="15">
        <v>0.0329591280653951</v>
      </c>
      <c r="H1728" s="11" t="s">
        <v>33</v>
      </c>
      <c r="I1728" s="16">
        <v>5.952000000000001</v>
      </c>
      <c r="J1728" s="11" t="s">
        <v>488</v>
      </c>
      <c r="K1728" s="11" t="s">
        <v>61</v>
      </c>
      <c r="L1728" s="11" t="s">
        <v>48</v>
      </c>
      <c r="M1728" s="11" t="s">
        <v>28</v>
      </c>
      <c r="N1728" s="11" t="s">
        <v>56</v>
      </c>
      <c r="O1728" s="11" t="s">
        <v>1230</v>
      </c>
      <c r="P1728" s="11" t="s">
        <v>38</v>
      </c>
      <c r="Q1728" s="20">
        <v>40103.0</v>
      </c>
      <c r="R1728" s="17">
        <f t="shared" si="2"/>
        <v>5.848663193</v>
      </c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>
        <f t="shared" si="8"/>
        <v>4</v>
      </c>
      <c r="AF1728" s="19">
        <f t="shared" si="13"/>
        <v>4</v>
      </c>
      <c r="AG1728" s="9"/>
      <c r="AH1728" s="9"/>
      <c r="AI1728" s="9"/>
    </row>
    <row r="1729" ht="15.0" customHeight="1">
      <c r="A1729" s="11">
        <v>1728.0</v>
      </c>
      <c r="B1729" s="12">
        <f t="shared" si="275"/>
        <v>40101</v>
      </c>
      <c r="C1729" s="13">
        <v>2009.0</v>
      </c>
      <c r="D1729" s="11" t="s">
        <v>32</v>
      </c>
      <c r="E1729" s="11">
        <v>19.0</v>
      </c>
      <c r="F1729" s="21" t="s">
        <v>469</v>
      </c>
      <c r="G1729" s="15">
        <v>0.02495384010999816</v>
      </c>
      <c r="H1729" s="11" t="s">
        <v>33</v>
      </c>
      <c r="I1729" s="16">
        <v>4.296</v>
      </c>
      <c r="J1729" s="11" t="s">
        <v>317</v>
      </c>
      <c r="K1729" s="11" t="s">
        <v>65</v>
      </c>
      <c r="L1729" s="11" t="s">
        <v>27</v>
      </c>
      <c r="M1729" s="11" t="s">
        <v>28</v>
      </c>
      <c r="N1729" s="11" t="s">
        <v>62</v>
      </c>
      <c r="O1729" s="11" t="s">
        <v>1728</v>
      </c>
      <c r="P1729" s="11" t="s">
        <v>38</v>
      </c>
      <c r="Q1729" s="20">
        <v>40103.0</v>
      </c>
      <c r="R1729" s="17">
        <f t="shared" si="2"/>
        <v>12.38698642</v>
      </c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>
        <f t="shared" si="8"/>
        <v>1</v>
      </c>
      <c r="AF1729" s="19">
        <f t="shared" si="13"/>
        <v>5</v>
      </c>
      <c r="AG1729" s="9"/>
      <c r="AH1729" s="9"/>
      <c r="AI1729" s="9"/>
    </row>
    <row r="1730" ht="15.0" customHeight="1">
      <c r="A1730" s="11">
        <v>1729.0</v>
      </c>
      <c r="B1730" s="12">
        <f t="shared" si="275"/>
        <v>40101</v>
      </c>
      <c r="C1730" s="13">
        <v>2009.0</v>
      </c>
      <c r="D1730" s="11" t="s">
        <v>39</v>
      </c>
      <c r="E1730" s="11">
        <v>23.0</v>
      </c>
      <c r="F1730" s="21" t="s">
        <v>1538</v>
      </c>
      <c r="G1730" s="15">
        <v>0.09323947110675797</v>
      </c>
      <c r="H1730" s="11" t="s">
        <v>33</v>
      </c>
      <c r="I1730" s="16">
        <v>11.584000000000001</v>
      </c>
      <c r="J1730" s="11" t="s">
        <v>155</v>
      </c>
      <c r="K1730" s="11" t="s">
        <v>117</v>
      </c>
      <c r="L1730" s="11" t="s">
        <v>41</v>
      </c>
      <c r="M1730" s="11" t="s">
        <v>49</v>
      </c>
      <c r="N1730" s="11" t="s">
        <v>73</v>
      </c>
      <c r="O1730" s="11" t="s">
        <v>1539</v>
      </c>
      <c r="P1730" s="11" t="s">
        <v>38</v>
      </c>
      <c r="Q1730" s="20">
        <v>40103.0</v>
      </c>
      <c r="R1730" s="17">
        <f t="shared" si="2"/>
        <v>138.1141367</v>
      </c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>
        <f t="shared" si="8"/>
        <v>3</v>
      </c>
      <c r="AF1730" s="19" t="b">
        <f t="shared" si="13"/>
        <v>0</v>
      </c>
      <c r="AG1730" s="9"/>
      <c r="AH1730" s="9"/>
      <c r="AI1730" s="9"/>
    </row>
    <row r="1731" ht="15.0" customHeight="1">
      <c r="A1731" s="11">
        <v>1730.0</v>
      </c>
      <c r="B1731" s="12">
        <f t="shared" si="275"/>
        <v>40101</v>
      </c>
      <c r="C1731" s="13">
        <v>2009.0</v>
      </c>
      <c r="D1731" s="11" t="s">
        <v>23</v>
      </c>
      <c r="E1731" s="11">
        <v>19.0</v>
      </c>
      <c r="F1731" s="21" t="s">
        <v>1927</v>
      </c>
      <c r="G1731" s="15">
        <v>0.06965283215870521</v>
      </c>
      <c r="H1731" s="11" t="s">
        <v>33</v>
      </c>
      <c r="I1731" s="16">
        <v>3.016</v>
      </c>
      <c r="J1731" s="11" t="s">
        <v>1685</v>
      </c>
      <c r="K1731" s="11" t="s">
        <v>61</v>
      </c>
      <c r="L1731" s="11" t="s">
        <v>41</v>
      </c>
      <c r="M1731" s="11" t="s">
        <v>49</v>
      </c>
      <c r="N1731" s="11" t="s">
        <v>73</v>
      </c>
      <c r="O1731" s="11" t="s">
        <v>1928</v>
      </c>
      <c r="P1731" s="11" t="s">
        <v>99</v>
      </c>
      <c r="Q1731" s="20">
        <v>40103.0</v>
      </c>
      <c r="R1731" s="17">
        <f t="shared" si="2"/>
        <v>24.82538383</v>
      </c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>
        <f t="shared" si="8"/>
        <v>3</v>
      </c>
      <c r="AF1731" s="19">
        <f t="shared" si="13"/>
        <v>4</v>
      </c>
      <c r="AG1731" s="9"/>
      <c r="AH1731" s="9"/>
      <c r="AI1731" s="9"/>
    </row>
    <row r="1732" ht="15.0" customHeight="1">
      <c r="A1732" s="11">
        <v>1731.0</v>
      </c>
      <c r="B1732" s="12">
        <f t="shared" si="275"/>
        <v>40101</v>
      </c>
      <c r="C1732" s="13">
        <v>2009.0</v>
      </c>
      <c r="D1732" s="11" t="s">
        <v>23</v>
      </c>
      <c r="E1732" s="11">
        <v>7.0</v>
      </c>
      <c r="F1732" s="21" t="s">
        <v>872</v>
      </c>
      <c r="G1732" s="15">
        <v>0.07227528089887661</v>
      </c>
      <c r="H1732" s="11" t="s">
        <v>33</v>
      </c>
      <c r="I1732" s="16">
        <v>6.808</v>
      </c>
      <c r="J1732" s="11" t="s">
        <v>1685</v>
      </c>
      <c r="K1732" s="11" t="s">
        <v>61</v>
      </c>
      <c r="L1732" s="11" t="s">
        <v>41</v>
      </c>
      <c r="M1732" s="11" t="s">
        <v>66</v>
      </c>
      <c r="N1732" s="11" t="s">
        <v>69</v>
      </c>
      <c r="O1732" s="11" t="s">
        <v>1000</v>
      </c>
      <c r="P1732" s="11" t="s">
        <v>75</v>
      </c>
      <c r="Q1732" s="20">
        <v>40104.0</v>
      </c>
      <c r="R1732" s="17">
        <f t="shared" si="2"/>
        <v>9.548142809</v>
      </c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>
        <f t="shared" si="8"/>
        <v>3</v>
      </c>
      <c r="AF1732" s="19">
        <f t="shared" si="13"/>
        <v>4</v>
      </c>
      <c r="AG1732" s="9"/>
      <c r="AH1732" s="9"/>
      <c r="AI1732" s="9"/>
    </row>
    <row r="1733" ht="15.0" customHeight="1">
      <c r="A1733" s="11">
        <v>1732.0</v>
      </c>
      <c r="B1733" s="12">
        <f t="shared" si="275"/>
        <v>40101</v>
      </c>
      <c r="C1733" s="13">
        <v>2009.0</v>
      </c>
      <c r="D1733" s="11" t="s">
        <v>23</v>
      </c>
      <c r="E1733" s="11">
        <v>26.0</v>
      </c>
      <c r="F1733" s="21" t="s">
        <v>573</v>
      </c>
      <c r="G1733" s="15">
        <v>0.10201443795118574</v>
      </c>
      <c r="H1733" s="11" t="s">
        <v>24</v>
      </c>
      <c r="I1733" s="16">
        <v>3.8240000000000003</v>
      </c>
      <c r="J1733" s="11" t="s">
        <v>1685</v>
      </c>
      <c r="K1733" s="11" t="s">
        <v>61</v>
      </c>
      <c r="L1733" s="11" t="s">
        <v>41</v>
      </c>
      <c r="M1733" s="11" t="s">
        <v>28</v>
      </c>
      <c r="N1733" s="11" t="s">
        <v>56</v>
      </c>
      <c r="O1733" s="11" t="s">
        <v>1806</v>
      </c>
      <c r="P1733" s="11" t="s">
        <v>38</v>
      </c>
      <c r="Q1733" s="20">
        <v>40104.0</v>
      </c>
      <c r="R1733" s="17">
        <f t="shared" si="2"/>
        <v>26.64861954</v>
      </c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>
        <f t="shared" si="8"/>
        <v>3</v>
      </c>
      <c r="AF1733" s="19">
        <f t="shared" si="13"/>
        <v>4</v>
      </c>
      <c r="AG1733" s="9"/>
      <c r="AH1733" s="9"/>
      <c r="AI1733" s="9"/>
    </row>
    <row r="1734" ht="15.0" customHeight="1">
      <c r="A1734" s="11">
        <v>1733.0</v>
      </c>
      <c r="B1734" s="12">
        <f t="shared" si="275"/>
        <v>40101</v>
      </c>
      <c r="C1734" s="13">
        <v>2009.0</v>
      </c>
      <c r="D1734" s="11" t="s">
        <v>23</v>
      </c>
      <c r="E1734" s="11">
        <v>9.0</v>
      </c>
      <c r="F1734" s="21" t="s">
        <v>788</v>
      </c>
      <c r="G1734" s="15">
        <v>0.07557286519793048</v>
      </c>
      <c r="H1734" s="11" t="s">
        <v>24</v>
      </c>
      <c r="I1734" s="16">
        <v>7.192</v>
      </c>
      <c r="J1734" s="11" t="s">
        <v>1685</v>
      </c>
      <c r="K1734" s="11" t="s">
        <v>61</v>
      </c>
      <c r="L1734" s="11" t="s">
        <v>41</v>
      </c>
      <c r="M1734" s="11" t="s">
        <v>66</v>
      </c>
      <c r="N1734" s="11" t="s">
        <v>80</v>
      </c>
      <c r="O1734" s="11" t="s">
        <v>996</v>
      </c>
      <c r="P1734" s="11" t="s">
        <v>38</v>
      </c>
      <c r="Q1734" s="20">
        <v>40104.0</v>
      </c>
      <c r="R1734" s="17">
        <f t="shared" si="2"/>
        <v>120.1829229</v>
      </c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>
        <f t="shared" si="8"/>
        <v>3</v>
      </c>
      <c r="AF1734" s="19">
        <f t="shared" si="13"/>
        <v>4</v>
      </c>
      <c r="AG1734" s="9"/>
      <c r="AH1734" s="9"/>
      <c r="AI1734" s="9"/>
    </row>
    <row r="1735" ht="15.0" customHeight="1">
      <c r="A1735" s="11">
        <v>1734.0</v>
      </c>
      <c r="B1735" s="12">
        <f t="shared" si="275"/>
        <v>40101</v>
      </c>
      <c r="C1735" s="13">
        <v>2009.0</v>
      </c>
      <c r="D1735" s="11" t="s">
        <v>102</v>
      </c>
      <c r="E1735" s="11">
        <v>27.0</v>
      </c>
      <c r="F1735" s="21" t="s">
        <v>1015</v>
      </c>
      <c r="G1735" s="15">
        <v>0.08565141864504906</v>
      </c>
      <c r="H1735" s="11" t="s">
        <v>24</v>
      </c>
      <c r="I1735" s="16">
        <v>4.008</v>
      </c>
      <c r="J1735" s="11" t="s">
        <v>1725</v>
      </c>
      <c r="K1735" s="11" t="s">
        <v>61</v>
      </c>
      <c r="L1735" s="11" t="s">
        <v>48</v>
      </c>
      <c r="M1735" s="11" t="s">
        <v>28</v>
      </c>
      <c r="N1735" s="11" t="s">
        <v>42</v>
      </c>
      <c r="O1735" s="11" t="s">
        <v>1547</v>
      </c>
      <c r="P1735" s="11" t="s">
        <v>38</v>
      </c>
      <c r="Q1735" s="20">
        <v>40105.0</v>
      </c>
      <c r="R1735" s="17">
        <f t="shared" si="2"/>
        <v>13.52504422</v>
      </c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>
        <f t="shared" si="8"/>
        <v>4</v>
      </c>
      <c r="AF1735" s="19">
        <f t="shared" si="13"/>
        <v>4</v>
      </c>
      <c r="AG1735" s="9"/>
      <c r="AH1735" s="9"/>
      <c r="AI1735" s="9"/>
    </row>
    <row r="1736" ht="15.0" customHeight="1">
      <c r="A1736" s="11">
        <v>1735.0</v>
      </c>
      <c r="B1736" s="12">
        <f t="shared" si="275"/>
        <v>40101</v>
      </c>
      <c r="C1736" s="13">
        <v>2009.0</v>
      </c>
      <c r="D1736" s="11" t="s">
        <v>39</v>
      </c>
      <c r="E1736" s="11">
        <v>34.0</v>
      </c>
      <c r="F1736" s="21" t="s">
        <v>126</v>
      </c>
      <c r="G1736" s="15">
        <v>0.058719646799116766</v>
      </c>
      <c r="H1736" s="11" t="s">
        <v>33</v>
      </c>
      <c r="I1736" s="16">
        <v>3.9600000000000004</v>
      </c>
      <c r="J1736" s="11" t="s">
        <v>1929</v>
      </c>
      <c r="K1736" s="11" t="s">
        <v>83</v>
      </c>
      <c r="L1736" s="11" t="s">
        <v>48</v>
      </c>
      <c r="M1736" s="11" t="s">
        <v>28</v>
      </c>
      <c r="N1736" s="11" t="s">
        <v>42</v>
      </c>
      <c r="O1736" s="11" t="s">
        <v>1350</v>
      </c>
      <c r="P1736" s="11" t="s">
        <v>38</v>
      </c>
      <c r="Q1736" s="20">
        <v>40105.0</v>
      </c>
      <c r="R1736" s="17">
        <f t="shared" si="2"/>
        <v>10.01522296</v>
      </c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>
        <f t="shared" si="8"/>
        <v>4</v>
      </c>
      <c r="AF1736" s="19" t="b">
        <f t="shared" si="13"/>
        <v>0</v>
      </c>
      <c r="AG1736" s="9"/>
      <c r="AH1736" s="9"/>
      <c r="AI1736" s="9"/>
    </row>
    <row r="1737" ht="15.0" customHeight="1">
      <c r="A1737" s="11">
        <v>1736.0</v>
      </c>
      <c r="B1737" s="12">
        <f t="shared" ref="B1737:B1741" si="276">DATE(2012,12,31)-1171</f>
        <v>40103</v>
      </c>
      <c r="C1737" s="13">
        <v>2009.0</v>
      </c>
      <c r="D1737" s="11" t="s">
        <v>102</v>
      </c>
      <c r="E1737" s="11">
        <v>37.0</v>
      </c>
      <c r="F1737" s="21" t="s">
        <v>469</v>
      </c>
      <c r="G1737" s="15">
        <v>0.03314985938127764</v>
      </c>
      <c r="H1737" s="11" t="s">
        <v>33</v>
      </c>
      <c r="I1737" s="16">
        <v>4.296</v>
      </c>
      <c r="J1737" s="11" t="s">
        <v>1930</v>
      </c>
      <c r="K1737" s="11" t="s">
        <v>117</v>
      </c>
      <c r="L1737" s="11" t="s">
        <v>41</v>
      </c>
      <c r="M1737" s="11" t="s">
        <v>28</v>
      </c>
      <c r="N1737" s="11" t="s">
        <v>197</v>
      </c>
      <c r="O1737" s="11" t="s">
        <v>1931</v>
      </c>
      <c r="P1737" s="11" t="s">
        <v>75</v>
      </c>
      <c r="Q1737" s="20">
        <v>40105.0</v>
      </c>
      <c r="R1737" s="17">
        <f t="shared" si="2"/>
        <v>31.90992204</v>
      </c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>
        <f t="shared" si="8"/>
        <v>3</v>
      </c>
      <c r="AF1737" s="19" t="b">
        <f t="shared" si="13"/>
        <v>0</v>
      </c>
      <c r="AG1737" s="9"/>
      <c r="AH1737" s="9"/>
      <c r="AI1737" s="9"/>
    </row>
    <row r="1738" ht="15.0" customHeight="1">
      <c r="A1738" s="11">
        <v>1737.0</v>
      </c>
      <c r="B1738" s="12">
        <f t="shared" si="276"/>
        <v>40103</v>
      </c>
      <c r="C1738" s="13">
        <v>2009.0</v>
      </c>
      <c r="D1738" s="11" t="s">
        <v>44</v>
      </c>
      <c r="E1738" s="11">
        <v>32.0</v>
      </c>
      <c r="F1738" s="21" t="s">
        <v>1932</v>
      </c>
      <c r="G1738" s="15">
        <v>0.08504988157611426</v>
      </c>
      <c r="H1738" s="11" t="s">
        <v>33</v>
      </c>
      <c r="I1738" s="16">
        <v>28.0</v>
      </c>
      <c r="J1738" s="11" t="s">
        <v>1901</v>
      </c>
      <c r="K1738" s="11" t="s">
        <v>35</v>
      </c>
      <c r="L1738" s="11" t="s">
        <v>27</v>
      </c>
      <c r="M1738" s="11" t="s">
        <v>28</v>
      </c>
      <c r="N1738" s="11" t="s">
        <v>29</v>
      </c>
      <c r="O1738" s="11" t="s">
        <v>1933</v>
      </c>
      <c r="P1738" s="11" t="s">
        <v>31</v>
      </c>
      <c r="Q1738" s="20">
        <v>40105.0</v>
      </c>
      <c r="R1738" s="17">
        <f t="shared" si="2"/>
        <v>216.8431781</v>
      </c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>
        <f t="shared" si="8"/>
        <v>1</v>
      </c>
      <c r="AF1738" s="19">
        <f t="shared" si="13"/>
        <v>2</v>
      </c>
      <c r="AG1738" s="9"/>
      <c r="AH1738" s="9"/>
      <c r="AI1738" s="9"/>
    </row>
    <row r="1739" ht="15.0" customHeight="1">
      <c r="A1739" s="11">
        <v>1738.0</v>
      </c>
      <c r="B1739" s="12">
        <f t="shared" si="276"/>
        <v>40103</v>
      </c>
      <c r="C1739" s="13">
        <v>2009.0</v>
      </c>
      <c r="D1739" s="11" t="s">
        <v>32</v>
      </c>
      <c r="E1739" s="11">
        <v>8.0</v>
      </c>
      <c r="F1739" s="21" t="s">
        <v>610</v>
      </c>
      <c r="G1739" s="15">
        <v>0.011428571428571404</v>
      </c>
      <c r="H1739" s="11" t="s">
        <v>24</v>
      </c>
      <c r="I1739" s="16">
        <v>4.816</v>
      </c>
      <c r="J1739" s="11" t="s">
        <v>1650</v>
      </c>
      <c r="K1739" s="11" t="s">
        <v>65</v>
      </c>
      <c r="L1739" s="11" t="s">
        <v>27</v>
      </c>
      <c r="M1739" s="11" t="s">
        <v>49</v>
      </c>
      <c r="N1739" s="11" t="s">
        <v>73</v>
      </c>
      <c r="O1739" s="11" t="s">
        <v>1925</v>
      </c>
      <c r="P1739" s="11" t="s">
        <v>99</v>
      </c>
      <c r="Q1739" s="20">
        <v>40105.0</v>
      </c>
      <c r="R1739" s="17">
        <f t="shared" si="2"/>
        <v>1.170468571</v>
      </c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>
        <f t="shared" si="8"/>
        <v>1</v>
      </c>
      <c r="AF1739" s="19">
        <f t="shared" si="13"/>
        <v>5</v>
      </c>
      <c r="AG1739" s="9"/>
      <c r="AH1739" s="9"/>
      <c r="AI1739" s="9"/>
    </row>
    <row r="1740" ht="15.0" customHeight="1">
      <c r="A1740" s="11">
        <v>1739.0</v>
      </c>
      <c r="B1740" s="12">
        <f t="shared" si="276"/>
        <v>40103</v>
      </c>
      <c r="C1740" s="13">
        <v>2009.0</v>
      </c>
      <c r="D1740" s="11" t="s">
        <v>102</v>
      </c>
      <c r="E1740" s="11">
        <v>23.0</v>
      </c>
      <c r="F1740" s="21" t="s">
        <v>290</v>
      </c>
      <c r="G1740" s="15">
        <v>0.07490375802016483</v>
      </c>
      <c r="H1740" s="11" t="s">
        <v>33</v>
      </c>
      <c r="I1740" s="16">
        <v>4.328</v>
      </c>
      <c r="J1740" s="11" t="s">
        <v>1934</v>
      </c>
      <c r="K1740" s="11" t="s">
        <v>61</v>
      </c>
      <c r="L1740" s="11" t="s">
        <v>27</v>
      </c>
      <c r="M1740" s="11" t="s">
        <v>28</v>
      </c>
      <c r="N1740" s="11" t="s">
        <v>42</v>
      </c>
      <c r="O1740" s="11" t="s">
        <v>1475</v>
      </c>
      <c r="P1740" s="11" t="s">
        <v>38</v>
      </c>
      <c r="Q1740" s="20">
        <v>40106.0</v>
      </c>
      <c r="R1740" s="17">
        <f t="shared" si="2"/>
        <v>7.559886489</v>
      </c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>
        <f t="shared" si="8"/>
        <v>1</v>
      </c>
      <c r="AF1740" s="19">
        <f t="shared" si="13"/>
        <v>4</v>
      </c>
      <c r="AG1740" s="9"/>
      <c r="AH1740" s="9"/>
      <c r="AI1740" s="9"/>
    </row>
    <row r="1741" ht="15.0" customHeight="1">
      <c r="A1741" s="11">
        <v>1740.0</v>
      </c>
      <c r="B1741" s="12">
        <f t="shared" si="276"/>
        <v>40103</v>
      </c>
      <c r="C1741" s="13">
        <v>2009.0</v>
      </c>
      <c r="D1741" s="11" t="s">
        <v>102</v>
      </c>
      <c r="E1741" s="11">
        <v>3.0</v>
      </c>
      <c r="F1741" s="21" t="s">
        <v>172</v>
      </c>
      <c r="G1741" s="15">
        <v>0.03869135942308059</v>
      </c>
      <c r="H1741" s="11" t="s">
        <v>33</v>
      </c>
      <c r="I1741" s="16">
        <v>19.592</v>
      </c>
      <c r="J1741" s="11" t="s">
        <v>1934</v>
      </c>
      <c r="K1741" s="11" t="s">
        <v>61</v>
      </c>
      <c r="L1741" s="11" t="s">
        <v>27</v>
      </c>
      <c r="M1741" s="11" t="s">
        <v>66</v>
      </c>
      <c r="N1741" s="11" t="s">
        <v>69</v>
      </c>
      <c r="O1741" s="11" t="s">
        <v>173</v>
      </c>
      <c r="P1741" s="11" t="s">
        <v>31</v>
      </c>
      <c r="Q1741" s="20">
        <v>40106.0</v>
      </c>
      <c r="R1741" s="17">
        <f t="shared" si="2"/>
        <v>788.088514</v>
      </c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>
        <f t="shared" si="8"/>
        <v>1</v>
      </c>
      <c r="AF1741" s="19">
        <f t="shared" si="13"/>
        <v>4</v>
      </c>
      <c r="AG1741" s="9"/>
      <c r="AH1741" s="9"/>
      <c r="AI1741" s="9"/>
    </row>
    <row r="1742" ht="15.0" customHeight="1">
      <c r="A1742" s="11">
        <v>1741.0</v>
      </c>
      <c r="B1742" s="12">
        <f t="shared" ref="B1742:B1748" si="277">DATE(2012,12,31)-1170</f>
        <v>40104</v>
      </c>
      <c r="C1742" s="13">
        <v>2009.0</v>
      </c>
      <c r="D1742" s="11" t="s">
        <v>39</v>
      </c>
      <c r="E1742" s="11">
        <v>24.0</v>
      </c>
      <c r="F1742" s="21" t="s">
        <v>933</v>
      </c>
      <c r="G1742" s="15">
        <v>0.011978264062270616</v>
      </c>
      <c r="H1742" s="11" t="s">
        <v>24</v>
      </c>
      <c r="I1742" s="16">
        <v>3.8880000000000003</v>
      </c>
      <c r="J1742" s="11" t="s">
        <v>724</v>
      </c>
      <c r="K1742" s="11" t="s">
        <v>65</v>
      </c>
      <c r="L1742" s="11" t="s">
        <v>48</v>
      </c>
      <c r="M1742" s="11" t="s">
        <v>28</v>
      </c>
      <c r="N1742" s="11" t="s">
        <v>56</v>
      </c>
      <c r="O1742" s="11" t="s">
        <v>1566</v>
      </c>
      <c r="P1742" s="11" t="s">
        <v>38</v>
      </c>
      <c r="Q1742" s="20">
        <v>40106.0</v>
      </c>
      <c r="R1742" s="17">
        <f t="shared" si="2"/>
        <v>16.11661056</v>
      </c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>
        <f t="shared" si="8"/>
        <v>4</v>
      </c>
      <c r="AF1742" s="19">
        <f t="shared" si="13"/>
        <v>5</v>
      </c>
      <c r="AG1742" s="9"/>
      <c r="AH1742" s="9"/>
      <c r="AI1742" s="9"/>
    </row>
    <row r="1743" ht="15.0" customHeight="1">
      <c r="A1743" s="11">
        <v>1742.0</v>
      </c>
      <c r="B1743" s="12">
        <f t="shared" si="277"/>
        <v>40104</v>
      </c>
      <c r="C1743" s="13">
        <v>2009.0</v>
      </c>
      <c r="D1743" s="11" t="s">
        <v>39</v>
      </c>
      <c r="E1743" s="11">
        <v>38.0</v>
      </c>
      <c r="F1743" s="21" t="s">
        <v>178</v>
      </c>
      <c r="G1743" s="15">
        <v>0.04042793825462309</v>
      </c>
      <c r="H1743" s="11" t="s">
        <v>33</v>
      </c>
      <c r="I1743" s="16">
        <v>7.192</v>
      </c>
      <c r="J1743" s="11" t="s">
        <v>724</v>
      </c>
      <c r="K1743" s="11" t="s">
        <v>65</v>
      </c>
      <c r="L1743" s="11" t="s">
        <v>48</v>
      </c>
      <c r="M1743" s="11" t="s">
        <v>66</v>
      </c>
      <c r="N1743" s="11" t="s">
        <v>80</v>
      </c>
      <c r="O1743" s="11" t="s">
        <v>1263</v>
      </c>
      <c r="P1743" s="11" t="s">
        <v>38</v>
      </c>
      <c r="Q1743" s="20">
        <v>40106.0</v>
      </c>
      <c r="R1743" s="17">
        <f t="shared" si="2"/>
        <v>101.5304007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>
        <f t="shared" si="8"/>
        <v>4</v>
      </c>
      <c r="AF1743" s="19">
        <f t="shared" si="13"/>
        <v>5</v>
      </c>
      <c r="AG1743" s="9"/>
      <c r="AH1743" s="9"/>
      <c r="AI1743" s="9"/>
    </row>
    <row r="1744" ht="15.0" customHeight="1">
      <c r="A1744" s="11">
        <v>1743.0</v>
      </c>
      <c r="B1744" s="12">
        <f t="shared" si="277"/>
        <v>40104</v>
      </c>
      <c r="C1744" s="13">
        <v>2009.0</v>
      </c>
      <c r="D1744" s="11" t="s">
        <v>39</v>
      </c>
      <c r="E1744" s="11">
        <v>9.0</v>
      </c>
      <c r="F1744" s="21" t="s">
        <v>1282</v>
      </c>
      <c r="G1744" s="15">
        <v>0.012287847929395999</v>
      </c>
      <c r="H1744" s="11" t="s">
        <v>33</v>
      </c>
      <c r="I1744" s="16">
        <v>10.120000000000001</v>
      </c>
      <c r="J1744" s="11" t="s">
        <v>724</v>
      </c>
      <c r="K1744" s="11" t="s">
        <v>65</v>
      </c>
      <c r="L1744" s="11" t="s">
        <v>48</v>
      </c>
      <c r="M1744" s="11" t="s">
        <v>49</v>
      </c>
      <c r="N1744" s="11" t="s">
        <v>50</v>
      </c>
      <c r="O1744" s="11" t="s">
        <v>1283</v>
      </c>
      <c r="P1744" s="11" t="s">
        <v>75</v>
      </c>
      <c r="Q1744" s="20">
        <v>40107.0</v>
      </c>
      <c r="R1744" s="17">
        <f t="shared" si="2"/>
        <v>14.30207196</v>
      </c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>
        <f t="shared" si="8"/>
        <v>4</v>
      </c>
      <c r="AF1744" s="19">
        <f t="shared" si="13"/>
        <v>5</v>
      </c>
      <c r="AG1744" s="9"/>
      <c r="AH1744" s="9"/>
      <c r="AI1744" s="9"/>
    </row>
    <row r="1745" ht="15.0" customHeight="1">
      <c r="A1745" s="11">
        <v>1744.0</v>
      </c>
      <c r="B1745" s="12">
        <f t="shared" si="277"/>
        <v>40104</v>
      </c>
      <c r="C1745" s="13">
        <v>2009.0</v>
      </c>
      <c r="D1745" s="11" t="s">
        <v>44</v>
      </c>
      <c r="E1745" s="11">
        <v>24.0</v>
      </c>
      <c r="F1745" s="21" t="s">
        <v>573</v>
      </c>
      <c r="G1745" s="15">
        <v>0.03678501755754973</v>
      </c>
      <c r="H1745" s="11" t="s">
        <v>33</v>
      </c>
      <c r="I1745" s="16">
        <v>9.272</v>
      </c>
      <c r="J1745" s="11" t="s">
        <v>426</v>
      </c>
      <c r="K1745" s="11" t="s">
        <v>61</v>
      </c>
      <c r="L1745" s="11" t="s">
        <v>27</v>
      </c>
      <c r="M1745" s="11" t="s">
        <v>28</v>
      </c>
      <c r="N1745" s="11" t="s">
        <v>56</v>
      </c>
      <c r="O1745" s="11" t="s">
        <v>1325</v>
      </c>
      <c r="P1745" s="11" t="s">
        <v>38</v>
      </c>
      <c r="Q1745" s="20">
        <v>40107.0</v>
      </c>
      <c r="R1745" s="17">
        <f t="shared" si="2"/>
        <v>9.081190854</v>
      </c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>
        <f t="shared" si="8"/>
        <v>1</v>
      </c>
      <c r="AF1745" s="19">
        <f t="shared" si="13"/>
        <v>4</v>
      </c>
      <c r="AG1745" s="9"/>
      <c r="AH1745" s="9"/>
      <c r="AI1745" s="9"/>
    </row>
    <row r="1746" ht="15.0" customHeight="1">
      <c r="A1746" s="11">
        <v>1745.0</v>
      </c>
      <c r="B1746" s="12">
        <f t="shared" si="277"/>
        <v>40104</v>
      </c>
      <c r="C1746" s="13">
        <v>2009.0</v>
      </c>
      <c r="D1746" s="11" t="s">
        <v>44</v>
      </c>
      <c r="E1746" s="11">
        <v>41.0</v>
      </c>
      <c r="F1746" s="21" t="s">
        <v>280</v>
      </c>
      <c r="G1746" s="15">
        <v>0.020977716015683174</v>
      </c>
      <c r="H1746" s="11" t="s">
        <v>33</v>
      </c>
      <c r="I1746" s="16">
        <v>4.632000000000001</v>
      </c>
      <c r="J1746" s="11" t="s">
        <v>426</v>
      </c>
      <c r="K1746" s="11" t="s">
        <v>61</v>
      </c>
      <c r="L1746" s="11" t="s">
        <v>27</v>
      </c>
      <c r="M1746" s="11" t="s">
        <v>28</v>
      </c>
      <c r="N1746" s="11" t="s">
        <v>56</v>
      </c>
      <c r="O1746" s="11" t="s">
        <v>1430</v>
      </c>
      <c r="P1746" s="11" t="s">
        <v>38</v>
      </c>
      <c r="Q1746" s="20">
        <v>40107.0</v>
      </c>
      <c r="R1746" s="17">
        <f t="shared" si="2"/>
        <v>41.3813139</v>
      </c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>
        <f t="shared" si="8"/>
        <v>1</v>
      </c>
      <c r="AF1746" s="19">
        <f t="shared" si="13"/>
        <v>4</v>
      </c>
      <c r="AG1746" s="9"/>
      <c r="AH1746" s="9"/>
      <c r="AI1746" s="9"/>
    </row>
    <row r="1747" ht="15.0" customHeight="1">
      <c r="A1747" s="11">
        <v>1746.0</v>
      </c>
      <c r="B1747" s="12">
        <f t="shared" si="277"/>
        <v>40104</v>
      </c>
      <c r="C1747" s="13">
        <v>2009.0</v>
      </c>
      <c r="D1747" s="11" t="s">
        <v>44</v>
      </c>
      <c r="E1747" s="11">
        <v>3.0</v>
      </c>
      <c r="F1747" s="21" t="s">
        <v>135</v>
      </c>
      <c r="G1747" s="15">
        <v>0.08386100386100388</v>
      </c>
      <c r="H1747" s="11" t="s">
        <v>33</v>
      </c>
      <c r="I1747" s="16">
        <v>3.9280000000000004</v>
      </c>
      <c r="J1747" s="11" t="s">
        <v>426</v>
      </c>
      <c r="K1747" s="11" t="s">
        <v>61</v>
      </c>
      <c r="L1747" s="11" t="s">
        <v>27</v>
      </c>
      <c r="M1747" s="11" t="s">
        <v>28</v>
      </c>
      <c r="N1747" s="11" t="s">
        <v>56</v>
      </c>
      <c r="O1747" s="11" t="s">
        <v>1582</v>
      </c>
      <c r="P1747" s="11" t="s">
        <v>38</v>
      </c>
      <c r="Q1747" s="20">
        <v>40107.0</v>
      </c>
      <c r="R1747" s="17">
        <f t="shared" si="2"/>
        <v>1.9898539</v>
      </c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>
        <f t="shared" si="8"/>
        <v>1</v>
      </c>
      <c r="AF1747" s="19">
        <f t="shared" si="13"/>
        <v>4</v>
      </c>
      <c r="AG1747" s="9"/>
      <c r="AH1747" s="9"/>
      <c r="AI1747" s="9"/>
    </row>
    <row r="1748" ht="15.0" customHeight="1">
      <c r="A1748" s="11">
        <v>1747.0</v>
      </c>
      <c r="B1748" s="12">
        <f t="shared" si="277"/>
        <v>40104</v>
      </c>
      <c r="C1748" s="13">
        <v>2009.0</v>
      </c>
      <c r="D1748" s="11" t="s">
        <v>44</v>
      </c>
      <c r="E1748" s="11">
        <v>22.0</v>
      </c>
      <c r="F1748" s="21" t="s">
        <v>651</v>
      </c>
      <c r="G1748" s="15">
        <v>0.01243914993749536</v>
      </c>
      <c r="H1748" s="11" t="s">
        <v>33</v>
      </c>
      <c r="I1748" s="16">
        <v>9.784</v>
      </c>
      <c r="J1748" s="11" t="s">
        <v>603</v>
      </c>
      <c r="K1748" s="11" t="s">
        <v>61</v>
      </c>
      <c r="L1748" s="11" t="s">
        <v>48</v>
      </c>
      <c r="M1748" s="11" t="s">
        <v>49</v>
      </c>
      <c r="N1748" s="11" t="s">
        <v>73</v>
      </c>
      <c r="O1748" s="11" t="s">
        <v>652</v>
      </c>
      <c r="P1748" s="11" t="s">
        <v>75</v>
      </c>
      <c r="Q1748" s="20">
        <v>40107.0</v>
      </c>
      <c r="R1748" s="17">
        <f t="shared" si="2"/>
        <v>16.70557934</v>
      </c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>
        <f t="shared" si="8"/>
        <v>4</v>
      </c>
      <c r="AF1748" s="19">
        <f t="shared" si="13"/>
        <v>4</v>
      </c>
      <c r="AG1748" s="9"/>
      <c r="AH1748" s="9"/>
      <c r="AI1748" s="9"/>
    </row>
    <row r="1749" ht="15.0" customHeight="1">
      <c r="A1749" s="11">
        <v>1748.0</v>
      </c>
      <c r="B1749" s="12">
        <f t="shared" ref="B1749:B1754" si="278">DATE(2012,12,31)-1169</f>
        <v>40105</v>
      </c>
      <c r="C1749" s="13">
        <v>2009.0</v>
      </c>
      <c r="D1749" s="11" t="s">
        <v>39</v>
      </c>
      <c r="E1749" s="11">
        <v>50.0</v>
      </c>
      <c r="F1749" s="21" t="s">
        <v>661</v>
      </c>
      <c r="G1749" s="15">
        <v>0.048279636415552406</v>
      </c>
      <c r="H1749" s="11" t="s">
        <v>33</v>
      </c>
      <c r="I1749" s="16">
        <v>4.4</v>
      </c>
      <c r="J1749" s="11" t="s">
        <v>392</v>
      </c>
      <c r="K1749" s="11" t="s">
        <v>65</v>
      </c>
      <c r="L1749" s="11" t="s">
        <v>41</v>
      </c>
      <c r="M1749" s="11" t="s">
        <v>66</v>
      </c>
      <c r="N1749" s="11" t="s">
        <v>67</v>
      </c>
      <c r="O1749" s="11" t="s">
        <v>663</v>
      </c>
      <c r="P1749" s="11" t="s">
        <v>38</v>
      </c>
      <c r="Q1749" s="20">
        <v>40107.0</v>
      </c>
      <c r="R1749" s="17">
        <f t="shared" si="2"/>
        <v>386.2081235</v>
      </c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>
        <f t="shared" si="8"/>
        <v>3</v>
      </c>
      <c r="AF1749" s="19">
        <f t="shared" si="13"/>
        <v>5</v>
      </c>
      <c r="AG1749" s="9"/>
      <c r="AH1749" s="9"/>
      <c r="AI1749" s="9"/>
    </row>
    <row r="1750" ht="15.0" customHeight="1">
      <c r="A1750" s="11">
        <v>1749.0</v>
      </c>
      <c r="B1750" s="12">
        <f t="shared" si="278"/>
        <v>40105</v>
      </c>
      <c r="C1750" s="13">
        <v>2009.0</v>
      </c>
      <c r="D1750" s="11" t="s">
        <v>32</v>
      </c>
      <c r="E1750" s="11">
        <v>10.0</v>
      </c>
      <c r="F1750" s="21" t="s">
        <v>1156</v>
      </c>
      <c r="G1750" s="15">
        <v>0.01155443357526033</v>
      </c>
      <c r="H1750" s="11" t="s">
        <v>24</v>
      </c>
      <c r="I1750" s="16">
        <v>7.192</v>
      </c>
      <c r="J1750" s="11" t="s">
        <v>1876</v>
      </c>
      <c r="K1750" s="11" t="s">
        <v>61</v>
      </c>
      <c r="L1750" s="11" t="s">
        <v>48</v>
      </c>
      <c r="M1750" s="11" t="s">
        <v>66</v>
      </c>
      <c r="N1750" s="11" t="s">
        <v>80</v>
      </c>
      <c r="O1750" s="11" t="s">
        <v>1580</v>
      </c>
      <c r="P1750" s="11" t="s">
        <v>38</v>
      </c>
      <c r="Q1750" s="20">
        <v>40107.0</v>
      </c>
      <c r="R1750" s="17">
        <f t="shared" si="2"/>
        <v>18.09646143</v>
      </c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>
        <f t="shared" si="8"/>
        <v>4</v>
      </c>
      <c r="AF1750" s="19">
        <f t="shared" si="13"/>
        <v>4</v>
      </c>
      <c r="AG1750" s="9"/>
      <c r="AH1750" s="9"/>
      <c r="AI1750" s="9"/>
    </row>
    <row r="1751" ht="15.0" customHeight="1">
      <c r="A1751" s="11">
        <v>1750.0</v>
      </c>
      <c r="B1751" s="12">
        <f t="shared" si="278"/>
        <v>40105</v>
      </c>
      <c r="C1751" s="13">
        <v>2009.0</v>
      </c>
      <c r="D1751" s="11" t="s">
        <v>32</v>
      </c>
      <c r="E1751" s="11">
        <v>9.0</v>
      </c>
      <c r="F1751" s="21" t="s">
        <v>103</v>
      </c>
      <c r="G1751" s="15">
        <v>0.03899665551839455</v>
      </c>
      <c r="H1751" s="11" t="s">
        <v>33</v>
      </c>
      <c r="I1751" s="16">
        <v>4.368</v>
      </c>
      <c r="J1751" s="11" t="s">
        <v>1876</v>
      </c>
      <c r="K1751" s="11" t="s">
        <v>61</v>
      </c>
      <c r="L1751" s="11" t="s">
        <v>48</v>
      </c>
      <c r="M1751" s="11" t="s">
        <v>28</v>
      </c>
      <c r="N1751" s="11" t="s">
        <v>56</v>
      </c>
      <c r="O1751" s="11" t="s">
        <v>693</v>
      </c>
      <c r="P1751" s="11" t="s">
        <v>38</v>
      </c>
      <c r="Q1751" s="20">
        <v>40107.0</v>
      </c>
      <c r="R1751" s="17">
        <f t="shared" si="2"/>
        <v>2.241059799</v>
      </c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>
        <f t="shared" si="8"/>
        <v>4</v>
      </c>
      <c r="AF1751" s="19">
        <f t="shared" si="13"/>
        <v>4</v>
      </c>
      <c r="AG1751" s="9"/>
      <c r="AH1751" s="9"/>
      <c r="AI1751" s="9"/>
    </row>
    <row r="1752" ht="15.0" customHeight="1">
      <c r="A1752" s="11">
        <v>1751.0</v>
      </c>
      <c r="B1752" s="12">
        <f t="shared" si="278"/>
        <v>40105</v>
      </c>
      <c r="C1752" s="13">
        <v>2009.0</v>
      </c>
      <c r="D1752" s="11" t="s">
        <v>44</v>
      </c>
      <c r="E1752" s="11">
        <v>4.0</v>
      </c>
      <c r="F1752" s="21" t="s">
        <v>1084</v>
      </c>
      <c r="G1752" s="15">
        <v>0.07787439613526562</v>
      </c>
      <c r="H1752" s="11" t="s">
        <v>33</v>
      </c>
      <c r="I1752" s="16">
        <v>1.4880000000000002</v>
      </c>
      <c r="J1752" s="11" t="s">
        <v>982</v>
      </c>
      <c r="K1752" s="11" t="s">
        <v>61</v>
      </c>
      <c r="L1752" s="11" t="s">
        <v>48</v>
      </c>
      <c r="M1752" s="11" t="s">
        <v>28</v>
      </c>
      <c r="N1752" s="11" t="s">
        <v>197</v>
      </c>
      <c r="O1752" s="11" t="s">
        <v>1096</v>
      </c>
      <c r="P1752" s="11" t="s">
        <v>31</v>
      </c>
      <c r="Q1752" s="20">
        <v>40107.0</v>
      </c>
      <c r="R1752" s="17">
        <f t="shared" si="2"/>
        <v>1.486466473</v>
      </c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>
        <f t="shared" si="8"/>
        <v>4</v>
      </c>
      <c r="AF1752" s="19">
        <f t="shared" si="13"/>
        <v>4</v>
      </c>
      <c r="AG1752" s="9"/>
      <c r="AH1752" s="9"/>
      <c r="AI1752" s="9"/>
    </row>
    <row r="1753" ht="15.0" customHeight="1">
      <c r="A1753" s="11">
        <v>1752.0</v>
      </c>
      <c r="B1753" s="12">
        <f t="shared" si="278"/>
        <v>40105</v>
      </c>
      <c r="C1753" s="13">
        <v>2009.0</v>
      </c>
      <c r="D1753" s="11" t="s">
        <v>44</v>
      </c>
      <c r="E1753" s="11">
        <v>18.0</v>
      </c>
      <c r="F1753" s="21" t="s">
        <v>290</v>
      </c>
      <c r="G1753" s="15">
        <v>0.11092324805339258</v>
      </c>
      <c r="H1753" s="11" t="s">
        <v>33</v>
      </c>
      <c r="I1753" s="16">
        <v>4.328</v>
      </c>
      <c r="J1753" s="11" t="s">
        <v>982</v>
      </c>
      <c r="K1753" s="11" t="s">
        <v>61</v>
      </c>
      <c r="L1753" s="11" t="s">
        <v>48</v>
      </c>
      <c r="M1753" s="11" t="s">
        <v>28</v>
      </c>
      <c r="N1753" s="11" t="s">
        <v>42</v>
      </c>
      <c r="O1753" s="11" t="s">
        <v>1475</v>
      </c>
      <c r="P1753" s="11" t="s">
        <v>38</v>
      </c>
      <c r="Q1753" s="20">
        <v>40107.0</v>
      </c>
      <c r="R1753" s="17">
        <f t="shared" si="2"/>
        <v>8.86587337</v>
      </c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>
        <f t="shared" si="8"/>
        <v>4</v>
      </c>
      <c r="AF1753" s="19">
        <f t="shared" si="13"/>
        <v>4</v>
      </c>
      <c r="AG1753" s="9"/>
      <c r="AH1753" s="9"/>
      <c r="AI1753" s="9"/>
    </row>
    <row r="1754" ht="15.0" customHeight="1">
      <c r="A1754" s="11">
        <v>1753.0</v>
      </c>
      <c r="B1754" s="12">
        <f t="shared" si="278"/>
        <v>40105</v>
      </c>
      <c r="C1754" s="13">
        <v>2009.0</v>
      </c>
      <c r="D1754" s="11" t="s">
        <v>44</v>
      </c>
      <c r="E1754" s="11">
        <v>2.0</v>
      </c>
      <c r="F1754" s="21" t="s">
        <v>158</v>
      </c>
      <c r="G1754" s="15">
        <v>0.14866666666666659</v>
      </c>
      <c r="H1754" s="11" t="s">
        <v>33</v>
      </c>
      <c r="I1754" s="16">
        <v>7.632</v>
      </c>
      <c r="J1754" s="11" t="s">
        <v>839</v>
      </c>
      <c r="K1754" s="11" t="s">
        <v>83</v>
      </c>
      <c r="L1754" s="11" t="s">
        <v>36</v>
      </c>
      <c r="M1754" s="11" t="s">
        <v>28</v>
      </c>
      <c r="N1754" s="11" t="s">
        <v>56</v>
      </c>
      <c r="O1754" s="11" t="s">
        <v>1474</v>
      </c>
      <c r="P1754" s="11" t="s">
        <v>38</v>
      </c>
      <c r="Q1754" s="20">
        <v>40108.0</v>
      </c>
      <c r="R1754" s="17">
        <f t="shared" si="2"/>
        <v>3.037557333</v>
      </c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>
        <f t="shared" si="8"/>
        <v>2</v>
      </c>
      <c r="AF1754" s="19" t="b">
        <f t="shared" si="13"/>
        <v>0</v>
      </c>
      <c r="AG1754" s="9"/>
      <c r="AH1754" s="9"/>
      <c r="AI1754" s="9"/>
    </row>
    <row r="1755" ht="15.0" customHeight="1">
      <c r="A1755" s="11">
        <v>1754.0</v>
      </c>
      <c r="B1755" s="12">
        <f t="shared" ref="B1755:B1764" si="279">DATE(2012,12,31)-1168</f>
        <v>40106</v>
      </c>
      <c r="C1755" s="13">
        <v>2009.0</v>
      </c>
      <c r="D1755" s="11" t="s">
        <v>32</v>
      </c>
      <c r="E1755" s="11">
        <v>31.0</v>
      </c>
      <c r="F1755" s="21" t="s">
        <v>178</v>
      </c>
      <c r="G1755" s="15">
        <v>0.0356568644903518</v>
      </c>
      <c r="H1755" s="11" t="s">
        <v>24</v>
      </c>
      <c r="I1755" s="16">
        <v>4.792000000000001</v>
      </c>
      <c r="J1755" s="11" t="s">
        <v>1935</v>
      </c>
      <c r="K1755" s="11" t="s">
        <v>35</v>
      </c>
      <c r="L1755" s="11" t="s">
        <v>36</v>
      </c>
      <c r="M1755" s="11" t="s">
        <v>66</v>
      </c>
      <c r="N1755" s="11" t="s">
        <v>80</v>
      </c>
      <c r="O1755" s="11" t="s">
        <v>179</v>
      </c>
      <c r="P1755" s="11" t="s">
        <v>38</v>
      </c>
      <c r="Q1755" s="20">
        <v>40108.0</v>
      </c>
      <c r="R1755" s="17">
        <f t="shared" si="2"/>
        <v>73.01427616</v>
      </c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>
        <f t="shared" si="8"/>
        <v>2</v>
      </c>
      <c r="AF1755" s="19">
        <f t="shared" si="13"/>
        <v>2</v>
      </c>
      <c r="AG1755" s="9"/>
      <c r="AH1755" s="9"/>
      <c r="AI1755" s="9"/>
    </row>
    <row r="1756" ht="15.0" customHeight="1">
      <c r="A1756" s="11">
        <v>1755.0</v>
      </c>
      <c r="B1756" s="12">
        <f t="shared" si="279"/>
        <v>40106</v>
      </c>
      <c r="C1756" s="13">
        <v>2009.0</v>
      </c>
      <c r="D1756" s="11" t="s">
        <v>32</v>
      </c>
      <c r="E1756" s="11">
        <v>44.0</v>
      </c>
      <c r="F1756" s="21" t="s">
        <v>310</v>
      </c>
      <c r="G1756" s="15">
        <v>0.029701345045292402</v>
      </c>
      <c r="H1756" s="11" t="s">
        <v>33</v>
      </c>
      <c r="I1756" s="16">
        <v>19.592</v>
      </c>
      <c r="J1756" s="11" t="s">
        <v>1936</v>
      </c>
      <c r="K1756" s="11" t="s">
        <v>35</v>
      </c>
      <c r="L1756" s="11" t="s">
        <v>27</v>
      </c>
      <c r="M1756" s="11" t="s">
        <v>49</v>
      </c>
      <c r="N1756" s="11" t="s">
        <v>50</v>
      </c>
      <c r="O1756" s="11" t="s">
        <v>1937</v>
      </c>
      <c r="P1756" s="11" t="s">
        <v>31</v>
      </c>
      <c r="Q1756" s="20">
        <v>40108.0</v>
      </c>
      <c r="R1756" s="17">
        <f t="shared" si="2"/>
        <v>419.9530203</v>
      </c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>
        <f t="shared" si="8"/>
        <v>1</v>
      </c>
      <c r="AF1756" s="19">
        <f t="shared" si="13"/>
        <v>2</v>
      </c>
      <c r="AG1756" s="9"/>
      <c r="AH1756" s="9"/>
      <c r="AI1756" s="9"/>
    </row>
    <row r="1757" ht="15.0" customHeight="1">
      <c r="A1757" s="11">
        <v>1756.0</v>
      </c>
      <c r="B1757" s="12">
        <f t="shared" si="279"/>
        <v>40106</v>
      </c>
      <c r="C1757" s="13">
        <v>2009.0</v>
      </c>
      <c r="D1757" s="11" t="s">
        <v>32</v>
      </c>
      <c r="E1757" s="11">
        <v>39.0</v>
      </c>
      <c r="F1757" s="21" t="s">
        <v>128</v>
      </c>
      <c r="G1757" s="15">
        <v>0.05760392510109809</v>
      </c>
      <c r="H1757" s="11" t="s">
        <v>33</v>
      </c>
      <c r="I1757" s="16">
        <v>7.040000000000001</v>
      </c>
      <c r="J1757" s="11" t="s">
        <v>1936</v>
      </c>
      <c r="K1757" s="11" t="s">
        <v>35</v>
      </c>
      <c r="L1757" s="11" t="s">
        <v>27</v>
      </c>
      <c r="M1757" s="11" t="s">
        <v>66</v>
      </c>
      <c r="N1757" s="11" t="s">
        <v>80</v>
      </c>
      <c r="O1757" s="11" t="s">
        <v>765</v>
      </c>
      <c r="P1757" s="11" t="s">
        <v>38</v>
      </c>
      <c r="Q1757" s="20">
        <v>40108.0</v>
      </c>
      <c r="R1757" s="17">
        <f t="shared" si="2"/>
        <v>283.2465643</v>
      </c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>
        <f t="shared" si="8"/>
        <v>1</v>
      </c>
      <c r="AF1757" s="19">
        <f t="shared" si="13"/>
        <v>2</v>
      </c>
      <c r="AG1757" s="9"/>
      <c r="AH1757" s="9"/>
      <c r="AI1757" s="9"/>
    </row>
    <row r="1758" ht="15.0" customHeight="1">
      <c r="A1758" s="11">
        <v>1757.0</v>
      </c>
      <c r="B1758" s="12">
        <f t="shared" si="279"/>
        <v>40106</v>
      </c>
      <c r="C1758" s="13">
        <v>2009.0</v>
      </c>
      <c r="D1758" s="11" t="s">
        <v>102</v>
      </c>
      <c r="E1758" s="11">
        <v>44.0</v>
      </c>
      <c r="F1758" s="21" t="s">
        <v>666</v>
      </c>
      <c r="G1758" s="15">
        <v>0.058210290827740575</v>
      </c>
      <c r="H1758" s="11" t="s">
        <v>33</v>
      </c>
      <c r="I1758" s="16">
        <v>1.192</v>
      </c>
      <c r="J1758" s="11" t="s">
        <v>1938</v>
      </c>
      <c r="K1758" s="11" t="s">
        <v>26</v>
      </c>
      <c r="L1758" s="11" t="s">
        <v>41</v>
      </c>
      <c r="M1758" s="11" t="s">
        <v>28</v>
      </c>
      <c r="N1758" s="11" t="s">
        <v>42</v>
      </c>
      <c r="O1758" s="11" t="s">
        <v>667</v>
      </c>
      <c r="P1758" s="11" t="s">
        <v>38</v>
      </c>
      <c r="Q1758" s="20">
        <v>40108.0</v>
      </c>
      <c r="R1758" s="17">
        <f t="shared" si="2"/>
        <v>9.802147293</v>
      </c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>
        <f t="shared" si="8"/>
        <v>3</v>
      </c>
      <c r="AF1758" s="19">
        <f t="shared" si="13"/>
        <v>1</v>
      </c>
      <c r="AG1758" s="9"/>
      <c r="AH1758" s="9"/>
      <c r="AI1758" s="9"/>
    </row>
    <row r="1759" ht="15.0" customHeight="1">
      <c r="A1759" s="11">
        <v>1758.0</v>
      </c>
      <c r="B1759" s="12">
        <f t="shared" si="279"/>
        <v>40106</v>
      </c>
      <c r="C1759" s="13">
        <v>2009.0</v>
      </c>
      <c r="D1759" s="11" t="s">
        <v>102</v>
      </c>
      <c r="E1759" s="11">
        <v>37.0</v>
      </c>
      <c r="F1759" s="21" t="s">
        <v>147</v>
      </c>
      <c r="G1759" s="15">
        <v>0.0895265423242468</v>
      </c>
      <c r="H1759" s="11" t="s">
        <v>33</v>
      </c>
      <c r="I1759" s="16">
        <v>0.5599999999999999</v>
      </c>
      <c r="J1759" s="11" t="s">
        <v>1938</v>
      </c>
      <c r="K1759" s="11" t="s">
        <v>26</v>
      </c>
      <c r="L1759" s="11" t="s">
        <v>41</v>
      </c>
      <c r="M1759" s="11" t="s">
        <v>28</v>
      </c>
      <c r="N1759" s="11" t="s">
        <v>62</v>
      </c>
      <c r="O1759" s="11" t="s">
        <v>182</v>
      </c>
      <c r="P1759" s="11" t="s">
        <v>58</v>
      </c>
      <c r="Q1759" s="20">
        <v>40108.0</v>
      </c>
      <c r="R1759" s="17">
        <f t="shared" si="2"/>
        <v>5.681354376</v>
      </c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>
        <f t="shared" si="8"/>
        <v>3</v>
      </c>
      <c r="AF1759" s="19">
        <f t="shared" si="13"/>
        <v>1</v>
      </c>
      <c r="AG1759" s="9"/>
      <c r="AH1759" s="9"/>
      <c r="AI1759" s="9"/>
    </row>
    <row r="1760" ht="15.0" customHeight="1">
      <c r="A1760" s="11">
        <v>1759.0</v>
      </c>
      <c r="B1760" s="12">
        <f t="shared" si="279"/>
        <v>40106</v>
      </c>
      <c r="C1760" s="13">
        <v>2009.0</v>
      </c>
      <c r="D1760" s="11" t="s">
        <v>39</v>
      </c>
      <c r="E1760" s="11">
        <v>39.0</v>
      </c>
      <c r="F1760" s="21" t="s">
        <v>1469</v>
      </c>
      <c r="G1760" s="15">
        <v>0.029685609784874445</v>
      </c>
      <c r="H1760" s="11" t="s">
        <v>33</v>
      </c>
      <c r="I1760" s="16">
        <v>15.991999999999999</v>
      </c>
      <c r="J1760" s="11" t="s">
        <v>953</v>
      </c>
      <c r="K1760" s="11" t="s">
        <v>65</v>
      </c>
      <c r="L1760" s="11" t="s">
        <v>27</v>
      </c>
      <c r="M1760" s="11" t="s">
        <v>28</v>
      </c>
      <c r="N1760" s="11" t="s">
        <v>42</v>
      </c>
      <c r="O1760" s="11" t="s">
        <v>1471</v>
      </c>
      <c r="P1760" s="11" t="s">
        <v>38</v>
      </c>
      <c r="Q1760" s="20">
        <v>40109.0</v>
      </c>
      <c r="R1760" s="17">
        <f t="shared" si="2"/>
        <v>366.2044134</v>
      </c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>
        <f t="shared" si="8"/>
        <v>1</v>
      </c>
      <c r="AF1760" s="19">
        <f t="shared" si="13"/>
        <v>5</v>
      </c>
      <c r="AG1760" s="9"/>
      <c r="AH1760" s="9"/>
      <c r="AI1760" s="9"/>
    </row>
    <row r="1761" ht="15.0" customHeight="1">
      <c r="A1761" s="11">
        <v>1760.0</v>
      </c>
      <c r="B1761" s="12">
        <f t="shared" si="279"/>
        <v>40106</v>
      </c>
      <c r="C1761" s="13">
        <v>2009.0</v>
      </c>
      <c r="D1761" s="11" t="s">
        <v>39</v>
      </c>
      <c r="E1761" s="11">
        <v>25.0</v>
      </c>
      <c r="F1761" s="21" t="s">
        <v>1244</v>
      </c>
      <c r="G1761" s="15">
        <v>0.08321192622896569</v>
      </c>
      <c r="H1761" s="11" t="s">
        <v>33</v>
      </c>
      <c r="I1761" s="16">
        <v>19.592</v>
      </c>
      <c r="J1761" s="11" t="s">
        <v>953</v>
      </c>
      <c r="K1761" s="11" t="s">
        <v>65</v>
      </c>
      <c r="L1761" s="11" t="s">
        <v>27</v>
      </c>
      <c r="M1761" s="11" t="s">
        <v>49</v>
      </c>
      <c r="N1761" s="11" t="s">
        <v>50</v>
      </c>
      <c r="O1761" s="11" t="s">
        <v>1246</v>
      </c>
      <c r="P1761" s="11" t="s">
        <v>31</v>
      </c>
      <c r="Q1761" s="20">
        <v>40109.0</v>
      </c>
      <c r="R1761" s="17">
        <f t="shared" si="2"/>
        <v>576.2086387</v>
      </c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>
        <f t="shared" si="8"/>
        <v>1</v>
      </c>
      <c r="AF1761" s="19">
        <f t="shared" si="13"/>
        <v>5</v>
      </c>
      <c r="AG1761" s="9"/>
      <c r="AH1761" s="9"/>
      <c r="AI1761" s="9"/>
    </row>
    <row r="1762" ht="15.0" customHeight="1">
      <c r="A1762" s="11">
        <v>1761.0</v>
      </c>
      <c r="B1762" s="12">
        <f t="shared" si="279"/>
        <v>40106</v>
      </c>
      <c r="C1762" s="13">
        <v>2009.0</v>
      </c>
      <c r="D1762" s="11" t="s">
        <v>39</v>
      </c>
      <c r="E1762" s="11">
        <v>18.0</v>
      </c>
      <c r="F1762" s="21" t="s">
        <v>1538</v>
      </c>
      <c r="G1762" s="15">
        <v>0.03208864450554016</v>
      </c>
      <c r="H1762" s="11" t="s">
        <v>33</v>
      </c>
      <c r="I1762" s="16">
        <v>11.584000000000001</v>
      </c>
      <c r="J1762" s="11" t="s">
        <v>953</v>
      </c>
      <c r="K1762" s="11" t="s">
        <v>65</v>
      </c>
      <c r="L1762" s="11" t="s">
        <v>27</v>
      </c>
      <c r="M1762" s="11" t="s">
        <v>49</v>
      </c>
      <c r="N1762" s="11" t="s">
        <v>73</v>
      </c>
      <c r="O1762" s="11" t="s">
        <v>1539</v>
      </c>
      <c r="P1762" s="11" t="s">
        <v>38</v>
      </c>
      <c r="Q1762" s="20">
        <v>40109.0</v>
      </c>
      <c r="R1762" s="17">
        <f t="shared" si="2"/>
        <v>37.28007377</v>
      </c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>
        <f t="shared" si="8"/>
        <v>1</v>
      </c>
      <c r="AF1762" s="19">
        <f t="shared" si="13"/>
        <v>5</v>
      </c>
      <c r="AG1762" s="9"/>
      <c r="AH1762" s="9"/>
      <c r="AI1762" s="9"/>
    </row>
    <row r="1763" ht="15.0" customHeight="1">
      <c r="A1763" s="11">
        <v>1762.0</v>
      </c>
      <c r="B1763" s="12">
        <f t="shared" si="279"/>
        <v>40106</v>
      </c>
      <c r="C1763" s="13">
        <v>2009.0</v>
      </c>
      <c r="D1763" s="11" t="s">
        <v>102</v>
      </c>
      <c r="E1763" s="11">
        <v>18.0</v>
      </c>
      <c r="F1763" s="21" t="s">
        <v>792</v>
      </c>
      <c r="G1763" s="15">
        <v>0.026131162678657425</v>
      </c>
      <c r="H1763" s="11" t="s">
        <v>45</v>
      </c>
      <c r="I1763" s="16">
        <v>28.712000000000003</v>
      </c>
      <c r="J1763" s="11" t="s">
        <v>1939</v>
      </c>
      <c r="K1763" s="11" t="s">
        <v>83</v>
      </c>
      <c r="L1763" s="11" t="s">
        <v>41</v>
      </c>
      <c r="M1763" s="11" t="s">
        <v>49</v>
      </c>
      <c r="N1763" s="11" t="s">
        <v>156</v>
      </c>
      <c r="O1763" s="11" t="s">
        <v>794</v>
      </c>
      <c r="P1763" s="11" t="s">
        <v>87</v>
      </c>
      <c r="Q1763" s="20">
        <v>40109.0</v>
      </c>
      <c r="R1763" s="17">
        <f t="shared" si="2"/>
        <v>81.13496057</v>
      </c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>
        <f t="shared" si="8"/>
        <v>3</v>
      </c>
      <c r="AF1763" s="19" t="b">
        <f t="shared" si="13"/>
        <v>0</v>
      </c>
      <c r="AG1763" s="9"/>
      <c r="AH1763" s="9"/>
      <c r="AI1763" s="9"/>
    </row>
    <row r="1764" ht="15.0" customHeight="1">
      <c r="A1764" s="11">
        <v>1763.0</v>
      </c>
      <c r="B1764" s="12">
        <f t="shared" si="279"/>
        <v>40106</v>
      </c>
      <c r="C1764" s="13">
        <v>2009.0</v>
      </c>
      <c r="D1764" s="11" t="s">
        <v>102</v>
      </c>
      <c r="E1764" s="11">
        <v>42.0</v>
      </c>
      <c r="F1764" s="21" t="s">
        <v>952</v>
      </c>
      <c r="G1764" s="15">
        <v>0.03879114092936378</v>
      </c>
      <c r="H1764" s="11" t="s">
        <v>33</v>
      </c>
      <c r="I1764" s="16">
        <v>19.592</v>
      </c>
      <c r="J1764" s="11" t="s">
        <v>1939</v>
      </c>
      <c r="K1764" s="11" t="s">
        <v>83</v>
      </c>
      <c r="L1764" s="11" t="s">
        <v>41</v>
      </c>
      <c r="M1764" s="11" t="s">
        <v>66</v>
      </c>
      <c r="N1764" s="11" t="s">
        <v>170</v>
      </c>
      <c r="O1764" s="11" t="s">
        <v>954</v>
      </c>
      <c r="P1764" s="11" t="s">
        <v>31</v>
      </c>
      <c r="Q1764" s="20">
        <v>40109.0</v>
      </c>
      <c r="R1764" s="17">
        <f t="shared" si="2"/>
        <v>978.1338247</v>
      </c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>
        <f t="shared" si="8"/>
        <v>3</v>
      </c>
      <c r="AF1764" s="19" t="b">
        <f t="shared" si="13"/>
        <v>0</v>
      </c>
      <c r="AG1764" s="9"/>
      <c r="AH1764" s="9"/>
      <c r="AI1764" s="9"/>
    </row>
    <row r="1765" ht="15.0" customHeight="1">
      <c r="A1765" s="11">
        <v>1764.0</v>
      </c>
      <c r="B1765" s="12">
        <f t="shared" ref="B1765:B1769" si="280">DATE(2012,12,31)-1167</f>
        <v>40107</v>
      </c>
      <c r="C1765" s="13">
        <v>2009.0</v>
      </c>
      <c r="D1765" s="11" t="s">
        <v>23</v>
      </c>
      <c r="E1765" s="11">
        <v>13.0</v>
      </c>
      <c r="F1765" s="21" t="s">
        <v>415</v>
      </c>
      <c r="G1765" s="15">
        <v>0.06717391304347836</v>
      </c>
      <c r="H1765" s="11" t="s">
        <v>33</v>
      </c>
      <c r="I1765" s="16">
        <v>0.792</v>
      </c>
      <c r="J1765" s="11" t="s">
        <v>1010</v>
      </c>
      <c r="K1765" s="11" t="s">
        <v>35</v>
      </c>
      <c r="L1765" s="11" t="s">
        <v>27</v>
      </c>
      <c r="M1765" s="11" t="s">
        <v>28</v>
      </c>
      <c r="N1765" s="11" t="s">
        <v>216</v>
      </c>
      <c r="O1765" s="11" t="s">
        <v>1940</v>
      </c>
      <c r="P1765" s="11" t="s">
        <v>58</v>
      </c>
      <c r="Q1765" s="20">
        <v>40109.0</v>
      </c>
      <c r="R1765" s="17">
        <f t="shared" si="2"/>
        <v>3.45891913</v>
      </c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>
        <f t="shared" si="8"/>
        <v>1</v>
      </c>
      <c r="AF1765" s="19">
        <f t="shared" si="13"/>
        <v>2</v>
      </c>
      <c r="AG1765" s="9"/>
      <c r="AH1765" s="9"/>
      <c r="AI1765" s="9"/>
    </row>
    <row r="1766" ht="15.0" customHeight="1">
      <c r="A1766" s="11">
        <v>1765.0</v>
      </c>
      <c r="B1766" s="12">
        <f t="shared" si="280"/>
        <v>40107</v>
      </c>
      <c r="C1766" s="13">
        <v>2009.0</v>
      </c>
      <c r="D1766" s="11" t="s">
        <v>32</v>
      </c>
      <c r="E1766" s="11">
        <v>3.0</v>
      </c>
      <c r="F1766" s="21" t="s">
        <v>126</v>
      </c>
      <c r="G1766" s="15">
        <v>0.09084337349397595</v>
      </c>
      <c r="H1766" s="11" t="s">
        <v>33</v>
      </c>
      <c r="I1766" s="16">
        <v>0.392</v>
      </c>
      <c r="J1766" s="11" t="s">
        <v>1720</v>
      </c>
      <c r="K1766" s="11" t="s">
        <v>65</v>
      </c>
      <c r="L1766" s="11" t="s">
        <v>48</v>
      </c>
      <c r="M1766" s="11" t="s">
        <v>28</v>
      </c>
      <c r="N1766" s="11" t="s">
        <v>188</v>
      </c>
      <c r="O1766" s="11" t="s">
        <v>1703</v>
      </c>
      <c r="P1766" s="11" t="s">
        <v>38</v>
      </c>
      <c r="Q1766" s="20">
        <v>40110.0</v>
      </c>
      <c r="R1766" s="17">
        <f t="shared" si="2"/>
        <v>1.371008193</v>
      </c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>
        <f t="shared" si="8"/>
        <v>4</v>
      </c>
      <c r="AF1766" s="19">
        <f t="shared" si="13"/>
        <v>5</v>
      </c>
      <c r="AG1766" s="9"/>
      <c r="AH1766" s="9"/>
      <c r="AI1766" s="9"/>
    </row>
    <row r="1767" ht="15.0" customHeight="1">
      <c r="A1767" s="11">
        <v>1766.0</v>
      </c>
      <c r="B1767" s="12">
        <f t="shared" si="280"/>
        <v>40107</v>
      </c>
      <c r="C1767" s="13">
        <v>2009.0</v>
      </c>
      <c r="D1767" s="11" t="s">
        <v>32</v>
      </c>
      <c r="E1767" s="11">
        <v>8.0</v>
      </c>
      <c r="F1767" s="21" t="s">
        <v>389</v>
      </c>
      <c r="G1767" s="15">
        <v>0.08582195007065464</v>
      </c>
      <c r="H1767" s="11" t="s">
        <v>45</v>
      </c>
      <c r="I1767" s="16">
        <v>11.200000000000001</v>
      </c>
      <c r="J1767" s="11" t="s">
        <v>1720</v>
      </c>
      <c r="K1767" s="11" t="s">
        <v>65</v>
      </c>
      <c r="L1767" s="11" t="s">
        <v>48</v>
      </c>
      <c r="M1767" s="11" t="s">
        <v>66</v>
      </c>
      <c r="N1767" s="11" t="s">
        <v>69</v>
      </c>
      <c r="O1767" s="11" t="s">
        <v>1502</v>
      </c>
      <c r="P1767" s="11" t="s">
        <v>52</v>
      </c>
      <c r="Q1767" s="20">
        <v>40110.0</v>
      </c>
      <c r="R1767" s="17">
        <f t="shared" si="2"/>
        <v>83.28162035</v>
      </c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>
        <f t="shared" si="8"/>
        <v>4</v>
      </c>
      <c r="AF1767" s="19">
        <f t="shared" si="13"/>
        <v>5</v>
      </c>
      <c r="AG1767" s="9"/>
      <c r="AH1767" s="9"/>
      <c r="AI1767" s="9"/>
    </row>
    <row r="1768" ht="15.0" customHeight="1">
      <c r="A1768" s="11">
        <v>1767.0</v>
      </c>
      <c r="B1768" s="12">
        <f t="shared" si="280"/>
        <v>40107</v>
      </c>
      <c r="C1768" s="13">
        <v>2009.0</v>
      </c>
      <c r="D1768" s="11" t="s">
        <v>102</v>
      </c>
      <c r="E1768" s="11">
        <v>49.0</v>
      </c>
      <c r="F1768" s="21" t="s">
        <v>1144</v>
      </c>
      <c r="G1768" s="15">
        <v>0.020008487709510536</v>
      </c>
      <c r="H1768" s="11" t="s">
        <v>33</v>
      </c>
      <c r="I1768" s="16">
        <v>15.991999999999999</v>
      </c>
      <c r="J1768" s="11" t="s">
        <v>1941</v>
      </c>
      <c r="K1768" s="11" t="s">
        <v>35</v>
      </c>
      <c r="L1768" s="11" t="s">
        <v>48</v>
      </c>
      <c r="M1768" s="11" t="s">
        <v>28</v>
      </c>
      <c r="N1768" s="11" t="s">
        <v>29</v>
      </c>
      <c r="O1768" s="11" t="s">
        <v>1146</v>
      </c>
      <c r="P1768" s="11" t="s">
        <v>38</v>
      </c>
      <c r="Q1768" s="20">
        <v>40110.0</v>
      </c>
      <c r="R1768" s="17">
        <f t="shared" si="2"/>
        <v>411.2122785</v>
      </c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>
        <f t="shared" si="8"/>
        <v>4</v>
      </c>
      <c r="AF1768" s="19">
        <f t="shared" si="13"/>
        <v>2</v>
      </c>
      <c r="AG1768" s="9"/>
      <c r="AH1768" s="9"/>
      <c r="AI1768" s="9"/>
    </row>
    <row r="1769" ht="15.0" customHeight="1">
      <c r="A1769" s="11">
        <v>1768.0</v>
      </c>
      <c r="B1769" s="12">
        <f t="shared" si="280"/>
        <v>40107</v>
      </c>
      <c r="C1769" s="13">
        <v>2009.0</v>
      </c>
      <c r="D1769" s="11" t="s">
        <v>44</v>
      </c>
      <c r="E1769" s="11">
        <v>50.0</v>
      </c>
      <c r="F1769" s="21" t="s">
        <v>183</v>
      </c>
      <c r="G1769" s="15">
        <v>0.008683238985971006</v>
      </c>
      <c r="H1769" s="11" t="s">
        <v>33</v>
      </c>
      <c r="I1769" s="16">
        <v>10.544</v>
      </c>
      <c r="J1769" s="11" t="s">
        <v>1942</v>
      </c>
      <c r="K1769" s="11" t="s">
        <v>65</v>
      </c>
      <c r="L1769" s="11" t="s">
        <v>48</v>
      </c>
      <c r="M1769" s="11" t="s">
        <v>28</v>
      </c>
      <c r="N1769" s="11" t="s">
        <v>42</v>
      </c>
      <c r="O1769" s="11" t="s">
        <v>185</v>
      </c>
      <c r="P1769" s="11" t="s">
        <v>38</v>
      </c>
      <c r="Q1769" s="20">
        <v>40110.0</v>
      </c>
      <c r="R1769" s="17">
        <f t="shared" si="2"/>
        <v>6.994731066</v>
      </c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>
        <f t="shared" si="8"/>
        <v>4</v>
      </c>
      <c r="AF1769" s="19">
        <f t="shared" si="13"/>
        <v>5</v>
      </c>
      <c r="AG1769" s="9"/>
      <c r="AH1769" s="9"/>
      <c r="AI1769" s="9"/>
    </row>
    <row r="1770" ht="15.0" customHeight="1">
      <c r="A1770" s="11">
        <v>1769.0</v>
      </c>
      <c r="B1770" s="12">
        <f t="shared" ref="B1770:B1771" si="281">DATE(2012,12,31)-1166</f>
        <v>40108</v>
      </c>
      <c r="C1770" s="13">
        <v>2009.0</v>
      </c>
      <c r="D1770" s="11" t="s">
        <v>32</v>
      </c>
      <c r="E1770" s="11">
        <v>45.0</v>
      </c>
      <c r="F1770" s="21" t="s">
        <v>853</v>
      </c>
      <c r="G1770" s="15">
        <v>0.029652322343005893</v>
      </c>
      <c r="H1770" s="11" t="s">
        <v>33</v>
      </c>
      <c r="I1770" s="16">
        <v>4.688000000000001</v>
      </c>
      <c r="J1770" s="11" t="s">
        <v>1276</v>
      </c>
      <c r="K1770" s="11" t="s">
        <v>47</v>
      </c>
      <c r="L1770" s="11" t="s">
        <v>36</v>
      </c>
      <c r="M1770" s="11" t="s">
        <v>28</v>
      </c>
      <c r="N1770" s="11" t="s">
        <v>56</v>
      </c>
      <c r="O1770" s="11" t="s">
        <v>1034</v>
      </c>
      <c r="P1770" s="11" t="s">
        <v>38</v>
      </c>
      <c r="Q1770" s="20">
        <v>40111.0</v>
      </c>
      <c r="R1770" s="17">
        <f t="shared" si="2"/>
        <v>64.0545909</v>
      </c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>
        <f t="shared" si="8"/>
        <v>2</v>
      </c>
      <c r="AF1770" s="19">
        <f t="shared" si="13"/>
        <v>3</v>
      </c>
      <c r="AG1770" s="9"/>
      <c r="AH1770" s="9"/>
      <c r="AI1770" s="9"/>
    </row>
    <row r="1771" ht="15.0" customHeight="1">
      <c r="A1771" s="11">
        <v>1770.0</v>
      </c>
      <c r="B1771" s="12">
        <f t="shared" si="281"/>
        <v>40108</v>
      </c>
      <c r="C1771" s="13">
        <v>2009.0</v>
      </c>
      <c r="D1771" s="11" t="s">
        <v>32</v>
      </c>
      <c r="E1771" s="11">
        <v>1.0</v>
      </c>
      <c r="F1771" s="21" t="s">
        <v>1091</v>
      </c>
      <c r="G1771" s="15">
        <v>0.0806440071556351</v>
      </c>
      <c r="H1771" s="11" t="s">
        <v>33</v>
      </c>
      <c r="I1771" s="16">
        <v>15.991999999999999</v>
      </c>
      <c r="J1771" s="11" t="s">
        <v>1276</v>
      </c>
      <c r="K1771" s="11" t="s">
        <v>47</v>
      </c>
      <c r="L1771" s="11" t="s">
        <v>36</v>
      </c>
      <c r="M1771" s="11" t="s">
        <v>28</v>
      </c>
      <c r="N1771" s="11" t="s">
        <v>56</v>
      </c>
      <c r="O1771" s="11" t="s">
        <v>1943</v>
      </c>
      <c r="P1771" s="11" t="s">
        <v>38</v>
      </c>
      <c r="Q1771" s="20">
        <v>40111.0</v>
      </c>
      <c r="R1771" s="17">
        <f t="shared" si="2"/>
        <v>4.144456816</v>
      </c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>
        <f t="shared" si="8"/>
        <v>2</v>
      </c>
      <c r="AF1771" s="19">
        <f t="shared" si="13"/>
        <v>3</v>
      </c>
      <c r="AG1771" s="9"/>
      <c r="AH1771" s="9"/>
      <c r="AI1771" s="9"/>
    </row>
    <row r="1772" ht="15.0" customHeight="1">
      <c r="A1772" s="11">
        <v>1771.0</v>
      </c>
      <c r="B1772" s="12">
        <f t="shared" ref="B1772:B1775" si="282">DATE(2012,12,31)-1165</f>
        <v>40109</v>
      </c>
      <c r="C1772" s="13">
        <v>2009.0</v>
      </c>
      <c r="D1772" s="11" t="s">
        <v>23</v>
      </c>
      <c r="E1772" s="11">
        <v>5.0</v>
      </c>
      <c r="F1772" s="21" t="s">
        <v>894</v>
      </c>
      <c r="G1772" s="15">
        <v>0.11819672131147543</v>
      </c>
      <c r="H1772" s="11" t="s">
        <v>33</v>
      </c>
      <c r="I1772" s="16">
        <v>5.016</v>
      </c>
      <c r="J1772" s="11" t="s">
        <v>1652</v>
      </c>
      <c r="K1772" s="11" t="s">
        <v>117</v>
      </c>
      <c r="L1772" s="11" t="s">
        <v>48</v>
      </c>
      <c r="M1772" s="11" t="s">
        <v>28</v>
      </c>
      <c r="N1772" s="11" t="s">
        <v>42</v>
      </c>
      <c r="O1772" s="11" t="s">
        <v>89</v>
      </c>
      <c r="P1772" s="11" t="s">
        <v>38</v>
      </c>
      <c r="Q1772" s="20">
        <v>40111.0</v>
      </c>
      <c r="R1772" s="17">
        <f t="shared" si="2"/>
        <v>2.543120656</v>
      </c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>
        <f t="shared" si="8"/>
        <v>4</v>
      </c>
      <c r="AF1772" s="19" t="b">
        <f t="shared" si="13"/>
        <v>0</v>
      </c>
      <c r="AG1772" s="9"/>
      <c r="AH1772" s="9"/>
      <c r="AI1772" s="9"/>
    </row>
    <row r="1773" ht="15.0" customHeight="1">
      <c r="A1773" s="11">
        <v>1772.0</v>
      </c>
      <c r="B1773" s="12">
        <f t="shared" si="282"/>
        <v>40109</v>
      </c>
      <c r="C1773" s="13">
        <v>2009.0</v>
      </c>
      <c r="D1773" s="11" t="s">
        <v>23</v>
      </c>
      <c r="E1773" s="11">
        <v>19.0</v>
      </c>
      <c r="F1773" s="21" t="s">
        <v>169</v>
      </c>
      <c r="G1773" s="15">
        <v>0.06588398681349505</v>
      </c>
      <c r="H1773" s="11" t="s">
        <v>33</v>
      </c>
      <c r="I1773" s="16">
        <v>19.592</v>
      </c>
      <c r="J1773" s="11" t="s">
        <v>1652</v>
      </c>
      <c r="K1773" s="11" t="s">
        <v>117</v>
      </c>
      <c r="L1773" s="11" t="s">
        <v>48</v>
      </c>
      <c r="M1773" s="11" t="s">
        <v>66</v>
      </c>
      <c r="N1773" s="11" t="s">
        <v>170</v>
      </c>
      <c r="O1773" s="11" t="s">
        <v>171</v>
      </c>
      <c r="P1773" s="11" t="s">
        <v>31</v>
      </c>
      <c r="Q1773" s="20">
        <v>40111.0</v>
      </c>
      <c r="R1773" s="17">
        <f t="shared" si="2"/>
        <v>877.4226441</v>
      </c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>
        <f t="shared" si="8"/>
        <v>4</v>
      </c>
      <c r="AF1773" s="19" t="b">
        <f t="shared" si="13"/>
        <v>0</v>
      </c>
      <c r="AG1773" s="9"/>
      <c r="AH1773" s="9"/>
      <c r="AI1773" s="9"/>
    </row>
    <row r="1774" ht="15.0" customHeight="1">
      <c r="A1774" s="11">
        <v>1773.0</v>
      </c>
      <c r="B1774" s="12">
        <f t="shared" si="282"/>
        <v>40109</v>
      </c>
      <c r="C1774" s="13">
        <v>2009.0</v>
      </c>
      <c r="D1774" s="11" t="s">
        <v>102</v>
      </c>
      <c r="E1774" s="11">
        <v>12.0</v>
      </c>
      <c r="F1774" s="21" t="s">
        <v>1207</v>
      </c>
      <c r="G1774" s="15">
        <v>0.05924972100609492</v>
      </c>
      <c r="H1774" s="11" t="s">
        <v>45</v>
      </c>
      <c r="I1774" s="16">
        <v>20.96</v>
      </c>
      <c r="J1774" s="11" t="s">
        <v>326</v>
      </c>
      <c r="K1774" s="11" t="s">
        <v>35</v>
      </c>
      <c r="L1774" s="11" t="s">
        <v>48</v>
      </c>
      <c r="M1774" s="11" t="s">
        <v>49</v>
      </c>
      <c r="N1774" s="11" t="s">
        <v>50</v>
      </c>
      <c r="O1774" s="11" t="s">
        <v>1208</v>
      </c>
      <c r="P1774" s="11" t="s">
        <v>52</v>
      </c>
      <c r="Q1774" s="20">
        <v>40111.0</v>
      </c>
      <c r="R1774" s="17">
        <f t="shared" si="2"/>
        <v>129.8611685</v>
      </c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>
        <f t="shared" si="8"/>
        <v>4</v>
      </c>
      <c r="AF1774" s="19">
        <f t="shared" si="13"/>
        <v>2</v>
      </c>
      <c r="AG1774" s="9"/>
      <c r="AH1774" s="9"/>
      <c r="AI1774" s="9"/>
    </row>
    <row r="1775" ht="15.0" customHeight="1">
      <c r="A1775" s="11">
        <v>1774.0</v>
      </c>
      <c r="B1775" s="12">
        <f t="shared" si="282"/>
        <v>40109</v>
      </c>
      <c r="C1775" s="13">
        <v>2009.0</v>
      </c>
      <c r="D1775" s="11" t="s">
        <v>102</v>
      </c>
      <c r="E1775" s="11">
        <v>25.0</v>
      </c>
      <c r="F1775" s="21" t="s">
        <v>552</v>
      </c>
      <c r="G1775" s="15">
        <v>0.02823774765380603</v>
      </c>
      <c r="H1775" s="11" t="s">
        <v>33</v>
      </c>
      <c r="I1775" s="16">
        <v>6.384</v>
      </c>
      <c r="J1775" s="11" t="s">
        <v>326</v>
      </c>
      <c r="K1775" s="11" t="s">
        <v>35</v>
      </c>
      <c r="L1775" s="11" t="s">
        <v>48</v>
      </c>
      <c r="M1775" s="11" t="s">
        <v>49</v>
      </c>
      <c r="N1775" s="11" t="s">
        <v>73</v>
      </c>
      <c r="O1775" s="11" t="s">
        <v>1343</v>
      </c>
      <c r="P1775" s="11" t="s">
        <v>58</v>
      </c>
      <c r="Q1775" s="20">
        <v>40111.0</v>
      </c>
      <c r="R1775" s="17">
        <f t="shared" si="2"/>
        <v>5.263064359</v>
      </c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>
        <f t="shared" si="8"/>
        <v>4</v>
      </c>
      <c r="AF1775" s="19">
        <f t="shared" si="13"/>
        <v>2</v>
      </c>
      <c r="AG1775" s="9"/>
      <c r="AH1775" s="9"/>
      <c r="AI1775" s="9"/>
    </row>
    <row r="1776" ht="15.0" customHeight="1">
      <c r="A1776" s="11">
        <v>1775.0</v>
      </c>
      <c r="B1776" s="12">
        <f t="shared" ref="B1776:B1778" si="283">DATE(2012,12,31)-1164</f>
        <v>40110</v>
      </c>
      <c r="C1776" s="13">
        <v>2009.0</v>
      </c>
      <c r="D1776" s="11" t="s">
        <v>39</v>
      </c>
      <c r="E1776" s="11">
        <v>3.0</v>
      </c>
      <c r="F1776" s="21" t="s">
        <v>1944</v>
      </c>
      <c r="G1776" s="15">
        <v>0.07795918367346949</v>
      </c>
      <c r="H1776" s="11" t="s">
        <v>33</v>
      </c>
      <c r="I1776" s="16">
        <v>1.536</v>
      </c>
      <c r="J1776" s="11" t="s">
        <v>1170</v>
      </c>
      <c r="K1776" s="11" t="s">
        <v>61</v>
      </c>
      <c r="L1776" s="11" t="s">
        <v>27</v>
      </c>
      <c r="M1776" s="11" t="s">
        <v>28</v>
      </c>
      <c r="N1776" s="11" t="s">
        <v>442</v>
      </c>
      <c r="O1776" s="11" t="s">
        <v>1945</v>
      </c>
      <c r="P1776" s="11" t="s">
        <v>58</v>
      </c>
      <c r="Q1776" s="20">
        <v>40111.0</v>
      </c>
      <c r="R1776" s="17">
        <f t="shared" si="2"/>
        <v>0.7044391837</v>
      </c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>
        <f t="shared" si="8"/>
        <v>1</v>
      </c>
      <c r="AF1776" s="19">
        <f t="shared" si="13"/>
        <v>4</v>
      </c>
      <c r="AG1776" s="9"/>
      <c r="AH1776" s="9"/>
      <c r="AI1776" s="9"/>
    </row>
    <row r="1777" ht="15.0" customHeight="1">
      <c r="A1777" s="11">
        <v>1776.0</v>
      </c>
      <c r="B1777" s="12">
        <f t="shared" si="283"/>
        <v>40110</v>
      </c>
      <c r="C1777" s="13">
        <v>2009.0</v>
      </c>
      <c r="D1777" s="11" t="s">
        <v>39</v>
      </c>
      <c r="E1777" s="11">
        <v>25.0</v>
      </c>
      <c r="F1777" s="21" t="s">
        <v>256</v>
      </c>
      <c r="G1777" s="15">
        <v>0.026521160500399252</v>
      </c>
      <c r="H1777" s="11" t="s">
        <v>33</v>
      </c>
      <c r="I1777" s="16">
        <v>5.736000000000001</v>
      </c>
      <c r="J1777" s="11" t="s">
        <v>636</v>
      </c>
      <c r="K1777" s="11" t="s">
        <v>61</v>
      </c>
      <c r="L1777" s="11" t="s">
        <v>41</v>
      </c>
      <c r="M1777" s="11" t="s">
        <v>28</v>
      </c>
      <c r="N1777" s="11" t="s">
        <v>42</v>
      </c>
      <c r="O1777" s="11" t="s">
        <v>1946</v>
      </c>
      <c r="P1777" s="11" t="s">
        <v>38</v>
      </c>
      <c r="Q1777" s="20">
        <v>40111.0</v>
      </c>
      <c r="R1777" s="17">
        <f t="shared" si="2"/>
        <v>9.699743157</v>
      </c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>
        <f t="shared" si="8"/>
        <v>3</v>
      </c>
      <c r="AF1777" s="19">
        <f t="shared" si="13"/>
        <v>4</v>
      </c>
      <c r="AG1777" s="9"/>
      <c r="AH1777" s="9"/>
      <c r="AI1777" s="9"/>
    </row>
    <row r="1778" ht="15.0" customHeight="1">
      <c r="A1778" s="11">
        <v>1777.0</v>
      </c>
      <c r="B1778" s="12">
        <f t="shared" si="283"/>
        <v>40110</v>
      </c>
      <c r="C1778" s="13">
        <v>2009.0</v>
      </c>
      <c r="D1778" s="11" t="s">
        <v>39</v>
      </c>
      <c r="E1778" s="11">
        <v>50.0</v>
      </c>
      <c r="F1778" s="21" t="s">
        <v>1074</v>
      </c>
      <c r="G1778" s="15">
        <v>0.07986693280106466</v>
      </c>
      <c r="H1778" s="11" t="s">
        <v>33</v>
      </c>
      <c r="I1778" s="16">
        <v>1.592</v>
      </c>
      <c r="J1778" s="11" t="s">
        <v>636</v>
      </c>
      <c r="K1778" s="11" t="s">
        <v>61</v>
      </c>
      <c r="L1778" s="11" t="s">
        <v>41</v>
      </c>
      <c r="M1778" s="11" t="s">
        <v>28</v>
      </c>
      <c r="N1778" s="11" t="s">
        <v>62</v>
      </c>
      <c r="O1778" s="11" t="s">
        <v>1947</v>
      </c>
      <c r="P1778" s="11" t="s">
        <v>58</v>
      </c>
      <c r="Q1778" s="20">
        <v>40112.0</v>
      </c>
      <c r="R1778" s="17">
        <f t="shared" si="2"/>
        <v>22.09055468</v>
      </c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>
        <f t="shared" si="8"/>
        <v>3</v>
      </c>
      <c r="AF1778" s="19">
        <f t="shared" si="13"/>
        <v>4</v>
      </c>
      <c r="AG1778" s="9"/>
      <c r="AH1778" s="9"/>
      <c r="AI1778" s="9"/>
    </row>
    <row r="1779" ht="15.0" customHeight="1">
      <c r="A1779" s="11">
        <v>1778.0</v>
      </c>
      <c r="B1779" s="12">
        <f t="shared" ref="B1779:B1783" si="284">DATE(2012,12,31)-1163</f>
        <v>40111</v>
      </c>
      <c r="C1779" s="13">
        <v>2009.0</v>
      </c>
      <c r="D1779" s="11" t="s">
        <v>39</v>
      </c>
      <c r="E1779" s="11">
        <v>39.0</v>
      </c>
      <c r="F1779" s="21" t="s">
        <v>1369</v>
      </c>
      <c r="G1779" s="15">
        <v>0.06179310344827581</v>
      </c>
      <c r="H1779" s="11" t="s">
        <v>24</v>
      </c>
      <c r="I1779" s="16">
        <v>1.536</v>
      </c>
      <c r="J1779" s="11" t="s">
        <v>953</v>
      </c>
      <c r="K1779" s="11" t="s">
        <v>65</v>
      </c>
      <c r="L1779" s="11" t="s">
        <v>27</v>
      </c>
      <c r="M1779" s="11" t="s">
        <v>28</v>
      </c>
      <c r="N1779" s="11" t="s">
        <v>442</v>
      </c>
      <c r="O1779" s="11" t="s">
        <v>1776</v>
      </c>
      <c r="P1779" s="11" t="s">
        <v>58</v>
      </c>
      <c r="Q1779" s="20">
        <v>40112.0</v>
      </c>
      <c r="R1779" s="17">
        <f t="shared" si="2"/>
        <v>7.565700414</v>
      </c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>
        <f t="shared" si="8"/>
        <v>1</v>
      </c>
      <c r="AF1779" s="19">
        <f t="shared" si="13"/>
        <v>5</v>
      </c>
      <c r="AG1779" s="9"/>
      <c r="AH1779" s="9"/>
      <c r="AI1779" s="9"/>
    </row>
    <row r="1780" ht="15.0" customHeight="1">
      <c r="A1780" s="11">
        <v>1779.0</v>
      </c>
      <c r="B1780" s="12">
        <f t="shared" si="284"/>
        <v>40111</v>
      </c>
      <c r="C1780" s="13">
        <v>2009.0</v>
      </c>
      <c r="D1780" s="11" t="s">
        <v>39</v>
      </c>
      <c r="E1780" s="11">
        <v>42.0</v>
      </c>
      <c r="F1780" s="21" t="s">
        <v>1743</v>
      </c>
      <c r="G1780" s="15">
        <v>0.02057264050901376</v>
      </c>
      <c r="H1780" s="11" t="s">
        <v>33</v>
      </c>
      <c r="I1780" s="16">
        <v>4.12</v>
      </c>
      <c r="J1780" s="11" t="s">
        <v>1948</v>
      </c>
      <c r="K1780" s="11" t="s">
        <v>61</v>
      </c>
      <c r="L1780" s="11" t="s">
        <v>41</v>
      </c>
      <c r="M1780" s="11" t="s">
        <v>28</v>
      </c>
      <c r="N1780" s="11" t="s">
        <v>197</v>
      </c>
      <c r="O1780" s="11" t="s">
        <v>1745</v>
      </c>
      <c r="P1780" s="11" t="s">
        <v>38</v>
      </c>
      <c r="Q1780" s="20">
        <v>40112.0</v>
      </c>
      <c r="R1780" s="17">
        <f t="shared" si="2"/>
        <v>3.800178155</v>
      </c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>
        <f t="shared" si="8"/>
        <v>3</v>
      </c>
      <c r="AF1780" s="19">
        <f t="shared" si="13"/>
        <v>4</v>
      </c>
      <c r="AG1780" s="9"/>
      <c r="AH1780" s="9"/>
      <c r="AI1780" s="9"/>
    </row>
    <row r="1781" ht="15.0" customHeight="1">
      <c r="A1781" s="11">
        <v>1780.0</v>
      </c>
      <c r="B1781" s="12">
        <f t="shared" si="284"/>
        <v>40111</v>
      </c>
      <c r="C1781" s="13">
        <v>2009.0</v>
      </c>
      <c r="D1781" s="11" t="s">
        <v>39</v>
      </c>
      <c r="E1781" s="11">
        <v>31.0</v>
      </c>
      <c r="F1781" s="21" t="s">
        <v>562</v>
      </c>
      <c r="G1781" s="15">
        <v>0.010767237107901171</v>
      </c>
      <c r="H1781" s="11" t="s">
        <v>45</v>
      </c>
      <c r="I1781" s="16">
        <v>44.800000000000004</v>
      </c>
      <c r="J1781" s="11" t="s">
        <v>1948</v>
      </c>
      <c r="K1781" s="11" t="s">
        <v>61</v>
      </c>
      <c r="L1781" s="11" t="s">
        <v>41</v>
      </c>
      <c r="M1781" s="11" t="s">
        <v>49</v>
      </c>
      <c r="N1781" s="11" t="s">
        <v>50</v>
      </c>
      <c r="O1781" s="11" t="s">
        <v>1649</v>
      </c>
      <c r="P1781" s="11" t="s">
        <v>52</v>
      </c>
      <c r="Q1781" s="20">
        <v>40112.0</v>
      </c>
      <c r="R1781" s="17">
        <f t="shared" si="2"/>
        <v>167.6749533</v>
      </c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>
        <f t="shared" si="8"/>
        <v>3</v>
      </c>
      <c r="AF1781" s="19">
        <f t="shared" si="13"/>
        <v>4</v>
      </c>
      <c r="AG1781" s="9"/>
      <c r="AH1781" s="9"/>
      <c r="AI1781" s="9"/>
    </row>
    <row r="1782" ht="15.0" customHeight="1">
      <c r="A1782" s="11">
        <v>1781.0</v>
      </c>
      <c r="B1782" s="12">
        <f t="shared" si="284"/>
        <v>40111</v>
      </c>
      <c r="C1782" s="13">
        <v>2009.0</v>
      </c>
      <c r="D1782" s="11" t="s">
        <v>39</v>
      </c>
      <c r="E1782" s="11">
        <v>39.0</v>
      </c>
      <c r="F1782" s="21" t="s">
        <v>624</v>
      </c>
      <c r="G1782" s="15">
        <v>0.02763449367088615</v>
      </c>
      <c r="H1782" s="11" t="s">
        <v>33</v>
      </c>
      <c r="I1782" s="16">
        <v>4.128</v>
      </c>
      <c r="J1782" s="11" t="s">
        <v>1948</v>
      </c>
      <c r="K1782" s="11" t="s">
        <v>61</v>
      </c>
      <c r="L1782" s="11" t="s">
        <v>41</v>
      </c>
      <c r="M1782" s="11" t="s">
        <v>49</v>
      </c>
      <c r="N1782" s="11" t="s">
        <v>73</v>
      </c>
      <c r="O1782" s="11" t="s">
        <v>1709</v>
      </c>
      <c r="P1782" s="11" t="s">
        <v>38</v>
      </c>
      <c r="Q1782" s="20">
        <v>40113.0</v>
      </c>
      <c r="R1782" s="17">
        <f t="shared" si="2"/>
        <v>13.58589085</v>
      </c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>
        <f t="shared" si="8"/>
        <v>3</v>
      </c>
      <c r="AF1782" s="19">
        <f t="shared" si="13"/>
        <v>4</v>
      </c>
      <c r="AG1782" s="9"/>
      <c r="AH1782" s="9"/>
      <c r="AI1782" s="9"/>
    </row>
    <row r="1783" ht="15.0" customHeight="1">
      <c r="A1783" s="11">
        <v>1782.0</v>
      </c>
      <c r="B1783" s="12">
        <f t="shared" si="284"/>
        <v>40111</v>
      </c>
      <c r="C1783" s="13">
        <v>2009.0</v>
      </c>
      <c r="D1783" s="11" t="s">
        <v>39</v>
      </c>
      <c r="E1783" s="11">
        <v>15.0</v>
      </c>
      <c r="F1783" s="21" t="s">
        <v>299</v>
      </c>
      <c r="G1783" s="15">
        <v>0.09584732824427479</v>
      </c>
      <c r="H1783" s="11" t="s">
        <v>33</v>
      </c>
      <c r="I1783" s="16">
        <v>2.9440000000000004</v>
      </c>
      <c r="J1783" s="11" t="s">
        <v>1948</v>
      </c>
      <c r="K1783" s="11" t="s">
        <v>61</v>
      </c>
      <c r="L1783" s="11" t="s">
        <v>41</v>
      </c>
      <c r="M1783" s="11" t="s">
        <v>49</v>
      </c>
      <c r="N1783" s="11" t="s">
        <v>73</v>
      </c>
      <c r="O1783" s="11" t="s">
        <v>1949</v>
      </c>
      <c r="P1783" s="11" t="s">
        <v>58</v>
      </c>
      <c r="Q1783" s="20">
        <v>40113.0</v>
      </c>
      <c r="R1783" s="17">
        <f t="shared" si="2"/>
        <v>11.35254095</v>
      </c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>
        <f t="shared" si="8"/>
        <v>3</v>
      </c>
      <c r="AF1783" s="19">
        <f t="shared" si="13"/>
        <v>4</v>
      </c>
      <c r="AG1783" s="9"/>
      <c r="AH1783" s="9"/>
      <c r="AI1783" s="9"/>
    </row>
    <row r="1784" ht="15.0" customHeight="1">
      <c r="A1784" s="11">
        <v>1783.0</v>
      </c>
      <c r="B1784" s="12">
        <f>DATE(2012,12,31)-1162</f>
        <v>40112</v>
      </c>
      <c r="C1784" s="13">
        <v>2009.0</v>
      </c>
      <c r="D1784" s="11" t="s">
        <v>32</v>
      </c>
      <c r="E1784" s="11">
        <v>27.0</v>
      </c>
      <c r="F1784" s="21" t="s">
        <v>1635</v>
      </c>
      <c r="G1784" s="15">
        <v>0.08495996823926412</v>
      </c>
      <c r="H1784" s="11" t="s">
        <v>33</v>
      </c>
      <c r="I1784" s="16">
        <v>28.0</v>
      </c>
      <c r="J1784" s="11" t="s">
        <v>873</v>
      </c>
      <c r="K1784" s="11" t="s">
        <v>83</v>
      </c>
      <c r="L1784" s="11" t="s">
        <v>41</v>
      </c>
      <c r="M1784" s="11" t="s">
        <v>28</v>
      </c>
      <c r="N1784" s="11" t="s">
        <v>29</v>
      </c>
      <c r="O1784" s="11" t="s">
        <v>1637</v>
      </c>
      <c r="P1784" s="11" t="s">
        <v>31</v>
      </c>
      <c r="Q1784" s="20">
        <v>40113.0</v>
      </c>
      <c r="R1784" s="17">
        <f t="shared" si="2"/>
        <v>234.9822802</v>
      </c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>
        <f t="shared" si="8"/>
        <v>3</v>
      </c>
      <c r="AF1784" s="19" t="b">
        <f t="shared" si="13"/>
        <v>0</v>
      </c>
      <c r="AG1784" s="9"/>
      <c r="AH1784" s="9"/>
      <c r="AI1784" s="9"/>
    </row>
    <row r="1785" ht="15.0" customHeight="1">
      <c r="A1785" s="11">
        <v>1784.0</v>
      </c>
      <c r="B1785" s="12">
        <f t="shared" ref="B1785:B1787" si="285">DATE(2012,12,31)-1161</f>
        <v>40113</v>
      </c>
      <c r="C1785" s="13">
        <v>2009.0</v>
      </c>
      <c r="D1785" s="11" t="s">
        <v>23</v>
      </c>
      <c r="E1785" s="11">
        <v>39.0</v>
      </c>
      <c r="F1785" s="21" t="s">
        <v>151</v>
      </c>
      <c r="G1785" s="15">
        <v>0.10129213483146061</v>
      </c>
      <c r="H1785" s="11" t="s">
        <v>33</v>
      </c>
      <c r="I1785" s="16">
        <v>3.176</v>
      </c>
      <c r="J1785" s="11" t="s">
        <v>1950</v>
      </c>
      <c r="K1785" s="11" t="s">
        <v>65</v>
      </c>
      <c r="L1785" s="11" t="s">
        <v>36</v>
      </c>
      <c r="M1785" s="11" t="s">
        <v>28</v>
      </c>
      <c r="N1785" s="11" t="s">
        <v>62</v>
      </c>
      <c r="O1785" s="11" t="s">
        <v>153</v>
      </c>
      <c r="P1785" s="11" t="s">
        <v>58</v>
      </c>
      <c r="Q1785" s="20">
        <v>40114.0</v>
      </c>
      <c r="R1785" s="17">
        <f t="shared" si="2"/>
        <v>12.96296225</v>
      </c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>
        <f t="shared" si="8"/>
        <v>2</v>
      </c>
      <c r="AF1785" s="19">
        <f t="shared" si="13"/>
        <v>5</v>
      </c>
      <c r="AG1785" s="9"/>
      <c r="AH1785" s="9"/>
      <c r="AI1785" s="9"/>
    </row>
    <row r="1786" ht="15.0" customHeight="1">
      <c r="A1786" s="11">
        <v>1785.0</v>
      </c>
      <c r="B1786" s="12">
        <f t="shared" si="285"/>
        <v>40113</v>
      </c>
      <c r="C1786" s="13">
        <v>2009.0</v>
      </c>
      <c r="D1786" s="11" t="s">
        <v>23</v>
      </c>
      <c r="E1786" s="11">
        <v>49.0</v>
      </c>
      <c r="F1786" s="21" t="s">
        <v>270</v>
      </c>
      <c r="G1786" s="15">
        <v>0.08494449499545045</v>
      </c>
      <c r="H1786" s="11" t="s">
        <v>24</v>
      </c>
      <c r="I1786" s="16">
        <v>7.192</v>
      </c>
      <c r="J1786" s="11" t="s">
        <v>1950</v>
      </c>
      <c r="K1786" s="11" t="s">
        <v>65</v>
      </c>
      <c r="L1786" s="11" t="s">
        <v>36</v>
      </c>
      <c r="M1786" s="11" t="s">
        <v>28</v>
      </c>
      <c r="N1786" s="11" t="s">
        <v>62</v>
      </c>
      <c r="O1786" s="11" t="s">
        <v>1847</v>
      </c>
      <c r="P1786" s="11" t="s">
        <v>99</v>
      </c>
      <c r="Q1786" s="20">
        <v>40114.0</v>
      </c>
      <c r="R1786" s="17">
        <f t="shared" si="2"/>
        <v>170.8481832</v>
      </c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>
        <f t="shared" si="8"/>
        <v>2</v>
      </c>
      <c r="AF1786" s="19">
        <f t="shared" si="13"/>
        <v>5</v>
      </c>
      <c r="AG1786" s="9"/>
      <c r="AH1786" s="9"/>
      <c r="AI1786" s="9"/>
    </row>
    <row r="1787" ht="15.0" customHeight="1">
      <c r="A1787" s="11">
        <v>1786.0</v>
      </c>
      <c r="B1787" s="12">
        <f t="shared" si="285"/>
        <v>40113</v>
      </c>
      <c r="C1787" s="13">
        <v>2009.0</v>
      </c>
      <c r="D1787" s="11" t="s">
        <v>23</v>
      </c>
      <c r="E1787" s="11">
        <v>26.0</v>
      </c>
      <c r="F1787" s="21" t="s">
        <v>128</v>
      </c>
      <c r="G1787" s="15">
        <v>0.035024779651050664</v>
      </c>
      <c r="H1787" s="11" t="s">
        <v>33</v>
      </c>
      <c r="I1787" s="16">
        <v>7.192</v>
      </c>
      <c r="J1787" s="11" t="s">
        <v>1951</v>
      </c>
      <c r="K1787" s="11" t="s">
        <v>61</v>
      </c>
      <c r="L1787" s="11" t="s">
        <v>36</v>
      </c>
      <c r="M1787" s="11" t="s">
        <v>66</v>
      </c>
      <c r="N1787" s="11" t="s">
        <v>80</v>
      </c>
      <c r="O1787" s="11" t="s">
        <v>460</v>
      </c>
      <c r="P1787" s="11" t="s">
        <v>38</v>
      </c>
      <c r="Q1787" s="20">
        <v>40115.0</v>
      </c>
      <c r="R1787" s="17">
        <f t="shared" si="2"/>
        <v>114.9020119</v>
      </c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>
        <f t="shared" si="8"/>
        <v>2</v>
      </c>
      <c r="AF1787" s="19">
        <f t="shared" si="13"/>
        <v>4</v>
      </c>
      <c r="AG1787" s="9"/>
      <c r="AH1787" s="9"/>
      <c r="AI1787" s="9"/>
    </row>
    <row r="1788" ht="15.0" customHeight="1">
      <c r="A1788" s="11">
        <v>1787.0</v>
      </c>
      <c r="B1788" s="12">
        <f t="shared" ref="B1788:B1794" si="286">DATE(2012,12,31)-1160</f>
        <v>40114</v>
      </c>
      <c r="C1788" s="13">
        <v>2009.0</v>
      </c>
      <c r="D1788" s="11" t="s">
        <v>39</v>
      </c>
      <c r="E1788" s="11">
        <v>18.0</v>
      </c>
      <c r="F1788" s="21" t="s">
        <v>1952</v>
      </c>
      <c r="G1788" s="15">
        <v>0.030148592656093726</v>
      </c>
      <c r="H1788" s="11" t="s">
        <v>33</v>
      </c>
      <c r="I1788" s="16">
        <v>19.592</v>
      </c>
      <c r="J1788" s="11" t="s">
        <v>1390</v>
      </c>
      <c r="K1788" s="11" t="s">
        <v>26</v>
      </c>
      <c r="L1788" s="11" t="s">
        <v>48</v>
      </c>
      <c r="M1788" s="11" t="s">
        <v>28</v>
      </c>
      <c r="N1788" s="11" t="s">
        <v>197</v>
      </c>
      <c r="O1788" s="11" t="s">
        <v>1953</v>
      </c>
      <c r="P1788" s="11" t="s">
        <v>31</v>
      </c>
      <c r="Q1788" s="20">
        <v>40115.0</v>
      </c>
      <c r="R1788" s="17">
        <f t="shared" si="2"/>
        <v>163.7186764</v>
      </c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>
        <f t="shared" si="8"/>
        <v>4</v>
      </c>
      <c r="AF1788" s="19">
        <f t="shared" si="13"/>
        <v>1</v>
      </c>
      <c r="AG1788" s="9"/>
      <c r="AH1788" s="9"/>
      <c r="AI1788" s="9"/>
    </row>
    <row r="1789" ht="15.0" customHeight="1">
      <c r="A1789" s="11">
        <v>1788.0</v>
      </c>
      <c r="B1789" s="12">
        <f t="shared" si="286"/>
        <v>40114</v>
      </c>
      <c r="C1789" s="13">
        <v>2009.0</v>
      </c>
      <c r="D1789" s="11" t="s">
        <v>39</v>
      </c>
      <c r="E1789" s="11">
        <v>37.0</v>
      </c>
      <c r="F1789" s="21" t="s">
        <v>518</v>
      </c>
      <c r="G1789" s="15">
        <v>0.060255336327395735</v>
      </c>
      <c r="H1789" s="11" t="s">
        <v>33</v>
      </c>
      <c r="I1789" s="16">
        <v>15.991999999999999</v>
      </c>
      <c r="J1789" s="11" t="s">
        <v>1390</v>
      </c>
      <c r="K1789" s="11" t="s">
        <v>26</v>
      </c>
      <c r="L1789" s="11" t="s">
        <v>48</v>
      </c>
      <c r="M1789" s="11" t="s">
        <v>66</v>
      </c>
      <c r="N1789" s="11" t="s">
        <v>67</v>
      </c>
      <c r="O1789" s="11" t="s">
        <v>519</v>
      </c>
      <c r="P1789" s="11" t="s">
        <v>38</v>
      </c>
      <c r="Q1789" s="20">
        <v>40115.0</v>
      </c>
      <c r="R1789" s="17">
        <f t="shared" si="2"/>
        <v>112.2130308</v>
      </c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>
        <f t="shared" si="8"/>
        <v>4</v>
      </c>
      <c r="AF1789" s="19">
        <f t="shared" si="13"/>
        <v>1</v>
      </c>
      <c r="AG1789" s="9"/>
      <c r="AH1789" s="9"/>
      <c r="AI1789" s="9"/>
    </row>
    <row r="1790" ht="15.0" customHeight="1">
      <c r="A1790" s="11">
        <v>1789.0</v>
      </c>
      <c r="B1790" s="12">
        <f t="shared" si="286"/>
        <v>40114</v>
      </c>
      <c r="C1790" s="13">
        <v>2009.0</v>
      </c>
      <c r="D1790" s="11" t="s">
        <v>39</v>
      </c>
      <c r="E1790" s="11">
        <v>32.0</v>
      </c>
      <c r="F1790" s="21" t="s">
        <v>1954</v>
      </c>
      <c r="G1790" s="15">
        <v>0.09158504248065384</v>
      </c>
      <c r="H1790" s="11" t="s">
        <v>33</v>
      </c>
      <c r="I1790" s="16">
        <v>3.7200000000000006</v>
      </c>
      <c r="J1790" s="11" t="s">
        <v>1390</v>
      </c>
      <c r="K1790" s="11" t="s">
        <v>26</v>
      </c>
      <c r="L1790" s="11" t="s">
        <v>48</v>
      </c>
      <c r="M1790" s="11" t="s">
        <v>28</v>
      </c>
      <c r="N1790" s="11" t="s">
        <v>56</v>
      </c>
      <c r="O1790" s="11" t="s">
        <v>1955</v>
      </c>
      <c r="P1790" s="11" t="s">
        <v>38</v>
      </c>
      <c r="Q1790" s="20">
        <v>40115.0</v>
      </c>
      <c r="R1790" s="17">
        <f t="shared" si="2"/>
        <v>307.4802948</v>
      </c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>
        <f t="shared" si="8"/>
        <v>4</v>
      </c>
      <c r="AF1790" s="19">
        <f t="shared" si="13"/>
        <v>1</v>
      </c>
      <c r="AG1790" s="9"/>
      <c r="AH1790" s="9"/>
      <c r="AI1790" s="9"/>
    </row>
    <row r="1791" ht="15.0" customHeight="1">
      <c r="A1791" s="11">
        <v>1790.0</v>
      </c>
      <c r="B1791" s="12">
        <f t="shared" si="286"/>
        <v>40114</v>
      </c>
      <c r="C1791" s="13">
        <v>2009.0</v>
      </c>
      <c r="D1791" s="11" t="s">
        <v>32</v>
      </c>
      <c r="E1791" s="11">
        <v>31.0</v>
      </c>
      <c r="F1791" s="21" t="s">
        <v>377</v>
      </c>
      <c r="G1791" s="15">
        <v>0.09175416592008602</v>
      </c>
      <c r="H1791" s="11" t="s">
        <v>33</v>
      </c>
      <c r="I1791" s="16">
        <v>4.776</v>
      </c>
      <c r="J1791" s="11" t="s">
        <v>1655</v>
      </c>
      <c r="K1791" s="11" t="s">
        <v>65</v>
      </c>
      <c r="L1791" s="11" t="s">
        <v>48</v>
      </c>
      <c r="M1791" s="11" t="s">
        <v>28</v>
      </c>
      <c r="N1791" s="11" t="s">
        <v>56</v>
      </c>
      <c r="O1791" s="11" t="s">
        <v>1956</v>
      </c>
      <c r="P1791" s="11" t="s">
        <v>38</v>
      </c>
      <c r="Q1791" s="20">
        <v>40116.0</v>
      </c>
      <c r="R1791" s="17">
        <f t="shared" si="2"/>
        <v>139.528358</v>
      </c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>
        <f t="shared" si="8"/>
        <v>4</v>
      </c>
      <c r="AF1791" s="19">
        <f t="shared" si="13"/>
        <v>5</v>
      </c>
      <c r="AG1791" s="9"/>
      <c r="AH1791" s="9"/>
      <c r="AI1791" s="9"/>
    </row>
    <row r="1792" ht="15.0" customHeight="1">
      <c r="A1792" s="11">
        <v>1791.0</v>
      </c>
      <c r="B1792" s="12">
        <f t="shared" si="286"/>
        <v>40114</v>
      </c>
      <c r="C1792" s="13">
        <v>2009.0</v>
      </c>
      <c r="D1792" s="11" t="s">
        <v>32</v>
      </c>
      <c r="E1792" s="11">
        <v>29.0</v>
      </c>
      <c r="F1792" s="21" t="s">
        <v>103</v>
      </c>
      <c r="G1792" s="15">
        <v>0.09131020196789216</v>
      </c>
      <c r="H1792" s="11" t="s">
        <v>33</v>
      </c>
      <c r="I1792" s="16">
        <v>4.368</v>
      </c>
      <c r="J1792" s="11" t="s">
        <v>1655</v>
      </c>
      <c r="K1792" s="11" t="s">
        <v>65</v>
      </c>
      <c r="L1792" s="11" t="s">
        <v>48</v>
      </c>
      <c r="M1792" s="11" t="s">
        <v>28</v>
      </c>
      <c r="N1792" s="11" t="s">
        <v>56</v>
      </c>
      <c r="O1792" s="11" t="s">
        <v>693</v>
      </c>
      <c r="P1792" s="11" t="s">
        <v>38</v>
      </c>
      <c r="Q1792" s="20">
        <v>40116.0</v>
      </c>
      <c r="R1792" s="17">
        <f t="shared" si="2"/>
        <v>16.02201852</v>
      </c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>
        <f t="shared" si="8"/>
        <v>4</v>
      </c>
      <c r="AF1792" s="19">
        <f t="shared" si="13"/>
        <v>5</v>
      </c>
      <c r="AG1792" s="9"/>
      <c r="AH1792" s="9"/>
      <c r="AI1792" s="9"/>
    </row>
    <row r="1793" ht="15.0" customHeight="1">
      <c r="A1793" s="11">
        <v>1792.0</v>
      </c>
      <c r="B1793" s="12">
        <f t="shared" si="286"/>
        <v>40114</v>
      </c>
      <c r="C1793" s="13">
        <v>2009.0</v>
      </c>
      <c r="D1793" s="11" t="s">
        <v>32</v>
      </c>
      <c r="E1793" s="11">
        <v>14.0</v>
      </c>
      <c r="F1793" s="21" t="s">
        <v>1002</v>
      </c>
      <c r="G1793" s="15">
        <v>0.08401922636758977</v>
      </c>
      <c r="H1793" s="11" t="s">
        <v>33</v>
      </c>
      <c r="I1793" s="16">
        <v>1.192</v>
      </c>
      <c r="J1793" s="11" t="s">
        <v>925</v>
      </c>
      <c r="K1793" s="11" t="s">
        <v>35</v>
      </c>
      <c r="L1793" s="11" t="s">
        <v>27</v>
      </c>
      <c r="M1793" s="11" t="s">
        <v>28</v>
      </c>
      <c r="N1793" s="11" t="s">
        <v>42</v>
      </c>
      <c r="O1793" s="11" t="s">
        <v>1003</v>
      </c>
      <c r="P1793" s="11" t="s">
        <v>38</v>
      </c>
      <c r="Q1793" s="20">
        <v>40116.0</v>
      </c>
      <c r="R1793" s="17">
        <f t="shared" si="2"/>
        <v>33.62382224</v>
      </c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>
        <f t="shared" si="8"/>
        <v>1</v>
      </c>
      <c r="AF1793" s="19">
        <f t="shared" si="13"/>
        <v>2</v>
      </c>
      <c r="AG1793" s="9"/>
      <c r="AH1793" s="9"/>
      <c r="AI1793" s="9"/>
    </row>
    <row r="1794" ht="15.0" customHeight="1">
      <c r="A1794" s="11">
        <v>1793.0</v>
      </c>
      <c r="B1794" s="12">
        <f t="shared" si="286"/>
        <v>40114</v>
      </c>
      <c r="C1794" s="13">
        <v>2009.0</v>
      </c>
      <c r="D1794" s="11" t="s">
        <v>39</v>
      </c>
      <c r="E1794" s="11">
        <v>43.0</v>
      </c>
      <c r="F1794" s="21" t="s">
        <v>304</v>
      </c>
      <c r="G1794" s="15">
        <v>0.025386717357728603</v>
      </c>
      <c r="H1794" s="11" t="s">
        <v>33</v>
      </c>
      <c r="I1794" s="16">
        <v>7.632</v>
      </c>
      <c r="J1794" s="11" t="s">
        <v>82</v>
      </c>
      <c r="K1794" s="11" t="s">
        <v>83</v>
      </c>
      <c r="L1794" s="11" t="s">
        <v>27</v>
      </c>
      <c r="M1794" s="11" t="s">
        <v>28</v>
      </c>
      <c r="N1794" s="11" t="s">
        <v>56</v>
      </c>
      <c r="O1794" s="11" t="s">
        <v>305</v>
      </c>
      <c r="P1794" s="11" t="s">
        <v>38</v>
      </c>
      <c r="Q1794" s="20">
        <v>40116.0</v>
      </c>
      <c r="R1794" s="17">
        <f t="shared" si="2"/>
        <v>20.82553662</v>
      </c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>
        <f t="shared" si="8"/>
        <v>1</v>
      </c>
      <c r="AF1794" s="19" t="b">
        <f t="shared" si="13"/>
        <v>0</v>
      </c>
      <c r="AG1794" s="9"/>
      <c r="AH1794" s="9"/>
      <c r="AI1794" s="9"/>
    </row>
    <row r="1795" ht="15.0" customHeight="1">
      <c r="A1795" s="11">
        <v>1794.0</v>
      </c>
      <c r="B1795" s="12">
        <f t="shared" ref="B1795:B1803" si="287">DATE(2012,12,31)-1159</f>
        <v>40115</v>
      </c>
      <c r="C1795" s="13">
        <v>2009.0</v>
      </c>
      <c r="D1795" s="11" t="s">
        <v>23</v>
      </c>
      <c r="E1795" s="11">
        <v>31.0</v>
      </c>
      <c r="F1795" s="21" t="s">
        <v>207</v>
      </c>
      <c r="G1795" s="15">
        <v>0.07574328030718606</v>
      </c>
      <c r="H1795" s="11" t="s">
        <v>24</v>
      </c>
      <c r="I1795" s="16">
        <v>4.192</v>
      </c>
      <c r="J1795" s="11" t="s">
        <v>634</v>
      </c>
      <c r="K1795" s="11" t="s">
        <v>61</v>
      </c>
      <c r="L1795" s="11" t="s">
        <v>41</v>
      </c>
      <c r="M1795" s="11" t="s">
        <v>28</v>
      </c>
      <c r="N1795" s="11" t="s">
        <v>42</v>
      </c>
      <c r="O1795" s="11" t="s">
        <v>1957</v>
      </c>
      <c r="P1795" s="11" t="s">
        <v>38</v>
      </c>
      <c r="Q1795" s="20">
        <v>40116.0</v>
      </c>
      <c r="R1795" s="17">
        <f t="shared" si="2"/>
        <v>12.76213679</v>
      </c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>
        <f t="shared" si="8"/>
        <v>3</v>
      </c>
      <c r="AF1795" s="19">
        <f t="shared" si="13"/>
        <v>4</v>
      </c>
      <c r="AG1795" s="9"/>
      <c r="AH1795" s="9"/>
      <c r="AI1795" s="9"/>
    </row>
    <row r="1796" ht="15.0" customHeight="1">
      <c r="A1796" s="11">
        <v>1795.0</v>
      </c>
      <c r="B1796" s="12">
        <f t="shared" si="287"/>
        <v>40115</v>
      </c>
      <c r="C1796" s="13">
        <v>2009.0</v>
      </c>
      <c r="D1796" s="11" t="s">
        <v>23</v>
      </c>
      <c r="E1796" s="11">
        <v>1.0</v>
      </c>
      <c r="F1796" s="21" t="s">
        <v>629</v>
      </c>
      <c r="G1796" s="15">
        <v>0.11912408759124085</v>
      </c>
      <c r="H1796" s="11" t="s">
        <v>33</v>
      </c>
      <c r="I1796" s="16">
        <v>4.768</v>
      </c>
      <c r="J1796" s="11" t="s">
        <v>634</v>
      </c>
      <c r="K1796" s="11" t="s">
        <v>61</v>
      </c>
      <c r="L1796" s="11" t="s">
        <v>41</v>
      </c>
      <c r="M1796" s="11" t="s">
        <v>28</v>
      </c>
      <c r="N1796" s="11" t="s">
        <v>56</v>
      </c>
      <c r="O1796" s="11" t="s">
        <v>1958</v>
      </c>
      <c r="P1796" s="11" t="s">
        <v>38</v>
      </c>
      <c r="Q1796" s="20">
        <v>40116.0</v>
      </c>
      <c r="R1796" s="17">
        <f t="shared" si="2"/>
        <v>1.437589489</v>
      </c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>
        <f t="shared" si="8"/>
        <v>3</v>
      </c>
      <c r="AF1796" s="19">
        <f t="shared" si="13"/>
        <v>4</v>
      </c>
      <c r="AG1796" s="9"/>
      <c r="AH1796" s="9"/>
      <c r="AI1796" s="9"/>
    </row>
    <row r="1797" ht="15.0" customHeight="1">
      <c r="A1797" s="11">
        <v>1796.0</v>
      </c>
      <c r="B1797" s="12">
        <f t="shared" si="287"/>
        <v>40115</v>
      </c>
      <c r="C1797" s="13">
        <v>2009.0</v>
      </c>
      <c r="D1797" s="11" t="s">
        <v>23</v>
      </c>
      <c r="E1797" s="11">
        <v>7.0</v>
      </c>
      <c r="F1797" s="21" t="s">
        <v>379</v>
      </c>
      <c r="G1797" s="15">
        <v>0.02567111111111116</v>
      </c>
      <c r="H1797" s="11" t="s">
        <v>33</v>
      </c>
      <c r="I1797" s="16">
        <v>1.1119999999999999</v>
      </c>
      <c r="J1797" s="11" t="s">
        <v>634</v>
      </c>
      <c r="K1797" s="11" t="s">
        <v>61</v>
      </c>
      <c r="L1797" s="11" t="s">
        <v>41</v>
      </c>
      <c r="M1797" s="11" t="s">
        <v>28</v>
      </c>
      <c r="N1797" s="11" t="s">
        <v>236</v>
      </c>
      <c r="O1797" s="11" t="s">
        <v>885</v>
      </c>
      <c r="P1797" s="11" t="s">
        <v>38</v>
      </c>
      <c r="Q1797" s="20">
        <v>40116.0</v>
      </c>
      <c r="R1797" s="17">
        <f t="shared" si="2"/>
        <v>2.813861831</v>
      </c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>
        <f t="shared" si="8"/>
        <v>3</v>
      </c>
      <c r="AF1797" s="19">
        <f t="shared" si="13"/>
        <v>4</v>
      </c>
      <c r="AG1797" s="9"/>
      <c r="AH1797" s="9"/>
      <c r="AI1797" s="9"/>
    </row>
    <row r="1798" ht="15.0" customHeight="1">
      <c r="A1798" s="11">
        <v>1797.0</v>
      </c>
      <c r="B1798" s="12">
        <f t="shared" si="287"/>
        <v>40115</v>
      </c>
      <c r="C1798" s="13">
        <v>2009.0</v>
      </c>
      <c r="D1798" s="11" t="s">
        <v>23</v>
      </c>
      <c r="E1798" s="11">
        <v>29.0</v>
      </c>
      <c r="F1798" s="21" t="s">
        <v>983</v>
      </c>
      <c r="G1798" s="15">
        <v>0.027293519695044424</v>
      </c>
      <c r="H1798" s="11" t="s">
        <v>33</v>
      </c>
      <c r="I1798" s="16">
        <v>9.216</v>
      </c>
      <c r="J1798" s="11" t="s">
        <v>634</v>
      </c>
      <c r="K1798" s="11" t="s">
        <v>61</v>
      </c>
      <c r="L1798" s="11" t="s">
        <v>41</v>
      </c>
      <c r="M1798" s="11" t="s">
        <v>28</v>
      </c>
      <c r="N1798" s="11" t="s">
        <v>29</v>
      </c>
      <c r="O1798" s="11" t="s">
        <v>984</v>
      </c>
      <c r="P1798" s="11" t="s">
        <v>38</v>
      </c>
      <c r="Q1798" s="20">
        <v>40116.0</v>
      </c>
      <c r="R1798" s="17">
        <f t="shared" si="2"/>
        <v>16.71498816</v>
      </c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>
        <f t="shared" si="8"/>
        <v>3</v>
      </c>
      <c r="AF1798" s="19">
        <f t="shared" si="13"/>
        <v>4</v>
      </c>
      <c r="AG1798" s="9"/>
      <c r="AH1798" s="9"/>
      <c r="AI1798" s="9"/>
    </row>
    <row r="1799" ht="15.0" customHeight="1">
      <c r="A1799" s="11">
        <v>1798.0</v>
      </c>
      <c r="B1799" s="12">
        <f t="shared" si="287"/>
        <v>40115</v>
      </c>
      <c r="C1799" s="13">
        <v>2009.0</v>
      </c>
      <c r="D1799" s="11" t="s">
        <v>102</v>
      </c>
      <c r="E1799" s="11">
        <v>30.0</v>
      </c>
      <c r="F1799" s="21" t="s">
        <v>498</v>
      </c>
      <c r="G1799" s="15">
        <v>0.025040672001062476</v>
      </c>
      <c r="H1799" s="11" t="s">
        <v>45</v>
      </c>
      <c r="I1799" s="16">
        <v>59.48</v>
      </c>
      <c r="J1799" s="11" t="s">
        <v>977</v>
      </c>
      <c r="K1799" s="11" t="s">
        <v>83</v>
      </c>
      <c r="L1799" s="11" t="s">
        <v>48</v>
      </c>
      <c r="M1799" s="11" t="s">
        <v>49</v>
      </c>
      <c r="N1799" s="11" t="s">
        <v>50</v>
      </c>
      <c r="O1799" s="11" t="s">
        <v>1959</v>
      </c>
      <c r="P1799" s="11" t="s">
        <v>52</v>
      </c>
      <c r="Q1799" s="20">
        <v>40116.0</v>
      </c>
      <c r="R1799" s="17">
        <f t="shared" si="2"/>
        <v>73.53143252</v>
      </c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>
        <f t="shared" si="8"/>
        <v>4</v>
      </c>
      <c r="AF1799" s="19" t="b">
        <f t="shared" si="13"/>
        <v>0</v>
      </c>
      <c r="AG1799" s="9"/>
      <c r="AH1799" s="9"/>
      <c r="AI1799" s="9"/>
    </row>
    <row r="1800" ht="15.0" customHeight="1">
      <c r="A1800" s="11">
        <v>1799.0</v>
      </c>
      <c r="B1800" s="12">
        <f t="shared" si="287"/>
        <v>40115</v>
      </c>
      <c r="C1800" s="13">
        <v>2009.0</v>
      </c>
      <c r="D1800" s="11" t="s">
        <v>102</v>
      </c>
      <c r="E1800" s="11">
        <v>6.0</v>
      </c>
      <c r="F1800" s="21" t="s">
        <v>142</v>
      </c>
      <c r="G1800" s="15">
        <v>0.035604395604395704</v>
      </c>
      <c r="H1800" s="11" t="s">
        <v>33</v>
      </c>
      <c r="I1800" s="16">
        <v>4.0</v>
      </c>
      <c r="J1800" s="11" t="s">
        <v>1960</v>
      </c>
      <c r="K1800" s="11" t="s">
        <v>65</v>
      </c>
      <c r="L1800" s="11" t="s">
        <v>36</v>
      </c>
      <c r="M1800" s="11" t="s">
        <v>66</v>
      </c>
      <c r="N1800" s="11" t="s">
        <v>80</v>
      </c>
      <c r="O1800" s="11" t="s">
        <v>540</v>
      </c>
      <c r="P1800" s="11" t="s">
        <v>38</v>
      </c>
      <c r="Q1800" s="20">
        <v>40116.0</v>
      </c>
      <c r="R1800" s="17">
        <f t="shared" si="2"/>
        <v>7.811604396</v>
      </c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>
        <f t="shared" si="8"/>
        <v>2</v>
      </c>
      <c r="AF1800" s="19">
        <f t="shared" si="13"/>
        <v>5</v>
      </c>
      <c r="AG1800" s="9"/>
      <c r="AH1800" s="9"/>
      <c r="AI1800" s="9"/>
    </row>
    <row r="1801" ht="15.0" customHeight="1">
      <c r="A1801" s="11">
        <v>1800.0</v>
      </c>
      <c r="B1801" s="12">
        <f t="shared" si="287"/>
        <v>40115</v>
      </c>
      <c r="C1801" s="13">
        <v>2009.0</v>
      </c>
      <c r="D1801" s="11" t="s">
        <v>39</v>
      </c>
      <c r="E1801" s="11">
        <v>48.0</v>
      </c>
      <c r="F1801" s="21" t="s">
        <v>103</v>
      </c>
      <c r="G1801" s="15">
        <v>0.05185976627712849</v>
      </c>
      <c r="H1801" s="11" t="s">
        <v>33</v>
      </c>
      <c r="I1801" s="16">
        <v>0.768</v>
      </c>
      <c r="J1801" s="11" t="s">
        <v>1877</v>
      </c>
      <c r="K1801" s="11" t="s">
        <v>26</v>
      </c>
      <c r="L1801" s="11" t="s">
        <v>48</v>
      </c>
      <c r="M1801" s="11" t="s">
        <v>28</v>
      </c>
      <c r="N1801" s="11" t="s">
        <v>62</v>
      </c>
      <c r="O1801" s="11" t="s">
        <v>691</v>
      </c>
      <c r="P1801" s="11" t="s">
        <v>58</v>
      </c>
      <c r="Q1801" s="20">
        <v>40117.0</v>
      </c>
      <c r="R1801" s="17">
        <f t="shared" si="2"/>
        <v>14.72651411</v>
      </c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>
        <f t="shared" si="8"/>
        <v>4</v>
      </c>
      <c r="AF1801" s="19">
        <f t="shared" si="13"/>
        <v>1</v>
      </c>
      <c r="AG1801" s="9"/>
      <c r="AH1801" s="9"/>
      <c r="AI1801" s="9"/>
    </row>
    <row r="1802" ht="15.0" customHeight="1">
      <c r="A1802" s="11">
        <v>1801.0</v>
      </c>
      <c r="B1802" s="12">
        <f t="shared" si="287"/>
        <v>40115</v>
      </c>
      <c r="C1802" s="13">
        <v>2009.0</v>
      </c>
      <c r="D1802" s="11" t="s">
        <v>39</v>
      </c>
      <c r="E1802" s="11">
        <v>5.0</v>
      </c>
      <c r="F1802" s="21" t="s">
        <v>122</v>
      </c>
      <c r="G1802" s="15">
        <v>0.015042095416276931</v>
      </c>
      <c r="H1802" s="11" t="s">
        <v>33</v>
      </c>
      <c r="I1802" s="16">
        <v>0.792</v>
      </c>
      <c r="J1802" s="11" t="s">
        <v>1877</v>
      </c>
      <c r="K1802" s="11" t="s">
        <v>26</v>
      </c>
      <c r="L1802" s="11" t="s">
        <v>48</v>
      </c>
      <c r="M1802" s="11" t="s">
        <v>66</v>
      </c>
      <c r="N1802" s="11" t="s">
        <v>80</v>
      </c>
      <c r="O1802" s="11" t="s">
        <v>1321</v>
      </c>
      <c r="P1802" s="11" t="s">
        <v>58</v>
      </c>
      <c r="Q1802" s="20">
        <v>40117.0</v>
      </c>
      <c r="R1802" s="17">
        <f t="shared" si="2"/>
        <v>1.583812311</v>
      </c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>
        <f t="shared" si="8"/>
        <v>4</v>
      </c>
      <c r="AF1802" s="19">
        <f t="shared" si="13"/>
        <v>1</v>
      </c>
      <c r="AG1802" s="9"/>
      <c r="AH1802" s="9"/>
      <c r="AI1802" s="9"/>
    </row>
    <row r="1803" ht="15.0" customHeight="1">
      <c r="A1803" s="11">
        <v>1802.0</v>
      </c>
      <c r="B1803" s="12">
        <f t="shared" si="287"/>
        <v>40115</v>
      </c>
      <c r="C1803" s="13">
        <v>2009.0</v>
      </c>
      <c r="D1803" s="11" t="s">
        <v>102</v>
      </c>
      <c r="E1803" s="11">
        <v>41.0</v>
      </c>
      <c r="F1803" s="21" t="s">
        <v>1002</v>
      </c>
      <c r="G1803" s="15">
        <v>0.02085049388916784</v>
      </c>
      <c r="H1803" s="11" t="s">
        <v>33</v>
      </c>
      <c r="I1803" s="16">
        <v>1.192</v>
      </c>
      <c r="J1803" s="11" t="s">
        <v>953</v>
      </c>
      <c r="K1803" s="11" t="s">
        <v>65</v>
      </c>
      <c r="L1803" s="11" t="s">
        <v>27</v>
      </c>
      <c r="M1803" s="11" t="s">
        <v>28</v>
      </c>
      <c r="N1803" s="11" t="s">
        <v>42</v>
      </c>
      <c r="O1803" s="11" t="s">
        <v>1003</v>
      </c>
      <c r="P1803" s="11" t="s">
        <v>38</v>
      </c>
      <c r="Q1803" s="20">
        <v>40117.0</v>
      </c>
      <c r="R1803" s="17">
        <f t="shared" si="2"/>
        <v>24.3886559</v>
      </c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>
        <f t="shared" si="8"/>
        <v>1</v>
      </c>
      <c r="AF1803" s="19">
        <f t="shared" si="13"/>
        <v>5</v>
      </c>
      <c r="AG1803" s="9"/>
      <c r="AH1803" s="9"/>
      <c r="AI1803" s="9"/>
    </row>
    <row r="1804" ht="15.0" customHeight="1">
      <c r="A1804" s="11">
        <v>1803.0</v>
      </c>
      <c r="B1804" s="12">
        <f t="shared" ref="B1804:B1807" si="288">DATE(2012,12,31)-1158</f>
        <v>40116</v>
      </c>
      <c r="C1804" s="13">
        <v>2009.0</v>
      </c>
      <c r="D1804" s="11" t="s">
        <v>44</v>
      </c>
      <c r="E1804" s="11">
        <v>47.0</v>
      </c>
      <c r="F1804" s="21" t="s">
        <v>210</v>
      </c>
      <c r="G1804" s="15">
        <v>0.09875275128393256</v>
      </c>
      <c r="H1804" s="11" t="s">
        <v>33</v>
      </c>
      <c r="I1804" s="16">
        <v>0.6400000000000001</v>
      </c>
      <c r="J1804" s="11" t="s">
        <v>1961</v>
      </c>
      <c r="K1804" s="11" t="s">
        <v>65</v>
      </c>
      <c r="L1804" s="11" t="s">
        <v>27</v>
      </c>
      <c r="M1804" s="11" t="s">
        <v>28</v>
      </c>
      <c r="N1804" s="11" t="s">
        <v>216</v>
      </c>
      <c r="O1804" s="11" t="s">
        <v>1290</v>
      </c>
      <c r="P1804" s="11" t="s">
        <v>58</v>
      </c>
      <c r="Q1804" s="20">
        <v>40117.0</v>
      </c>
      <c r="R1804" s="17">
        <f t="shared" si="2"/>
        <v>12.13078797</v>
      </c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>
        <f t="shared" si="8"/>
        <v>1</v>
      </c>
      <c r="AF1804" s="19">
        <f t="shared" si="13"/>
        <v>5</v>
      </c>
      <c r="AG1804" s="9"/>
      <c r="AH1804" s="9"/>
      <c r="AI1804" s="9"/>
    </row>
    <row r="1805" ht="15.0" customHeight="1">
      <c r="A1805" s="11">
        <v>1804.0</v>
      </c>
      <c r="B1805" s="12">
        <f t="shared" si="288"/>
        <v>40116</v>
      </c>
      <c r="C1805" s="13">
        <v>2009.0</v>
      </c>
      <c r="D1805" s="11" t="s">
        <v>102</v>
      </c>
      <c r="E1805" s="11">
        <v>25.0</v>
      </c>
      <c r="F1805" s="21" t="s">
        <v>277</v>
      </c>
      <c r="G1805" s="15">
        <v>0.09621145374449344</v>
      </c>
      <c r="H1805" s="11" t="s">
        <v>33</v>
      </c>
      <c r="I1805" s="16">
        <v>1.032</v>
      </c>
      <c r="J1805" s="11" t="s">
        <v>72</v>
      </c>
      <c r="K1805" s="11" t="s">
        <v>61</v>
      </c>
      <c r="L1805" s="11" t="s">
        <v>27</v>
      </c>
      <c r="M1805" s="11" t="s">
        <v>28</v>
      </c>
      <c r="N1805" s="11" t="s">
        <v>62</v>
      </c>
      <c r="O1805" s="11" t="s">
        <v>1962</v>
      </c>
      <c r="P1805" s="11" t="s">
        <v>58</v>
      </c>
      <c r="Q1805" s="20">
        <v>40118.0</v>
      </c>
      <c r="R1805" s="17">
        <f t="shared" si="2"/>
        <v>3.94774837</v>
      </c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>
        <f t="shared" si="8"/>
        <v>1</v>
      </c>
      <c r="AF1805" s="19">
        <f t="shared" si="13"/>
        <v>4</v>
      </c>
      <c r="AG1805" s="9"/>
      <c r="AH1805" s="9"/>
      <c r="AI1805" s="9"/>
    </row>
    <row r="1806" ht="15.0" customHeight="1">
      <c r="A1806" s="11">
        <v>1805.0</v>
      </c>
      <c r="B1806" s="12">
        <f t="shared" si="288"/>
        <v>40116</v>
      </c>
      <c r="C1806" s="13">
        <v>2009.0</v>
      </c>
      <c r="D1806" s="11" t="s">
        <v>39</v>
      </c>
      <c r="E1806" s="11">
        <v>9.0</v>
      </c>
      <c r="F1806" s="21" t="s">
        <v>758</v>
      </c>
      <c r="G1806" s="15">
        <v>0.06666666666666679</v>
      </c>
      <c r="H1806" s="11" t="s">
        <v>33</v>
      </c>
      <c r="I1806" s="16">
        <v>1.7600000000000002</v>
      </c>
      <c r="J1806" s="11" t="s">
        <v>1963</v>
      </c>
      <c r="K1806" s="11" t="s">
        <v>65</v>
      </c>
      <c r="L1806" s="11" t="s">
        <v>41</v>
      </c>
      <c r="M1806" s="11" t="s">
        <v>28</v>
      </c>
      <c r="N1806" s="11" t="s">
        <v>56</v>
      </c>
      <c r="O1806" s="11" t="s">
        <v>760</v>
      </c>
      <c r="P1806" s="11" t="s">
        <v>58</v>
      </c>
      <c r="Q1806" s="20">
        <v>40118.0</v>
      </c>
      <c r="R1806" s="17">
        <f t="shared" si="2"/>
        <v>2.277333333</v>
      </c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>
        <f t="shared" si="8"/>
        <v>3</v>
      </c>
      <c r="AF1806" s="19">
        <f t="shared" si="13"/>
        <v>5</v>
      </c>
      <c r="AG1806" s="9"/>
      <c r="AH1806" s="9"/>
      <c r="AI1806" s="9"/>
    </row>
    <row r="1807" ht="15.0" customHeight="1">
      <c r="A1807" s="11">
        <v>1806.0</v>
      </c>
      <c r="B1807" s="12">
        <f t="shared" si="288"/>
        <v>40116</v>
      </c>
      <c r="C1807" s="13">
        <v>2009.0</v>
      </c>
      <c r="D1807" s="11" t="s">
        <v>32</v>
      </c>
      <c r="E1807" s="11">
        <v>35.0</v>
      </c>
      <c r="F1807" s="21" t="s">
        <v>1071</v>
      </c>
      <c r="G1807" s="15">
        <v>0.054049787492410364</v>
      </c>
      <c r="H1807" s="11" t="s">
        <v>33</v>
      </c>
      <c r="I1807" s="16">
        <v>7.192</v>
      </c>
      <c r="J1807" s="11" t="s">
        <v>1650</v>
      </c>
      <c r="K1807" s="11" t="s">
        <v>65</v>
      </c>
      <c r="L1807" s="11" t="s">
        <v>27</v>
      </c>
      <c r="M1807" s="11" t="s">
        <v>49</v>
      </c>
      <c r="N1807" s="11" t="s">
        <v>73</v>
      </c>
      <c r="O1807" s="11" t="s">
        <v>1073</v>
      </c>
      <c r="P1807" s="11" t="s">
        <v>99</v>
      </c>
      <c r="Q1807" s="20">
        <v>40118.0</v>
      </c>
      <c r="R1807" s="17">
        <f t="shared" si="2"/>
        <v>33.68339517</v>
      </c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>
        <f t="shared" si="8"/>
        <v>1</v>
      </c>
      <c r="AF1807" s="19">
        <f t="shared" si="13"/>
        <v>5</v>
      </c>
      <c r="AG1807" s="9"/>
      <c r="AH1807" s="9"/>
      <c r="AI1807" s="9"/>
    </row>
    <row r="1808" ht="15.0" customHeight="1">
      <c r="A1808" s="11">
        <v>1807.0</v>
      </c>
      <c r="B1808" s="12">
        <f t="shared" ref="B1808:B1812" si="289">DATE(2012,12,31)-1157</f>
        <v>40117</v>
      </c>
      <c r="C1808" s="13">
        <v>2009.0</v>
      </c>
      <c r="D1808" s="11" t="s">
        <v>39</v>
      </c>
      <c r="E1808" s="11">
        <v>49.0</v>
      </c>
      <c r="F1808" s="21" t="s">
        <v>147</v>
      </c>
      <c r="G1808" s="15">
        <v>0.08946796959826271</v>
      </c>
      <c r="H1808" s="11" t="s">
        <v>33</v>
      </c>
      <c r="I1808" s="16">
        <v>0.5599999999999999</v>
      </c>
      <c r="J1808" s="11" t="s">
        <v>744</v>
      </c>
      <c r="K1808" s="11" t="s">
        <v>61</v>
      </c>
      <c r="L1808" s="11" t="s">
        <v>48</v>
      </c>
      <c r="M1808" s="11" t="s">
        <v>28</v>
      </c>
      <c r="N1808" s="11" t="s">
        <v>62</v>
      </c>
      <c r="O1808" s="11" t="s">
        <v>182</v>
      </c>
      <c r="P1808" s="11" t="s">
        <v>58</v>
      </c>
      <c r="Q1808" s="20">
        <v>40119.0</v>
      </c>
      <c r="R1808" s="17">
        <f t="shared" si="2"/>
        <v>7.502783931</v>
      </c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>
        <f t="shared" si="8"/>
        <v>4</v>
      </c>
      <c r="AF1808" s="19">
        <f t="shared" si="13"/>
        <v>4</v>
      </c>
      <c r="AG1808" s="9"/>
      <c r="AH1808" s="9"/>
      <c r="AI1808" s="9"/>
    </row>
    <row r="1809" ht="15.0" customHeight="1">
      <c r="A1809" s="11">
        <v>1808.0</v>
      </c>
      <c r="B1809" s="12">
        <f t="shared" si="289"/>
        <v>40117</v>
      </c>
      <c r="C1809" s="13">
        <v>2009.0</v>
      </c>
      <c r="D1809" s="11" t="s">
        <v>39</v>
      </c>
      <c r="E1809" s="11">
        <v>50.0</v>
      </c>
      <c r="F1809" s="21" t="s">
        <v>914</v>
      </c>
      <c r="G1809" s="15">
        <v>0.024061111544157895</v>
      </c>
      <c r="H1809" s="11" t="s">
        <v>33</v>
      </c>
      <c r="I1809" s="16">
        <v>7.032</v>
      </c>
      <c r="J1809" s="11" t="s">
        <v>744</v>
      </c>
      <c r="K1809" s="11" t="s">
        <v>61</v>
      </c>
      <c r="L1809" s="11" t="s">
        <v>48</v>
      </c>
      <c r="M1809" s="11" t="s">
        <v>28</v>
      </c>
      <c r="N1809" s="11" t="s">
        <v>29</v>
      </c>
      <c r="O1809" s="11" t="s">
        <v>1964</v>
      </c>
      <c r="P1809" s="11" t="s">
        <v>38</v>
      </c>
      <c r="Q1809" s="20">
        <v>40119.0</v>
      </c>
      <c r="R1809" s="17">
        <f t="shared" si="2"/>
        <v>30.12528161</v>
      </c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>
        <f t="shared" si="8"/>
        <v>4</v>
      </c>
      <c r="AF1809" s="19">
        <f t="shared" si="13"/>
        <v>4</v>
      </c>
      <c r="AG1809" s="9"/>
      <c r="AH1809" s="9"/>
      <c r="AI1809" s="9"/>
    </row>
    <row r="1810" ht="15.0" customHeight="1">
      <c r="A1810" s="11">
        <v>1809.0</v>
      </c>
      <c r="B1810" s="12">
        <f t="shared" si="289"/>
        <v>40117</v>
      </c>
      <c r="C1810" s="13">
        <v>2009.0</v>
      </c>
      <c r="D1810" s="11" t="s">
        <v>39</v>
      </c>
      <c r="E1810" s="11">
        <v>9.0</v>
      </c>
      <c r="F1810" s="21" t="s">
        <v>1435</v>
      </c>
      <c r="G1810" s="15">
        <v>0.10551181102362205</v>
      </c>
      <c r="H1810" s="11" t="s">
        <v>33</v>
      </c>
      <c r="I1810" s="16">
        <v>0.5599999999999999</v>
      </c>
      <c r="J1810" s="11" t="s">
        <v>744</v>
      </c>
      <c r="K1810" s="11" t="s">
        <v>61</v>
      </c>
      <c r="L1810" s="11" t="s">
        <v>48</v>
      </c>
      <c r="M1810" s="11" t="s">
        <v>28</v>
      </c>
      <c r="N1810" s="11" t="s">
        <v>216</v>
      </c>
      <c r="O1810" s="11" t="s">
        <v>1436</v>
      </c>
      <c r="P1810" s="11" t="s">
        <v>58</v>
      </c>
      <c r="Q1810" s="20">
        <v>40119.0</v>
      </c>
      <c r="R1810" s="17">
        <f t="shared" si="2"/>
        <v>1.198614173</v>
      </c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>
        <f t="shared" si="8"/>
        <v>4</v>
      </c>
      <c r="AF1810" s="19">
        <f t="shared" si="13"/>
        <v>4</v>
      </c>
      <c r="AG1810" s="9"/>
      <c r="AH1810" s="9"/>
      <c r="AI1810" s="9"/>
    </row>
    <row r="1811" ht="15.0" customHeight="1">
      <c r="A1811" s="11">
        <v>1810.0</v>
      </c>
      <c r="B1811" s="12">
        <f t="shared" si="289"/>
        <v>40117</v>
      </c>
      <c r="C1811" s="13">
        <v>2009.0</v>
      </c>
      <c r="D1811" s="11" t="s">
        <v>39</v>
      </c>
      <c r="E1811" s="11">
        <v>4.0</v>
      </c>
      <c r="F1811" s="21" t="s">
        <v>142</v>
      </c>
      <c r="G1811" s="15">
        <v>0.05722998729351975</v>
      </c>
      <c r="H1811" s="11" t="s">
        <v>24</v>
      </c>
      <c r="I1811" s="16">
        <v>4.792000000000001</v>
      </c>
      <c r="J1811" s="11" t="s">
        <v>744</v>
      </c>
      <c r="K1811" s="11" t="s">
        <v>61</v>
      </c>
      <c r="L1811" s="11" t="s">
        <v>48</v>
      </c>
      <c r="M1811" s="11" t="s">
        <v>66</v>
      </c>
      <c r="N1811" s="11" t="s">
        <v>80</v>
      </c>
      <c r="O1811" s="11" t="s">
        <v>757</v>
      </c>
      <c r="P1811" s="11" t="s">
        <v>58</v>
      </c>
      <c r="Q1811" s="20">
        <v>40119.0</v>
      </c>
      <c r="R1811" s="17">
        <f t="shared" si="2"/>
        <v>8.492472274</v>
      </c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>
        <f t="shared" si="8"/>
        <v>4</v>
      </c>
      <c r="AF1811" s="19">
        <f t="shared" si="13"/>
        <v>4</v>
      </c>
      <c r="AG1811" s="9"/>
      <c r="AH1811" s="9"/>
      <c r="AI1811" s="9"/>
    </row>
    <row r="1812" ht="15.0" customHeight="1">
      <c r="A1812" s="11">
        <v>1811.0</v>
      </c>
      <c r="B1812" s="12">
        <f t="shared" si="289"/>
        <v>40117</v>
      </c>
      <c r="C1812" s="13">
        <v>2009.0</v>
      </c>
      <c r="D1812" s="11" t="s">
        <v>44</v>
      </c>
      <c r="E1812" s="11">
        <v>9.0</v>
      </c>
      <c r="F1812" s="21" t="s">
        <v>344</v>
      </c>
      <c r="G1812" s="15">
        <v>0.0416049382716048</v>
      </c>
      <c r="H1812" s="11" t="s">
        <v>24</v>
      </c>
      <c r="I1812" s="16">
        <v>3.608</v>
      </c>
      <c r="J1812" s="11" t="s">
        <v>1963</v>
      </c>
      <c r="K1812" s="11" t="s">
        <v>65</v>
      </c>
      <c r="L1812" s="11" t="s">
        <v>41</v>
      </c>
      <c r="M1812" s="11" t="s">
        <v>28</v>
      </c>
      <c r="N1812" s="11" t="s">
        <v>29</v>
      </c>
      <c r="O1812" s="11" t="s">
        <v>929</v>
      </c>
      <c r="P1812" s="11" t="s">
        <v>38</v>
      </c>
      <c r="Q1812" s="20">
        <v>40120.0</v>
      </c>
      <c r="R1812" s="17">
        <f t="shared" si="2"/>
        <v>5.167666173</v>
      </c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>
        <f t="shared" si="8"/>
        <v>3</v>
      </c>
      <c r="AF1812" s="19">
        <f t="shared" si="13"/>
        <v>5</v>
      </c>
      <c r="AG1812" s="9"/>
      <c r="AH1812" s="9"/>
      <c r="AI1812" s="9"/>
    </row>
    <row r="1813" ht="15.0" customHeight="1">
      <c r="A1813" s="11">
        <v>1812.0</v>
      </c>
      <c r="B1813" s="12">
        <f>DATE(2012,12,31)-1156</f>
        <v>40118</v>
      </c>
      <c r="C1813" s="13">
        <v>2009.0</v>
      </c>
      <c r="D1813" s="11" t="s">
        <v>23</v>
      </c>
      <c r="E1813" s="11">
        <v>25.0</v>
      </c>
      <c r="F1813" s="21" t="s">
        <v>103</v>
      </c>
      <c r="G1813" s="15">
        <v>0.043781350482315066</v>
      </c>
      <c r="H1813" s="11" t="s">
        <v>33</v>
      </c>
      <c r="I1813" s="16">
        <v>1.192</v>
      </c>
      <c r="J1813" s="11" t="s">
        <v>897</v>
      </c>
      <c r="K1813" s="11" t="s">
        <v>26</v>
      </c>
      <c r="L1813" s="11" t="s">
        <v>36</v>
      </c>
      <c r="M1813" s="11" t="s">
        <v>28</v>
      </c>
      <c r="N1813" s="11" t="s">
        <v>42</v>
      </c>
      <c r="O1813" s="11" t="s">
        <v>1473</v>
      </c>
      <c r="P1813" s="11" t="s">
        <v>38</v>
      </c>
      <c r="Q1813" s="20">
        <v>40120.0</v>
      </c>
      <c r="R1813" s="17">
        <f t="shared" si="2"/>
        <v>6.509936566</v>
      </c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>
        <f t="shared" si="8"/>
        <v>2</v>
      </c>
      <c r="AF1813" s="19">
        <f t="shared" si="13"/>
        <v>1</v>
      </c>
      <c r="AG1813" s="9"/>
      <c r="AH1813" s="9"/>
      <c r="AI1813" s="9"/>
    </row>
    <row r="1814" ht="15.0" customHeight="1">
      <c r="A1814" s="11">
        <v>1813.0</v>
      </c>
      <c r="B1814" s="12">
        <f t="shared" ref="B1814:B1824" si="290">DATE(2012,12,31)-1155</f>
        <v>40119</v>
      </c>
      <c r="C1814" s="13">
        <v>2009.0</v>
      </c>
      <c r="D1814" s="11" t="s">
        <v>44</v>
      </c>
      <c r="E1814" s="11">
        <v>16.0</v>
      </c>
      <c r="F1814" s="21" t="s">
        <v>221</v>
      </c>
      <c r="G1814" s="15">
        <v>0.06992885375494062</v>
      </c>
      <c r="H1814" s="11" t="s">
        <v>33</v>
      </c>
      <c r="I1814" s="16">
        <v>5.016</v>
      </c>
      <c r="J1814" s="11" t="s">
        <v>1965</v>
      </c>
      <c r="K1814" s="11" t="s">
        <v>35</v>
      </c>
      <c r="L1814" s="11" t="s">
        <v>48</v>
      </c>
      <c r="M1814" s="11" t="s">
        <v>28</v>
      </c>
      <c r="N1814" s="11" t="s">
        <v>42</v>
      </c>
      <c r="O1814" s="11" t="s">
        <v>1542</v>
      </c>
      <c r="P1814" s="11" t="s">
        <v>38</v>
      </c>
      <c r="Q1814" s="20">
        <v>40120.0</v>
      </c>
      <c r="R1814" s="17">
        <f t="shared" si="2"/>
        <v>32.90963744</v>
      </c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>
        <f t="shared" si="8"/>
        <v>4</v>
      </c>
      <c r="AF1814" s="19">
        <f t="shared" si="13"/>
        <v>2</v>
      </c>
      <c r="AG1814" s="9"/>
      <c r="AH1814" s="9"/>
      <c r="AI1814" s="9"/>
    </row>
    <row r="1815" ht="15.0" customHeight="1">
      <c r="A1815" s="11">
        <v>1814.0</v>
      </c>
      <c r="B1815" s="12">
        <f t="shared" si="290"/>
        <v>40119</v>
      </c>
      <c r="C1815" s="13">
        <v>2009.0</v>
      </c>
      <c r="D1815" s="11" t="s">
        <v>44</v>
      </c>
      <c r="E1815" s="11">
        <v>43.0</v>
      </c>
      <c r="F1815" s="21" t="s">
        <v>1084</v>
      </c>
      <c r="G1815" s="15">
        <v>0.12456880030663069</v>
      </c>
      <c r="H1815" s="11" t="s">
        <v>33</v>
      </c>
      <c r="I1815" s="16">
        <v>39.2</v>
      </c>
      <c r="J1815" s="11" t="s">
        <v>876</v>
      </c>
      <c r="K1815" s="11" t="s">
        <v>35</v>
      </c>
      <c r="L1815" s="11" t="s">
        <v>36</v>
      </c>
      <c r="M1815" s="11" t="s">
        <v>28</v>
      </c>
      <c r="N1815" s="11" t="s">
        <v>197</v>
      </c>
      <c r="O1815" s="11" t="s">
        <v>1096</v>
      </c>
      <c r="P1815" s="11" t="s">
        <v>31</v>
      </c>
      <c r="Q1815" s="20">
        <v>40121.0</v>
      </c>
      <c r="R1815" s="17">
        <f t="shared" si="2"/>
        <v>28.45151399</v>
      </c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>
        <f t="shared" si="8"/>
        <v>2</v>
      </c>
      <c r="AF1815" s="19">
        <f t="shared" si="13"/>
        <v>2</v>
      </c>
      <c r="AG1815" s="9"/>
      <c r="AH1815" s="9"/>
      <c r="AI1815" s="9"/>
    </row>
    <row r="1816" ht="15.0" customHeight="1">
      <c r="A1816" s="11">
        <v>1815.0</v>
      </c>
      <c r="B1816" s="12">
        <f t="shared" si="290"/>
        <v>40119</v>
      </c>
      <c r="C1816" s="13">
        <v>2009.0</v>
      </c>
      <c r="D1816" s="11" t="s">
        <v>44</v>
      </c>
      <c r="E1816" s="11">
        <v>10.0</v>
      </c>
      <c r="F1816" s="21" t="s">
        <v>1071</v>
      </c>
      <c r="G1816" s="15">
        <v>0.012974137931034413</v>
      </c>
      <c r="H1816" s="11" t="s">
        <v>33</v>
      </c>
      <c r="I1816" s="16">
        <v>7.192</v>
      </c>
      <c r="J1816" s="11" t="s">
        <v>876</v>
      </c>
      <c r="K1816" s="11" t="s">
        <v>35</v>
      </c>
      <c r="L1816" s="11" t="s">
        <v>36</v>
      </c>
      <c r="M1816" s="11" t="s">
        <v>49</v>
      </c>
      <c r="N1816" s="11" t="s">
        <v>73</v>
      </c>
      <c r="O1816" s="11" t="s">
        <v>1073</v>
      </c>
      <c r="P1816" s="11" t="s">
        <v>99</v>
      </c>
      <c r="Q1816" s="20">
        <v>40121.0</v>
      </c>
      <c r="R1816" s="17">
        <f t="shared" si="2"/>
        <v>2.376758276</v>
      </c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>
        <f t="shared" si="8"/>
        <v>2</v>
      </c>
      <c r="AF1816" s="19">
        <f t="shared" si="13"/>
        <v>2</v>
      </c>
      <c r="AG1816" s="9"/>
      <c r="AH1816" s="9"/>
      <c r="AI1816" s="9"/>
    </row>
    <row r="1817" ht="15.0" customHeight="1">
      <c r="A1817" s="11">
        <v>1816.0</v>
      </c>
      <c r="B1817" s="12">
        <f t="shared" si="290"/>
        <v>40119</v>
      </c>
      <c r="C1817" s="13">
        <v>2009.0</v>
      </c>
      <c r="D1817" s="11" t="s">
        <v>44</v>
      </c>
      <c r="E1817" s="11">
        <v>6.0</v>
      </c>
      <c r="F1817" s="21" t="s">
        <v>322</v>
      </c>
      <c r="G1817" s="15">
        <v>0.05903494176372727</v>
      </c>
      <c r="H1817" s="11" t="s">
        <v>33</v>
      </c>
      <c r="I1817" s="16">
        <v>4.952000000000001</v>
      </c>
      <c r="J1817" s="11" t="s">
        <v>82</v>
      </c>
      <c r="K1817" s="11" t="s">
        <v>83</v>
      </c>
      <c r="L1817" s="11" t="s">
        <v>27</v>
      </c>
      <c r="M1817" s="11" t="s">
        <v>28</v>
      </c>
      <c r="N1817" s="11" t="s">
        <v>42</v>
      </c>
      <c r="O1817" s="11" t="s">
        <v>324</v>
      </c>
      <c r="P1817" s="11" t="s">
        <v>38</v>
      </c>
      <c r="Q1817" s="20">
        <v>40121.0</v>
      </c>
      <c r="R1817" s="17">
        <f t="shared" si="2"/>
        <v>3.338544027</v>
      </c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>
        <f t="shared" si="8"/>
        <v>1</v>
      </c>
      <c r="AF1817" s="19" t="b">
        <f t="shared" si="13"/>
        <v>0</v>
      </c>
      <c r="AG1817" s="9"/>
      <c r="AH1817" s="9"/>
      <c r="AI1817" s="9"/>
    </row>
    <row r="1818" ht="15.0" customHeight="1">
      <c r="A1818" s="11">
        <v>1817.0</v>
      </c>
      <c r="B1818" s="12">
        <f t="shared" si="290"/>
        <v>40119</v>
      </c>
      <c r="C1818" s="13">
        <v>2009.0</v>
      </c>
      <c r="D1818" s="11" t="s">
        <v>44</v>
      </c>
      <c r="E1818" s="11">
        <v>30.0</v>
      </c>
      <c r="F1818" s="21" t="s">
        <v>1158</v>
      </c>
      <c r="G1818" s="15">
        <v>0.034477747502270596</v>
      </c>
      <c r="H1818" s="11" t="s">
        <v>33</v>
      </c>
      <c r="I1818" s="16">
        <v>1.304</v>
      </c>
      <c r="J1818" s="11" t="s">
        <v>82</v>
      </c>
      <c r="K1818" s="11" t="s">
        <v>83</v>
      </c>
      <c r="L1818" s="11" t="s">
        <v>27</v>
      </c>
      <c r="M1818" s="11" t="s">
        <v>28</v>
      </c>
      <c r="N1818" s="11" t="s">
        <v>216</v>
      </c>
      <c r="O1818" s="11" t="s">
        <v>1159</v>
      </c>
      <c r="P1818" s="11" t="s">
        <v>58</v>
      </c>
      <c r="Q1818" s="20">
        <v>40121.0</v>
      </c>
      <c r="R1818" s="17">
        <f t="shared" si="2"/>
        <v>3.66512247</v>
      </c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>
        <f t="shared" si="8"/>
        <v>1</v>
      </c>
      <c r="AF1818" s="19" t="b">
        <f t="shared" si="13"/>
        <v>0</v>
      </c>
      <c r="AG1818" s="9"/>
      <c r="AH1818" s="9"/>
      <c r="AI1818" s="9"/>
    </row>
    <row r="1819" ht="15.0" customHeight="1">
      <c r="A1819" s="11">
        <v>1818.0</v>
      </c>
      <c r="B1819" s="12">
        <f t="shared" si="290"/>
        <v>40119</v>
      </c>
      <c r="C1819" s="13">
        <v>2009.0</v>
      </c>
      <c r="D1819" s="11" t="s">
        <v>44</v>
      </c>
      <c r="E1819" s="11">
        <v>40.0</v>
      </c>
      <c r="F1819" s="21" t="s">
        <v>1966</v>
      </c>
      <c r="G1819" s="15">
        <v>0.07665804741313757</v>
      </c>
      <c r="H1819" s="11" t="s">
        <v>45</v>
      </c>
      <c r="I1819" s="16">
        <v>33.312000000000005</v>
      </c>
      <c r="J1819" s="11" t="s">
        <v>82</v>
      </c>
      <c r="K1819" s="11" t="s">
        <v>83</v>
      </c>
      <c r="L1819" s="11" t="s">
        <v>27</v>
      </c>
      <c r="M1819" s="11" t="s">
        <v>49</v>
      </c>
      <c r="N1819" s="11" t="s">
        <v>85</v>
      </c>
      <c r="O1819" s="11" t="s">
        <v>1967</v>
      </c>
      <c r="P1819" s="11" t="s">
        <v>87</v>
      </c>
      <c r="Q1819" s="20">
        <v>40121.0</v>
      </c>
      <c r="R1819" s="17">
        <f t="shared" si="2"/>
        <v>325.7439608</v>
      </c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>
        <f t="shared" si="8"/>
        <v>1</v>
      </c>
      <c r="AF1819" s="19" t="b">
        <f t="shared" si="13"/>
        <v>0</v>
      </c>
      <c r="AG1819" s="9"/>
      <c r="AH1819" s="9"/>
      <c r="AI1819" s="9"/>
    </row>
    <row r="1820" ht="15.0" customHeight="1">
      <c r="A1820" s="11">
        <v>1819.0</v>
      </c>
      <c r="B1820" s="12">
        <f t="shared" si="290"/>
        <v>40119</v>
      </c>
      <c r="C1820" s="13">
        <v>2009.0</v>
      </c>
      <c r="D1820" s="11" t="s">
        <v>39</v>
      </c>
      <c r="E1820" s="11">
        <v>37.0</v>
      </c>
      <c r="F1820" s="21" t="s">
        <v>799</v>
      </c>
      <c r="G1820" s="15">
        <v>0.08382482008074428</v>
      </c>
      <c r="H1820" s="11" t="s">
        <v>45</v>
      </c>
      <c r="I1820" s="16">
        <v>45.6</v>
      </c>
      <c r="J1820" s="11" t="s">
        <v>337</v>
      </c>
      <c r="K1820" s="11" t="s">
        <v>117</v>
      </c>
      <c r="L1820" s="11" t="s">
        <v>27</v>
      </c>
      <c r="M1820" s="11" t="s">
        <v>49</v>
      </c>
      <c r="N1820" s="11" t="s">
        <v>50</v>
      </c>
      <c r="O1820" s="11" t="s">
        <v>801</v>
      </c>
      <c r="P1820" s="11" t="s">
        <v>52</v>
      </c>
      <c r="Q1820" s="20">
        <v>40121.0</v>
      </c>
      <c r="R1820" s="17">
        <f t="shared" si="2"/>
        <v>875.0389143</v>
      </c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>
        <f t="shared" si="8"/>
        <v>1</v>
      </c>
      <c r="AF1820" s="19" t="b">
        <f t="shared" si="13"/>
        <v>0</v>
      </c>
      <c r="AG1820" s="9"/>
      <c r="AH1820" s="9"/>
      <c r="AI1820" s="9"/>
    </row>
    <row r="1821" ht="15.0" customHeight="1">
      <c r="A1821" s="11">
        <v>1820.0</v>
      </c>
      <c r="B1821" s="12">
        <f t="shared" si="290"/>
        <v>40119</v>
      </c>
      <c r="C1821" s="13">
        <v>2009.0</v>
      </c>
      <c r="D1821" s="11" t="s">
        <v>39</v>
      </c>
      <c r="E1821" s="11">
        <v>31.0</v>
      </c>
      <c r="F1821" s="21" t="s">
        <v>130</v>
      </c>
      <c r="G1821" s="15">
        <v>0.0768418019402554</v>
      </c>
      <c r="H1821" s="11" t="s">
        <v>33</v>
      </c>
      <c r="I1821" s="16">
        <v>3.2</v>
      </c>
      <c r="J1821" s="11" t="s">
        <v>639</v>
      </c>
      <c r="K1821" s="11" t="s">
        <v>35</v>
      </c>
      <c r="L1821" s="11" t="s">
        <v>27</v>
      </c>
      <c r="M1821" s="11" t="s">
        <v>66</v>
      </c>
      <c r="N1821" s="11" t="s">
        <v>67</v>
      </c>
      <c r="O1821" s="11" t="s">
        <v>1926</v>
      </c>
      <c r="P1821" s="11" t="s">
        <v>38</v>
      </c>
      <c r="Q1821" s="20">
        <v>40121.0</v>
      </c>
      <c r="R1821" s="17">
        <f t="shared" si="2"/>
        <v>73.85265584</v>
      </c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>
        <f t="shared" si="8"/>
        <v>1</v>
      </c>
      <c r="AF1821" s="19">
        <f t="shared" si="13"/>
        <v>2</v>
      </c>
      <c r="AG1821" s="9"/>
      <c r="AH1821" s="9"/>
      <c r="AI1821" s="9"/>
    </row>
    <row r="1822" ht="15.0" customHeight="1">
      <c r="A1822" s="11">
        <v>1821.0</v>
      </c>
      <c r="B1822" s="12">
        <f t="shared" si="290"/>
        <v>40119</v>
      </c>
      <c r="C1822" s="13">
        <v>2009.0</v>
      </c>
      <c r="D1822" s="11" t="s">
        <v>39</v>
      </c>
      <c r="E1822" s="11">
        <v>21.0</v>
      </c>
      <c r="F1822" s="21" t="s">
        <v>186</v>
      </c>
      <c r="G1822" s="15">
        <v>0.09801876955161631</v>
      </c>
      <c r="H1822" s="11" t="s">
        <v>24</v>
      </c>
      <c r="I1822" s="16">
        <v>0.4</v>
      </c>
      <c r="J1822" s="11" t="s">
        <v>639</v>
      </c>
      <c r="K1822" s="11" t="s">
        <v>35</v>
      </c>
      <c r="L1822" s="11" t="s">
        <v>27</v>
      </c>
      <c r="M1822" s="11" t="s">
        <v>28</v>
      </c>
      <c r="N1822" s="11" t="s">
        <v>188</v>
      </c>
      <c r="O1822" s="11" t="s">
        <v>1968</v>
      </c>
      <c r="P1822" s="11" t="s">
        <v>38</v>
      </c>
      <c r="Q1822" s="20">
        <v>40121.0</v>
      </c>
      <c r="R1822" s="17">
        <f t="shared" si="2"/>
        <v>8.478623566</v>
      </c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>
        <f t="shared" si="8"/>
        <v>1</v>
      </c>
      <c r="AF1822" s="19">
        <f t="shared" si="13"/>
        <v>2</v>
      </c>
      <c r="AG1822" s="9"/>
      <c r="AH1822" s="9"/>
      <c r="AI1822" s="9"/>
    </row>
    <row r="1823" ht="15.0" customHeight="1">
      <c r="A1823" s="11">
        <v>1822.0</v>
      </c>
      <c r="B1823" s="12">
        <f t="shared" si="290"/>
        <v>40119</v>
      </c>
      <c r="C1823" s="13">
        <v>2009.0</v>
      </c>
      <c r="D1823" s="11" t="s">
        <v>23</v>
      </c>
      <c r="E1823" s="11">
        <v>14.0</v>
      </c>
      <c r="F1823" s="21" t="s">
        <v>186</v>
      </c>
      <c r="G1823" s="15">
        <v>0.06587183308494787</v>
      </c>
      <c r="H1823" s="11" t="s">
        <v>33</v>
      </c>
      <c r="I1823" s="16">
        <v>5.28</v>
      </c>
      <c r="J1823" s="11" t="s">
        <v>491</v>
      </c>
      <c r="K1823" s="11" t="s">
        <v>47</v>
      </c>
      <c r="L1823" s="11" t="s">
        <v>48</v>
      </c>
      <c r="M1823" s="11" t="s">
        <v>49</v>
      </c>
      <c r="N1823" s="11" t="s">
        <v>73</v>
      </c>
      <c r="O1823" s="11" t="s">
        <v>258</v>
      </c>
      <c r="P1823" s="11" t="s">
        <v>38</v>
      </c>
      <c r="Q1823" s="20">
        <v>40121.0</v>
      </c>
      <c r="R1823" s="17">
        <f t="shared" si="2"/>
        <v>4.128846498</v>
      </c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>
        <f t="shared" si="8"/>
        <v>4</v>
      </c>
      <c r="AF1823" s="19">
        <f t="shared" si="13"/>
        <v>3</v>
      </c>
      <c r="AG1823" s="9"/>
      <c r="AH1823" s="9"/>
      <c r="AI1823" s="9"/>
    </row>
    <row r="1824" ht="15.0" customHeight="1">
      <c r="A1824" s="11">
        <v>1823.0</v>
      </c>
      <c r="B1824" s="12">
        <f t="shared" si="290"/>
        <v>40119</v>
      </c>
      <c r="C1824" s="13">
        <v>2009.0</v>
      </c>
      <c r="D1824" s="11" t="s">
        <v>23</v>
      </c>
      <c r="E1824" s="11">
        <v>32.0</v>
      </c>
      <c r="F1824" s="21" t="s">
        <v>178</v>
      </c>
      <c r="G1824" s="15">
        <v>0.012049677841068257</v>
      </c>
      <c r="H1824" s="11" t="s">
        <v>33</v>
      </c>
      <c r="I1824" s="16">
        <v>7.192</v>
      </c>
      <c r="J1824" s="11" t="s">
        <v>491</v>
      </c>
      <c r="K1824" s="11" t="s">
        <v>47</v>
      </c>
      <c r="L1824" s="11" t="s">
        <v>48</v>
      </c>
      <c r="M1824" s="11" t="s">
        <v>66</v>
      </c>
      <c r="N1824" s="11" t="s">
        <v>80</v>
      </c>
      <c r="O1824" s="11" t="s">
        <v>1421</v>
      </c>
      <c r="P1824" s="11" t="s">
        <v>38</v>
      </c>
      <c r="Q1824" s="20">
        <v>40121.0</v>
      </c>
      <c r="R1824" s="17">
        <f t="shared" si="2"/>
        <v>25.49702191</v>
      </c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>
        <f t="shared" si="8"/>
        <v>4</v>
      </c>
      <c r="AF1824" s="19">
        <f t="shared" si="13"/>
        <v>3</v>
      </c>
      <c r="AG1824" s="9"/>
      <c r="AH1824" s="9"/>
      <c r="AI1824" s="9"/>
    </row>
    <row r="1825" ht="15.0" customHeight="1">
      <c r="A1825" s="11">
        <v>1824.0</v>
      </c>
      <c r="B1825" s="12">
        <f t="shared" ref="B1825:B1836" si="291">DATE(2012,12,31)-1154</f>
        <v>40120</v>
      </c>
      <c r="C1825" s="13">
        <v>2009.0</v>
      </c>
      <c r="D1825" s="11" t="s">
        <v>44</v>
      </c>
      <c r="E1825" s="11">
        <v>39.0</v>
      </c>
      <c r="F1825" s="21" t="s">
        <v>610</v>
      </c>
      <c r="G1825" s="15">
        <v>0.07378805394990376</v>
      </c>
      <c r="H1825" s="11" t="s">
        <v>33</v>
      </c>
      <c r="I1825" s="16">
        <v>4.904</v>
      </c>
      <c r="J1825" s="11" t="s">
        <v>232</v>
      </c>
      <c r="K1825" s="11" t="s">
        <v>47</v>
      </c>
      <c r="L1825" s="11" t="s">
        <v>36</v>
      </c>
      <c r="M1825" s="11" t="s">
        <v>28</v>
      </c>
      <c r="N1825" s="11" t="s">
        <v>29</v>
      </c>
      <c r="O1825" s="11" t="s">
        <v>1969</v>
      </c>
      <c r="P1825" s="11" t="s">
        <v>38</v>
      </c>
      <c r="Q1825" s="20">
        <v>40121.0</v>
      </c>
      <c r="R1825" s="17">
        <f t="shared" si="2"/>
        <v>35.47021269</v>
      </c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>
        <f t="shared" si="8"/>
        <v>2</v>
      </c>
      <c r="AF1825" s="19">
        <f t="shared" si="13"/>
        <v>3</v>
      </c>
      <c r="AG1825" s="9"/>
      <c r="AH1825" s="9"/>
      <c r="AI1825" s="9"/>
    </row>
    <row r="1826" ht="15.0" customHeight="1">
      <c r="A1826" s="11">
        <v>1825.0</v>
      </c>
      <c r="B1826" s="12">
        <f t="shared" si="291"/>
        <v>40120</v>
      </c>
      <c r="C1826" s="13">
        <v>2009.0</v>
      </c>
      <c r="D1826" s="11" t="s">
        <v>32</v>
      </c>
      <c r="E1826" s="11">
        <v>22.0</v>
      </c>
      <c r="F1826" s="21" t="s">
        <v>130</v>
      </c>
      <c r="G1826" s="15">
        <v>0.06728216334334898</v>
      </c>
      <c r="H1826" s="11" t="s">
        <v>33</v>
      </c>
      <c r="I1826" s="16">
        <v>3.136</v>
      </c>
      <c r="J1826" s="11" t="s">
        <v>1831</v>
      </c>
      <c r="K1826" s="11" t="s">
        <v>61</v>
      </c>
      <c r="L1826" s="11" t="s">
        <v>27</v>
      </c>
      <c r="M1826" s="11" t="s">
        <v>49</v>
      </c>
      <c r="N1826" s="11" t="s">
        <v>73</v>
      </c>
      <c r="O1826" s="11" t="s">
        <v>877</v>
      </c>
      <c r="P1826" s="11" t="s">
        <v>99</v>
      </c>
      <c r="Q1826" s="20">
        <v>40121.0</v>
      </c>
      <c r="R1826" s="17">
        <f t="shared" si="2"/>
        <v>45.94941151</v>
      </c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>
        <f t="shared" si="8"/>
        <v>1</v>
      </c>
      <c r="AF1826" s="19">
        <f t="shared" si="13"/>
        <v>4</v>
      </c>
      <c r="AG1826" s="9"/>
      <c r="AH1826" s="9"/>
      <c r="AI1826" s="9"/>
    </row>
    <row r="1827" ht="15.0" customHeight="1">
      <c r="A1827" s="11">
        <v>1826.0</v>
      </c>
      <c r="B1827" s="12">
        <f t="shared" si="291"/>
        <v>40120</v>
      </c>
      <c r="C1827" s="13">
        <v>2009.0</v>
      </c>
      <c r="D1827" s="11" t="s">
        <v>32</v>
      </c>
      <c r="E1827" s="11">
        <v>16.0</v>
      </c>
      <c r="F1827" s="21" t="s">
        <v>1899</v>
      </c>
      <c r="G1827" s="15">
        <v>0.04858908424032221</v>
      </c>
      <c r="H1827" s="11" t="s">
        <v>45</v>
      </c>
      <c r="I1827" s="16">
        <v>14.448</v>
      </c>
      <c r="J1827" s="11" t="s">
        <v>1831</v>
      </c>
      <c r="K1827" s="11" t="s">
        <v>61</v>
      </c>
      <c r="L1827" s="11" t="s">
        <v>27</v>
      </c>
      <c r="M1827" s="11" t="s">
        <v>66</v>
      </c>
      <c r="N1827" s="11" t="s">
        <v>69</v>
      </c>
      <c r="O1827" s="11" t="s">
        <v>225</v>
      </c>
      <c r="P1827" s="11" t="s">
        <v>52</v>
      </c>
      <c r="Q1827" s="20">
        <v>40122.0</v>
      </c>
      <c r="R1827" s="17">
        <f t="shared" si="2"/>
        <v>231.9083135</v>
      </c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>
        <f t="shared" si="8"/>
        <v>1</v>
      </c>
      <c r="AF1827" s="19">
        <f t="shared" si="13"/>
        <v>4</v>
      </c>
      <c r="AG1827" s="9"/>
      <c r="AH1827" s="9"/>
      <c r="AI1827" s="9"/>
    </row>
    <row r="1828" ht="15.0" customHeight="1">
      <c r="A1828" s="11">
        <v>1827.0</v>
      </c>
      <c r="B1828" s="12">
        <f t="shared" si="291"/>
        <v>40120</v>
      </c>
      <c r="C1828" s="13">
        <v>2009.0</v>
      </c>
      <c r="D1828" s="11" t="s">
        <v>32</v>
      </c>
      <c r="E1828" s="11">
        <v>7.0</v>
      </c>
      <c r="F1828" s="21" t="s">
        <v>805</v>
      </c>
      <c r="G1828" s="15">
        <v>0.07038221597399162</v>
      </c>
      <c r="H1828" s="11" t="s">
        <v>45</v>
      </c>
      <c r="I1828" s="16">
        <v>43.296</v>
      </c>
      <c r="J1828" s="11" t="s">
        <v>1831</v>
      </c>
      <c r="K1828" s="11" t="s">
        <v>61</v>
      </c>
      <c r="L1828" s="11" t="s">
        <v>27</v>
      </c>
      <c r="M1828" s="11" t="s">
        <v>49</v>
      </c>
      <c r="N1828" s="11" t="s">
        <v>85</v>
      </c>
      <c r="O1828" s="11" t="s">
        <v>807</v>
      </c>
      <c r="P1828" s="11" t="s">
        <v>87</v>
      </c>
      <c r="Q1828" s="20">
        <v>40122.0</v>
      </c>
      <c r="R1828" s="17">
        <f t="shared" si="2"/>
        <v>148.9284875</v>
      </c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>
        <f t="shared" si="8"/>
        <v>1</v>
      </c>
      <c r="AF1828" s="19">
        <f t="shared" si="13"/>
        <v>4</v>
      </c>
      <c r="AG1828" s="9"/>
      <c r="AH1828" s="9"/>
      <c r="AI1828" s="9"/>
    </row>
    <row r="1829" ht="15.0" customHeight="1">
      <c r="A1829" s="11">
        <v>1828.0</v>
      </c>
      <c r="B1829" s="12">
        <f t="shared" si="291"/>
        <v>40120</v>
      </c>
      <c r="C1829" s="13">
        <v>2009.0</v>
      </c>
      <c r="D1829" s="11" t="s">
        <v>32</v>
      </c>
      <c r="E1829" s="11">
        <v>20.0</v>
      </c>
      <c r="F1829" s="21" t="s">
        <v>1097</v>
      </c>
      <c r="G1829" s="15">
        <v>0.08425957258505345</v>
      </c>
      <c r="H1829" s="11" t="s">
        <v>45</v>
      </c>
      <c r="I1829" s="16">
        <v>48.0</v>
      </c>
      <c r="J1829" s="11" t="s">
        <v>1008</v>
      </c>
      <c r="K1829" s="11" t="s">
        <v>65</v>
      </c>
      <c r="L1829" s="11" t="s">
        <v>48</v>
      </c>
      <c r="M1829" s="11" t="s">
        <v>49</v>
      </c>
      <c r="N1829" s="11" t="s">
        <v>85</v>
      </c>
      <c r="O1829" s="11" t="s">
        <v>1098</v>
      </c>
      <c r="P1829" s="11" t="s">
        <v>52</v>
      </c>
      <c r="Q1829" s="20">
        <v>40122.0</v>
      </c>
      <c r="R1829" s="17">
        <f t="shared" si="2"/>
        <v>592.8503527</v>
      </c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>
        <f t="shared" si="8"/>
        <v>4</v>
      </c>
      <c r="AF1829" s="19">
        <f t="shared" si="13"/>
        <v>5</v>
      </c>
      <c r="AG1829" s="9"/>
      <c r="AH1829" s="9"/>
      <c r="AI1829" s="9"/>
    </row>
    <row r="1830" ht="15.0" customHeight="1">
      <c r="A1830" s="11">
        <v>1829.0</v>
      </c>
      <c r="B1830" s="12">
        <f t="shared" si="291"/>
        <v>40120</v>
      </c>
      <c r="C1830" s="13">
        <v>2009.0</v>
      </c>
      <c r="D1830" s="11" t="s">
        <v>39</v>
      </c>
      <c r="E1830" s="11">
        <v>12.0</v>
      </c>
      <c r="F1830" s="21" t="s">
        <v>210</v>
      </c>
      <c r="G1830" s="15">
        <v>0.006289308176100607</v>
      </c>
      <c r="H1830" s="11" t="s">
        <v>33</v>
      </c>
      <c r="I1830" s="16">
        <v>0.4</v>
      </c>
      <c r="J1830" s="11" t="s">
        <v>334</v>
      </c>
      <c r="K1830" s="11" t="s">
        <v>35</v>
      </c>
      <c r="L1830" s="11" t="s">
        <v>48</v>
      </c>
      <c r="M1830" s="11" t="s">
        <v>28</v>
      </c>
      <c r="N1830" s="11" t="s">
        <v>188</v>
      </c>
      <c r="O1830" s="11" t="s">
        <v>1356</v>
      </c>
      <c r="P1830" s="11" t="s">
        <v>38</v>
      </c>
      <c r="Q1830" s="20">
        <v>40122.0</v>
      </c>
      <c r="R1830" s="17">
        <f t="shared" si="2"/>
        <v>0.1987421384</v>
      </c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>
        <f t="shared" si="8"/>
        <v>4</v>
      </c>
      <c r="AF1830" s="19">
        <f t="shared" si="13"/>
        <v>2</v>
      </c>
      <c r="AG1830" s="9"/>
      <c r="AH1830" s="9"/>
      <c r="AI1830" s="9"/>
    </row>
    <row r="1831" ht="15.0" customHeight="1">
      <c r="A1831" s="11">
        <v>1830.0</v>
      </c>
      <c r="B1831" s="12">
        <f t="shared" si="291"/>
        <v>40120</v>
      </c>
      <c r="C1831" s="13">
        <v>2009.0</v>
      </c>
      <c r="D1831" s="11" t="s">
        <v>39</v>
      </c>
      <c r="E1831" s="11">
        <v>41.0</v>
      </c>
      <c r="F1831" s="21" t="s">
        <v>1498</v>
      </c>
      <c r="G1831" s="15">
        <v>0.04306733852496568</v>
      </c>
      <c r="H1831" s="11" t="s">
        <v>24</v>
      </c>
      <c r="I1831" s="16">
        <v>7.192</v>
      </c>
      <c r="J1831" s="11" t="s">
        <v>334</v>
      </c>
      <c r="K1831" s="11" t="s">
        <v>35</v>
      </c>
      <c r="L1831" s="11" t="s">
        <v>48</v>
      </c>
      <c r="M1831" s="11" t="s">
        <v>49</v>
      </c>
      <c r="N1831" s="11" t="s">
        <v>73</v>
      </c>
      <c r="O1831" s="11" t="s">
        <v>1500</v>
      </c>
      <c r="P1831" s="11" t="s">
        <v>99</v>
      </c>
      <c r="Q1831" s="20">
        <v>40122.0</v>
      </c>
      <c r="R1831" s="17">
        <f t="shared" si="2"/>
        <v>44.98349055</v>
      </c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>
        <f t="shared" si="8"/>
        <v>4</v>
      </c>
      <c r="AF1831" s="19">
        <f t="shared" si="13"/>
        <v>2</v>
      </c>
      <c r="AG1831" s="9"/>
      <c r="AH1831" s="9"/>
      <c r="AI1831" s="9"/>
    </row>
    <row r="1832" ht="15.0" customHeight="1">
      <c r="A1832" s="11">
        <v>1831.0</v>
      </c>
      <c r="B1832" s="12">
        <f t="shared" si="291"/>
        <v>40120</v>
      </c>
      <c r="C1832" s="13">
        <v>2009.0</v>
      </c>
      <c r="D1832" s="11" t="s">
        <v>39</v>
      </c>
      <c r="E1832" s="11">
        <v>21.0</v>
      </c>
      <c r="F1832" s="21" t="s">
        <v>1970</v>
      </c>
      <c r="G1832" s="15">
        <v>0.04073722726656733</v>
      </c>
      <c r="H1832" s="11" t="s">
        <v>33</v>
      </c>
      <c r="I1832" s="16">
        <v>28.0</v>
      </c>
      <c r="J1832" s="11" t="s">
        <v>334</v>
      </c>
      <c r="K1832" s="11" t="s">
        <v>35</v>
      </c>
      <c r="L1832" s="11" t="s">
        <v>48</v>
      </c>
      <c r="M1832" s="11" t="s">
        <v>28</v>
      </c>
      <c r="N1832" s="11" t="s">
        <v>29</v>
      </c>
      <c r="O1832" s="11" t="s">
        <v>1971</v>
      </c>
      <c r="P1832" s="11" t="s">
        <v>31</v>
      </c>
      <c r="Q1832" s="20">
        <v>40122.0</v>
      </c>
      <c r="R1832" s="17">
        <f t="shared" si="2"/>
        <v>144.1771947</v>
      </c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>
        <f t="shared" si="8"/>
        <v>4</v>
      </c>
      <c r="AF1832" s="19">
        <f t="shared" si="13"/>
        <v>2</v>
      </c>
      <c r="AG1832" s="9"/>
      <c r="AH1832" s="9"/>
      <c r="AI1832" s="9"/>
    </row>
    <row r="1833" ht="15.0" customHeight="1">
      <c r="A1833" s="11">
        <v>1832.0</v>
      </c>
      <c r="B1833" s="12">
        <f t="shared" si="291"/>
        <v>40120</v>
      </c>
      <c r="C1833" s="13">
        <v>2009.0</v>
      </c>
      <c r="D1833" s="11" t="s">
        <v>23</v>
      </c>
      <c r="E1833" s="11">
        <v>11.0</v>
      </c>
      <c r="F1833" s="21" t="s">
        <v>513</v>
      </c>
      <c r="G1833" s="15">
        <v>0.04212943186672355</v>
      </c>
      <c r="H1833" s="11" t="s">
        <v>45</v>
      </c>
      <c r="I1833" s="16">
        <v>24.0</v>
      </c>
      <c r="J1833" s="11" t="s">
        <v>1972</v>
      </c>
      <c r="K1833" s="11" t="s">
        <v>61</v>
      </c>
      <c r="L1833" s="11" t="s">
        <v>27</v>
      </c>
      <c r="M1833" s="11" t="s">
        <v>49</v>
      </c>
      <c r="N1833" s="11" t="s">
        <v>50</v>
      </c>
      <c r="O1833" s="11" t="s">
        <v>515</v>
      </c>
      <c r="P1833" s="11" t="s">
        <v>52</v>
      </c>
      <c r="Q1833" s="20">
        <v>40122.0</v>
      </c>
      <c r="R1833" s="17">
        <f t="shared" si="2"/>
        <v>75.57598783</v>
      </c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>
        <f t="shared" si="8"/>
        <v>1</v>
      </c>
      <c r="AF1833" s="19">
        <f t="shared" si="13"/>
        <v>4</v>
      </c>
      <c r="AG1833" s="9"/>
      <c r="AH1833" s="9"/>
      <c r="AI1833" s="9"/>
    </row>
    <row r="1834" ht="15.0" customHeight="1">
      <c r="A1834" s="11">
        <v>1833.0</v>
      </c>
      <c r="B1834" s="12">
        <f t="shared" si="291"/>
        <v>40120</v>
      </c>
      <c r="C1834" s="13">
        <v>2009.0</v>
      </c>
      <c r="D1834" s="11" t="s">
        <v>23</v>
      </c>
      <c r="E1834" s="11">
        <v>43.0</v>
      </c>
      <c r="F1834" s="21" t="s">
        <v>872</v>
      </c>
      <c r="G1834" s="15">
        <v>0.015288571792585044</v>
      </c>
      <c r="H1834" s="11" t="s">
        <v>33</v>
      </c>
      <c r="I1834" s="16">
        <v>3.2</v>
      </c>
      <c r="J1834" s="11" t="s">
        <v>1972</v>
      </c>
      <c r="K1834" s="11" t="s">
        <v>61</v>
      </c>
      <c r="L1834" s="11" t="s">
        <v>27</v>
      </c>
      <c r="M1834" s="11" t="s">
        <v>66</v>
      </c>
      <c r="N1834" s="11" t="s">
        <v>67</v>
      </c>
      <c r="O1834" s="11" t="s">
        <v>874</v>
      </c>
      <c r="P1834" s="11" t="s">
        <v>38</v>
      </c>
      <c r="Q1834" s="20">
        <v>40122.0</v>
      </c>
      <c r="R1834" s="17">
        <f t="shared" si="2"/>
        <v>11.81653714</v>
      </c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>
        <f t="shared" si="8"/>
        <v>1</v>
      </c>
      <c r="AF1834" s="19">
        <f t="shared" si="13"/>
        <v>4</v>
      </c>
      <c r="AG1834" s="9"/>
      <c r="AH1834" s="9"/>
      <c r="AI1834" s="9"/>
    </row>
    <row r="1835" ht="15.0" customHeight="1">
      <c r="A1835" s="11">
        <v>1834.0</v>
      </c>
      <c r="B1835" s="12">
        <f t="shared" si="291"/>
        <v>40120</v>
      </c>
      <c r="C1835" s="13">
        <v>2009.0</v>
      </c>
      <c r="D1835" s="11" t="s">
        <v>23</v>
      </c>
      <c r="E1835" s="11">
        <v>24.0</v>
      </c>
      <c r="F1835" s="21" t="s">
        <v>287</v>
      </c>
      <c r="G1835" s="15">
        <v>0.05793601999797311</v>
      </c>
      <c r="H1835" s="11" t="s">
        <v>33</v>
      </c>
      <c r="I1835" s="16">
        <v>7.192</v>
      </c>
      <c r="J1835" s="11" t="s">
        <v>1972</v>
      </c>
      <c r="K1835" s="11" t="s">
        <v>61</v>
      </c>
      <c r="L1835" s="11" t="s">
        <v>27</v>
      </c>
      <c r="M1835" s="11" t="s">
        <v>66</v>
      </c>
      <c r="N1835" s="11" t="s">
        <v>80</v>
      </c>
      <c r="O1835" s="11" t="s">
        <v>1104</v>
      </c>
      <c r="P1835" s="11" t="s">
        <v>38</v>
      </c>
      <c r="Q1835" s="20">
        <v>40123.0</v>
      </c>
      <c r="R1835" s="17">
        <f t="shared" si="2"/>
        <v>161.5715091</v>
      </c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>
        <f t="shared" si="8"/>
        <v>1</v>
      </c>
      <c r="AF1835" s="19">
        <f t="shared" si="13"/>
        <v>4</v>
      </c>
      <c r="AG1835" s="9"/>
      <c r="AH1835" s="9"/>
      <c r="AI1835" s="9"/>
    </row>
    <row r="1836" ht="15.0" customHeight="1">
      <c r="A1836" s="11">
        <v>1835.0</v>
      </c>
      <c r="B1836" s="12">
        <f t="shared" si="291"/>
        <v>40120</v>
      </c>
      <c r="C1836" s="13">
        <v>2009.0</v>
      </c>
      <c r="D1836" s="11" t="s">
        <v>23</v>
      </c>
      <c r="E1836" s="11">
        <v>7.0</v>
      </c>
      <c r="F1836" s="21" t="s">
        <v>242</v>
      </c>
      <c r="G1836" s="15">
        <v>0.01128342245989286</v>
      </c>
      <c r="H1836" s="11" t="s">
        <v>45</v>
      </c>
      <c r="I1836" s="16">
        <v>21.392</v>
      </c>
      <c r="J1836" s="11" t="s">
        <v>808</v>
      </c>
      <c r="K1836" s="11" t="s">
        <v>83</v>
      </c>
      <c r="L1836" s="11" t="s">
        <v>48</v>
      </c>
      <c r="M1836" s="11" t="s">
        <v>49</v>
      </c>
      <c r="N1836" s="11" t="s">
        <v>156</v>
      </c>
      <c r="O1836" s="11" t="s">
        <v>1909</v>
      </c>
      <c r="P1836" s="11" t="s">
        <v>87</v>
      </c>
      <c r="Q1836" s="20">
        <v>40123.0</v>
      </c>
      <c r="R1836" s="17">
        <f t="shared" si="2"/>
        <v>5.84133754</v>
      </c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>
        <f t="shared" si="8"/>
        <v>4</v>
      </c>
      <c r="AF1836" s="19" t="b">
        <f t="shared" si="13"/>
        <v>0</v>
      </c>
      <c r="AG1836" s="9"/>
      <c r="AH1836" s="9"/>
      <c r="AI1836" s="9"/>
    </row>
    <row r="1837" ht="15.0" customHeight="1">
      <c r="A1837" s="11">
        <v>1836.0</v>
      </c>
      <c r="B1837" s="12">
        <f t="shared" ref="B1837:B1845" si="292">DATE(2012,12,31)-1153</f>
        <v>40121</v>
      </c>
      <c r="C1837" s="13">
        <v>2009.0</v>
      </c>
      <c r="D1837" s="11" t="s">
        <v>39</v>
      </c>
      <c r="E1837" s="11">
        <v>6.0</v>
      </c>
      <c r="F1837" s="21" t="s">
        <v>151</v>
      </c>
      <c r="G1837" s="15">
        <v>0.042222222222222175</v>
      </c>
      <c r="H1837" s="11" t="s">
        <v>33</v>
      </c>
      <c r="I1837" s="16">
        <v>1.4880000000000002</v>
      </c>
      <c r="J1837" s="11" t="s">
        <v>1667</v>
      </c>
      <c r="K1837" s="11" t="s">
        <v>26</v>
      </c>
      <c r="L1837" s="11" t="s">
        <v>48</v>
      </c>
      <c r="M1837" s="11" t="s">
        <v>28</v>
      </c>
      <c r="N1837" s="11" t="s">
        <v>62</v>
      </c>
      <c r="O1837" s="11" t="s">
        <v>1973</v>
      </c>
      <c r="P1837" s="11" t="s">
        <v>58</v>
      </c>
      <c r="Q1837" s="20">
        <v>40123.0</v>
      </c>
      <c r="R1837" s="17">
        <f t="shared" si="2"/>
        <v>0.8734933333</v>
      </c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>
        <f t="shared" si="8"/>
        <v>4</v>
      </c>
      <c r="AF1837" s="19">
        <f t="shared" si="13"/>
        <v>1</v>
      </c>
      <c r="AG1837" s="9"/>
      <c r="AH1837" s="9"/>
      <c r="AI1837" s="9"/>
    </row>
    <row r="1838" ht="15.0" customHeight="1">
      <c r="A1838" s="11">
        <v>1837.0</v>
      </c>
      <c r="B1838" s="12">
        <f t="shared" si="292"/>
        <v>40121</v>
      </c>
      <c r="C1838" s="13">
        <v>2009.0</v>
      </c>
      <c r="D1838" s="11" t="s">
        <v>39</v>
      </c>
      <c r="E1838" s="11">
        <v>20.0</v>
      </c>
      <c r="F1838" s="21" t="s">
        <v>881</v>
      </c>
      <c r="G1838" s="15">
        <v>0.026064844246662573</v>
      </c>
      <c r="H1838" s="11" t="s">
        <v>33</v>
      </c>
      <c r="I1838" s="16">
        <v>3.2</v>
      </c>
      <c r="J1838" s="11" t="s">
        <v>1572</v>
      </c>
      <c r="K1838" s="11" t="s">
        <v>83</v>
      </c>
      <c r="L1838" s="11" t="s">
        <v>27</v>
      </c>
      <c r="M1838" s="11" t="s">
        <v>49</v>
      </c>
      <c r="N1838" s="11" t="s">
        <v>73</v>
      </c>
      <c r="O1838" s="11" t="s">
        <v>883</v>
      </c>
      <c r="P1838" s="11" t="s">
        <v>58</v>
      </c>
      <c r="Q1838" s="20">
        <v>40123.0</v>
      </c>
      <c r="R1838" s="17">
        <f t="shared" si="2"/>
        <v>3.993134139</v>
      </c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>
        <f t="shared" si="8"/>
        <v>1</v>
      </c>
      <c r="AF1838" s="19" t="b">
        <f t="shared" si="13"/>
        <v>0</v>
      </c>
      <c r="AG1838" s="9"/>
      <c r="AH1838" s="9"/>
      <c r="AI1838" s="9"/>
    </row>
    <row r="1839" ht="15.0" customHeight="1">
      <c r="A1839" s="11">
        <v>1838.0</v>
      </c>
      <c r="B1839" s="12">
        <f t="shared" si="292"/>
        <v>40121</v>
      </c>
      <c r="C1839" s="13">
        <v>2009.0</v>
      </c>
      <c r="D1839" s="11" t="s">
        <v>32</v>
      </c>
      <c r="E1839" s="11">
        <v>22.0</v>
      </c>
      <c r="F1839" s="21" t="s">
        <v>810</v>
      </c>
      <c r="G1839" s="15">
        <v>0.06737723639132086</v>
      </c>
      <c r="H1839" s="11" t="s">
        <v>33</v>
      </c>
      <c r="I1839" s="16">
        <v>5.2</v>
      </c>
      <c r="J1839" s="11" t="s">
        <v>416</v>
      </c>
      <c r="K1839" s="11" t="s">
        <v>65</v>
      </c>
      <c r="L1839" s="11" t="s">
        <v>41</v>
      </c>
      <c r="M1839" s="11" t="s">
        <v>66</v>
      </c>
      <c r="N1839" s="11" t="s">
        <v>67</v>
      </c>
      <c r="O1839" s="11" t="s">
        <v>1974</v>
      </c>
      <c r="P1839" s="11" t="s">
        <v>38</v>
      </c>
      <c r="Q1839" s="20">
        <v>40123.0</v>
      </c>
      <c r="R1839" s="17">
        <f t="shared" si="2"/>
        <v>16.50742292</v>
      </c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>
        <f t="shared" si="8"/>
        <v>3</v>
      </c>
      <c r="AF1839" s="19">
        <f t="shared" si="13"/>
        <v>5</v>
      </c>
      <c r="AG1839" s="9"/>
      <c r="AH1839" s="9"/>
      <c r="AI1839" s="9"/>
    </row>
    <row r="1840" ht="15.0" customHeight="1">
      <c r="A1840" s="11">
        <v>1839.0</v>
      </c>
      <c r="B1840" s="12">
        <f t="shared" si="292"/>
        <v>40121</v>
      </c>
      <c r="C1840" s="13">
        <v>2009.0</v>
      </c>
      <c r="D1840" s="11" t="s">
        <v>39</v>
      </c>
      <c r="E1840" s="11">
        <v>31.0</v>
      </c>
      <c r="F1840" s="21" t="s">
        <v>142</v>
      </c>
      <c r="G1840" s="15">
        <v>0.05095355353655452</v>
      </c>
      <c r="H1840" s="11" t="s">
        <v>33</v>
      </c>
      <c r="I1840" s="16">
        <v>4.792000000000001</v>
      </c>
      <c r="J1840" s="11" t="s">
        <v>1446</v>
      </c>
      <c r="K1840" s="11" t="s">
        <v>35</v>
      </c>
      <c r="L1840" s="11" t="s">
        <v>48</v>
      </c>
      <c r="M1840" s="11" t="s">
        <v>66</v>
      </c>
      <c r="N1840" s="11" t="s">
        <v>80</v>
      </c>
      <c r="O1840" s="11" t="s">
        <v>757</v>
      </c>
      <c r="P1840" s="11" t="s">
        <v>58</v>
      </c>
      <c r="Q1840" s="20">
        <v>40123.0</v>
      </c>
      <c r="R1840" s="17">
        <f t="shared" si="2"/>
        <v>56.95037916</v>
      </c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>
        <f t="shared" si="8"/>
        <v>4</v>
      </c>
      <c r="AF1840" s="19">
        <f t="shared" si="13"/>
        <v>2</v>
      </c>
      <c r="AG1840" s="9"/>
      <c r="AH1840" s="9"/>
      <c r="AI1840" s="9"/>
    </row>
    <row r="1841" ht="15.0" customHeight="1">
      <c r="A1841" s="11">
        <v>1840.0</v>
      </c>
      <c r="B1841" s="12">
        <f t="shared" si="292"/>
        <v>40121</v>
      </c>
      <c r="C1841" s="13">
        <v>2009.0</v>
      </c>
      <c r="D1841" s="11" t="s">
        <v>39</v>
      </c>
      <c r="E1841" s="11">
        <v>24.0</v>
      </c>
      <c r="F1841" s="21" t="s">
        <v>130</v>
      </c>
      <c r="G1841" s="15">
        <v>0.014806629834254256</v>
      </c>
      <c r="H1841" s="11" t="s">
        <v>33</v>
      </c>
      <c r="I1841" s="16">
        <v>7.344</v>
      </c>
      <c r="J1841" s="11" t="s">
        <v>1975</v>
      </c>
      <c r="K1841" s="11" t="s">
        <v>26</v>
      </c>
      <c r="L1841" s="11" t="s">
        <v>27</v>
      </c>
      <c r="M1841" s="11" t="s">
        <v>28</v>
      </c>
      <c r="N1841" s="11" t="s">
        <v>56</v>
      </c>
      <c r="O1841" s="11" t="s">
        <v>1175</v>
      </c>
      <c r="P1841" s="11" t="s">
        <v>38</v>
      </c>
      <c r="Q1841" s="20">
        <v>40123.0</v>
      </c>
      <c r="R1841" s="17">
        <f t="shared" si="2"/>
        <v>11.08933657</v>
      </c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>
        <f t="shared" si="8"/>
        <v>1</v>
      </c>
      <c r="AF1841" s="19">
        <f t="shared" si="13"/>
        <v>1</v>
      </c>
      <c r="AG1841" s="9"/>
      <c r="AH1841" s="9"/>
      <c r="AI1841" s="9"/>
    </row>
    <row r="1842" ht="15.0" customHeight="1">
      <c r="A1842" s="11">
        <v>1841.0</v>
      </c>
      <c r="B1842" s="12">
        <f t="shared" si="292"/>
        <v>40121</v>
      </c>
      <c r="C1842" s="13">
        <v>2009.0</v>
      </c>
      <c r="D1842" s="11" t="s">
        <v>39</v>
      </c>
      <c r="E1842" s="11">
        <v>25.0</v>
      </c>
      <c r="F1842" s="21" t="s">
        <v>705</v>
      </c>
      <c r="G1842" s="15">
        <v>0.09542356377799413</v>
      </c>
      <c r="H1842" s="11" t="s">
        <v>33</v>
      </c>
      <c r="I1842" s="16">
        <v>0.4</v>
      </c>
      <c r="J1842" s="11" t="s">
        <v>1975</v>
      </c>
      <c r="K1842" s="11" t="s">
        <v>26</v>
      </c>
      <c r="L1842" s="11" t="s">
        <v>27</v>
      </c>
      <c r="M1842" s="11" t="s">
        <v>28</v>
      </c>
      <c r="N1842" s="11" t="s">
        <v>188</v>
      </c>
      <c r="O1842" s="11" t="s">
        <v>1976</v>
      </c>
      <c r="P1842" s="11" t="s">
        <v>38</v>
      </c>
      <c r="Q1842" s="20">
        <v>40123.0</v>
      </c>
      <c r="R1842" s="17">
        <f t="shared" si="2"/>
        <v>8.864849075</v>
      </c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>
        <f t="shared" si="8"/>
        <v>1</v>
      </c>
      <c r="AF1842" s="19">
        <f t="shared" si="13"/>
        <v>1</v>
      </c>
      <c r="AG1842" s="9"/>
      <c r="AH1842" s="9"/>
      <c r="AI1842" s="9"/>
    </row>
    <row r="1843" ht="15.0" customHeight="1">
      <c r="A1843" s="11">
        <v>1842.0</v>
      </c>
      <c r="B1843" s="12">
        <f t="shared" si="292"/>
        <v>40121</v>
      </c>
      <c r="C1843" s="13">
        <v>2009.0</v>
      </c>
      <c r="D1843" s="11" t="s">
        <v>39</v>
      </c>
      <c r="E1843" s="11">
        <v>36.0</v>
      </c>
      <c r="F1843" s="21" t="s">
        <v>1203</v>
      </c>
      <c r="G1843" s="15">
        <v>0.04106327650967941</v>
      </c>
      <c r="H1843" s="11" t="s">
        <v>24</v>
      </c>
      <c r="I1843" s="16">
        <v>7.888</v>
      </c>
      <c r="J1843" s="11" t="s">
        <v>606</v>
      </c>
      <c r="K1843" s="11" t="s">
        <v>65</v>
      </c>
      <c r="L1843" s="11" t="s">
        <v>48</v>
      </c>
      <c r="M1843" s="11" t="s">
        <v>28</v>
      </c>
      <c r="N1843" s="11" t="s">
        <v>56</v>
      </c>
      <c r="O1843" s="11" t="s">
        <v>1204</v>
      </c>
      <c r="P1843" s="11" t="s">
        <v>38</v>
      </c>
      <c r="Q1843" s="20">
        <v>40123.0</v>
      </c>
      <c r="R1843" s="17">
        <f t="shared" si="2"/>
        <v>13.62840871</v>
      </c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>
        <f t="shared" si="8"/>
        <v>4</v>
      </c>
      <c r="AF1843" s="19">
        <f t="shared" si="13"/>
        <v>5</v>
      </c>
      <c r="AG1843" s="9"/>
      <c r="AH1843" s="9"/>
      <c r="AI1843" s="9"/>
    </row>
    <row r="1844" ht="15.0" customHeight="1">
      <c r="A1844" s="11">
        <v>1843.0</v>
      </c>
      <c r="B1844" s="12">
        <f t="shared" si="292"/>
        <v>40121</v>
      </c>
      <c r="C1844" s="13">
        <v>2009.0</v>
      </c>
      <c r="D1844" s="11" t="s">
        <v>39</v>
      </c>
      <c r="E1844" s="11">
        <v>26.0</v>
      </c>
      <c r="F1844" s="21" t="s">
        <v>333</v>
      </c>
      <c r="G1844" s="15">
        <v>0.062238622386223894</v>
      </c>
      <c r="H1844" s="11" t="s">
        <v>33</v>
      </c>
      <c r="I1844" s="16">
        <v>0.8400000000000001</v>
      </c>
      <c r="J1844" s="11" t="s">
        <v>606</v>
      </c>
      <c r="K1844" s="11" t="s">
        <v>65</v>
      </c>
      <c r="L1844" s="11" t="s">
        <v>48</v>
      </c>
      <c r="M1844" s="11" t="s">
        <v>28</v>
      </c>
      <c r="N1844" s="11" t="s">
        <v>62</v>
      </c>
      <c r="O1844" s="11" t="s">
        <v>1977</v>
      </c>
      <c r="P1844" s="11" t="s">
        <v>58</v>
      </c>
      <c r="Q1844" s="20">
        <v>40123.0</v>
      </c>
      <c r="R1844" s="17">
        <f t="shared" si="2"/>
        <v>4.745072571</v>
      </c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>
        <f t="shared" si="8"/>
        <v>4</v>
      </c>
      <c r="AF1844" s="19">
        <f t="shared" si="13"/>
        <v>5</v>
      </c>
      <c r="AG1844" s="9"/>
      <c r="AH1844" s="9"/>
      <c r="AI1844" s="9"/>
    </row>
    <row r="1845" ht="15.0" customHeight="1">
      <c r="A1845" s="11">
        <v>1844.0</v>
      </c>
      <c r="B1845" s="12">
        <f t="shared" si="292"/>
        <v>40121</v>
      </c>
      <c r="C1845" s="13">
        <v>2009.0</v>
      </c>
      <c r="D1845" s="11" t="s">
        <v>23</v>
      </c>
      <c r="E1845" s="11">
        <v>9.0</v>
      </c>
      <c r="F1845" s="21" t="s">
        <v>1015</v>
      </c>
      <c r="G1845" s="15">
        <v>0.02854130052724069</v>
      </c>
      <c r="H1845" s="11" t="s">
        <v>33</v>
      </c>
      <c r="I1845" s="16">
        <v>3.976</v>
      </c>
      <c r="J1845" s="11" t="s">
        <v>1634</v>
      </c>
      <c r="K1845" s="11" t="s">
        <v>65</v>
      </c>
      <c r="L1845" s="11" t="s">
        <v>41</v>
      </c>
      <c r="M1845" s="11" t="s">
        <v>28</v>
      </c>
      <c r="N1845" s="11" t="s">
        <v>42</v>
      </c>
      <c r="O1845" s="11" t="s">
        <v>1978</v>
      </c>
      <c r="P1845" s="11" t="s">
        <v>38</v>
      </c>
      <c r="Q1845" s="20">
        <v>40123.0</v>
      </c>
      <c r="R1845" s="17">
        <f t="shared" si="2"/>
        <v>1.577648928</v>
      </c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>
        <f t="shared" si="8"/>
        <v>3</v>
      </c>
      <c r="AF1845" s="19">
        <f t="shared" si="13"/>
        <v>5</v>
      </c>
      <c r="AG1845" s="9"/>
      <c r="AH1845" s="9"/>
      <c r="AI1845" s="9"/>
    </row>
    <row r="1846" ht="15.0" customHeight="1">
      <c r="A1846" s="11">
        <v>1845.0</v>
      </c>
      <c r="B1846" s="12">
        <f t="shared" ref="B1846:B1850" si="293">DATE(2012,12,31)-1152</f>
        <v>40122</v>
      </c>
      <c r="C1846" s="13">
        <v>2009.0</v>
      </c>
      <c r="D1846" s="11" t="s">
        <v>32</v>
      </c>
      <c r="E1846" s="11">
        <v>42.0</v>
      </c>
      <c r="F1846" s="21" t="s">
        <v>818</v>
      </c>
      <c r="G1846" s="15">
        <v>0.04840994814979122</v>
      </c>
      <c r="H1846" s="11" t="s">
        <v>45</v>
      </c>
      <c r="I1846" s="16">
        <v>19.024</v>
      </c>
      <c r="J1846" s="11" t="s">
        <v>973</v>
      </c>
      <c r="K1846" s="11" t="s">
        <v>61</v>
      </c>
      <c r="L1846" s="11" t="s">
        <v>36</v>
      </c>
      <c r="M1846" s="11" t="s">
        <v>49</v>
      </c>
      <c r="N1846" s="11" t="s">
        <v>85</v>
      </c>
      <c r="O1846" s="11" t="s">
        <v>820</v>
      </c>
      <c r="P1846" s="11" t="s">
        <v>87</v>
      </c>
      <c r="Q1846" s="20">
        <v>40123.0</v>
      </c>
      <c r="R1846" s="17">
        <f t="shared" si="2"/>
        <v>470.390946</v>
      </c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>
        <f t="shared" si="8"/>
        <v>2</v>
      </c>
      <c r="AF1846" s="19">
        <f t="shared" si="13"/>
        <v>4</v>
      </c>
      <c r="AG1846" s="9"/>
      <c r="AH1846" s="9"/>
      <c r="AI1846" s="9"/>
    </row>
    <row r="1847" ht="15.0" customHeight="1">
      <c r="A1847" s="11">
        <v>1846.0</v>
      </c>
      <c r="B1847" s="12">
        <f t="shared" si="293"/>
        <v>40122</v>
      </c>
      <c r="C1847" s="13">
        <v>2009.0</v>
      </c>
      <c r="D1847" s="11" t="s">
        <v>23</v>
      </c>
      <c r="E1847" s="11">
        <v>20.0</v>
      </c>
      <c r="F1847" s="21" t="s">
        <v>881</v>
      </c>
      <c r="G1847" s="15">
        <v>0.016688061617458425</v>
      </c>
      <c r="H1847" s="11" t="s">
        <v>33</v>
      </c>
      <c r="I1847" s="16">
        <v>3.2</v>
      </c>
      <c r="J1847" s="11" t="s">
        <v>239</v>
      </c>
      <c r="K1847" s="11" t="s">
        <v>61</v>
      </c>
      <c r="L1847" s="11" t="s">
        <v>48</v>
      </c>
      <c r="M1847" s="11" t="s">
        <v>49</v>
      </c>
      <c r="N1847" s="11" t="s">
        <v>73</v>
      </c>
      <c r="O1847" s="11" t="s">
        <v>883</v>
      </c>
      <c r="P1847" s="11" t="s">
        <v>58</v>
      </c>
      <c r="Q1847" s="20">
        <v>40124.0</v>
      </c>
      <c r="R1847" s="17">
        <f t="shared" si="2"/>
        <v>2.55661104</v>
      </c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>
        <f t="shared" si="8"/>
        <v>4</v>
      </c>
      <c r="AF1847" s="19">
        <f t="shared" si="13"/>
        <v>4</v>
      </c>
      <c r="AG1847" s="9"/>
      <c r="AH1847" s="9"/>
      <c r="AI1847" s="9"/>
    </row>
    <row r="1848" ht="15.0" customHeight="1">
      <c r="A1848" s="11">
        <v>1847.0</v>
      </c>
      <c r="B1848" s="12">
        <f t="shared" si="293"/>
        <v>40122</v>
      </c>
      <c r="C1848" s="13">
        <v>2009.0</v>
      </c>
      <c r="D1848" s="11" t="s">
        <v>23</v>
      </c>
      <c r="E1848" s="11">
        <v>5.0</v>
      </c>
      <c r="F1848" s="21" t="s">
        <v>122</v>
      </c>
      <c r="G1848" s="15">
        <v>0.05686619718309854</v>
      </c>
      <c r="H1848" s="11" t="s">
        <v>33</v>
      </c>
      <c r="I1848" s="16">
        <v>2.64</v>
      </c>
      <c r="J1848" s="11" t="s">
        <v>1979</v>
      </c>
      <c r="K1848" s="11" t="s">
        <v>61</v>
      </c>
      <c r="L1848" s="11" t="s">
        <v>48</v>
      </c>
      <c r="M1848" s="11" t="s">
        <v>66</v>
      </c>
      <c r="N1848" s="11" t="s">
        <v>80</v>
      </c>
      <c r="O1848" s="11" t="s">
        <v>848</v>
      </c>
      <c r="P1848" s="11" t="s">
        <v>99</v>
      </c>
      <c r="Q1848" s="20">
        <v>40124.0</v>
      </c>
      <c r="R1848" s="17">
        <f t="shared" si="2"/>
        <v>6.092644366</v>
      </c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>
        <f t="shared" si="8"/>
        <v>4</v>
      </c>
      <c r="AF1848" s="19">
        <f t="shared" si="13"/>
        <v>4</v>
      </c>
      <c r="AG1848" s="9"/>
      <c r="AH1848" s="9"/>
      <c r="AI1848" s="9"/>
    </row>
    <row r="1849" ht="15.0" customHeight="1">
      <c r="A1849" s="11">
        <v>1848.0</v>
      </c>
      <c r="B1849" s="12">
        <f t="shared" si="293"/>
        <v>40122</v>
      </c>
      <c r="C1849" s="13">
        <v>2009.0</v>
      </c>
      <c r="D1849" s="11" t="s">
        <v>102</v>
      </c>
      <c r="E1849" s="11">
        <v>13.0</v>
      </c>
      <c r="F1849" s="21" t="s">
        <v>254</v>
      </c>
      <c r="G1849" s="15">
        <v>0.03137297297297283</v>
      </c>
      <c r="H1849" s="11" t="s">
        <v>33</v>
      </c>
      <c r="I1849" s="16">
        <v>11.496</v>
      </c>
      <c r="J1849" s="11" t="s">
        <v>1980</v>
      </c>
      <c r="K1849" s="11" t="s">
        <v>61</v>
      </c>
      <c r="L1849" s="11" t="s">
        <v>36</v>
      </c>
      <c r="M1849" s="11" t="s">
        <v>49</v>
      </c>
      <c r="N1849" s="11" t="s">
        <v>73</v>
      </c>
      <c r="O1849" s="11" t="s">
        <v>255</v>
      </c>
      <c r="P1849" s="11" t="s">
        <v>31</v>
      </c>
      <c r="Q1849" s="20">
        <v>40125.0</v>
      </c>
      <c r="R1849" s="17">
        <f t="shared" si="2"/>
        <v>5.621911265</v>
      </c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>
        <f t="shared" si="8"/>
        <v>2</v>
      </c>
      <c r="AF1849" s="19">
        <f t="shared" si="13"/>
        <v>4</v>
      </c>
      <c r="AG1849" s="9"/>
      <c r="AH1849" s="9"/>
      <c r="AI1849" s="9"/>
    </row>
    <row r="1850" ht="15.0" customHeight="1">
      <c r="A1850" s="11">
        <v>1849.0</v>
      </c>
      <c r="B1850" s="12">
        <f t="shared" si="293"/>
        <v>40122</v>
      </c>
      <c r="C1850" s="13">
        <v>2009.0</v>
      </c>
      <c r="D1850" s="11" t="s">
        <v>102</v>
      </c>
      <c r="E1850" s="11">
        <v>4.0</v>
      </c>
      <c r="F1850" s="21" t="s">
        <v>596</v>
      </c>
      <c r="G1850" s="15">
        <v>0.03432880844645545</v>
      </c>
      <c r="H1850" s="11" t="s">
        <v>33</v>
      </c>
      <c r="I1850" s="16">
        <v>3.6240000000000006</v>
      </c>
      <c r="J1850" s="11" t="s">
        <v>1980</v>
      </c>
      <c r="K1850" s="11" t="s">
        <v>61</v>
      </c>
      <c r="L1850" s="11" t="s">
        <v>36</v>
      </c>
      <c r="M1850" s="11" t="s">
        <v>28</v>
      </c>
      <c r="N1850" s="11" t="s">
        <v>29</v>
      </c>
      <c r="O1850" s="11" t="s">
        <v>946</v>
      </c>
      <c r="P1850" s="11" t="s">
        <v>38</v>
      </c>
      <c r="Q1850" s="20">
        <v>40126.0</v>
      </c>
      <c r="R1850" s="17">
        <f t="shared" si="2"/>
        <v>2.197867632</v>
      </c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>
        <f t="shared" si="8"/>
        <v>2</v>
      </c>
      <c r="AF1850" s="19">
        <f t="shared" si="13"/>
        <v>4</v>
      </c>
      <c r="AG1850" s="9"/>
      <c r="AH1850" s="9"/>
      <c r="AI1850" s="9"/>
    </row>
    <row r="1851" ht="15.0" customHeight="1">
      <c r="A1851" s="11">
        <v>1850.0</v>
      </c>
      <c r="B1851" s="12">
        <f t="shared" ref="B1851:B1852" si="294">DATE(2012,12,31)-1151</f>
        <v>40123</v>
      </c>
      <c r="C1851" s="13">
        <v>2009.0</v>
      </c>
      <c r="D1851" s="11" t="s">
        <v>23</v>
      </c>
      <c r="E1851" s="11">
        <v>27.0</v>
      </c>
      <c r="F1851" s="21" t="s">
        <v>1396</v>
      </c>
      <c r="G1851" s="15">
        <v>0.014487450152474754</v>
      </c>
      <c r="H1851" s="11" t="s">
        <v>33</v>
      </c>
      <c r="I1851" s="16">
        <v>7.024</v>
      </c>
      <c r="J1851" s="11" t="s">
        <v>1981</v>
      </c>
      <c r="K1851" s="11" t="s">
        <v>35</v>
      </c>
      <c r="L1851" s="11" t="s">
        <v>27</v>
      </c>
      <c r="M1851" s="11" t="s">
        <v>28</v>
      </c>
      <c r="N1851" s="11" t="s">
        <v>29</v>
      </c>
      <c r="O1851" s="11" t="s">
        <v>1397</v>
      </c>
      <c r="P1851" s="11" t="s">
        <v>38</v>
      </c>
      <c r="Q1851" s="20">
        <v>40126.0</v>
      </c>
      <c r="R1851" s="17">
        <f t="shared" si="2"/>
        <v>6.086525508</v>
      </c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>
        <f t="shared" si="8"/>
        <v>1</v>
      </c>
      <c r="AF1851" s="19">
        <f t="shared" si="13"/>
        <v>2</v>
      </c>
      <c r="AG1851" s="9"/>
      <c r="AH1851" s="9"/>
      <c r="AI1851" s="9"/>
    </row>
    <row r="1852" ht="15.0" customHeight="1">
      <c r="A1852" s="11">
        <v>1851.0</v>
      </c>
      <c r="B1852" s="12">
        <f t="shared" si="294"/>
        <v>40123</v>
      </c>
      <c r="C1852" s="13">
        <v>2009.0</v>
      </c>
      <c r="D1852" s="11" t="s">
        <v>23</v>
      </c>
      <c r="E1852" s="11">
        <v>5.0</v>
      </c>
      <c r="F1852" s="21" t="s">
        <v>668</v>
      </c>
      <c r="G1852" s="15">
        <v>0.07788135593220342</v>
      </c>
      <c r="H1852" s="11" t="s">
        <v>24</v>
      </c>
      <c r="I1852" s="16">
        <v>4.024</v>
      </c>
      <c r="J1852" s="11" t="s">
        <v>1981</v>
      </c>
      <c r="K1852" s="11" t="s">
        <v>35</v>
      </c>
      <c r="L1852" s="11" t="s">
        <v>27</v>
      </c>
      <c r="M1852" s="11" t="s">
        <v>66</v>
      </c>
      <c r="N1852" s="11" t="s">
        <v>80</v>
      </c>
      <c r="O1852" s="11" t="s">
        <v>1603</v>
      </c>
      <c r="P1852" s="11" t="s">
        <v>75</v>
      </c>
      <c r="Q1852" s="20">
        <v>40126.0</v>
      </c>
      <c r="R1852" s="17">
        <f t="shared" si="2"/>
        <v>3.389708136</v>
      </c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>
        <f t="shared" si="8"/>
        <v>1</v>
      </c>
      <c r="AF1852" s="19">
        <f t="shared" si="13"/>
        <v>2</v>
      </c>
      <c r="AG1852" s="9"/>
      <c r="AH1852" s="9"/>
      <c r="AI1852" s="9"/>
    </row>
    <row r="1853" ht="15.0" customHeight="1">
      <c r="A1853" s="11">
        <v>1852.0</v>
      </c>
      <c r="B1853" s="12">
        <f t="shared" ref="B1853:B1854" si="295">DATE(2012,12,31)-1150</f>
        <v>40124</v>
      </c>
      <c r="C1853" s="13">
        <v>2009.0</v>
      </c>
      <c r="D1853" s="11" t="s">
        <v>39</v>
      </c>
      <c r="E1853" s="11">
        <v>45.0</v>
      </c>
      <c r="F1853" s="21" t="s">
        <v>758</v>
      </c>
      <c r="G1853" s="15">
        <v>0.09677419354838712</v>
      </c>
      <c r="H1853" s="11" t="s">
        <v>33</v>
      </c>
      <c r="I1853" s="16">
        <v>0.4</v>
      </c>
      <c r="J1853" s="11" t="s">
        <v>1982</v>
      </c>
      <c r="K1853" s="11" t="s">
        <v>65</v>
      </c>
      <c r="L1853" s="11" t="s">
        <v>36</v>
      </c>
      <c r="M1853" s="11" t="s">
        <v>28</v>
      </c>
      <c r="N1853" s="11" t="s">
        <v>188</v>
      </c>
      <c r="O1853" s="11" t="s">
        <v>1867</v>
      </c>
      <c r="P1853" s="11" t="s">
        <v>38</v>
      </c>
      <c r="Q1853" s="20">
        <v>40126.0</v>
      </c>
      <c r="R1853" s="17">
        <f t="shared" si="2"/>
        <v>15.71612903</v>
      </c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>
        <f t="shared" si="8"/>
        <v>2</v>
      </c>
      <c r="AF1853" s="19">
        <f t="shared" si="13"/>
        <v>5</v>
      </c>
      <c r="AG1853" s="9"/>
      <c r="AH1853" s="9"/>
      <c r="AI1853" s="9"/>
    </row>
    <row r="1854" ht="15.0" customHeight="1">
      <c r="A1854" s="11">
        <v>1853.0</v>
      </c>
      <c r="B1854" s="12">
        <f t="shared" si="295"/>
        <v>40124</v>
      </c>
      <c r="C1854" s="13">
        <v>2009.0</v>
      </c>
      <c r="D1854" s="11" t="s">
        <v>39</v>
      </c>
      <c r="E1854" s="11">
        <v>6.0</v>
      </c>
      <c r="F1854" s="21" t="s">
        <v>176</v>
      </c>
      <c r="G1854" s="15">
        <v>0.02670374331550798</v>
      </c>
      <c r="H1854" s="11" t="s">
        <v>33</v>
      </c>
      <c r="I1854" s="16">
        <v>11.616</v>
      </c>
      <c r="J1854" s="11" t="s">
        <v>1448</v>
      </c>
      <c r="K1854" s="11" t="s">
        <v>61</v>
      </c>
      <c r="L1854" s="11" t="s">
        <v>27</v>
      </c>
      <c r="M1854" s="11" t="s">
        <v>66</v>
      </c>
      <c r="N1854" s="11" t="s">
        <v>67</v>
      </c>
      <c r="O1854" s="11" t="s">
        <v>177</v>
      </c>
      <c r="P1854" s="11" t="s">
        <v>38</v>
      </c>
      <c r="Q1854" s="20">
        <v>40127.0</v>
      </c>
      <c r="R1854" s="17">
        <f t="shared" si="2"/>
        <v>12.15063047</v>
      </c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>
        <f t="shared" si="8"/>
        <v>1</v>
      </c>
      <c r="AF1854" s="19">
        <f t="shared" si="13"/>
        <v>4</v>
      </c>
      <c r="AG1854" s="9"/>
      <c r="AH1854" s="9"/>
      <c r="AI1854" s="9"/>
    </row>
    <row r="1855" ht="15.0" customHeight="1">
      <c r="A1855" s="11">
        <v>1854.0</v>
      </c>
      <c r="B1855" s="12">
        <f t="shared" ref="B1855:B1862" si="296">DATE(2012,12,31)-1149</f>
        <v>40125</v>
      </c>
      <c r="C1855" s="13">
        <v>2009.0</v>
      </c>
      <c r="D1855" s="11" t="s">
        <v>44</v>
      </c>
      <c r="E1855" s="11">
        <v>29.0</v>
      </c>
      <c r="F1855" s="21" t="s">
        <v>112</v>
      </c>
      <c r="G1855" s="15">
        <v>0.08398123566255114</v>
      </c>
      <c r="H1855" s="11" t="s">
        <v>45</v>
      </c>
      <c r="I1855" s="16">
        <v>34.656</v>
      </c>
      <c r="J1855" s="11" t="s">
        <v>1009</v>
      </c>
      <c r="K1855" s="11" t="s">
        <v>65</v>
      </c>
      <c r="L1855" s="11" t="s">
        <v>36</v>
      </c>
      <c r="M1855" s="11" t="s">
        <v>49</v>
      </c>
      <c r="N1855" s="11" t="s">
        <v>50</v>
      </c>
      <c r="O1855" s="11" t="s">
        <v>114</v>
      </c>
      <c r="P1855" s="11" t="s">
        <v>52</v>
      </c>
      <c r="Q1855" s="20">
        <v>40127.0</v>
      </c>
      <c r="R1855" s="17">
        <f t="shared" si="2"/>
        <v>596.9181317</v>
      </c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>
        <f t="shared" si="8"/>
        <v>2</v>
      </c>
      <c r="AF1855" s="19">
        <f t="shared" si="13"/>
        <v>5</v>
      </c>
      <c r="AG1855" s="9"/>
      <c r="AH1855" s="9"/>
      <c r="AI1855" s="9"/>
    </row>
    <row r="1856" ht="15.0" customHeight="1">
      <c r="A1856" s="11">
        <v>1855.0</v>
      </c>
      <c r="B1856" s="12">
        <f t="shared" si="296"/>
        <v>40125</v>
      </c>
      <c r="C1856" s="13">
        <v>2009.0</v>
      </c>
      <c r="D1856" s="11" t="s">
        <v>44</v>
      </c>
      <c r="E1856" s="11">
        <v>2.0</v>
      </c>
      <c r="F1856" s="21" t="s">
        <v>242</v>
      </c>
      <c r="G1856" s="15">
        <v>0.053045186640471295</v>
      </c>
      <c r="H1856" s="11" t="s">
        <v>33</v>
      </c>
      <c r="I1856" s="16">
        <v>2.8000000000000003</v>
      </c>
      <c r="J1856" s="11" t="s">
        <v>1983</v>
      </c>
      <c r="K1856" s="11" t="s">
        <v>35</v>
      </c>
      <c r="L1856" s="11" t="s">
        <v>27</v>
      </c>
      <c r="M1856" s="11" t="s">
        <v>28</v>
      </c>
      <c r="N1856" s="11" t="s">
        <v>197</v>
      </c>
      <c r="O1856" s="11" t="s">
        <v>1134</v>
      </c>
      <c r="P1856" s="11" t="s">
        <v>38</v>
      </c>
      <c r="Q1856" s="20">
        <v>40127.0</v>
      </c>
      <c r="R1856" s="17">
        <f t="shared" si="2"/>
        <v>7.670333988</v>
      </c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>
        <f t="shared" si="8"/>
        <v>1</v>
      </c>
      <c r="AF1856" s="19">
        <f t="shared" si="13"/>
        <v>2</v>
      </c>
      <c r="AG1856" s="9"/>
      <c r="AH1856" s="9"/>
      <c r="AI1856" s="9"/>
    </row>
    <row r="1857" ht="15.0" customHeight="1">
      <c r="A1857" s="11">
        <v>1856.0</v>
      </c>
      <c r="B1857" s="12">
        <f t="shared" si="296"/>
        <v>40125</v>
      </c>
      <c r="C1857" s="13">
        <v>2009.0</v>
      </c>
      <c r="D1857" s="11" t="s">
        <v>44</v>
      </c>
      <c r="E1857" s="11">
        <v>14.0</v>
      </c>
      <c r="F1857" s="21" t="s">
        <v>100</v>
      </c>
      <c r="G1857" s="15">
        <v>0.057594573441168855</v>
      </c>
      <c r="H1857" s="11" t="s">
        <v>33</v>
      </c>
      <c r="I1857" s="16">
        <v>7.192</v>
      </c>
      <c r="J1857" s="11" t="s">
        <v>1983</v>
      </c>
      <c r="K1857" s="11" t="s">
        <v>35</v>
      </c>
      <c r="L1857" s="11" t="s">
        <v>27</v>
      </c>
      <c r="M1857" s="11" t="s">
        <v>66</v>
      </c>
      <c r="N1857" s="11" t="s">
        <v>80</v>
      </c>
      <c r="O1857" s="11" t="s">
        <v>586</v>
      </c>
      <c r="P1857" s="11" t="s">
        <v>38</v>
      </c>
      <c r="Q1857" s="20">
        <v>40127.0</v>
      </c>
      <c r="R1857" s="17">
        <f t="shared" si="2"/>
        <v>166.4363376</v>
      </c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>
        <f t="shared" si="8"/>
        <v>1</v>
      </c>
      <c r="AF1857" s="19">
        <f t="shared" si="13"/>
        <v>2</v>
      </c>
      <c r="AG1857" s="9"/>
      <c r="AH1857" s="9"/>
      <c r="AI1857" s="9"/>
    </row>
    <row r="1858" ht="15.0" customHeight="1">
      <c r="A1858" s="11">
        <v>1857.0</v>
      </c>
      <c r="B1858" s="12">
        <f t="shared" si="296"/>
        <v>40125</v>
      </c>
      <c r="C1858" s="13">
        <v>2009.0</v>
      </c>
      <c r="D1858" s="11" t="s">
        <v>44</v>
      </c>
      <c r="E1858" s="11">
        <v>50.0</v>
      </c>
      <c r="F1858" s="21" t="s">
        <v>100</v>
      </c>
      <c r="G1858" s="15">
        <v>0.057171567416193114</v>
      </c>
      <c r="H1858" s="11" t="s">
        <v>33</v>
      </c>
      <c r="I1858" s="16">
        <v>7.192</v>
      </c>
      <c r="J1858" s="11" t="s">
        <v>1983</v>
      </c>
      <c r="K1858" s="11" t="s">
        <v>35</v>
      </c>
      <c r="L1858" s="11" t="s">
        <v>27</v>
      </c>
      <c r="M1858" s="11" t="s">
        <v>66</v>
      </c>
      <c r="N1858" s="11" t="s">
        <v>80</v>
      </c>
      <c r="O1858" s="11" t="s">
        <v>615</v>
      </c>
      <c r="P1858" s="11" t="s">
        <v>38</v>
      </c>
      <c r="Q1858" s="20">
        <v>40127.0</v>
      </c>
      <c r="R1858" s="17">
        <f t="shared" si="2"/>
        <v>588.9924645</v>
      </c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>
        <f t="shared" si="8"/>
        <v>1</v>
      </c>
      <c r="AF1858" s="19">
        <f t="shared" si="13"/>
        <v>2</v>
      </c>
      <c r="AG1858" s="9"/>
      <c r="AH1858" s="9"/>
      <c r="AI1858" s="9"/>
    </row>
    <row r="1859" ht="15.0" customHeight="1">
      <c r="A1859" s="11">
        <v>1858.0</v>
      </c>
      <c r="B1859" s="12">
        <f t="shared" si="296"/>
        <v>40125</v>
      </c>
      <c r="C1859" s="13">
        <v>2009.0</v>
      </c>
      <c r="D1859" s="11" t="s">
        <v>44</v>
      </c>
      <c r="E1859" s="11">
        <v>42.0</v>
      </c>
      <c r="F1859" s="21" t="s">
        <v>1195</v>
      </c>
      <c r="G1859" s="15">
        <v>0.020140350877192913</v>
      </c>
      <c r="H1859" s="11" t="s">
        <v>33</v>
      </c>
      <c r="I1859" s="16">
        <v>5.008</v>
      </c>
      <c r="J1859" s="11" t="s">
        <v>1983</v>
      </c>
      <c r="K1859" s="11" t="s">
        <v>35</v>
      </c>
      <c r="L1859" s="11" t="s">
        <v>27</v>
      </c>
      <c r="M1859" s="11" t="s">
        <v>28</v>
      </c>
      <c r="N1859" s="11" t="s">
        <v>56</v>
      </c>
      <c r="O1859" s="11" t="s">
        <v>1449</v>
      </c>
      <c r="P1859" s="11" t="s">
        <v>38</v>
      </c>
      <c r="Q1859" s="20">
        <v>40128.0</v>
      </c>
      <c r="R1859" s="17">
        <f t="shared" si="2"/>
        <v>4.499515509</v>
      </c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>
        <f t="shared" si="8"/>
        <v>1</v>
      </c>
      <c r="AF1859" s="19">
        <f t="shared" si="13"/>
        <v>2</v>
      </c>
      <c r="AG1859" s="9"/>
      <c r="AH1859" s="9"/>
      <c r="AI1859" s="9"/>
    </row>
    <row r="1860" ht="15.0" customHeight="1">
      <c r="A1860" s="11">
        <v>1859.0</v>
      </c>
      <c r="B1860" s="12">
        <f t="shared" si="296"/>
        <v>40125</v>
      </c>
      <c r="C1860" s="13">
        <v>2009.0</v>
      </c>
      <c r="D1860" s="11" t="s">
        <v>23</v>
      </c>
      <c r="E1860" s="11">
        <v>16.0</v>
      </c>
      <c r="F1860" s="21" t="s">
        <v>605</v>
      </c>
      <c r="G1860" s="15">
        <v>0.0798550140958518</v>
      </c>
      <c r="H1860" s="11" t="s">
        <v>33</v>
      </c>
      <c r="I1860" s="16">
        <v>6.072</v>
      </c>
      <c r="J1860" s="11" t="s">
        <v>1025</v>
      </c>
      <c r="K1860" s="11" t="s">
        <v>117</v>
      </c>
      <c r="L1860" s="11" t="s">
        <v>48</v>
      </c>
      <c r="M1860" s="11" t="s">
        <v>28</v>
      </c>
      <c r="N1860" s="11" t="s">
        <v>442</v>
      </c>
      <c r="O1860" s="11" t="s">
        <v>1289</v>
      </c>
      <c r="P1860" s="11" t="s">
        <v>99</v>
      </c>
      <c r="Q1860" s="20">
        <v>40128.0</v>
      </c>
      <c r="R1860" s="17">
        <f t="shared" si="2"/>
        <v>18.24463478</v>
      </c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>
        <f t="shared" si="8"/>
        <v>4</v>
      </c>
      <c r="AF1860" s="19" t="b">
        <f t="shared" si="13"/>
        <v>0</v>
      </c>
      <c r="AG1860" s="9"/>
      <c r="AH1860" s="9"/>
      <c r="AI1860" s="9"/>
    </row>
    <row r="1861" ht="15.0" customHeight="1">
      <c r="A1861" s="11">
        <v>1860.0</v>
      </c>
      <c r="B1861" s="12">
        <f t="shared" si="296"/>
        <v>40125</v>
      </c>
      <c r="C1861" s="13">
        <v>2009.0</v>
      </c>
      <c r="D1861" s="11" t="s">
        <v>23</v>
      </c>
      <c r="E1861" s="11">
        <v>24.0</v>
      </c>
      <c r="F1861" s="21" t="s">
        <v>530</v>
      </c>
      <c r="G1861" s="15">
        <v>0.0481771006903119</v>
      </c>
      <c r="H1861" s="11" t="s">
        <v>24</v>
      </c>
      <c r="I1861" s="16">
        <v>4.904</v>
      </c>
      <c r="J1861" s="11" t="s">
        <v>855</v>
      </c>
      <c r="K1861" s="11" t="s">
        <v>26</v>
      </c>
      <c r="L1861" s="11" t="s">
        <v>36</v>
      </c>
      <c r="M1861" s="11" t="s">
        <v>66</v>
      </c>
      <c r="N1861" s="11" t="s">
        <v>67</v>
      </c>
      <c r="O1861" s="11" t="s">
        <v>531</v>
      </c>
      <c r="P1861" s="11" t="s">
        <v>38</v>
      </c>
      <c r="Q1861" s="20">
        <v>40128.0</v>
      </c>
      <c r="R1861" s="17">
        <f t="shared" si="2"/>
        <v>96.32067012</v>
      </c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>
        <f t="shared" si="8"/>
        <v>2</v>
      </c>
      <c r="AF1861" s="19">
        <f t="shared" si="13"/>
        <v>1</v>
      </c>
      <c r="AG1861" s="9"/>
      <c r="AH1861" s="9"/>
      <c r="AI1861" s="9"/>
    </row>
    <row r="1862" ht="15.0" customHeight="1">
      <c r="A1862" s="11">
        <v>1861.0</v>
      </c>
      <c r="B1862" s="12">
        <f t="shared" si="296"/>
        <v>40125</v>
      </c>
      <c r="C1862" s="13">
        <v>2009.0</v>
      </c>
      <c r="D1862" s="11" t="s">
        <v>39</v>
      </c>
      <c r="E1862" s="11">
        <v>23.0</v>
      </c>
      <c r="F1862" s="21" t="s">
        <v>322</v>
      </c>
      <c r="G1862" s="15">
        <v>0.02523076923076932</v>
      </c>
      <c r="H1862" s="11" t="s">
        <v>33</v>
      </c>
      <c r="I1862" s="16">
        <v>4.952000000000001</v>
      </c>
      <c r="J1862" s="11" t="s">
        <v>1324</v>
      </c>
      <c r="K1862" s="11" t="s">
        <v>61</v>
      </c>
      <c r="L1862" s="11" t="s">
        <v>48</v>
      </c>
      <c r="M1862" s="11" t="s">
        <v>28</v>
      </c>
      <c r="N1862" s="11" t="s">
        <v>42</v>
      </c>
      <c r="O1862" s="11" t="s">
        <v>324</v>
      </c>
      <c r="P1862" s="11" t="s">
        <v>38</v>
      </c>
      <c r="Q1862" s="20">
        <v>40129.0</v>
      </c>
      <c r="R1862" s="17">
        <f t="shared" si="2"/>
        <v>5.115588923</v>
      </c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>
        <f t="shared" si="8"/>
        <v>4</v>
      </c>
      <c r="AF1862" s="19">
        <f t="shared" si="13"/>
        <v>4</v>
      </c>
      <c r="AG1862" s="9"/>
      <c r="AH1862" s="9"/>
      <c r="AI1862" s="9"/>
    </row>
    <row r="1863" ht="15.0" customHeight="1">
      <c r="A1863" s="11">
        <v>1862.0</v>
      </c>
      <c r="B1863" s="12">
        <f>DATE(2012,12,31)-1148</f>
        <v>40126</v>
      </c>
      <c r="C1863" s="13">
        <v>2009.0</v>
      </c>
      <c r="D1863" s="11" t="s">
        <v>32</v>
      </c>
      <c r="E1863" s="11">
        <v>4.0</v>
      </c>
      <c r="F1863" s="21" t="s">
        <v>103</v>
      </c>
      <c r="G1863" s="15">
        <v>0.06351351351351348</v>
      </c>
      <c r="H1863" s="11" t="s">
        <v>33</v>
      </c>
      <c r="I1863" s="16">
        <v>4.12</v>
      </c>
      <c r="J1863" s="11" t="s">
        <v>786</v>
      </c>
      <c r="K1863" s="11" t="s">
        <v>35</v>
      </c>
      <c r="L1863" s="11" t="s">
        <v>48</v>
      </c>
      <c r="M1863" s="11" t="s">
        <v>28</v>
      </c>
      <c r="N1863" s="11" t="s">
        <v>56</v>
      </c>
      <c r="O1863" s="11" t="s">
        <v>1478</v>
      </c>
      <c r="P1863" s="11" t="s">
        <v>38</v>
      </c>
      <c r="Q1863" s="20">
        <v>40129.0</v>
      </c>
      <c r="R1863" s="17">
        <f t="shared" si="2"/>
        <v>1.760594595</v>
      </c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>
        <f t="shared" si="8"/>
        <v>4</v>
      </c>
      <c r="AF1863" s="19">
        <f t="shared" si="13"/>
        <v>2</v>
      </c>
      <c r="AG1863" s="9"/>
      <c r="AH1863" s="9"/>
      <c r="AI1863" s="9"/>
    </row>
    <row r="1864" ht="15.0" customHeight="1">
      <c r="A1864" s="11">
        <v>1863.0</v>
      </c>
      <c r="B1864" s="12">
        <f t="shared" ref="B1864:B1870" si="297">DATE(2012,12,31)-1147</f>
        <v>40127</v>
      </c>
      <c r="C1864" s="13">
        <v>2009.0</v>
      </c>
      <c r="D1864" s="11" t="s">
        <v>32</v>
      </c>
      <c r="E1864" s="11">
        <v>37.0</v>
      </c>
      <c r="F1864" s="21" t="s">
        <v>1548</v>
      </c>
      <c r="G1864" s="15">
        <v>0.034133492966177945</v>
      </c>
      <c r="H1864" s="11" t="s">
        <v>33</v>
      </c>
      <c r="I1864" s="16">
        <v>1.592</v>
      </c>
      <c r="J1864" s="11" t="s">
        <v>148</v>
      </c>
      <c r="K1864" s="11" t="s">
        <v>65</v>
      </c>
      <c r="L1864" s="11" t="s">
        <v>48</v>
      </c>
      <c r="M1864" s="11" t="s">
        <v>66</v>
      </c>
      <c r="N1864" s="11" t="s">
        <v>67</v>
      </c>
      <c r="O1864" s="11" t="s">
        <v>1549</v>
      </c>
      <c r="P1864" s="11" t="s">
        <v>99</v>
      </c>
      <c r="Q1864" s="20">
        <v>40129.0</v>
      </c>
      <c r="R1864" s="17">
        <f t="shared" si="2"/>
        <v>22.02948329</v>
      </c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>
        <f t="shared" si="8"/>
        <v>4</v>
      </c>
      <c r="AF1864" s="19">
        <f t="shared" si="13"/>
        <v>5</v>
      </c>
      <c r="AG1864" s="9"/>
      <c r="AH1864" s="9"/>
      <c r="AI1864" s="9"/>
    </row>
    <row r="1865" ht="15.0" customHeight="1">
      <c r="A1865" s="11">
        <v>1864.0</v>
      </c>
      <c r="B1865" s="12">
        <f t="shared" si="297"/>
        <v>40127</v>
      </c>
      <c r="C1865" s="13">
        <v>2009.0</v>
      </c>
      <c r="D1865" s="11" t="s">
        <v>44</v>
      </c>
      <c r="E1865" s="11">
        <v>10.0</v>
      </c>
      <c r="F1865" s="21" t="s">
        <v>93</v>
      </c>
      <c r="G1865" s="15">
        <v>0.09973214285714278</v>
      </c>
      <c r="H1865" s="11" t="s">
        <v>33</v>
      </c>
      <c r="I1865" s="16">
        <v>4.664000000000001</v>
      </c>
      <c r="J1865" s="11" t="s">
        <v>453</v>
      </c>
      <c r="K1865" s="11" t="s">
        <v>61</v>
      </c>
      <c r="L1865" s="11" t="s">
        <v>36</v>
      </c>
      <c r="M1865" s="11" t="s">
        <v>28</v>
      </c>
      <c r="N1865" s="11" t="s">
        <v>56</v>
      </c>
      <c r="O1865" s="11" t="s">
        <v>95</v>
      </c>
      <c r="P1865" s="11" t="s">
        <v>58</v>
      </c>
      <c r="Q1865" s="20">
        <v>40129.0</v>
      </c>
      <c r="R1865" s="17">
        <f t="shared" si="2"/>
        <v>8.044793571</v>
      </c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>
        <f t="shared" si="8"/>
        <v>2</v>
      </c>
      <c r="AF1865" s="19">
        <f t="shared" si="13"/>
        <v>4</v>
      </c>
      <c r="AG1865" s="9"/>
      <c r="AH1865" s="9"/>
      <c r="AI1865" s="9"/>
    </row>
    <row r="1866" ht="15.0" customHeight="1">
      <c r="A1866" s="11">
        <v>1865.0</v>
      </c>
      <c r="B1866" s="12">
        <f t="shared" si="297"/>
        <v>40127</v>
      </c>
      <c r="C1866" s="13">
        <v>2009.0</v>
      </c>
      <c r="D1866" s="11" t="s">
        <v>102</v>
      </c>
      <c r="E1866" s="11">
        <v>39.0</v>
      </c>
      <c r="F1866" s="21" t="s">
        <v>1774</v>
      </c>
      <c r="G1866" s="15">
        <v>0.03978208356889539</v>
      </c>
      <c r="H1866" s="11" t="s">
        <v>33</v>
      </c>
      <c r="I1866" s="16">
        <v>15.991999999999999</v>
      </c>
      <c r="J1866" s="11" t="s">
        <v>1621</v>
      </c>
      <c r="K1866" s="11" t="s">
        <v>35</v>
      </c>
      <c r="L1866" s="11" t="s">
        <v>36</v>
      </c>
      <c r="M1866" s="11" t="s">
        <v>28</v>
      </c>
      <c r="N1866" s="11" t="s">
        <v>29</v>
      </c>
      <c r="O1866" s="11" t="s">
        <v>1775</v>
      </c>
      <c r="P1866" s="11" t="s">
        <v>38</v>
      </c>
      <c r="Q1866" s="20">
        <v>40129.0</v>
      </c>
      <c r="R1866" s="17">
        <f t="shared" si="2"/>
        <v>148.6494152</v>
      </c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>
        <f t="shared" si="8"/>
        <v>2</v>
      </c>
      <c r="AF1866" s="19">
        <f t="shared" si="13"/>
        <v>2</v>
      </c>
      <c r="AG1866" s="9"/>
      <c r="AH1866" s="9"/>
      <c r="AI1866" s="9"/>
    </row>
    <row r="1867" ht="15.0" customHeight="1">
      <c r="A1867" s="11">
        <v>1866.0</v>
      </c>
      <c r="B1867" s="12">
        <f t="shared" si="297"/>
        <v>40127</v>
      </c>
      <c r="C1867" s="13">
        <v>2009.0</v>
      </c>
      <c r="D1867" s="11" t="s">
        <v>32</v>
      </c>
      <c r="E1867" s="11">
        <v>13.0</v>
      </c>
      <c r="F1867" s="21" t="s">
        <v>422</v>
      </c>
      <c r="G1867" s="15">
        <v>0.031378583860034885</v>
      </c>
      <c r="H1867" s="11" t="s">
        <v>33</v>
      </c>
      <c r="I1867" s="16">
        <v>5.744</v>
      </c>
      <c r="J1867" s="11" t="s">
        <v>528</v>
      </c>
      <c r="K1867" s="11" t="s">
        <v>83</v>
      </c>
      <c r="L1867" s="11" t="s">
        <v>41</v>
      </c>
      <c r="M1867" s="11" t="s">
        <v>66</v>
      </c>
      <c r="N1867" s="11" t="s">
        <v>67</v>
      </c>
      <c r="O1867" s="11" t="s">
        <v>1679</v>
      </c>
      <c r="P1867" s="11" t="s">
        <v>38</v>
      </c>
      <c r="Q1867" s="20">
        <v>40129.0</v>
      </c>
      <c r="R1867" s="17">
        <f t="shared" si="2"/>
        <v>33.18109523</v>
      </c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>
        <f t="shared" si="8"/>
        <v>3</v>
      </c>
      <c r="AF1867" s="19" t="b">
        <f t="shared" si="13"/>
        <v>0</v>
      </c>
      <c r="AG1867" s="9"/>
      <c r="AH1867" s="9"/>
      <c r="AI1867" s="9"/>
    </row>
    <row r="1868" ht="15.0" customHeight="1">
      <c r="A1868" s="11">
        <v>1867.0</v>
      </c>
      <c r="B1868" s="12">
        <f t="shared" si="297"/>
        <v>40127</v>
      </c>
      <c r="C1868" s="13">
        <v>2009.0</v>
      </c>
      <c r="D1868" s="11" t="s">
        <v>32</v>
      </c>
      <c r="E1868" s="11">
        <v>25.0</v>
      </c>
      <c r="F1868" s="21" t="s">
        <v>605</v>
      </c>
      <c r="G1868" s="15">
        <v>0.0662757527733757</v>
      </c>
      <c r="H1868" s="11" t="s">
        <v>33</v>
      </c>
      <c r="I1868" s="16">
        <v>6.008</v>
      </c>
      <c r="J1868" s="11" t="s">
        <v>528</v>
      </c>
      <c r="K1868" s="11" t="s">
        <v>83</v>
      </c>
      <c r="L1868" s="11" t="s">
        <v>41</v>
      </c>
      <c r="M1868" s="11" t="s">
        <v>66</v>
      </c>
      <c r="N1868" s="11" t="s">
        <v>69</v>
      </c>
      <c r="O1868" s="11" t="s">
        <v>607</v>
      </c>
      <c r="P1868" s="11" t="s">
        <v>75</v>
      </c>
      <c r="Q1868" s="20">
        <v>40130.0</v>
      </c>
      <c r="R1868" s="17">
        <f t="shared" si="2"/>
        <v>23.42900881</v>
      </c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>
        <f t="shared" si="8"/>
        <v>3</v>
      </c>
      <c r="AF1868" s="19" t="b">
        <f t="shared" si="13"/>
        <v>0</v>
      </c>
      <c r="AG1868" s="9"/>
      <c r="AH1868" s="9"/>
      <c r="AI1868" s="9"/>
    </row>
    <row r="1869" ht="15.0" customHeight="1">
      <c r="A1869" s="11">
        <v>1868.0</v>
      </c>
      <c r="B1869" s="12">
        <f t="shared" si="297"/>
        <v>40127</v>
      </c>
      <c r="C1869" s="13">
        <v>2009.0</v>
      </c>
      <c r="D1869" s="11" t="s">
        <v>32</v>
      </c>
      <c r="E1869" s="11">
        <v>4.0</v>
      </c>
      <c r="F1869" s="21" t="s">
        <v>1523</v>
      </c>
      <c r="G1869" s="15">
        <v>0.0641945288753799</v>
      </c>
      <c r="H1869" s="11" t="s">
        <v>33</v>
      </c>
      <c r="I1869" s="16">
        <v>1.576</v>
      </c>
      <c r="J1869" s="11" t="s">
        <v>528</v>
      </c>
      <c r="K1869" s="11" t="s">
        <v>83</v>
      </c>
      <c r="L1869" s="11" t="s">
        <v>41</v>
      </c>
      <c r="M1869" s="11" t="s">
        <v>28</v>
      </c>
      <c r="N1869" s="11" t="s">
        <v>56</v>
      </c>
      <c r="O1869" s="11" t="s">
        <v>59</v>
      </c>
      <c r="P1869" s="11" t="s">
        <v>58</v>
      </c>
      <c r="Q1869" s="20">
        <v>40130.0</v>
      </c>
      <c r="R1869" s="17">
        <f t="shared" si="2"/>
        <v>3.95284231</v>
      </c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>
        <f t="shared" si="8"/>
        <v>3</v>
      </c>
      <c r="AF1869" s="19" t="b">
        <f t="shared" si="13"/>
        <v>0</v>
      </c>
      <c r="AG1869" s="9"/>
      <c r="AH1869" s="9"/>
      <c r="AI1869" s="9"/>
    </row>
    <row r="1870" ht="15.0" customHeight="1">
      <c r="A1870" s="11">
        <v>1869.0</v>
      </c>
      <c r="B1870" s="12">
        <f t="shared" si="297"/>
        <v>40127</v>
      </c>
      <c r="C1870" s="13">
        <v>2009.0</v>
      </c>
      <c r="D1870" s="11" t="s">
        <v>32</v>
      </c>
      <c r="E1870" s="11">
        <v>7.0</v>
      </c>
      <c r="F1870" s="21" t="s">
        <v>838</v>
      </c>
      <c r="G1870" s="15">
        <v>0.006400889012362755</v>
      </c>
      <c r="H1870" s="11" t="s">
        <v>33</v>
      </c>
      <c r="I1870" s="16">
        <v>15.991999999999999</v>
      </c>
      <c r="J1870" s="11" t="s">
        <v>1984</v>
      </c>
      <c r="K1870" s="11" t="s">
        <v>61</v>
      </c>
      <c r="L1870" s="11" t="s">
        <v>41</v>
      </c>
      <c r="M1870" s="11" t="s">
        <v>66</v>
      </c>
      <c r="N1870" s="11" t="s">
        <v>69</v>
      </c>
      <c r="O1870" s="11" t="s">
        <v>840</v>
      </c>
      <c r="P1870" s="11" t="s">
        <v>38</v>
      </c>
      <c r="Q1870" s="20">
        <v>40130.0</v>
      </c>
      <c r="R1870" s="17">
        <f t="shared" si="2"/>
        <v>4.578504703</v>
      </c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>
        <f t="shared" si="8"/>
        <v>3</v>
      </c>
      <c r="AF1870" s="19">
        <f t="shared" si="13"/>
        <v>4</v>
      </c>
      <c r="AG1870" s="9"/>
      <c r="AH1870" s="9"/>
      <c r="AI1870" s="9"/>
    </row>
    <row r="1871" ht="15.0" customHeight="1">
      <c r="A1871" s="11">
        <v>1870.0</v>
      </c>
      <c r="B1871" s="12">
        <f t="shared" ref="B1871:B1874" si="298">DATE(2012,12,31)-1146</f>
        <v>40128</v>
      </c>
      <c r="C1871" s="13">
        <v>2009.0</v>
      </c>
      <c r="D1871" s="11" t="s">
        <v>23</v>
      </c>
      <c r="E1871" s="11">
        <v>10.0</v>
      </c>
      <c r="F1871" s="21" t="s">
        <v>498</v>
      </c>
      <c r="G1871" s="15">
        <v>0.03679125597735927</v>
      </c>
      <c r="H1871" s="11" t="s">
        <v>33</v>
      </c>
      <c r="I1871" s="16">
        <v>28.0</v>
      </c>
      <c r="J1871" s="11" t="s">
        <v>215</v>
      </c>
      <c r="K1871" s="11" t="s">
        <v>26</v>
      </c>
      <c r="L1871" s="11" t="s">
        <v>48</v>
      </c>
      <c r="M1871" s="11" t="s">
        <v>28</v>
      </c>
      <c r="N1871" s="11" t="s">
        <v>29</v>
      </c>
      <c r="O1871" s="11" t="s">
        <v>30</v>
      </c>
      <c r="P1871" s="11" t="s">
        <v>31</v>
      </c>
      <c r="Q1871" s="20">
        <v>40130.0</v>
      </c>
      <c r="R1871" s="17">
        <f t="shared" si="2"/>
        <v>36.31296965</v>
      </c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>
        <f t="shared" si="8"/>
        <v>4</v>
      </c>
      <c r="AF1871" s="19">
        <f t="shared" si="13"/>
        <v>1</v>
      </c>
      <c r="AG1871" s="9"/>
      <c r="AH1871" s="9"/>
      <c r="AI1871" s="9"/>
    </row>
    <row r="1872" ht="15.0" customHeight="1">
      <c r="A1872" s="11">
        <v>1871.0</v>
      </c>
      <c r="B1872" s="12">
        <f t="shared" si="298"/>
        <v>40128</v>
      </c>
      <c r="C1872" s="13">
        <v>2009.0</v>
      </c>
      <c r="D1872" s="11" t="s">
        <v>32</v>
      </c>
      <c r="E1872" s="11">
        <v>17.0</v>
      </c>
      <c r="F1872" s="21" t="s">
        <v>562</v>
      </c>
      <c r="G1872" s="15">
        <v>0.010651367640241244</v>
      </c>
      <c r="H1872" s="11" t="s">
        <v>45</v>
      </c>
      <c r="I1872" s="16">
        <v>20.8</v>
      </c>
      <c r="J1872" s="11" t="s">
        <v>1985</v>
      </c>
      <c r="K1872" s="11" t="s">
        <v>35</v>
      </c>
      <c r="L1872" s="11" t="s">
        <v>48</v>
      </c>
      <c r="M1872" s="11" t="s">
        <v>49</v>
      </c>
      <c r="N1872" s="11" t="s">
        <v>50</v>
      </c>
      <c r="O1872" s="11" t="s">
        <v>1649</v>
      </c>
      <c r="P1872" s="11" t="s">
        <v>52</v>
      </c>
      <c r="Q1872" s="20">
        <v>40130.0</v>
      </c>
      <c r="R1872" s="17">
        <f t="shared" si="2"/>
        <v>90.92113931</v>
      </c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>
        <f t="shared" si="8"/>
        <v>4</v>
      </c>
      <c r="AF1872" s="19">
        <f t="shared" si="13"/>
        <v>2</v>
      </c>
      <c r="AG1872" s="9"/>
      <c r="AH1872" s="9"/>
      <c r="AI1872" s="9"/>
    </row>
    <row r="1873" ht="15.0" customHeight="1">
      <c r="A1873" s="11">
        <v>1872.0</v>
      </c>
      <c r="B1873" s="12">
        <f t="shared" si="298"/>
        <v>40128</v>
      </c>
      <c r="C1873" s="13">
        <v>2009.0</v>
      </c>
      <c r="D1873" s="11" t="s">
        <v>32</v>
      </c>
      <c r="E1873" s="11">
        <v>11.0</v>
      </c>
      <c r="F1873" s="21" t="s">
        <v>413</v>
      </c>
      <c r="G1873" s="15">
        <v>0.08966530612244905</v>
      </c>
      <c r="H1873" s="11" t="s">
        <v>33</v>
      </c>
      <c r="I1873" s="16">
        <v>4.816</v>
      </c>
      <c r="J1873" s="11" t="s">
        <v>1985</v>
      </c>
      <c r="K1873" s="11" t="s">
        <v>35</v>
      </c>
      <c r="L1873" s="11" t="s">
        <v>48</v>
      </c>
      <c r="M1873" s="11" t="s">
        <v>49</v>
      </c>
      <c r="N1873" s="11" t="s">
        <v>73</v>
      </c>
      <c r="O1873" s="11" t="s">
        <v>1102</v>
      </c>
      <c r="P1873" s="11" t="s">
        <v>75</v>
      </c>
      <c r="Q1873" s="20">
        <v>40131.0</v>
      </c>
      <c r="R1873" s="17">
        <f t="shared" si="2"/>
        <v>9.999116278</v>
      </c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>
        <f t="shared" si="8"/>
        <v>4</v>
      </c>
      <c r="AF1873" s="19">
        <f t="shared" si="13"/>
        <v>2</v>
      </c>
      <c r="AG1873" s="9"/>
      <c r="AH1873" s="9"/>
      <c r="AI1873" s="9"/>
    </row>
    <row r="1874" ht="15.0" customHeight="1">
      <c r="A1874" s="11">
        <v>1873.0</v>
      </c>
      <c r="B1874" s="12">
        <f t="shared" si="298"/>
        <v>40128</v>
      </c>
      <c r="C1874" s="13">
        <v>2009.0</v>
      </c>
      <c r="D1874" s="11" t="s">
        <v>32</v>
      </c>
      <c r="E1874" s="11">
        <v>49.0</v>
      </c>
      <c r="F1874" s="21" t="s">
        <v>151</v>
      </c>
      <c r="G1874" s="15">
        <v>0.10565266742338245</v>
      </c>
      <c r="H1874" s="11" t="s">
        <v>33</v>
      </c>
      <c r="I1874" s="16">
        <v>0.784</v>
      </c>
      <c r="J1874" s="11" t="s">
        <v>1985</v>
      </c>
      <c r="K1874" s="11" t="s">
        <v>35</v>
      </c>
      <c r="L1874" s="11" t="s">
        <v>48</v>
      </c>
      <c r="M1874" s="11" t="s">
        <v>28</v>
      </c>
      <c r="N1874" s="11" t="s">
        <v>62</v>
      </c>
      <c r="O1874" s="11" t="s">
        <v>1986</v>
      </c>
      <c r="P1874" s="11" t="s">
        <v>58</v>
      </c>
      <c r="Q1874" s="20">
        <v>40131.0</v>
      </c>
      <c r="R1874" s="17">
        <f t="shared" si="2"/>
        <v>16.64916994</v>
      </c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>
        <f t="shared" si="8"/>
        <v>4</v>
      </c>
      <c r="AF1874" s="19">
        <f t="shared" si="13"/>
        <v>2</v>
      </c>
      <c r="AG1874" s="9"/>
      <c r="AH1874" s="9"/>
      <c r="AI1874" s="9"/>
    </row>
    <row r="1875" ht="15.0" customHeight="1">
      <c r="A1875" s="11">
        <v>1874.0</v>
      </c>
      <c r="B1875" s="12">
        <f t="shared" ref="B1875:B1877" si="299">DATE(2012,12,31)-1145</f>
        <v>40129</v>
      </c>
      <c r="C1875" s="13">
        <v>2009.0</v>
      </c>
      <c r="D1875" s="11" t="s">
        <v>39</v>
      </c>
      <c r="E1875" s="11">
        <v>25.0</v>
      </c>
      <c r="F1875" s="21" t="s">
        <v>1987</v>
      </c>
      <c r="G1875" s="15">
        <v>0.029983572256134437</v>
      </c>
      <c r="H1875" s="11" t="s">
        <v>33</v>
      </c>
      <c r="I1875" s="16">
        <v>12.008000000000001</v>
      </c>
      <c r="J1875" s="11" t="s">
        <v>1199</v>
      </c>
      <c r="K1875" s="11" t="s">
        <v>83</v>
      </c>
      <c r="L1875" s="11" t="s">
        <v>36</v>
      </c>
      <c r="M1875" s="11" t="s">
        <v>28</v>
      </c>
      <c r="N1875" s="11" t="s">
        <v>42</v>
      </c>
      <c r="O1875" s="11" t="s">
        <v>1988</v>
      </c>
      <c r="P1875" s="11" t="s">
        <v>38</v>
      </c>
      <c r="Q1875" s="20">
        <v>40131.0</v>
      </c>
      <c r="R1875" s="17">
        <f t="shared" si="2"/>
        <v>168.1930884</v>
      </c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>
        <f t="shared" si="8"/>
        <v>2</v>
      </c>
      <c r="AF1875" s="19" t="b">
        <f t="shared" si="13"/>
        <v>0</v>
      </c>
      <c r="AG1875" s="9"/>
      <c r="AH1875" s="9"/>
      <c r="AI1875" s="9"/>
    </row>
    <row r="1876" ht="15.0" customHeight="1">
      <c r="A1876" s="11">
        <v>1875.0</v>
      </c>
      <c r="B1876" s="12">
        <f t="shared" si="299"/>
        <v>40129</v>
      </c>
      <c r="C1876" s="13">
        <v>2009.0</v>
      </c>
      <c r="D1876" s="11" t="s">
        <v>102</v>
      </c>
      <c r="E1876" s="11">
        <v>10.0</v>
      </c>
      <c r="F1876" s="21" t="s">
        <v>1399</v>
      </c>
      <c r="G1876" s="15">
        <v>0.02077582449513287</v>
      </c>
      <c r="H1876" s="11" t="s">
        <v>24</v>
      </c>
      <c r="I1876" s="16">
        <v>28.0</v>
      </c>
      <c r="J1876" s="11" t="s">
        <v>1578</v>
      </c>
      <c r="K1876" s="11" t="s">
        <v>26</v>
      </c>
      <c r="L1876" s="11" t="s">
        <v>41</v>
      </c>
      <c r="M1876" s="11" t="s">
        <v>28</v>
      </c>
      <c r="N1876" s="11" t="s">
        <v>29</v>
      </c>
      <c r="O1876" s="11" t="s">
        <v>1400</v>
      </c>
      <c r="P1876" s="11" t="s">
        <v>31</v>
      </c>
      <c r="Q1876" s="20">
        <v>40132.0</v>
      </c>
      <c r="R1876" s="17">
        <f t="shared" si="2"/>
        <v>14.00290571</v>
      </c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>
        <f t="shared" si="8"/>
        <v>3</v>
      </c>
      <c r="AF1876" s="19">
        <f t="shared" si="13"/>
        <v>1</v>
      </c>
      <c r="AG1876" s="9"/>
      <c r="AH1876" s="9"/>
      <c r="AI1876" s="9"/>
    </row>
    <row r="1877" ht="15.0" customHeight="1">
      <c r="A1877" s="11">
        <v>1876.0</v>
      </c>
      <c r="B1877" s="12">
        <f t="shared" si="299"/>
        <v>40129</v>
      </c>
      <c r="C1877" s="13">
        <v>2009.0</v>
      </c>
      <c r="D1877" s="11" t="s">
        <v>102</v>
      </c>
      <c r="E1877" s="11">
        <v>10.0</v>
      </c>
      <c r="F1877" s="21" t="s">
        <v>1379</v>
      </c>
      <c r="G1877" s="15">
        <v>0.0866189013988401</v>
      </c>
      <c r="H1877" s="11" t="s">
        <v>33</v>
      </c>
      <c r="I1877" s="16">
        <v>4.712</v>
      </c>
      <c r="J1877" s="11" t="s">
        <v>1989</v>
      </c>
      <c r="K1877" s="11" t="s">
        <v>65</v>
      </c>
      <c r="L1877" s="11" t="s">
        <v>36</v>
      </c>
      <c r="M1877" s="11" t="s">
        <v>66</v>
      </c>
      <c r="N1877" s="11" t="s">
        <v>67</v>
      </c>
      <c r="O1877" s="11" t="s">
        <v>1990</v>
      </c>
      <c r="P1877" s="11" t="s">
        <v>38</v>
      </c>
      <c r="Q1877" s="20">
        <v>40132.0</v>
      </c>
      <c r="R1877" s="17">
        <f t="shared" si="2"/>
        <v>23.18891933</v>
      </c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>
        <f t="shared" si="8"/>
        <v>2</v>
      </c>
      <c r="AF1877" s="19">
        <f t="shared" si="13"/>
        <v>5</v>
      </c>
      <c r="AG1877" s="9"/>
      <c r="AH1877" s="9"/>
      <c r="AI1877" s="9"/>
    </row>
    <row r="1878" ht="15.0" customHeight="1">
      <c r="A1878" s="11">
        <v>1877.0</v>
      </c>
      <c r="B1878" s="12">
        <f t="shared" ref="B1878:B1879" si="300">DATE(2012,12,31)-1144</f>
        <v>40130</v>
      </c>
      <c r="C1878" s="13">
        <v>2009.0</v>
      </c>
      <c r="D1878" s="11" t="s">
        <v>102</v>
      </c>
      <c r="E1878" s="11">
        <v>31.0</v>
      </c>
      <c r="F1878" s="21" t="s">
        <v>1498</v>
      </c>
      <c r="G1878" s="15">
        <v>0.005288425285911738</v>
      </c>
      <c r="H1878" s="11" t="s">
        <v>33</v>
      </c>
      <c r="I1878" s="16">
        <v>7.192</v>
      </c>
      <c r="J1878" s="11" t="s">
        <v>934</v>
      </c>
      <c r="K1878" s="11" t="s">
        <v>61</v>
      </c>
      <c r="L1878" s="11" t="s">
        <v>41</v>
      </c>
      <c r="M1878" s="11" t="s">
        <v>49</v>
      </c>
      <c r="N1878" s="11" t="s">
        <v>73</v>
      </c>
      <c r="O1878" s="11" t="s">
        <v>1500</v>
      </c>
      <c r="P1878" s="11" t="s">
        <v>99</v>
      </c>
      <c r="Q1878" s="20">
        <v>40132.0</v>
      </c>
      <c r="R1878" s="17">
        <f t="shared" si="2"/>
        <v>4.185746306</v>
      </c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>
        <f t="shared" si="8"/>
        <v>3</v>
      </c>
      <c r="AF1878" s="19">
        <f t="shared" si="13"/>
        <v>4</v>
      </c>
      <c r="AG1878" s="9"/>
      <c r="AH1878" s="9"/>
      <c r="AI1878" s="9"/>
    </row>
    <row r="1879" ht="15.0" customHeight="1">
      <c r="A1879" s="11">
        <v>1878.0</v>
      </c>
      <c r="B1879" s="12">
        <f t="shared" si="300"/>
        <v>40130</v>
      </c>
      <c r="C1879" s="13">
        <v>2009.0</v>
      </c>
      <c r="D1879" s="11" t="s">
        <v>102</v>
      </c>
      <c r="E1879" s="11">
        <v>10.0</v>
      </c>
      <c r="F1879" s="21" t="s">
        <v>126</v>
      </c>
      <c r="G1879" s="15">
        <v>0.04043636363636371</v>
      </c>
      <c r="H1879" s="11" t="s">
        <v>33</v>
      </c>
      <c r="I1879" s="16">
        <v>3.776</v>
      </c>
      <c r="J1879" s="11" t="s">
        <v>934</v>
      </c>
      <c r="K1879" s="11" t="s">
        <v>61</v>
      </c>
      <c r="L1879" s="11" t="s">
        <v>41</v>
      </c>
      <c r="M1879" s="11" t="s">
        <v>28</v>
      </c>
      <c r="N1879" s="11" t="s">
        <v>56</v>
      </c>
      <c r="O1879" s="11" t="s">
        <v>1299</v>
      </c>
      <c r="P1879" s="11" t="s">
        <v>38</v>
      </c>
      <c r="Q1879" s="20">
        <v>40132.0</v>
      </c>
      <c r="R1879" s="17">
        <f t="shared" si="2"/>
        <v>2.134069527</v>
      </c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>
        <f t="shared" si="8"/>
        <v>3</v>
      </c>
      <c r="AF1879" s="19">
        <f t="shared" si="13"/>
        <v>4</v>
      </c>
      <c r="AG1879" s="9"/>
      <c r="AH1879" s="9"/>
      <c r="AI1879" s="9"/>
    </row>
    <row r="1880" ht="15.0" customHeight="1">
      <c r="A1880" s="11">
        <v>1879.0</v>
      </c>
      <c r="B1880" s="12">
        <f t="shared" ref="B1880:B1884" si="301">DATE(2012,12,31)-1143</f>
        <v>40131</v>
      </c>
      <c r="C1880" s="13">
        <v>2009.0</v>
      </c>
      <c r="D1880" s="11" t="s">
        <v>102</v>
      </c>
      <c r="E1880" s="11">
        <v>8.0</v>
      </c>
      <c r="F1880" s="21" t="s">
        <v>1043</v>
      </c>
      <c r="G1880" s="15">
        <v>0.05277441996490541</v>
      </c>
      <c r="H1880" s="11" t="s">
        <v>33</v>
      </c>
      <c r="I1880" s="16">
        <v>8.232</v>
      </c>
      <c r="J1880" s="11" t="s">
        <v>1602</v>
      </c>
      <c r="K1880" s="11" t="s">
        <v>117</v>
      </c>
      <c r="L1880" s="11" t="s">
        <v>36</v>
      </c>
      <c r="M1880" s="11" t="s">
        <v>28</v>
      </c>
      <c r="N1880" s="11" t="s">
        <v>42</v>
      </c>
      <c r="O1880" s="11" t="s">
        <v>1991</v>
      </c>
      <c r="P1880" s="11" t="s">
        <v>38</v>
      </c>
      <c r="Q1880" s="20">
        <v>40132.0</v>
      </c>
      <c r="R1880" s="17">
        <f t="shared" si="2"/>
        <v>25.639502</v>
      </c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>
        <f t="shared" si="8"/>
        <v>2</v>
      </c>
      <c r="AF1880" s="19" t="b">
        <f t="shared" si="13"/>
        <v>0</v>
      </c>
      <c r="AG1880" s="9"/>
      <c r="AH1880" s="9"/>
      <c r="AI1880" s="9"/>
    </row>
    <row r="1881" ht="15.0" customHeight="1">
      <c r="A1881" s="11">
        <v>1880.0</v>
      </c>
      <c r="B1881" s="12">
        <f t="shared" si="301"/>
        <v>40131</v>
      </c>
      <c r="C1881" s="13">
        <v>2009.0</v>
      </c>
      <c r="D1881" s="11" t="s">
        <v>102</v>
      </c>
      <c r="E1881" s="11">
        <v>33.0</v>
      </c>
      <c r="F1881" s="21" t="s">
        <v>122</v>
      </c>
      <c r="G1881" s="15">
        <v>0.07832933013077134</v>
      </c>
      <c r="H1881" s="11" t="s">
        <v>33</v>
      </c>
      <c r="I1881" s="16">
        <v>1.0</v>
      </c>
      <c r="J1881" s="11" t="s">
        <v>1602</v>
      </c>
      <c r="K1881" s="11" t="s">
        <v>117</v>
      </c>
      <c r="L1881" s="11" t="s">
        <v>36</v>
      </c>
      <c r="M1881" s="11" t="s">
        <v>66</v>
      </c>
      <c r="N1881" s="11" t="s">
        <v>80</v>
      </c>
      <c r="O1881" s="11" t="s">
        <v>1992</v>
      </c>
      <c r="P1881" s="11" t="s">
        <v>99</v>
      </c>
      <c r="Q1881" s="20">
        <v>40132.0</v>
      </c>
      <c r="R1881" s="17">
        <f t="shared" si="2"/>
        <v>54.10206832</v>
      </c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>
        <f t="shared" si="8"/>
        <v>2</v>
      </c>
      <c r="AF1881" s="19" t="b">
        <f t="shared" si="13"/>
        <v>0</v>
      </c>
      <c r="AG1881" s="9"/>
      <c r="AH1881" s="9"/>
      <c r="AI1881" s="9"/>
    </row>
    <row r="1882" ht="15.0" customHeight="1">
      <c r="A1882" s="11">
        <v>1881.0</v>
      </c>
      <c r="B1882" s="12">
        <f t="shared" si="301"/>
        <v>40131</v>
      </c>
      <c r="C1882" s="13">
        <v>2009.0</v>
      </c>
      <c r="D1882" s="11" t="s">
        <v>102</v>
      </c>
      <c r="E1882" s="11">
        <v>12.0</v>
      </c>
      <c r="F1882" s="21" t="s">
        <v>126</v>
      </c>
      <c r="G1882" s="15">
        <v>0.04051863857374392</v>
      </c>
      <c r="H1882" s="11" t="s">
        <v>33</v>
      </c>
      <c r="I1882" s="16">
        <v>0.4</v>
      </c>
      <c r="J1882" s="11" t="s">
        <v>1827</v>
      </c>
      <c r="K1882" s="11" t="s">
        <v>117</v>
      </c>
      <c r="L1882" s="11" t="s">
        <v>27</v>
      </c>
      <c r="M1882" s="11" t="s">
        <v>28</v>
      </c>
      <c r="N1882" s="11" t="s">
        <v>188</v>
      </c>
      <c r="O1882" s="11" t="s">
        <v>1993</v>
      </c>
      <c r="P1882" s="11" t="s">
        <v>38</v>
      </c>
      <c r="Q1882" s="20">
        <v>40132.0</v>
      </c>
      <c r="R1882" s="17">
        <f t="shared" si="2"/>
        <v>2.398703404</v>
      </c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>
        <f t="shared" si="8"/>
        <v>1</v>
      </c>
      <c r="AF1882" s="19" t="b">
        <f t="shared" si="13"/>
        <v>0</v>
      </c>
      <c r="AG1882" s="9"/>
      <c r="AH1882" s="9"/>
      <c r="AI1882" s="9"/>
    </row>
    <row r="1883" ht="15.0" customHeight="1">
      <c r="A1883" s="11">
        <v>1882.0</v>
      </c>
      <c r="B1883" s="12">
        <f t="shared" si="301"/>
        <v>40131</v>
      </c>
      <c r="C1883" s="13">
        <v>2009.0</v>
      </c>
      <c r="D1883" s="11" t="s">
        <v>102</v>
      </c>
      <c r="E1883" s="11">
        <v>48.0</v>
      </c>
      <c r="F1883" s="21" t="s">
        <v>183</v>
      </c>
      <c r="G1883" s="15">
        <v>0.023336302328540424</v>
      </c>
      <c r="H1883" s="11" t="s">
        <v>33</v>
      </c>
      <c r="I1883" s="16">
        <v>4.36</v>
      </c>
      <c r="J1883" s="11" t="s">
        <v>1827</v>
      </c>
      <c r="K1883" s="11" t="s">
        <v>117</v>
      </c>
      <c r="L1883" s="11" t="s">
        <v>27</v>
      </c>
      <c r="M1883" s="11" t="s">
        <v>28</v>
      </c>
      <c r="N1883" s="11" t="s">
        <v>62</v>
      </c>
      <c r="O1883" s="11" t="s">
        <v>1994</v>
      </c>
      <c r="P1883" s="11" t="s">
        <v>99</v>
      </c>
      <c r="Q1883" s="20">
        <v>40133.0</v>
      </c>
      <c r="R1883" s="17">
        <f t="shared" si="2"/>
        <v>17.91201222</v>
      </c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>
        <f t="shared" si="8"/>
        <v>1</v>
      </c>
      <c r="AF1883" s="19" t="b">
        <f t="shared" si="13"/>
        <v>0</v>
      </c>
      <c r="AG1883" s="9"/>
      <c r="AH1883" s="9"/>
      <c r="AI1883" s="9"/>
    </row>
    <row r="1884" ht="15.0" customHeight="1">
      <c r="A1884" s="11">
        <v>1883.0</v>
      </c>
      <c r="B1884" s="12">
        <f t="shared" si="301"/>
        <v>40131</v>
      </c>
      <c r="C1884" s="13">
        <v>2009.0</v>
      </c>
      <c r="D1884" s="11" t="s">
        <v>39</v>
      </c>
      <c r="E1884" s="11">
        <v>41.0</v>
      </c>
      <c r="F1884" s="21" t="s">
        <v>943</v>
      </c>
      <c r="G1884" s="15">
        <v>0.06609718945073317</v>
      </c>
      <c r="H1884" s="11" t="s">
        <v>33</v>
      </c>
      <c r="I1884" s="16">
        <v>5.2</v>
      </c>
      <c r="J1884" s="11" t="s">
        <v>1995</v>
      </c>
      <c r="K1884" s="11" t="s">
        <v>65</v>
      </c>
      <c r="L1884" s="11" t="s">
        <v>36</v>
      </c>
      <c r="M1884" s="11" t="s">
        <v>66</v>
      </c>
      <c r="N1884" s="11" t="s">
        <v>67</v>
      </c>
      <c r="O1884" s="11" t="s">
        <v>944</v>
      </c>
      <c r="P1884" s="11" t="s">
        <v>38</v>
      </c>
      <c r="Q1884" s="20">
        <v>40133.0</v>
      </c>
      <c r="R1884" s="17">
        <f t="shared" si="2"/>
        <v>413.3453839</v>
      </c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>
        <f t="shared" si="8"/>
        <v>2</v>
      </c>
      <c r="AF1884" s="19">
        <f t="shared" si="13"/>
        <v>5</v>
      </c>
      <c r="AG1884" s="9"/>
      <c r="AH1884" s="9"/>
      <c r="AI1884" s="9"/>
    </row>
    <row r="1885" ht="15.0" customHeight="1">
      <c r="A1885" s="11">
        <v>1884.0</v>
      </c>
      <c r="B1885" s="12">
        <f t="shared" ref="B1885:B1886" si="302">DATE(2012,12,31)-1142</f>
        <v>40132</v>
      </c>
      <c r="C1885" s="13">
        <v>2009.0</v>
      </c>
      <c r="D1885" s="11" t="s">
        <v>102</v>
      </c>
      <c r="E1885" s="11">
        <v>12.0</v>
      </c>
      <c r="F1885" s="21" t="s">
        <v>158</v>
      </c>
      <c r="G1885" s="15">
        <v>0.09919125683060102</v>
      </c>
      <c r="H1885" s="11" t="s">
        <v>33</v>
      </c>
      <c r="I1885" s="16">
        <v>5.6240000000000006</v>
      </c>
      <c r="J1885" s="11" t="s">
        <v>1320</v>
      </c>
      <c r="K1885" s="11" t="s">
        <v>35</v>
      </c>
      <c r="L1885" s="11" t="s">
        <v>48</v>
      </c>
      <c r="M1885" s="11" t="s">
        <v>28</v>
      </c>
      <c r="N1885" s="11" t="s">
        <v>56</v>
      </c>
      <c r="O1885" s="11" t="s">
        <v>1534</v>
      </c>
      <c r="P1885" s="11" t="s">
        <v>38</v>
      </c>
      <c r="Q1885" s="20">
        <v>40133.0</v>
      </c>
      <c r="R1885" s="17">
        <f t="shared" si="2"/>
        <v>8.175740153</v>
      </c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>
        <f t="shared" si="8"/>
        <v>4</v>
      </c>
      <c r="AF1885" s="19">
        <f t="shared" si="13"/>
        <v>2</v>
      </c>
      <c r="AG1885" s="9"/>
      <c r="AH1885" s="9"/>
      <c r="AI1885" s="9"/>
    </row>
    <row r="1886" ht="15.0" customHeight="1">
      <c r="A1886" s="11">
        <v>1885.0</v>
      </c>
      <c r="B1886" s="12">
        <f t="shared" si="302"/>
        <v>40132</v>
      </c>
      <c r="C1886" s="13">
        <v>2009.0</v>
      </c>
      <c r="D1886" s="11" t="s">
        <v>102</v>
      </c>
      <c r="E1886" s="11">
        <v>39.0</v>
      </c>
      <c r="F1886" s="21" t="s">
        <v>161</v>
      </c>
      <c r="G1886" s="15">
        <v>0.020083682008368145</v>
      </c>
      <c r="H1886" s="11" t="s">
        <v>33</v>
      </c>
      <c r="I1886" s="16">
        <v>28.0</v>
      </c>
      <c r="J1886" s="11" t="s">
        <v>1320</v>
      </c>
      <c r="K1886" s="11" t="s">
        <v>35</v>
      </c>
      <c r="L1886" s="11" t="s">
        <v>48</v>
      </c>
      <c r="M1886" s="11" t="s">
        <v>28</v>
      </c>
      <c r="N1886" s="11" t="s">
        <v>29</v>
      </c>
      <c r="O1886" s="11" t="s">
        <v>162</v>
      </c>
      <c r="P1886" s="11" t="s">
        <v>31</v>
      </c>
      <c r="Q1886" s="20">
        <v>40133.0</v>
      </c>
      <c r="R1886" s="17">
        <f t="shared" si="2"/>
        <v>16.46259414</v>
      </c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>
        <f t="shared" si="8"/>
        <v>4</v>
      </c>
      <c r="AF1886" s="19">
        <f t="shared" si="13"/>
        <v>2</v>
      </c>
      <c r="AG1886" s="9"/>
      <c r="AH1886" s="9"/>
      <c r="AI1886" s="9"/>
    </row>
    <row r="1887" ht="15.0" customHeight="1">
      <c r="A1887" s="11">
        <v>1886.0</v>
      </c>
      <c r="B1887" s="12">
        <f t="shared" ref="B1887:B1896" si="303">DATE(2012,12,31)-1141</f>
        <v>40133</v>
      </c>
      <c r="C1887" s="13">
        <v>2009.0</v>
      </c>
      <c r="D1887" s="11" t="s">
        <v>39</v>
      </c>
      <c r="E1887" s="11">
        <v>22.0</v>
      </c>
      <c r="F1887" s="21" t="s">
        <v>891</v>
      </c>
      <c r="G1887" s="15">
        <v>0.09998997493734339</v>
      </c>
      <c r="H1887" s="11" t="s">
        <v>33</v>
      </c>
      <c r="I1887" s="16">
        <v>1.352</v>
      </c>
      <c r="J1887" s="11" t="s">
        <v>232</v>
      </c>
      <c r="K1887" s="11" t="s">
        <v>47</v>
      </c>
      <c r="L1887" s="11" t="s">
        <v>48</v>
      </c>
      <c r="M1887" s="11" t="s">
        <v>28</v>
      </c>
      <c r="N1887" s="11" t="s">
        <v>56</v>
      </c>
      <c r="O1887" s="11" t="s">
        <v>1996</v>
      </c>
      <c r="P1887" s="11" t="s">
        <v>58</v>
      </c>
      <c r="Q1887" s="20">
        <v>40133.0</v>
      </c>
      <c r="R1887" s="17">
        <f t="shared" si="2"/>
        <v>17.95339998</v>
      </c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>
        <f t="shared" si="8"/>
        <v>4</v>
      </c>
      <c r="AF1887" s="19">
        <f t="shared" si="13"/>
        <v>3</v>
      </c>
      <c r="AG1887" s="9"/>
      <c r="AH1887" s="9"/>
      <c r="AI1887" s="9"/>
    </row>
    <row r="1888" ht="15.0" customHeight="1">
      <c r="A1888" s="11">
        <v>1887.0</v>
      </c>
      <c r="B1888" s="12">
        <f t="shared" si="303"/>
        <v>40133</v>
      </c>
      <c r="C1888" s="13">
        <v>2009.0</v>
      </c>
      <c r="D1888" s="11" t="s">
        <v>39</v>
      </c>
      <c r="E1888" s="11">
        <v>45.0</v>
      </c>
      <c r="F1888" s="21" t="s">
        <v>328</v>
      </c>
      <c r="G1888" s="15">
        <v>0.02999863995803292</v>
      </c>
      <c r="H1888" s="11" t="s">
        <v>33</v>
      </c>
      <c r="I1888" s="16">
        <v>2.0</v>
      </c>
      <c r="J1888" s="11" t="s">
        <v>232</v>
      </c>
      <c r="K1888" s="11" t="s">
        <v>47</v>
      </c>
      <c r="L1888" s="11" t="s">
        <v>48</v>
      </c>
      <c r="M1888" s="11" t="s">
        <v>66</v>
      </c>
      <c r="N1888" s="11" t="s">
        <v>80</v>
      </c>
      <c r="O1888" s="11" t="s">
        <v>81</v>
      </c>
      <c r="P1888" s="11" t="s">
        <v>38</v>
      </c>
      <c r="Q1888" s="20">
        <v>40133.0</v>
      </c>
      <c r="R1888" s="17">
        <f t="shared" si="2"/>
        <v>149.76821</v>
      </c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>
        <f t="shared" si="8"/>
        <v>4</v>
      </c>
      <c r="AF1888" s="19">
        <f t="shared" si="13"/>
        <v>3</v>
      </c>
      <c r="AG1888" s="9"/>
      <c r="AH1888" s="9"/>
      <c r="AI1888" s="9"/>
    </row>
    <row r="1889" ht="15.0" customHeight="1">
      <c r="A1889" s="11">
        <v>1888.0</v>
      </c>
      <c r="B1889" s="12">
        <f t="shared" si="303"/>
        <v>40133</v>
      </c>
      <c r="C1889" s="13">
        <v>2009.0</v>
      </c>
      <c r="D1889" s="11" t="s">
        <v>44</v>
      </c>
      <c r="E1889" s="11">
        <v>6.0</v>
      </c>
      <c r="F1889" s="21" t="s">
        <v>142</v>
      </c>
      <c r="G1889" s="15">
        <v>0.07248525695029497</v>
      </c>
      <c r="H1889" s="11" t="s">
        <v>33</v>
      </c>
      <c r="I1889" s="16">
        <v>4.792000000000001</v>
      </c>
      <c r="J1889" s="11" t="s">
        <v>271</v>
      </c>
      <c r="K1889" s="11" t="s">
        <v>61</v>
      </c>
      <c r="L1889" s="11" t="s">
        <v>48</v>
      </c>
      <c r="M1889" s="11" t="s">
        <v>66</v>
      </c>
      <c r="N1889" s="11" t="s">
        <v>80</v>
      </c>
      <c r="O1889" s="11" t="s">
        <v>757</v>
      </c>
      <c r="P1889" s="11" t="s">
        <v>58</v>
      </c>
      <c r="Q1889" s="20">
        <v>40134.0</v>
      </c>
      <c r="R1889" s="17">
        <f t="shared" si="2"/>
        <v>15.9606737</v>
      </c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>
        <f t="shared" si="8"/>
        <v>4</v>
      </c>
      <c r="AF1889" s="19">
        <f t="shared" si="13"/>
        <v>4</v>
      </c>
      <c r="AG1889" s="9"/>
      <c r="AH1889" s="9"/>
      <c r="AI1889" s="9"/>
    </row>
    <row r="1890" ht="15.0" customHeight="1">
      <c r="A1890" s="11">
        <v>1889.0</v>
      </c>
      <c r="B1890" s="12">
        <f t="shared" si="303"/>
        <v>40133</v>
      </c>
      <c r="C1890" s="13">
        <v>2009.0</v>
      </c>
      <c r="D1890" s="11" t="s">
        <v>44</v>
      </c>
      <c r="E1890" s="11">
        <v>23.0</v>
      </c>
      <c r="F1890" s="21" t="s">
        <v>178</v>
      </c>
      <c r="G1890" s="15">
        <v>0.07600364630811295</v>
      </c>
      <c r="H1890" s="11" t="s">
        <v>24</v>
      </c>
      <c r="I1890" s="16">
        <v>4.736</v>
      </c>
      <c r="J1890" s="11" t="s">
        <v>271</v>
      </c>
      <c r="K1890" s="11" t="s">
        <v>61</v>
      </c>
      <c r="L1890" s="11" t="s">
        <v>48</v>
      </c>
      <c r="M1890" s="11" t="s">
        <v>66</v>
      </c>
      <c r="N1890" s="11" t="s">
        <v>80</v>
      </c>
      <c r="O1890" s="11" t="s">
        <v>1691</v>
      </c>
      <c r="P1890" s="11" t="s">
        <v>38</v>
      </c>
      <c r="Q1890" s="20">
        <v>40134.0</v>
      </c>
      <c r="R1890" s="17">
        <f t="shared" si="2"/>
        <v>115.55868</v>
      </c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>
        <f t="shared" si="8"/>
        <v>4</v>
      </c>
      <c r="AF1890" s="19">
        <f t="shared" si="13"/>
        <v>4</v>
      </c>
      <c r="AG1890" s="9"/>
      <c r="AH1890" s="9"/>
      <c r="AI1890" s="9"/>
    </row>
    <row r="1891" ht="15.0" customHeight="1">
      <c r="A1891" s="11">
        <v>1890.0</v>
      </c>
      <c r="B1891" s="12">
        <f t="shared" si="303"/>
        <v>40133</v>
      </c>
      <c r="C1891" s="13">
        <v>2009.0</v>
      </c>
      <c r="D1891" s="11" t="s">
        <v>32</v>
      </c>
      <c r="E1891" s="11">
        <v>43.0</v>
      </c>
      <c r="F1891" s="21" t="s">
        <v>1997</v>
      </c>
      <c r="G1891" s="15">
        <v>0.043681592039800904</v>
      </c>
      <c r="H1891" s="11" t="s">
        <v>33</v>
      </c>
      <c r="I1891" s="16">
        <v>5.016</v>
      </c>
      <c r="J1891" s="11" t="s">
        <v>357</v>
      </c>
      <c r="K1891" s="11" t="s">
        <v>65</v>
      </c>
      <c r="L1891" s="11" t="s">
        <v>48</v>
      </c>
      <c r="M1891" s="11" t="s">
        <v>28</v>
      </c>
      <c r="N1891" s="11" t="s">
        <v>29</v>
      </c>
      <c r="O1891" s="11" t="s">
        <v>1998</v>
      </c>
      <c r="P1891" s="11" t="s">
        <v>75</v>
      </c>
      <c r="Q1891" s="20">
        <v>40134.0</v>
      </c>
      <c r="R1891" s="17">
        <f t="shared" si="2"/>
        <v>23.51013174</v>
      </c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>
        <f t="shared" si="8"/>
        <v>4</v>
      </c>
      <c r="AF1891" s="19">
        <f t="shared" si="13"/>
        <v>5</v>
      </c>
      <c r="AG1891" s="9"/>
      <c r="AH1891" s="9"/>
      <c r="AI1891" s="9"/>
    </row>
    <row r="1892" ht="15.0" customHeight="1">
      <c r="A1892" s="11">
        <v>1891.0</v>
      </c>
      <c r="B1892" s="12">
        <f t="shared" si="303"/>
        <v>40133</v>
      </c>
      <c r="C1892" s="13">
        <v>2009.0</v>
      </c>
      <c r="D1892" s="11" t="s">
        <v>23</v>
      </c>
      <c r="E1892" s="11">
        <v>45.0</v>
      </c>
      <c r="F1892" s="21" t="s">
        <v>629</v>
      </c>
      <c r="G1892" s="15">
        <v>0.10214670981661282</v>
      </c>
      <c r="H1892" s="11" t="s">
        <v>33</v>
      </c>
      <c r="I1892" s="16">
        <v>4.424</v>
      </c>
      <c r="J1892" s="11" t="s">
        <v>1999</v>
      </c>
      <c r="K1892" s="11" t="s">
        <v>65</v>
      </c>
      <c r="L1892" s="11" t="s">
        <v>41</v>
      </c>
      <c r="M1892" s="11" t="s">
        <v>66</v>
      </c>
      <c r="N1892" s="11" t="s">
        <v>67</v>
      </c>
      <c r="O1892" s="11" t="s">
        <v>1610</v>
      </c>
      <c r="P1892" s="11" t="s">
        <v>99</v>
      </c>
      <c r="Q1892" s="20">
        <v>40134.0</v>
      </c>
      <c r="R1892" s="17">
        <f t="shared" si="2"/>
        <v>34.00709122</v>
      </c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>
        <f t="shared" si="8"/>
        <v>3</v>
      </c>
      <c r="AF1892" s="19">
        <f t="shared" si="13"/>
        <v>5</v>
      </c>
      <c r="AG1892" s="9"/>
      <c r="AH1892" s="9"/>
      <c r="AI1892" s="9"/>
    </row>
    <row r="1893" ht="15.0" customHeight="1">
      <c r="A1893" s="11">
        <v>1892.0</v>
      </c>
      <c r="B1893" s="12">
        <f t="shared" si="303"/>
        <v>40133</v>
      </c>
      <c r="C1893" s="13">
        <v>2009.0</v>
      </c>
      <c r="D1893" s="11" t="s">
        <v>102</v>
      </c>
      <c r="E1893" s="11">
        <v>3.0</v>
      </c>
      <c r="F1893" s="21" t="s">
        <v>1521</v>
      </c>
      <c r="G1893" s="15">
        <v>0.09605095541401282</v>
      </c>
      <c r="H1893" s="11" t="s">
        <v>45</v>
      </c>
      <c r="I1893" s="16">
        <v>71.44</v>
      </c>
      <c r="J1893" s="11" t="s">
        <v>1245</v>
      </c>
      <c r="K1893" s="11" t="s">
        <v>61</v>
      </c>
      <c r="L1893" s="11" t="s">
        <v>48</v>
      </c>
      <c r="M1893" s="11" t="s">
        <v>49</v>
      </c>
      <c r="N1893" s="11" t="s">
        <v>85</v>
      </c>
      <c r="O1893" s="11" t="s">
        <v>1522</v>
      </c>
      <c r="P1893" s="11" t="s">
        <v>87</v>
      </c>
      <c r="Q1893" s="20">
        <v>40134.0</v>
      </c>
      <c r="R1893" s="17">
        <f t="shared" si="2"/>
        <v>27.26310318</v>
      </c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>
        <f t="shared" si="8"/>
        <v>4</v>
      </c>
      <c r="AF1893" s="19">
        <f t="shared" si="13"/>
        <v>4</v>
      </c>
      <c r="AG1893" s="9"/>
      <c r="AH1893" s="9"/>
      <c r="AI1893" s="9"/>
    </row>
    <row r="1894" ht="15.0" customHeight="1">
      <c r="A1894" s="11">
        <v>1893.0</v>
      </c>
      <c r="B1894" s="12">
        <f t="shared" si="303"/>
        <v>40133</v>
      </c>
      <c r="C1894" s="13">
        <v>2009.0</v>
      </c>
      <c r="D1894" s="11" t="s">
        <v>39</v>
      </c>
      <c r="E1894" s="11">
        <v>6.0</v>
      </c>
      <c r="F1894" s="21" t="s">
        <v>304</v>
      </c>
      <c r="G1894" s="15">
        <v>0.05591263650546016</v>
      </c>
      <c r="H1894" s="11" t="s">
        <v>33</v>
      </c>
      <c r="I1894" s="16">
        <v>7.632</v>
      </c>
      <c r="J1894" s="11" t="s">
        <v>1236</v>
      </c>
      <c r="K1894" s="11" t="s">
        <v>83</v>
      </c>
      <c r="L1894" s="11" t="s">
        <v>36</v>
      </c>
      <c r="M1894" s="11" t="s">
        <v>28</v>
      </c>
      <c r="N1894" s="11" t="s">
        <v>56</v>
      </c>
      <c r="O1894" s="11" t="s">
        <v>305</v>
      </c>
      <c r="P1894" s="11" t="s">
        <v>38</v>
      </c>
      <c r="Q1894" s="20">
        <v>40134.0</v>
      </c>
      <c r="R1894" s="17">
        <f t="shared" si="2"/>
        <v>6.767218222</v>
      </c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>
        <f t="shared" si="8"/>
        <v>2</v>
      </c>
      <c r="AF1894" s="19" t="b">
        <f t="shared" si="13"/>
        <v>0</v>
      </c>
      <c r="AG1894" s="9"/>
      <c r="AH1894" s="9"/>
      <c r="AI1894" s="9"/>
    </row>
    <row r="1895" ht="15.0" customHeight="1">
      <c r="A1895" s="11">
        <v>1894.0</v>
      </c>
      <c r="B1895" s="12">
        <f t="shared" si="303"/>
        <v>40133</v>
      </c>
      <c r="C1895" s="13">
        <v>2009.0</v>
      </c>
      <c r="D1895" s="11" t="s">
        <v>39</v>
      </c>
      <c r="E1895" s="11">
        <v>49.0</v>
      </c>
      <c r="F1895" s="21" t="s">
        <v>319</v>
      </c>
      <c r="G1895" s="15">
        <v>0.04730290456431538</v>
      </c>
      <c r="H1895" s="11" t="s">
        <v>33</v>
      </c>
      <c r="I1895" s="16">
        <v>0.5599999999999999</v>
      </c>
      <c r="J1895" s="11" t="s">
        <v>1236</v>
      </c>
      <c r="K1895" s="11" t="s">
        <v>83</v>
      </c>
      <c r="L1895" s="11" t="s">
        <v>36</v>
      </c>
      <c r="M1895" s="11" t="s">
        <v>28</v>
      </c>
      <c r="N1895" s="11" t="s">
        <v>62</v>
      </c>
      <c r="O1895" s="11" t="s">
        <v>383</v>
      </c>
      <c r="P1895" s="11" t="s">
        <v>58</v>
      </c>
      <c r="Q1895" s="20">
        <v>40135.0</v>
      </c>
      <c r="R1895" s="17">
        <f t="shared" si="2"/>
        <v>6.516448133</v>
      </c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>
        <f t="shared" si="8"/>
        <v>2</v>
      </c>
      <c r="AF1895" s="19" t="b">
        <f t="shared" si="13"/>
        <v>0</v>
      </c>
      <c r="AG1895" s="9"/>
      <c r="AH1895" s="9"/>
      <c r="AI1895" s="9"/>
    </row>
    <row r="1896" ht="15.0" customHeight="1">
      <c r="A1896" s="11">
        <v>1895.0</v>
      </c>
      <c r="B1896" s="12">
        <f t="shared" si="303"/>
        <v>40133</v>
      </c>
      <c r="C1896" s="13">
        <v>2009.0</v>
      </c>
      <c r="D1896" s="11" t="s">
        <v>39</v>
      </c>
      <c r="E1896" s="11">
        <v>9.0</v>
      </c>
      <c r="F1896" s="21" t="s">
        <v>810</v>
      </c>
      <c r="G1896" s="15">
        <v>0.09437556154537279</v>
      </c>
      <c r="H1896" s="11" t="s">
        <v>33</v>
      </c>
      <c r="I1896" s="16">
        <v>2.696</v>
      </c>
      <c r="J1896" s="11" t="s">
        <v>1236</v>
      </c>
      <c r="K1896" s="11" t="s">
        <v>83</v>
      </c>
      <c r="L1896" s="11" t="s">
        <v>36</v>
      </c>
      <c r="M1896" s="11" t="s">
        <v>28</v>
      </c>
      <c r="N1896" s="11" t="s">
        <v>442</v>
      </c>
      <c r="O1896" s="11" t="s">
        <v>1111</v>
      </c>
      <c r="P1896" s="11" t="s">
        <v>99</v>
      </c>
      <c r="Q1896" s="20">
        <v>40135.0</v>
      </c>
      <c r="R1896" s="17">
        <f t="shared" si="2"/>
        <v>9.512679102</v>
      </c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>
        <f t="shared" si="8"/>
        <v>2</v>
      </c>
      <c r="AF1896" s="19" t="b">
        <f t="shared" si="13"/>
        <v>0</v>
      </c>
      <c r="AG1896" s="9"/>
      <c r="AH1896" s="9"/>
      <c r="AI1896" s="9"/>
    </row>
    <row r="1897" ht="15.0" customHeight="1">
      <c r="A1897" s="11">
        <v>1896.0</v>
      </c>
      <c r="B1897" s="12">
        <f t="shared" ref="B1897:B1904" si="304">DATE(2012,12,31)-1140</f>
        <v>40134</v>
      </c>
      <c r="C1897" s="13">
        <v>2009.0</v>
      </c>
      <c r="D1897" s="11" t="s">
        <v>44</v>
      </c>
      <c r="E1897" s="11">
        <v>26.0</v>
      </c>
      <c r="F1897" s="21" t="s">
        <v>1327</v>
      </c>
      <c r="G1897" s="15">
        <v>0.06671797099650363</v>
      </c>
      <c r="H1897" s="11" t="s">
        <v>33</v>
      </c>
      <c r="I1897" s="16">
        <v>15.991999999999999</v>
      </c>
      <c r="J1897" s="11" t="s">
        <v>2000</v>
      </c>
      <c r="K1897" s="11" t="s">
        <v>35</v>
      </c>
      <c r="L1897" s="11" t="s">
        <v>48</v>
      </c>
      <c r="M1897" s="11" t="s">
        <v>28</v>
      </c>
      <c r="N1897" s="11" t="s">
        <v>42</v>
      </c>
      <c r="O1897" s="11" t="s">
        <v>1328</v>
      </c>
      <c r="P1897" s="11" t="s">
        <v>38</v>
      </c>
      <c r="Q1897" s="20">
        <v>40135.0</v>
      </c>
      <c r="R1897" s="17">
        <f t="shared" si="2"/>
        <v>300.9909206</v>
      </c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>
        <f t="shared" si="8"/>
        <v>4</v>
      </c>
      <c r="AF1897" s="19">
        <f t="shared" si="13"/>
        <v>2</v>
      </c>
      <c r="AG1897" s="9"/>
      <c r="AH1897" s="9"/>
      <c r="AI1897" s="9"/>
    </row>
    <row r="1898" ht="15.0" customHeight="1">
      <c r="A1898" s="11">
        <v>1897.0</v>
      </c>
      <c r="B1898" s="12">
        <f t="shared" si="304"/>
        <v>40134</v>
      </c>
      <c r="C1898" s="13">
        <v>2009.0</v>
      </c>
      <c r="D1898" s="11" t="s">
        <v>44</v>
      </c>
      <c r="E1898" s="11">
        <v>1.0</v>
      </c>
      <c r="F1898" s="21" t="s">
        <v>93</v>
      </c>
      <c r="G1898" s="15">
        <v>0.1110204081632654</v>
      </c>
      <c r="H1898" s="11" t="s">
        <v>33</v>
      </c>
      <c r="I1898" s="16">
        <v>1.1119999999999999</v>
      </c>
      <c r="J1898" s="11" t="s">
        <v>2000</v>
      </c>
      <c r="K1898" s="11" t="s">
        <v>35</v>
      </c>
      <c r="L1898" s="11" t="s">
        <v>48</v>
      </c>
      <c r="M1898" s="11" t="s">
        <v>28</v>
      </c>
      <c r="N1898" s="11" t="s">
        <v>236</v>
      </c>
      <c r="O1898" s="11" t="s">
        <v>833</v>
      </c>
      <c r="P1898" s="11" t="s">
        <v>38</v>
      </c>
      <c r="Q1898" s="20">
        <v>40136.0</v>
      </c>
      <c r="R1898" s="17">
        <f t="shared" si="2"/>
        <v>0.9672097959</v>
      </c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>
        <f t="shared" si="8"/>
        <v>4</v>
      </c>
      <c r="AF1898" s="19">
        <f t="shared" si="13"/>
        <v>2</v>
      </c>
      <c r="AG1898" s="9"/>
      <c r="AH1898" s="9"/>
      <c r="AI1898" s="9"/>
    </row>
    <row r="1899" ht="15.0" customHeight="1">
      <c r="A1899" s="11">
        <v>1898.0</v>
      </c>
      <c r="B1899" s="12">
        <f t="shared" si="304"/>
        <v>40134</v>
      </c>
      <c r="C1899" s="13">
        <v>2009.0</v>
      </c>
      <c r="D1899" s="11" t="s">
        <v>102</v>
      </c>
      <c r="E1899" s="11">
        <v>47.0</v>
      </c>
      <c r="F1899" s="21" t="s">
        <v>2001</v>
      </c>
      <c r="G1899" s="15">
        <v>0.03948108392874779</v>
      </c>
      <c r="H1899" s="11" t="s">
        <v>33</v>
      </c>
      <c r="I1899" s="16">
        <v>3.192</v>
      </c>
      <c r="J1899" s="11" t="s">
        <v>337</v>
      </c>
      <c r="K1899" s="11" t="s">
        <v>117</v>
      </c>
      <c r="L1899" s="11" t="s">
        <v>48</v>
      </c>
      <c r="M1899" s="11" t="s">
        <v>28</v>
      </c>
      <c r="N1899" s="11" t="s">
        <v>197</v>
      </c>
      <c r="O1899" s="11" t="s">
        <v>2002</v>
      </c>
      <c r="P1899" s="11" t="s">
        <v>38</v>
      </c>
      <c r="Q1899" s="20">
        <v>40136.0</v>
      </c>
      <c r="R1899" s="17">
        <f t="shared" si="2"/>
        <v>115.1739022</v>
      </c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>
        <f t="shared" si="8"/>
        <v>4</v>
      </c>
      <c r="AF1899" s="19" t="b">
        <f t="shared" si="13"/>
        <v>0</v>
      </c>
      <c r="AG1899" s="9"/>
      <c r="AH1899" s="9"/>
      <c r="AI1899" s="9"/>
    </row>
    <row r="1900" ht="15.0" customHeight="1">
      <c r="A1900" s="11">
        <v>1899.0</v>
      </c>
      <c r="B1900" s="12">
        <f t="shared" si="304"/>
        <v>40134</v>
      </c>
      <c r="C1900" s="13">
        <v>2009.0</v>
      </c>
      <c r="D1900" s="11" t="s">
        <v>44</v>
      </c>
      <c r="E1900" s="11">
        <v>14.0</v>
      </c>
      <c r="F1900" s="21" t="s">
        <v>702</v>
      </c>
      <c r="G1900" s="15">
        <v>0.053661538461538455</v>
      </c>
      <c r="H1900" s="11" t="s">
        <v>24</v>
      </c>
      <c r="I1900" s="16">
        <v>5.5120000000000005</v>
      </c>
      <c r="J1900" s="11" t="s">
        <v>300</v>
      </c>
      <c r="K1900" s="11" t="s">
        <v>35</v>
      </c>
      <c r="L1900" s="11" t="s">
        <v>36</v>
      </c>
      <c r="M1900" s="11" t="s">
        <v>28</v>
      </c>
      <c r="N1900" s="11" t="s">
        <v>197</v>
      </c>
      <c r="O1900" s="11" t="s">
        <v>704</v>
      </c>
      <c r="P1900" s="11" t="s">
        <v>38</v>
      </c>
      <c r="Q1900" s="20">
        <v>40136.0</v>
      </c>
      <c r="R1900" s="17">
        <f t="shared" si="2"/>
        <v>3.300828554</v>
      </c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>
        <f t="shared" si="8"/>
        <v>2</v>
      </c>
      <c r="AF1900" s="19">
        <f t="shared" si="13"/>
        <v>2</v>
      </c>
      <c r="AG1900" s="9"/>
      <c r="AH1900" s="9"/>
      <c r="AI1900" s="9"/>
    </row>
    <row r="1901" ht="15.0" customHeight="1">
      <c r="A1901" s="11">
        <v>1900.0</v>
      </c>
      <c r="B1901" s="12">
        <f t="shared" si="304"/>
        <v>40134</v>
      </c>
      <c r="C1901" s="13">
        <v>2009.0</v>
      </c>
      <c r="D1901" s="11" t="s">
        <v>44</v>
      </c>
      <c r="E1901" s="11">
        <v>43.0</v>
      </c>
      <c r="F1901" s="21" t="s">
        <v>297</v>
      </c>
      <c r="G1901" s="15">
        <v>0.07655748814095323</v>
      </c>
      <c r="H1901" s="11" t="s">
        <v>33</v>
      </c>
      <c r="I1901" s="16">
        <v>4.608</v>
      </c>
      <c r="J1901" s="11" t="s">
        <v>300</v>
      </c>
      <c r="K1901" s="11" t="s">
        <v>35</v>
      </c>
      <c r="L1901" s="11" t="s">
        <v>36</v>
      </c>
      <c r="M1901" s="11" t="s">
        <v>66</v>
      </c>
      <c r="N1901" s="11" t="s">
        <v>69</v>
      </c>
      <c r="O1901" s="11" t="s">
        <v>2003</v>
      </c>
      <c r="P1901" s="11" t="s">
        <v>75</v>
      </c>
      <c r="Q1901" s="20">
        <v>40136.0</v>
      </c>
      <c r="R1901" s="17">
        <f t="shared" si="2"/>
        <v>31.29731361</v>
      </c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>
        <f t="shared" si="8"/>
        <v>2</v>
      </c>
      <c r="AF1901" s="19">
        <f t="shared" si="13"/>
        <v>2</v>
      </c>
      <c r="AG1901" s="9"/>
      <c r="AH1901" s="9"/>
      <c r="AI1901" s="9"/>
    </row>
    <row r="1902" ht="15.0" customHeight="1">
      <c r="A1902" s="11">
        <v>1901.0</v>
      </c>
      <c r="B1902" s="12">
        <f t="shared" si="304"/>
        <v>40134</v>
      </c>
      <c r="C1902" s="13">
        <v>2009.0</v>
      </c>
      <c r="D1902" s="11" t="s">
        <v>23</v>
      </c>
      <c r="E1902" s="11">
        <v>20.0</v>
      </c>
      <c r="F1902" s="21" t="s">
        <v>2004</v>
      </c>
      <c r="G1902" s="15">
        <v>0.07037223473307726</v>
      </c>
      <c r="H1902" s="11" t="s">
        <v>33</v>
      </c>
      <c r="I1902" s="16">
        <v>11.776000000000002</v>
      </c>
      <c r="J1902" s="11" t="s">
        <v>1811</v>
      </c>
      <c r="K1902" s="11" t="s">
        <v>65</v>
      </c>
      <c r="L1902" s="11" t="s">
        <v>48</v>
      </c>
      <c r="M1902" s="11" t="s">
        <v>28</v>
      </c>
      <c r="N1902" s="11" t="s">
        <v>42</v>
      </c>
      <c r="O1902" s="11" t="s">
        <v>2005</v>
      </c>
      <c r="P1902" s="11" t="s">
        <v>38</v>
      </c>
      <c r="Q1902" s="20">
        <v>40136.0</v>
      </c>
      <c r="R1902" s="17">
        <f t="shared" si="2"/>
        <v>49.3855454</v>
      </c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>
        <f t="shared" si="8"/>
        <v>4</v>
      </c>
      <c r="AF1902" s="19">
        <f t="shared" si="13"/>
        <v>5</v>
      </c>
      <c r="AG1902" s="9"/>
      <c r="AH1902" s="9"/>
      <c r="AI1902" s="9"/>
    </row>
    <row r="1903" ht="15.0" customHeight="1">
      <c r="A1903" s="11">
        <v>1902.0</v>
      </c>
      <c r="B1903" s="12">
        <f t="shared" si="304"/>
        <v>40134</v>
      </c>
      <c r="C1903" s="13">
        <v>2009.0</v>
      </c>
      <c r="D1903" s="11" t="s">
        <v>23</v>
      </c>
      <c r="E1903" s="11">
        <v>10.0</v>
      </c>
      <c r="F1903" s="21" t="s">
        <v>610</v>
      </c>
      <c r="G1903" s="15">
        <v>0.035083459787556975</v>
      </c>
      <c r="H1903" s="11" t="s">
        <v>33</v>
      </c>
      <c r="I1903" s="16">
        <v>5.176</v>
      </c>
      <c r="J1903" s="11" t="s">
        <v>1811</v>
      </c>
      <c r="K1903" s="11" t="s">
        <v>65</v>
      </c>
      <c r="L1903" s="11" t="s">
        <v>48</v>
      </c>
      <c r="M1903" s="11" t="s">
        <v>28</v>
      </c>
      <c r="N1903" s="11" t="s">
        <v>56</v>
      </c>
      <c r="O1903" s="11" t="s">
        <v>2006</v>
      </c>
      <c r="P1903" s="11" t="s">
        <v>38</v>
      </c>
      <c r="Q1903" s="20">
        <v>40137.0</v>
      </c>
      <c r="R1903" s="17">
        <f t="shared" si="2"/>
        <v>4.461774082</v>
      </c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>
        <f t="shared" si="8"/>
        <v>4</v>
      </c>
      <c r="AF1903" s="19">
        <f t="shared" si="13"/>
        <v>5</v>
      </c>
      <c r="AG1903" s="9"/>
      <c r="AH1903" s="9"/>
      <c r="AI1903" s="9"/>
    </row>
    <row r="1904" ht="15.0" customHeight="1">
      <c r="A1904" s="11">
        <v>1903.0</v>
      </c>
      <c r="B1904" s="12">
        <f t="shared" si="304"/>
        <v>40134</v>
      </c>
      <c r="C1904" s="13">
        <v>2009.0</v>
      </c>
      <c r="D1904" s="11" t="s">
        <v>23</v>
      </c>
      <c r="E1904" s="11">
        <v>15.0</v>
      </c>
      <c r="F1904" s="21" t="s">
        <v>2004</v>
      </c>
      <c r="G1904" s="15">
        <v>0.0618773466833541</v>
      </c>
      <c r="H1904" s="11" t="s">
        <v>24</v>
      </c>
      <c r="I1904" s="16">
        <v>7.192</v>
      </c>
      <c r="J1904" s="11" t="s">
        <v>1811</v>
      </c>
      <c r="K1904" s="11" t="s">
        <v>65</v>
      </c>
      <c r="L1904" s="11" t="s">
        <v>48</v>
      </c>
      <c r="M1904" s="11" t="s">
        <v>28</v>
      </c>
      <c r="N1904" s="11" t="s">
        <v>62</v>
      </c>
      <c r="O1904" s="11" t="s">
        <v>2007</v>
      </c>
      <c r="P1904" s="11" t="s">
        <v>99</v>
      </c>
      <c r="Q1904" s="20">
        <v>40137.0</v>
      </c>
      <c r="R1904" s="17">
        <f t="shared" si="2"/>
        <v>32.46654879</v>
      </c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>
        <f t="shared" si="8"/>
        <v>4</v>
      </c>
      <c r="AF1904" s="19">
        <f t="shared" si="13"/>
        <v>5</v>
      </c>
      <c r="AG1904" s="9"/>
      <c r="AH1904" s="9"/>
      <c r="AI1904" s="9"/>
    </row>
    <row r="1905" ht="15.0" customHeight="1">
      <c r="A1905" s="11">
        <v>1904.0</v>
      </c>
      <c r="B1905" s="12">
        <f t="shared" ref="B1905:B1907" si="305">DATE(2012,12,31)-1139</f>
        <v>40135</v>
      </c>
      <c r="C1905" s="13">
        <v>2009.0</v>
      </c>
      <c r="D1905" s="11" t="s">
        <v>32</v>
      </c>
      <c r="E1905" s="11">
        <v>4.0</v>
      </c>
      <c r="F1905" s="21" t="s">
        <v>473</v>
      </c>
      <c r="G1905" s="15">
        <v>0.06099608282036937</v>
      </c>
      <c r="H1905" s="11" t="s">
        <v>24</v>
      </c>
      <c r="I1905" s="16">
        <v>8.200000000000001</v>
      </c>
      <c r="J1905" s="11" t="s">
        <v>775</v>
      </c>
      <c r="K1905" s="11" t="s">
        <v>65</v>
      </c>
      <c r="L1905" s="11" t="s">
        <v>41</v>
      </c>
      <c r="M1905" s="11" t="s">
        <v>66</v>
      </c>
      <c r="N1905" s="11" t="s">
        <v>67</v>
      </c>
      <c r="O1905" s="11" t="s">
        <v>2008</v>
      </c>
      <c r="P1905" s="11" t="s">
        <v>38</v>
      </c>
      <c r="Q1905" s="20">
        <v>40137.0</v>
      </c>
      <c r="R1905" s="17">
        <f t="shared" si="2"/>
        <v>10.2351427</v>
      </c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>
        <f t="shared" si="8"/>
        <v>3</v>
      </c>
      <c r="AF1905" s="19">
        <f t="shared" si="13"/>
        <v>5</v>
      </c>
      <c r="AG1905" s="9"/>
      <c r="AH1905" s="9"/>
      <c r="AI1905" s="9"/>
    </row>
    <row r="1906" ht="15.0" customHeight="1">
      <c r="A1906" s="11">
        <v>1905.0</v>
      </c>
      <c r="B1906" s="12">
        <f t="shared" si="305"/>
        <v>40135</v>
      </c>
      <c r="C1906" s="13">
        <v>2009.0</v>
      </c>
      <c r="D1906" s="11" t="s">
        <v>44</v>
      </c>
      <c r="E1906" s="11">
        <v>37.0</v>
      </c>
      <c r="F1906" s="21" t="s">
        <v>221</v>
      </c>
      <c r="G1906" s="15">
        <v>0.08577079107505065</v>
      </c>
      <c r="H1906" s="11" t="s">
        <v>33</v>
      </c>
      <c r="I1906" s="16">
        <v>5.016</v>
      </c>
      <c r="J1906" s="11" t="s">
        <v>781</v>
      </c>
      <c r="K1906" s="11" t="s">
        <v>65</v>
      </c>
      <c r="L1906" s="11" t="s">
        <v>27</v>
      </c>
      <c r="M1906" s="11" t="s">
        <v>28</v>
      </c>
      <c r="N1906" s="11" t="s">
        <v>42</v>
      </c>
      <c r="O1906" s="11" t="s">
        <v>1542</v>
      </c>
      <c r="P1906" s="11" t="s">
        <v>38</v>
      </c>
      <c r="Q1906" s="20">
        <v>40138.0</v>
      </c>
      <c r="R1906" s="17">
        <f t="shared" si="2"/>
        <v>92.77963704</v>
      </c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>
        <f t="shared" si="8"/>
        <v>1</v>
      </c>
      <c r="AF1906" s="19">
        <f t="shared" si="13"/>
        <v>5</v>
      </c>
      <c r="AG1906" s="9"/>
      <c r="AH1906" s="9"/>
      <c r="AI1906" s="9"/>
    </row>
    <row r="1907" ht="15.0" customHeight="1">
      <c r="A1907" s="11">
        <v>1906.0</v>
      </c>
      <c r="B1907" s="12">
        <f t="shared" si="305"/>
        <v>40135</v>
      </c>
      <c r="C1907" s="13">
        <v>2009.0</v>
      </c>
      <c r="D1907" s="11" t="s">
        <v>39</v>
      </c>
      <c r="E1907" s="11">
        <v>23.0</v>
      </c>
      <c r="F1907" s="21" t="s">
        <v>119</v>
      </c>
      <c r="G1907" s="15">
        <v>0.13563786008230463</v>
      </c>
      <c r="H1907" s="11" t="s">
        <v>33</v>
      </c>
      <c r="I1907" s="16">
        <v>0.6080000000000001</v>
      </c>
      <c r="J1907" s="11" t="s">
        <v>2009</v>
      </c>
      <c r="K1907" s="11" t="s">
        <v>65</v>
      </c>
      <c r="L1907" s="11" t="s">
        <v>41</v>
      </c>
      <c r="M1907" s="11" t="s">
        <v>28</v>
      </c>
      <c r="N1907" s="11" t="s">
        <v>216</v>
      </c>
      <c r="O1907" s="11" t="s">
        <v>2010</v>
      </c>
      <c r="P1907" s="11" t="s">
        <v>58</v>
      </c>
      <c r="Q1907" s="20">
        <v>40138.0</v>
      </c>
      <c r="R1907" s="17">
        <f t="shared" si="2"/>
        <v>5.697875226</v>
      </c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>
        <f t="shared" si="8"/>
        <v>3</v>
      </c>
      <c r="AF1907" s="19">
        <f t="shared" si="13"/>
        <v>5</v>
      </c>
      <c r="AG1907" s="9"/>
      <c r="AH1907" s="9"/>
      <c r="AI1907" s="9"/>
    </row>
    <row r="1908" ht="15.0" customHeight="1">
      <c r="A1908" s="11">
        <v>1907.0</v>
      </c>
      <c r="B1908" s="12">
        <f t="shared" ref="B1908:B1910" si="306">DATE(2012,12,31)-1138</f>
        <v>40136</v>
      </c>
      <c r="C1908" s="13">
        <v>2009.0</v>
      </c>
      <c r="D1908" s="11" t="s">
        <v>32</v>
      </c>
      <c r="E1908" s="11">
        <v>4.0</v>
      </c>
      <c r="F1908" s="21" t="s">
        <v>2011</v>
      </c>
      <c r="G1908" s="15">
        <v>0.06785458879618607</v>
      </c>
      <c r="H1908" s="11" t="s">
        <v>33</v>
      </c>
      <c r="I1908" s="16">
        <v>5.656000000000001</v>
      </c>
      <c r="J1908" s="11" t="s">
        <v>1442</v>
      </c>
      <c r="K1908" s="11" t="s">
        <v>35</v>
      </c>
      <c r="L1908" s="11" t="s">
        <v>41</v>
      </c>
      <c r="M1908" s="11" t="s">
        <v>28</v>
      </c>
      <c r="N1908" s="11" t="s">
        <v>29</v>
      </c>
      <c r="O1908" s="11" t="s">
        <v>54</v>
      </c>
      <c r="P1908" s="11" t="s">
        <v>38</v>
      </c>
      <c r="Q1908" s="20">
        <v>40138.0</v>
      </c>
      <c r="R1908" s="17">
        <f t="shared" si="2"/>
        <v>42.45363061</v>
      </c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>
        <f t="shared" si="8"/>
        <v>3</v>
      </c>
      <c r="AF1908" s="19">
        <f t="shared" si="13"/>
        <v>2</v>
      </c>
      <c r="AG1908" s="9"/>
      <c r="AH1908" s="9"/>
      <c r="AI1908" s="9"/>
    </row>
    <row r="1909" ht="15.0" customHeight="1">
      <c r="A1909" s="11">
        <v>1908.0</v>
      </c>
      <c r="B1909" s="12">
        <f t="shared" si="306"/>
        <v>40136</v>
      </c>
      <c r="C1909" s="13">
        <v>2009.0</v>
      </c>
      <c r="D1909" s="11" t="s">
        <v>32</v>
      </c>
      <c r="E1909" s="11">
        <v>17.0</v>
      </c>
      <c r="F1909" s="21" t="s">
        <v>740</v>
      </c>
      <c r="G1909" s="15">
        <v>0.06798629148629168</v>
      </c>
      <c r="H1909" s="11" t="s">
        <v>45</v>
      </c>
      <c r="I1909" s="16">
        <v>51.784000000000006</v>
      </c>
      <c r="J1909" s="11" t="s">
        <v>808</v>
      </c>
      <c r="K1909" s="11" t="s">
        <v>83</v>
      </c>
      <c r="L1909" s="11" t="s">
        <v>48</v>
      </c>
      <c r="M1909" s="11" t="s">
        <v>49</v>
      </c>
      <c r="N1909" s="11" t="s">
        <v>50</v>
      </c>
      <c r="O1909" s="11" t="s">
        <v>742</v>
      </c>
      <c r="P1909" s="11" t="s">
        <v>52</v>
      </c>
      <c r="Q1909" s="20">
        <v>40138.0</v>
      </c>
      <c r="R1909" s="17">
        <f t="shared" si="2"/>
        <v>351.290879</v>
      </c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>
        <f t="shared" si="8"/>
        <v>4</v>
      </c>
      <c r="AF1909" s="19" t="b">
        <f t="shared" si="13"/>
        <v>0</v>
      </c>
      <c r="AG1909" s="9"/>
      <c r="AH1909" s="9"/>
      <c r="AI1909" s="9"/>
    </row>
    <row r="1910" ht="15.0" customHeight="1">
      <c r="A1910" s="11">
        <v>1909.0</v>
      </c>
      <c r="B1910" s="12">
        <f t="shared" si="306"/>
        <v>40136</v>
      </c>
      <c r="C1910" s="13">
        <v>2009.0</v>
      </c>
      <c r="D1910" s="11" t="s">
        <v>32</v>
      </c>
      <c r="E1910" s="11">
        <v>33.0</v>
      </c>
      <c r="F1910" s="21" t="s">
        <v>122</v>
      </c>
      <c r="G1910" s="15">
        <v>0.02551362964952345</v>
      </c>
      <c r="H1910" s="11" t="s">
        <v>45</v>
      </c>
      <c r="I1910" s="16">
        <v>36.0</v>
      </c>
      <c r="J1910" s="11" t="s">
        <v>808</v>
      </c>
      <c r="K1910" s="11" t="s">
        <v>83</v>
      </c>
      <c r="L1910" s="11" t="s">
        <v>48</v>
      </c>
      <c r="M1910" s="11" t="s">
        <v>28</v>
      </c>
      <c r="N1910" s="11" t="s">
        <v>29</v>
      </c>
      <c r="O1910" s="11" t="s">
        <v>1420</v>
      </c>
      <c r="P1910" s="11" t="s">
        <v>52</v>
      </c>
      <c r="Q1910" s="20">
        <v>40138.0</v>
      </c>
      <c r="R1910" s="17">
        <f t="shared" si="2"/>
        <v>18.51524104</v>
      </c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>
        <f t="shared" si="8"/>
        <v>4</v>
      </c>
      <c r="AF1910" s="19" t="b">
        <f t="shared" si="13"/>
        <v>0</v>
      </c>
      <c r="AG1910" s="9"/>
      <c r="AH1910" s="9"/>
      <c r="AI1910" s="9"/>
    </row>
    <row r="1911" ht="15.0" customHeight="1">
      <c r="A1911" s="11">
        <v>1910.0</v>
      </c>
      <c r="B1911" s="12">
        <f t="shared" ref="B1911:B1923" si="307">DATE(2012,12,31)-1137</f>
        <v>40137</v>
      </c>
      <c r="C1911" s="13">
        <v>2009.0</v>
      </c>
      <c r="D1911" s="11" t="s">
        <v>102</v>
      </c>
      <c r="E1911" s="11">
        <v>26.0</v>
      </c>
      <c r="F1911" s="21" t="s">
        <v>290</v>
      </c>
      <c r="G1911" s="15">
        <v>0.10511779041429731</v>
      </c>
      <c r="H1911" s="11" t="s">
        <v>33</v>
      </c>
      <c r="I1911" s="16">
        <v>0.96</v>
      </c>
      <c r="J1911" s="11" t="s">
        <v>1196</v>
      </c>
      <c r="K1911" s="11" t="s">
        <v>61</v>
      </c>
      <c r="L1911" s="11" t="s">
        <v>41</v>
      </c>
      <c r="M1911" s="11" t="s">
        <v>28</v>
      </c>
      <c r="N1911" s="11" t="s">
        <v>62</v>
      </c>
      <c r="O1911" s="11" t="s">
        <v>63</v>
      </c>
      <c r="P1911" s="11" t="s">
        <v>58</v>
      </c>
      <c r="Q1911" s="20">
        <v>40138.0</v>
      </c>
      <c r="R1911" s="17">
        <f t="shared" si="2"/>
        <v>11.57977579</v>
      </c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>
        <f t="shared" si="8"/>
        <v>3</v>
      </c>
      <c r="AF1911" s="19">
        <f t="shared" si="13"/>
        <v>4</v>
      </c>
      <c r="AG1911" s="9"/>
      <c r="AH1911" s="9"/>
      <c r="AI1911" s="9"/>
    </row>
    <row r="1912" ht="15.0" customHeight="1">
      <c r="A1912" s="11">
        <v>1911.0</v>
      </c>
      <c r="B1912" s="12">
        <f t="shared" si="307"/>
        <v>40137</v>
      </c>
      <c r="C1912" s="13">
        <v>2009.0</v>
      </c>
      <c r="D1912" s="11" t="s">
        <v>39</v>
      </c>
      <c r="E1912" s="11">
        <v>46.0</v>
      </c>
      <c r="F1912" s="21" t="s">
        <v>369</v>
      </c>
      <c r="G1912" s="15">
        <v>0.08565549915397634</v>
      </c>
      <c r="H1912" s="11" t="s">
        <v>45</v>
      </c>
      <c r="I1912" s="16">
        <v>29.288</v>
      </c>
      <c r="J1912" s="11" t="s">
        <v>992</v>
      </c>
      <c r="K1912" s="11" t="s">
        <v>61</v>
      </c>
      <c r="L1912" s="11" t="s">
        <v>48</v>
      </c>
      <c r="M1912" s="11" t="s">
        <v>49</v>
      </c>
      <c r="N1912" s="11" t="s">
        <v>156</v>
      </c>
      <c r="O1912" s="11" t="s">
        <v>1885</v>
      </c>
      <c r="P1912" s="11" t="s">
        <v>87</v>
      </c>
      <c r="Q1912" s="20">
        <v>40138.0</v>
      </c>
      <c r="R1912" s="17">
        <f t="shared" si="2"/>
        <v>231.4315653</v>
      </c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>
        <f t="shared" si="8"/>
        <v>4</v>
      </c>
      <c r="AF1912" s="19">
        <f t="shared" si="13"/>
        <v>4</v>
      </c>
      <c r="AG1912" s="9"/>
      <c r="AH1912" s="9"/>
      <c r="AI1912" s="9"/>
    </row>
    <row r="1913" ht="15.0" customHeight="1">
      <c r="A1913" s="11">
        <v>1912.0</v>
      </c>
      <c r="B1913" s="12">
        <f t="shared" si="307"/>
        <v>40137</v>
      </c>
      <c r="C1913" s="13">
        <v>2009.0</v>
      </c>
      <c r="D1913" s="11" t="s">
        <v>32</v>
      </c>
      <c r="E1913" s="11">
        <v>20.0</v>
      </c>
      <c r="F1913" s="21" t="s">
        <v>521</v>
      </c>
      <c r="G1913" s="15">
        <v>0.09396166983698429</v>
      </c>
      <c r="H1913" s="11" t="s">
        <v>45</v>
      </c>
      <c r="I1913" s="16">
        <v>55.712</v>
      </c>
      <c r="J1913" s="11" t="s">
        <v>222</v>
      </c>
      <c r="K1913" s="11" t="s">
        <v>65</v>
      </c>
      <c r="L1913" s="11" t="s">
        <v>48</v>
      </c>
      <c r="M1913" s="11" t="s">
        <v>49</v>
      </c>
      <c r="N1913" s="11" t="s">
        <v>85</v>
      </c>
      <c r="O1913" s="11" t="s">
        <v>522</v>
      </c>
      <c r="P1913" s="11" t="s">
        <v>87</v>
      </c>
      <c r="Q1913" s="20">
        <v>40138.0</v>
      </c>
      <c r="R1913" s="17">
        <f t="shared" si="2"/>
        <v>416.2231364</v>
      </c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>
        <f t="shared" si="8"/>
        <v>4</v>
      </c>
      <c r="AF1913" s="19">
        <f t="shared" si="13"/>
        <v>5</v>
      </c>
      <c r="AG1913" s="9"/>
      <c r="AH1913" s="9"/>
      <c r="AI1913" s="9"/>
    </row>
    <row r="1914" ht="15.0" customHeight="1">
      <c r="A1914" s="11">
        <v>1913.0</v>
      </c>
      <c r="B1914" s="12">
        <f t="shared" si="307"/>
        <v>40137</v>
      </c>
      <c r="C1914" s="13">
        <v>2009.0</v>
      </c>
      <c r="D1914" s="11" t="s">
        <v>32</v>
      </c>
      <c r="E1914" s="11">
        <v>23.0</v>
      </c>
      <c r="F1914" s="21" t="s">
        <v>641</v>
      </c>
      <c r="G1914" s="15">
        <v>0.05617262918796152</v>
      </c>
      <c r="H1914" s="11" t="s">
        <v>33</v>
      </c>
      <c r="I1914" s="16">
        <v>5.816</v>
      </c>
      <c r="J1914" s="11" t="s">
        <v>222</v>
      </c>
      <c r="K1914" s="11" t="s">
        <v>65</v>
      </c>
      <c r="L1914" s="11" t="s">
        <v>48</v>
      </c>
      <c r="M1914" s="11" t="s">
        <v>28</v>
      </c>
      <c r="N1914" s="11" t="s">
        <v>42</v>
      </c>
      <c r="O1914" s="11" t="s">
        <v>642</v>
      </c>
      <c r="P1914" s="11" t="s">
        <v>38</v>
      </c>
      <c r="Q1914" s="20">
        <v>40138.0</v>
      </c>
      <c r="R1914" s="17">
        <f t="shared" si="2"/>
        <v>18.6726807</v>
      </c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>
        <f t="shared" si="8"/>
        <v>4</v>
      </c>
      <c r="AF1914" s="19">
        <f t="shared" si="13"/>
        <v>5</v>
      </c>
      <c r="AG1914" s="9"/>
      <c r="AH1914" s="9"/>
      <c r="AI1914" s="9"/>
    </row>
    <row r="1915" ht="15.0" customHeight="1">
      <c r="A1915" s="11">
        <v>1914.0</v>
      </c>
      <c r="B1915" s="12">
        <f t="shared" si="307"/>
        <v>40137</v>
      </c>
      <c r="C1915" s="13">
        <v>2009.0</v>
      </c>
      <c r="D1915" s="11" t="s">
        <v>44</v>
      </c>
      <c r="E1915" s="11">
        <v>3.0</v>
      </c>
      <c r="F1915" s="21" t="s">
        <v>1261</v>
      </c>
      <c r="G1915" s="15">
        <v>0.030646992054483575</v>
      </c>
      <c r="H1915" s="11" t="s">
        <v>33</v>
      </c>
      <c r="I1915" s="16">
        <v>3.2</v>
      </c>
      <c r="J1915" s="11" t="s">
        <v>2012</v>
      </c>
      <c r="K1915" s="11" t="s">
        <v>61</v>
      </c>
      <c r="L1915" s="11" t="s">
        <v>41</v>
      </c>
      <c r="M1915" s="11" t="s">
        <v>66</v>
      </c>
      <c r="N1915" s="11" t="s">
        <v>67</v>
      </c>
      <c r="O1915" s="11" t="s">
        <v>1262</v>
      </c>
      <c r="P1915" s="11" t="s">
        <v>38</v>
      </c>
      <c r="Q1915" s="20">
        <v>40138.0</v>
      </c>
      <c r="R1915" s="17">
        <f t="shared" si="2"/>
        <v>2.617253121</v>
      </c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>
        <f t="shared" si="8"/>
        <v>3</v>
      </c>
      <c r="AF1915" s="19">
        <f t="shared" si="13"/>
        <v>4</v>
      </c>
      <c r="AG1915" s="9"/>
      <c r="AH1915" s="9"/>
      <c r="AI1915" s="9"/>
    </row>
    <row r="1916" ht="15.0" customHeight="1">
      <c r="A1916" s="11">
        <v>1915.0</v>
      </c>
      <c r="B1916" s="12">
        <f t="shared" si="307"/>
        <v>40137</v>
      </c>
      <c r="C1916" s="13">
        <v>2009.0</v>
      </c>
      <c r="D1916" s="11" t="s">
        <v>44</v>
      </c>
      <c r="E1916" s="11">
        <v>5.0</v>
      </c>
      <c r="F1916" s="21" t="s">
        <v>1551</v>
      </c>
      <c r="G1916" s="15">
        <v>0.0858761061946902</v>
      </c>
      <c r="H1916" s="11" t="s">
        <v>33</v>
      </c>
      <c r="I1916" s="16">
        <v>1.6480000000000001</v>
      </c>
      <c r="J1916" s="11" t="s">
        <v>2012</v>
      </c>
      <c r="K1916" s="11" t="s">
        <v>61</v>
      </c>
      <c r="L1916" s="11" t="s">
        <v>41</v>
      </c>
      <c r="M1916" s="11" t="s">
        <v>28</v>
      </c>
      <c r="N1916" s="11" t="s">
        <v>56</v>
      </c>
      <c r="O1916" s="11" t="s">
        <v>1552</v>
      </c>
      <c r="P1916" s="11" t="s">
        <v>58</v>
      </c>
      <c r="Q1916" s="20">
        <v>40138.0</v>
      </c>
      <c r="R1916" s="17">
        <f t="shared" si="2"/>
        <v>4.435329133</v>
      </c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>
        <f t="shared" si="8"/>
        <v>3</v>
      </c>
      <c r="AF1916" s="19">
        <f t="shared" si="13"/>
        <v>4</v>
      </c>
      <c r="AG1916" s="9"/>
      <c r="AH1916" s="9"/>
      <c r="AI1916" s="9"/>
    </row>
    <row r="1917" ht="15.0" customHeight="1">
      <c r="A1917" s="11">
        <v>1916.0</v>
      </c>
      <c r="B1917" s="12">
        <f t="shared" si="307"/>
        <v>40137</v>
      </c>
      <c r="C1917" s="13">
        <v>2009.0</v>
      </c>
      <c r="D1917" s="11" t="s">
        <v>102</v>
      </c>
      <c r="E1917" s="11">
        <v>48.0</v>
      </c>
      <c r="F1917" s="21" t="s">
        <v>2013</v>
      </c>
      <c r="G1917" s="15">
        <v>0.08404361697062034</v>
      </c>
      <c r="H1917" s="11" t="s">
        <v>45</v>
      </c>
      <c r="I1917" s="16">
        <v>48.0</v>
      </c>
      <c r="J1917" s="11" t="s">
        <v>1831</v>
      </c>
      <c r="K1917" s="11" t="s">
        <v>61</v>
      </c>
      <c r="L1917" s="11" t="s">
        <v>48</v>
      </c>
      <c r="M1917" s="11" t="s">
        <v>49</v>
      </c>
      <c r="N1917" s="11" t="s">
        <v>85</v>
      </c>
      <c r="O1917" s="11" t="s">
        <v>2014</v>
      </c>
      <c r="P1917" s="11" t="s">
        <v>52</v>
      </c>
      <c r="Q1917" s="20">
        <v>40139.0</v>
      </c>
      <c r="R1917" s="17">
        <f t="shared" si="2"/>
        <v>646.6652064</v>
      </c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>
        <f t="shared" si="8"/>
        <v>4</v>
      </c>
      <c r="AF1917" s="19">
        <f t="shared" si="13"/>
        <v>4</v>
      </c>
      <c r="AG1917" s="9"/>
      <c r="AH1917" s="9"/>
      <c r="AI1917" s="9"/>
    </row>
    <row r="1918" ht="15.0" customHeight="1">
      <c r="A1918" s="11">
        <v>1917.0</v>
      </c>
      <c r="B1918" s="12">
        <f t="shared" si="307"/>
        <v>40137</v>
      </c>
      <c r="C1918" s="13">
        <v>2009.0</v>
      </c>
      <c r="D1918" s="11" t="s">
        <v>102</v>
      </c>
      <c r="E1918" s="11">
        <v>39.0</v>
      </c>
      <c r="F1918" s="21" t="s">
        <v>933</v>
      </c>
      <c r="G1918" s="15">
        <v>0.058537005905427035</v>
      </c>
      <c r="H1918" s="11" t="s">
        <v>33</v>
      </c>
      <c r="I1918" s="16">
        <v>4.0</v>
      </c>
      <c r="J1918" s="11" t="s">
        <v>1831</v>
      </c>
      <c r="K1918" s="11" t="s">
        <v>61</v>
      </c>
      <c r="L1918" s="11" t="s">
        <v>48</v>
      </c>
      <c r="M1918" s="11" t="s">
        <v>66</v>
      </c>
      <c r="N1918" s="11" t="s">
        <v>80</v>
      </c>
      <c r="O1918" s="11" t="s">
        <v>1026</v>
      </c>
      <c r="P1918" s="11" t="s">
        <v>99</v>
      </c>
      <c r="Q1918" s="20">
        <v>40139.0</v>
      </c>
      <c r="R1918" s="17">
        <f t="shared" si="2"/>
        <v>127.8506746</v>
      </c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>
        <f t="shared" si="8"/>
        <v>4</v>
      </c>
      <c r="AF1918" s="19">
        <f t="shared" si="13"/>
        <v>4</v>
      </c>
      <c r="AG1918" s="9"/>
      <c r="AH1918" s="9"/>
      <c r="AI1918" s="9"/>
    </row>
    <row r="1919" ht="15.0" customHeight="1">
      <c r="A1919" s="11">
        <v>1918.0</v>
      </c>
      <c r="B1919" s="12">
        <f t="shared" si="307"/>
        <v>40137</v>
      </c>
      <c r="C1919" s="13">
        <v>2009.0</v>
      </c>
      <c r="D1919" s="11" t="s">
        <v>102</v>
      </c>
      <c r="E1919" s="11">
        <v>29.0</v>
      </c>
      <c r="F1919" s="21" t="s">
        <v>130</v>
      </c>
      <c r="G1919" s="15">
        <v>0.07819536592834558</v>
      </c>
      <c r="H1919" s="11" t="s">
        <v>33</v>
      </c>
      <c r="I1919" s="16">
        <v>6.992000000000001</v>
      </c>
      <c r="J1919" s="11" t="s">
        <v>1831</v>
      </c>
      <c r="K1919" s="11" t="s">
        <v>61</v>
      </c>
      <c r="L1919" s="11" t="s">
        <v>48</v>
      </c>
      <c r="M1919" s="11" t="s">
        <v>28</v>
      </c>
      <c r="N1919" s="11" t="s">
        <v>56</v>
      </c>
      <c r="O1919" s="11" t="s">
        <v>776</v>
      </c>
      <c r="P1919" s="11" t="s">
        <v>38</v>
      </c>
      <c r="Q1919" s="20">
        <v>40139.0</v>
      </c>
      <c r="R1919" s="17">
        <f t="shared" si="2"/>
        <v>70.61760941</v>
      </c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>
        <f t="shared" si="8"/>
        <v>4</v>
      </c>
      <c r="AF1919" s="19">
        <f t="shared" si="13"/>
        <v>4</v>
      </c>
      <c r="AG1919" s="9"/>
      <c r="AH1919" s="9"/>
      <c r="AI1919" s="9"/>
    </row>
    <row r="1920" ht="15.0" customHeight="1">
      <c r="A1920" s="11">
        <v>1919.0</v>
      </c>
      <c r="B1920" s="12">
        <f t="shared" si="307"/>
        <v>40137</v>
      </c>
      <c r="C1920" s="13">
        <v>2009.0</v>
      </c>
      <c r="D1920" s="11" t="s">
        <v>39</v>
      </c>
      <c r="E1920" s="11">
        <v>7.0</v>
      </c>
      <c r="F1920" s="21" t="s">
        <v>715</v>
      </c>
      <c r="G1920" s="15">
        <v>0.09183768929427569</v>
      </c>
      <c r="H1920" s="11" t="s">
        <v>45</v>
      </c>
      <c r="I1920" s="16">
        <v>11.76</v>
      </c>
      <c r="J1920" s="11" t="s">
        <v>895</v>
      </c>
      <c r="K1920" s="11" t="s">
        <v>35</v>
      </c>
      <c r="L1920" s="11" t="s">
        <v>27</v>
      </c>
      <c r="M1920" s="11" t="s">
        <v>66</v>
      </c>
      <c r="N1920" s="11" t="s">
        <v>69</v>
      </c>
      <c r="O1920" s="11" t="s">
        <v>717</v>
      </c>
      <c r="P1920" s="11" t="s">
        <v>52</v>
      </c>
      <c r="Q1920" s="20">
        <v>40139.0</v>
      </c>
      <c r="R1920" s="17">
        <f t="shared" si="2"/>
        <v>285.2901083</v>
      </c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>
        <f t="shared" si="8"/>
        <v>1</v>
      </c>
      <c r="AF1920" s="19">
        <f t="shared" si="13"/>
        <v>2</v>
      </c>
      <c r="AG1920" s="9"/>
      <c r="AH1920" s="9"/>
      <c r="AI1920" s="9"/>
    </row>
    <row r="1921" ht="15.0" customHeight="1">
      <c r="A1921" s="11">
        <v>1920.0</v>
      </c>
      <c r="B1921" s="12">
        <f t="shared" si="307"/>
        <v>40137</v>
      </c>
      <c r="C1921" s="13">
        <v>2009.0</v>
      </c>
      <c r="D1921" s="11" t="s">
        <v>39</v>
      </c>
      <c r="E1921" s="11">
        <v>45.0</v>
      </c>
      <c r="F1921" s="21" t="s">
        <v>391</v>
      </c>
      <c r="G1921" s="15">
        <v>0.010472541507024199</v>
      </c>
      <c r="H1921" s="11" t="s">
        <v>33</v>
      </c>
      <c r="I1921" s="16">
        <v>2.8000000000000003</v>
      </c>
      <c r="J1921" s="11" t="s">
        <v>895</v>
      </c>
      <c r="K1921" s="11" t="s">
        <v>35</v>
      </c>
      <c r="L1921" s="11" t="s">
        <v>27</v>
      </c>
      <c r="M1921" s="11" t="s">
        <v>28</v>
      </c>
      <c r="N1921" s="11" t="s">
        <v>197</v>
      </c>
      <c r="O1921" s="11" t="s">
        <v>393</v>
      </c>
      <c r="P1921" s="11" t="s">
        <v>38</v>
      </c>
      <c r="Q1921" s="20">
        <v>40139.0</v>
      </c>
      <c r="R1921" s="17">
        <f t="shared" si="2"/>
        <v>28.39943806</v>
      </c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>
        <f t="shared" si="8"/>
        <v>1</v>
      </c>
      <c r="AF1921" s="19">
        <f t="shared" si="13"/>
        <v>2</v>
      </c>
      <c r="AG1921" s="9"/>
      <c r="AH1921" s="9"/>
      <c r="AI1921" s="9"/>
    </row>
    <row r="1922" ht="15.0" customHeight="1">
      <c r="A1922" s="11">
        <v>1921.0</v>
      </c>
      <c r="B1922" s="12">
        <f t="shared" si="307"/>
        <v>40137</v>
      </c>
      <c r="C1922" s="13">
        <v>2009.0</v>
      </c>
      <c r="D1922" s="11" t="s">
        <v>23</v>
      </c>
      <c r="E1922" s="11">
        <v>1.0</v>
      </c>
      <c r="F1922" s="21" t="s">
        <v>163</v>
      </c>
      <c r="G1922" s="15">
        <v>0.10307821698906644</v>
      </c>
      <c r="H1922" s="11" t="s">
        <v>33</v>
      </c>
      <c r="I1922" s="16">
        <v>5.744</v>
      </c>
      <c r="J1922" s="11" t="s">
        <v>1621</v>
      </c>
      <c r="K1922" s="11" t="s">
        <v>35</v>
      </c>
      <c r="L1922" s="11" t="s">
        <v>36</v>
      </c>
      <c r="M1922" s="11" t="s">
        <v>66</v>
      </c>
      <c r="N1922" s="11" t="s">
        <v>67</v>
      </c>
      <c r="O1922" s="11" t="s">
        <v>1181</v>
      </c>
      <c r="P1922" s="11" t="s">
        <v>38</v>
      </c>
      <c r="Q1922" s="20">
        <v>40139.0</v>
      </c>
      <c r="R1922" s="17">
        <f t="shared" si="2"/>
        <v>10.99267337</v>
      </c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>
        <f t="shared" si="8"/>
        <v>2</v>
      </c>
      <c r="AF1922" s="19">
        <f t="shared" si="13"/>
        <v>2</v>
      </c>
      <c r="AG1922" s="9"/>
      <c r="AH1922" s="9"/>
      <c r="AI1922" s="9"/>
    </row>
    <row r="1923" ht="15.0" customHeight="1">
      <c r="A1923" s="11">
        <v>1922.0</v>
      </c>
      <c r="B1923" s="12">
        <f t="shared" si="307"/>
        <v>40137</v>
      </c>
      <c r="C1923" s="13">
        <v>2009.0</v>
      </c>
      <c r="D1923" s="11" t="s">
        <v>23</v>
      </c>
      <c r="E1923" s="11">
        <v>34.0</v>
      </c>
      <c r="F1923" s="21" t="s">
        <v>100</v>
      </c>
      <c r="G1923" s="15">
        <v>0.02962531870080925</v>
      </c>
      <c r="H1923" s="11" t="s">
        <v>33</v>
      </c>
      <c r="I1923" s="16">
        <v>2.4000000000000004</v>
      </c>
      <c r="J1923" s="11" t="s">
        <v>1621</v>
      </c>
      <c r="K1923" s="11" t="s">
        <v>35</v>
      </c>
      <c r="L1923" s="11" t="s">
        <v>36</v>
      </c>
      <c r="M1923" s="11" t="s">
        <v>66</v>
      </c>
      <c r="N1923" s="11" t="s">
        <v>80</v>
      </c>
      <c r="O1923" s="11" t="s">
        <v>1595</v>
      </c>
      <c r="P1923" s="11" t="s">
        <v>38</v>
      </c>
      <c r="Q1923" s="20">
        <v>40139.0</v>
      </c>
      <c r="R1923" s="17">
        <f t="shared" si="2"/>
        <v>207.4661069</v>
      </c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>
        <f t="shared" si="8"/>
        <v>2</v>
      </c>
      <c r="AF1923" s="19">
        <f t="shared" si="13"/>
        <v>2</v>
      </c>
      <c r="AG1923" s="9"/>
      <c r="AH1923" s="9"/>
      <c r="AI1923" s="9"/>
    </row>
    <row r="1924" ht="15.0" customHeight="1">
      <c r="A1924" s="11">
        <v>1923.0</v>
      </c>
      <c r="B1924" s="12">
        <f t="shared" ref="B1924:B1927" si="308">DATE(2012,12,31)-1136</f>
        <v>40138</v>
      </c>
      <c r="C1924" s="13">
        <v>2009.0</v>
      </c>
      <c r="D1924" s="11" t="s">
        <v>32</v>
      </c>
      <c r="E1924" s="11">
        <v>18.0</v>
      </c>
      <c r="F1924" s="21" t="s">
        <v>1891</v>
      </c>
      <c r="G1924" s="15">
        <v>0.015103926096997608</v>
      </c>
      <c r="H1924" s="11" t="s">
        <v>33</v>
      </c>
      <c r="I1924" s="16">
        <v>3.184</v>
      </c>
      <c r="J1924" s="11" t="s">
        <v>1332</v>
      </c>
      <c r="K1924" s="11" t="s">
        <v>35</v>
      </c>
      <c r="L1924" s="11" t="s">
        <v>36</v>
      </c>
      <c r="M1924" s="11" t="s">
        <v>28</v>
      </c>
      <c r="N1924" s="11" t="s">
        <v>442</v>
      </c>
      <c r="O1924" s="11" t="s">
        <v>2015</v>
      </c>
      <c r="P1924" s="11" t="s">
        <v>99</v>
      </c>
      <c r="Q1924" s="20">
        <v>40140.0</v>
      </c>
      <c r="R1924" s="17">
        <f t="shared" si="2"/>
        <v>2.576488129</v>
      </c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>
        <f t="shared" si="8"/>
        <v>2</v>
      </c>
      <c r="AF1924" s="19">
        <f t="shared" si="13"/>
        <v>2</v>
      </c>
      <c r="AG1924" s="9"/>
      <c r="AH1924" s="9"/>
      <c r="AI1924" s="9"/>
    </row>
    <row r="1925" ht="15.0" customHeight="1">
      <c r="A1925" s="11">
        <v>1924.0</v>
      </c>
      <c r="B1925" s="12">
        <f t="shared" si="308"/>
        <v>40138</v>
      </c>
      <c r="C1925" s="13">
        <v>2009.0</v>
      </c>
      <c r="D1925" s="11" t="s">
        <v>44</v>
      </c>
      <c r="E1925" s="11">
        <v>23.0</v>
      </c>
      <c r="F1925" s="21" t="s">
        <v>122</v>
      </c>
      <c r="G1925" s="15">
        <v>0.0333159478435306</v>
      </c>
      <c r="H1925" s="11" t="s">
        <v>33</v>
      </c>
      <c r="I1925" s="16">
        <v>1.192</v>
      </c>
      <c r="J1925" s="11" t="s">
        <v>1950</v>
      </c>
      <c r="K1925" s="11" t="s">
        <v>65</v>
      </c>
      <c r="L1925" s="11" t="s">
        <v>36</v>
      </c>
      <c r="M1925" s="11" t="s">
        <v>28</v>
      </c>
      <c r="N1925" s="11" t="s">
        <v>42</v>
      </c>
      <c r="O1925" s="11" t="s">
        <v>1121</v>
      </c>
      <c r="P1925" s="11" t="s">
        <v>38</v>
      </c>
      <c r="Q1925" s="20">
        <v>40140.0</v>
      </c>
      <c r="R1925" s="17">
        <f t="shared" si="2"/>
        <v>16.05468874</v>
      </c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>
        <f t="shared" si="8"/>
        <v>2</v>
      </c>
      <c r="AF1925" s="19">
        <f t="shared" si="13"/>
        <v>5</v>
      </c>
      <c r="AG1925" s="9"/>
      <c r="AH1925" s="9"/>
      <c r="AI1925" s="9"/>
    </row>
    <row r="1926" ht="15.0" customHeight="1">
      <c r="A1926" s="11">
        <v>1925.0</v>
      </c>
      <c r="B1926" s="12">
        <f t="shared" si="308"/>
        <v>40138</v>
      </c>
      <c r="C1926" s="13">
        <v>2009.0</v>
      </c>
      <c r="D1926" s="11" t="s">
        <v>39</v>
      </c>
      <c r="E1926" s="11">
        <v>5.0</v>
      </c>
      <c r="F1926" s="21" t="s">
        <v>762</v>
      </c>
      <c r="G1926" s="15">
        <v>0.020308641975308572</v>
      </c>
      <c r="H1926" s="11" t="s">
        <v>33</v>
      </c>
      <c r="I1926" s="16">
        <v>3.9840000000000004</v>
      </c>
      <c r="J1926" s="11" t="s">
        <v>395</v>
      </c>
      <c r="K1926" s="11" t="s">
        <v>35</v>
      </c>
      <c r="L1926" s="11" t="s">
        <v>27</v>
      </c>
      <c r="M1926" s="11" t="s">
        <v>28</v>
      </c>
      <c r="N1926" s="11" t="s">
        <v>197</v>
      </c>
      <c r="O1926" s="11" t="s">
        <v>1001</v>
      </c>
      <c r="P1926" s="11" t="s">
        <v>38</v>
      </c>
      <c r="Q1926" s="20">
        <v>40140.0</v>
      </c>
      <c r="R1926" s="17">
        <f t="shared" si="2"/>
        <v>1.289273827</v>
      </c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>
        <f t="shared" si="8"/>
        <v>1</v>
      </c>
      <c r="AF1926" s="19">
        <f t="shared" si="13"/>
        <v>2</v>
      </c>
      <c r="AG1926" s="9"/>
      <c r="AH1926" s="9"/>
      <c r="AI1926" s="9"/>
    </row>
    <row r="1927" ht="15.0" customHeight="1">
      <c r="A1927" s="11">
        <v>1926.0</v>
      </c>
      <c r="B1927" s="12">
        <f t="shared" si="308"/>
        <v>40138</v>
      </c>
      <c r="C1927" s="13">
        <v>2009.0</v>
      </c>
      <c r="D1927" s="11" t="s">
        <v>44</v>
      </c>
      <c r="E1927" s="11">
        <v>33.0</v>
      </c>
      <c r="F1927" s="21" t="s">
        <v>743</v>
      </c>
      <c r="G1927" s="15">
        <v>0.08469143850499776</v>
      </c>
      <c r="H1927" s="11" t="s">
        <v>33</v>
      </c>
      <c r="I1927" s="16">
        <v>5.2</v>
      </c>
      <c r="J1927" s="11" t="s">
        <v>604</v>
      </c>
      <c r="K1927" s="11" t="s">
        <v>83</v>
      </c>
      <c r="L1927" s="11" t="s">
        <v>27</v>
      </c>
      <c r="M1927" s="11" t="s">
        <v>66</v>
      </c>
      <c r="N1927" s="11" t="s">
        <v>67</v>
      </c>
      <c r="O1927" s="11" t="s">
        <v>1864</v>
      </c>
      <c r="P1927" s="11" t="s">
        <v>38</v>
      </c>
      <c r="Q1927" s="20">
        <v>40140.0</v>
      </c>
      <c r="R1927" s="17">
        <f t="shared" si="2"/>
        <v>142.6966047</v>
      </c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>
        <f t="shared" si="8"/>
        <v>1</v>
      </c>
      <c r="AF1927" s="19" t="b">
        <f t="shared" si="13"/>
        <v>0</v>
      </c>
      <c r="AG1927" s="9"/>
      <c r="AH1927" s="9"/>
      <c r="AI1927" s="9"/>
    </row>
    <row r="1928" ht="15.0" customHeight="1">
      <c r="A1928" s="11">
        <v>1927.0</v>
      </c>
      <c r="B1928" s="12">
        <f t="shared" ref="B1928:B1931" si="309">DATE(2012,12,31)-1135</f>
        <v>40139</v>
      </c>
      <c r="C1928" s="13">
        <v>2009.0</v>
      </c>
      <c r="D1928" s="11" t="s">
        <v>32</v>
      </c>
      <c r="E1928" s="11">
        <v>27.0</v>
      </c>
      <c r="F1928" s="21" t="s">
        <v>1551</v>
      </c>
      <c r="G1928" s="15">
        <v>0.0722404371584699</v>
      </c>
      <c r="H1928" s="11" t="s">
        <v>33</v>
      </c>
      <c r="I1928" s="16">
        <v>1.6480000000000001</v>
      </c>
      <c r="J1928" s="11" t="s">
        <v>711</v>
      </c>
      <c r="K1928" s="11" t="s">
        <v>83</v>
      </c>
      <c r="L1928" s="11" t="s">
        <v>48</v>
      </c>
      <c r="M1928" s="11" t="s">
        <v>28</v>
      </c>
      <c r="N1928" s="11" t="s">
        <v>56</v>
      </c>
      <c r="O1928" s="11" t="s">
        <v>1552</v>
      </c>
      <c r="P1928" s="11" t="s">
        <v>58</v>
      </c>
      <c r="Q1928" s="20">
        <v>40140.0</v>
      </c>
      <c r="R1928" s="17">
        <f t="shared" si="2"/>
        <v>19.62397027</v>
      </c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>
        <f t="shared" si="8"/>
        <v>4</v>
      </c>
      <c r="AF1928" s="19" t="b">
        <f t="shared" si="13"/>
        <v>0</v>
      </c>
      <c r="AG1928" s="9"/>
      <c r="AH1928" s="9"/>
      <c r="AI1928" s="9"/>
    </row>
    <row r="1929" ht="15.0" customHeight="1">
      <c r="A1929" s="11">
        <v>1928.0</v>
      </c>
      <c r="B1929" s="12">
        <f t="shared" si="309"/>
        <v>40139</v>
      </c>
      <c r="C1929" s="13">
        <v>2009.0</v>
      </c>
      <c r="D1929" s="11" t="s">
        <v>32</v>
      </c>
      <c r="E1929" s="11">
        <v>34.0</v>
      </c>
      <c r="F1929" s="21" t="s">
        <v>277</v>
      </c>
      <c r="G1929" s="15">
        <v>0.11234449760765546</v>
      </c>
      <c r="H1929" s="11" t="s">
        <v>33</v>
      </c>
      <c r="I1929" s="16">
        <v>1.2560000000000002</v>
      </c>
      <c r="J1929" s="11" t="s">
        <v>711</v>
      </c>
      <c r="K1929" s="11" t="s">
        <v>83</v>
      </c>
      <c r="L1929" s="11" t="s">
        <v>48</v>
      </c>
      <c r="M1929" s="11" t="s">
        <v>28</v>
      </c>
      <c r="N1929" s="11" t="s">
        <v>62</v>
      </c>
      <c r="O1929" s="11" t="s">
        <v>355</v>
      </c>
      <c r="P1929" s="11" t="s">
        <v>58</v>
      </c>
      <c r="Q1929" s="20">
        <v>40141.0</v>
      </c>
      <c r="R1929" s="17">
        <f t="shared" si="2"/>
        <v>6.252645359</v>
      </c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>
        <f t="shared" si="8"/>
        <v>4</v>
      </c>
      <c r="AF1929" s="19" t="b">
        <f t="shared" si="13"/>
        <v>0</v>
      </c>
      <c r="AG1929" s="9"/>
      <c r="AH1929" s="9"/>
      <c r="AI1929" s="9"/>
    </row>
    <row r="1930" ht="15.0" customHeight="1">
      <c r="A1930" s="11">
        <v>1929.0</v>
      </c>
      <c r="B1930" s="12">
        <f t="shared" si="309"/>
        <v>40139</v>
      </c>
      <c r="C1930" s="13">
        <v>2009.0</v>
      </c>
      <c r="D1930" s="11" t="s">
        <v>102</v>
      </c>
      <c r="E1930" s="11">
        <v>48.0</v>
      </c>
      <c r="F1930" s="21" t="s">
        <v>142</v>
      </c>
      <c r="G1930" s="15">
        <v>0.012435126310362784</v>
      </c>
      <c r="H1930" s="11" t="s">
        <v>33</v>
      </c>
      <c r="I1930" s="16">
        <v>0.792</v>
      </c>
      <c r="J1930" s="11" t="s">
        <v>2016</v>
      </c>
      <c r="K1930" s="11" t="s">
        <v>35</v>
      </c>
      <c r="L1930" s="11" t="s">
        <v>36</v>
      </c>
      <c r="M1930" s="11" t="s">
        <v>66</v>
      </c>
      <c r="N1930" s="11" t="s">
        <v>80</v>
      </c>
      <c r="O1930" s="11" t="s">
        <v>1046</v>
      </c>
      <c r="P1930" s="11" t="s">
        <v>99</v>
      </c>
      <c r="Q1930" s="20">
        <v>40141.0</v>
      </c>
      <c r="R1930" s="17">
        <f t="shared" si="2"/>
        <v>21.43805828</v>
      </c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>
        <f t="shared" si="8"/>
        <v>2</v>
      </c>
      <c r="AF1930" s="19">
        <f t="shared" si="13"/>
        <v>2</v>
      </c>
      <c r="AG1930" s="9"/>
      <c r="AH1930" s="9"/>
      <c r="AI1930" s="9"/>
    </row>
    <row r="1931" ht="15.0" customHeight="1">
      <c r="A1931" s="11">
        <v>1930.0</v>
      </c>
      <c r="B1931" s="12">
        <f t="shared" si="309"/>
        <v>40139</v>
      </c>
      <c r="C1931" s="13">
        <v>2009.0</v>
      </c>
      <c r="D1931" s="11" t="s">
        <v>32</v>
      </c>
      <c r="E1931" s="11">
        <v>20.0</v>
      </c>
      <c r="F1931" s="21" t="s">
        <v>471</v>
      </c>
      <c r="G1931" s="15">
        <v>0.09407665505226487</v>
      </c>
      <c r="H1931" s="11" t="s">
        <v>33</v>
      </c>
      <c r="I1931" s="16">
        <v>28.0</v>
      </c>
      <c r="J1931" s="11" t="s">
        <v>196</v>
      </c>
      <c r="K1931" s="11" t="s">
        <v>65</v>
      </c>
      <c r="L1931" s="11" t="s">
        <v>27</v>
      </c>
      <c r="M1931" s="11" t="s">
        <v>28</v>
      </c>
      <c r="N1931" s="11" t="s">
        <v>29</v>
      </c>
      <c r="O1931" s="11" t="s">
        <v>472</v>
      </c>
      <c r="P1931" s="11" t="s">
        <v>31</v>
      </c>
      <c r="Q1931" s="20">
        <v>40141.0</v>
      </c>
      <c r="R1931" s="17">
        <f t="shared" si="2"/>
        <v>63.59581882</v>
      </c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>
        <f t="shared" si="8"/>
        <v>1</v>
      </c>
      <c r="AF1931" s="19">
        <f t="shared" si="13"/>
        <v>5</v>
      </c>
      <c r="AG1931" s="9"/>
      <c r="AH1931" s="9"/>
      <c r="AI1931" s="9"/>
    </row>
    <row r="1932" ht="15.0" customHeight="1">
      <c r="A1932" s="11">
        <v>1931.0</v>
      </c>
      <c r="B1932" s="12">
        <f t="shared" ref="B1932:B1942" si="310">DATE(2012,12,31)-1134</f>
        <v>40140</v>
      </c>
      <c r="C1932" s="13">
        <v>2009.0</v>
      </c>
      <c r="D1932" s="11" t="s">
        <v>44</v>
      </c>
      <c r="E1932" s="11">
        <v>35.0</v>
      </c>
      <c r="F1932" s="21" t="s">
        <v>1881</v>
      </c>
      <c r="G1932" s="15">
        <v>0.041182329837631954</v>
      </c>
      <c r="H1932" s="11" t="s">
        <v>33</v>
      </c>
      <c r="I1932" s="16">
        <v>15.991999999999999</v>
      </c>
      <c r="J1932" s="11" t="s">
        <v>1123</v>
      </c>
      <c r="K1932" s="11" t="s">
        <v>61</v>
      </c>
      <c r="L1932" s="11" t="s">
        <v>48</v>
      </c>
      <c r="M1932" s="11" t="s">
        <v>28</v>
      </c>
      <c r="N1932" s="11" t="s">
        <v>42</v>
      </c>
      <c r="O1932" s="11" t="s">
        <v>1882</v>
      </c>
      <c r="P1932" s="11" t="s">
        <v>38</v>
      </c>
      <c r="Q1932" s="20">
        <v>40142.0</v>
      </c>
      <c r="R1932" s="17">
        <f t="shared" si="2"/>
        <v>97.5194276</v>
      </c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>
        <f t="shared" si="8"/>
        <v>4</v>
      </c>
      <c r="AF1932" s="19">
        <f t="shared" si="13"/>
        <v>4</v>
      </c>
      <c r="AG1932" s="9"/>
      <c r="AH1932" s="9"/>
      <c r="AI1932" s="9"/>
    </row>
    <row r="1933" ht="15.0" customHeight="1">
      <c r="A1933" s="11">
        <v>1932.0</v>
      </c>
      <c r="B1933" s="12">
        <f t="shared" si="310"/>
        <v>40140</v>
      </c>
      <c r="C1933" s="13">
        <v>2009.0</v>
      </c>
      <c r="D1933" s="11" t="s">
        <v>44</v>
      </c>
      <c r="E1933" s="11">
        <v>49.0</v>
      </c>
      <c r="F1933" s="21" t="s">
        <v>766</v>
      </c>
      <c r="G1933" s="15">
        <v>0.09299269662921338</v>
      </c>
      <c r="H1933" s="11" t="s">
        <v>45</v>
      </c>
      <c r="I1933" s="16">
        <v>43.792</v>
      </c>
      <c r="J1933" s="11" t="s">
        <v>1123</v>
      </c>
      <c r="K1933" s="11" t="s">
        <v>61</v>
      </c>
      <c r="L1933" s="11" t="s">
        <v>48</v>
      </c>
      <c r="M1933" s="11" t="s">
        <v>49</v>
      </c>
      <c r="N1933" s="11" t="s">
        <v>156</v>
      </c>
      <c r="O1933" s="11" t="s">
        <v>767</v>
      </c>
      <c r="P1933" s="11" t="s">
        <v>87</v>
      </c>
      <c r="Q1933" s="20">
        <v>40142.0</v>
      </c>
      <c r="R1933" s="17">
        <f t="shared" si="2"/>
        <v>600.5367916</v>
      </c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>
        <f t="shared" si="8"/>
        <v>4</v>
      </c>
      <c r="AF1933" s="19">
        <f t="shared" si="13"/>
        <v>4</v>
      </c>
      <c r="AG1933" s="9"/>
      <c r="AH1933" s="9"/>
      <c r="AI1933" s="9"/>
    </row>
    <row r="1934" ht="15.0" customHeight="1">
      <c r="A1934" s="11">
        <v>1933.0</v>
      </c>
      <c r="B1934" s="12">
        <f t="shared" si="310"/>
        <v>40140</v>
      </c>
      <c r="C1934" s="13">
        <v>2009.0</v>
      </c>
      <c r="D1934" s="11" t="s">
        <v>44</v>
      </c>
      <c r="E1934" s="11">
        <v>33.0</v>
      </c>
      <c r="F1934" s="21" t="s">
        <v>204</v>
      </c>
      <c r="G1934" s="15">
        <v>0.06825232678386757</v>
      </c>
      <c r="H1934" s="11" t="s">
        <v>33</v>
      </c>
      <c r="I1934" s="16">
        <v>1.0</v>
      </c>
      <c r="J1934" s="11" t="s">
        <v>1123</v>
      </c>
      <c r="K1934" s="11" t="s">
        <v>61</v>
      </c>
      <c r="L1934" s="11" t="s">
        <v>48</v>
      </c>
      <c r="M1934" s="11" t="s">
        <v>28</v>
      </c>
      <c r="N1934" s="11" t="s">
        <v>62</v>
      </c>
      <c r="O1934" s="11" t="s">
        <v>1105</v>
      </c>
      <c r="P1934" s="11" t="s">
        <v>58</v>
      </c>
      <c r="Q1934" s="20">
        <v>40142.0</v>
      </c>
      <c r="R1934" s="17">
        <f t="shared" si="2"/>
        <v>6.149534643</v>
      </c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>
        <f t="shared" si="8"/>
        <v>4</v>
      </c>
      <c r="AF1934" s="19">
        <f t="shared" si="13"/>
        <v>4</v>
      </c>
      <c r="AG1934" s="9"/>
      <c r="AH1934" s="9"/>
      <c r="AI1934" s="9"/>
    </row>
    <row r="1935" ht="15.0" customHeight="1">
      <c r="A1935" s="11">
        <v>1934.0</v>
      </c>
      <c r="B1935" s="12">
        <f t="shared" si="310"/>
        <v>40140</v>
      </c>
      <c r="C1935" s="13">
        <v>2009.0</v>
      </c>
      <c r="D1935" s="11" t="s">
        <v>39</v>
      </c>
      <c r="E1935" s="11">
        <v>28.0</v>
      </c>
      <c r="F1935" s="21" t="s">
        <v>144</v>
      </c>
      <c r="G1935" s="15">
        <v>0.05156482861400885</v>
      </c>
      <c r="H1935" s="11" t="s">
        <v>33</v>
      </c>
      <c r="I1935" s="16">
        <v>4.84</v>
      </c>
      <c r="J1935" s="11" t="s">
        <v>2017</v>
      </c>
      <c r="K1935" s="11" t="s">
        <v>65</v>
      </c>
      <c r="L1935" s="11" t="s">
        <v>48</v>
      </c>
      <c r="M1935" s="11" t="s">
        <v>28</v>
      </c>
      <c r="N1935" s="11" t="s">
        <v>42</v>
      </c>
      <c r="O1935" s="11" t="s">
        <v>542</v>
      </c>
      <c r="P1935" s="11" t="s">
        <v>38</v>
      </c>
      <c r="Q1935" s="20">
        <v>40142.0</v>
      </c>
      <c r="R1935" s="17">
        <f t="shared" si="2"/>
        <v>3.281585693</v>
      </c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>
        <f t="shared" si="8"/>
        <v>4</v>
      </c>
      <c r="AF1935" s="19">
        <f t="shared" si="13"/>
        <v>5</v>
      </c>
      <c r="AG1935" s="9"/>
      <c r="AH1935" s="9"/>
      <c r="AI1935" s="9"/>
    </row>
    <row r="1936" ht="15.0" customHeight="1">
      <c r="A1936" s="11">
        <v>1935.0</v>
      </c>
      <c r="B1936" s="12">
        <f t="shared" si="310"/>
        <v>40140</v>
      </c>
      <c r="C1936" s="13">
        <v>2009.0</v>
      </c>
      <c r="D1936" s="11" t="s">
        <v>39</v>
      </c>
      <c r="E1936" s="11">
        <v>3.0</v>
      </c>
      <c r="F1936" s="21" t="s">
        <v>889</v>
      </c>
      <c r="G1936" s="15">
        <v>0.0908951406649615</v>
      </c>
      <c r="H1936" s="11" t="s">
        <v>33</v>
      </c>
      <c r="I1936" s="16">
        <v>7.192</v>
      </c>
      <c r="J1936" s="11" t="s">
        <v>2017</v>
      </c>
      <c r="K1936" s="11" t="s">
        <v>65</v>
      </c>
      <c r="L1936" s="11" t="s">
        <v>48</v>
      </c>
      <c r="M1936" s="11" t="s">
        <v>28</v>
      </c>
      <c r="N1936" s="11" t="s">
        <v>62</v>
      </c>
      <c r="O1936" s="11" t="s">
        <v>890</v>
      </c>
      <c r="P1936" s="11" t="s">
        <v>99</v>
      </c>
      <c r="Q1936" s="20">
        <v>40142.0</v>
      </c>
      <c r="R1936" s="17">
        <f t="shared" si="2"/>
        <v>6.46191734</v>
      </c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>
        <f t="shared" si="8"/>
        <v>4</v>
      </c>
      <c r="AF1936" s="19">
        <f t="shared" si="13"/>
        <v>5</v>
      </c>
      <c r="AG1936" s="9"/>
      <c r="AH1936" s="9"/>
      <c r="AI1936" s="9"/>
    </row>
    <row r="1937" ht="15.0" customHeight="1">
      <c r="A1937" s="11">
        <v>1936.0</v>
      </c>
      <c r="B1937" s="12">
        <f t="shared" si="310"/>
        <v>40140</v>
      </c>
      <c r="C1937" s="13">
        <v>2009.0</v>
      </c>
      <c r="D1937" s="11" t="s">
        <v>23</v>
      </c>
      <c r="E1937" s="11">
        <v>9.0</v>
      </c>
      <c r="F1937" s="21" t="s">
        <v>1091</v>
      </c>
      <c r="G1937" s="15">
        <v>0.04095185390149422</v>
      </c>
      <c r="H1937" s="11" t="s">
        <v>33</v>
      </c>
      <c r="I1937" s="16">
        <v>28.0</v>
      </c>
      <c r="J1937" s="11" t="s">
        <v>626</v>
      </c>
      <c r="K1937" s="11" t="s">
        <v>61</v>
      </c>
      <c r="L1937" s="11" t="s">
        <v>27</v>
      </c>
      <c r="M1937" s="11" t="s">
        <v>28</v>
      </c>
      <c r="N1937" s="11" t="s">
        <v>29</v>
      </c>
      <c r="O1937" s="11" t="s">
        <v>2018</v>
      </c>
      <c r="P1937" s="11" t="s">
        <v>31</v>
      </c>
      <c r="Q1937" s="20">
        <v>40142.0</v>
      </c>
      <c r="R1937" s="17">
        <f t="shared" si="2"/>
        <v>14.19391256</v>
      </c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>
        <f t="shared" si="8"/>
        <v>1</v>
      </c>
      <c r="AF1937" s="19">
        <f t="shared" si="13"/>
        <v>4</v>
      </c>
      <c r="AG1937" s="9"/>
      <c r="AH1937" s="9"/>
      <c r="AI1937" s="9"/>
    </row>
    <row r="1938" ht="15.0" customHeight="1">
      <c r="A1938" s="11">
        <v>1937.0</v>
      </c>
      <c r="B1938" s="12">
        <f t="shared" si="310"/>
        <v>40140</v>
      </c>
      <c r="C1938" s="13">
        <v>2009.0</v>
      </c>
      <c r="D1938" s="11" t="s">
        <v>102</v>
      </c>
      <c r="E1938" s="11">
        <v>4.0</v>
      </c>
      <c r="F1938" s="21" t="s">
        <v>1057</v>
      </c>
      <c r="G1938" s="15">
        <v>0.06838709677419352</v>
      </c>
      <c r="H1938" s="11" t="s">
        <v>33</v>
      </c>
      <c r="I1938" s="16">
        <v>3.672</v>
      </c>
      <c r="J1938" s="11" t="s">
        <v>1554</v>
      </c>
      <c r="K1938" s="11" t="s">
        <v>61</v>
      </c>
      <c r="L1938" s="11" t="s">
        <v>27</v>
      </c>
      <c r="M1938" s="11" t="s">
        <v>28</v>
      </c>
      <c r="N1938" s="11" t="s">
        <v>442</v>
      </c>
      <c r="O1938" s="11" t="s">
        <v>1059</v>
      </c>
      <c r="P1938" s="11" t="s">
        <v>58</v>
      </c>
      <c r="Q1938" s="20">
        <v>40142.0</v>
      </c>
      <c r="R1938" s="17">
        <f t="shared" si="2"/>
        <v>3.752536774</v>
      </c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>
        <f t="shared" si="8"/>
        <v>1</v>
      </c>
      <c r="AF1938" s="19">
        <f t="shared" si="13"/>
        <v>4</v>
      </c>
      <c r="AG1938" s="9"/>
      <c r="AH1938" s="9"/>
      <c r="AI1938" s="9"/>
    </row>
    <row r="1939" ht="15.0" customHeight="1">
      <c r="A1939" s="11">
        <v>1938.0</v>
      </c>
      <c r="B1939" s="12">
        <f t="shared" si="310"/>
        <v>40140</v>
      </c>
      <c r="C1939" s="13">
        <v>2009.0</v>
      </c>
      <c r="D1939" s="11" t="s">
        <v>44</v>
      </c>
      <c r="E1939" s="11">
        <v>36.0</v>
      </c>
      <c r="F1939" s="21" t="s">
        <v>1265</v>
      </c>
      <c r="G1939" s="15">
        <v>0.0677811550151976</v>
      </c>
      <c r="H1939" s="11" t="s">
        <v>33</v>
      </c>
      <c r="I1939" s="16">
        <v>5.0</v>
      </c>
      <c r="J1939" s="11" t="s">
        <v>1108</v>
      </c>
      <c r="K1939" s="11" t="s">
        <v>47</v>
      </c>
      <c r="L1939" s="11" t="s">
        <v>27</v>
      </c>
      <c r="M1939" s="11" t="s">
        <v>28</v>
      </c>
      <c r="N1939" s="11" t="s">
        <v>29</v>
      </c>
      <c r="O1939" s="11" t="s">
        <v>2019</v>
      </c>
      <c r="P1939" s="11" t="s">
        <v>38</v>
      </c>
      <c r="Q1939" s="20">
        <v>40142.0</v>
      </c>
      <c r="R1939" s="17">
        <f t="shared" si="2"/>
        <v>41.57696049</v>
      </c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>
        <f t="shared" si="8"/>
        <v>1</v>
      </c>
      <c r="AF1939" s="19">
        <f t="shared" si="13"/>
        <v>3</v>
      </c>
      <c r="AG1939" s="9"/>
      <c r="AH1939" s="9"/>
      <c r="AI1939" s="9"/>
    </row>
    <row r="1940" ht="15.0" customHeight="1">
      <c r="A1940" s="11">
        <v>1939.0</v>
      </c>
      <c r="B1940" s="12">
        <f t="shared" si="310"/>
        <v>40140</v>
      </c>
      <c r="C1940" s="13">
        <v>2009.0</v>
      </c>
      <c r="D1940" s="11" t="s">
        <v>102</v>
      </c>
      <c r="E1940" s="11">
        <v>37.0</v>
      </c>
      <c r="F1940" s="21" t="s">
        <v>1538</v>
      </c>
      <c r="G1940" s="15">
        <v>0.04934218950064031</v>
      </c>
      <c r="H1940" s="11" t="s">
        <v>33</v>
      </c>
      <c r="I1940" s="16">
        <v>11.584000000000001</v>
      </c>
      <c r="J1940" s="11" t="s">
        <v>533</v>
      </c>
      <c r="K1940" s="11" t="s">
        <v>35</v>
      </c>
      <c r="L1940" s="11" t="s">
        <v>48</v>
      </c>
      <c r="M1940" s="11" t="s">
        <v>49</v>
      </c>
      <c r="N1940" s="11" t="s">
        <v>73</v>
      </c>
      <c r="O1940" s="11" t="s">
        <v>1539</v>
      </c>
      <c r="P1940" s="11" t="s">
        <v>38</v>
      </c>
      <c r="Q1940" s="20">
        <v>40142.0</v>
      </c>
      <c r="R1940" s="17">
        <f t="shared" si="2"/>
        <v>117.2313186</v>
      </c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>
        <f t="shared" si="8"/>
        <v>4</v>
      </c>
      <c r="AF1940" s="19">
        <f t="shared" si="13"/>
        <v>2</v>
      </c>
      <c r="AG1940" s="9"/>
      <c r="AH1940" s="9"/>
      <c r="AI1940" s="9"/>
    </row>
    <row r="1941" ht="15.0" customHeight="1">
      <c r="A1941" s="11">
        <v>1940.0</v>
      </c>
      <c r="B1941" s="12">
        <f t="shared" si="310"/>
        <v>40140</v>
      </c>
      <c r="C1941" s="13">
        <v>2009.0</v>
      </c>
      <c r="D1941" s="11" t="s">
        <v>102</v>
      </c>
      <c r="E1941" s="11">
        <v>39.0</v>
      </c>
      <c r="F1941" s="21" t="s">
        <v>591</v>
      </c>
      <c r="G1941" s="15">
        <v>0.005836197021764063</v>
      </c>
      <c r="H1941" s="11" t="s">
        <v>24</v>
      </c>
      <c r="I1941" s="16">
        <v>4.024</v>
      </c>
      <c r="J1941" s="11" t="s">
        <v>533</v>
      </c>
      <c r="K1941" s="11" t="s">
        <v>35</v>
      </c>
      <c r="L1941" s="11" t="s">
        <v>48</v>
      </c>
      <c r="M1941" s="11" t="s">
        <v>49</v>
      </c>
      <c r="N1941" s="11" t="s">
        <v>73</v>
      </c>
      <c r="O1941" s="11" t="s">
        <v>2020</v>
      </c>
      <c r="P1941" s="11" t="s">
        <v>38</v>
      </c>
      <c r="Q1941" s="20">
        <v>40142.0</v>
      </c>
      <c r="R1941" s="17">
        <f t="shared" si="2"/>
        <v>4.052211661</v>
      </c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>
        <f t="shared" si="8"/>
        <v>4</v>
      </c>
      <c r="AF1941" s="19">
        <f t="shared" si="13"/>
        <v>2</v>
      </c>
      <c r="AG1941" s="9"/>
      <c r="AH1941" s="9"/>
      <c r="AI1941" s="9"/>
    </row>
    <row r="1942" ht="15.0" customHeight="1">
      <c r="A1942" s="11">
        <v>1941.0</v>
      </c>
      <c r="B1942" s="12">
        <f t="shared" si="310"/>
        <v>40140</v>
      </c>
      <c r="C1942" s="13">
        <v>2009.0</v>
      </c>
      <c r="D1942" s="11" t="s">
        <v>102</v>
      </c>
      <c r="E1942" s="11">
        <v>48.0</v>
      </c>
      <c r="F1942" s="21" t="s">
        <v>2021</v>
      </c>
      <c r="G1942" s="15">
        <v>0.04788793647403735</v>
      </c>
      <c r="H1942" s="11" t="s">
        <v>33</v>
      </c>
      <c r="I1942" s="16">
        <v>11.192</v>
      </c>
      <c r="J1942" s="11" t="s">
        <v>1602</v>
      </c>
      <c r="K1942" s="11" t="s">
        <v>117</v>
      </c>
      <c r="L1942" s="11" t="s">
        <v>36</v>
      </c>
      <c r="M1942" s="11" t="s">
        <v>66</v>
      </c>
      <c r="N1942" s="11" t="s">
        <v>69</v>
      </c>
      <c r="O1942" s="11" t="s">
        <v>2022</v>
      </c>
      <c r="P1942" s="11" t="s">
        <v>75</v>
      </c>
      <c r="Q1942" s="20">
        <v>40143.0</v>
      </c>
      <c r="R1942" s="17">
        <f t="shared" si="2"/>
        <v>469.6844978</v>
      </c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>
        <f t="shared" si="8"/>
        <v>2</v>
      </c>
      <c r="AF1942" s="19" t="b">
        <f t="shared" si="13"/>
        <v>0</v>
      </c>
      <c r="AG1942" s="9"/>
      <c r="AH1942" s="9"/>
      <c r="AI1942" s="9"/>
    </row>
    <row r="1943" ht="15.0" customHeight="1">
      <c r="A1943" s="11">
        <v>1942.0</v>
      </c>
      <c r="B1943" s="12">
        <f t="shared" ref="B1943:B1948" si="311">DATE(2012,12,31)-1133</f>
        <v>40141</v>
      </c>
      <c r="C1943" s="13">
        <v>2009.0</v>
      </c>
      <c r="D1943" s="11" t="s">
        <v>39</v>
      </c>
      <c r="E1943" s="11">
        <v>48.0</v>
      </c>
      <c r="F1943" s="21" t="s">
        <v>469</v>
      </c>
      <c r="G1943" s="15">
        <v>0.061564697083021785</v>
      </c>
      <c r="H1943" s="11" t="s">
        <v>45</v>
      </c>
      <c r="I1943" s="16">
        <v>11.488</v>
      </c>
      <c r="J1943" s="11" t="s">
        <v>120</v>
      </c>
      <c r="K1943" s="11" t="s">
        <v>35</v>
      </c>
      <c r="L1943" s="11" t="s">
        <v>48</v>
      </c>
      <c r="M1943" s="11" t="s">
        <v>49</v>
      </c>
      <c r="N1943" s="11" t="s">
        <v>50</v>
      </c>
      <c r="O1943" s="11" t="s">
        <v>470</v>
      </c>
      <c r="P1943" s="11" t="s">
        <v>52</v>
      </c>
      <c r="Q1943" s="20">
        <v>40143.0</v>
      </c>
      <c r="R1943" s="17">
        <f t="shared" si="2"/>
        <v>77.24448665</v>
      </c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>
        <f t="shared" si="8"/>
        <v>4</v>
      </c>
      <c r="AF1943" s="19">
        <f t="shared" si="13"/>
        <v>2</v>
      </c>
      <c r="AG1943" s="9"/>
      <c r="AH1943" s="9"/>
      <c r="AI1943" s="9"/>
    </row>
    <row r="1944" ht="15.0" customHeight="1">
      <c r="A1944" s="11">
        <v>1943.0</v>
      </c>
      <c r="B1944" s="12">
        <f t="shared" si="311"/>
        <v>40141</v>
      </c>
      <c r="C1944" s="13">
        <v>2009.0</v>
      </c>
      <c r="D1944" s="11" t="s">
        <v>23</v>
      </c>
      <c r="E1944" s="11">
        <v>11.0</v>
      </c>
      <c r="F1944" s="21" t="s">
        <v>122</v>
      </c>
      <c r="G1944" s="15">
        <v>0.03395309882747082</v>
      </c>
      <c r="H1944" s="11" t="s">
        <v>33</v>
      </c>
      <c r="I1944" s="16">
        <v>0.792</v>
      </c>
      <c r="J1944" s="11" t="s">
        <v>751</v>
      </c>
      <c r="K1944" s="11" t="s">
        <v>61</v>
      </c>
      <c r="L1944" s="11" t="s">
        <v>41</v>
      </c>
      <c r="M1944" s="11" t="s">
        <v>66</v>
      </c>
      <c r="N1944" s="11" t="s">
        <v>80</v>
      </c>
      <c r="O1944" s="11" t="s">
        <v>1321</v>
      </c>
      <c r="P1944" s="11" t="s">
        <v>58</v>
      </c>
      <c r="Q1944" s="20">
        <v>40143.0</v>
      </c>
      <c r="R1944" s="17">
        <f t="shared" si="2"/>
        <v>7.832708275</v>
      </c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>
        <f t="shared" si="8"/>
        <v>3</v>
      </c>
      <c r="AF1944" s="19">
        <f t="shared" si="13"/>
        <v>4</v>
      </c>
      <c r="AG1944" s="9"/>
      <c r="AH1944" s="9"/>
      <c r="AI1944" s="9"/>
    </row>
    <row r="1945" ht="15.0" customHeight="1">
      <c r="A1945" s="11">
        <v>1944.0</v>
      </c>
      <c r="B1945" s="12">
        <f t="shared" si="311"/>
        <v>40141</v>
      </c>
      <c r="C1945" s="13">
        <v>2009.0</v>
      </c>
      <c r="D1945" s="11" t="s">
        <v>39</v>
      </c>
      <c r="E1945" s="11">
        <v>16.0</v>
      </c>
      <c r="F1945" s="21" t="s">
        <v>1710</v>
      </c>
      <c r="G1945" s="15">
        <v>0.07081031644411934</v>
      </c>
      <c r="H1945" s="11" t="s">
        <v>45</v>
      </c>
      <c r="I1945" s="16">
        <v>41.552</v>
      </c>
      <c r="J1945" s="11" t="s">
        <v>213</v>
      </c>
      <c r="K1945" s="11" t="s">
        <v>47</v>
      </c>
      <c r="L1945" s="11" t="s">
        <v>48</v>
      </c>
      <c r="M1945" s="11" t="s">
        <v>49</v>
      </c>
      <c r="N1945" s="11" t="s">
        <v>85</v>
      </c>
      <c r="O1945" s="11" t="s">
        <v>1711</v>
      </c>
      <c r="P1945" s="11" t="s">
        <v>87</v>
      </c>
      <c r="Q1945" s="20">
        <v>40143.0</v>
      </c>
      <c r="R1945" s="17">
        <f t="shared" si="2"/>
        <v>143.8831641</v>
      </c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>
        <f t="shared" si="8"/>
        <v>4</v>
      </c>
      <c r="AF1945" s="19">
        <f t="shared" si="13"/>
        <v>3</v>
      </c>
      <c r="AG1945" s="9"/>
      <c r="AH1945" s="9"/>
      <c r="AI1945" s="9"/>
    </row>
    <row r="1946" ht="15.0" customHeight="1">
      <c r="A1946" s="11">
        <v>1945.0</v>
      </c>
      <c r="B1946" s="12">
        <f t="shared" si="311"/>
        <v>40141</v>
      </c>
      <c r="C1946" s="13">
        <v>2009.0</v>
      </c>
      <c r="D1946" s="11" t="s">
        <v>32</v>
      </c>
      <c r="E1946" s="11">
        <v>26.0</v>
      </c>
      <c r="F1946" s="21" t="s">
        <v>1523</v>
      </c>
      <c r="G1946" s="15">
        <v>0.061017751479289874</v>
      </c>
      <c r="H1946" s="11" t="s">
        <v>33</v>
      </c>
      <c r="I1946" s="16">
        <v>6.720000000000001</v>
      </c>
      <c r="J1946" s="11" t="s">
        <v>2023</v>
      </c>
      <c r="K1946" s="11" t="s">
        <v>83</v>
      </c>
      <c r="L1946" s="11" t="s">
        <v>36</v>
      </c>
      <c r="M1946" s="11" t="s">
        <v>28</v>
      </c>
      <c r="N1946" s="11" t="s">
        <v>42</v>
      </c>
      <c r="O1946" s="11" t="s">
        <v>1525</v>
      </c>
      <c r="P1946" s="11" t="s">
        <v>38</v>
      </c>
      <c r="Q1946" s="20">
        <v>40143.0</v>
      </c>
      <c r="R1946" s="17">
        <f t="shared" si="2"/>
        <v>24.20696237</v>
      </c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>
        <f t="shared" si="8"/>
        <v>2</v>
      </c>
      <c r="AF1946" s="19" t="b">
        <f t="shared" si="13"/>
        <v>0</v>
      </c>
      <c r="AG1946" s="9"/>
      <c r="AH1946" s="9"/>
      <c r="AI1946" s="9"/>
    </row>
    <row r="1947" ht="15.0" customHeight="1">
      <c r="A1947" s="11">
        <v>1946.0</v>
      </c>
      <c r="B1947" s="12">
        <f t="shared" si="311"/>
        <v>40141</v>
      </c>
      <c r="C1947" s="13">
        <v>2009.0</v>
      </c>
      <c r="D1947" s="11" t="s">
        <v>32</v>
      </c>
      <c r="E1947" s="11">
        <v>14.0</v>
      </c>
      <c r="F1947" s="21" t="s">
        <v>1078</v>
      </c>
      <c r="G1947" s="15">
        <v>0.0905519937451134</v>
      </c>
      <c r="H1947" s="11" t="s">
        <v>33</v>
      </c>
      <c r="I1947" s="16">
        <v>15.991999999999999</v>
      </c>
      <c r="J1947" s="11" t="s">
        <v>2023</v>
      </c>
      <c r="K1947" s="11" t="s">
        <v>83</v>
      </c>
      <c r="L1947" s="11" t="s">
        <v>36</v>
      </c>
      <c r="M1947" s="11" t="s">
        <v>66</v>
      </c>
      <c r="N1947" s="11" t="s">
        <v>67</v>
      </c>
      <c r="O1947" s="11" t="s">
        <v>1079</v>
      </c>
      <c r="P1947" s="11" t="s">
        <v>38</v>
      </c>
      <c r="Q1947" s="20">
        <v>40143.0</v>
      </c>
      <c r="R1947" s="17">
        <f t="shared" si="2"/>
        <v>52.66431515</v>
      </c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>
        <f t="shared" si="8"/>
        <v>2</v>
      </c>
      <c r="AF1947" s="19" t="b">
        <f t="shared" si="13"/>
        <v>0</v>
      </c>
      <c r="AG1947" s="9"/>
      <c r="AH1947" s="9"/>
      <c r="AI1947" s="9"/>
    </row>
    <row r="1948" ht="15.0" customHeight="1">
      <c r="A1948" s="11">
        <v>1947.0</v>
      </c>
      <c r="B1948" s="12">
        <f t="shared" si="311"/>
        <v>40141</v>
      </c>
      <c r="C1948" s="13">
        <v>2009.0</v>
      </c>
      <c r="D1948" s="11" t="s">
        <v>32</v>
      </c>
      <c r="E1948" s="11">
        <v>1.0</v>
      </c>
      <c r="F1948" s="21" t="s">
        <v>610</v>
      </c>
      <c r="G1948" s="15">
        <v>0.11378238341968919</v>
      </c>
      <c r="H1948" s="11" t="s">
        <v>33</v>
      </c>
      <c r="I1948" s="16">
        <v>4.904</v>
      </c>
      <c r="J1948" s="11" t="s">
        <v>2023</v>
      </c>
      <c r="K1948" s="11" t="s">
        <v>83</v>
      </c>
      <c r="L1948" s="11" t="s">
        <v>36</v>
      </c>
      <c r="M1948" s="11" t="s">
        <v>28</v>
      </c>
      <c r="N1948" s="11" t="s">
        <v>29</v>
      </c>
      <c r="O1948" s="11" t="s">
        <v>1969</v>
      </c>
      <c r="P1948" s="11" t="s">
        <v>38</v>
      </c>
      <c r="Q1948" s="20">
        <v>40143.0</v>
      </c>
      <c r="R1948" s="17">
        <f t="shared" si="2"/>
        <v>1.946133886</v>
      </c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>
        <f t="shared" si="8"/>
        <v>2</v>
      </c>
      <c r="AF1948" s="19" t="b">
        <f t="shared" si="13"/>
        <v>0</v>
      </c>
      <c r="AG1948" s="9"/>
      <c r="AH1948" s="9"/>
      <c r="AI1948" s="9"/>
    </row>
    <row r="1949" ht="15.0" customHeight="1">
      <c r="A1949" s="11">
        <v>1948.0</v>
      </c>
      <c r="B1949" s="12">
        <f t="shared" ref="B1949:B1958" si="312">DATE(2012,12,31)-1132</f>
        <v>40142</v>
      </c>
      <c r="C1949" s="13">
        <v>2009.0</v>
      </c>
      <c r="D1949" s="11" t="s">
        <v>23</v>
      </c>
      <c r="E1949" s="11">
        <v>16.0</v>
      </c>
      <c r="F1949" s="21" t="s">
        <v>372</v>
      </c>
      <c r="G1949" s="15">
        <v>0.0686157253599114</v>
      </c>
      <c r="H1949" s="11" t="s">
        <v>33</v>
      </c>
      <c r="I1949" s="16">
        <v>1.1119999999999999</v>
      </c>
      <c r="J1949" s="11" t="s">
        <v>1654</v>
      </c>
      <c r="K1949" s="11" t="s">
        <v>117</v>
      </c>
      <c r="L1949" s="11" t="s">
        <v>36</v>
      </c>
      <c r="M1949" s="11" t="s">
        <v>28</v>
      </c>
      <c r="N1949" s="11" t="s">
        <v>236</v>
      </c>
      <c r="O1949" s="11" t="s">
        <v>374</v>
      </c>
      <c r="P1949" s="11" t="s">
        <v>38</v>
      </c>
      <c r="Q1949" s="20">
        <v>40143.0</v>
      </c>
      <c r="R1949" s="17">
        <f t="shared" si="2"/>
        <v>17.3125709</v>
      </c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>
        <f t="shared" si="8"/>
        <v>2</v>
      </c>
      <c r="AF1949" s="19" t="b">
        <f t="shared" si="13"/>
        <v>0</v>
      </c>
      <c r="AG1949" s="9"/>
      <c r="AH1949" s="9"/>
      <c r="AI1949" s="9"/>
    </row>
    <row r="1950" ht="15.0" customHeight="1">
      <c r="A1950" s="11">
        <v>1949.0</v>
      </c>
      <c r="B1950" s="12">
        <f t="shared" si="312"/>
        <v>40142</v>
      </c>
      <c r="C1950" s="13">
        <v>2009.0</v>
      </c>
      <c r="D1950" s="11" t="s">
        <v>44</v>
      </c>
      <c r="E1950" s="11">
        <v>24.0</v>
      </c>
      <c r="F1950" s="21" t="s">
        <v>128</v>
      </c>
      <c r="G1950" s="15">
        <v>0.08373910939012572</v>
      </c>
      <c r="H1950" s="11" t="s">
        <v>33</v>
      </c>
      <c r="I1950" s="16">
        <v>7.192</v>
      </c>
      <c r="J1950" s="11" t="s">
        <v>485</v>
      </c>
      <c r="K1950" s="11" t="s">
        <v>47</v>
      </c>
      <c r="L1950" s="11" t="s">
        <v>41</v>
      </c>
      <c r="M1950" s="11" t="s">
        <v>66</v>
      </c>
      <c r="N1950" s="11" t="s">
        <v>80</v>
      </c>
      <c r="O1950" s="11" t="s">
        <v>875</v>
      </c>
      <c r="P1950" s="11" t="s">
        <v>38</v>
      </c>
      <c r="Q1950" s="20">
        <v>40143.0</v>
      </c>
      <c r="R1950" s="17">
        <f t="shared" si="2"/>
        <v>253.6283446</v>
      </c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>
        <f t="shared" si="8"/>
        <v>3</v>
      </c>
      <c r="AF1950" s="19">
        <f t="shared" si="13"/>
        <v>3</v>
      </c>
      <c r="AG1950" s="9"/>
      <c r="AH1950" s="9"/>
      <c r="AI1950" s="9"/>
    </row>
    <row r="1951" ht="15.0" customHeight="1">
      <c r="A1951" s="11">
        <v>1950.0</v>
      </c>
      <c r="B1951" s="12">
        <f t="shared" si="312"/>
        <v>40142</v>
      </c>
      <c r="C1951" s="13">
        <v>2009.0</v>
      </c>
      <c r="D1951" s="11" t="s">
        <v>102</v>
      </c>
      <c r="E1951" s="11">
        <v>49.0</v>
      </c>
      <c r="F1951" s="21" t="s">
        <v>1548</v>
      </c>
      <c r="G1951" s="15">
        <v>0.04324372759856638</v>
      </c>
      <c r="H1951" s="11" t="s">
        <v>33</v>
      </c>
      <c r="I1951" s="16">
        <v>1.592</v>
      </c>
      <c r="J1951" s="11" t="s">
        <v>1664</v>
      </c>
      <c r="K1951" s="11" t="s">
        <v>35</v>
      </c>
      <c r="L1951" s="11" t="s">
        <v>48</v>
      </c>
      <c r="M1951" s="11" t="s">
        <v>66</v>
      </c>
      <c r="N1951" s="11" t="s">
        <v>67</v>
      </c>
      <c r="O1951" s="11" t="s">
        <v>1549</v>
      </c>
      <c r="P1951" s="11" t="s">
        <v>99</v>
      </c>
      <c r="Q1951" s="20">
        <v>40144.0</v>
      </c>
      <c r="R1951" s="17">
        <f t="shared" si="2"/>
        <v>36.93844616</v>
      </c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>
        <f t="shared" si="8"/>
        <v>4</v>
      </c>
      <c r="AF1951" s="19">
        <f t="shared" si="13"/>
        <v>2</v>
      </c>
      <c r="AG1951" s="9"/>
      <c r="AH1951" s="9"/>
      <c r="AI1951" s="9"/>
    </row>
    <row r="1952" ht="15.0" customHeight="1">
      <c r="A1952" s="11">
        <v>1951.0</v>
      </c>
      <c r="B1952" s="12">
        <f t="shared" si="312"/>
        <v>40142</v>
      </c>
      <c r="C1952" s="13">
        <v>2009.0</v>
      </c>
      <c r="D1952" s="11" t="s">
        <v>102</v>
      </c>
      <c r="E1952" s="11">
        <v>24.0</v>
      </c>
      <c r="F1952" s="21" t="s">
        <v>740</v>
      </c>
      <c r="G1952" s="15">
        <v>0.04822917900332935</v>
      </c>
      <c r="H1952" s="11" t="s">
        <v>33</v>
      </c>
      <c r="I1952" s="16">
        <v>11.192</v>
      </c>
      <c r="J1952" s="11" t="s">
        <v>1664</v>
      </c>
      <c r="K1952" s="11" t="s">
        <v>35</v>
      </c>
      <c r="L1952" s="11" t="s">
        <v>48</v>
      </c>
      <c r="M1952" s="11" t="s">
        <v>66</v>
      </c>
      <c r="N1952" s="11" t="s">
        <v>69</v>
      </c>
      <c r="O1952" s="11" t="s">
        <v>2024</v>
      </c>
      <c r="P1952" s="11" t="s">
        <v>75</v>
      </c>
      <c r="Q1952" s="20">
        <v>40144.0</v>
      </c>
      <c r="R1952" s="17">
        <f t="shared" si="2"/>
        <v>348.8316201</v>
      </c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>
        <f t="shared" si="8"/>
        <v>4</v>
      </c>
      <c r="AF1952" s="19">
        <f t="shared" si="13"/>
        <v>2</v>
      </c>
      <c r="AG1952" s="9"/>
      <c r="AH1952" s="9"/>
      <c r="AI1952" s="9"/>
    </row>
    <row r="1953" ht="15.0" customHeight="1">
      <c r="A1953" s="11">
        <v>1952.0</v>
      </c>
      <c r="B1953" s="12">
        <f t="shared" si="312"/>
        <v>40142</v>
      </c>
      <c r="C1953" s="13">
        <v>2009.0</v>
      </c>
      <c r="D1953" s="11" t="s">
        <v>102</v>
      </c>
      <c r="E1953" s="11">
        <v>13.0</v>
      </c>
      <c r="F1953" s="21" t="s">
        <v>100</v>
      </c>
      <c r="G1953" s="15">
        <v>0.03921006415540649</v>
      </c>
      <c r="H1953" s="11" t="s">
        <v>24</v>
      </c>
      <c r="I1953" s="16">
        <v>4.0</v>
      </c>
      <c r="J1953" s="11" t="s">
        <v>1664</v>
      </c>
      <c r="K1953" s="11" t="s">
        <v>35</v>
      </c>
      <c r="L1953" s="11" t="s">
        <v>48</v>
      </c>
      <c r="M1953" s="11" t="s">
        <v>66</v>
      </c>
      <c r="N1953" s="11" t="s">
        <v>80</v>
      </c>
      <c r="O1953" s="11" t="s">
        <v>2025</v>
      </c>
      <c r="P1953" s="11" t="s">
        <v>38</v>
      </c>
      <c r="Q1953" s="20">
        <v>40144.0</v>
      </c>
      <c r="R1953" s="17">
        <f t="shared" si="2"/>
        <v>105.110419</v>
      </c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>
        <f t="shared" si="8"/>
        <v>4</v>
      </c>
      <c r="AF1953" s="19">
        <f t="shared" si="13"/>
        <v>2</v>
      </c>
      <c r="AG1953" s="9"/>
      <c r="AH1953" s="9"/>
      <c r="AI1953" s="9"/>
    </row>
    <row r="1954" ht="15.0" customHeight="1">
      <c r="A1954" s="11">
        <v>1953.0</v>
      </c>
      <c r="B1954" s="12">
        <f t="shared" si="312"/>
        <v>40142</v>
      </c>
      <c r="C1954" s="13">
        <v>2009.0</v>
      </c>
      <c r="D1954" s="11" t="s">
        <v>102</v>
      </c>
      <c r="E1954" s="11">
        <v>35.0</v>
      </c>
      <c r="F1954" s="21" t="s">
        <v>425</v>
      </c>
      <c r="G1954" s="15">
        <v>0.051939660926445086</v>
      </c>
      <c r="H1954" s="11" t="s">
        <v>33</v>
      </c>
      <c r="I1954" s="16">
        <v>3.192</v>
      </c>
      <c r="J1954" s="11" t="s">
        <v>412</v>
      </c>
      <c r="K1954" s="11" t="s">
        <v>35</v>
      </c>
      <c r="L1954" s="11" t="s">
        <v>27</v>
      </c>
      <c r="M1954" s="11" t="s">
        <v>28</v>
      </c>
      <c r="N1954" s="11" t="s">
        <v>197</v>
      </c>
      <c r="O1954" s="11" t="s">
        <v>1853</v>
      </c>
      <c r="P1954" s="11" t="s">
        <v>38</v>
      </c>
      <c r="Q1954" s="20">
        <v>40144.0</v>
      </c>
      <c r="R1954" s="17">
        <f t="shared" si="2"/>
        <v>36.88713167</v>
      </c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>
        <f t="shared" si="8"/>
        <v>1</v>
      </c>
      <c r="AF1954" s="19">
        <f t="shared" si="13"/>
        <v>2</v>
      </c>
      <c r="AG1954" s="9"/>
      <c r="AH1954" s="9"/>
      <c r="AI1954" s="9"/>
    </row>
    <row r="1955" ht="15.0" customHeight="1">
      <c r="A1955" s="11">
        <v>1954.0</v>
      </c>
      <c r="B1955" s="12">
        <f t="shared" si="312"/>
        <v>40142</v>
      </c>
      <c r="C1955" s="13">
        <v>2009.0</v>
      </c>
      <c r="D1955" s="11" t="s">
        <v>102</v>
      </c>
      <c r="E1955" s="11">
        <v>7.0</v>
      </c>
      <c r="F1955" s="21" t="s">
        <v>245</v>
      </c>
      <c r="G1955" s="15">
        <v>0.06844155844155857</v>
      </c>
      <c r="H1955" s="11" t="s">
        <v>33</v>
      </c>
      <c r="I1955" s="16">
        <v>5.5760000000000005</v>
      </c>
      <c r="J1955" s="11" t="s">
        <v>285</v>
      </c>
      <c r="K1955" s="11" t="s">
        <v>26</v>
      </c>
      <c r="L1955" s="11" t="s">
        <v>27</v>
      </c>
      <c r="M1955" s="11" t="s">
        <v>28</v>
      </c>
      <c r="N1955" s="11" t="s">
        <v>236</v>
      </c>
      <c r="O1955" s="11" t="s">
        <v>376</v>
      </c>
      <c r="P1955" s="11" t="s">
        <v>38</v>
      </c>
      <c r="Q1955" s="20">
        <v>40145.0</v>
      </c>
      <c r="R1955" s="17">
        <f t="shared" si="2"/>
        <v>5.891175584</v>
      </c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>
        <f t="shared" si="8"/>
        <v>1</v>
      </c>
      <c r="AF1955" s="19">
        <f t="shared" si="13"/>
        <v>1</v>
      </c>
      <c r="AG1955" s="9"/>
      <c r="AH1955" s="9"/>
      <c r="AI1955" s="9"/>
    </row>
    <row r="1956" ht="15.0" customHeight="1">
      <c r="A1956" s="11">
        <v>1955.0</v>
      </c>
      <c r="B1956" s="12">
        <f t="shared" si="312"/>
        <v>40142</v>
      </c>
      <c r="C1956" s="13">
        <v>2009.0</v>
      </c>
      <c r="D1956" s="11" t="s">
        <v>102</v>
      </c>
      <c r="E1956" s="11">
        <v>4.0</v>
      </c>
      <c r="F1956" s="21" t="s">
        <v>506</v>
      </c>
      <c r="G1956" s="15">
        <v>0.030872483221476447</v>
      </c>
      <c r="H1956" s="11" t="s">
        <v>33</v>
      </c>
      <c r="I1956" s="16">
        <v>1.2800000000000002</v>
      </c>
      <c r="J1956" s="11" t="s">
        <v>395</v>
      </c>
      <c r="K1956" s="11" t="s">
        <v>35</v>
      </c>
      <c r="L1956" s="11" t="s">
        <v>27</v>
      </c>
      <c r="M1956" s="11" t="s">
        <v>28</v>
      </c>
      <c r="N1956" s="11" t="s">
        <v>56</v>
      </c>
      <c r="O1956" s="11" t="s">
        <v>508</v>
      </c>
      <c r="P1956" s="11" t="s">
        <v>58</v>
      </c>
      <c r="Q1956" s="20">
        <v>40145.0</v>
      </c>
      <c r="R1956" s="17">
        <f t="shared" si="2"/>
        <v>0.8915973154</v>
      </c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>
        <f t="shared" si="8"/>
        <v>1</v>
      </c>
      <c r="AF1956" s="19">
        <f t="shared" si="13"/>
        <v>2</v>
      </c>
      <c r="AG1956" s="9"/>
      <c r="AH1956" s="9"/>
      <c r="AI1956" s="9"/>
    </row>
    <row r="1957" ht="15.0" customHeight="1">
      <c r="A1957" s="11">
        <v>1956.0</v>
      </c>
      <c r="B1957" s="12">
        <f t="shared" si="312"/>
        <v>40142</v>
      </c>
      <c r="C1957" s="13">
        <v>2009.0</v>
      </c>
      <c r="D1957" s="11" t="s">
        <v>39</v>
      </c>
      <c r="E1957" s="11">
        <v>50.0</v>
      </c>
      <c r="F1957" s="21" t="s">
        <v>881</v>
      </c>
      <c r="G1957" s="15">
        <v>0.013820078226857917</v>
      </c>
      <c r="H1957" s="11" t="s">
        <v>33</v>
      </c>
      <c r="I1957" s="16">
        <v>3.2</v>
      </c>
      <c r="J1957" s="11" t="s">
        <v>1120</v>
      </c>
      <c r="K1957" s="11" t="s">
        <v>35</v>
      </c>
      <c r="L1957" s="11" t="s">
        <v>36</v>
      </c>
      <c r="M1957" s="11" t="s">
        <v>49</v>
      </c>
      <c r="N1957" s="11" t="s">
        <v>73</v>
      </c>
      <c r="O1957" s="11" t="s">
        <v>883</v>
      </c>
      <c r="P1957" s="11" t="s">
        <v>58</v>
      </c>
      <c r="Q1957" s="20">
        <v>40145.0</v>
      </c>
      <c r="R1957" s="17">
        <f t="shared" si="2"/>
        <v>5.226753585</v>
      </c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>
        <f t="shared" si="8"/>
        <v>2</v>
      </c>
      <c r="AF1957" s="19">
        <f t="shared" si="13"/>
        <v>2</v>
      </c>
      <c r="AG1957" s="9"/>
      <c r="AH1957" s="9"/>
      <c r="AI1957" s="9"/>
    </row>
    <row r="1958" ht="15.0" customHeight="1">
      <c r="A1958" s="11">
        <v>1957.0</v>
      </c>
      <c r="B1958" s="12">
        <f t="shared" si="312"/>
        <v>40142</v>
      </c>
      <c r="C1958" s="13">
        <v>2009.0</v>
      </c>
      <c r="D1958" s="11" t="s">
        <v>39</v>
      </c>
      <c r="E1958" s="11">
        <v>31.0</v>
      </c>
      <c r="F1958" s="21" t="s">
        <v>103</v>
      </c>
      <c r="G1958" s="15">
        <v>0.09873491067117325</v>
      </c>
      <c r="H1958" s="11" t="s">
        <v>33</v>
      </c>
      <c r="I1958" s="16">
        <v>3.7520000000000007</v>
      </c>
      <c r="J1958" s="11" t="s">
        <v>1120</v>
      </c>
      <c r="K1958" s="11" t="s">
        <v>35</v>
      </c>
      <c r="L1958" s="11" t="s">
        <v>36</v>
      </c>
      <c r="M1958" s="11" t="s">
        <v>28</v>
      </c>
      <c r="N1958" s="11" t="s">
        <v>29</v>
      </c>
      <c r="O1958" s="11" t="s">
        <v>37</v>
      </c>
      <c r="P1958" s="11" t="s">
        <v>38</v>
      </c>
      <c r="Q1958" s="20">
        <v>40145.0</v>
      </c>
      <c r="R1958" s="17">
        <f t="shared" si="2"/>
        <v>18.42906855</v>
      </c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>
        <f t="shared" si="8"/>
        <v>2</v>
      </c>
      <c r="AF1958" s="19">
        <f t="shared" si="13"/>
        <v>2</v>
      </c>
      <c r="AG1958" s="9"/>
      <c r="AH1958" s="9"/>
      <c r="AI1958" s="9"/>
    </row>
    <row r="1959" ht="15.0" customHeight="1">
      <c r="A1959" s="11">
        <v>1958.0</v>
      </c>
      <c r="B1959" s="12">
        <f t="shared" ref="B1959:B1961" si="313">DATE(2012,12,31)-1131</f>
        <v>40143</v>
      </c>
      <c r="C1959" s="13">
        <v>2009.0</v>
      </c>
      <c r="D1959" s="11" t="s">
        <v>39</v>
      </c>
      <c r="E1959" s="11">
        <v>49.0</v>
      </c>
      <c r="F1959" s="21" t="s">
        <v>1074</v>
      </c>
      <c r="G1959" s="15">
        <v>0.03550195104647032</v>
      </c>
      <c r="H1959" s="11" t="s">
        <v>33</v>
      </c>
      <c r="I1959" s="16">
        <v>2.3920000000000003</v>
      </c>
      <c r="J1959" s="11" t="s">
        <v>2026</v>
      </c>
      <c r="K1959" s="11" t="s">
        <v>65</v>
      </c>
      <c r="L1959" s="11" t="s">
        <v>41</v>
      </c>
      <c r="M1959" s="11" t="s">
        <v>28</v>
      </c>
      <c r="N1959" s="11" t="s">
        <v>42</v>
      </c>
      <c r="O1959" s="11" t="s">
        <v>84</v>
      </c>
      <c r="P1959" s="11" t="s">
        <v>38</v>
      </c>
      <c r="Q1959" s="20">
        <v>40145.0</v>
      </c>
      <c r="R1959" s="17">
        <f t="shared" si="2"/>
        <v>9.652696474</v>
      </c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>
        <f t="shared" si="8"/>
        <v>3</v>
      </c>
      <c r="AF1959" s="19">
        <f t="shared" si="13"/>
        <v>5</v>
      </c>
      <c r="AG1959" s="9"/>
      <c r="AH1959" s="9"/>
      <c r="AI1959" s="9"/>
    </row>
    <row r="1960" ht="15.0" customHeight="1">
      <c r="A1960" s="11">
        <v>1959.0</v>
      </c>
      <c r="B1960" s="12">
        <f t="shared" si="313"/>
        <v>40143</v>
      </c>
      <c r="C1960" s="13">
        <v>2009.0</v>
      </c>
      <c r="D1960" s="11" t="s">
        <v>39</v>
      </c>
      <c r="E1960" s="11">
        <v>15.0</v>
      </c>
      <c r="F1960" s="21" t="s">
        <v>668</v>
      </c>
      <c r="G1960" s="15">
        <v>0.06786271450858027</v>
      </c>
      <c r="H1960" s="11" t="s">
        <v>33</v>
      </c>
      <c r="I1960" s="16">
        <v>1.0</v>
      </c>
      <c r="J1960" s="11" t="s">
        <v>2026</v>
      </c>
      <c r="K1960" s="11" t="s">
        <v>65</v>
      </c>
      <c r="L1960" s="11" t="s">
        <v>41</v>
      </c>
      <c r="M1960" s="11" t="s">
        <v>28</v>
      </c>
      <c r="N1960" s="11" t="s">
        <v>56</v>
      </c>
      <c r="O1960" s="11" t="s">
        <v>669</v>
      </c>
      <c r="P1960" s="11" t="s">
        <v>58</v>
      </c>
      <c r="Q1960" s="20">
        <v>40146.0</v>
      </c>
      <c r="R1960" s="17">
        <f t="shared" si="2"/>
        <v>8.109594384</v>
      </c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>
        <f t="shared" si="8"/>
        <v>3</v>
      </c>
      <c r="AF1960" s="19">
        <f t="shared" si="13"/>
        <v>5</v>
      </c>
      <c r="AG1960" s="9"/>
      <c r="AH1960" s="9"/>
      <c r="AI1960" s="9"/>
    </row>
    <row r="1961" ht="15.0" customHeight="1">
      <c r="A1961" s="11">
        <v>1960.0</v>
      </c>
      <c r="B1961" s="12">
        <f t="shared" si="313"/>
        <v>40143</v>
      </c>
      <c r="C1961" s="13">
        <v>2009.0</v>
      </c>
      <c r="D1961" s="11" t="s">
        <v>39</v>
      </c>
      <c r="E1961" s="11">
        <v>42.0</v>
      </c>
      <c r="F1961" s="21" t="s">
        <v>1739</v>
      </c>
      <c r="G1961" s="15">
        <v>0.021303678357570376</v>
      </c>
      <c r="H1961" s="11" t="s">
        <v>33</v>
      </c>
      <c r="I1961" s="16">
        <v>15.991999999999999</v>
      </c>
      <c r="J1961" s="11" t="s">
        <v>2026</v>
      </c>
      <c r="K1961" s="11" t="s">
        <v>65</v>
      </c>
      <c r="L1961" s="11" t="s">
        <v>41</v>
      </c>
      <c r="M1961" s="11" t="s">
        <v>28</v>
      </c>
      <c r="N1961" s="11" t="s">
        <v>29</v>
      </c>
      <c r="O1961" s="11" t="s">
        <v>1740</v>
      </c>
      <c r="P1961" s="11" t="s">
        <v>38</v>
      </c>
      <c r="Q1961" s="20">
        <v>40146.0</v>
      </c>
      <c r="R1961" s="17">
        <f t="shared" si="2"/>
        <v>48.74690639</v>
      </c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>
        <f t="shared" si="8"/>
        <v>3</v>
      </c>
      <c r="AF1961" s="19">
        <f t="shared" si="13"/>
        <v>5</v>
      </c>
      <c r="AG1961" s="9"/>
      <c r="AH1961" s="9"/>
      <c r="AI1961" s="9"/>
    </row>
    <row r="1962" ht="15.0" customHeight="1">
      <c r="A1962" s="11">
        <v>1961.0</v>
      </c>
      <c r="B1962" s="12">
        <f>DATE(2012,12,31)-1130</f>
        <v>40144</v>
      </c>
      <c r="C1962" s="13">
        <v>2009.0</v>
      </c>
      <c r="D1962" s="11" t="s">
        <v>32</v>
      </c>
      <c r="E1962" s="11">
        <v>29.0</v>
      </c>
      <c r="F1962" s="21" t="s">
        <v>169</v>
      </c>
      <c r="G1962" s="15">
        <v>0.02948366047415925</v>
      </c>
      <c r="H1962" s="11" t="s">
        <v>33</v>
      </c>
      <c r="I1962" s="16">
        <v>19.592</v>
      </c>
      <c r="J1962" s="11" t="s">
        <v>1123</v>
      </c>
      <c r="K1962" s="11" t="s">
        <v>61</v>
      </c>
      <c r="L1962" s="11" t="s">
        <v>48</v>
      </c>
      <c r="M1962" s="11" t="s">
        <v>66</v>
      </c>
      <c r="N1962" s="11" t="s">
        <v>170</v>
      </c>
      <c r="O1962" s="11" t="s">
        <v>171</v>
      </c>
      <c r="P1962" s="11" t="s">
        <v>31</v>
      </c>
      <c r="Q1962" s="20">
        <v>40146.0</v>
      </c>
      <c r="R1962" s="17">
        <f t="shared" si="2"/>
        <v>599.0104489</v>
      </c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>
        <f t="shared" si="8"/>
        <v>4</v>
      </c>
      <c r="AF1962" s="19">
        <f t="shared" si="13"/>
        <v>4</v>
      </c>
      <c r="AG1962" s="9"/>
      <c r="AH1962" s="9"/>
      <c r="AI1962" s="9"/>
    </row>
    <row r="1963" ht="15.0" customHeight="1">
      <c r="A1963" s="11">
        <v>1962.0</v>
      </c>
      <c r="B1963" s="12">
        <f t="shared" ref="B1963:B1966" si="314">DATE(2012,12,31)-1129</f>
        <v>40145</v>
      </c>
      <c r="C1963" s="13">
        <v>2009.0</v>
      </c>
      <c r="D1963" s="11" t="s">
        <v>39</v>
      </c>
      <c r="E1963" s="11">
        <v>46.0</v>
      </c>
      <c r="F1963" s="21" t="s">
        <v>1944</v>
      </c>
      <c r="G1963" s="15">
        <v>0.05118560915780859</v>
      </c>
      <c r="H1963" s="11" t="s">
        <v>24</v>
      </c>
      <c r="I1963" s="16">
        <v>1.04</v>
      </c>
      <c r="J1963" s="11" t="s">
        <v>2027</v>
      </c>
      <c r="K1963" s="11" t="s">
        <v>83</v>
      </c>
      <c r="L1963" s="11" t="s">
        <v>48</v>
      </c>
      <c r="M1963" s="11" t="s">
        <v>28</v>
      </c>
      <c r="N1963" s="11" t="s">
        <v>62</v>
      </c>
      <c r="O1963" s="11" t="s">
        <v>2028</v>
      </c>
      <c r="P1963" s="11" t="s">
        <v>58</v>
      </c>
      <c r="Q1963" s="20">
        <v>40146.0</v>
      </c>
      <c r="R1963" s="17">
        <f t="shared" si="2"/>
        <v>5.939578087</v>
      </c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>
        <f t="shared" si="8"/>
        <v>4</v>
      </c>
      <c r="AF1963" s="19" t="b">
        <f t="shared" si="13"/>
        <v>0</v>
      </c>
      <c r="AG1963" s="9"/>
      <c r="AH1963" s="9"/>
      <c r="AI1963" s="9"/>
    </row>
    <row r="1964" ht="15.0" customHeight="1">
      <c r="A1964" s="11">
        <v>1963.0</v>
      </c>
      <c r="B1964" s="12">
        <f t="shared" si="314"/>
        <v>40145</v>
      </c>
      <c r="C1964" s="13">
        <v>2009.0</v>
      </c>
      <c r="D1964" s="11" t="s">
        <v>39</v>
      </c>
      <c r="E1964" s="11">
        <v>32.0</v>
      </c>
      <c r="F1964" s="21" t="s">
        <v>178</v>
      </c>
      <c r="G1964" s="15">
        <v>0.021262396885716982</v>
      </c>
      <c r="H1964" s="11" t="s">
        <v>33</v>
      </c>
      <c r="I1964" s="16">
        <v>3.12</v>
      </c>
      <c r="J1964" s="11" t="s">
        <v>2027</v>
      </c>
      <c r="K1964" s="11" t="s">
        <v>83</v>
      </c>
      <c r="L1964" s="11" t="s">
        <v>48</v>
      </c>
      <c r="M1964" s="11" t="s">
        <v>66</v>
      </c>
      <c r="N1964" s="11" t="s">
        <v>80</v>
      </c>
      <c r="O1964" s="11" t="s">
        <v>2029</v>
      </c>
      <c r="P1964" s="11" t="s">
        <v>38</v>
      </c>
      <c r="Q1964" s="20">
        <v>40146.0</v>
      </c>
      <c r="R1964" s="17">
        <f t="shared" si="2"/>
        <v>44.90448123</v>
      </c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>
        <f t="shared" si="8"/>
        <v>4</v>
      </c>
      <c r="AF1964" s="19" t="b">
        <f t="shared" si="13"/>
        <v>0</v>
      </c>
      <c r="AG1964" s="9"/>
      <c r="AH1964" s="9"/>
      <c r="AI1964" s="9"/>
    </row>
    <row r="1965" ht="15.0" customHeight="1">
      <c r="A1965" s="11">
        <v>1964.0</v>
      </c>
      <c r="B1965" s="12">
        <f t="shared" si="314"/>
        <v>40145</v>
      </c>
      <c r="C1965" s="13">
        <v>2009.0</v>
      </c>
      <c r="D1965" s="11" t="s">
        <v>23</v>
      </c>
      <c r="E1965" s="11">
        <v>27.0</v>
      </c>
      <c r="F1965" s="21" t="s">
        <v>1091</v>
      </c>
      <c r="G1965" s="15">
        <v>0.04963168316831688</v>
      </c>
      <c r="H1965" s="11" t="s">
        <v>33</v>
      </c>
      <c r="I1965" s="16">
        <v>4.072</v>
      </c>
      <c r="J1965" s="11" t="s">
        <v>1018</v>
      </c>
      <c r="K1965" s="11" t="s">
        <v>61</v>
      </c>
      <c r="L1965" s="11" t="s">
        <v>41</v>
      </c>
      <c r="M1965" s="11" t="s">
        <v>28</v>
      </c>
      <c r="N1965" s="11" t="s">
        <v>56</v>
      </c>
      <c r="O1965" s="11" t="s">
        <v>1093</v>
      </c>
      <c r="P1965" s="11" t="s">
        <v>38</v>
      </c>
      <c r="Q1965" s="20">
        <v>40147.0</v>
      </c>
      <c r="R1965" s="17">
        <f t="shared" si="2"/>
        <v>47.64006299</v>
      </c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>
        <f t="shared" si="8"/>
        <v>3</v>
      </c>
      <c r="AF1965" s="19">
        <f t="shared" si="13"/>
        <v>4</v>
      </c>
      <c r="AG1965" s="9"/>
      <c r="AH1965" s="9"/>
      <c r="AI1965" s="9"/>
    </row>
    <row r="1966" ht="15.0" customHeight="1">
      <c r="A1966" s="11">
        <v>1965.0</v>
      </c>
      <c r="B1966" s="12">
        <f t="shared" si="314"/>
        <v>40145</v>
      </c>
      <c r="C1966" s="13">
        <v>2009.0</v>
      </c>
      <c r="D1966" s="11" t="s">
        <v>32</v>
      </c>
      <c r="E1966" s="11">
        <v>20.0</v>
      </c>
      <c r="F1966" s="21" t="s">
        <v>2030</v>
      </c>
      <c r="G1966" s="15">
        <v>0.06154303931987251</v>
      </c>
      <c r="H1966" s="11" t="s">
        <v>33</v>
      </c>
      <c r="I1966" s="16">
        <v>13.088000000000001</v>
      </c>
      <c r="J1966" s="11" t="s">
        <v>988</v>
      </c>
      <c r="K1966" s="11" t="s">
        <v>26</v>
      </c>
      <c r="L1966" s="11" t="s">
        <v>48</v>
      </c>
      <c r="M1966" s="11" t="s">
        <v>28</v>
      </c>
      <c r="N1966" s="11" t="s">
        <v>29</v>
      </c>
      <c r="O1966" s="11" t="s">
        <v>2031</v>
      </c>
      <c r="P1966" s="11" t="s">
        <v>38</v>
      </c>
      <c r="Q1966" s="20">
        <v>40147.0</v>
      </c>
      <c r="R1966" s="17">
        <f t="shared" si="2"/>
        <v>54.34791951</v>
      </c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>
        <f t="shared" si="8"/>
        <v>4</v>
      </c>
      <c r="AF1966" s="19">
        <f t="shared" si="13"/>
        <v>1</v>
      </c>
      <c r="AG1966" s="9"/>
      <c r="AH1966" s="9"/>
      <c r="AI1966" s="9"/>
    </row>
    <row r="1967" ht="15.0" customHeight="1">
      <c r="A1967" s="11">
        <v>1966.0</v>
      </c>
      <c r="B1967" s="12">
        <f t="shared" ref="B1967:B1972" si="315">DATE(2012,12,31)-1128</f>
        <v>40146</v>
      </c>
      <c r="C1967" s="13">
        <v>2009.0</v>
      </c>
      <c r="D1967" s="11" t="s">
        <v>32</v>
      </c>
      <c r="E1967" s="11">
        <v>31.0</v>
      </c>
      <c r="F1967" s="21" t="s">
        <v>103</v>
      </c>
      <c r="G1967" s="15">
        <v>0.10629505045651118</v>
      </c>
      <c r="H1967" s="11" t="s">
        <v>33</v>
      </c>
      <c r="I1967" s="16">
        <v>3.08</v>
      </c>
      <c r="J1967" s="11" t="s">
        <v>855</v>
      </c>
      <c r="K1967" s="11" t="s">
        <v>26</v>
      </c>
      <c r="L1967" s="11" t="s">
        <v>36</v>
      </c>
      <c r="M1967" s="11" t="s">
        <v>66</v>
      </c>
      <c r="N1967" s="11" t="s">
        <v>67</v>
      </c>
      <c r="O1967" s="11" t="s">
        <v>1696</v>
      </c>
      <c r="P1967" s="11" t="s">
        <v>99</v>
      </c>
      <c r="Q1967" s="20">
        <v>40147.0</v>
      </c>
      <c r="R1967" s="17">
        <f t="shared" si="2"/>
        <v>19.76875348</v>
      </c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>
        <f t="shared" si="8"/>
        <v>2</v>
      </c>
      <c r="AF1967" s="19">
        <f t="shared" si="13"/>
        <v>1</v>
      </c>
      <c r="AG1967" s="9"/>
      <c r="AH1967" s="9"/>
      <c r="AI1967" s="9"/>
    </row>
    <row r="1968" ht="15.0" customHeight="1">
      <c r="A1968" s="11">
        <v>1967.0</v>
      </c>
      <c r="B1968" s="12">
        <f t="shared" si="315"/>
        <v>40146</v>
      </c>
      <c r="C1968" s="13">
        <v>2009.0</v>
      </c>
      <c r="D1968" s="11" t="s">
        <v>32</v>
      </c>
      <c r="E1968" s="11">
        <v>26.0</v>
      </c>
      <c r="F1968" s="21" t="s">
        <v>210</v>
      </c>
      <c r="G1968" s="15">
        <v>0.06976744186046485</v>
      </c>
      <c r="H1968" s="11" t="s">
        <v>33</v>
      </c>
      <c r="I1968" s="16">
        <v>0.4</v>
      </c>
      <c r="J1968" s="11" t="s">
        <v>855</v>
      </c>
      <c r="K1968" s="11" t="s">
        <v>26</v>
      </c>
      <c r="L1968" s="11" t="s">
        <v>36</v>
      </c>
      <c r="M1968" s="11" t="s">
        <v>28</v>
      </c>
      <c r="N1968" s="11" t="s">
        <v>188</v>
      </c>
      <c r="O1968" s="11" t="s">
        <v>1356</v>
      </c>
      <c r="P1968" s="11" t="s">
        <v>38</v>
      </c>
      <c r="Q1968" s="20">
        <v>40147.0</v>
      </c>
      <c r="R1968" s="17">
        <f t="shared" si="2"/>
        <v>4.744186047</v>
      </c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>
        <f t="shared" si="8"/>
        <v>2</v>
      </c>
      <c r="AF1968" s="19">
        <f t="shared" si="13"/>
        <v>1</v>
      </c>
      <c r="AG1968" s="9"/>
      <c r="AH1968" s="9"/>
      <c r="AI1968" s="9"/>
    </row>
    <row r="1969" ht="15.0" customHeight="1">
      <c r="A1969" s="11">
        <v>1968.0</v>
      </c>
      <c r="B1969" s="12">
        <f t="shared" si="315"/>
        <v>40146</v>
      </c>
      <c r="C1969" s="13">
        <v>2009.0</v>
      </c>
      <c r="D1969" s="11" t="s">
        <v>102</v>
      </c>
      <c r="E1969" s="11">
        <v>47.0</v>
      </c>
      <c r="F1969" s="21" t="s">
        <v>705</v>
      </c>
      <c r="G1969" s="15">
        <v>0.04085761407366678</v>
      </c>
      <c r="H1969" s="11" t="s">
        <v>33</v>
      </c>
      <c r="I1969" s="16">
        <v>0.568</v>
      </c>
      <c r="J1969" s="11" t="s">
        <v>1499</v>
      </c>
      <c r="K1969" s="11" t="s">
        <v>117</v>
      </c>
      <c r="L1969" s="11" t="s">
        <v>27</v>
      </c>
      <c r="M1969" s="11" t="s">
        <v>28</v>
      </c>
      <c r="N1969" s="11" t="s">
        <v>216</v>
      </c>
      <c r="O1969" s="11" t="s">
        <v>2032</v>
      </c>
      <c r="P1969" s="11" t="s">
        <v>58</v>
      </c>
      <c r="Q1969" s="20">
        <v>40147.0</v>
      </c>
      <c r="R1969" s="17">
        <f t="shared" si="2"/>
        <v>7.128346212</v>
      </c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>
        <f t="shared" si="8"/>
        <v>1</v>
      </c>
      <c r="AF1969" s="19" t="b">
        <f t="shared" si="13"/>
        <v>0</v>
      </c>
      <c r="AG1969" s="9"/>
      <c r="AH1969" s="9"/>
      <c r="AI1969" s="9"/>
    </row>
    <row r="1970" ht="15.0" customHeight="1">
      <c r="A1970" s="11">
        <v>1969.0</v>
      </c>
      <c r="B1970" s="12">
        <f t="shared" si="315"/>
        <v>40146</v>
      </c>
      <c r="C1970" s="13">
        <v>2009.0</v>
      </c>
      <c r="D1970" s="11" t="s">
        <v>32</v>
      </c>
      <c r="E1970" s="11">
        <v>49.0</v>
      </c>
      <c r="F1970" s="21" t="s">
        <v>1562</v>
      </c>
      <c r="G1970" s="15">
        <v>0.048084971539228985</v>
      </c>
      <c r="H1970" s="11" t="s">
        <v>33</v>
      </c>
      <c r="I1970" s="16">
        <v>15.991999999999999</v>
      </c>
      <c r="J1970" s="11" t="s">
        <v>2033</v>
      </c>
      <c r="K1970" s="11" t="s">
        <v>65</v>
      </c>
      <c r="L1970" s="11" t="s">
        <v>27</v>
      </c>
      <c r="M1970" s="11" t="s">
        <v>28</v>
      </c>
      <c r="N1970" s="11" t="s">
        <v>29</v>
      </c>
      <c r="O1970" s="11" t="s">
        <v>1563</v>
      </c>
      <c r="P1970" s="11" t="s">
        <v>38</v>
      </c>
      <c r="Q1970" s="20">
        <v>40147.0</v>
      </c>
      <c r="R1970" s="17">
        <f t="shared" si="2"/>
        <v>390.0072025</v>
      </c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>
        <f t="shared" si="8"/>
        <v>1</v>
      </c>
      <c r="AF1970" s="19">
        <f t="shared" si="13"/>
        <v>5</v>
      </c>
      <c r="AG1970" s="9"/>
      <c r="AH1970" s="9"/>
      <c r="AI1970" s="9"/>
    </row>
    <row r="1971" ht="15.0" customHeight="1">
      <c r="A1971" s="11">
        <v>1970.0</v>
      </c>
      <c r="B1971" s="12">
        <f t="shared" si="315"/>
        <v>40146</v>
      </c>
      <c r="C1971" s="13">
        <v>2009.0</v>
      </c>
      <c r="D1971" s="11" t="s">
        <v>32</v>
      </c>
      <c r="E1971" s="11">
        <v>21.0</v>
      </c>
      <c r="F1971" s="21" t="s">
        <v>872</v>
      </c>
      <c r="G1971" s="15">
        <v>0.09112060778727445</v>
      </c>
      <c r="H1971" s="11" t="s">
        <v>33</v>
      </c>
      <c r="I1971" s="16">
        <v>6.920000000000001</v>
      </c>
      <c r="J1971" s="11" t="s">
        <v>2033</v>
      </c>
      <c r="K1971" s="11" t="s">
        <v>65</v>
      </c>
      <c r="L1971" s="11" t="s">
        <v>27</v>
      </c>
      <c r="M1971" s="11" t="s">
        <v>28</v>
      </c>
      <c r="N1971" s="11" t="s">
        <v>62</v>
      </c>
      <c r="O1971" s="11" t="s">
        <v>2034</v>
      </c>
      <c r="P1971" s="11" t="s">
        <v>38</v>
      </c>
      <c r="Q1971" s="20">
        <v>40147.0</v>
      </c>
      <c r="R1971" s="17">
        <f t="shared" si="2"/>
        <v>34.88279107</v>
      </c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>
        <f t="shared" si="8"/>
        <v>1</v>
      </c>
      <c r="AF1971" s="19">
        <f t="shared" si="13"/>
        <v>5</v>
      </c>
      <c r="AG1971" s="9"/>
      <c r="AH1971" s="9"/>
      <c r="AI1971" s="9"/>
    </row>
    <row r="1972" ht="15.0" customHeight="1">
      <c r="A1972" s="11">
        <v>1971.0</v>
      </c>
      <c r="B1972" s="12">
        <f t="shared" si="315"/>
        <v>40146</v>
      </c>
      <c r="C1972" s="13">
        <v>2009.0</v>
      </c>
      <c r="D1972" s="11" t="s">
        <v>39</v>
      </c>
      <c r="E1972" s="11">
        <v>20.0</v>
      </c>
      <c r="F1972" s="21" t="s">
        <v>195</v>
      </c>
      <c r="G1972" s="15">
        <v>0.029452279435880493</v>
      </c>
      <c r="H1972" s="11" t="s">
        <v>33</v>
      </c>
      <c r="I1972" s="16">
        <v>5.920000000000001</v>
      </c>
      <c r="J1972" s="11" t="s">
        <v>2035</v>
      </c>
      <c r="K1972" s="11" t="s">
        <v>35</v>
      </c>
      <c r="L1972" s="11" t="s">
        <v>27</v>
      </c>
      <c r="M1972" s="11" t="s">
        <v>49</v>
      </c>
      <c r="N1972" s="11" t="s">
        <v>73</v>
      </c>
      <c r="O1972" s="11" t="s">
        <v>2036</v>
      </c>
      <c r="P1972" s="11" t="s">
        <v>38</v>
      </c>
      <c r="Q1972" s="20">
        <v>40148.0</v>
      </c>
      <c r="R1972" s="17">
        <f t="shared" si="2"/>
        <v>8.715518531</v>
      </c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>
        <f t="shared" si="8"/>
        <v>1</v>
      </c>
      <c r="AF1972" s="19">
        <f t="shared" si="13"/>
        <v>2</v>
      </c>
      <c r="AG1972" s="9"/>
      <c r="AH1972" s="9"/>
      <c r="AI1972" s="9"/>
    </row>
    <row r="1973" ht="15.0" customHeight="1">
      <c r="A1973" s="11">
        <v>1972.0</v>
      </c>
      <c r="B1973" s="12">
        <f t="shared" ref="B1973:B1981" si="316">DATE(2012,12,31)-1127</f>
        <v>40147</v>
      </c>
      <c r="C1973" s="13">
        <v>2009.0</v>
      </c>
      <c r="D1973" s="11" t="s">
        <v>44</v>
      </c>
      <c r="E1973" s="11">
        <v>3.0</v>
      </c>
      <c r="F1973" s="21" t="s">
        <v>1207</v>
      </c>
      <c r="G1973" s="15">
        <v>0.04884189325276923</v>
      </c>
      <c r="H1973" s="11" t="s">
        <v>45</v>
      </c>
      <c r="I1973" s="16">
        <v>24.0</v>
      </c>
      <c r="J1973" s="11" t="s">
        <v>1089</v>
      </c>
      <c r="K1973" s="11" t="s">
        <v>35</v>
      </c>
      <c r="L1973" s="11" t="s">
        <v>27</v>
      </c>
      <c r="M1973" s="11" t="s">
        <v>49</v>
      </c>
      <c r="N1973" s="11" t="s">
        <v>50</v>
      </c>
      <c r="O1973" s="11" t="s">
        <v>1677</v>
      </c>
      <c r="P1973" s="11" t="s">
        <v>52</v>
      </c>
      <c r="Q1973" s="20">
        <v>40148.0</v>
      </c>
      <c r="R1973" s="17">
        <f t="shared" si="2"/>
        <v>27.67870091</v>
      </c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>
        <f t="shared" si="8"/>
        <v>1</v>
      </c>
      <c r="AF1973" s="19">
        <f t="shared" si="13"/>
        <v>2</v>
      </c>
      <c r="AG1973" s="9"/>
      <c r="AH1973" s="9"/>
      <c r="AI1973" s="9"/>
    </row>
    <row r="1974" ht="15.0" customHeight="1">
      <c r="A1974" s="11">
        <v>1973.0</v>
      </c>
      <c r="B1974" s="12">
        <f t="shared" si="316"/>
        <v>40147</v>
      </c>
      <c r="C1974" s="13">
        <v>2009.0</v>
      </c>
      <c r="D1974" s="11" t="s">
        <v>44</v>
      </c>
      <c r="E1974" s="11">
        <v>2.0</v>
      </c>
      <c r="F1974" s="21" t="s">
        <v>151</v>
      </c>
      <c r="G1974" s="15">
        <v>0.07267605633802805</v>
      </c>
      <c r="H1974" s="11" t="s">
        <v>33</v>
      </c>
      <c r="I1974" s="16">
        <v>0.18400000000000002</v>
      </c>
      <c r="J1974" s="11" t="s">
        <v>1089</v>
      </c>
      <c r="K1974" s="11" t="s">
        <v>35</v>
      </c>
      <c r="L1974" s="11" t="s">
        <v>27</v>
      </c>
      <c r="M1974" s="11" t="s">
        <v>28</v>
      </c>
      <c r="N1974" s="11" t="s">
        <v>197</v>
      </c>
      <c r="O1974" s="11" t="s">
        <v>830</v>
      </c>
      <c r="P1974" s="11" t="s">
        <v>31</v>
      </c>
      <c r="Q1974" s="20">
        <v>40149.0</v>
      </c>
      <c r="R1974" s="17">
        <f t="shared" si="2"/>
        <v>0.4784991549</v>
      </c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>
        <f t="shared" si="8"/>
        <v>1</v>
      </c>
      <c r="AF1974" s="19">
        <f t="shared" si="13"/>
        <v>2</v>
      </c>
      <c r="AG1974" s="9"/>
      <c r="AH1974" s="9"/>
      <c r="AI1974" s="9"/>
    </row>
    <row r="1975" ht="15.0" customHeight="1">
      <c r="A1975" s="11">
        <v>1974.0</v>
      </c>
      <c r="B1975" s="12">
        <f t="shared" si="316"/>
        <v>40147</v>
      </c>
      <c r="C1975" s="13">
        <v>2009.0</v>
      </c>
      <c r="D1975" s="11" t="s">
        <v>44</v>
      </c>
      <c r="E1975" s="11">
        <v>22.0</v>
      </c>
      <c r="F1975" s="21" t="s">
        <v>328</v>
      </c>
      <c r="G1975" s="15">
        <v>0.011736623523244918</v>
      </c>
      <c r="H1975" s="11" t="s">
        <v>33</v>
      </c>
      <c r="I1975" s="16">
        <v>11.192</v>
      </c>
      <c r="J1975" s="11" t="s">
        <v>1089</v>
      </c>
      <c r="K1975" s="11" t="s">
        <v>35</v>
      </c>
      <c r="L1975" s="11" t="s">
        <v>27</v>
      </c>
      <c r="M1975" s="11" t="s">
        <v>49</v>
      </c>
      <c r="N1975" s="11" t="s">
        <v>73</v>
      </c>
      <c r="O1975" s="11" t="s">
        <v>330</v>
      </c>
      <c r="P1975" s="11" t="s">
        <v>75</v>
      </c>
      <c r="Q1975" s="20">
        <v>40149.0</v>
      </c>
      <c r="R1975" s="17">
        <f t="shared" si="2"/>
        <v>28.76637036</v>
      </c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>
        <f t="shared" si="8"/>
        <v>1</v>
      </c>
      <c r="AF1975" s="19">
        <f t="shared" si="13"/>
        <v>2</v>
      </c>
      <c r="AG1975" s="9"/>
      <c r="AH1975" s="9"/>
      <c r="AI1975" s="9"/>
    </row>
    <row r="1976" ht="15.0" customHeight="1">
      <c r="A1976" s="11">
        <v>1975.0</v>
      </c>
      <c r="B1976" s="12">
        <f t="shared" si="316"/>
        <v>40147</v>
      </c>
      <c r="C1976" s="13">
        <v>2009.0</v>
      </c>
      <c r="D1976" s="11" t="s">
        <v>44</v>
      </c>
      <c r="E1976" s="11">
        <v>27.0</v>
      </c>
      <c r="F1976" s="21" t="s">
        <v>415</v>
      </c>
      <c r="G1976" s="15">
        <v>0.06228070175438604</v>
      </c>
      <c r="H1976" s="11" t="s">
        <v>24</v>
      </c>
      <c r="I1976" s="16">
        <v>1.6</v>
      </c>
      <c r="J1976" s="11" t="s">
        <v>1089</v>
      </c>
      <c r="K1976" s="11" t="s">
        <v>35</v>
      </c>
      <c r="L1976" s="11" t="s">
        <v>27</v>
      </c>
      <c r="M1976" s="11" t="s">
        <v>28</v>
      </c>
      <c r="N1976" s="11" t="s">
        <v>216</v>
      </c>
      <c r="O1976" s="11" t="s">
        <v>1856</v>
      </c>
      <c r="P1976" s="11" t="s">
        <v>58</v>
      </c>
      <c r="Q1976" s="20">
        <v>40149.0</v>
      </c>
      <c r="R1976" s="17">
        <f t="shared" si="2"/>
        <v>6.657807018</v>
      </c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>
        <f t="shared" si="8"/>
        <v>1</v>
      </c>
      <c r="AF1976" s="19">
        <f t="shared" si="13"/>
        <v>2</v>
      </c>
      <c r="AG1976" s="9"/>
      <c r="AH1976" s="9"/>
      <c r="AI1976" s="9"/>
    </row>
    <row r="1977" ht="15.0" customHeight="1">
      <c r="A1977" s="11">
        <v>1976.0</v>
      </c>
      <c r="B1977" s="12">
        <f t="shared" si="316"/>
        <v>40147</v>
      </c>
      <c r="C1977" s="13">
        <v>2009.0</v>
      </c>
      <c r="D1977" s="11" t="s">
        <v>44</v>
      </c>
      <c r="E1977" s="11">
        <v>44.0</v>
      </c>
      <c r="F1977" s="21" t="s">
        <v>158</v>
      </c>
      <c r="G1977" s="15">
        <v>0.08893698281349446</v>
      </c>
      <c r="H1977" s="11" t="s">
        <v>33</v>
      </c>
      <c r="I1977" s="16">
        <v>4.656000000000001</v>
      </c>
      <c r="J1977" s="11" t="s">
        <v>479</v>
      </c>
      <c r="K1977" s="11" t="s">
        <v>35</v>
      </c>
      <c r="L1977" s="11" t="s">
        <v>48</v>
      </c>
      <c r="M1977" s="11" t="s">
        <v>28</v>
      </c>
      <c r="N1977" s="11" t="s">
        <v>56</v>
      </c>
      <c r="O1977" s="11" t="s">
        <v>2037</v>
      </c>
      <c r="P1977" s="11" t="s">
        <v>38</v>
      </c>
      <c r="Q1977" s="20">
        <v>40149.0</v>
      </c>
      <c r="R1977" s="17">
        <f t="shared" si="2"/>
        <v>25.45874495</v>
      </c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>
        <f t="shared" si="8"/>
        <v>4</v>
      </c>
      <c r="AF1977" s="19">
        <f t="shared" si="13"/>
        <v>2</v>
      </c>
      <c r="AG1977" s="9"/>
      <c r="AH1977" s="9"/>
      <c r="AI1977" s="9"/>
    </row>
    <row r="1978" ht="15.0" customHeight="1">
      <c r="A1978" s="11">
        <v>1977.0</v>
      </c>
      <c r="B1978" s="12">
        <f t="shared" si="316"/>
        <v>40147</v>
      </c>
      <c r="C1978" s="13">
        <v>2009.0</v>
      </c>
      <c r="D1978" s="11" t="s">
        <v>44</v>
      </c>
      <c r="E1978" s="11">
        <v>46.0</v>
      </c>
      <c r="F1978" s="21" t="s">
        <v>319</v>
      </c>
      <c r="G1978" s="15">
        <v>0.06622478386167172</v>
      </c>
      <c r="H1978" s="11" t="s">
        <v>33</v>
      </c>
      <c r="I1978" s="16">
        <v>0.808</v>
      </c>
      <c r="J1978" s="11" t="s">
        <v>479</v>
      </c>
      <c r="K1978" s="11" t="s">
        <v>35</v>
      </c>
      <c r="L1978" s="11" t="s">
        <v>48</v>
      </c>
      <c r="M1978" s="11" t="s">
        <v>28</v>
      </c>
      <c r="N1978" s="11" t="s">
        <v>62</v>
      </c>
      <c r="O1978" s="11" t="s">
        <v>568</v>
      </c>
      <c r="P1978" s="11" t="s">
        <v>58</v>
      </c>
      <c r="Q1978" s="20">
        <v>40149.0</v>
      </c>
      <c r="R1978" s="17">
        <f t="shared" si="2"/>
        <v>8.583261787</v>
      </c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>
        <f t="shared" si="8"/>
        <v>4</v>
      </c>
      <c r="AF1978" s="19">
        <f t="shared" si="13"/>
        <v>2</v>
      </c>
      <c r="AG1978" s="9"/>
      <c r="AH1978" s="9"/>
      <c r="AI1978" s="9"/>
    </row>
    <row r="1979" ht="15.0" customHeight="1">
      <c r="A1979" s="11">
        <v>1978.0</v>
      </c>
      <c r="B1979" s="12">
        <f t="shared" si="316"/>
        <v>40147</v>
      </c>
      <c r="C1979" s="13">
        <v>2009.0</v>
      </c>
      <c r="D1979" s="11" t="s">
        <v>44</v>
      </c>
      <c r="E1979" s="11">
        <v>21.0</v>
      </c>
      <c r="F1979" s="21" t="s">
        <v>1050</v>
      </c>
      <c r="G1979" s="15">
        <v>0.047620935765265625</v>
      </c>
      <c r="H1979" s="11" t="s">
        <v>33</v>
      </c>
      <c r="I1979" s="16">
        <v>12.08</v>
      </c>
      <c r="J1979" s="11" t="s">
        <v>966</v>
      </c>
      <c r="K1979" s="11" t="s">
        <v>26</v>
      </c>
      <c r="L1979" s="11" t="s">
        <v>36</v>
      </c>
      <c r="M1979" s="11" t="s">
        <v>28</v>
      </c>
      <c r="N1979" s="11" t="s">
        <v>42</v>
      </c>
      <c r="O1979" s="11" t="s">
        <v>1052</v>
      </c>
      <c r="P1979" s="11" t="s">
        <v>38</v>
      </c>
      <c r="Q1979" s="20">
        <v>40149.0</v>
      </c>
      <c r="R1979" s="17">
        <f t="shared" si="2"/>
        <v>22.87614512</v>
      </c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>
        <f t="shared" si="8"/>
        <v>2</v>
      </c>
      <c r="AF1979" s="19">
        <f t="shared" si="13"/>
        <v>1</v>
      </c>
      <c r="AG1979" s="9"/>
      <c r="AH1979" s="9"/>
      <c r="AI1979" s="9"/>
    </row>
    <row r="1980" ht="15.0" customHeight="1">
      <c r="A1980" s="11">
        <v>1979.0</v>
      </c>
      <c r="B1980" s="12">
        <f t="shared" si="316"/>
        <v>40147</v>
      </c>
      <c r="C1980" s="13">
        <v>2009.0</v>
      </c>
      <c r="D1980" s="11" t="s">
        <v>44</v>
      </c>
      <c r="E1980" s="11">
        <v>6.0</v>
      </c>
      <c r="F1980" s="21" t="s">
        <v>314</v>
      </c>
      <c r="G1980" s="15">
        <v>0.06601466992665043</v>
      </c>
      <c r="H1980" s="11" t="s">
        <v>33</v>
      </c>
      <c r="I1980" s="16">
        <v>0.4</v>
      </c>
      <c r="J1980" s="11" t="s">
        <v>966</v>
      </c>
      <c r="K1980" s="11" t="s">
        <v>26</v>
      </c>
      <c r="L1980" s="11" t="s">
        <v>36</v>
      </c>
      <c r="M1980" s="11" t="s">
        <v>28</v>
      </c>
      <c r="N1980" s="11" t="s">
        <v>188</v>
      </c>
      <c r="O1980" s="11" t="s">
        <v>516</v>
      </c>
      <c r="P1980" s="11" t="s">
        <v>38</v>
      </c>
      <c r="Q1980" s="20">
        <v>40149.0</v>
      </c>
      <c r="R1980" s="17">
        <f t="shared" si="2"/>
        <v>2.521760391</v>
      </c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>
        <f t="shared" si="8"/>
        <v>2</v>
      </c>
      <c r="AF1980" s="19">
        <f t="shared" si="13"/>
        <v>1</v>
      </c>
      <c r="AG1980" s="9"/>
      <c r="AH1980" s="9"/>
      <c r="AI1980" s="9"/>
    </row>
    <row r="1981" ht="15.0" customHeight="1">
      <c r="A1981" s="11">
        <v>1980.0</v>
      </c>
      <c r="B1981" s="12">
        <f t="shared" si="316"/>
        <v>40147</v>
      </c>
      <c r="C1981" s="13">
        <v>2009.0</v>
      </c>
      <c r="D1981" s="11" t="s">
        <v>44</v>
      </c>
      <c r="E1981" s="11">
        <v>3.0</v>
      </c>
      <c r="F1981" s="21" t="s">
        <v>591</v>
      </c>
      <c r="G1981" s="15">
        <v>0.07566343042071201</v>
      </c>
      <c r="H1981" s="11" t="s">
        <v>33</v>
      </c>
      <c r="I1981" s="16">
        <v>4.024</v>
      </c>
      <c r="J1981" s="11" t="s">
        <v>966</v>
      </c>
      <c r="K1981" s="11" t="s">
        <v>26</v>
      </c>
      <c r="L1981" s="11" t="s">
        <v>36</v>
      </c>
      <c r="M1981" s="11" t="s">
        <v>49</v>
      </c>
      <c r="N1981" s="11" t="s">
        <v>73</v>
      </c>
      <c r="O1981" s="11" t="s">
        <v>2020</v>
      </c>
      <c r="P1981" s="11" t="s">
        <v>38</v>
      </c>
      <c r="Q1981" s="20">
        <v>40150.0</v>
      </c>
      <c r="R1981" s="17">
        <f t="shared" si="2"/>
        <v>4.322197799</v>
      </c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>
        <f t="shared" si="8"/>
        <v>2</v>
      </c>
      <c r="AF1981" s="19">
        <f t="shared" si="13"/>
        <v>1</v>
      </c>
      <c r="AG1981" s="9"/>
      <c r="AH1981" s="9"/>
      <c r="AI1981" s="9"/>
    </row>
    <row r="1982" ht="15.0" customHeight="1">
      <c r="A1982" s="11">
        <v>1981.0</v>
      </c>
      <c r="B1982" s="12">
        <f t="shared" ref="B1982:B1986" si="317">DATE(2012,12,31)-1126</f>
        <v>40148</v>
      </c>
      <c r="C1982" s="13">
        <v>2009.0</v>
      </c>
      <c r="D1982" s="11" t="s">
        <v>44</v>
      </c>
      <c r="E1982" s="11">
        <v>29.0</v>
      </c>
      <c r="F1982" s="21" t="s">
        <v>440</v>
      </c>
      <c r="G1982" s="15">
        <v>0.09500221926320472</v>
      </c>
      <c r="H1982" s="11" t="s">
        <v>33</v>
      </c>
      <c r="I1982" s="16">
        <v>6.696</v>
      </c>
      <c r="J1982" s="11" t="s">
        <v>963</v>
      </c>
      <c r="K1982" s="11" t="s">
        <v>35</v>
      </c>
      <c r="L1982" s="11" t="s">
        <v>41</v>
      </c>
      <c r="M1982" s="11" t="s">
        <v>28</v>
      </c>
      <c r="N1982" s="11" t="s">
        <v>442</v>
      </c>
      <c r="O1982" s="11" t="s">
        <v>443</v>
      </c>
      <c r="P1982" s="11" t="s">
        <v>99</v>
      </c>
      <c r="Q1982" s="20">
        <v>40150.0</v>
      </c>
      <c r="R1982" s="17">
        <f t="shared" si="2"/>
        <v>19.3705725</v>
      </c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>
        <f t="shared" si="8"/>
        <v>3</v>
      </c>
      <c r="AF1982" s="19">
        <f t="shared" si="13"/>
        <v>2</v>
      </c>
      <c r="AG1982" s="9"/>
      <c r="AH1982" s="9"/>
      <c r="AI1982" s="9"/>
    </row>
    <row r="1983" ht="15.0" customHeight="1">
      <c r="A1983" s="11">
        <v>1982.0</v>
      </c>
      <c r="B1983" s="12">
        <f t="shared" si="317"/>
        <v>40148</v>
      </c>
      <c r="C1983" s="13">
        <v>2009.0</v>
      </c>
      <c r="D1983" s="11" t="s">
        <v>44</v>
      </c>
      <c r="E1983" s="11">
        <v>33.0</v>
      </c>
      <c r="F1983" s="21" t="s">
        <v>377</v>
      </c>
      <c r="G1983" s="15">
        <v>0.06954205395601906</v>
      </c>
      <c r="H1983" s="11" t="s">
        <v>24</v>
      </c>
      <c r="I1983" s="16">
        <v>28.0</v>
      </c>
      <c r="J1983" s="11" t="s">
        <v>963</v>
      </c>
      <c r="K1983" s="11" t="s">
        <v>35</v>
      </c>
      <c r="L1983" s="11" t="s">
        <v>41</v>
      </c>
      <c r="M1983" s="11" t="s">
        <v>28</v>
      </c>
      <c r="N1983" s="11" t="s">
        <v>29</v>
      </c>
      <c r="O1983" s="11" t="s">
        <v>1749</v>
      </c>
      <c r="P1983" s="11" t="s">
        <v>31</v>
      </c>
      <c r="Q1983" s="20">
        <v>40150.0</v>
      </c>
      <c r="R1983" s="17">
        <f t="shared" si="2"/>
        <v>114.16719</v>
      </c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>
        <f t="shared" si="8"/>
        <v>3</v>
      </c>
      <c r="AF1983" s="19">
        <f t="shared" si="13"/>
        <v>2</v>
      </c>
      <c r="AG1983" s="9"/>
      <c r="AH1983" s="9"/>
      <c r="AI1983" s="9"/>
    </row>
    <row r="1984" ht="15.0" customHeight="1">
      <c r="A1984" s="11">
        <v>1983.0</v>
      </c>
      <c r="B1984" s="12">
        <f t="shared" si="317"/>
        <v>40148</v>
      </c>
      <c r="C1984" s="13">
        <v>2009.0</v>
      </c>
      <c r="D1984" s="11" t="s">
        <v>102</v>
      </c>
      <c r="E1984" s="11">
        <v>26.0</v>
      </c>
      <c r="F1984" s="21" t="s">
        <v>694</v>
      </c>
      <c r="G1984" s="15">
        <v>0.06761904761904773</v>
      </c>
      <c r="H1984" s="11" t="s">
        <v>33</v>
      </c>
      <c r="I1984" s="16">
        <v>1.592</v>
      </c>
      <c r="J1984" s="11" t="s">
        <v>697</v>
      </c>
      <c r="K1984" s="11" t="s">
        <v>61</v>
      </c>
      <c r="L1984" s="11" t="s">
        <v>48</v>
      </c>
      <c r="M1984" s="11" t="s">
        <v>66</v>
      </c>
      <c r="N1984" s="11" t="s">
        <v>67</v>
      </c>
      <c r="O1984" s="11" t="s">
        <v>695</v>
      </c>
      <c r="P1984" s="11" t="s">
        <v>99</v>
      </c>
      <c r="Q1984" s="20">
        <v>40150.0</v>
      </c>
      <c r="R1984" s="17">
        <f t="shared" si="2"/>
        <v>69.3766019</v>
      </c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>
        <f t="shared" si="8"/>
        <v>4</v>
      </c>
      <c r="AF1984" s="19">
        <f t="shared" si="13"/>
        <v>4</v>
      </c>
      <c r="AG1984" s="9"/>
      <c r="AH1984" s="9"/>
      <c r="AI1984" s="9"/>
    </row>
    <row r="1985" ht="15.0" customHeight="1">
      <c r="A1985" s="11">
        <v>1984.0</v>
      </c>
      <c r="B1985" s="12">
        <f t="shared" si="317"/>
        <v>40148</v>
      </c>
      <c r="C1985" s="13">
        <v>2009.0</v>
      </c>
      <c r="D1985" s="11" t="s">
        <v>23</v>
      </c>
      <c r="E1985" s="11">
        <v>47.0</v>
      </c>
      <c r="F1985" s="21" t="s">
        <v>1774</v>
      </c>
      <c r="G1985" s="15">
        <v>0.08365739420844702</v>
      </c>
      <c r="H1985" s="11" t="s">
        <v>33</v>
      </c>
      <c r="I1985" s="16">
        <v>15.991999999999999</v>
      </c>
      <c r="J1985" s="11" t="s">
        <v>1643</v>
      </c>
      <c r="K1985" s="11" t="s">
        <v>83</v>
      </c>
      <c r="L1985" s="11" t="s">
        <v>48</v>
      </c>
      <c r="M1985" s="11" t="s">
        <v>28</v>
      </c>
      <c r="N1985" s="11" t="s">
        <v>29</v>
      </c>
      <c r="O1985" s="11" t="s">
        <v>1775</v>
      </c>
      <c r="P1985" s="11" t="s">
        <v>38</v>
      </c>
      <c r="Q1985" s="20">
        <v>40150.0</v>
      </c>
      <c r="R1985" s="17">
        <f t="shared" si="2"/>
        <v>376.4408732</v>
      </c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>
        <f t="shared" si="8"/>
        <v>4</v>
      </c>
      <c r="AF1985" s="19" t="b">
        <f t="shared" si="13"/>
        <v>0</v>
      </c>
      <c r="AG1985" s="9"/>
      <c r="AH1985" s="9"/>
      <c r="AI1985" s="9"/>
    </row>
    <row r="1986" ht="15.0" customHeight="1">
      <c r="A1986" s="11">
        <v>1985.0</v>
      </c>
      <c r="B1986" s="12">
        <f t="shared" si="317"/>
        <v>40148</v>
      </c>
      <c r="C1986" s="13">
        <v>2009.0</v>
      </c>
      <c r="D1986" s="11" t="s">
        <v>23</v>
      </c>
      <c r="E1986" s="11">
        <v>29.0</v>
      </c>
      <c r="F1986" s="21" t="s">
        <v>1227</v>
      </c>
      <c r="G1986" s="15">
        <v>0.09986754966887407</v>
      </c>
      <c r="H1986" s="11" t="s">
        <v>33</v>
      </c>
      <c r="I1986" s="16">
        <v>4.16</v>
      </c>
      <c r="J1986" s="11" t="s">
        <v>370</v>
      </c>
      <c r="K1986" s="11" t="s">
        <v>65</v>
      </c>
      <c r="L1986" s="11" t="s">
        <v>48</v>
      </c>
      <c r="M1986" s="11" t="s">
        <v>28</v>
      </c>
      <c r="N1986" s="11" t="s">
        <v>62</v>
      </c>
      <c r="O1986" s="11" t="s">
        <v>2038</v>
      </c>
      <c r="P1986" s="11" t="s">
        <v>58</v>
      </c>
      <c r="Q1986" s="20">
        <v>40151.0</v>
      </c>
      <c r="R1986" s="17">
        <f t="shared" si="2"/>
        <v>6.786998675</v>
      </c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>
        <f t="shared" si="8"/>
        <v>4</v>
      </c>
      <c r="AF1986" s="19">
        <f t="shared" si="13"/>
        <v>5</v>
      </c>
      <c r="AG1986" s="9"/>
      <c r="AH1986" s="9"/>
      <c r="AI1986" s="9"/>
    </row>
    <row r="1987" ht="15.0" customHeight="1">
      <c r="A1987" s="11">
        <v>1986.0</v>
      </c>
      <c r="B1987" s="12">
        <f t="shared" ref="B1987:B1994" si="318">DATE(2012,12,31)-1125</f>
        <v>40149</v>
      </c>
      <c r="C1987" s="13">
        <v>2009.0</v>
      </c>
      <c r="D1987" s="11" t="s">
        <v>32</v>
      </c>
      <c r="E1987" s="11">
        <v>42.0</v>
      </c>
      <c r="F1987" s="21" t="s">
        <v>254</v>
      </c>
      <c r="G1987" s="15">
        <v>0.05295158771473165</v>
      </c>
      <c r="H1987" s="11" t="s">
        <v>33</v>
      </c>
      <c r="I1987" s="16">
        <v>3.9840000000000004</v>
      </c>
      <c r="J1987" s="11" t="s">
        <v>2039</v>
      </c>
      <c r="K1987" s="11" t="s">
        <v>83</v>
      </c>
      <c r="L1987" s="11" t="s">
        <v>41</v>
      </c>
      <c r="M1987" s="11" t="s">
        <v>28</v>
      </c>
      <c r="N1987" s="11" t="s">
        <v>42</v>
      </c>
      <c r="O1987" s="11" t="s">
        <v>2040</v>
      </c>
      <c r="P1987" s="11" t="s">
        <v>38</v>
      </c>
      <c r="Q1987" s="20">
        <v>40151.0</v>
      </c>
      <c r="R1987" s="17">
        <f t="shared" si="2"/>
        <v>28.90012935</v>
      </c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>
        <f t="shared" si="8"/>
        <v>3</v>
      </c>
      <c r="AF1987" s="19" t="b">
        <f t="shared" si="13"/>
        <v>0</v>
      </c>
      <c r="AG1987" s="9"/>
      <c r="AH1987" s="9"/>
      <c r="AI1987" s="9"/>
    </row>
    <row r="1988" ht="15.0" customHeight="1">
      <c r="A1988" s="11">
        <v>1987.0</v>
      </c>
      <c r="B1988" s="12">
        <f t="shared" si="318"/>
        <v>40149</v>
      </c>
      <c r="C1988" s="13">
        <v>2009.0</v>
      </c>
      <c r="D1988" s="11" t="s">
        <v>44</v>
      </c>
      <c r="E1988" s="11">
        <v>2.0</v>
      </c>
      <c r="F1988" s="21" t="s">
        <v>914</v>
      </c>
      <c r="G1988" s="15">
        <v>0.04165605095541401</v>
      </c>
      <c r="H1988" s="11" t="s">
        <v>33</v>
      </c>
      <c r="I1988" s="16">
        <v>10.384</v>
      </c>
      <c r="J1988" s="11" t="s">
        <v>459</v>
      </c>
      <c r="K1988" s="11" t="s">
        <v>65</v>
      </c>
      <c r="L1988" s="11" t="s">
        <v>41</v>
      </c>
      <c r="M1988" s="11" t="s">
        <v>28</v>
      </c>
      <c r="N1988" s="11" t="s">
        <v>42</v>
      </c>
      <c r="O1988" s="11" t="s">
        <v>915</v>
      </c>
      <c r="P1988" s="11" t="s">
        <v>38</v>
      </c>
      <c r="Q1988" s="20">
        <v>40151.0</v>
      </c>
      <c r="R1988" s="17">
        <f t="shared" si="2"/>
        <v>2.507027771</v>
      </c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>
        <f t="shared" si="8"/>
        <v>3</v>
      </c>
      <c r="AF1988" s="19">
        <f t="shared" si="13"/>
        <v>5</v>
      </c>
      <c r="AG1988" s="9"/>
      <c r="AH1988" s="9"/>
      <c r="AI1988" s="9"/>
    </row>
    <row r="1989" ht="15.0" customHeight="1">
      <c r="A1989" s="11">
        <v>1988.0</v>
      </c>
      <c r="B1989" s="12">
        <f t="shared" si="318"/>
        <v>40149</v>
      </c>
      <c r="C1989" s="13">
        <v>2009.0</v>
      </c>
      <c r="D1989" s="11" t="s">
        <v>102</v>
      </c>
      <c r="E1989" s="11">
        <v>9.0</v>
      </c>
      <c r="F1989" s="21" t="s">
        <v>1182</v>
      </c>
      <c r="G1989" s="15">
        <v>0.10710097719869707</v>
      </c>
      <c r="H1989" s="11" t="s">
        <v>24</v>
      </c>
      <c r="I1989" s="16">
        <v>6.224</v>
      </c>
      <c r="J1989" s="11" t="s">
        <v>1578</v>
      </c>
      <c r="K1989" s="11" t="s">
        <v>26</v>
      </c>
      <c r="L1989" s="11" t="s">
        <v>27</v>
      </c>
      <c r="M1989" s="11" t="s">
        <v>28</v>
      </c>
      <c r="N1989" s="11" t="s">
        <v>42</v>
      </c>
      <c r="O1989" s="11" t="s">
        <v>1311</v>
      </c>
      <c r="P1989" s="11" t="s">
        <v>38</v>
      </c>
      <c r="Q1989" s="20">
        <v>40151.0</v>
      </c>
      <c r="R1989" s="17">
        <f t="shared" si="2"/>
        <v>5.871703974</v>
      </c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>
        <f t="shared" si="8"/>
        <v>1</v>
      </c>
      <c r="AF1989" s="19">
        <f t="shared" si="13"/>
        <v>1</v>
      </c>
      <c r="AG1989" s="9"/>
      <c r="AH1989" s="9"/>
      <c r="AI1989" s="9"/>
    </row>
    <row r="1990" ht="15.0" customHeight="1">
      <c r="A1990" s="11">
        <v>1989.0</v>
      </c>
      <c r="B1990" s="12">
        <f t="shared" si="318"/>
        <v>40149</v>
      </c>
      <c r="C1990" s="13">
        <v>2009.0</v>
      </c>
      <c r="D1990" s="11" t="s">
        <v>102</v>
      </c>
      <c r="E1990" s="11">
        <v>6.0</v>
      </c>
      <c r="F1990" s="21" t="s">
        <v>425</v>
      </c>
      <c r="G1990" s="15">
        <v>0.033277310924369925</v>
      </c>
      <c r="H1990" s="11" t="s">
        <v>33</v>
      </c>
      <c r="I1990" s="16">
        <v>5.344</v>
      </c>
      <c r="J1990" s="11" t="s">
        <v>1578</v>
      </c>
      <c r="K1990" s="11" t="s">
        <v>26</v>
      </c>
      <c r="L1990" s="11" t="s">
        <v>27</v>
      </c>
      <c r="M1990" s="11" t="s">
        <v>49</v>
      </c>
      <c r="N1990" s="11" t="s">
        <v>73</v>
      </c>
      <c r="O1990" s="11" t="s">
        <v>2041</v>
      </c>
      <c r="P1990" s="11" t="s">
        <v>38</v>
      </c>
      <c r="Q1990" s="20">
        <v>40152.0</v>
      </c>
      <c r="R1990" s="17">
        <f t="shared" si="2"/>
        <v>4.211044034</v>
      </c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>
        <f t="shared" si="8"/>
        <v>1</v>
      </c>
      <c r="AF1990" s="19">
        <f t="shared" si="13"/>
        <v>1</v>
      </c>
      <c r="AG1990" s="9"/>
      <c r="AH1990" s="9"/>
      <c r="AI1990" s="9"/>
    </row>
    <row r="1991" ht="15.0" customHeight="1">
      <c r="A1991" s="11">
        <v>1990.0</v>
      </c>
      <c r="B1991" s="12">
        <f t="shared" si="318"/>
        <v>40149</v>
      </c>
      <c r="C1991" s="13">
        <v>2009.0</v>
      </c>
      <c r="D1991" s="11" t="s">
        <v>102</v>
      </c>
      <c r="E1991" s="11">
        <v>10.0</v>
      </c>
      <c r="F1991" s="21" t="s">
        <v>245</v>
      </c>
      <c r="G1991" s="15">
        <v>0.007741935483870899</v>
      </c>
      <c r="H1991" s="11" t="s">
        <v>33</v>
      </c>
      <c r="I1991" s="16">
        <v>1.888</v>
      </c>
      <c r="J1991" s="11" t="s">
        <v>1578</v>
      </c>
      <c r="K1991" s="11" t="s">
        <v>26</v>
      </c>
      <c r="L1991" s="11" t="s">
        <v>27</v>
      </c>
      <c r="M1991" s="11" t="s">
        <v>28</v>
      </c>
      <c r="N1991" s="11" t="s">
        <v>62</v>
      </c>
      <c r="O1991" s="11" t="s">
        <v>246</v>
      </c>
      <c r="P1991" s="11" t="s">
        <v>58</v>
      </c>
      <c r="Q1991" s="20">
        <v>40152.0</v>
      </c>
      <c r="R1991" s="17">
        <f t="shared" si="2"/>
        <v>0.9049393548</v>
      </c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>
        <f t="shared" si="8"/>
        <v>1</v>
      </c>
      <c r="AF1991" s="19">
        <f t="shared" si="13"/>
        <v>1</v>
      </c>
      <c r="AG1991" s="9"/>
      <c r="AH1991" s="9"/>
      <c r="AI1991" s="9"/>
    </row>
    <row r="1992" ht="15.0" customHeight="1">
      <c r="A1992" s="11">
        <v>1991.0</v>
      </c>
      <c r="B1992" s="12">
        <f t="shared" si="318"/>
        <v>40149</v>
      </c>
      <c r="C1992" s="13">
        <v>2009.0</v>
      </c>
      <c r="D1992" s="11" t="s">
        <v>102</v>
      </c>
      <c r="E1992" s="11">
        <v>43.0</v>
      </c>
      <c r="F1992" s="21" t="s">
        <v>284</v>
      </c>
      <c r="G1992" s="15">
        <v>0.08853002070393368</v>
      </c>
      <c r="H1992" s="11" t="s">
        <v>33</v>
      </c>
      <c r="I1992" s="16">
        <v>2.048</v>
      </c>
      <c r="J1992" s="11" t="s">
        <v>1578</v>
      </c>
      <c r="K1992" s="11" t="s">
        <v>26</v>
      </c>
      <c r="L1992" s="11" t="s">
        <v>27</v>
      </c>
      <c r="M1992" s="11" t="s">
        <v>28</v>
      </c>
      <c r="N1992" s="11" t="s">
        <v>442</v>
      </c>
      <c r="O1992" s="11" t="s">
        <v>692</v>
      </c>
      <c r="P1992" s="11" t="s">
        <v>99</v>
      </c>
      <c r="Q1992" s="20">
        <v>40152.0</v>
      </c>
      <c r="R1992" s="17">
        <f t="shared" si="2"/>
        <v>7.794891263</v>
      </c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>
        <f t="shared" si="8"/>
        <v>1</v>
      </c>
      <c r="AF1992" s="19">
        <f t="shared" si="13"/>
        <v>1</v>
      </c>
      <c r="AG1992" s="9"/>
      <c r="AH1992" s="9"/>
      <c r="AI1992" s="9"/>
    </row>
    <row r="1993" ht="15.0" customHeight="1">
      <c r="A1993" s="11">
        <v>1992.0</v>
      </c>
      <c r="B1993" s="12">
        <f t="shared" si="318"/>
        <v>40149</v>
      </c>
      <c r="C1993" s="13">
        <v>2009.0</v>
      </c>
      <c r="D1993" s="11" t="s">
        <v>23</v>
      </c>
      <c r="E1993" s="11">
        <v>18.0</v>
      </c>
      <c r="F1993" s="21" t="s">
        <v>1596</v>
      </c>
      <c r="G1993" s="15">
        <v>0.02209063348950735</v>
      </c>
      <c r="H1993" s="11" t="s">
        <v>24</v>
      </c>
      <c r="I1993" s="16">
        <v>19.592</v>
      </c>
      <c r="J1993" s="11" t="s">
        <v>584</v>
      </c>
      <c r="K1993" s="11" t="s">
        <v>65</v>
      </c>
      <c r="L1993" s="11" t="s">
        <v>36</v>
      </c>
      <c r="M1993" s="11" t="s">
        <v>49</v>
      </c>
      <c r="N1993" s="11" t="s">
        <v>73</v>
      </c>
      <c r="O1993" s="11" t="s">
        <v>1597</v>
      </c>
      <c r="P1993" s="11" t="s">
        <v>31</v>
      </c>
      <c r="Q1993" s="20">
        <v>40153.0</v>
      </c>
      <c r="R1993" s="17">
        <f t="shared" si="2"/>
        <v>54.86853874</v>
      </c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>
        <f t="shared" si="8"/>
        <v>2</v>
      </c>
      <c r="AF1993" s="19">
        <f t="shared" si="13"/>
        <v>5</v>
      </c>
      <c r="AG1993" s="9"/>
      <c r="AH1993" s="9"/>
      <c r="AI1993" s="9"/>
    </row>
    <row r="1994" ht="15.0" customHeight="1">
      <c r="A1994" s="11">
        <v>1993.0</v>
      </c>
      <c r="B1994" s="12">
        <f t="shared" si="318"/>
        <v>40149</v>
      </c>
      <c r="C1994" s="13">
        <v>2009.0</v>
      </c>
      <c r="D1994" s="11" t="s">
        <v>44</v>
      </c>
      <c r="E1994" s="11">
        <v>25.0</v>
      </c>
      <c r="F1994" s="21" t="s">
        <v>705</v>
      </c>
      <c r="G1994" s="15">
        <v>0.06841158841158841</v>
      </c>
      <c r="H1994" s="11" t="s">
        <v>33</v>
      </c>
      <c r="I1994" s="16">
        <v>0.752</v>
      </c>
      <c r="J1994" s="11" t="s">
        <v>1068</v>
      </c>
      <c r="K1994" s="11" t="s">
        <v>35</v>
      </c>
      <c r="L1994" s="11" t="s">
        <v>27</v>
      </c>
      <c r="M1994" s="11" t="s">
        <v>28</v>
      </c>
      <c r="N1994" s="11" t="s">
        <v>216</v>
      </c>
      <c r="O1994" s="11" t="s">
        <v>2042</v>
      </c>
      <c r="P1994" s="11" t="s">
        <v>58</v>
      </c>
      <c r="Q1994" s="20">
        <v>40153.0</v>
      </c>
      <c r="R1994" s="17">
        <f t="shared" si="2"/>
        <v>6.379517443</v>
      </c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>
        <f t="shared" si="8"/>
        <v>1</v>
      </c>
      <c r="AF1994" s="19">
        <f t="shared" si="13"/>
        <v>2</v>
      </c>
      <c r="AG1994" s="9"/>
      <c r="AH1994" s="9"/>
      <c r="AI1994" s="9"/>
    </row>
    <row r="1995" ht="15.0" customHeight="1">
      <c r="A1995" s="11">
        <v>1994.0</v>
      </c>
      <c r="B1995" s="12">
        <f>DATE(2012,12,31)-1124</f>
        <v>40150</v>
      </c>
      <c r="C1995" s="13">
        <v>2009.0</v>
      </c>
      <c r="D1995" s="11" t="s">
        <v>23</v>
      </c>
      <c r="E1995" s="11">
        <v>7.0</v>
      </c>
      <c r="F1995" s="21" t="s">
        <v>1084</v>
      </c>
      <c r="G1995" s="15">
        <v>0.08442105263157891</v>
      </c>
      <c r="H1995" s="11" t="s">
        <v>33</v>
      </c>
      <c r="I1995" s="16">
        <v>3.9920000000000004</v>
      </c>
      <c r="J1995" s="11" t="s">
        <v>2043</v>
      </c>
      <c r="K1995" s="11" t="s">
        <v>83</v>
      </c>
      <c r="L1995" s="11" t="s">
        <v>48</v>
      </c>
      <c r="M1995" s="11" t="s">
        <v>28</v>
      </c>
      <c r="N1995" s="11" t="s">
        <v>236</v>
      </c>
      <c r="O1995" s="11" t="s">
        <v>1085</v>
      </c>
      <c r="P1995" s="11" t="s">
        <v>38</v>
      </c>
      <c r="Q1995" s="20">
        <v>40153.0</v>
      </c>
      <c r="R1995" s="17">
        <f t="shared" si="2"/>
        <v>2.937177263</v>
      </c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>
        <f t="shared" si="8"/>
        <v>4</v>
      </c>
      <c r="AF1995" s="19" t="b">
        <f t="shared" si="13"/>
        <v>0</v>
      </c>
      <c r="AG1995" s="9"/>
      <c r="AH1995" s="9"/>
      <c r="AI1995" s="9"/>
    </row>
    <row r="1996" ht="15.0" customHeight="1">
      <c r="A1996" s="11">
        <v>1995.0</v>
      </c>
      <c r="B1996" s="12">
        <f t="shared" ref="B1996:B1999" si="319">DATE(2012,12,31)-1123</f>
        <v>40151</v>
      </c>
      <c r="C1996" s="13">
        <v>2009.0</v>
      </c>
      <c r="D1996" s="11" t="s">
        <v>32</v>
      </c>
      <c r="E1996" s="11">
        <v>3.0</v>
      </c>
      <c r="F1996" s="21" t="s">
        <v>838</v>
      </c>
      <c r="G1996" s="15">
        <v>0.09466016633209041</v>
      </c>
      <c r="H1996" s="11" t="s">
        <v>33</v>
      </c>
      <c r="I1996" s="16">
        <v>15.991999999999999</v>
      </c>
      <c r="J1996" s="11" t="s">
        <v>1917</v>
      </c>
      <c r="K1996" s="11" t="s">
        <v>35</v>
      </c>
      <c r="L1996" s="11" t="s">
        <v>41</v>
      </c>
      <c r="M1996" s="11" t="s">
        <v>66</v>
      </c>
      <c r="N1996" s="11" t="s">
        <v>67</v>
      </c>
      <c r="O1996" s="11" t="s">
        <v>845</v>
      </c>
      <c r="P1996" s="11" t="s">
        <v>38</v>
      </c>
      <c r="Q1996" s="20">
        <v>40153.0</v>
      </c>
      <c r="R1996" s="17">
        <f t="shared" si="2"/>
        <v>29.88345723</v>
      </c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>
        <f t="shared" si="8"/>
        <v>3</v>
      </c>
      <c r="AF1996" s="19">
        <f t="shared" si="13"/>
        <v>2</v>
      </c>
      <c r="AG1996" s="9"/>
      <c r="AH1996" s="9"/>
      <c r="AI1996" s="9"/>
    </row>
    <row r="1997" ht="15.0" customHeight="1">
      <c r="A1997" s="11">
        <v>1996.0</v>
      </c>
      <c r="B1997" s="12">
        <f t="shared" si="319"/>
        <v>40151</v>
      </c>
      <c r="C1997" s="13">
        <v>2009.0</v>
      </c>
      <c r="D1997" s="11" t="s">
        <v>32</v>
      </c>
      <c r="E1997" s="11">
        <v>13.0</v>
      </c>
      <c r="F1997" s="21" t="s">
        <v>100</v>
      </c>
      <c r="G1997" s="15">
        <v>0.03923881880733935</v>
      </c>
      <c r="H1997" s="11" t="s">
        <v>33</v>
      </c>
      <c r="I1997" s="16">
        <v>4.208</v>
      </c>
      <c r="J1997" s="11" t="s">
        <v>1917</v>
      </c>
      <c r="K1997" s="11" t="s">
        <v>35</v>
      </c>
      <c r="L1997" s="11" t="s">
        <v>41</v>
      </c>
      <c r="M1997" s="11" t="s">
        <v>66</v>
      </c>
      <c r="N1997" s="11" t="s">
        <v>80</v>
      </c>
      <c r="O1997" s="11" t="s">
        <v>1810</v>
      </c>
      <c r="P1997" s="11" t="s">
        <v>38</v>
      </c>
      <c r="Q1997" s="20">
        <v>40153.0</v>
      </c>
      <c r="R1997" s="17">
        <f t="shared" si="2"/>
        <v>105.1956633</v>
      </c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>
        <f t="shared" si="8"/>
        <v>3</v>
      </c>
      <c r="AF1997" s="19">
        <f t="shared" si="13"/>
        <v>2</v>
      </c>
      <c r="AG1997" s="9"/>
      <c r="AH1997" s="9"/>
      <c r="AI1997" s="9"/>
    </row>
    <row r="1998" ht="15.0" customHeight="1">
      <c r="A1998" s="11">
        <v>1997.0</v>
      </c>
      <c r="B1998" s="12">
        <f t="shared" si="319"/>
        <v>40151</v>
      </c>
      <c r="C1998" s="13">
        <v>2009.0</v>
      </c>
      <c r="D1998" s="11" t="s">
        <v>44</v>
      </c>
      <c r="E1998" s="11">
        <v>48.0</v>
      </c>
      <c r="F1998" s="21" t="s">
        <v>924</v>
      </c>
      <c r="G1998" s="15">
        <v>0.09265466583902345</v>
      </c>
      <c r="H1998" s="11" t="s">
        <v>24</v>
      </c>
      <c r="I1998" s="16">
        <v>1.72</v>
      </c>
      <c r="J1998" s="11" t="s">
        <v>800</v>
      </c>
      <c r="K1998" s="11" t="s">
        <v>65</v>
      </c>
      <c r="L1998" s="11" t="s">
        <v>41</v>
      </c>
      <c r="M1998" s="11" t="s">
        <v>28</v>
      </c>
      <c r="N1998" s="11" t="s">
        <v>56</v>
      </c>
      <c r="O1998" s="11" t="s">
        <v>57</v>
      </c>
      <c r="P1998" s="11" t="s">
        <v>58</v>
      </c>
      <c r="Q1998" s="20">
        <v>40153.0</v>
      </c>
      <c r="R1998" s="17">
        <f t="shared" si="2"/>
        <v>40.63092406</v>
      </c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>
        <f t="shared" si="8"/>
        <v>3</v>
      </c>
      <c r="AF1998" s="19">
        <f t="shared" si="13"/>
        <v>5</v>
      </c>
      <c r="AG1998" s="9"/>
      <c r="AH1998" s="9"/>
      <c r="AI1998" s="9"/>
    </row>
    <row r="1999" ht="15.0" customHeight="1">
      <c r="A1999" s="11">
        <v>1998.0</v>
      </c>
      <c r="B1999" s="12">
        <f t="shared" si="319"/>
        <v>40151</v>
      </c>
      <c r="C1999" s="13">
        <v>2009.0</v>
      </c>
      <c r="D1999" s="11" t="s">
        <v>23</v>
      </c>
      <c r="E1999" s="11">
        <v>44.0</v>
      </c>
      <c r="F1999" s="21" t="s">
        <v>103</v>
      </c>
      <c r="G1999" s="15">
        <v>0.0958558558558558</v>
      </c>
      <c r="H1999" s="11" t="s">
        <v>33</v>
      </c>
      <c r="I1999" s="16">
        <v>1.336</v>
      </c>
      <c r="J1999" s="11" t="s">
        <v>1045</v>
      </c>
      <c r="K1999" s="11" t="s">
        <v>35</v>
      </c>
      <c r="L1999" s="11" t="s">
        <v>36</v>
      </c>
      <c r="M1999" s="11" t="s">
        <v>28</v>
      </c>
      <c r="N1999" s="11" t="s">
        <v>62</v>
      </c>
      <c r="O1999" s="11" t="s">
        <v>2044</v>
      </c>
      <c r="P1999" s="11" t="s">
        <v>58</v>
      </c>
      <c r="Q1999" s="20">
        <v>40154.0</v>
      </c>
      <c r="R1999" s="17">
        <f t="shared" si="2"/>
        <v>25.0122436</v>
      </c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>
        <f t="shared" si="8"/>
        <v>2</v>
      </c>
      <c r="AF1999" s="19">
        <f t="shared" si="13"/>
        <v>2</v>
      </c>
      <c r="AG1999" s="9"/>
      <c r="AH1999" s="9"/>
      <c r="AI1999" s="9"/>
    </row>
    <row r="2000" ht="15.0" customHeight="1">
      <c r="A2000" s="11">
        <v>1999.0</v>
      </c>
      <c r="B2000" s="12">
        <f t="shared" ref="B2000:B2010" si="320">DATE(2012,12,31)-1122</f>
        <v>40152</v>
      </c>
      <c r="C2000" s="13">
        <v>2009.0</v>
      </c>
      <c r="D2000" s="11" t="s">
        <v>102</v>
      </c>
      <c r="E2000" s="11">
        <v>32.0</v>
      </c>
      <c r="F2000" s="21" t="s">
        <v>169</v>
      </c>
      <c r="G2000" s="15">
        <v>0.056930196553580996</v>
      </c>
      <c r="H2000" s="11" t="s">
        <v>24</v>
      </c>
      <c r="I2000" s="16">
        <v>19.592</v>
      </c>
      <c r="J2000" s="11" t="s">
        <v>1252</v>
      </c>
      <c r="K2000" s="11" t="s">
        <v>35</v>
      </c>
      <c r="L2000" s="11" t="s">
        <v>27</v>
      </c>
      <c r="M2000" s="11" t="s">
        <v>66</v>
      </c>
      <c r="N2000" s="11" t="s">
        <v>170</v>
      </c>
      <c r="O2000" s="11" t="s">
        <v>171</v>
      </c>
      <c r="P2000" s="11" t="s">
        <v>31</v>
      </c>
      <c r="Q2000" s="20">
        <v>40154.0</v>
      </c>
      <c r="R2000" s="17">
        <f t="shared" si="2"/>
        <v>1276.169603</v>
      </c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>
        <f t="shared" si="8"/>
        <v>1</v>
      </c>
      <c r="AF2000" s="19">
        <f t="shared" si="13"/>
        <v>2</v>
      </c>
      <c r="AG2000" s="9"/>
      <c r="AH2000" s="9"/>
      <c r="AI2000" s="9"/>
    </row>
    <row r="2001" ht="15.0" customHeight="1">
      <c r="A2001" s="11">
        <v>2000.0</v>
      </c>
      <c r="B2001" s="12">
        <f t="shared" si="320"/>
        <v>40152</v>
      </c>
      <c r="C2001" s="13">
        <v>2009.0</v>
      </c>
      <c r="D2001" s="11" t="s">
        <v>102</v>
      </c>
      <c r="E2001" s="11">
        <v>13.0</v>
      </c>
      <c r="F2001" s="21" t="s">
        <v>2045</v>
      </c>
      <c r="G2001" s="15">
        <v>0.038645316583624564</v>
      </c>
      <c r="H2001" s="11" t="s">
        <v>45</v>
      </c>
      <c r="I2001" s="16">
        <v>11.76</v>
      </c>
      <c r="J2001" s="11" t="s">
        <v>1252</v>
      </c>
      <c r="K2001" s="11" t="s">
        <v>35</v>
      </c>
      <c r="L2001" s="11" t="s">
        <v>27</v>
      </c>
      <c r="M2001" s="11" t="s">
        <v>66</v>
      </c>
      <c r="N2001" s="11" t="s">
        <v>69</v>
      </c>
      <c r="O2001" s="11" t="s">
        <v>2046</v>
      </c>
      <c r="P2001" s="11" t="s">
        <v>52</v>
      </c>
      <c r="Q2001" s="20">
        <v>40154.0</v>
      </c>
      <c r="R2001" s="17">
        <f t="shared" si="2"/>
        <v>683.753905</v>
      </c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>
        <f t="shared" si="8"/>
        <v>1</v>
      </c>
      <c r="AF2001" s="19">
        <f t="shared" si="13"/>
        <v>2</v>
      </c>
      <c r="AG2001" s="9"/>
      <c r="AH2001" s="9"/>
      <c r="AI2001" s="9"/>
    </row>
    <row r="2002" ht="15.0" customHeight="1">
      <c r="A2002" s="11">
        <v>2001.0</v>
      </c>
      <c r="B2002" s="12">
        <f t="shared" si="320"/>
        <v>40152</v>
      </c>
      <c r="C2002" s="13">
        <v>2009.0</v>
      </c>
      <c r="D2002" s="11" t="s">
        <v>102</v>
      </c>
      <c r="E2002" s="11">
        <v>2.0</v>
      </c>
      <c r="F2002" s="21" t="s">
        <v>158</v>
      </c>
      <c r="G2002" s="15">
        <v>0.10443438914027148</v>
      </c>
      <c r="H2002" s="11" t="s">
        <v>33</v>
      </c>
      <c r="I2002" s="16">
        <v>6.992000000000001</v>
      </c>
      <c r="J2002" s="11" t="s">
        <v>1252</v>
      </c>
      <c r="K2002" s="11" t="s">
        <v>35</v>
      </c>
      <c r="L2002" s="11" t="s">
        <v>27</v>
      </c>
      <c r="M2002" s="11" t="s">
        <v>28</v>
      </c>
      <c r="N2002" s="11" t="s">
        <v>56</v>
      </c>
      <c r="O2002" s="11" t="s">
        <v>2047</v>
      </c>
      <c r="P2002" s="11" t="s">
        <v>38</v>
      </c>
      <c r="Q2002" s="20">
        <v>40154.0</v>
      </c>
      <c r="R2002" s="17">
        <f t="shared" si="2"/>
        <v>2.06696543</v>
      </c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>
        <f t="shared" si="8"/>
        <v>1</v>
      </c>
      <c r="AF2002" s="19">
        <f t="shared" si="13"/>
        <v>2</v>
      </c>
      <c r="AG2002" s="9"/>
      <c r="AH2002" s="9"/>
      <c r="AI2002" s="9"/>
    </row>
    <row r="2003" ht="15.0" customHeight="1">
      <c r="A2003" s="11">
        <v>2002.0</v>
      </c>
      <c r="B2003" s="12">
        <f t="shared" si="320"/>
        <v>40152</v>
      </c>
      <c r="C2003" s="13">
        <v>2009.0</v>
      </c>
      <c r="D2003" s="11" t="s">
        <v>102</v>
      </c>
      <c r="E2003" s="11">
        <v>24.0</v>
      </c>
      <c r="F2003" s="21" t="s">
        <v>1461</v>
      </c>
      <c r="G2003" s="15">
        <v>0.024557438794726834</v>
      </c>
      <c r="H2003" s="11" t="s">
        <v>33</v>
      </c>
      <c r="I2003" s="16">
        <v>3.968</v>
      </c>
      <c r="J2003" s="11" t="s">
        <v>1252</v>
      </c>
      <c r="K2003" s="11" t="s">
        <v>35</v>
      </c>
      <c r="L2003" s="11" t="s">
        <v>27</v>
      </c>
      <c r="M2003" s="11" t="s">
        <v>28</v>
      </c>
      <c r="N2003" s="11" t="s">
        <v>29</v>
      </c>
      <c r="O2003" s="11" t="s">
        <v>1463</v>
      </c>
      <c r="P2003" s="11" t="s">
        <v>38</v>
      </c>
      <c r="Q2003" s="20">
        <v>40154.0</v>
      </c>
      <c r="R2003" s="17">
        <f t="shared" si="2"/>
        <v>10.1758168</v>
      </c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>
        <f t="shared" si="8"/>
        <v>1</v>
      </c>
      <c r="AF2003" s="19">
        <f t="shared" si="13"/>
        <v>2</v>
      </c>
      <c r="AG2003" s="9"/>
      <c r="AH2003" s="9"/>
      <c r="AI2003" s="9"/>
    </row>
    <row r="2004" ht="15.0" customHeight="1">
      <c r="A2004" s="11">
        <v>2003.0</v>
      </c>
      <c r="B2004" s="12">
        <f t="shared" si="320"/>
        <v>40152</v>
      </c>
      <c r="C2004" s="13">
        <v>2009.0</v>
      </c>
      <c r="D2004" s="11" t="s">
        <v>102</v>
      </c>
      <c r="E2004" s="11">
        <v>25.0</v>
      </c>
      <c r="F2004" s="21" t="s">
        <v>130</v>
      </c>
      <c r="G2004" s="15">
        <v>0.06981861575179002</v>
      </c>
      <c r="H2004" s="11" t="s">
        <v>33</v>
      </c>
      <c r="I2004" s="16">
        <v>6.992000000000001</v>
      </c>
      <c r="J2004" s="11" t="s">
        <v>1252</v>
      </c>
      <c r="K2004" s="11" t="s">
        <v>35</v>
      </c>
      <c r="L2004" s="11" t="s">
        <v>27</v>
      </c>
      <c r="M2004" s="11" t="s">
        <v>28</v>
      </c>
      <c r="N2004" s="11" t="s">
        <v>56</v>
      </c>
      <c r="O2004" s="11" t="s">
        <v>776</v>
      </c>
      <c r="P2004" s="11" t="s">
        <v>38</v>
      </c>
      <c r="Q2004" s="20">
        <v>40154.0</v>
      </c>
      <c r="R2004" s="17">
        <f t="shared" si="2"/>
        <v>54.42305243</v>
      </c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>
        <f t="shared" si="8"/>
        <v>1</v>
      </c>
      <c r="AF2004" s="19">
        <f t="shared" si="13"/>
        <v>2</v>
      </c>
      <c r="AG2004" s="9"/>
      <c r="AH2004" s="9"/>
      <c r="AI2004" s="9"/>
    </row>
    <row r="2005" ht="15.0" customHeight="1">
      <c r="A2005" s="11">
        <v>2004.0</v>
      </c>
      <c r="B2005" s="12">
        <f t="shared" si="320"/>
        <v>40152</v>
      </c>
      <c r="C2005" s="13">
        <v>2009.0</v>
      </c>
      <c r="D2005" s="11" t="s">
        <v>44</v>
      </c>
      <c r="E2005" s="11">
        <v>35.0</v>
      </c>
      <c r="F2005" s="21" t="s">
        <v>926</v>
      </c>
      <c r="G2005" s="15">
        <v>0.0702381947346428</v>
      </c>
      <c r="H2005" s="11" t="s">
        <v>33</v>
      </c>
      <c r="I2005" s="16">
        <v>3.9840000000000004</v>
      </c>
      <c r="J2005" s="11" t="s">
        <v>2048</v>
      </c>
      <c r="K2005" s="11" t="s">
        <v>26</v>
      </c>
      <c r="L2005" s="11" t="s">
        <v>27</v>
      </c>
      <c r="M2005" s="11" t="s">
        <v>49</v>
      </c>
      <c r="N2005" s="11" t="s">
        <v>73</v>
      </c>
      <c r="O2005" s="11" t="s">
        <v>927</v>
      </c>
      <c r="P2005" s="11" t="s">
        <v>99</v>
      </c>
      <c r="Q2005" s="20">
        <v>40154.0</v>
      </c>
      <c r="R2005" s="17">
        <f t="shared" si="2"/>
        <v>31.25487285</v>
      </c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>
        <f t="shared" si="8"/>
        <v>1</v>
      </c>
      <c r="AF2005" s="19">
        <f t="shared" si="13"/>
        <v>1</v>
      </c>
      <c r="AG2005" s="9"/>
      <c r="AH2005" s="9"/>
      <c r="AI2005" s="9"/>
    </row>
    <row r="2006" ht="15.0" customHeight="1">
      <c r="A2006" s="11">
        <v>2005.0</v>
      </c>
      <c r="B2006" s="12">
        <f t="shared" si="320"/>
        <v>40152</v>
      </c>
      <c r="C2006" s="13">
        <v>2009.0</v>
      </c>
      <c r="D2006" s="11" t="s">
        <v>44</v>
      </c>
      <c r="E2006" s="11">
        <v>13.0</v>
      </c>
      <c r="F2006" s="21" t="s">
        <v>142</v>
      </c>
      <c r="G2006" s="15">
        <v>0.08610261374636986</v>
      </c>
      <c r="H2006" s="11" t="s">
        <v>33</v>
      </c>
      <c r="I2006" s="16">
        <v>5.328</v>
      </c>
      <c r="J2006" s="11" t="s">
        <v>1020</v>
      </c>
      <c r="K2006" s="11" t="s">
        <v>47</v>
      </c>
      <c r="L2006" s="11" t="s">
        <v>27</v>
      </c>
      <c r="M2006" s="11" t="s">
        <v>28</v>
      </c>
      <c r="N2006" s="11" t="s">
        <v>236</v>
      </c>
      <c r="O2006" s="11" t="s">
        <v>1389</v>
      </c>
      <c r="P2006" s="11" t="s">
        <v>38</v>
      </c>
      <c r="Q2006" s="20">
        <v>40154.0</v>
      </c>
      <c r="R2006" s="17">
        <f t="shared" si="2"/>
        <v>40.64284456</v>
      </c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>
        <f t="shared" si="8"/>
        <v>1</v>
      </c>
      <c r="AF2006" s="19">
        <f t="shared" si="13"/>
        <v>3</v>
      </c>
      <c r="AG2006" s="9"/>
      <c r="AH2006" s="9"/>
      <c r="AI2006" s="9"/>
    </row>
    <row r="2007" ht="15.0" customHeight="1">
      <c r="A2007" s="11">
        <v>2006.0</v>
      </c>
      <c r="B2007" s="12">
        <f t="shared" si="320"/>
        <v>40152</v>
      </c>
      <c r="C2007" s="13">
        <v>2009.0</v>
      </c>
      <c r="D2007" s="11" t="s">
        <v>44</v>
      </c>
      <c r="E2007" s="11">
        <v>15.0</v>
      </c>
      <c r="F2007" s="21" t="s">
        <v>792</v>
      </c>
      <c r="G2007" s="15">
        <v>0.03528072567558086</v>
      </c>
      <c r="H2007" s="11" t="s">
        <v>33</v>
      </c>
      <c r="I2007" s="16">
        <v>11.192</v>
      </c>
      <c r="J2007" s="11" t="s">
        <v>1020</v>
      </c>
      <c r="K2007" s="11" t="s">
        <v>47</v>
      </c>
      <c r="L2007" s="11" t="s">
        <v>27</v>
      </c>
      <c r="M2007" s="11" t="s">
        <v>49</v>
      </c>
      <c r="N2007" s="11" t="s">
        <v>73</v>
      </c>
      <c r="O2007" s="11" t="s">
        <v>2049</v>
      </c>
      <c r="P2007" s="11" t="s">
        <v>75</v>
      </c>
      <c r="Q2007" s="20">
        <v>40154.0</v>
      </c>
      <c r="R2007" s="17">
        <f t="shared" si="2"/>
        <v>90.83700215</v>
      </c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>
        <f t="shared" si="8"/>
        <v>1</v>
      </c>
      <c r="AF2007" s="19">
        <f t="shared" si="13"/>
        <v>3</v>
      </c>
      <c r="AG2007" s="9"/>
      <c r="AH2007" s="9"/>
      <c r="AI2007" s="9"/>
    </row>
    <row r="2008" ht="15.0" customHeight="1">
      <c r="A2008" s="11">
        <v>2007.0</v>
      </c>
      <c r="B2008" s="12">
        <f t="shared" si="320"/>
        <v>40152</v>
      </c>
      <c r="C2008" s="13">
        <v>2009.0</v>
      </c>
      <c r="D2008" s="11" t="s">
        <v>44</v>
      </c>
      <c r="E2008" s="11">
        <v>20.0</v>
      </c>
      <c r="F2008" s="21" t="s">
        <v>126</v>
      </c>
      <c r="G2008" s="15">
        <v>0.10847341337907374</v>
      </c>
      <c r="H2008" s="11" t="s">
        <v>33</v>
      </c>
      <c r="I2008" s="16">
        <v>5.952000000000001</v>
      </c>
      <c r="J2008" s="11" t="s">
        <v>1020</v>
      </c>
      <c r="K2008" s="11" t="s">
        <v>47</v>
      </c>
      <c r="L2008" s="11" t="s">
        <v>27</v>
      </c>
      <c r="M2008" s="11" t="s">
        <v>28</v>
      </c>
      <c r="N2008" s="11" t="s">
        <v>56</v>
      </c>
      <c r="O2008" s="11" t="s">
        <v>1230</v>
      </c>
      <c r="P2008" s="11" t="s">
        <v>38</v>
      </c>
      <c r="Q2008" s="20">
        <v>40155.0</v>
      </c>
      <c r="R2008" s="17">
        <f t="shared" si="2"/>
        <v>11.27602827</v>
      </c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>
        <f t="shared" si="8"/>
        <v>1</v>
      </c>
      <c r="AF2008" s="19">
        <f t="shared" si="13"/>
        <v>3</v>
      </c>
      <c r="AG2008" s="9"/>
      <c r="AH2008" s="9"/>
      <c r="AI2008" s="9"/>
    </row>
    <row r="2009" ht="15.0" customHeight="1">
      <c r="A2009" s="11">
        <v>2008.0</v>
      </c>
      <c r="B2009" s="12">
        <f t="shared" si="320"/>
        <v>40152</v>
      </c>
      <c r="C2009" s="13">
        <v>2009.0</v>
      </c>
      <c r="D2009" s="11" t="s">
        <v>102</v>
      </c>
      <c r="E2009" s="11">
        <v>5.0</v>
      </c>
      <c r="F2009" s="21" t="s">
        <v>687</v>
      </c>
      <c r="G2009" s="15">
        <v>0.029414919161197536</v>
      </c>
      <c r="H2009" s="11" t="s">
        <v>24</v>
      </c>
      <c r="I2009" s="16">
        <v>11.192</v>
      </c>
      <c r="J2009" s="11" t="s">
        <v>1961</v>
      </c>
      <c r="K2009" s="11" t="s">
        <v>65</v>
      </c>
      <c r="L2009" s="11" t="s">
        <v>27</v>
      </c>
      <c r="M2009" s="11" t="s">
        <v>66</v>
      </c>
      <c r="N2009" s="11" t="s">
        <v>69</v>
      </c>
      <c r="O2009" s="11" t="s">
        <v>688</v>
      </c>
      <c r="P2009" s="11" t="s">
        <v>75</v>
      </c>
      <c r="Q2009" s="20">
        <v>40155.0</v>
      </c>
      <c r="R2009" s="17">
        <f t="shared" si="2"/>
        <v>285.3597784</v>
      </c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>
        <f t="shared" si="8"/>
        <v>1</v>
      </c>
      <c r="AF2009" s="19">
        <f t="shared" si="13"/>
        <v>5</v>
      </c>
      <c r="AG2009" s="9"/>
      <c r="AH2009" s="9"/>
      <c r="AI2009" s="9"/>
    </row>
    <row r="2010" ht="15.0" customHeight="1">
      <c r="A2010" s="11">
        <v>2009.0</v>
      </c>
      <c r="B2010" s="12">
        <f t="shared" si="320"/>
        <v>40152</v>
      </c>
      <c r="C2010" s="13">
        <v>2009.0</v>
      </c>
      <c r="D2010" s="11" t="s">
        <v>102</v>
      </c>
      <c r="E2010" s="11">
        <v>31.0</v>
      </c>
      <c r="F2010" s="21" t="s">
        <v>158</v>
      </c>
      <c r="G2010" s="15">
        <v>0.06418433179723501</v>
      </c>
      <c r="H2010" s="11" t="s">
        <v>33</v>
      </c>
      <c r="I2010" s="16">
        <v>4.672</v>
      </c>
      <c r="J2010" s="11" t="s">
        <v>1961</v>
      </c>
      <c r="K2010" s="11" t="s">
        <v>65</v>
      </c>
      <c r="L2010" s="11" t="s">
        <v>27</v>
      </c>
      <c r="M2010" s="11" t="s">
        <v>28</v>
      </c>
      <c r="N2010" s="11" t="s">
        <v>56</v>
      </c>
      <c r="O2010" s="11" t="s">
        <v>2050</v>
      </c>
      <c r="P2010" s="11" t="s">
        <v>38</v>
      </c>
      <c r="Q2010" s="20">
        <v>40155.0</v>
      </c>
      <c r="R2010" s="17">
        <f t="shared" si="2"/>
        <v>13.03404063</v>
      </c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>
        <f t="shared" si="8"/>
        <v>1</v>
      </c>
      <c r="AF2010" s="19">
        <f t="shared" si="13"/>
        <v>5</v>
      </c>
      <c r="AG2010" s="9"/>
      <c r="AH2010" s="9"/>
      <c r="AI2010" s="9"/>
    </row>
    <row r="2011" ht="15.0" customHeight="1">
      <c r="A2011" s="11">
        <v>2010.0</v>
      </c>
      <c r="B2011" s="12">
        <f t="shared" ref="B2011:B2023" si="321">DATE(2012,12,31)-1121</f>
        <v>40153</v>
      </c>
      <c r="C2011" s="13">
        <v>2009.0</v>
      </c>
      <c r="D2011" s="11" t="s">
        <v>23</v>
      </c>
      <c r="E2011" s="11">
        <v>14.0</v>
      </c>
      <c r="F2011" s="21" t="s">
        <v>1182</v>
      </c>
      <c r="G2011" s="15">
        <v>0.09885462555066063</v>
      </c>
      <c r="H2011" s="11" t="s">
        <v>24</v>
      </c>
      <c r="I2011" s="16">
        <v>6.224</v>
      </c>
      <c r="J2011" s="11" t="s">
        <v>1442</v>
      </c>
      <c r="K2011" s="11" t="s">
        <v>35</v>
      </c>
      <c r="L2011" s="11" t="s">
        <v>41</v>
      </c>
      <c r="M2011" s="11" t="s">
        <v>28</v>
      </c>
      <c r="N2011" s="11" t="s">
        <v>42</v>
      </c>
      <c r="O2011" s="11" t="s">
        <v>1311</v>
      </c>
      <c r="P2011" s="11" t="s">
        <v>38</v>
      </c>
      <c r="Q2011" s="20">
        <v>40155.0</v>
      </c>
      <c r="R2011" s="17">
        <f t="shared" si="2"/>
        <v>8.088680881</v>
      </c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>
        <f t="shared" si="8"/>
        <v>3</v>
      </c>
      <c r="AF2011" s="19">
        <f t="shared" si="13"/>
        <v>2</v>
      </c>
      <c r="AG2011" s="9"/>
      <c r="AH2011" s="9"/>
      <c r="AI2011" s="9"/>
    </row>
    <row r="2012" ht="15.0" customHeight="1">
      <c r="A2012" s="11">
        <v>2011.0</v>
      </c>
      <c r="B2012" s="12">
        <f t="shared" si="321"/>
        <v>40153</v>
      </c>
      <c r="C2012" s="13">
        <v>2009.0</v>
      </c>
      <c r="D2012" s="11" t="s">
        <v>23</v>
      </c>
      <c r="E2012" s="11">
        <v>8.0</v>
      </c>
      <c r="F2012" s="21" t="s">
        <v>983</v>
      </c>
      <c r="G2012" s="15">
        <v>0.006552335895919431</v>
      </c>
      <c r="H2012" s="11" t="s">
        <v>33</v>
      </c>
      <c r="I2012" s="16">
        <v>1.592</v>
      </c>
      <c r="J2012" s="11" t="s">
        <v>1212</v>
      </c>
      <c r="K2012" s="11" t="s">
        <v>117</v>
      </c>
      <c r="L2012" s="11" t="s">
        <v>27</v>
      </c>
      <c r="M2012" s="11" t="s">
        <v>66</v>
      </c>
      <c r="N2012" s="11" t="s">
        <v>67</v>
      </c>
      <c r="O2012" s="11" t="s">
        <v>2051</v>
      </c>
      <c r="P2012" s="11" t="s">
        <v>99</v>
      </c>
      <c r="Q2012" s="20">
        <v>40155.0</v>
      </c>
      <c r="R2012" s="17">
        <f t="shared" si="2"/>
        <v>1.100740012</v>
      </c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>
        <f t="shared" si="8"/>
        <v>1</v>
      </c>
      <c r="AF2012" s="19" t="b">
        <f t="shared" si="13"/>
        <v>0</v>
      </c>
      <c r="AG2012" s="9"/>
      <c r="AH2012" s="9"/>
      <c r="AI2012" s="9"/>
    </row>
    <row r="2013" ht="15.0" customHeight="1">
      <c r="A2013" s="11">
        <v>2012.0</v>
      </c>
      <c r="B2013" s="12">
        <f t="shared" si="321"/>
        <v>40153</v>
      </c>
      <c r="C2013" s="13">
        <v>2009.0</v>
      </c>
      <c r="D2013" s="11" t="s">
        <v>23</v>
      </c>
      <c r="E2013" s="11">
        <v>41.0</v>
      </c>
      <c r="F2013" s="21" t="s">
        <v>415</v>
      </c>
      <c r="G2013" s="15">
        <v>0.0845838084378564</v>
      </c>
      <c r="H2013" s="11" t="s">
        <v>33</v>
      </c>
      <c r="I2013" s="16">
        <v>0.664</v>
      </c>
      <c r="J2013" s="11" t="s">
        <v>1212</v>
      </c>
      <c r="K2013" s="11" t="s">
        <v>117</v>
      </c>
      <c r="L2013" s="11" t="s">
        <v>27</v>
      </c>
      <c r="M2013" s="11" t="s">
        <v>28</v>
      </c>
      <c r="N2013" s="11" t="s">
        <v>62</v>
      </c>
      <c r="O2013" s="11" t="s">
        <v>1493</v>
      </c>
      <c r="P2013" s="11" t="s">
        <v>58</v>
      </c>
      <c r="Q2013" s="20">
        <v>40155.0</v>
      </c>
      <c r="R2013" s="17">
        <f t="shared" si="2"/>
        <v>13.58111462</v>
      </c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>
        <f t="shared" si="8"/>
        <v>1</v>
      </c>
      <c r="AF2013" s="19" t="b">
        <f t="shared" si="13"/>
        <v>0</v>
      </c>
      <c r="AG2013" s="9"/>
      <c r="AH2013" s="9"/>
      <c r="AI2013" s="9"/>
    </row>
    <row r="2014" ht="15.0" customHeight="1">
      <c r="A2014" s="11">
        <v>2013.0</v>
      </c>
      <c r="B2014" s="12">
        <f t="shared" si="321"/>
        <v>40153</v>
      </c>
      <c r="C2014" s="13">
        <v>2009.0</v>
      </c>
      <c r="D2014" s="11" t="s">
        <v>32</v>
      </c>
      <c r="E2014" s="11">
        <v>3.0</v>
      </c>
      <c r="F2014" s="21" t="s">
        <v>1207</v>
      </c>
      <c r="G2014" s="15">
        <v>0.09131065613412845</v>
      </c>
      <c r="H2014" s="11" t="s">
        <v>45</v>
      </c>
      <c r="I2014" s="16">
        <v>20.96</v>
      </c>
      <c r="J2014" s="11" t="s">
        <v>546</v>
      </c>
      <c r="K2014" s="11" t="s">
        <v>61</v>
      </c>
      <c r="L2014" s="11" t="s">
        <v>36</v>
      </c>
      <c r="M2014" s="11" t="s">
        <v>49</v>
      </c>
      <c r="N2014" s="11" t="s">
        <v>50</v>
      </c>
      <c r="O2014" s="11" t="s">
        <v>1208</v>
      </c>
      <c r="P2014" s="11" t="s">
        <v>52</v>
      </c>
      <c r="Q2014" s="20">
        <v>40155.0</v>
      </c>
      <c r="R2014" s="17">
        <f t="shared" si="2"/>
        <v>51.46816444</v>
      </c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>
        <f t="shared" si="8"/>
        <v>2</v>
      </c>
      <c r="AF2014" s="19">
        <f t="shared" si="13"/>
        <v>4</v>
      </c>
      <c r="AG2014" s="9"/>
      <c r="AH2014" s="9"/>
      <c r="AI2014" s="9"/>
    </row>
    <row r="2015" ht="15.0" customHeight="1">
      <c r="A2015" s="11">
        <v>2014.0</v>
      </c>
      <c r="B2015" s="12">
        <f t="shared" si="321"/>
        <v>40153</v>
      </c>
      <c r="C2015" s="13">
        <v>2009.0</v>
      </c>
      <c r="D2015" s="11" t="s">
        <v>32</v>
      </c>
      <c r="E2015" s="11">
        <v>26.0</v>
      </c>
      <c r="F2015" s="21" t="s">
        <v>158</v>
      </c>
      <c r="G2015" s="15">
        <v>0.017557603686635954</v>
      </c>
      <c r="H2015" s="11" t="s">
        <v>33</v>
      </c>
      <c r="I2015" s="16">
        <v>4.152</v>
      </c>
      <c r="J2015" s="11" t="s">
        <v>546</v>
      </c>
      <c r="K2015" s="11" t="s">
        <v>61</v>
      </c>
      <c r="L2015" s="11" t="s">
        <v>36</v>
      </c>
      <c r="M2015" s="11" t="s">
        <v>28</v>
      </c>
      <c r="N2015" s="11" t="s">
        <v>56</v>
      </c>
      <c r="O2015" s="11" t="s">
        <v>1687</v>
      </c>
      <c r="P2015" s="11" t="s">
        <v>38</v>
      </c>
      <c r="Q2015" s="20">
        <v>40155.0</v>
      </c>
      <c r="R2015" s="17">
        <f t="shared" si="2"/>
        <v>2.994484424</v>
      </c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>
        <f t="shared" si="8"/>
        <v>2</v>
      </c>
      <c r="AF2015" s="19">
        <f t="shared" si="13"/>
        <v>4</v>
      </c>
      <c r="AG2015" s="9"/>
      <c r="AH2015" s="9"/>
      <c r="AI2015" s="9"/>
    </row>
    <row r="2016" ht="15.0" customHeight="1">
      <c r="A2016" s="11">
        <v>2015.0</v>
      </c>
      <c r="B2016" s="12">
        <f t="shared" si="321"/>
        <v>40153</v>
      </c>
      <c r="C2016" s="13">
        <v>2009.0</v>
      </c>
      <c r="D2016" s="11" t="s">
        <v>102</v>
      </c>
      <c r="E2016" s="11">
        <v>13.0</v>
      </c>
      <c r="F2016" s="21" t="s">
        <v>250</v>
      </c>
      <c r="G2016" s="15">
        <v>0.04823419768653038</v>
      </c>
      <c r="H2016" s="11" t="s">
        <v>45</v>
      </c>
      <c r="I2016" s="16">
        <v>9.648000000000001</v>
      </c>
      <c r="J2016" s="11" t="s">
        <v>2052</v>
      </c>
      <c r="K2016" s="11" t="s">
        <v>65</v>
      </c>
      <c r="L2016" s="11" t="s">
        <v>48</v>
      </c>
      <c r="M2016" s="11" t="s">
        <v>66</v>
      </c>
      <c r="N2016" s="11" t="s">
        <v>69</v>
      </c>
      <c r="O2016" s="11" t="s">
        <v>252</v>
      </c>
      <c r="P2016" s="11" t="s">
        <v>87</v>
      </c>
      <c r="Q2016" s="20">
        <v>40155.0</v>
      </c>
      <c r="R2016" s="17">
        <f t="shared" si="2"/>
        <v>251.2204871</v>
      </c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>
        <f t="shared" si="8"/>
        <v>4</v>
      </c>
      <c r="AF2016" s="19">
        <f t="shared" si="13"/>
        <v>5</v>
      </c>
      <c r="AG2016" s="9"/>
      <c r="AH2016" s="9"/>
      <c r="AI2016" s="9"/>
    </row>
    <row r="2017" ht="15.0" customHeight="1">
      <c r="A2017" s="11">
        <v>2016.0</v>
      </c>
      <c r="B2017" s="12">
        <f t="shared" si="321"/>
        <v>40153</v>
      </c>
      <c r="C2017" s="13">
        <v>2009.0</v>
      </c>
      <c r="D2017" s="11" t="s">
        <v>102</v>
      </c>
      <c r="E2017" s="11">
        <v>11.0</v>
      </c>
      <c r="F2017" s="21" t="s">
        <v>158</v>
      </c>
      <c r="G2017" s="15">
        <v>0.08990291262135923</v>
      </c>
      <c r="H2017" s="11" t="s">
        <v>33</v>
      </c>
      <c r="I2017" s="16">
        <v>4.5920000000000005</v>
      </c>
      <c r="J2017" s="11" t="s">
        <v>2052</v>
      </c>
      <c r="K2017" s="11" t="s">
        <v>65</v>
      </c>
      <c r="L2017" s="11" t="s">
        <v>48</v>
      </c>
      <c r="M2017" s="11" t="s">
        <v>28</v>
      </c>
      <c r="N2017" s="11" t="s">
        <v>56</v>
      </c>
      <c r="O2017" s="11" t="s">
        <v>2053</v>
      </c>
      <c r="P2017" s="11" t="s">
        <v>38</v>
      </c>
      <c r="Q2017" s="20">
        <v>40156.0</v>
      </c>
      <c r="R2017" s="17">
        <f t="shared" si="2"/>
        <v>6.741999223</v>
      </c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>
        <f t="shared" si="8"/>
        <v>4</v>
      </c>
      <c r="AF2017" s="19">
        <f t="shared" si="13"/>
        <v>5</v>
      </c>
      <c r="AG2017" s="9"/>
      <c r="AH2017" s="9"/>
      <c r="AI2017" s="9"/>
    </row>
    <row r="2018" ht="15.0" customHeight="1">
      <c r="A2018" s="11">
        <v>2017.0</v>
      </c>
      <c r="B2018" s="12">
        <f t="shared" si="321"/>
        <v>40153</v>
      </c>
      <c r="C2018" s="13">
        <v>2009.0</v>
      </c>
      <c r="D2018" s="11" t="s">
        <v>39</v>
      </c>
      <c r="E2018" s="11">
        <v>2.0</v>
      </c>
      <c r="F2018" s="21" t="s">
        <v>1015</v>
      </c>
      <c r="G2018" s="15">
        <v>0.15390476190476188</v>
      </c>
      <c r="H2018" s="11" t="s">
        <v>33</v>
      </c>
      <c r="I2018" s="16">
        <v>6.368</v>
      </c>
      <c r="J2018" s="11" t="s">
        <v>1837</v>
      </c>
      <c r="K2018" s="11" t="s">
        <v>35</v>
      </c>
      <c r="L2018" s="11" t="s">
        <v>48</v>
      </c>
      <c r="M2018" s="11" t="s">
        <v>28</v>
      </c>
      <c r="N2018" s="11" t="s">
        <v>56</v>
      </c>
      <c r="O2018" s="11" t="s">
        <v>1531</v>
      </c>
      <c r="P2018" s="11" t="s">
        <v>38</v>
      </c>
      <c r="Q2018" s="20">
        <v>40156.0</v>
      </c>
      <c r="R2018" s="17">
        <f t="shared" si="2"/>
        <v>2.73457981</v>
      </c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>
        <f t="shared" si="8"/>
        <v>4</v>
      </c>
      <c r="AF2018" s="19">
        <f t="shared" si="13"/>
        <v>2</v>
      </c>
      <c r="AG2018" s="9"/>
      <c r="AH2018" s="9"/>
      <c r="AI2018" s="9"/>
    </row>
    <row r="2019" ht="15.0" customHeight="1">
      <c r="A2019" s="11">
        <v>2018.0</v>
      </c>
      <c r="B2019" s="12">
        <f t="shared" si="321"/>
        <v>40153</v>
      </c>
      <c r="C2019" s="13">
        <v>2009.0</v>
      </c>
      <c r="D2019" s="11" t="s">
        <v>23</v>
      </c>
      <c r="E2019" s="11">
        <v>44.0</v>
      </c>
      <c r="F2019" s="21" t="s">
        <v>1904</v>
      </c>
      <c r="G2019" s="15">
        <v>0.07486312279500416</v>
      </c>
      <c r="H2019" s="11" t="s">
        <v>33</v>
      </c>
      <c r="I2019" s="16">
        <v>19.592</v>
      </c>
      <c r="J2019" s="11" t="s">
        <v>1332</v>
      </c>
      <c r="K2019" s="11" t="s">
        <v>35</v>
      </c>
      <c r="L2019" s="11" t="s">
        <v>41</v>
      </c>
      <c r="M2019" s="11" t="s">
        <v>49</v>
      </c>
      <c r="N2019" s="11" t="s">
        <v>50</v>
      </c>
      <c r="O2019" s="11" t="s">
        <v>2054</v>
      </c>
      <c r="P2019" s="11" t="s">
        <v>31</v>
      </c>
      <c r="Q2019" s="20">
        <v>40156.0</v>
      </c>
      <c r="R2019" s="17">
        <f t="shared" si="2"/>
        <v>465.2587366</v>
      </c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>
        <f t="shared" si="8"/>
        <v>3</v>
      </c>
      <c r="AF2019" s="19">
        <f t="shared" si="13"/>
        <v>2</v>
      </c>
      <c r="AG2019" s="9"/>
      <c r="AH2019" s="9"/>
      <c r="AI2019" s="9"/>
    </row>
    <row r="2020" ht="15.0" customHeight="1">
      <c r="A2020" s="11">
        <v>2019.0</v>
      </c>
      <c r="B2020" s="12">
        <f t="shared" si="321"/>
        <v>40153</v>
      </c>
      <c r="C2020" s="13">
        <v>2009.0</v>
      </c>
      <c r="D2020" s="11" t="s">
        <v>102</v>
      </c>
      <c r="E2020" s="11">
        <v>15.0</v>
      </c>
      <c r="F2020" s="21" t="s">
        <v>624</v>
      </c>
      <c r="G2020" s="15">
        <v>0.08288561936402468</v>
      </c>
      <c r="H2020" s="11" t="s">
        <v>24</v>
      </c>
      <c r="I2020" s="16">
        <v>5.736000000000001</v>
      </c>
      <c r="J2020" s="11" t="s">
        <v>1101</v>
      </c>
      <c r="K2020" s="11" t="s">
        <v>65</v>
      </c>
      <c r="L2020" s="11" t="s">
        <v>48</v>
      </c>
      <c r="M2020" s="11" t="s">
        <v>28</v>
      </c>
      <c r="N2020" s="11" t="s">
        <v>42</v>
      </c>
      <c r="O2020" s="11" t="s">
        <v>625</v>
      </c>
      <c r="P2020" s="11" t="s">
        <v>38</v>
      </c>
      <c r="Q2020" s="20">
        <v>40156.0</v>
      </c>
      <c r="R2020" s="17">
        <f t="shared" si="2"/>
        <v>16.01648554</v>
      </c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>
        <f t="shared" si="8"/>
        <v>4</v>
      </c>
      <c r="AF2020" s="19">
        <f t="shared" si="13"/>
        <v>5</v>
      </c>
      <c r="AG2020" s="9"/>
      <c r="AH2020" s="9"/>
      <c r="AI2020" s="9"/>
    </row>
    <row r="2021" ht="15.0" customHeight="1">
      <c r="A2021" s="11">
        <v>2020.0</v>
      </c>
      <c r="B2021" s="12">
        <f t="shared" si="321"/>
        <v>40153</v>
      </c>
      <c r="C2021" s="13">
        <v>2009.0</v>
      </c>
      <c r="D2021" s="11" t="s">
        <v>102</v>
      </c>
      <c r="E2021" s="11">
        <v>35.0</v>
      </c>
      <c r="F2021" s="21" t="s">
        <v>518</v>
      </c>
      <c r="G2021" s="15">
        <v>0.027360084906193422</v>
      </c>
      <c r="H2021" s="11" t="s">
        <v>33</v>
      </c>
      <c r="I2021" s="16">
        <v>15.991999999999999</v>
      </c>
      <c r="J2021" s="11" t="s">
        <v>1101</v>
      </c>
      <c r="K2021" s="11" t="s">
        <v>65</v>
      </c>
      <c r="L2021" s="11" t="s">
        <v>48</v>
      </c>
      <c r="M2021" s="11" t="s">
        <v>66</v>
      </c>
      <c r="N2021" s="11" t="s">
        <v>67</v>
      </c>
      <c r="O2021" s="11" t="s">
        <v>712</v>
      </c>
      <c r="P2021" s="11" t="s">
        <v>38</v>
      </c>
      <c r="Q2021" s="20">
        <v>40156.0</v>
      </c>
      <c r="R2021" s="17">
        <f t="shared" si="2"/>
        <v>48.22193077</v>
      </c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>
        <f t="shared" si="8"/>
        <v>4</v>
      </c>
      <c r="AF2021" s="19">
        <f t="shared" si="13"/>
        <v>5</v>
      </c>
      <c r="AG2021" s="9"/>
      <c r="AH2021" s="9"/>
      <c r="AI2021" s="9"/>
    </row>
    <row r="2022" ht="15.0" customHeight="1">
      <c r="A2022" s="11">
        <v>2021.0</v>
      </c>
      <c r="B2022" s="12">
        <f t="shared" si="321"/>
        <v>40153</v>
      </c>
      <c r="C2022" s="13">
        <v>2009.0</v>
      </c>
      <c r="D2022" s="11" t="s">
        <v>102</v>
      </c>
      <c r="E2022" s="11">
        <v>43.0</v>
      </c>
      <c r="F2022" s="21" t="s">
        <v>2055</v>
      </c>
      <c r="G2022" s="15">
        <v>0.05007301980198027</v>
      </c>
      <c r="H2022" s="11" t="s">
        <v>24</v>
      </c>
      <c r="I2022" s="16">
        <v>30.064</v>
      </c>
      <c r="J2022" s="11" t="s">
        <v>1564</v>
      </c>
      <c r="K2022" s="11" t="s">
        <v>35</v>
      </c>
      <c r="L2022" s="11" t="s">
        <v>27</v>
      </c>
      <c r="M2022" s="11" t="s">
        <v>49</v>
      </c>
      <c r="N2022" s="11" t="s">
        <v>73</v>
      </c>
      <c r="O2022" s="11" t="s">
        <v>2056</v>
      </c>
      <c r="P2022" s="11" t="s">
        <v>58</v>
      </c>
      <c r="Q2022" s="20">
        <v>40156.0</v>
      </c>
      <c r="R2022" s="17">
        <f t="shared" si="2"/>
        <v>153.7323828</v>
      </c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>
        <f t="shared" si="8"/>
        <v>1</v>
      </c>
      <c r="AF2022" s="19">
        <f t="shared" si="13"/>
        <v>2</v>
      </c>
      <c r="AG2022" s="9"/>
      <c r="AH2022" s="9"/>
      <c r="AI2022" s="9"/>
    </row>
    <row r="2023" ht="15.0" customHeight="1">
      <c r="A2023" s="11">
        <v>2022.0</v>
      </c>
      <c r="B2023" s="12">
        <f t="shared" si="321"/>
        <v>40153</v>
      </c>
      <c r="C2023" s="13">
        <v>2009.0</v>
      </c>
      <c r="D2023" s="11" t="s">
        <v>102</v>
      </c>
      <c r="E2023" s="11">
        <v>23.0</v>
      </c>
      <c r="F2023" s="21" t="s">
        <v>304</v>
      </c>
      <c r="G2023" s="15">
        <v>0.017694870086608968</v>
      </c>
      <c r="H2023" s="11" t="s">
        <v>33</v>
      </c>
      <c r="I2023" s="16">
        <v>7.632</v>
      </c>
      <c r="J2023" s="11" t="s">
        <v>1564</v>
      </c>
      <c r="K2023" s="11" t="s">
        <v>35</v>
      </c>
      <c r="L2023" s="11" t="s">
        <v>27</v>
      </c>
      <c r="M2023" s="11" t="s">
        <v>28</v>
      </c>
      <c r="N2023" s="11" t="s">
        <v>56</v>
      </c>
      <c r="O2023" s="11" t="s">
        <v>305</v>
      </c>
      <c r="P2023" s="11" t="s">
        <v>38</v>
      </c>
      <c r="Q2023" s="20">
        <v>40156.0</v>
      </c>
      <c r="R2023" s="17">
        <f t="shared" si="2"/>
        <v>7.827007275</v>
      </c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>
        <f t="shared" si="8"/>
        <v>1</v>
      </c>
      <c r="AF2023" s="19">
        <f t="shared" si="13"/>
        <v>2</v>
      </c>
      <c r="AG2023" s="9"/>
      <c r="AH2023" s="9"/>
      <c r="AI2023" s="9"/>
    </row>
    <row r="2024" ht="15.0" customHeight="1">
      <c r="A2024" s="11">
        <v>2023.0</v>
      </c>
      <c r="B2024" s="12">
        <f t="shared" ref="B2024:B2029" si="322">DATE(2012,12,31)-1120</f>
        <v>40154</v>
      </c>
      <c r="C2024" s="13">
        <v>2009.0</v>
      </c>
      <c r="D2024" s="11" t="s">
        <v>102</v>
      </c>
      <c r="E2024" s="11">
        <v>7.0</v>
      </c>
      <c r="F2024" s="21" t="s">
        <v>2057</v>
      </c>
      <c r="G2024" s="15">
        <v>0.039323161084443815</v>
      </c>
      <c r="H2024" s="11" t="s">
        <v>45</v>
      </c>
      <c r="I2024" s="16">
        <v>11.76</v>
      </c>
      <c r="J2024" s="11" t="s">
        <v>2058</v>
      </c>
      <c r="K2024" s="11" t="s">
        <v>83</v>
      </c>
      <c r="L2024" s="11" t="s">
        <v>27</v>
      </c>
      <c r="M2024" s="11" t="s">
        <v>66</v>
      </c>
      <c r="N2024" s="11" t="s">
        <v>69</v>
      </c>
      <c r="O2024" s="11" t="s">
        <v>2059</v>
      </c>
      <c r="P2024" s="11" t="s">
        <v>52</v>
      </c>
      <c r="Q2024" s="20">
        <v>40156.0</v>
      </c>
      <c r="R2024" s="17">
        <f t="shared" si="2"/>
        <v>140.8736517</v>
      </c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>
        <f t="shared" si="8"/>
        <v>1</v>
      </c>
      <c r="AF2024" s="19" t="b">
        <f t="shared" si="13"/>
        <v>0</v>
      </c>
      <c r="AG2024" s="9"/>
      <c r="AH2024" s="9"/>
      <c r="AI2024" s="9"/>
    </row>
    <row r="2025" ht="15.0" customHeight="1">
      <c r="A2025" s="11">
        <v>2024.0</v>
      </c>
      <c r="B2025" s="12">
        <f t="shared" si="322"/>
        <v>40154</v>
      </c>
      <c r="C2025" s="13">
        <v>2009.0</v>
      </c>
      <c r="D2025" s="11" t="s">
        <v>102</v>
      </c>
      <c r="E2025" s="11">
        <v>50.0</v>
      </c>
      <c r="F2025" s="21" t="s">
        <v>1166</v>
      </c>
      <c r="G2025" s="15">
        <v>0.014904564315352751</v>
      </c>
      <c r="H2025" s="11" t="s">
        <v>33</v>
      </c>
      <c r="I2025" s="16">
        <v>2.408</v>
      </c>
      <c r="J2025" s="11" t="s">
        <v>2058</v>
      </c>
      <c r="K2025" s="11" t="s">
        <v>83</v>
      </c>
      <c r="L2025" s="11" t="s">
        <v>27</v>
      </c>
      <c r="M2025" s="11" t="s">
        <v>28</v>
      </c>
      <c r="N2025" s="11" t="s">
        <v>56</v>
      </c>
      <c r="O2025" s="11" t="s">
        <v>2060</v>
      </c>
      <c r="P2025" s="11" t="s">
        <v>58</v>
      </c>
      <c r="Q2025" s="20">
        <v>40156.0</v>
      </c>
      <c r="R2025" s="17">
        <f t="shared" si="2"/>
        <v>3.538462805</v>
      </c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>
        <f t="shared" si="8"/>
        <v>1</v>
      </c>
      <c r="AF2025" s="19" t="b">
        <f t="shared" si="13"/>
        <v>0</v>
      </c>
      <c r="AG2025" s="9"/>
      <c r="AH2025" s="9"/>
      <c r="AI2025" s="9"/>
    </row>
    <row r="2026" ht="15.0" customHeight="1">
      <c r="A2026" s="11">
        <v>2025.0</v>
      </c>
      <c r="B2026" s="12">
        <f t="shared" si="322"/>
        <v>40154</v>
      </c>
      <c r="C2026" s="13">
        <v>2009.0</v>
      </c>
      <c r="D2026" s="11" t="s">
        <v>44</v>
      </c>
      <c r="E2026" s="11">
        <v>45.0</v>
      </c>
      <c r="F2026" s="21" t="s">
        <v>242</v>
      </c>
      <c r="G2026" s="15">
        <v>0.02076050291321661</v>
      </c>
      <c r="H2026" s="11" t="s">
        <v>33</v>
      </c>
      <c r="I2026" s="16">
        <v>2.8000000000000003</v>
      </c>
      <c r="J2026" s="11" t="s">
        <v>1228</v>
      </c>
      <c r="K2026" s="11" t="s">
        <v>83</v>
      </c>
      <c r="L2026" s="11" t="s">
        <v>41</v>
      </c>
      <c r="M2026" s="11" t="s">
        <v>28</v>
      </c>
      <c r="N2026" s="11" t="s">
        <v>197</v>
      </c>
      <c r="O2026" s="11" t="s">
        <v>1134</v>
      </c>
      <c r="P2026" s="11" t="s">
        <v>38</v>
      </c>
      <c r="Q2026" s="20">
        <v>40156.0</v>
      </c>
      <c r="R2026" s="17">
        <f t="shared" si="2"/>
        <v>66.29451395</v>
      </c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>
        <f t="shared" si="8"/>
        <v>3</v>
      </c>
      <c r="AF2026" s="19" t="b">
        <f t="shared" si="13"/>
        <v>0</v>
      </c>
      <c r="AG2026" s="9"/>
      <c r="AH2026" s="9"/>
      <c r="AI2026" s="9"/>
    </row>
    <row r="2027" ht="15.0" customHeight="1">
      <c r="A2027" s="11">
        <v>2026.0</v>
      </c>
      <c r="B2027" s="12">
        <f t="shared" si="322"/>
        <v>40154</v>
      </c>
      <c r="C2027" s="13">
        <v>2009.0</v>
      </c>
      <c r="D2027" s="11" t="s">
        <v>102</v>
      </c>
      <c r="E2027" s="11">
        <v>34.0</v>
      </c>
      <c r="F2027" s="21" t="s">
        <v>254</v>
      </c>
      <c r="G2027" s="15">
        <v>0.04562527044569443</v>
      </c>
      <c r="H2027" s="11" t="s">
        <v>24</v>
      </c>
      <c r="I2027" s="16">
        <v>2.5120000000000005</v>
      </c>
      <c r="J2027" s="11" t="s">
        <v>1314</v>
      </c>
      <c r="K2027" s="11" t="s">
        <v>47</v>
      </c>
      <c r="L2027" s="11" t="s">
        <v>48</v>
      </c>
      <c r="M2027" s="11" t="s">
        <v>28</v>
      </c>
      <c r="N2027" s="11" t="s">
        <v>442</v>
      </c>
      <c r="O2027" s="11" t="s">
        <v>1613</v>
      </c>
      <c r="P2027" s="11" t="s">
        <v>99</v>
      </c>
      <c r="Q2027" s="20">
        <v>40157.0</v>
      </c>
      <c r="R2027" s="17">
        <f t="shared" si="2"/>
        <v>20.1258543</v>
      </c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>
        <f t="shared" si="8"/>
        <v>4</v>
      </c>
      <c r="AF2027" s="19">
        <f t="shared" si="13"/>
        <v>3</v>
      </c>
      <c r="AG2027" s="9"/>
      <c r="AH2027" s="9"/>
      <c r="AI2027" s="9"/>
    </row>
    <row r="2028" ht="15.0" customHeight="1">
      <c r="A2028" s="11">
        <v>2027.0</v>
      </c>
      <c r="B2028" s="12">
        <f t="shared" si="322"/>
        <v>40154</v>
      </c>
      <c r="C2028" s="13">
        <v>2009.0</v>
      </c>
      <c r="D2028" s="11" t="s">
        <v>39</v>
      </c>
      <c r="E2028" s="11">
        <v>44.0</v>
      </c>
      <c r="F2028" s="21" t="s">
        <v>176</v>
      </c>
      <c r="G2028" s="15">
        <v>0.03509119096777988</v>
      </c>
      <c r="H2028" s="11" t="s">
        <v>33</v>
      </c>
      <c r="I2028" s="16">
        <v>3.2</v>
      </c>
      <c r="J2028" s="11" t="s">
        <v>25</v>
      </c>
      <c r="K2028" s="11" t="s">
        <v>26</v>
      </c>
      <c r="L2028" s="11" t="s">
        <v>27</v>
      </c>
      <c r="M2028" s="11" t="s">
        <v>66</v>
      </c>
      <c r="N2028" s="11" t="s">
        <v>67</v>
      </c>
      <c r="O2028" s="11" t="s">
        <v>445</v>
      </c>
      <c r="P2028" s="11" t="s">
        <v>38</v>
      </c>
      <c r="Q2028" s="20">
        <v>40157.0</v>
      </c>
      <c r="R2028" s="17">
        <f t="shared" si="2"/>
        <v>114.2148084</v>
      </c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>
        <f t="shared" si="8"/>
        <v>1</v>
      </c>
      <c r="AF2028" s="19">
        <f t="shared" si="13"/>
        <v>1</v>
      </c>
      <c r="AG2028" s="9"/>
      <c r="AH2028" s="9"/>
      <c r="AI2028" s="9"/>
    </row>
    <row r="2029" ht="15.0" customHeight="1">
      <c r="A2029" s="11">
        <v>2028.0</v>
      </c>
      <c r="B2029" s="12">
        <f t="shared" si="322"/>
        <v>40154</v>
      </c>
      <c r="C2029" s="13">
        <v>2009.0</v>
      </c>
      <c r="D2029" s="11" t="s">
        <v>102</v>
      </c>
      <c r="E2029" s="11">
        <v>1.0</v>
      </c>
      <c r="F2029" s="21" t="s">
        <v>1779</v>
      </c>
      <c r="G2029" s="15">
        <v>0.05268258913118717</v>
      </c>
      <c r="H2029" s="11" t="s">
        <v>45</v>
      </c>
      <c r="I2029" s="16">
        <v>11.76</v>
      </c>
      <c r="J2029" s="11" t="s">
        <v>2061</v>
      </c>
      <c r="K2029" s="11" t="s">
        <v>65</v>
      </c>
      <c r="L2029" s="11" t="s">
        <v>27</v>
      </c>
      <c r="M2029" s="11" t="s">
        <v>66</v>
      </c>
      <c r="N2029" s="11" t="s">
        <v>69</v>
      </c>
      <c r="O2029" s="11" t="s">
        <v>1781</v>
      </c>
      <c r="P2029" s="11" t="s">
        <v>52</v>
      </c>
      <c r="Q2029" s="20">
        <v>40157.0</v>
      </c>
      <c r="R2029" s="17">
        <f t="shared" si="2"/>
        <v>28.83634199</v>
      </c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>
        <f t="shared" si="8"/>
        <v>1</v>
      </c>
      <c r="AF2029" s="19">
        <f t="shared" si="13"/>
        <v>5</v>
      </c>
      <c r="AG2029" s="9"/>
      <c r="AH2029" s="9"/>
      <c r="AI2029" s="9"/>
    </row>
    <row r="2030" ht="15.0" customHeight="1">
      <c r="A2030" s="11">
        <v>2029.0</v>
      </c>
      <c r="B2030" s="12">
        <f t="shared" ref="B2030:B2031" si="323">DATE(2012,12,31)-1119</f>
        <v>40155</v>
      </c>
      <c r="C2030" s="13">
        <v>2009.0</v>
      </c>
      <c r="D2030" s="11" t="s">
        <v>39</v>
      </c>
      <c r="E2030" s="11">
        <v>27.0</v>
      </c>
      <c r="F2030" s="21" t="s">
        <v>536</v>
      </c>
      <c r="G2030" s="15">
        <v>0.04943638281494981</v>
      </c>
      <c r="H2030" s="11" t="s">
        <v>24</v>
      </c>
      <c r="I2030" s="16">
        <v>15.991999999999999</v>
      </c>
      <c r="J2030" s="11" t="s">
        <v>1697</v>
      </c>
      <c r="K2030" s="11" t="s">
        <v>61</v>
      </c>
      <c r="L2030" s="11" t="s">
        <v>48</v>
      </c>
      <c r="M2030" s="11" t="s">
        <v>28</v>
      </c>
      <c r="N2030" s="11" t="s">
        <v>42</v>
      </c>
      <c r="O2030" s="11" t="s">
        <v>1251</v>
      </c>
      <c r="P2030" s="11" t="s">
        <v>38</v>
      </c>
      <c r="Q2030" s="20">
        <v>40157.0</v>
      </c>
      <c r="R2030" s="17">
        <f t="shared" si="2"/>
        <v>164.8353357</v>
      </c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>
        <f t="shared" si="8"/>
        <v>4</v>
      </c>
      <c r="AF2030" s="19">
        <f t="shared" si="13"/>
        <v>4</v>
      </c>
      <c r="AG2030" s="9"/>
      <c r="AH2030" s="9"/>
      <c r="AI2030" s="9"/>
    </row>
    <row r="2031" ht="15.0" customHeight="1">
      <c r="A2031" s="11">
        <v>2030.0</v>
      </c>
      <c r="B2031" s="12">
        <f t="shared" si="323"/>
        <v>40155</v>
      </c>
      <c r="C2031" s="13">
        <v>2009.0</v>
      </c>
      <c r="D2031" s="11" t="s">
        <v>23</v>
      </c>
      <c r="E2031" s="11">
        <v>17.0</v>
      </c>
      <c r="F2031" s="21" t="s">
        <v>1504</v>
      </c>
      <c r="G2031" s="15">
        <v>0.0835345131495453</v>
      </c>
      <c r="H2031" s="11" t="s">
        <v>33</v>
      </c>
      <c r="I2031" s="16">
        <v>15.991999999999999</v>
      </c>
      <c r="J2031" s="11" t="s">
        <v>337</v>
      </c>
      <c r="K2031" s="11" t="s">
        <v>117</v>
      </c>
      <c r="L2031" s="11" t="s">
        <v>48</v>
      </c>
      <c r="M2031" s="11" t="s">
        <v>28</v>
      </c>
      <c r="N2031" s="11" t="s">
        <v>42</v>
      </c>
      <c r="O2031" s="11" t="s">
        <v>1505</v>
      </c>
      <c r="P2031" s="11" t="s">
        <v>38</v>
      </c>
      <c r="Q2031" s="20">
        <v>40158.0</v>
      </c>
      <c r="R2031" s="17">
        <f t="shared" si="2"/>
        <v>434.3203259</v>
      </c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>
        <f t="shared" si="8"/>
        <v>4</v>
      </c>
      <c r="AF2031" s="19" t="b">
        <f t="shared" si="13"/>
        <v>0</v>
      </c>
      <c r="AG2031" s="9"/>
      <c r="AH2031" s="9"/>
      <c r="AI2031" s="9"/>
    </row>
    <row r="2032" ht="15.0" customHeight="1">
      <c r="A2032" s="11">
        <v>2031.0</v>
      </c>
      <c r="B2032" s="12">
        <f t="shared" ref="B2032:B2036" si="324">DATE(2012,12,31)-1118</f>
        <v>40156</v>
      </c>
      <c r="C2032" s="13">
        <v>2009.0</v>
      </c>
      <c r="D2032" s="11" t="s">
        <v>39</v>
      </c>
      <c r="E2032" s="11">
        <v>32.0</v>
      </c>
      <c r="F2032" s="21" t="s">
        <v>314</v>
      </c>
      <c r="G2032" s="15">
        <v>0.03855306996668251</v>
      </c>
      <c r="H2032" s="11" t="s">
        <v>33</v>
      </c>
      <c r="I2032" s="16">
        <v>0.4</v>
      </c>
      <c r="J2032" s="11" t="s">
        <v>2058</v>
      </c>
      <c r="K2032" s="11" t="s">
        <v>83</v>
      </c>
      <c r="L2032" s="11" t="s">
        <v>27</v>
      </c>
      <c r="M2032" s="11" t="s">
        <v>28</v>
      </c>
      <c r="N2032" s="11" t="s">
        <v>188</v>
      </c>
      <c r="O2032" s="11" t="s">
        <v>1143</v>
      </c>
      <c r="P2032" s="11" t="s">
        <v>38</v>
      </c>
      <c r="Q2032" s="20">
        <v>40158.0</v>
      </c>
      <c r="R2032" s="17">
        <f t="shared" si="2"/>
        <v>7.787720133</v>
      </c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>
        <f t="shared" si="8"/>
        <v>1</v>
      </c>
      <c r="AF2032" s="19" t="b">
        <f t="shared" si="13"/>
        <v>0</v>
      </c>
      <c r="AG2032" s="9"/>
      <c r="AH2032" s="9"/>
      <c r="AI2032" s="9"/>
    </row>
    <row r="2033" ht="15.0" customHeight="1">
      <c r="A2033" s="11">
        <v>2032.0</v>
      </c>
      <c r="B2033" s="12">
        <f t="shared" si="324"/>
        <v>40156</v>
      </c>
      <c r="C2033" s="13">
        <v>2009.0</v>
      </c>
      <c r="D2033" s="11" t="s">
        <v>102</v>
      </c>
      <c r="E2033" s="11">
        <v>41.0</v>
      </c>
      <c r="F2033" s="21" t="s">
        <v>126</v>
      </c>
      <c r="G2033" s="15">
        <v>0.04893221912720516</v>
      </c>
      <c r="H2033" s="11" t="s">
        <v>33</v>
      </c>
      <c r="I2033" s="16">
        <v>3.9600000000000004</v>
      </c>
      <c r="J2033" s="11" t="s">
        <v>925</v>
      </c>
      <c r="K2033" s="11" t="s">
        <v>35</v>
      </c>
      <c r="L2033" s="11" t="s">
        <v>27</v>
      </c>
      <c r="M2033" s="11" t="s">
        <v>28</v>
      </c>
      <c r="N2033" s="11" t="s">
        <v>42</v>
      </c>
      <c r="O2033" s="11" t="s">
        <v>1350</v>
      </c>
      <c r="P2033" s="11" t="s">
        <v>38</v>
      </c>
      <c r="Q2033" s="20">
        <v>40158.0</v>
      </c>
      <c r="R2033" s="17">
        <f t="shared" si="2"/>
        <v>10.02425441</v>
      </c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>
        <f t="shared" si="8"/>
        <v>1</v>
      </c>
      <c r="AF2033" s="19">
        <f t="shared" si="13"/>
        <v>2</v>
      </c>
      <c r="AG2033" s="9"/>
      <c r="AH2033" s="9"/>
      <c r="AI2033" s="9"/>
    </row>
    <row r="2034" ht="15.0" customHeight="1">
      <c r="A2034" s="11">
        <v>2033.0</v>
      </c>
      <c r="B2034" s="12">
        <f t="shared" si="324"/>
        <v>40156</v>
      </c>
      <c r="C2034" s="13">
        <v>2009.0</v>
      </c>
      <c r="D2034" s="11" t="s">
        <v>23</v>
      </c>
      <c r="E2034" s="11">
        <v>9.0</v>
      </c>
      <c r="F2034" s="21" t="s">
        <v>668</v>
      </c>
      <c r="G2034" s="15">
        <v>0.07823312883435571</v>
      </c>
      <c r="H2034" s="11" t="s">
        <v>33</v>
      </c>
      <c r="I2034" s="16">
        <v>4.024</v>
      </c>
      <c r="J2034" s="11" t="s">
        <v>2062</v>
      </c>
      <c r="K2034" s="11" t="s">
        <v>117</v>
      </c>
      <c r="L2034" s="11" t="s">
        <v>41</v>
      </c>
      <c r="M2034" s="11" t="s">
        <v>66</v>
      </c>
      <c r="N2034" s="11" t="s">
        <v>80</v>
      </c>
      <c r="O2034" s="11" t="s">
        <v>1603</v>
      </c>
      <c r="P2034" s="11" t="s">
        <v>75</v>
      </c>
      <c r="Q2034" s="20">
        <v>40158.0</v>
      </c>
      <c r="R2034" s="17">
        <f t="shared" si="2"/>
        <v>5.877185571</v>
      </c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>
        <f t="shared" si="8"/>
        <v>3</v>
      </c>
      <c r="AF2034" s="19" t="b">
        <f t="shared" si="13"/>
        <v>0</v>
      </c>
      <c r="AG2034" s="9"/>
      <c r="AH2034" s="9"/>
      <c r="AI2034" s="9"/>
    </row>
    <row r="2035" ht="15.0" customHeight="1">
      <c r="A2035" s="11">
        <v>2034.0</v>
      </c>
      <c r="B2035" s="12">
        <f t="shared" si="324"/>
        <v>40156</v>
      </c>
      <c r="C2035" s="13">
        <v>2009.0</v>
      </c>
      <c r="D2035" s="11" t="s">
        <v>44</v>
      </c>
      <c r="E2035" s="11">
        <v>3.0</v>
      </c>
      <c r="F2035" s="21" t="s">
        <v>881</v>
      </c>
      <c r="G2035" s="15">
        <v>0.08540925266903922</v>
      </c>
      <c r="H2035" s="11" t="s">
        <v>33</v>
      </c>
      <c r="I2035" s="16">
        <v>3.2</v>
      </c>
      <c r="J2035" s="11" t="s">
        <v>2063</v>
      </c>
      <c r="K2035" s="11" t="s">
        <v>83</v>
      </c>
      <c r="L2035" s="11" t="s">
        <v>48</v>
      </c>
      <c r="M2035" s="11" t="s">
        <v>49</v>
      </c>
      <c r="N2035" s="11" t="s">
        <v>73</v>
      </c>
      <c r="O2035" s="11" t="s">
        <v>883</v>
      </c>
      <c r="P2035" s="11" t="s">
        <v>58</v>
      </c>
      <c r="Q2035" s="20">
        <v>40158.0</v>
      </c>
      <c r="R2035" s="17">
        <f t="shared" si="2"/>
        <v>2.195017794</v>
      </c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>
        <f t="shared" si="8"/>
        <v>4</v>
      </c>
      <c r="AF2035" s="19" t="b">
        <f t="shared" si="13"/>
        <v>0</v>
      </c>
      <c r="AG2035" s="9"/>
      <c r="AH2035" s="9"/>
      <c r="AI2035" s="9"/>
    </row>
    <row r="2036" ht="15.0" customHeight="1">
      <c r="A2036" s="11">
        <v>2035.0</v>
      </c>
      <c r="B2036" s="12">
        <f t="shared" si="324"/>
        <v>40156</v>
      </c>
      <c r="C2036" s="13">
        <v>2009.0</v>
      </c>
      <c r="D2036" s="11" t="s">
        <v>102</v>
      </c>
      <c r="E2036" s="11">
        <v>13.0</v>
      </c>
      <c r="F2036" s="21" t="s">
        <v>389</v>
      </c>
      <c r="G2036" s="15">
        <v>0.05491984912776985</v>
      </c>
      <c r="H2036" s="11" t="s">
        <v>45</v>
      </c>
      <c r="I2036" s="16">
        <v>44.912000000000006</v>
      </c>
      <c r="J2036" s="11" t="s">
        <v>2064</v>
      </c>
      <c r="K2036" s="11" t="s">
        <v>61</v>
      </c>
      <c r="L2036" s="11" t="s">
        <v>41</v>
      </c>
      <c r="M2036" s="11" t="s">
        <v>66</v>
      </c>
      <c r="N2036" s="11" t="s">
        <v>69</v>
      </c>
      <c r="O2036" s="11" t="s">
        <v>390</v>
      </c>
      <c r="P2036" s="11" t="s">
        <v>87</v>
      </c>
      <c r="Q2036" s="20">
        <v>40158.0</v>
      </c>
      <c r="R2036" s="17">
        <f t="shared" si="2"/>
        <v>88.0701291</v>
      </c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>
        <f t="shared" si="8"/>
        <v>3</v>
      </c>
      <c r="AF2036" s="19">
        <f t="shared" si="13"/>
        <v>4</v>
      </c>
      <c r="AG2036" s="9"/>
      <c r="AH2036" s="9"/>
      <c r="AI2036" s="9"/>
    </row>
    <row r="2037" ht="15.0" customHeight="1">
      <c r="A2037" s="11">
        <v>2036.0</v>
      </c>
      <c r="B2037" s="12">
        <f t="shared" ref="B2037:B2039" si="325">DATE(2012,12,31)-1117</f>
        <v>40157</v>
      </c>
      <c r="C2037" s="13">
        <v>2009.0</v>
      </c>
      <c r="D2037" s="11" t="s">
        <v>102</v>
      </c>
      <c r="E2037" s="11">
        <v>10.0</v>
      </c>
      <c r="F2037" s="21" t="s">
        <v>799</v>
      </c>
      <c r="G2037" s="15">
        <v>0.09343897763578272</v>
      </c>
      <c r="H2037" s="11" t="s">
        <v>45</v>
      </c>
      <c r="I2037" s="16">
        <v>28.536</v>
      </c>
      <c r="J2037" s="11" t="s">
        <v>510</v>
      </c>
      <c r="K2037" s="11" t="s">
        <v>35</v>
      </c>
      <c r="L2037" s="11" t="s">
        <v>27</v>
      </c>
      <c r="M2037" s="11" t="s">
        <v>49</v>
      </c>
      <c r="N2037" s="11" t="s">
        <v>85</v>
      </c>
      <c r="O2037" s="11" t="s">
        <v>1323</v>
      </c>
      <c r="P2037" s="11" t="s">
        <v>87</v>
      </c>
      <c r="Q2037" s="20">
        <v>40159.0</v>
      </c>
      <c r="R2037" s="17">
        <f t="shared" si="2"/>
        <v>265.1364628</v>
      </c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>
        <f t="shared" si="8"/>
        <v>1</v>
      </c>
      <c r="AF2037" s="19">
        <f t="shared" si="13"/>
        <v>2</v>
      </c>
      <c r="AG2037" s="9"/>
      <c r="AH2037" s="9"/>
      <c r="AI2037" s="9"/>
    </row>
    <row r="2038" ht="15.0" customHeight="1">
      <c r="A2038" s="11">
        <v>2037.0</v>
      </c>
      <c r="B2038" s="12">
        <f t="shared" si="325"/>
        <v>40157</v>
      </c>
      <c r="C2038" s="13">
        <v>2009.0</v>
      </c>
      <c r="D2038" s="11" t="s">
        <v>39</v>
      </c>
      <c r="E2038" s="11">
        <v>18.0</v>
      </c>
      <c r="F2038" s="21" t="s">
        <v>1227</v>
      </c>
      <c r="G2038" s="15">
        <v>0.007371007371007475</v>
      </c>
      <c r="H2038" s="11" t="s">
        <v>24</v>
      </c>
      <c r="I2038" s="16">
        <v>0.8</v>
      </c>
      <c r="J2038" s="11" t="s">
        <v>1264</v>
      </c>
      <c r="K2038" s="11" t="s">
        <v>35</v>
      </c>
      <c r="L2038" s="11" t="s">
        <v>36</v>
      </c>
      <c r="M2038" s="11" t="s">
        <v>28</v>
      </c>
      <c r="N2038" s="11" t="s">
        <v>62</v>
      </c>
      <c r="O2038" s="11" t="s">
        <v>1786</v>
      </c>
      <c r="P2038" s="11" t="s">
        <v>58</v>
      </c>
      <c r="Q2038" s="20">
        <v>40159.0</v>
      </c>
      <c r="R2038" s="17">
        <f t="shared" si="2"/>
        <v>0.2977886978</v>
      </c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>
        <f t="shared" si="8"/>
        <v>2</v>
      </c>
      <c r="AF2038" s="19">
        <f t="shared" si="13"/>
        <v>2</v>
      </c>
      <c r="AG2038" s="9"/>
      <c r="AH2038" s="9"/>
      <c r="AI2038" s="9"/>
    </row>
    <row r="2039" ht="15.0" customHeight="1">
      <c r="A2039" s="11">
        <v>2038.0</v>
      </c>
      <c r="B2039" s="12">
        <f t="shared" si="325"/>
        <v>40157</v>
      </c>
      <c r="C2039" s="13">
        <v>2009.0</v>
      </c>
      <c r="D2039" s="11" t="s">
        <v>23</v>
      </c>
      <c r="E2039" s="11">
        <v>42.0</v>
      </c>
      <c r="F2039" s="21" t="s">
        <v>158</v>
      </c>
      <c r="G2039" s="15">
        <v>0.10555918901242634</v>
      </c>
      <c r="H2039" s="11" t="s">
        <v>33</v>
      </c>
      <c r="I2039" s="16">
        <v>4.720000000000001</v>
      </c>
      <c r="J2039" s="11" t="s">
        <v>353</v>
      </c>
      <c r="K2039" s="11" t="s">
        <v>65</v>
      </c>
      <c r="L2039" s="11" t="s">
        <v>36</v>
      </c>
      <c r="M2039" s="11" t="s">
        <v>28</v>
      </c>
      <c r="N2039" s="11" t="s">
        <v>56</v>
      </c>
      <c r="O2039" s="11" t="s">
        <v>1849</v>
      </c>
      <c r="P2039" s="11" t="s">
        <v>38</v>
      </c>
      <c r="Q2039" s="20">
        <v>40159.0</v>
      </c>
      <c r="R2039" s="17">
        <f t="shared" si="2"/>
        <v>28.87254938</v>
      </c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>
        <f t="shared" si="8"/>
        <v>2</v>
      </c>
      <c r="AF2039" s="19">
        <f t="shared" si="13"/>
        <v>5</v>
      </c>
      <c r="AG2039" s="9"/>
      <c r="AH2039" s="9"/>
      <c r="AI2039" s="9"/>
    </row>
    <row r="2040" ht="15.0" customHeight="1">
      <c r="A2040" s="11">
        <v>2039.0</v>
      </c>
      <c r="B2040" s="12">
        <f t="shared" ref="B2040:B2046" si="326">DATE(2012,12,31)-1116</f>
        <v>40158</v>
      </c>
      <c r="C2040" s="13">
        <v>2009.0</v>
      </c>
      <c r="D2040" s="11" t="s">
        <v>102</v>
      </c>
      <c r="E2040" s="11">
        <v>37.0</v>
      </c>
      <c r="F2040" s="21" t="s">
        <v>1273</v>
      </c>
      <c r="G2040" s="15">
        <v>0.0535334420880914</v>
      </c>
      <c r="H2040" s="11" t="s">
        <v>33</v>
      </c>
      <c r="I2040" s="16">
        <v>2.984</v>
      </c>
      <c r="J2040" s="11" t="s">
        <v>1842</v>
      </c>
      <c r="K2040" s="11" t="s">
        <v>65</v>
      </c>
      <c r="L2040" s="11" t="s">
        <v>48</v>
      </c>
      <c r="M2040" s="11" t="s">
        <v>49</v>
      </c>
      <c r="N2040" s="11" t="s">
        <v>73</v>
      </c>
      <c r="O2040" s="11" t="s">
        <v>1403</v>
      </c>
      <c r="P2040" s="11" t="s">
        <v>99</v>
      </c>
      <c r="Q2040" s="20">
        <v>40159.0</v>
      </c>
      <c r="R2040" s="17">
        <f t="shared" si="2"/>
        <v>31.05924656</v>
      </c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>
        <f t="shared" si="8"/>
        <v>4</v>
      </c>
      <c r="AF2040" s="19">
        <f t="shared" si="13"/>
        <v>5</v>
      </c>
      <c r="AG2040" s="9"/>
      <c r="AH2040" s="9"/>
      <c r="AI2040" s="9"/>
    </row>
    <row r="2041" ht="15.0" customHeight="1">
      <c r="A2041" s="11">
        <v>2040.0</v>
      </c>
      <c r="B2041" s="12">
        <f t="shared" si="326"/>
        <v>40158</v>
      </c>
      <c r="C2041" s="13">
        <v>2009.0</v>
      </c>
      <c r="D2041" s="11" t="s">
        <v>102</v>
      </c>
      <c r="E2041" s="11">
        <v>39.0</v>
      </c>
      <c r="F2041" s="21" t="s">
        <v>950</v>
      </c>
      <c r="G2041" s="15">
        <v>0.008273769386378986</v>
      </c>
      <c r="H2041" s="11" t="s">
        <v>33</v>
      </c>
      <c r="I2041" s="16">
        <v>7.192</v>
      </c>
      <c r="J2041" s="11" t="s">
        <v>1842</v>
      </c>
      <c r="K2041" s="11" t="s">
        <v>65</v>
      </c>
      <c r="L2041" s="11" t="s">
        <v>48</v>
      </c>
      <c r="M2041" s="11" t="s">
        <v>49</v>
      </c>
      <c r="N2041" s="11" t="s">
        <v>73</v>
      </c>
      <c r="O2041" s="11" t="s">
        <v>1793</v>
      </c>
      <c r="P2041" s="11" t="s">
        <v>99</v>
      </c>
      <c r="Q2041" s="20">
        <v>40159.0</v>
      </c>
      <c r="R2041" s="17">
        <f t="shared" si="2"/>
        <v>4.86739234</v>
      </c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>
        <f t="shared" si="8"/>
        <v>4</v>
      </c>
      <c r="AF2041" s="19">
        <f t="shared" si="13"/>
        <v>5</v>
      </c>
      <c r="AG2041" s="9"/>
      <c r="AH2041" s="9"/>
      <c r="AI2041" s="9"/>
    </row>
    <row r="2042" ht="15.0" customHeight="1">
      <c r="A2042" s="11">
        <v>2041.0</v>
      </c>
      <c r="B2042" s="12">
        <f t="shared" si="326"/>
        <v>40158</v>
      </c>
      <c r="C2042" s="13">
        <v>2009.0</v>
      </c>
      <c r="D2042" s="11" t="s">
        <v>102</v>
      </c>
      <c r="E2042" s="11">
        <v>2.0</v>
      </c>
      <c r="F2042" s="21" t="s">
        <v>2065</v>
      </c>
      <c r="G2042" s="15">
        <v>0.048562162162162054</v>
      </c>
      <c r="H2042" s="11" t="s">
        <v>33</v>
      </c>
      <c r="I2042" s="16">
        <v>10.608</v>
      </c>
      <c r="J2042" s="11" t="s">
        <v>1842</v>
      </c>
      <c r="K2042" s="11" t="s">
        <v>65</v>
      </c>
      <c r="L2042" s="11" t="s">
        <v>48</v>
      </c>
      <c r="M2042" s="11" t="s">
        <v>28</v>
      </c>
      <c r="N2042" s="11" t="s">
        <v>56</v>
      </c>
      <c r="O2042" s="11" t="s">
        <v>2066</v>
      </c>
      <c r="P2042" s="11" t="s">
        <v>38</v>
      </c>
      <c r="Q2042" s="20">
        <v>40159.0</v>
      </c>
      <c r="R2042" s="17">
        <f t="shared" si="2"/>
        <v>4.273858768</v>
      </c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>
        <f t="shared" si="8"/>
        <v>4</v>
      </c>
      <c r="AF2042" s="19">
        <f t="shared" si="13"/>
        <v>5</v>
      </c>
      <c r="AG2042" s="9"/>
      <c r="AH2042" s="9"/>
      <c r="AI2042" s="9"/>
    </row>
    <row r="2043" ht="15.0" customHeight="1">
      <c r="A2043" s="11">
        <v>2042.0</v>
      </c>
      <c r="B2043" s="12">
        <f t="shared" si="326"/>
        <v>40158</v>
      </c>
      <c r="C2043" s="13">
        <v>2009.0</v>
      </c>
      <c r="D2043" s="11" t="s">
        <v>102</v>
      </c>
      <c r="E2043" s="11">
        <v>37.0</v>
      </c>
      <c r="F2043" s="21" t="s">
        <v>1273</v>
      </c>
      <c r="G2043" s="15">
        <v>0.0535334420880914</v>
      </c>
      <c r="H2043" s="11" t="s">
        <v>33</v>
      </c>
      <c r="I2043" s="16">
        <v>2.984</v>
      </c>
      <c r="J2043" s="11" t="s">
        <v>839</v>
      </c>
      <c r="K2043" s="11" t="s">
        <v>83</v>
      </c>
      <c r="L2043" s="11" t="s">
        <v>36</v>
      </c>
      <c r="M2043" s="11" t="s">
        <v>49</v>
      </c>
      <c r="N2043" s="11" t="s">
        <v>73</v>
      </c>
      <c r="O2043" s="11" t="s">
        <v>1403</v>
      </c>
      <c r="P2043" s="11" t="s">
        <v>99</v>
      </c>
      <c r="Q2043" s="20">
        <v>40159.0</v>
      </c>
      <c r="R2043" s="17">
        <f t="shared" si="2"/>
        <v>31.05924656</v>
      </c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>
        <f t="shared" si="8"/>
        <v>2</v>
      </c>
      <c r="AF2043" s="19" t="b">
        <f t="shared" si="13"/>
        <v>0</v>
      </c>
      <c r="AG2043" s="9"/>
      <c r="AH2043" s="9"/>
      <c r="AI2043" s="9"/>
    </row>
    <row r="2044" ht="15.0" customHeight="1">
      <c r="A2044" s="11">
        <v>2043.0</v>
      </c>
      <c r="B2044" s="12">
        <f t="shared" si="326"/>
        <v>40158</v>
      </c>
      <c r="C2044" s="13">
        <v>2009.0</v>
      </c>
      <c r="D2044" s="11" t="s">
        <v>102</v>
      </c>
      <c r="E2044" s="11">
        <v>42.0</v>
      </c>
      <c r="F2044" s="21" t="s">
        <v>569</v>
      </c>
      <c r="G2044" s="15">
        <v>0.020146659682872003</v>
      </c>
      <c r="H2044" s="11" t="s">
        <v>33</v>
      </c>
      <c r="I2044" s="16">
        <v>3.3600000000000003</v>
      </c>
      <c r="J2044" s="11" t="s">
        <v>839</v>
      </c>
      <c r="K2044" s="11" t="s">
        <v>83</v>
      </c>
      <c r="L2044" s="11" t="s">
        <v>36</v>
      </c>
      <c r="M2044" s="11" t="s">
        <v>66</v>
      </c>
      <c r="N2044" s="11" t="s">
        <v>80</v>
      </c>
      <c r="O2044" s="11" t="s">
        <v>2067</v>
      </c>
      <c r="P2044" s="11" t="s">
        <v>38</v>
      </c>
      <c r="Q2044" s="20">
        <v>40159.0</v>
      </c>
      <c r="R2044" s="17">
        <f t="shared" si="2"/>
        <v>165.8303793</v>
      </c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>
        <f t="shared" si="8"/>
        <v>2</v>
      </c>
      <c r="AF2044" s="19" t="b">
        <f t="shared" si="13"/>
        <v>0</v>
      </c>
      <c r="AG2044" s="9"/>
      <c r="AH2044" s="9"/>
      <c r="AI2044" s="9"/>
    </row>
    <row r="2045" ht="15.0" customHeight="1">
      <c r="A2045" s="11">
        <v>2044.0</v>
      </c>
      <c r="B2045" s="12">
        <f t="shared" si="326"/>
        <v>40158</v>
      </c>
      <c r="C2045" s="13">
        <v>2009.0</v>
      </c>
      <c r="D2045" s="11" t="s">
        <v>39</v>
      </c>
      <c r="E2045" s="11">
        <v>41.0</v>
      </c>
      <c r="F2045" s="21" t="s">
        <v>1195</v>
      </c>
      <c r="G2045" s="15">
        <v>0.039154557463672246</v>
      </c>
      <c r="H2045" s="11" t="s">
        <v>33</v>
      </c>
      <c r="I2045" s="16">
        <v>5.008</v>
      </c>
      <c r="J2045" s="11" t="s">
        <v>1024</v>
      </c>
      <c r="K2045" s="11" t="s">
        <v>26</v>
      </c>
      <c r="L2045" s="11" t="s">
        <v>48</v>
      </c>
      <c r="M2045" s="11" t="s">
        <v>28</v>
      </c>
      <c r="N2045" s="11" t="s">
        <v>56</v>
      </c>
      <c r="O2045" s="11" t="s">
        <v>1449</v>
      </c>
      <c r="P2045" s="11" t="s">
        <v>38</v>
      </c>
      <c r="Q2045" s="20">
        <v>40159.0</v>
      </c>
      <c r="R2045" s="17">
        <f t="shared" si="2"/>
        <v>8.543837675</v>
      </c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>
        <f t="shared" si="8"/>
        <v>4</v>
      </c>
      <c r="AF2045" s="19">
        <f t="shared" si="13"/>
        <v>1</v>
      </c>
      <c r="AG2045" s="9"/>
      <c r="AH2045" s="9"/>
      <c r="AI2045" s="9"/>
    </row>
    <row r="2046" ht="15.0" customHeight="1">
      <c r="A2046" s="11">
        <v>2045.0</v>
      </c>
      <c r="B2046" s="12">
        <f t="shared" si="326"/>
        <v>40158</v>
      </c>
      <c r="C2046" s="13">
        <v>2009.0</v>
      </c>
      <c r="D2046" s="11" t="s">
        <v>32</v>
      </c>
      <c r="E2046" s="11">
        <v>25.0</v>
      </c>
      <c r="F2046" s="21" t="s">
        <v>610</v>
      </c>
      <c r="G2046" s="15">
        <v>0.02029058749210371</v>
      </c>
      <c r="H2046" s="11" t="s">
        <v>33</v>
      </c>
      <c r="I2046" s="16">
        <v>5.176</v>
      </c>
      <c r="J2046" s="11" t="s">
        <v>1805</v>
      </c>
      <c r="K2046" s="11" t="s">
        <v>65</v>
      </c>
      <c r="L2046" s="11" t="s">
        <v>27</v>
      </c>
      <c r="M2046" s="11" t="s">
        <v>28</v>
      </c>
      <c r="N2046" s="11" t="s">
        <v>56</v>
      </c>
      <c r="O2046" s="11" t="s">
        <v>2006</v>
      </c>
      <c r="P2046" s="11" t="s">
        <v>38</v>
      </c>
      <c r="Q2046" s="20">
        <v>40160.0</v>
      </c>
      <c r="R2046" s="17">
        <f t="shared" si="2"/>
        <v>6.293653266</v>
      </c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>
        <f t="shared" si="8"/>
        <v>1</v>
      </c>
      <c r="AF2046" s="19">
        <f t="shared" si="13"/>
        <v>5</v>
      </c>
      <c r="AG2046" s="9"/>
      <c r="AH2046" s="9"/>
      <c r="AI2046" s="9"/>
    </row>
    <row r="2047" ht="15.0" customHeight="1">
      <c r="A2047" s="11">
        <v>2046.0</v>
      </c>
      <c r="B2047" s="12">
        <f t="shared" ref="B2047:B2059" si="327">DATE(2012,12,31)-1115</f>
        <v>40159</v>
      </c>
      <c r="C2047" s="13">
        <v>2009.0</v>
      </c>
      <c r="D2047" s="11" t="s">
        <v>32</v>
      </c>
      <c r="E2047" s="11">
        <v>2.0</v>
      </c>
      <c r="F2047" s="21" t="s">
        <v>1710</v>
      </c>
      <c r="G2047" s="15">
        <v>0.07206136145733444</v>
      </c>
      <c r="H2047" s="11" t="s">
        <v>45</v>
      </c>
      <c r="I2047" s="16">
        <v>41.552</v>
      </c>
      <c r="J2047" s="11" t="s">
        <v>202</v>
      </c>
      <c r="K2047" s="11" t="s">
        <v>35</v>
      </c>
      <c r="L2047" s="11" t="s">
        <v>41</v>
      </c>
      <c r="M2047" s="11" t="s">
        <v>49</v>
      </c>
      <c r="N2047" s="11" t="s">
        <v>85</v>
      </c>
      <c r="O2047" s="11" t="s">
        <v>1711</v>
      </c>
      <c r="P2047" s="11" t="s">
        <v>87</v>
      </c>
      <c r="Q2047" s="20">
        <v>40160.0</v>
      </c>
      <c r="R2047" s="17">
        <f t="shared" si="2"/>
        <v>20.92316042</v>
      </c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>
        <f t="shared" si="8"/>
        <v>3</v>
      </c>
      <c r="AF2047" s="19">
        <f t="shared" si="13"/>
        <v>2</v>
      </c>
      <c r="AG2047" s="9"/>
      <c r="AH2047" s="9"/>
      <c r="AI2047" s="9"/>
    </row>
    <row r="2048" ht="15.0" customHeight="1">
      <c r="A2048" s="11">
        <v>2047.0</v>
      </c>
      <c r="B2048" s="12">
        <f t="shared" si="327"/>
        <v>40159</v>
      </c>
      <c r="C2048" s="13">
        <v>2009.0</v>
      </c>
      <c r="D2048" s="11" t="s">
        <v>32</v>
      </c>
      <c r="E2048" s="11">
        <v>29.0</v>
      </c>
      <c r="F2048" s="21" t="s">
        <v>142</v>
      </c>
      <c r="G2048" s="15">
        <v>0.09397485912440406</v>
      </c>
      <c r="H2048" s="11" t="s">
        <v>33</v>
      </c>
      <c r="I2048" s="16">
        <v>4.0</v>
      </c>
      <c r="J2048" s="11" t="s">
        <v>202</v>
      </c>
      <c r="K2048" s="11" t="s">
        <v>35</v>
      </c>
      <c r="L2048" s="11" t="s">
        <v>41</v>
      </c>
      <c r="M2048" s="11" t="s">
        <v>66</v>
      </c>
      <c r="N2048" s="11" t="s">
        <v>80</v>
      </c>
      <c r="O2048" s="11" t="s">
        <v>1859</v>
      </c>
      <c r="P2048" s="11" t="s">
        <v>58</v>
      </c>
      <c r="Q2048" s="20">
        <v>40160.0</v>
      </c>
      <c r="R2048" s="17">
        <f t="shared" si="2"/>
        <v>98.21312527</v>
      </c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>
        <f t="shared" si="8"/>
        <v>3</v>
      </c>
      <c r="AF2048" s="19">
        <f t="shared" si="13"/>
        <v>2</v>
      </c>
      <c r="AG2048" s="9"/>
      <c r="AH2048" s="9"/>
      <c r="AI2048" s="9"/>
    </row>
    <row r="2049" ht="15.0" customHeight="1">
      <c r="A2049" s="11">
        <v>2048.0</v>
      </c>
      <c r="B2049" s="12">
        <f t="shared" si="327"/>
        <v>40159</v>
      </c>
      <c r="C2049" s="13">
        <v>2009.0</v>
      </c>
      <c r="D2049" s="11" t="s">
        <v>32</v>
      </c>
      <c r="E2049" s="11">
        <v>32.0</v>
      </c>
      <c r="F2049" s="21" t="s">
        <v>1441</v>
      </c>
      <c r="G2049" s="15">
        <v>0.10261740763932359</v>
      </c>
      <c r="H2049" s="11" t="s">
        <v>24</v>
      </c>
      <c r="I2049" s="16">
        <v>5.024000000000001</v>
      </c>
      <c r="J2049" s="11" t="s">
        <v>78</v>
      </c>
      <c r="K2049" s="11" t="s">
        <v>35</v>
      </c>
      <c r="L2049" s="11" t="s">
        <v>48</v>
      </c>
      <c r="M2049" s="11" t="s">
        <v>28</v>
      </c>
      <c r="N2049" s="11" t="s">
        <v>42</v>
      </c>
      <c r="O2049" s="11" t="s">
        <v>1569</v>
      </c>
      <c r="P2049" s="11" t="s">
        <v>38</v>
      </c>
      <c r="Q2049" s="20">
        <v>40160.0</v>
      </c>
      <c r="R2049" s="17">
        <f t="shared" si="2"/>
        <v>29.41261185</v>
      </c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>
        <f t="shared" si="8"/>
        <v>4</v>
      </c>
      <c r="AF2049" s="19">
        <f t="shared" si="13"/>
        <v>2</v>
      </c>
      <c r="AG2049" s="9"/>
      <c r="AH2049" s="9"/>
      <c r="AI2049" s="9"/>
    </row>
    <row r="2050" ht="15.0" customHeight="1">
      <c r="A2050" s="11">
        <v>2049.0</v>
      </c>
      <c r="B2050" s="12">
        <f t="shared" si="327"/>
        <v>40159</v>
      </c>
      <c r="C2050" s="13">
        <v>2009.0</v>
      </c>
      <c r="D2050" s="11" t="s">
        <v>32</v>
      </c>
      <c r="E2050" s="11">
        <v>31.0</v>
      </c>
      <c r="F2050" s="21" t="s">
        <v>135</v>
      </c>
      <c r="G2050" s="15">
        <v>0.07343915343915346</v>
      </c>
      <c r="H2050" s="11" t="s">
        <v>33</v>
      </c>
      <c r="I2050" s="16">
        <v>5.5440000000000005</v>
      </c>
      <c r="J2050" s="11" t="s">
        <v>832</v>
      </c>
      <c r="K2050" s="11" t="s">
        <v>65</v>
      </c>
      <c r="L2050" s="11" t="s">
        <v>48</v>
      </c>
      <c r="M2050" s="11" t="s">
        <v>28</v>
      </c>
      <c r="N2050" s="11" t="s">
        <v>56</v>
      </c>
      <c r="O2050" s="11" t="s">
        <v>554</v>
      </c>
      <c r="P2050" s="11" t="s">
        <v>38</v>
      </c>
      <c r="Q2050" s="20">
        <v>40160.0</v>
      </c>
      <c r="R2050" s="17">
        <f t="shared" si="2"/>
        <v>15.43279746</v>
      </c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>
        <f t="shared" si="8"/>
        <v>4</v>
      </c>
      <c r="AF2050" s="19">
        <f t="shared" si="13"/>
        <v>5</v>
      </c>
      <c r="AG2050" s="9"/>
      <c r="AH2050" s="9"/>
      <c r="AI2050" s="9"/>
    </row>
    <row r="2051" ht="15.0" customHeight="1">
      <c r="A2051" s="11">
        <v>2050.0</v>
      </c>
      <c r="B2051" s="12">
        <f t="shared" si="327"/>
        <v>40159</v>
      </c>
      <c r="C2051" s="13">
        <v>2009.0</v>
      </c>
      <c r="D2051" s="11" t="s">
        <v>102</v>
      </c>
      <c r="E2051" s="11">
        <v>41.0</v>
      </c>
      <c r="F2051" s="21" t="s">
        <v>394</v>
      </c>
      <c r="G2051" s="15">
        <v>0.06710608349133895</v>
      </c>
      <c r="H2051" s="11" t="s">
        <v>45</v>
      </c>
      <c r="I2051" s="16">
        <v>28.872000000000003</v>
      </c>
      <c r="J2051" s="11" t="s">
        <v>2068</v>
      </c>
      <c r="K2051" s="11" t="s">
        <v>61</v>
      </c>
      <c r="L2051" s="11" t="s">
        <v>41</v>
      </c>
      <c r="M2051" s="11" t="s">
        <v>49</v>
      </c>
      <c r="N2051" s="11" t="s">
        <v>156</v>
      </c>
      <c r="O2051" s="11" t="s">
        <v>1194</v>
      </c>
      <c r="P2051" s="11" t="s">
        <v>87</v>
      </c>
      <c r="Q2051" s="20">
        <v>40160.0</v>
      </c>
      <c r="R2051" s="17">
        <f t="shared" si="2"/>
        <v>389.6026206</v>
      </c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>
        <f t="shared" si="8"/>
        <v>3</v>
      </c>
      <c r="AF2051" s="19">
        <f t="shared" si="13"/>
        <v>4</v>
      </c>
      <c r="AG2051" s="9"/>
      <c r="AH2051" s="9"/>
      <c r="AI2051" s="9"/>
    </row>
    <row r="2052" ht="15.0" customHeight="1">
      <c r="A2052" s="11">
        <v>2051.0</v>
      </c>
      <c r="B2052" s="12">
        <f t="shared" si="327"/>
        <v>40159</v>
      </c>
      <c r="C2052" s="13">
        <v>2009.0</v>
      </c>
      <c r="D2052" s="11" t="s">
        <v>39</v>
      </c>
      <c r="E2052" s="11">
        <v>16.0</v>
      </c>
      <c r="F2052" s="21" t="s">
        <v>290</v>
      </c>
      <c r="G2052" s="15">
        <v>0.06946822308690007</v>
      </c>
      <c r="H2052" s="11" t="s">
        <v>33</v>
      </c>
      <c r="I2052" s="16">
        <v>4.544</v>
      </c>
      <c r="J2052" s="11" t="s">
        <v>2069</v>
      </c>
      <c r="K2052" s="11" t="s">
        <v>35</v>
      </c>
      <c r="L2052" s="11" t="s">
        <v>48</v>
      </c>
      <c r="M2052" s="11" t="s">
        <v>28</v>
      </c>
      <c r="N2052" s="11" t="s">
        <v>56</v>
      </c>
      <c r="O2052" s="11" t="s">
        <v>2070</v>
      </c>
      <c r="P2052" s="11" t="s">
        <v>38</v>
      </c>
      <c r="Q2052" s="20">
        <v>40161.0</v>
      </c>
      <c r="R2052" s="17">
        <f t="shared" si="2"/>
        <v>4.983928197</v>
      </c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>
        <f t="shared" si="8"/>
        <v>4</v>
      </c>
      <c r="AF2052" s="19">
        <f t="shared" si="13"/>
        <v>2</v>
      </c>
      <c r="AG2052" s="9"/>
      <c r="AH2052" s="9"/>
      <c r="AI2052" s="9"/>
    </row>
    <row r="2053" ht="15.0" customHeight="1">
      <c r="A2053" s="11">
        <v>2052.0</v>
      </c>
      <c r="B2053" s="12">
        <f t="shared" si="327"/>
        <v>40159</v>
      </c>
      <c r="C2053" s="13">
        <v>2009.0</v>
      </c>
      <c r="D2053" s="11" t="s">
        <v>39</v>
      </c>
      <c r="E2053" s="11">
        <v>29.0</v>
      </c>
      <c r="F2053" s="21" t="s">
        <v>476</v>
      </c>
      <c r="G2053" s="15">
        <v>0.05814777310563784</v>
      </c>
      <c r="H2053" s="11" t="s">
        <v>45</v>
      </c>
      <c r="I2053" s="16">
        <v>68.504</v>
      </c>
      <c r="J2053" s="11" t="s">
        <v>2069</v>
      </c>
      <c r="K2053" s="11" t="s">
        <v>35</v>
      </c>
      <c r="L2053" s="11" t="s">
        <v>48</v>
      </c>
      <c r="M2053" s="11" t="s">
        <v>49</v>
      </c>
      <c r="N2053" s="11" t="s">
        <v>85</v>
      </c>
      <c r="O2053" s="11" t="s">
        <v>477</v>
      </c>
      <c r="P2053" s="11" t="s">
        <v>87</v>
      </c>
      <c r="Q2053" s="20">
        <v>40161.0</v>
      </c>
      <c r="R2053" s="17">
        <f t="shared" si="2"/>
        <v>638.1953015</v>
      </c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>
        <f t="shared" si="8"/>
        <v>4</v>
      </c>
      <c r="AF2053" s="19">
        <f t="shared" si="13"/>
        <v>2</v>
      </c>
      <c r="AG2053" s="9"/>
      <c r="AH2053" s="9"/>
      <c r="AI2053" s="9"/>
    </row>
    <row r="2054" ht="15.0" customHeight="1">
      <c r="A2054" s="11">
        <v>2053.0</v>
      </c>
      <c r="B2054" s="12">
        <f t="shared" si="327"/>
        <v>40159</v>
      </c>
      <c r="C2054" s="13">
        <v>2009.0</v>
      </c>
      <c r="D2054" s="11" t="s">
        <v>39</v>
      </c>
      <c r="E2054" s="11">
        <v>37.0</v>
      </c>
      <c r="F2054" s="21" t="s">
        <v>1672</v>
      </c>
      <c r="G2054" s="15">
        <v>0.05793975277988336</v>
      </c>
      <c r="H2054" s="11" t="s">
        <v>45</v>
      </c>
      <c r="I2054" s="16">
        <v>88.16000000000001</v>
      </c>
      <c r="J2054" s="11" t="s">
        <v>2069</v>
      </c>
      <c r="K2054" s="11" t="s">
        <v>35</v>
      </c>
      <c r="L2054" s="11" t="s">
        <v>48</v>
      </c>
      <c r="M2054" s="11" t="s">
        <v>49</v>
      </c>
      <c r="N2054" s="11" t="s">
        <v>85</v>
      </c>
      <c r="O2054" s="11" t="s">
        <v>1673</v>
      </c>
      <c r="P2054" s="11" t="s">
        <v>87</v>
      </c>
      <c r="Q2054" s="20">
        <v>40161.0</v>
      </c>
      <c r="R2054" s="17">
        <f t="shared" si="2"/>
        <v>914.4955644</v>
      </c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>
        <f t="shared" si="8"/>
        <v>4</v>
      </c>
      <c r="AF2054" s="19">
        <f t="shared" si="13"/>
        <v>2</v>
      </c>
      <c r="AG2054" s="9"/>
      <c r="AH2054" s="9"/>
      <c r="AI2054" s="9"/>
    </row>
    <row r="2055" ht="15.0" customHeight="1">
      <c r="A2055" s="11">
        <v>2054.0</v>
      </c>
      <c r="B2055" s="12">
        <f t="shared" si="327"/>
        <v>40159</v>
      </c>
      <c r="C2055" s="13">
        <v>2009.0</v>
      </c>
      <c r="D2055" s="11" t="s">
        <v>39</v>
      </c>
      <c r="E2055" s="11">
        <v>8.0</v>
      </c>
      <c r="F2055" s="21" t="s">
        <v>569</v>
      </c>
      <c r="G2055" s="15">
        <v>0.0580963206700568</v>
      </c>
      <c r="H2055" s="11" t="s">
        <v>33</v>
      </c>
      <c r="I2055" s="16">
        <v>7.192</v>
      </c>
      <c r="J2055" s="11" t="s">
        <v>2069</v>
      </c>
      <c r="K2055" s="11" t="s">
        <v>35</v>
      </c>
      <c r="L2055" s="11" t="s">
        <v>48</v>
      </c>
      <c r="M2055" s="11" t="s">
        <v>66</v>
      </c>
      <c r="N2055" s="11" t="s">
        <v>80</v>
      </c>
      <c r="O2055" s="11" t="s">
        <v>755</v>
      </c>
      <c r="P2055" s="11" t="s">
        <v>38</v>
      </c>
      <c r="Q2055" s="20">
        <v>40161.0</v>
      </c>
      <c r="R2055" s="17">
        <f t="shared" si="2"/>
        <v>91.46638249</v>
      </c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>
        <f t="shared" si="8"/>
        <v>4</v>
      </c>
      <c r="AF2055" s="19">
        <f t="shared" si="13"/>
        <v>2</v>
      </c>
      <c r="AG2055" s="9"/>
      <c r="AH2055" s="9"/>
      <c r="AI2055" s="9"/>
    </row>
    <row r="2056" ht="15.0" customHeight="1">
      <c r="A2056" s="11">
        <v>2055.0</v>
      </c>
      <c r="B2056" s="12">
        <f t="shared" si="327"/>
        <v>40159</v>
      </c>
      <c r="C2056" s="13">
        <v>2009.0</v>
      </c>
      <c r="D2056" s="11" t="s">
        <v>102</v>
      </c>
      <c r="E2056" s="11">
        <v>28.0</v>
      </c>
      <c r="F2056" s="21" t="s">
        <v>1733</v>
      </c>
      <c r="G2056" s="15">
        <v>0.05735362368401773</v>
      </c>
      <c r="H2056" s="11" t="s">
        <v>45</v>
      </c>
      <c r="I2056" s="16">
        <v>39.2</v>
      </c>
      <c r="J2056" s="11" t="s">
        <v>1623</v>
      </c>
      <c r="K2056" s="11" t="s">
        <v>35</v>
      </c>
      <c r="L2056" s="11" t="s">
        <v>48</v>
      </c>
      <c r="M2056" s="11" t="s">
        <v>66</v>
      </c>
      <c r="N2056" s="11" t="s">
        <v>170</v>
      </c>
      <c r="O2056" s="11" t="s">
        <v>1734</v>
      </c>
      <c r="P2056" s="11" t="s">
        <v>52</v>
      </c>
      <c r="Q2056" s="20">
        <v>40161.0</v>
      </c>
      <c r="R2056" s="17">
        <f t="shared" si="2"/>
        <v>885.3334766</v>
      </c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>
        <f t="shared" si="8"/>
        <v>4</v>
      </c>
      <c r="AF2056" s="19">
        <f t="shared" si="13"/>
        <v>2</v>
      </c>
      <c r="AG2056" s="9"/>
      <c r="AH2056" s="9"/>
      <c r="AI2056" s="9"/>
    </row>
    <row r="2057" ht="15.0" customHeight="1">
      <c r="A2057" s="11">
        <v>2056.0</v>
      </c>
      <c r="B2057" s="12">
        <f t="shared" si="327"/>
        <v>40159</v>
      </c>
      <c r="C2057" s="13">
        <v>2009.0</v>
      </c>
      <c r="D2057" s="11" t="s">
        <v>102</v>
      </c>
      <c r="E2057" s="11">
        <v>3.0</v>
      </c>
      <c r="F2057" s="21" t="s">
        <v>287</v>
      </c>
      <c r="G2057" s="15">
        <v>0.07772893772893766</v>
      </c>
      <c r="H2057" s="11" t="s">
        <v>24</v>
      </c>
      <c r="I2057" s="16">
        <v>4.792000000000001</v>
      </c>
      <c r="J2057" s="11" t="s">
        <v>1623</v>
      </c>
      <c r="K2057" s="11" t="s">
        <v>35</v>
      </c>
      <c r="L2057" s="11" t="s">
        <v>48</v>
      </c>
      <c r="M2057" s="11" t="s">
        <v>66</v>
      </c>
      <c r="N2057" s="11" t="s">
        <v>80</v>
      </c>
      <c r="O2057" s="11" t="s">
        <v>2071</v>
      </c>
      <c r="P2057" s="11" t="s">
        <v>38</v>
      </c>
      <c r="Q2057" s="20">
        <v>40161.0</v>
      </c>
      <c r="R2057" s="17">
        <f t="shared" si="2"/>
        <v>27.39882872</v>
      </c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>
        <f t="shared" si="8"/>
        <v>4</v>
      </c>
      <c r="AF2057" s="19">
        <f t="shared" si="13"/>
        <v>2</v>
      </c>
      <c r="AG2057" s="9"/>
      <c r="AH2057" s="9"/>
      <c r="AI2057" s="9"/>
    </row>
    <row r="2058" ht="15.0" customHeight="1">
      <c r="A2058" s="11">
        <v>2057.0</v>
      </c>
      <c r="B2058" s="12">
        <f t="shared" si="327"/>
        <v>40159</v>
      </c>
      <c r="C2058" s="13">
        <v>2009.0</v>
      </c>
      <c r="D2058" s="11" t="s">
        <v>32</v>
      </c>
      <c r="E2058" s="11">
        <v>36.0</v>
      </c>
      <c r="F2058" s="21" t="s">
        <v>221</v>
      </c>
      <c r="G2058" s="15">
        <v>0.04061313868613133</v>
      </c>
      <c r="H2058" s="11" t="s">
        <v>33</v>
      </c>
      <c r="I2058" s="16">
        <v>3.8880000000000003</v>
      </c>
      <c r="J2058" s="11" t="s">
        <v>786</v>
      </c>
      <c r="K2058" s="11" t="s">
        <v>35</v>
      </c>
      <c r="L2058" s="11" t="s">
        <v>48</v>
      </c>
      <c r="M2058" s="11" t="s">
        <v>28</v>
      </c>
      <c r="N2058" s="11" t="s">
        <v>56</v>
      </c>
      <c r="O2058" s="11" t="s">
        <v>2072</v>
      </c>
      <c r="P2058" s="11" t="s">
        <v>58</v>
      </c>
      <c r="Q2058" s="20">
        <v>40161.0</v>
      </c>
      <c r="R2058" s="17">
        <f t="shared" si="2"/>
        <v>42.70422797</v>
      </c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>
        <f t="shared" si="8"/>
        <v>4</v>
      </c>
      <c r="AF2058" s="19">
        <f t="shared" si="13"/>
        <v>2</v>
      </c>
      <c r="AG2058" s="9"/>
      <c r="AH2058" s="9"/>
      <c r="AI2058" s="9"/>
    </row>
    <row r="2059" ht="15.0" customHeight="1">
      <c r="A2059" s="11">
        <v>2058.0</v>
      </c>
      <c r="B2059" s="12">
        <f t="shared" si="327"/>
        <v>40159</v>
      </c>
      <c r="C2059" s="13">
        <v>2009.0</v>
      </c>
      <c r="D2059" s="11" t="s">
        <v>32</v>
      </c>
      <c r="E2059" s="11">
        <v>39.0</v>
      </c>
      <c r="F2059" s="21" t="s">
        <v>983</v>
      </c>
      <c r="G2059" s="15">
        <v>0.026443574225703086</v>
      </c>
      <c r="H2059" s="11" t="s">
        <v>33</v>
      </c>
      <c r="I2059" s="16">
        <v>9.216</v>
      </c>
      <c r="J2059" s="11" t="s">
        <v>786</v>
      </c>
      <c r="K2059" s="11" t="s">
        <v>35</v>
      </c>
      <c r="L2059" s="11" t="s">
        <v>48</v>
      </c>
      <c r="M2059" s="11" t="s">
        <v>28</v>
      </c>
      <c r="N2059" s="11" t="s">
        <v>29</v>
      </c>
      <c r="O2059" s="11" t="s">
        <v>984</v>
      </c>
      <c r="P2059" s="11" t="s">
        <v>38</v>
      </c>
      <c r="Q2059" s="20">
        <v>40161.0</v>
      </c>
      <c r="R2059" s="17">
        <f t="shared" si="2"/>
        <v>21.69473139</v>
      </c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>
        <f t="shared" si="8"/>
        <v>4</v>
      </c>
      <c r="AF2059" s="19">
        <f t="shared" si="13"/>
        <v>2</v>
      </c>
      <c r="AG2059" s="9"/>
      <c r="AH2059" s="9"/>
      <c r="AI2059" s="9"/>
    </row>
    <row r="2060" ht="15.0" customHeight="1">
      <c r="A2060" s="11">
        <v>2059.0</v>
      </c>
      <c r="B2060" s="12">
        <f t="shared" ref="B2060:B2062" si="328">DATE(2012,12,31)-1114</f>
        <v>40160</v>
      </c>
      <c r="C2060" s="13">
        <v>2009.0</v>
      </c>
      <c r="D2060" s="11" t="s">
        <v>39</v>
      </c>
      <c r="E2060" s="11">
        <v>22.0</v>
      </c>
      <c r="F2060" s="21" t="s">
        <v>126</v>
      </c>
      <c r="G2060" s="15">
        <v>0.0676846473029045</v>
      </c>
      <c r="H2060" s="11" t="s">
        <v>24</v>
      </c>
      <c r="I2060" s="16">
        <v>4.544</v>
      </c>
      <c r="J2060" s="11" t="s">
        <v>1625</v>
      </c>
      <c r="K2060" s="11" t="s">
        <v>35</v>
      </c>
      <c r="L2060" s="11" t="s">
        <v>36</v>
      </c>
      <c r="M2060" s="11" t="s">
        <v>28</v>
      </c>
      <c r="N2060" s="11" t="s">
        <v>42</v>
      </c>
      <c r="O2060" s="11" t="s">
        <v>1022</v>
      </c>
      <c r="P2060" s="11" t="s">
        <v>38</v>
      </c>
      <c r="Q2060" s="20">
        <v>40161.0</v>
      </c>
      <c r="R2060" s="17">
        <f t="shared" si="2"/>
        <v>7.603964017</v>
      </c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>
        <f t="shared" si="8"/>
        <v>2</v>
      </c>
      <c r="AF2060" s="19">
        <f t="shared" si="13"/>
        <v>2</v>
      </c>
      <c r="AG2060" s="9"/>
      <c r="AH2060" s="9"/>
      <c r="AI2060" s="9"/>
    </row>
    <row r="2061" ht="15.0" customHeight="1">
      <c r="A2061" s="11">
        <v>2060.0</v>
      </c>
      <c r="B2061" s="12">
        <f t="shared" si="328"/>
        <v>40160</v>
      </c>
      <c r="C2061" s="13">
        <v>2009.0</v>
      </c>
      <c r="D2061" s="11" t="s">
        <v>39</v>
      </c>
      <c r="E2061" s="11">
        <v>45.0</v>
      </c>
      <c r="F2061" s="21" t="s">
        <v>377</v>
      </c>
      <c r="G2061" s="15">
        <v>0.06666610234054249</v>
      </c>
      <c r="H2061" s="11" t="s">
        <v>24</v>
      </c>
      <c r="I2061" s="16">
        <v>4.688000000000001</v>
      </c>
      <c r="J2061" s="11" t="s">
        <v>1625</v>
      </c>
      <c r="K2061" s="11" t="s">
        <v>35</v>
      </c>
      <c r="L2061" s="11" t="s">
        <v>36</v>
      </c>
      <c r="M2061" s="11" t="s">
        <v>28</v>
      </c>
      <c r="N2061" s="11" t="s">
        <v>56</v>
      </c>
      <c r="O2061" s="11" t="s">
        <v>2073</v>
      </c>
      <c r="P2061" s="11" t="s">
        <v>38</v>
      </c>
      <c r="Q2061" s="20">
        <v>40161.0</v>
      </c>
      <c r="R2061" s="17">
        <f t="shared" si="2"/>
        <v>147.0112889</v>
      </c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>
        <f t="shared" si="8"/>
        <v>2</v>
      </c>
      <c r="AF2061" s="19">
        <f t="shared" si="13"/>
        <v>2</v>
      </c>
      <c r="AG2061" s="9"/>
      <c r="AH2061" s="9"/>
      <c r="AI2061" s="9"/>
    </row>
    <row r="2062" ht="15.0" customHeight="1">
      <c r="A2062" s="11">
        <v>2061.0</v>
      </c>
      <c r="B2062" s="12">
        <f t="shared" si="328"/>
        <v>40160</v>
      </c>
      <c r="C2062" s="13">
        <v>2009.0</v>
      </c>
      <c r="D2062" s="11" t="s">
        <v>23</v>
      </c>
      <c r="E2062" s="11">
        <v>25.0</v>
      </c>
      <c r="F2062" s="21" t="s">
        <v>562</v>
      </c>
      <c r="G2062" s="15">
        <v>0.020169511385384583</v>
      </c>
      <c r="H2062" s="11" t="s">
        <v>45</v>
      </c>
      <c r="I2062" s="16">
        <v>20.8</v>
      </c>
      <c r="J2062" s="11" t="s">
        <v>1722</v>
      </c>
      <c r="K2062" s="11" t="s">
        <v>26</v>
      </c>
      <c r="L2062" s="11" t="s">
        <v>27</v>
      </c>
      <c r="M2062" s="11" t="s">
        <v>49</v>
      </c>
      <c r="N2062" s="11" t="s">
        <v>50</v>
      </c>
      <c r="O2062" s="11" t="s">
        <v>1649</v>
      </c>
      <c r="P2062" s="11" t="s">
        <v>52</v>
      </c>
      <c r="Q2062" s="20">
        <v>40161.0</v>
      </c>
      <c r="R2062" s="17">
        <f t="shared" si="2"/>
        <v>252.9922322</v>
      </c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>
        <f t="shared" si="8"/>
        <v>1</v>
      </c>
      <c r="AF2062" s="19">
        <f t="shared" si="13"/>
        <v>1</v>
      </c>
      <c r="AG2062" s="9"/>
      <c r="AH2062" s="9"/>
      <c r="AI2062" s="9"/>
    </row>
    <row r="2063" ht="15.0" customHeight="1">
      <c r="A2063" s="11">
        <v>2062.0</v>
      </c>
      <c r="B2063" s="12">
        <f t="shared" ref="B2063:B2071" si="329">DATE(2012,12,31)-1113</f>
        <v>40161</v>
      </c>
      <c r="C2063" s="13">
        <v>2009.0</v>
      </c>
      <c r="D2063" s="11" t="s">
        <v>44</v>
      </c>
      <c r="E2063" s="11">
        <v>3.0</v>
      </c>
      <c r="F2063" s="21" t="s">
        <v>802</v>
      </c>
      <c r="G2063" s="15">
        <v>0.08592344230231895</v>
      </c>
      <c r="H2063" s="11" t="s">
        <v>33</v>
      </c>
      <c r="I2063" s="16">
        <v>4.648</v>
      </c>
      <c r="J2063" s="11" t="s">
        <v>2074</v>
      </c>
      <c r="K2063" s="11" t="s">
        <v>35</v>
      </c>
      <c r="L2063" s="11" t="s">
        <v>36</v>
      </c>
      <c r="M2063" s="11" t="s">
        <v>49</v>
      </c>
      <c r="N2063" s="11" t="s">
        <v>73</v>
      </c>
      <c r="O2063" s="11" t="s">
        <v>804</v>
      </c>
      <c r="P2063" s="11" t="s">
        <v>75</v>
      </c>
      <c r="Q2063" s="20">
        <v>40161.0</v>
      </c>
      <c r="R2063" s="17">
        <f t="shared" si="2"/>
        <v>28.1096823</v>
      </c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>
        <f t="shared" si="8"/>
        <v>2</v>
      </c>
      <c r="AF2063" s="19">
        <f t="shared" si="13"/>
        <v>2</v>
      </c>
      <c r="AG2063" s="9"/>
      <c r="AH2063" s="9"/>
      <c r="AI2063" s="9"/>
    </row>
    <row r="2064" ht="15.0" customHeight="1">
      <c r="A2064" s="11">
        <v>2063.0</v>
      </c>
      <c r="B2064" s="12">
        <f t="shared" si="329"/>
        <v>40161</v>
      </c>
      <c r="C2064" s="13">
        <v>2009.0</v>
      </c>
      <c r="D2064" s="11" t="s">
        <v>44</v>
      </c>
      <c r="E2064" s="11">
        <v>23.0</v>
      </c>
      <c r="F2064" s="21" t="s">
        <v>1091</v>
      </c>
      <c r="G2064" s="15">
        <v>0.04410823258491665</v>
      </c>
      <c r="H2064" s="11" t="s">
        <v>33</v>
      </c>
      <c r="I2064" s="16">
        <v>15.991999999999999</v>
      </c>
      <c r="J2064" s="11" t="s">
        <v>1008</v>
      </c>
      <c r="K2064" s="11" t="s">
        <v>65</v>
      </c>
      <c r="L2064" s="11" t="s">
        <v>48</v>
      </c>
      <c r="M2064" s="11" t="s">
        <v>28</v>
      </c>
      <c r="N2064" s="11" t="s">
        <v>56</v>
      </c>
      <c r="O2064" s="11" t="s">
        <v>1943</v>
      </c>
      <c r="P2064" s="11" t="s">
        <v>38</v>
      </c>
      <c r="Q2064" s="20">
        <v>40162.0</v>
      </c>
      <c r="R2064" s="17">
        <f t="shared" si="2"/>
        <v>36.61830183</v>
      </c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>
        <f t="shared" si="8"/>
        <v>4</v>
      </c>
      <c r="AF2064" s="19">
        <f t="shared" si="13"/>
        <v>5</v>
      </c>
      <c r="AG2064" s="9"/>
      <c r="AH2064" s="9"/>
      <c r="AI2064" s="9"/>
    </row>
    <row r="2065" ht="15.0" customHeight="1">
      <c r="A2065" s="11">
        <v>2064.0</v>
      </c>
      <c r="B2065" s="12">
        <f t="shared" si="329"/>
        <v>40161</v>
      </c>
      <c r="C2065" s="13">
        <v>2009.0</v>
      </c>
      <c r="D2065" s="11" t="s">
        <v>44</v>
      </c>
      <c r="E2065" s="11">
        <v>46.0</v>
      </c>
      <c r="F2065" s="21" t="s">
        <v>254</v>
      </c>
      <c r="G2065" s="15">
        <v>0.08754544065984425</v>
      </c>
      <c r="H2065" s="11" t="s">
        <v>33</v>
      </c>
      <c r="I2065" s="16">
        <v>3.9840000000000004</v>
      </c>
      <c r="J2065" s="11" t="s">
        <v>528</v>
      </c>
      <c r="K2065" s="11" t="s">
        <v>83</v>
      </c>
      <c r="L2065" s="11" t="s">
        <v>41</v>
      </c>
      <c r="M2065" s="11" t="s">
        <v>28</v>
      </c>
      <c r="N2065" s="11" t="s">
        <v>42</v>
      </c>
      <c r="O2065" s="11" t="s">
        <v>2040</v>
      </c>
      <c r="P2065" s="11" t="s">
        <v>38</v>
      </c>
      <c r="Q2065" s="20">
        <v>40162.0</v>
      </c>
      <c r="R2065" s="17">
        <f t="shared" si="2"/>
        <v>52.29824552</v>
      </c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>
        <f t="shared" si="8"/>
        <v>3</v>
      </c>
      <c r="AF2065" s="19" t="b">
        <f t="shared" si="13"/>
        <v>0</v>
      </c>
      <c r="AG2065" s="9"/>
      <c r="AH2065" s="9"/>
      <c r="AI2065" s="9"/>
    </row>
    <row r="2066" ht="15.0" customHeight="1">
      <c r="A2066" s="11">
        <v>2065.0</v>
      </c>
      <c r="B2066" s="12">
        <f t="shared" si="329"/>
        <v>40161</v>
      </c>
      <c r="C2066" s="13">
        <v>2009.0</v>
      </c>
      <c r="D2066" s="11" t="s">
        <v>44</v>
      </c>
      <c r="E2066" s="11">
        <v>8.0</v>
      </c>
      <c r="F2066" s="21" t="s">
        <v>914</v>
      </c>
      <c r="G2066" s="15">
        <v>0.012793217145548789</v>
      </c>
      <c r="H2066" s="11" t="s">
        <v>33</v>
      </c>
      <c r="I2066" s="16">
        <v>10.384</v>
      </c>
      <c r="J2066" s="11" t="s">
        <v>528</v>
      </c>
      <c r="K2066" s="11" t="s">
        <v>83</v>
      </c>
      <c r="L2066" s="11" t="s">
        <v>41</v>
      </c>
      <c r="M2066" s="11" t="s">
        <v>28</v>
      </c>
      <c r="N2066" s="11" t="s">
        <v>42</v>
      </c>
      <c r="O2066" s="11" t="s">
        <v>915</v>
      </c>
      <c r="P2066" s="11" t="s">
        <v>38</v>
      </c>
      <c r="Q2066" s="20">
        <v>40162.0</v>
      </c>
      <c r="R2066" s="17">
        <f t="shared" si="2"/>
        <v>2.681253622</v>
      </c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>
        <f t="shared" si="8"/>
        <v>3</v>
      </c>
      <c r="AF2066" s="19" t="b">
        <f t="shared" si="13"/>
        <v>0</v>
      </c>
      <c r="AG2066" s="9"/>
      <c r="AH2066" s="9"/>
      <c r="AI2066" s="9"/>
    </row>
    <row r="2067" ht="15.0" customHeight="1">
      <c r="A2067" s="11">
        <v>2066.0</v>
      </c>
      <c r="B2067" s="12">
        <f t="shared" si="329"/>
        <v>40161</v>
      </c>
      <c r="C2067" s="13">
        <v>2009.0</v>
      </c>
      <c r="D2067" s="11" t="s">
        <v>23</v>
      </c>
      <c r="E2067" s="11">
        <v>8.0</v>
      </c>
      <c r="F2067" s="21" t="s">
        <v>726</v>
      </c>
      <c r="G2067" s="15">
        <v>0.04179850124895917</v>
      </c>
      <c r="H2067" s="11" t="s">
        <v>24</v>
      </c>
      <c r="I2067" s="16">
        <v>5.48</v>
      </c>
      <c r="J2067" s="11" t="s">
        <v>2075</v>
      </c>
      <c r="K2067" s="11" t="s">
        <v>35</v>
      </c>
      <c r="L2067" s="11" t="s">
        <v>48</v>
      </c>
      <c r="M2067" s="11" t="s">
        <v>49</v>
      </c>
      <c r="N2067" s="11" t="s">
        <v>73</v>
      </c>
      <c r="O2067" s="11" t="s">
        <v>1850</v>
      </c>
      <c r="P2067" s="11" t="s">
        <v>58</v>
      </c>
      <c r="Q2067" s="20">
        <v>40162.0</v>
      </c>
      <c r="R2067" s="17">
        <f t="shared" si="2"/>
        <v>4.810171524</v>
      </c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>
        <f t="shared" si="8"/>
        <v>4</v>
      </c>
      <c r="AF2067" s="19">
        <f t="shared" si="13"/>
        <v>2</v>
      </c>
      <c r="AG2067" s="9"/>
      <c r="AH2067" s="9"/>
      <c r="AI2067" s="9"/>
    </row>
    <row r="2068" ht="15.0" customHeight="1">
      <c r="A2068" s="11">
        <v>2067.0</v>
      </c>
      <c r="B2068" s="12">
        <f t="shared" si="329"/>
        <v>40161</v>
      </c>
      <c r="C2068" s="13">
        <v>2009.0</v>
      </c>
      <c r="D2068" s="11" t="s">
        <v>39</v>
      </c>
      <c r="E2068" s="11">
        <v>40.0</v>
      </c>
      <c r="F2068" s="21" t="s">
        <v>490</v>
      </c>
      <c r="G2068" s="15">
        <v>0.05833545431407482</v>
      </c>
      <c r="H2068" s="11" t="s">
        <v>33</v>
      </c>
      <c r="I2068" s="16">
        <v>3.88</v>
      </c>
      <c r="J2068" s="11" t="s">
        <v>2076</v>
      </c>
      <c r="K2068" s="11" t="s">
        <v>83</v>
      </c>
      <c r="L2068" s="11" t="s">
        <v>41</v>
      </c>
      <c r="M2068" s="11" t="s">
        <v>28</v>
      </c>
      <c r="N2068" s="11" t="s">
        <v>56</v>
      </c>
      <c r="O2068" s="11" t="s">
        <v>2077</v>
      </c>
      <c r="P2068" s="11" t="s">
        <v>38</v>
      </c>
      <c r="Q2068" s="20">
        <v>40162.0</v>
      </c>
      <c r="R2068" s="17">
        <f t="shared" si="2"/>
        <v>129.4977083</v>
      </c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>
        <f t="shared" si="8"/>
        <v>3</v>
      </c>
      <c r="AF2068" s="19" t="b">
        <f t="shared" si="13"/>
        <v>0</v>
      </c>
      <c r="AG2068" s="9"/>
      <c r="AH2068" s="9"/>
      <c r="AI2068" s="9"/>
    </row>
    <row r="2069" ht="15.0" customHeight="1">
      <c r="A2069" s="11">
        <v>2068.0</v>
      </c>
      <c r="B2069" s="12">
        <f t="shared" si="329"/>
        <v>40161</v>
      </c>
      <c r="C2069" s="13">
        <v>2009.0</v>
      </c>
      <c r="D2069" s="11" t="s">
        <v>39</v>
      </c>
      <c r="E2069" s="11">
        <v>37.0</v>
      </c>
      <c r="F2069" s="21" t="s">
        <v>536</v>
      </c>
      <c r="G2069" s="15">
        <v>0.09432410631725976</v>
      </c>
      <c r="H2069" s="11" t="s">
        <v>45</v>
      </c>
      <c r="I2069" s="16">
        <v>56.160000000000004</v>
      </c>
      <c r="J2069" s="11" t="s">
        <v>2076</v>
      </c>
      <c r="K2069" s="11" t="s">
        <v>83</v>
      </c>
      <c r="L2069" s="11" t="s">
        <v>41</v>
      </c>
      <c r="M2069" s="11" t="s">
        <v>49</v>
      </c>
      <c r="N2069" s="11" t="s">
        <v>50</v>
      </c>
      <c r="O2069" s="11" t="s">
        <v>537</v>
      </c>
      <c r="P2069" s="11" t="s">
        <v>52</v>
      </c>
      <c r="Q2069" s="20">
        <v>40163.0</v>
      </c>
      <c r="R2069" s="17">
        <f t="shared" si="2"/>
        <v>434.2172505</v>
      </c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>
        <f t="shared" si="8"/>
        <v>3</v>
      </c>
      <c r="AF2069" s="19" t="b">
        <f t="shared" si="13"/>
        <v>0</v>
      </c>
      <c r="AG2069" s="9"/>
      <c r="AH2069" s="9"/>
      <c r="AI2069" s="9"/>
    </row>
    <row r="2070" ht="15.0" customHeight="1">
      <c r="A2070" s="11">
        <v>2069.0</v>
      </c>
      <c r="B2070" s="12">
        <f t="shared" si="329"/>
        <v>40161</v>
      </c>
      <c r="C2070" s="13">
        <v>2009.0</v>
      </c>
      <c r="D2070" s="11" t="s">
        <v>32</v>
      </c>
      <c r="E2070" s="11">
        <v>15.0</v>
      </c>
      <c r="F2070" s="21" t="s">
        <v>210</v>
      </c>
      <c r="G2070" s="15">
        <v>0.03431372549019605</v>
      </c>
      <c r="H2070" s="11" t="s">
        <v>33</v>
      </c>
      <c r="I2070" s="16">
        <v>0.4</v>
      </c>
      <c r="J2070" s="11" t="s">
        <v>1259</v>
      </c>
      <c r="K2070" s="11" t="s">
        <v>65</v>
      </c>
      <c r="L2070" s="11" t="s">
        <v>41</v>
      </c>
      <c r="M2070" s="11" t="s">
        <v>28</v>
      </c>
      <c r="N2070" s="11" t="s">
        <v>188</v>
      </c>
      <c r="O2070" s="11" t="s">
        <v>1356</v>
      </c>
      <c r="P2070" s="11" t="s">
        <v>38</v>
      </c>
      <c r="Q2070" s="20">
        <v>40163.0</v>
      </c>
      <c r="R2070" s="17">
        <f t="shared" si="2"/>
        <v>1.351960784</v>
      </c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>
        <f t="shared" si="8"/>
        <v>3</v>
      </c>
      <c r="AF2070" s="19">
        <f t="shared" si="13"/>
        <v>5</v>
      </c>
      <c r="AG2070" s="9"/>
      <c r="AH2070" s="9"/>
      <c r="AI2070" s="9"/>
    </row>
    <row r="2071" ht="15.0" customHeight="1">
      <c r="A2071" s="11">
        <v>2070.0</v>
      </c>
      <c r="B2071" s="12">
        <f t="shared" si="329"/>
        <v>40161</v>
      </c>
      <c r="C2071" s="13">
        <v>2009.0</v>
      </c>
      <c r="D2071" s="11" t="s">
        <v>32</v>
      </c>
      <c r="E2071" s="11">
        <v>35.0</v>
      </c>
      <c r="F2071" s="21" t="s">
        <v>199</v>
      </c>
      <c r="G2071" s="15">
        <v>0.01865778200856729</v>
      </c>
      <c r="H2071" s="11" t="s">
        <v>33</v>
      </c>
      <c r="I2071" s="16">
        <v>6.36</v>
      </c>
      <c r="J2071" s="11" t="s">
        <v>1259</v>
      </c>
      <c r="K2071" s="11" t="s">
        <v>65</v>
      </c>
      <c r="L2071" s="11" t="s">
        <v>41</v>
      </c>
      <c r="M2071" s="11" t="s">
        <v>28</v>
      </c>
      <c r="N2071" s="11" t="s">
        <v>62</v>
      </c>
      <c r="O2071" s="11" t="s">
        <v>1924</v>
      </c>
      <c r="P2071" s="11" t="s">
        <v>99</v>
      </c>
      <c r="Q2071" s="20">
        <v>40163.0</v>
      </c>
      <c r="R2071" s="17">
        <f t="shared" si="2"/>
        <v>7.693722989</v>
      </c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>
        <f t="shared" si="8"/>
        <v>3</v>
      </c>
      <c r="AF2071" s="19">
        <f t="shared" si="13"/>
        <v>5</v>
      </c>
      <c r="AG2071" s="9"/>
      <c r="AH2071" s="9"/>
      <c r="AI2071" s="9"/>
    </row>
    <row r="2072" ht="15.0" customHeight="1">
      <c r="A2072" s="11">
        <v>2071.0</v>
      </c>
      <c r="B2072" s="12">
        <f t="shared" ref="B2072:B2073" si="330">DATE(2012,12,31)-1112</f>
        <v>40162</v>
      </c>
      <c r="C2072" s="13">
        <v>2009.0</v>
      </c>
      <c r="D2072" s="11" t="s">
        <v>23</v>
      </c>
      <c r="E2072" s="11">
        <v>27.0</v>
      </c>
      <c r="F2072" s="21" t="s">
        <v>1559</v>
      </c>
      <c r="G2072" s="15">
        <v>0.055172413793103496</v>
      </c>
      <c r="H2072" s="11" t="s">
        <v>33</v>
      </c>
      <c r="I2072" s="16">
        <v>0.5599999999999999</v>
      </c>
      <c r="J2072" s="11" t="s">
        <v>2078</v>
      </c>
      <c r="K2072" s="11" t="s">
        <v>65</v>
      </c>
      <c r="L2072" s="11" t="s">
        <v>27</v>
      </c>
      <c r="M2072" s="11" t="s">
        <v>28</v>
      </c>
      <c r="N2072" s="11" t="s">
        <v>216</v>
      </c>
      <c r="O2072" s="11" t="s">
        <v>1561</v>
      </c>
      <c r="P2072" s="11" t="s">
        <v>58</v>
      </c>
      <c r="Q2072" s="20">
        <v>40164.0</v>
      </c>
      <c r="R2072" s="17">
        <f t="shared" si="2"/>
        <v>2.116413793</v>
      </c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>
        <f t="shared" si="8"/>
        <v>1</v>
      </c>
      <c r="AF2072" s="19">
        <f t="shared" si="13"/>
        <v>5</v>
      </c>
      <c r="AG2072" s="9"/>
      <c r="AH2072" s="9"/>
      <c r="AI2072" s="9"/>
    </row>
    <row r="2073" ht="15.0" customHeight="1">
      <c r="A2073" s="22">
        <v>2072.0</v>
      </c>
      <c r="B2073" s="23">
        <f t="shared" si="330"/>
        <v>40162</v>
      </c>
      <c r="C2073" s="24">
        <v>2009.0</v>
      </c>
      <c r="D2073" s="22" t="s">
        <v>23</v>
      </c>
      <c r="E2073" s="22">
        <v>5.0</v>
      </c>
      <c r="F2073" s="25" t="s">
        <v>100</v>
      </c>
      <c r="G2073" s="26">
        <v>0.035869879094527296</v>
      </c>
      <c r="H2073" s="22" t="s">
        <v>33</v>
      </c>
      <c r="I2073" s="27">
        <v>7.192</v>
      </c>
      <c r="J2073" s="22" t="s">
        <v>2078</v>
      </c>
      <c r="K2073" s="22" t="s">
        <v>65</v>
      </c>
      <c r="L2073" s="22" t="s">
        <v>27</v>
      </c>
      <c r="M2073" s="22" t="s">
        <v>66</v>
      </c>
      <c r="N2073" s="22" t="s">
        <v>80</v>
      </c>
      <c r="O2073" s="22" t="s">
        <v>615</v>
      </c>
      <c r="P2073" s="22" t="s">
        <v>38</v>
      </c>
      <c r="Q2073" s="20">
        <v>40164.0</v>
      </c>
      <c r="R2073" s="17">
        <f t="shared" si="2"/>
        <v>37.1860167</v>
      </c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>
        <f t="shared" si="8"/>
        <v>1</v>
      </c>
      <c r="AF2073" s="19">
        <f t="shared" si="13"/>
        <v>5</v>
      </c>
      <c r="AG2073" s="9"/>
      <c r="AH2073" s="9"/>
      <c r="AI2073" s="9"/>
    </row>
    <row r="2074" ht="15.0" customHeight="1">
      <c r="A2074" s="11">
        <v>2073.0</v>
      </c>
      <c r="B2074" s="12">
        <f t="shared" ref="B2074:B2080" si="331">DATE(2012,12,31)-1111</f>
        <v>40163</v>
      </c>
      <c r="C2074" s="13">
        <v>2009.0</v>
      </c>
      <c r="D2074" s="11" t="s">
        <v>39</v>
      </c>
      <c r="E2074" s="11">
        <v>22.0</v>
      </c>
      <c r="F2074" s="21" t="s">
        <v>1870</v>
      </c>
      <c r="G2074" s="15">
        <v>0.04130831744757714</v>
      </c>
      <c r="H2074" s="11" t="s">
        <v>24</v>
      </c>
      <c r="I2074" s="16">
        <v>46.928</v>
      </c>
      <c r="J2074" s="11" t="s">
        <v>1841</v>
      </c>
      <c r="K2074" s="11" t="s">
        <v>61</v>
      </c>
      <c r="L2074" s="11" t="s">
        <v>36</v>
      </c>
      <c r="M2074" s="11" t="s">
        <v>49</v>
      </c>
      <c r="N2074" s="11" t="s">
        <v>73</v>
      </c>
      <c r="O2074" s="11" t="s">
        <v>1871</v>
      </c>
      <c r="P2074" s="11" t="s">
        <v>75</v>
      </c>
      <c r="Q2074" s="20">
        <v>40164.0</v>
      </c>
      <c r="R2074" s="17">
        <f t="shared" si="2"/>
        <v>39.47125395</v>
      </c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>
        <f t="shared" si="8"/>
        <v>2</v>
      </c>
      <c r="AF2074" s="19">
        <f t="shared" si="13"/>
        <v>4</v>
      </c>
      <c r="AG2074" s="9"/>
      <c r="AH2074" s="9"/>
      <c r="AI2074" s="9"/>
    </row>
    <row r="2075" ht="15.0" customHeight="1">
      <c r="A2075" s="11">
        <v>2074.0</v>
      </c>
      <c r="B2075" s="12">
        <f t="shared" si="331"/>
        <v>40163</v>
      </c>
      <c r="C2075" s="13">
        <v>2009.0</v>
      </c>
      <c r="D2075" s="11" t="s">
        <v>39</v>
      </c>
      <c r="E2075" s="11">
        <v>11.0</v>
      </c>
      <c r="F2075" s="21" t="s">
        <v>440</v>
      </c>
      <c r="G2075" s="15">
        <v>0.015463917525773233</v>
      </c>
      <c r="H2075" s="11" t="s">
        <v>33</v>
      </c>
      <c r="I2075" s="16">
        <v>1.6</v>
      </c>
      <c r="J2075" s="11" t="s">
        <v>1841</v>
      </c>
      <c r="K2075" s="11" t="s">
        <v>61</v>
      </c>
      <c r="L2075" s="11" t="s">
        <v>36</v>
      </c>
      <c r="M2075" s="11" t="s">
        <v>28</v>
      </c>
      <c r="N2075" s="11" t="s">
        <v>56</v>
      </c>
      <c r="O2075" s="11" t="s">
        <v>489</v>
      </c>
      <c r="P2075" s="11" t="s">
        <v>58</v>
      </c>
      <c r="Q2075" s="20">
        <v>40164.0</v>
      </c>
      <c r="R2075" s="17">
        <f t="shared" si="2"/>
        <v>1.181443299</v>
      </c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>
        <f t="shared" si="8"/>
        <v>2</v>
      </c>
      <c r="AF2075" s="19">
        <f t="shared" si="13"/>
        <v>4</v>
      </c>
      <c r="AG2075" s="9"/>
      <c r="AH2075" s="9"/>
      <c r="AI2075" s="9"/>
    </row>
    <row r="2076" ht="15.0" customHeight="1">
      <c r="A2076" s="11">
        <v>2075.0</v>
      </c>
      <c r="B2076" s="12">
        <f t="shared" si="331"/>
        <v>40163</v>
      </c>
      <c r="C2076" s="13">
        <v>2009.0</v>
      </c>
      <c r="D2076" s="11" t="s">
        <v>32</v>
      </c>
      <c r="E2076" s="11">
        <v>13.0</v>
      </c>
      <c r="F2076" s="21" t="s">
        <v>389</v>
      </c>
      <c r="G2076" s="15">
        <v>0.04087243401759522</v>
      </c>
      <c r="H2076" s="11" t="s">
        <v>45</v>
      </c>
      <c r="I2076" s="16">
        <v>11.200000000000001</v>
      </c>
      <c r="J2076" s="11" t="s">
        <v>2079</v>
      </c>
      <c r="K2076" s="11" t="s">
        <v>61</v>
      </c>
      <c r="L2076" s="11" t="s">
        <v>48</v>
      </c>
      <c r="M2076" s="11" t="s">
        <v>66</v>
      </c>
      <c r="N2076" s="11" t="s">
        <v>69</v>
      </c>
      <c r="O2076" s="11" t="s">
        <v>1502</v>
      </c>
      <c r="P2076" s="11" t="s">
        <v>52</v>
      </c>
      <c r="Q2076" s="20">
        <v>40165.0</v>
      </c>
      <c r="R2076" s="17">
        <f t="shared" si="2"/>
        <v>64.16563416</v>
      </c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>
        <f t="shared" si="8"/>
        <v>4</v>
      </c>
      <c r="AF2076" s="19">
        <f t="shared" si="13"/>
        <v>4</v>
      </c>
      <c r="AG2076" s="9"/>
      <c r="AH2076" s="9"/>
      <c r="AI2076" s="9"/>
    </row>
    <row r="2077" ht="15.0" customHeight="1">
      <c r="A2077" s="11">
        <v>2076.0</v>
      </c>
      <c r="B2077" s="12">
        <f t="shared" si="331"/>
        <v>40163</v>
      </c>
      <c r="C2077" s="13">
        <v>2009.0</v>
      </c>
      <c r="D2077" s="11" t="s">
        <v>39</v>
      </c>
      <c r="E2077" s="11">
        <v>10.0</v>
      </c>
      <c r="F2077" s="21" t="s">
        <v>93</v>
      </c>
      <c r="G2077" s="15">
        <v>0.10769911504424783</v>
      </c>
      <c r="H2077" s="11" t="s">
        <v>33</v>
      </c>
      <c r="I2077" s="16">
        <v>4.664000000000001</v>
      </c>
      <c r="J2077" s="11" t="s">
        <v>2080</v>
      </c>
      <c r="K2077" s="11" t="s">
        <v>65</v>
      </c>
      <c r="L2077" s="11" t="s">
        <v>48</v>
      </c>
      <c r="M2077" s="11" t="s">
        <v>28</v>
      </c>
      <c r="N2077" s="11" t="s">
        <v>56</v>
      </c>
      <c r="O2077" s="11" t="s">
        <v>95</v>
      </c>
      <c r="P2077" s="11" t="s">
        <v>58</v>
      </c>
      <c r="Q2077" s="20">
        <v>40165.0</v>
      </c>
      <c r="R2077" s="17">
        <f t="shared" si="2"/>
        <v>8.687441416</v>
      </c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>
        <f t="shared" si="8"/>
        <v>4</v>
      </c>
      <c r="AF2077" s="19">
        <f t="shared" si="13"/>
        <v>5</v>
      </c>
      <c r="AG2077" s="9"/>
      <c r="AH2077" s="9"/>
      <c r="AI2077" s="9"/>
    </row>
    <row r="2078" ht="15.0" customHeight="1">
      <c r="A2078" s="11">
        <v>2077.0</v>
      </c>
      <c r="B2078" s="12">
        <f t="shared" si="331"/>
        <v>40163</v>
      </c>
      <c r="C2078" s="13">
        <v>2009.0</v>
      </c>
      <c r="D2078" s="11" t="s">
        <v>102</v>
      </c>
      <c r="E2078" s="11">
        <v>25.0</v>
      </c>
      <c r="F2078" s="21" t="s">
        <v>1557</v>
      </c>
      <c r="G2078" s="15">
        <v>0.05906785923604203</v>
      </c>
      <c r="H2078" s="11" t="s">
        <v>45</v>
      </c>
      <c r="I2078" s="16">
        <v>35.0</v>
      </c>
      <c r="J2078" s="11" t="s">
        <v>662</v>
      </c>
      <c r="K2078" s="11" t="s">
        <v>61</v>
      </c>
      <c r="L2078" s="11" t="s">
        <v>41</v>
      </c>
      <c r="M2078" s="11" t="s">
        <v>49</v>
      </c>
      <c r="N2078" s="11" t="s">
        <v>85</v>
      </c>
      <c r="O2078" s="11" t="s">
        <v>1558</v>
      </c>
      <c r="P2078" s="11" t="s">
        <v>87</v>
      </c>
      <c r="Q2078" s="20">
        <v>40165.0</v>
      </c>
      <c r="R2078" s="17">
        <f t="shared" si="2"/>
        <v>218.1080702</v>
      </c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>
        <f t="shared" si="8"/>
        <v>3</v>
      </c>
      <c r="AF2078" s="19">
        <f t="shared" si="13"/>
        <v>4</v>
      </c>
      <c r="AG2078" s="9"/>
      <c r="AH2078" s="9"/>
      <c r="AI2078" s="9"/>
    </row>
    <row r="2079" ht="15.0" customHeight="1">
      <c r="A2079" s="11">
        <v>2078.0</v>
      </c>
      <c r="B2079" s="12">
        <f t="shared" si="331"/>
        <v>40163</v>
      </c>
      <c r="C2079" s="13">
        <v>2009.0</v>
      </c>
      <c r="D2079" s="11" t="s">
        <v>39</v>
      </c>
      <c r="E2079" s="11">
        <v>15.0</v>
      </c>
      <c r="F2079" s="21" t="s">
        <v>394</v>
      </c>
      <c r="G2079" s="15">
        <v>0.02721897231134059</v>
      </c>
      <c r="H2079" s="11" t="s">
        <v>45</v>
      </c>
      <c r="I2079" s="16">
        <v>28.872000000000003</v>
      </c>
      <c r="J2079" s="11" t="s">
        <v>759</v>
      </c>
      <c r="K2079" s="11" t="s">
        <v>61</v>
      </c>
      <c r="L2079" s="11" t="s">
        <v>41</v>
      </c>
      <c r="M2079" s="11" t="s">
        <v>49</v>
      </c>
      <c r="N2079" s="11" t="s">
        <v>156</v>
      </c>
      <c r="O2079" s="11" t="s">
        <v>1194</v>
      </c>
      <c r="P2079" s="11" t="s">
        <v>87</v>
      </c>
      <c r="Q2079" s="20">
        <v>40166.0</v>
      </c>
      <c r="R2079" s="17">
        <f t="shared" si="2"/>
        <v>58.31316415</v>
      </c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>
        <f t="shared" si="8"/>
        <v>3</v>
      </c>
      <c r="AF2079" s="19">
        <f t="shared" si="13"/>
        <v>4</v>
      </c>
      <c r="AG2079" s="9"/>
      <c r="AH2079" s="9"/>
      <c r="AI2079" s="9"/>
    </row>
    <row r="2080" ht="15.0" customHeight="1">
      <c r="A2080" s="11">
        <v>2079.0</v>
      </c>
      <c r="B2080" s="12">
        <f t="shared" si="331"/>
        <v>40163</v>
      </c>
      <c r="C2080" s="13">
        <v>2009.0</v>
      </c>
      <c r="D2080" s="11" t="s">
        <v>44</v>
      </c>
      <c r="E2080" s="11">
        <v>29.0</v>
      </c>
      <c r="F2080" s="21" t="s">
        <v>1379</v>
      </c>
      <c r="G2080" s="15">
        <v>0.014273603082851595</v>
      </c>
      <c r="H2080" s="11" t="s">
        <v>33</v>
      </c>
      <c r="I2080" s="16">
        <v>4.688000000000001</v>
      </c>
      <c r="J2080" s="11" t="s">
        <v>2081</v>
      </c>
      <c r="K2080" s="11" t="s">
        <v>117</v>
      </c>
      <c r="L2080" s="11" t="s">
        <v>36</v>
      </c>
      <c r="M2080" s="11" t="s">
        <v>28</v>
      </c>
      <c r="N2080" s="11" t="s">
        <v>56</v>
      </c>
      <c r="O2080" s="11" t="s">
        <v>2082</v>
      </c>
      <c r="P2080" s="11" t="s">
        <v>38</v>
      </c>
      <c r="Q2080" s="20">
        <v>40166.0</v>
      </c>
      <c r="R2080" s="17">
        <f t="shared" si="2"/>
        <v>10.95339172</v>
      </c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>
        <f t="shared" si="8"/>
        <v>2</v>
      </c>
      <c r="AF2080" s="19" t="b">
        <f t="shared" si="13"/>
        <v>0</v>
      </c>
      <c r="AG2080" s="9"/>
      <c r="AH2080" s="9"/>
      <c r="AI2080" s="9"/>
    </row>
    <row r="2081" ht="15.0" customHeight="1">
      <c r="A2081" s="11">
        <v>2080.0</v>
      </c>
      <c r="B2081" s="12">
        <f t="shared" ref="B2081:B2083" si="332">DATE(2012,12,31)-1110</f>
        <v>40164</v>
      </c>
      <c r="C2081" s="13">
        <v>2009.0</v>
      </c>
      <c r="D2081" s="11" t="s">
        <v>23</v>
      </c>
      <c r="E2081" s="11">
        <v>13.0</v>
      </c>
      <c r="F2081" s="21" t="s">
        <v>2083</v>
      </c>
      <c r="G2081" s="15">
        <v>0.0912518257582269</v>
      </c>
      <c r="H2081" s="11" t="s">
        <v>33</v>
      </c>
      <c r="I2081" s="16">
        <v>0.792</v>
      </c>
      <c r="J2081" s="11" t="s">
        <v>2084</v>
      </c>
      <c r="K2081" s="11" t="s">
        <v>61</v>
      </c>
      <c r="L2081" s="11" t="s">
        <v>48</v>
      </c>
      <c r="M2081" s="11" t="s">
        <v>28</v>
      </c>
      <c r="N2081" s="11" t="s">
        <v>197</v>
      </c>
      <c r="O2081" s="11" t="s">
        <v>2085</v>
      </c>
      <c r="P2081" s="11" t="s">
        <v>38</v>
      </c>
      <c r="Q2081" s="20">
        <v>40166.0</v>
      </c>
      <c r="R2081" s="17">
        <f t="shared" si="2"/>
        <v>96.51632609</v>
      </c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>
        <f t="shared" si="8"/>
        <v>4</v>
      </c>
      <c r="AF2081" s="19">
        <f t="shared" si="13"/>
        <v>4</v>
      </c>
      <c r="AG2081" s="9"/>
      <c r="AH2081" s="9"/>
      <c r="AI2081" s="9"/>
    </row>
    <row r="2082" ht="15.0" customHeight="1">
      <c r="A2082" s="11">
        <v>2081.0</v>
      </c>
      <c r="B2082" s="12">
        <f t="shared" si="332"/>
        <v>40164</v>
      </c>
      <c r="C2082" s="13">
        <v>2009.0</v>
      </c>
      <c r="D2082" s="11" t="s">
        <v>102</v>
      </c>
      <c r="E2082" s="11">
        <v>27.0</v>
      </c>
      <c r="F2082" s="21" t="s">
        <v>210</v>
      </c>
      <c r="G2082" s="15">
        <v>0.0882427307206067</v>
      </c>
      <c r="H2082" s="11" t="s">
        <v>33</v>
      </c>
      <c r="I2082" s="16">
        <v>1.92</v>
      </c>
      <c r="J2082" s="11" t="s">
        <v>756</v>
      </c>
      <c r="K2082" s="11" t="s">
        <v>65</v>
      </c>
      <c r="L2082" s="11" t="s">
        <v>27</v>
      </c>
      <c r="M2082" s="11" t="s">
        <v>28</v>
      </c>
      <c r="N2082" s="11" t="s">
        <v>62</v>
      </c>
      <c r="O2082" s="11" t="s">
        <v>212</v>
      </c>
      <c r="P2082" s="11" t="s">
        <v>58</v>
      </c>
      <c r="Q2082" s="20">
        <v>40166.0</v>
      </c>
      <c r="R2082" s="17">
        <f t="shared" si="2"/>
        <v>6.36406574</v>
      </c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>
        <f t="shared" si="8"/>
        <v>1</v>
      </c>
      <c r="AF2082" s="19">
        <f t="shared" si="13"/>
        <v>5</v>
      </c>
      <c r="AG2082" s="9"/>
      <c r="AH2082" s="9"/>
      <c r="AI2082" s="9"/>
    </row>
    <row r="2083" ht="15.0" customHeight="1">
      <c r="A2083" s="11">
        <v>2082.0</v>
      </c>
      <c r="B2083" s="12">
        <f t="shared" si="332"/>
        <v>40164</v>
      </c>
      <c r="C2083" s="13">
        <v>2009.0</v>
      </c>
      <c r="D2083" s="11" t="s">
        <v>32</v>
      </c>
      <c r="E2083" s="11">
        <v>23.0</v>
      </c>
      <c r="F2083" s="21" t="s">
        <v>277</v>
      </c>
      <c r="G2083" s="15">
        <v>0.13900452488687778</v>
      </c>
      <c r="H2083" s="11" t="s">
        <v>33</v>
      </c>
      <c r="I2083" s="16">
        <v>1.2560000000000002</v>
      </c>
      <c r="J2083" s="11" t="s">
        <v>1345</v>
      </c>
      <c r="K2083" s="11" t="s">
        <v>83</v>
      </c>
      <c r="L2083" s="11" t="s">
        <v>48</v>
      </c>
      <c r="M2083" s="11" t="s">
        <v>28</v>
      </c>
      <c r="N2083" s="11" t="s">
        <v>62</v>
      </c>
      <c r="O2083" s="11" t="s">
        <v>355</v>
      </c>
      <c r="P2083" s="11" t="s">
        <v>58</v>
      </c>
      <c r="Q2083" s="20">
        <v>40166.0</v>
      </c>
      <c r="R2083" s="17">
        <f t="shared" si="2"/>
        <v>5.289956199</v>
      </c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>
        <f t="shared" si="8"/>
        <v>4</v>
      </c>
      <c r="AF2083" s="19" t="b">
        <f t="shared" si="13"/>
        <v>0</v>
      </c>
      <c r="AG2083" s="9"/>
      <c r="AH2083" s="9"/>
      <c r="AI2083" s="9"/>
    </row>
    <row r="2084" ht="15.0" customHeight="1">
      <c r="A2084" s="11">
        <v>2083.0</v>
      </c>
      <c r="B2084" s="12">
        <f t="shared" ref="B2084:B2090" si="333">DATE(2012,12,31)-1109</f>
        <v>40165</v>
      </c>
      <c r="C2084" s="13">
        <v>2009.0</v>
      </c>
      <c r="D2084" s="11" t="s">
        <v>102</v>
      </c>
      <c r="E2084" s="11">
        <v>30.0</v>
      </c>
      <c r="F2084" s="21" t="s">
        <v>1710</v>
      </c>
      <c r="G2084" s="15">
        <v>0.07725834454089739</v>
      </c>
      <c r="H2084" s="11" t="s">
        <v>45</v>
      </c>
      <c r="I2084" s="16">
        <v>41.552</v>
      </c>
      <c r="J2084" s="11" t="s">
        <v>488</v>
      </c>
      <c r="K2084" s="11" t="s">
        <v>61</v>
      </c>
      <c r="L2084" s="11" t="s">
        <v>48</v>
      </c>
      <c r="M2084" s="11" t="s">
        <v>49</v>
      </c>
      <c r="N2084" s="11" t="s">
        <v>85</v>
      </c>
      <c r="O2084" s="11" t="s">
        <v>1711</v>
      </c>
      <c r="P2084" s="11" t="s">
        <v>87</v>
      </c>
      <c r="Q2084" s="20">
        <v>40166.0</v>
      </c>
      <c r="R2084" s="17">
        <f t="shared" si="2"/>
        <v>291.5383806</v>
      </c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>
        <f t="shared" si="8"/>
        <v>4</v>
      </c>
      <c r="AF2084" s="19">
        <f t="shared" si="13"/>
        <v>4</v>
      </c>
      <c r="AG2084" s="9"/>
      <c r="AH2084" s="9"/>
      <c r="AI2084" s="9"/>
    </row>
    <row r="2085" ht="15.0" customHeight="1">
      <c r="A2085" s="11">
        <v>2084.0</v>
      </c>
      <c r="B2085" s="12">
        <f t="shared" si="333"/>
        <v>40165</v>
      </c>
      <c r="C2085" s="13">
        <v>2009.0</v>
      </c>
      <c r="D2085" s="11" t="s">
        <v>44</v>
      </c>
      <c r="E2085" s="11">
        <v>19.0</v>
      </c>
      <c r="F2085" s="21" t="s">
        <v>610</v>
      </c>
      <c r="G2085" s="15">
        <v>0.08598203826630237</v>
      </c>
      <c r="H2085" s="11" t="s">
        <v>33</v>
      </c>
      <c r="I2085" s="16">
        <v>2.2800000000000002</v>
      </c>
      <c r="J2085" s="11" t="s">
        <v>2086</v>
      </c>
      <c r="K2085" s="11" t="s">
        <v>83</v>
      </c>
      <c r="L2085" s="11" t="s">
        <v>41</v>
      </c>
      <c r="M2085" s="11" t="s">
        <v>49</v>
      </c>
      <c r="N2085" s="11" t="s">
        <v>73</v>
      </c>
      <c r="O2085" s="11" t="s">
        <v>612</v>
      </c>
      <c r="P2085" s="11" t="s">
        <v>99</v>
      </c>
      <c r="Q2085" s="20">
        <v>40167.0</v>
      </c>
      <c r="R2085" s="17">
        <f t="shared" si="2"/>
        <v>20.12667552</v>
      </c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>
        <f t="shared" si="8"/>
        <v>3</v>
      </c>
      <c r="AF2085" s="19" t="b">
        <f t="shared" si="13"/>
        <v>0</v>
      </c>
      <c r="AG2085" s="9"/>
      <c r="AH2085" s="9"/>
      <c r="AI2085" s="9"/>
    </row>
    <row r="2086" ht="15.0" customHeight="1">
      <c r="A2086" s="11">
        <v>2085.0</v>
      </c>
      <c r="B2086" s="12">
        <f t="shared" si="333"/>
        <v>40165</v>
      </c>
      <c r="C2086" s="13">
        <v>2009.0</v>
      </c>
      <c r="D2086" s="11" t="s">
        <v>44</v>
      </c>
      <c r="E2086" s="11">
        <v>46.0</v>
      </c>
      <c r="F2086" s="21" t="s">
        <v>473</v>
      </c>
      <c r="G2086" s="15">
        <v>0.09307946529867314</v>
      </c>
      <c r="H2086" s="11" t="s">
        <v>33</v>
      </c>
      <c r="I2086" s="16">
        <v>3.2</v>
      </c>
      <c r="J2086" s="11" t="s">
        <v>320</v>
      </c>
      <c r="K2086" s="11" t="s">
        <v>65</v>
      </c>
      <c r="L2086" s="11" t="s">
        <v>36</v>
      </c>
      <c r="M2086" s="11" t="s">
        <v>66</v>
      </c>
      <c r="N2086" s="11" t="s">
        <v>67</v>
      </c>
      <c r="O2086" s="11" t="s">
        <v>1019</v>
      </c>
      <c r="P2086" s="11" t="s">
        <v>38</v>
      </c>
      <c r="Q2086" s="20">
        <v>40167.0</v>
      </c>
      <c r="R2086" s="17">
        <f t="shared" si="2"/>
        <v>171.1359049</v>
      </c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>
        <f t="shared" si="8"/>
        <v>2</v>
      </c>
      <c r="AF2086" s="19">
        <f t="shared" si="13"/>
        <v>5</v>
      </c>
      <c r="AG2086" s="9"/>
      <c r="AH2086" s="9"/>
      <c r="AI2086" s="9"/>
    </row>
    <row r="2087" ht="15.0" customHeight="1">
      <c r="A2087" s="11">
        <v>2086.0</v>
      </c>
      <c r="B2087" s="12">
        <f t="shared" si="333"/>
        <v>40165</v>
      </c>
      <c r="C2087" s="13">
        <v>2009.0</v>
      </c>
      <c r="D2087" s="11" t="s">
        <v>39</v>
      </c>
      <c r="E2087" s="11">
        <v>8.0</v>
      </c>
      <c r="F2087" s="21" t="s">
        <v>183</v>
      </c>
      <c r="G2087" s="15">
        <v>0.04886943836615601</v>
      </c>
      <c r="H2087" s="11" t="s">
        <v>33</v>
      </c>
      <c r="I2087" s="16">
        <v>3.2</v>
      </c>
      <c r="J2087" s="11" t="s">
        <v>659</v>
      </c>
      <c r="K2087" s="11" t="s">
        <v>26</v>
      </c>
      <c r="L2087" s="11" t="s">
        <v>48</v>
      </c>
      <c r="M2087" s="11" t="s">
        <v>66</v>
      </c>
      <c r="N2087" s="11" t="s">
        <v>67</v>
      </c>
      <c r="O2087" s="11" t="s">
        <v>941</v>
      </c>
      <c r="P2087" s="11" t="s">
        <v>38</v>
      </c>
      <c r="Q2087" s="20">
        <v>40168.0</v>
      </c>
      <c r="R2087" s="17">
        <f t="shared" si="2"/>
        <v>6.372574763</v>
      </c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>
        <f t="shared" si="8"/>
        <v>4</v>
      </c>
      <c r="AF2087" s="19">
        <f t="shared" si="13"/>
        <v>1</v>
      </c>
      <c r="AG2087" s="9"/>
      <c r="AH2087" s="9"/>
      <c r="AI2087" s="9"/>
    </row>
    <row r="2088" ht="15.0" customHeight="1">
      <c r="A2088" s="11">
        <v>2087.0</v>
      </c>
      <c r="B2088" s="12">
        <f t="shared" si="333"/>
        <v>40165</v>
      </c>
      <c r="C2088" s="13">
        <v>2009.0</v>
      </c>
      <c r="D2088" s="11" t="s">
        <v>39</v>
      </c>
      <c r="E2088" s="11">
        <v>44.0</v>
      </c>
      <c r="F2088" s="21" t="s">
        <v>350</v>
      </c>
      <c r="G2088" s="15">
        <v>0.05921942110177402</v>
      </c>
      <c r="H2088" s="11" t="s">
        <v>33</v>
      </c>
      <c r="I2088" s="16">
        <v>4.376</v>
      </c>
      <c r="J2088" s="11" t="s">
        <v>659</v>
      </c>
      <c r="K2088" s="11" t="s">
        <v>26</v>
      </c>
      <c r="L2088" s="11" t="s">
        <v>48</v>
      </c>
      <c r="M2088" s="11" t="s">
        <v>28</v>
      </c>
      <c r="N2088" s="11" t="s">
        <v>56</v>
      </c>
      <c r="O2088" s="11" t="s">
        <v>2087</v>
      </c>
      <c r="P2088" s="11" t="s">
        <v>38</v>
      </c>
      <c r="Q2088" s="20">
        <v>40168.0</v>
      </c>
      <c r="R2088" s="17">
        <f t="shared" si="2"/>
        <v>59.66806744</v>
      </c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>
        <f t="shared" si="8"/>
        <v>4</v>
      </c>
      <c r="AF2088" s="19">
        <f t="shared" si="13"/>
        <v>1</v>
      </c>
      <c r="AG2088" s="9"/>
      <c r="AH2088" s="9"/>
      <c r="AI2088" s="9"/>
    </row>
    <row r="2089" ht="15.0" customHeight="1">
      <c r="A2089" s="11">
        <v>2088.0</v>
      </c>
      <c r="B2089" s="12">
        <f t="shared" si="333"/>
        <v>40165</v>
      </c>
      <c r="C2089" s="13">
        <v>2009.0</v>
      </c>
      <c r="D2089" s="11" t="s">
        <v>44</v>
      </c>
      <c r="E2089" s="11">
        <v>15.0</v>
      </c>
      <c r="F2089" s="21" t="s">
        <v>130</v>
      </c>
      <c r="G2089" s="15">
        <v>0.08742211838006236</v>
      </c>
      <c r="H2089" s="11" t="s">
        <v>24</v>
      </c>
      <c r="I2089" s="16">
        <v>5.2</v>
      </c>
      <c r="J2089" s="11" t="s">
        <v>1906</v>
      </c>
      <c r="K2089" s="11" t="s">
        <v>61</v>
      </c>
      <c r="L2089" s="11" t="s">
        <v>41</v>
      </c>
      <c r="M2089" s="11" t="s">
        <v>66</v>
      </c>
      <c r="N2089" s="11" t="s">
        <v>67</v>
      </c>
      <c r="O2089" s="11" t="s">
        <v>1305</v>
      </c>
      <c r="P2089" s="11" t="s">
        <v>38</v>
      </c>
      <c r="Q2089" s="20">
        <v>40168.0</v>
      </c>
      <c r="R2089" s="17">
        <f t="shared" si="2"/>
        <v>40.97474688</v>
      </c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>
        <f t="shared" si="8"/>
        <v>3</v>
      </c>
      <c r="AF2089" s="19">
        <f t="shared" si="13"/>
        <v>4</v>
      </c>
      <c r="AG2089" s="9"/>
      <c r="AH2089" s="9"/>
      <c r="AI2089" s="9"/>
    </row>
    <row r="2090" ht="15.0" customHeight="1">
      <c r="A2090" s="11">
        <v>2089.0</v>
      </c>
      <c r="B2090" s="12">
        <f t="shared" si="333"/>
        <v>40165</v>
      </c>
      <c r="C2090" s="13">
        <v>2009.0</v>
      </c>
      <c r="D2090" s="11" t="s">
        <v>44</v>
      </c>
      <c r="E2090" s="11">
        <v>12.0</v>
      </c>
      <c r="F2090" s="21" t="s">
        <v>287</v>
      </c>
      <c r="G2090" s="15">
        <v>0.09192854348676475</v>
      </c>
      <c r="H2090" s="11" t="s">
        <v>33</v>
      </c>
      <c r="I2090" s="16">
        <v>2.0</v>
      </c>
      <c r="J2090" s="11" t="s">
        <v>1572</v>
      </c>
      <c r="K2090" s="11" t="s">
        <v>83</v>
      </c>
      <c r="L2090" s="11" t="s">
        <v>27</v>
      </c>
      <c r="M2090" s="11" t="s">
        <v>66</v>
      </c>
      <c r="N2090" s="11" t="s">
        <v>80</v>
      </c>
      <c r="O2090" s="11" t="s">
        <v>2088</v>
      </c>
      <c r="P2090" s="11" t="s">
        <v>38</v>
      </c>
      <c r="Q2090" s="20">
        <v>40168.0</v>
      </c>
      <c r="R2090" s="17">
        <f t="shared" si="2"/>
        <v>128.0380754</v>
      </c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>
        <f t="shared" si="8"/>
        <v>1</v>
      </c>
      <c r="AF2090" s="19" t="b">
        <f t="shared" si="13"/>
        <v>0</v>
      </c>
      <c r="AG2090" s="9"/>
      <c r="AH2090" s="9"/>
      <c r="AI2090" s="9"/>
    </row>
    <row r="2091" ht="15.0" customHeight="1">
      <c r="A2091" s="11">
        <v>2090.0</v>
      </c>
      <c r="B2091" s="12">
        <f t="shared" ref="B2091:B2098" si="334">DATE(2012,12,31)-1108</f>
        <v>40166</v>
      </c>
      <c r="C2091" s="13">
        <v>2009.0</v>
      </c>
      <c r="D2091" s="11" t="s">
        <v>32</v>
      </c>
      <c r="E2091" s="11">
        <v>30.0</v>
      </c>
      <c r="F2091" s="21" t="s">
        <v>2089</v>
      </c>
      <c r="G2091" s="15">
        <v>0.09154152452200988</v>
      </c>
      <c r="H2091" s="11" t="s">
        <v>45</v>
      </c>
      <c r="I2091" s="16">
        <v>36.56</v>
      </c>
      <c r="J2091" s="11" t="s">
        <v>1370</v>
      </c>
      <c r="K2091" s="11" t="s">
        <v>83</v>
      </c>
      <c r="L2091" s="11" t="s">
        <v>48</v>
      </c>
      <c r="M2091" s="11" t="s">
        <v>49</v>
      </c>
      <c r="N2091" s="11" t="s">
        <v>85</v>
      </c>
      <c r="O2091" s="11" t="s">
        <v>2090</v>
      </c>
      <c r="P2091" s="11" t="s">
        <v>87</v>
      </c>
      <c r="Q2091" s="20">
        <v>40168.0</v>
      </c>
      <c r="R2091" s="17">
        <f t="shared" si="2"/>
        <v>1516.253534</v>
      </c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>
        <f t="shared" si="8"/>
        <v>4</v>
      </c>
      <c r="AF2091" s="19" t="b">
        <f t="shared" si="13"/>
        <v>0</v>
      </c>
      <c r="AG2091" s="9"/>
      <c r="AH2091" s="9"/>
      <c r="AI2091" s="9"/>
    </row>
    <row r="2092" ht="15.0" customHeight="1">
      <c r="A2092" s="11">
        <v>2091.0</v>
      </c>
      <c r="B2092" s="12">
        <f t="shared" si="334"/>
        <v>40166</v>
      </c>
      <c r="C2092" s="13">
        <v>2009.0</v>
      </c>
      <c r="D2092" s="11" t="s">
        <v>39</v>
      </c>
      <c r="E2092" s="11">
        <v>38.0</v>
      </c>
      <c r="F2092" s="21" t="s">
        <v>694</v>
      </c>
      <c r="G2092" s="15">
        <v>0.040650323241374776</v>
      </c>
      <c r="H2092" s="11" t="s">
        <v>33</v>
      </c>
      <c r="I2092" s="16">
        <v>1.592</v>
      </c>
      <c r="J2092" s="11" t="s">
        <v>353</v>
      </c>
      <c r="K2092" s="11" t="s">
        <v>83</v>
      </c>
      <c r="L2092" s="11" t="s">
        <v>41</v>
      </c>
      <c r="M2092" s="11" t="s">
        <v>66</v>
      </c>
      <c r="N2092" s="11" t="s">
        <v>67</v>
      </c>
      <c r="O2092" s="11" t="s">
        <v>695</v>
      </c>
      <c r="P2092" s="11" t="s">
        <v>99</v>
      </c>
      <c r="Q2092" s="20">
        <v>40168.0</v>
      </c>
      <c r="R2092" s="17">
        <f t="shared" si="2"/>
        <v>60.92637927</v>
      </c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>
        <f t="shared" si="8"/>
        <v>3</v>
      </c>
      <c r="AF2092" s="19" t="b">
        <f t="shared" si="13"/>
        <v>0</v>
      </c>
      <c r="AG2092" s="9"/>
      <c r="AH2092" s="9"/>
      <c r="AI2092" s="9"/>
    </row>
    <row r="2093" ht="15.0" customHeight="1">
      <c r="A2093" s="11">
        <v>2092.0</v>
      </c>
      <c r="B2093" s="12">
        <f t="shared" si="334"/>
        <v>40166</v>
      </c>
      <c r="C2093" s="13">
        <v>2009.0</v>
      </c>
      <c r="D2093" s="11" t="s">
        <v>39</v>
      </c>
      <c r="E2093" s="11">
        <v>39.0</v>
      </c>
      <c r="F2093" s="21" t="s">
        <v>705</v>
      </c>
      <c r="G2093" s="15">
        <v>0.04029004614370446</v>
      </c>
      <c r="H2093" s="11" t="s">
        <v>33</v>
      </c>
      <c r="I2093" s="16">
        <v>1.2880000000000003</v>
      </c>
      <c r="J2093" s="11" t="s">
        <v>353</v>
      </c>
      <c r="K2093" s="11" t="s">
        <v>83</v>
      </c>
      <c r="L2093" s="11" t="s">
        <v>41</v>
      </c>
      <c r="M2093" s="11" t="s">
        <v>49</v>
      </c>
      <c r="N2093" s="11" t="s">
        <v>73</v>
      </c>
      <c r="O2093" s="11" t="s">
        <v>2091</v>
      </c>
      <c r="P2093" s="11" t="s">
        <v>58</v>
      </c>
      <c r="Q2093" s="20">
        <v>40168.0</v>
      </c>
      <c r="R2093" s="17">
        <f t="shared" si="2"/>
        <v>5.865747238</v>
      </c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>
        <f t="shared" si="8"/>
        <v>3</v>
      </c>
      <c r="AF2093" s="19" t="b">
        <f t="shared" si="13"/>
        <v>0</v>
      </c>
      <c r="AG2093" s="9"/>
      <c r="AH2093" s="9"/>
      <c r="AI2093" s="9"/>
    </row>
    <row r="2094" ht="15.0" customHeight="1">
      <c r="A2094" s="11">
        <v>2093.0</v>
      </c>
      <c r="B2094" s="12">
        <f t="shared" si="334"/>
        <v>40166</v>
      </c>
      <c r="C2094" s="13">
        <v>2009.0</v>
      </c>
      <c r="D2094" s="11" t="s">
        <v>23</v>
      </c>
      <c r="E2094" s="11">
        <v>15.0</v>
      </c>
      <c r="F2094" s="21" t="s">
        <v>126</v>
      </c>
      <c r="G2094" s="15">
        <v>0.08100000000000003</v>
      </c>
      <c r="H2094" s="11" t="s">
        <v>24</v>
      </c>
      <c r="I2094" s="16">
        <v>3.696</v>
      </c>
      <c r="J2094" s="11" t="s">
        <v>887</v>
      </c>
      <c r="K2094" s="11" t="s">
        <v>61</v>
      </c>
      <c r="L2094" s="11" t="s">
        <v>36</v>
      </c>
      <c r="M2094" s="11" t="s">
        <v>66</v>
      </c>
      <c r="N2094" s="11" t="s">
        <v>67</v>
      </c>
      <c r="O2094" s="11" t="s">
        <v>675</v>
      </c>
      <c r="P2094" s="11" t="s">
        <v>99</v>
      </c>
      <c r="Q2094" s="20">
        <v>40169.0</v>
      </c>
      <c r="R2094" s="17">
        <f t="shared" si="2"/>
        <v>6.252876</v>
      </c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>
        <f t="shared" si="8"/>
        <v>2</v>
      </c>
      <c r="AF2094" s="19">
        <f t="shared" si="13"/>
        <v>4</v>
      </c>
      <c r="AG2094" s="9"/>
      <c r="AH2094" s="9"/>
      <c r="AI2094" s="9"/>
    </row>
    <row r="2095" ht="15.0" customHeight="1">
      <c r="A2095" s="11">
        <v>2094.0</v>
      </c>
      <c r="B2095" s="12">
        <f t="shared" si="334"/>
        <v>40166</v>
      </c>
      <c r="C2095" s="13">
        <v>2009.0</v>
      </c>
      <c r="D2095" s="11" t="s">
        <v>32</v>
      </c>
      <c r="E2095" s="11">
        <v>42.0</v>
      </c>
      <c r="F2095" s="21" t="s">
        <v>270</v>
      </c>
      <c r="G2095" s="15">
        <v>0.08501938293239866</v>
      </c>
      <c r="H2095" s="11" t="s">
        <v>33</v>
      </c>
      <c r="I2095" s="16">
        <v>5.2</v>
      </c>
      <c r="J2095" s="11" t="s">
        <v>1906</v>
      </c>
      <c r="K2095" s="11" t="s">
        <v>61</v>
      </c>
      <c r="L2095" s="11" t="s">
        <v>41</v>
      </c>
      <c r="M2095" s="11" t="s">
        <v>66</v>
      </c>
      <c r="N2095" s="11" t="s">
        <v>67</v>
      </c>
      <c r="O2095" s="11" t="s">
        <v>272</v>
      </c>
      <c r="P2095" s="11" t="s">
        <v>38</v>
      </c>
      <c r="Q2095" s="20">
        <v>40169.0</v>
      </c>
      <c r="R2095" s="17">
        <f t="shared" si="2"/>
        <v>146.4883968</v>
      </c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>
        <f t="shared" si="8"/>
        <v>3</v>
      </c>
      <c r="AF2095" s="19">
        <f t="shared" si="13"/>
        <v>4</v>
      </c>
      <c r="AG2095" s="9"/>
      <c r="AH2095" s="9"/>
      <c r="AI2095" s="9"/>
    </row>
    <row r="2096" ht="15.0" customHeight="1">
      <c r="A2096" s="11">
        <v>2095.0</v>
      </c>
      <c r="B2096" s="12">
        <f t="shared" si="334"/>
        <v>40166</v>
      </c>
      <c r="C2096" s="13">
        <v>2009.0</v>
      </c>
      <c r="D2096" s="11" t="s">
        <v>32</v>
      </c>
      <c r="E2096" s="11">
        <v>4.0</v>
      </c>
      <c r="F2096" s="21" t="s">
        <v>322</v>
      </c>
      <c r="G2096" s="15">
        <v>0.06748815165876791</v>
      </c>
      <c r="H2096" s="11" t="s">
        <v>33</v>
      </c>
      <c r="I2096" s="16">
        <v>4.952000000000001</v>
      </c>
      <c r="J2096" s="11" t="s">
        <v>1906</v>
      </c>
      <c r="K2096" s="11" t="s">
        <v>61</v>
      </c>
      <c r="L2096" s="11" t="s">
        <v>41</v>
      </c>
      <c r="M2096" s="11" t="s">
        <v>28</v>
      </c>
      <c r="N2096" s="11" t="s">
        <v>42</v>
      </c>
      <c r="O2096" s="11" t="s">
        <v>324</v>
      </c>
      <c r="P2096" s="11" t="s">
        <v>38</v>
      </c>
      <c r="Q2096" s="20">
        <v>40169.0</v>
      </c>
      <c r="R2096" s="17">
        <f t="shared" si="2"/>
        <v>2.655793744</v>
      </c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>
        <f t="shared" si="8"/>
        <v>3</v>
      </c>
      <c r="AF2096" s="19">
        <f t="shared" si="13"/>
        <v>4</v>
      </c>
      <c r="AG2096" s="9"/>
      <c r="AH2096" s="9"/>
      <c r="AI2096" s="9"/>
    </row>
    <row r="2097" ht="15.0" customHeight="1">
      <c r="A2097" s="11">
        <v>2096.0</v>
      </c>
      <c r="B2097" s="12">
        <f t="shared" si="334"/>
        <v>40166</v>
      </c>
      <c r="C2097" s="13">
        <v>2009.0</v>
      </c>
      <c r="D2097" s="11" t="s">
        <v>23</v>
      </c>
      <c r="E2097" s="11">
        <v>48.0</v>
      </c>
      <c r="F2097" s="21" t="s">
        <v>702</v>
      </c>
      <c r="G2097" s="15">
        <v>0.0674598677998112</v>
      </c>
      <c r="H2097" s="11" t="s">
        <v>24</v>
      </c>
      <c r="I2097" s="16">
        <v>5.5120000000000005</v>
      </c>
      <c r="J2097" s="11" t="s">
        <v>337</v>
      </c>
      <c r="K2097" s="11" t="s">
        <v>117</v>
      </c>
      <c r="L2097" s="11" t="s">
        <v>48</v>
      </c>
      <c r="M2097" s="11" t="s">
        <v>28</v>
      </c>
      <c r="N2097" s="11" t="s">
        <v>197</v>
      </c>
      <c r="O2097" s="11" t="s">
        <v>704</v>
      </c>
      <c r="P2097" s="11" t="s">
        <v>38</v>
      </c>
      <c r="Q2097" s="20">
        <v>40169.0</v>
      </c>
      <c r="R2097" s="17">
        <f t="shared" si="2"/>
        <v>13.32413341</v>
      </c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>
        <f t="shared" si="8"/>
        <v>4</v>
      </c>
      <c r="AF2097" s="19" t="b">
        <f t="shared" si="13"/>
        <v>0</v>
      </c>
      <c r="AG2097" s="9"/>
      <c r="AH2097" s="9"/>
      <c r="AI2097" s="9"/>
    </row>
    <row r="2098" ht="15.0" customHeight="1">
      <c r="A2098" s="11">
        <v>2097.0</v>
      </c>
      <c r="B2098" s="12">
        <f t="shared" si="334"/>
        <v>40166</v>
      </c>
      <c r="C2098" s="13">
        <v>2009.0</v>
      </c>
      <c r="D2098" s="11" t="s">
        <v>102</v>
      </c>
      <c r="E2098" s="11">
        <v>36.0</v>
      </c>
      <c r="F2098" s="21" t="s">
        <v>115</v>
      </c>
      <c r="G2098" s="15">
        <v>0.09187076884620972</v>
      </c>
      <c r="H2098" s="11" t="s">
        <v>33</v>
      </c>
      <c r="I2098" s="16">
        <v>7.256</v>
      </c>
      <c r="J2098" s="11" t="s">
        <v>2092</v>
      </c>
      <c r="K2098" s="11" t="s">
        <v>83</v>
      </c>
      <c r="L2098" s="11" t="s">
        <v>48</v>
      </c>
      <c r="M2098" s="11" t="s">
        <v>28</v>
      </c>
      <c r="N2098" s="11" t="s">
        <v>42</v>
      </c>
      <c r="O2098" s="11" t="s">
        <v>772</v>
      </c>
      <c r="P2098" s="11" t="s">
        <v>38</v>
      </c>
      <c r="Q2098" s="20">
        <v>40169.0</v>
      </c>
      <c r="R2098" s="17">
        <f t="shared" si="2"/>
        <v>400.5249486</v>
      </c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>
        <f t="shared" si="8"/>
        <v>4</v>
      </c>
      <c r="AF2098" s="19" t="b">
        <f t="shared" si="13"/>
        <v>0</v>
      </c>
      <c r="AG2098" s="9"/>
      <c r="AH2098" s="9"/>
      <c r="AI2098" s="9"/>
    </row>
    <row r="2099" ht="15.0" customHeight="1">
      <c r="A2099" s="11">
        <v>2098.0</v>
      </c>
      <c r="B2099" s="12">
        <f t="shared" ref="B2099:B2105" si="335">DATE(2012,12,31)-1107</f>
        <v>40167</v>
      </c>
      <c r="C2099" s="13">
        <v>2009.0</v>
      </c>
      <c r="D2099" s="11" t="s">
        <v>32</v>
      </c>
      <c r="E2099" s="11">
        <v>39.0</v>
      </c>
      <c r="F2099" s="21" t="s">
        <v>513</v>
      </c>
      <c r="G2099" s="15">
        <v>0.0840358066672479</v>
      </c>
      <c r="H2099" s="11" t="s">
        <v>45</v>
      </c>
      <c r="I2099" s="16">
        <v>28.016000000000005</v>
      </c>
      <c r="J2099" s="11" t="s">
        <v>1821</v>
      </c>
      <c r="K2099" s="11" t="s">
        <v>35</v>
      </c>
      <c r="L2099" s="11" t="s">
        <v>36</v>
      </c>
      <c r="M2099" s="11" t="s">
        <v>49</v>
      </c>
      <c r="N2099" s="11" t="s">
        <v>156</v>
      </c>
      <c r="O2099" s="11" t="s">
        <v>923</v>
      </c>
      <c r="P2099" s="11" t="s">
        <v>87</v>
      </c>
      <c r="Q2099" s="20">
        <v>40169.0</v>
      </c>
      <c r="R2099" s="17">
        <f t="shared" si="2"/>
        <v>529.6874376</v>
      </c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>
        <f t="shared" si="8"/>
        <v>2</v>
      </c>
      <c r="AF2099" s="19">
        <f t="shared" si="13"/>
        <v>2</v>
      </c>
      <c r="AG2099" s="9"/>
      <c r="AH2099" s="9"/>
      <c r="AI2099" s="9"/>
    </row>
    <row r="2100" ht="15.0" customHeight="1">
      <c r="A2100" s="11">
        <v>2099.0</v>
      </c>
      <c r="B2100" s="12">
        <f t="shared" si="335"/>
        <v>40167</v>
      </c>
      <c r="C2100" s="13">
        <v>2009.0</v>
      </c>
      <c r="D2100" s="11" t="s">
        <v>32</v>
      </c>
      <c r="E2100" s="11">
        <v>47.0</v>
      </c>
      <c r="F2100" s="21" t="s">
        <v>788</v>
      </c>
      <c r="G2100" s="15">
        <v>0.08314762675416215</v>
      </c>
      <c r="H2100" s="11" t="s">
        <v>33</v>
      </c>
      <c r="I2100" s="16">
        <v>3.9920000000000004</v>
      </c>
      <c r="J2100" s="11" t="s">
        <v>1821</v>
      </c>
      <c r="K2100" s="11" t="s">
        <v>35</v>
      </c>
      <c r="L2100" s="11" t="s">
        <v>36</v>
      </c>
      <c r="M2100" s="11" t="s">
        <v>66</v>
      </c>
      <c r="N2100" s="11" t="s">
        <v>80</v>
      </c>
      <c r="O2100" s="11" t="s">
        <v>789</v>
      </c>
      <c r="P2100" s="11" t="s">
        <v>38</v>
      </c>
      <c r="Q2100" s="20">
        <v>40169.0</v>
      </c>
      <c r="R2100" s="17">
        <f t="shared" si="2"/>
        <v>687.7383</v>
      </c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>
        <f t="shared" si="8"/>
        <v>2</v>
      </c>
      <c r="AF2100" s="19">
        <f t="shared" si="13"/>
        <v>2</v>
      </c>
      <c r="AG2100" s="9"/>
      <c r="AH2100" s="9"/>
      <c r="AI2100" s="9"/>
    </row>
    <row r="2101" ht="15.0" customHeight="1">
      <c r="A2101" s="11">
        <v>2100.0</v>
      </c>
      <c r="B2101" s="12">
        <f t="shared" si="335"/>
        <v>40167</v>
      </c>
      <c r="C2101" s="13">
        <v>2009.0</v>
      </c>
      <c r="D2101" s="11" t="s">
        <v>39</v>
      </c>
      <c r="E2101" s="11">
        <v>12.0</v>
      </c>
      <c r="F2101" s="21" t="s">
        <v>2045</v>
      </c>
      <c r="G2101" s="15">
        <v>0.019812639904939623</v>
      </c>
      <c r="H2101" s="11" t="s">
        <v>45</v>
      </c>
      <c r="I2101" s="16">
        <v>11.76</v>
      </c>
      <c r="J2101" s="11" t="s">
        <v>1303</v>
      </c>
      <c r="K2101" s="11" t="s">
        <v>61</v>
      </c>
      <c r="L2101" s="11" t="s">
        <v>41</v>
      </c>
      <c r="M2101" s="11" t="s">
        <v>66</v>
      </c>
      <c r="N2101" s="11" t="s">
        <v>69</v>
      </c>
      <c r="O2101" s="11" t="s">
        <v>2046</v>
      </c>
      <c r="P2101" s="11" t="s">
        <v>52</v>
      </c>
      <c r="Q2101" s="20">
        <v>40169.0</v>
      </c>
      <c r="R2101" s="17">
        <f t="shared" si="2"/>
        <v>323.5990551</v>
      </c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>
        <f t="shared" si="8"/>
        <v>3</v>
      </c>
      <c r="AF2101" s="19">
        <f t="shared" si="13"/>
        <v>4</v>
      </c>
      <c r="AG2101" s="9"/>
      <c r="AH2101" s="9"/>
      <c r="AI2101" s="9"/>
    </row>
    <row r="2102" ht="15.0" customHeight="1">
      <c r="A2102" s="11">
        <v>2101.0</v>
      </c>
      <c r="B2102" s="12">
        <f t="shared" si="335"/>
        <v>40167</v>
      </c>
      <c r="C2102" s="13">
        <v>2009.0</v>
      </c>
      <c r="D2102" s="11" t="s">
        <v>39</v>
      </c>
      <c r="E2102" s="11">
        <v>23.0</v>
      </c>
      <c r="F2102" s="21" t="s">
        <v>853</v>
      </c>
      <c r="G2102" s="15">
        <v>0.05872347677886667</v>
      </c>
      <c r="H2102" s="11" t="s">
        <v>33</v>
      </c>
      <c r="I2102" s="16">
        <v>2.888</v>
      </c>
      <c r="J2102" s="11" t="s">
        <v>219</v>
      </c>
      <c r="K2102" s="11" t="s">
        <v>61</v>
      </c>
      <c r="L2102" s="11" t="s">
        <v>48</v>
      </c>
      <c r="M2102" s="11" t="s">
        <v>66</v>
      </c>
      <c r="N2102" s="11" t="s">
        <v>67</v>
      </c>
      <c r="O2102" s="11" t="s">
        <v>854</v>
      </c>
      <c r="P2102" s="11" t="s">
        <v>99</v>
      </c>
      <c r="Q2102" s="20">
        <v>40170.0</v>
      </c>
      <c r="R2102" s="17">
        <f t="shared" si="2"/>
        <v>64.86524777</v>
      </c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>
        <f t="shared" si="8"/>
        <v>4</v>
      </c>
      <c r="AF2102" s="19">
        <f t="shared" si="13"/>
        <v>4</v>
      </c>
      <c r="AG2102" s="9"/>
      <c r="AH2102" s="9"/>
      <c r="AI2102" s="9"/>
    </row>
    <row r="2103" ht="15.0" customHeight="1">
      <c r="A2103" s="11">
        <v>2102.0</v>
      </c>
      <c r="B2103" s="12">
        <f t="shared" si="335"/>
        <v>40167</v>
      </c>
      <c r="C2103" s="13">
        <v>2009.0</v>
      </c>
      <c r="D2103" s="11" t="s">
        <v>39</v>
      </c>
      <c r="E2103" s="11">
        <v>38.0</v>
      </c>
      <c r="F2103" s="21" t="s">
        <v>1043</v>
      </c>
      <c r="G2103" s="15">
        <v>0.05834036568213789</v>
      </c>
      <c r="H2103" s="11" t="s">
        <v>33</v>
      </c>
      <c r="I2103" s="16">
        <v>7.768000000000001</v>
      </c>
      <c r="J2103" s="11" t="s">
        <v>1877</v>
      </c>
      <c r="K2103" s="11" t="s">
        <v>26</v>
      </c>
      <c r="L2103" s="11" t="s">
        <v>41</v>
      </c>
      <c r="M2103" s="11" t="s">
        <v>28</v>
      </c>
      <c r="N2103" s="11" t="s">
        <v>29</v>
      </c>
      <c r="O2103" s="11" t="s">
        <v>1044</v>
      </c>
      <c r="P2103" s="11" t="s">
        <v>38</v>
      </c>
      <c r="Q2103" s="20">
        <v>40170.0</v>
      </c>
      <c r="R2103" s="17">
        <f t="shared" si="2"/>
        <v>132.8041415</v>
      </c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>
        <f t="shared" si="8"/>
        <v>3</v>
      </c>
      <c r="AF2103" s="19">
        <f t="shared" si="13"/>
        <v>1</v>
      </c>
      <c r="AG2103" s="9"/>
      <c r="AH2103" s="9"/>
      <c r="AI2103" s="9"/>
    </row>
    <row r="2104" ht="15.0" customHeight="1">
      <c r="A2104" s="11">
        <v>2103.0</v>
      </c>
      <c r="B2104" s="12">
        <f t="shared" si="335"/>
        <v>40167</v>
      </c>
      <c r="C2104" s="13">
        <v>2009.0</v>
      </c>
      <c r="D2104" s="11" t="s">
        <v>39</v>
      </c>
      <c r="E2104" s="11">
        <v>8.0</v>
      </c>
      <c r="F2104" s="21" t="s">
        <v>569</v>
      </c>
      <c r="G2104" s="15">
        <v>0.06630996968075618</v>
      </c>
      <c r="H2104" s="11" t="s">
        <v>33</v>
      </c>
      <c r="I2104" s="16">
        <v>3.3600000000000003</v>
      </c>
      <c r="J2104" s="11" t="s">
        <v>1877</v>
      </c>
      <c r="K2104" s="11" t="s">
        <v>26</v>
      </c>
      <c r="L2104" s="11" t="s">
        <v>41</v>
      </c>
      <c r="M2104" s="11" t="s">
        <v>66</v>
      </c>
      <c r="N2104" s="11" t="s">
        <v>80</v>
      </c>
      <c r="O2104" s="11" t="s">
        <v>2067</v>
      </c>
      <c r="P2104" s="11" t="s">
        <v>38</v>
      </c>
      <c r="Q2104" s="20">
        <v>40170.0</v>
      </c>
      <c r="R2104" s="17">
        <f t="shared" si="2"/>
        <v>104.143786</v>
      </c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>
        <f t="shared" si="8"/>
        <v>3</v>
      </c>
      <c r="AF2104" s="19">
        <f t="shared" si="13"/>
        <v>1</v>
      </c>
      <c r="AG2104" s="9"/>
      <c r="AH2104" s="9"/>
      <c r="AI2104" s="9"/>
    </row>
    <row r="2105" ht="15.0" customHeight="1">
      <c r="A2105" s="11">
        <v>2104.0</v>
      </c>
      <c r="B2105" s="12">
        <f t="shared" si="335"/>
        <v>40167</v>
      </c>
      <c r="C2105" s="13">
        <v>2009.0</v>
      </c>
      <c r="D2105" s="11" t="s">
        <v>23</v>
      </c>
      <c r="E2105" s="11">
        <v>13.0</v>
      </c>
      <c r="F2105" s="21" t="s">
        <v>1203</v>
      </c>
      <c r="G2105" s="15">
        <v>0.04006149116064558</v>
      </c>
      <c r="H2105" s="11" t="s">
        <v>33</v>
      </c>
      <c r="I2105" s="16">
        <v>7.888</v>
      </c>
      <c r="J2105" s="11" t="s">
        <v>1303</v>
      </c>
      <c r="K2105" s="11" t="s">
        <v>61</v>
      </c>
      <c r="L2105" s="11" t="s">
        <v>41</v>
      </c>
      <c r="M2105" s="11" t="s">
        <v>28</v>
      </c>
      <c r="N2105" s="11" t="s">
        <v>56</v>
      </c>
      <c r="O2105" s="11" t="s">
        <v>1204</v>
      </c>
      <c r="P2105" s="11" t="s">
        <v>38</v>
      </c>
      <c r="Q2105" s="20">
        <v>40170.0</v>
      </c>
      <c r="R2105" s="17">
        <f t="shared" si="2"/>
        <v>5.003199508</v>
      </c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>
        <f t="shared" si="8"/>
        <v>3</v>
      </c>
      <c r="AF2105" s="19">
        <f t="shared" si="13"/>
        <v>4</v>
      </c>
      <c r="AG2105" s="9"/>
      <c r="AH2105" s="9"/>
      <c r="AI2105" s="9"/>
    </row>
    <row r="2106" ht="15.0" customHeight="1">
      <c r="A2106" s="11">
        <v>2105.0</v>
      </c>
      <c r="B2106" s="12">
        <f t="shared" ref="B2106:B2108" si="336">DATE(2012,12,31)-1106</f>
        <v>40168</v>
      </c>
      <c r="C2106" s="13">
        <v>2009.0</v>
      </c>
      <c r="D2106" s="11" t="s">
        <v>32</v>
      </c>
      <c r="E2106" s="11">
        <v>41.0</v>
      </c>
      <c r="F2106" s="21" t="s">
        <v>428</v>
      </c>
      <c r="G2106" s="15">
        <v>0.034772130387764624</v>
      </c>
      <c r="H2106" s="11" t="s">
        <v>33</v>
      </c>
      <c r="I2106" s="16">
        <v>1.592</v>
      </c>
      <c r="J2106" s="11" t="s">
        <v>2069</v>
      </c>
      <c r="K2106" s="11" t="s">
        <v>35</v>
      </c>
      <c r="L2106" s="11" t="s">
        <v>48</v>
      </c>
      <c r="M2106" s="11" t="s">
        <v>66</v>
      </c>
      <c r="N2106" s="11" t="s">
        <v>67</v>
      </c>
      <c r="O2106" s="11" t="s">
        <v>1004</v>
      </c>
      <c r="P2106" s="11" t="s">
        <v>99</v>
      </c>
      <c r="Q2106" s="20">
        <v>40170.0</v>
      </c>
      <c r="R2106" s="17">
        <f t="shared" si="2"/>
        <v>21.72534889</v>
      </c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>
        <f t="shared" si="8"/>
        <v>4</v>
      </c>
      <c r="AF2106" s="19">
        <f t="shared" si="13"/>
        <v>2</v>
      </c>
      <c r="AG2106" s="9"/>
      <c r="AH2106" s="9"/>
      <c r="AI2106" s="9"/>
    </row>
    <row r="2107" ht="15.0" customHeight="1">
      <c r="A2107" s="11">
        <v>2106.0</v>
      </c>
      <c r="B2107" s="12">
        <f t="shared" si="336"/>
        <v>40168</v>
      </c>
      <c r="C2107" s="13">
        <v>2009.0</v>
      </c>
      <c r="D2107" s="11" t="s">
        <v>32</v>
      </c>
      <c r="E2107" s="11">
        <v>28.0</v>
      </c>
      <c r="F2107" s="21" t="s">
        <v>147</v>
      </c>
      <c r="G2107" s="15">
        <v>0.11470588235294109</v>
      </c>
      <c r="H2107" s="11" t="s">
        <v>33</v>
      </c>
      <c r="I2107" s="16">
        <v>0.5599999999999999</v>
      </c>
      <c r="J2107" s="11" t="s">
        <v>2069</v>
      </c>
      <c r="K2107" s="11" t="s">
        <v>35</v>
      </c>
      <c r="L2107" s="11" t="s">
        <v>48</v>
      </c>
      <c r="M2107" s="11" t="s">
        <v>28</v>
      </c>
      <c r="N2107" s="11" t="s">
        <v>62</v>
      </c>
      <c r="O2107" s="11" t="s">
        <v>1107</v>
      </c>
      <c r="P2107" s="11" t="s">
        <v>58</v>
      </c>
      <c r="Q2107" s="20">
        <v>40171.0</v>
      </c>
      <c r="R2107" s="17">
        <f t="shared" si="2"/>
        <v>5.524235294</v>
      </c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>
        <f t="shared" si="8"/>
        <v>4</v>
      </c>
      <c r="AF2107" s="19">
        <f t="shared" si="13"/>
        <v>2</v>
      </c>
      <c r="AG2107" s="9"/>
      <c r="AH2107" s="9"/>
      <c r="AI2107" s="9"/>
    </row>
    <row r="2108" ht="15.0" customHeight="1">
      <c r="A2108" s="11">
        <v>2107.0</v>
      </c>
      <c r="B2108" s="12">
        <f t="shared" si="336"/>
        <v>40168</v>
      </c>
      <c r="C2108" s="13">
        <v>2009.0</v>
      </c>
      <c r="D2108" s="11" t="s">
        <v>32</v>
      </c>
      <c r="E2108" s="11">
        <v>27.0</v>
      </c>
      <c r="F2108" s="21" t="s">
        <v>295</v>
      </c>
      <c r="G2108" s="15">
        <v>0.02585937817207355</v>
      </c>
      <c r="H2108" s="11" t="s">
        <v>33</v>
      </c>
      <c r="I2108" s="16">
        <v>15.991999999999999</v>
      </c>
      <c r="J2108" s="11" t="s">
        <v>2093</v>
      </c>
      <c r="K2108" s="11" t="s">
        <v>35</v>
      </c>
      <c r="L2108" s="11" t="s">
        <v>36</v>
      </c>
      <c r="M2108" s="11" t="s">
        <v>28</v>
      </c>
      <c r="N2108" s="11" t="s">
        <v>236</v>
      </c>
      <c r="O2108" s="11" t="s">
        <v>296</v>
      </c>
      <c r="P2108" s="11" t="s">
        <v>38</v>
      </c>
      <c r="Q2108" s="20">
        <v>40171.0</v>
      </c>
      <c r="R2108" s="17">
        <f t="shared" si="2"/>
        <v>63.53111342</v>
      </c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>
        <f t="shared" si="8"/>
        <v>2</v>
      </c>
      <c r="AF2108" s="19">
        <f t="shared" si="13"/>
        <v>2</v>
      </c>
      <c r="AG2108" s="9"/>
      <c r="AH2108" s="9"/>
      <c r="AI2108" s="9"/>
    </row>
    <row r="2109" ht="15.0" customHeight="1">
      <c r="A2109" s="11">
        <v>2108.0</v>
      </c>
      <c r="B2109" s="12">
        <f t="shared" ref="B2109:B2115" si="337">DATE(2012,12,31)-1105</f>
        <v>40169</v>
      </c>
      <c r="C2109" s="13">
        <v>2009.0</v>
      </c>
      <c r="D2109" s="11" t="s">
        <v>23</v>
      </c>
      <c r="E2109" s="11">
        <v>43.0</v>
      </c>
      <c r="F2109" s="21" t="s">
        <v>2094</v>
      </c>
      <c r="G2109" s="15">
        <v>0.031040405692785905</v>
      </c>
      <c r="H2109" s="11" t="s">
        <v>33</v>
      </c>
      <c r="I2109" s="16">
        <v>8.6</v>
      </c>
      <c r="J2109" s="11" t="s">
        <v>2095</v>
      </c>
      <c r="K2109" s="11" t="s">
        <v>35</v>
      </c>
      <c r="L2109" s="11" t="s">
        <v>36</v>
      </c>
      <c r="M2109" s="11" t="s">
        <v>28</v>
      </c>
      <c r="N2109" s="11" t="s">
        <v>56</v>
      </c>
      <c r="O2109" s="11" t="s">
        <v>2096</v>
      </c>
      <c r="P2109" s="11" t="s">
        <v>38</v>
      </c>
      <c r="Q2109" s="20">
        <v>40171.0</v>
      </c>
      <c r="R2109" s="17">
        <f t="shared" si="2"/>
        <v>73.54403321</v>
      </c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>
        <f t="shared" si="8"/>
        <v>2</v>
      </c>
      <c r="AF2109" s="19">
        <f t="shared" si="13"/>
        <v>2</v>
      </c>
      <c r="AG2109" s="9"/>
      <c r="AH2109" s="9"/>
      <c r="AI2109" s="9"/>
    </row>
    <row r="2110" ht="15.0" customHeight="1">
      <c r="A2110" s="11">
        <v>2109.0</v>
      </c>
      <c r="B2110" s="12">
        <f t="shared" si="337"/>
        <v>40169</v>
      </c>
      <c r="C2110" s="13">
        <v>2009.0</v>
      </c>
      <c r="D2110" s="11" t="s">
        <v>102</v>
      </c>
      <c r="E2110" s="11">
        <v>7.0</v>
      </c>
      <c r="F2110" s="21" t="s">
        <v>137</v>
      </c>
      <c r="G2110" s="15">
        <v>0.02262223036073987</v>
      </c>
      <c r="H2110" s="11" t="s">
        <v>24</v>
      </c>
      <c r="I2110" s="16">
        <v>11.192</v>
      </c>
      <c r="J2110" s="11" t="s">
        <v>2097</v>
      </c>
      <c r="K2110" s="11" t="s">
        <v>61</v>
      </c>
      <c r="L2110" s="11" t="s">
        <v>36</v>
      </c>
      <c r="M2110" s="11" t="s">
        <v>66</v>
      </c>
      <c r="N2110" s="11" t="s">
        <v>69</v>
      </c>
      <c r="O2110" s="11" t="s">
        <v>468</v>
      </c>
      <c r="P2110" s="11" t="s">
        <v>75</v>
      </c>
      <c r="Q2110" s="20">
        <v>40171.0</v>
      </c>
      <c r="R2110" s="17">
        <f t="shared" si="2"/>
        <v>24.14904993</v>
      </c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>
        <f t="shared" si="8"/>
        <v>2</v>
      </c>
      <c r="AF2110" s="19">
        <f t="shared" si="13"/>
        <v>4</v>
      </c>
      <c r="AG2110" s="9"/>
      <c r="AH2110" s="9"/>
      <c r="AI2110" s="9"/>
    </row>
    <row r="2111" ht="15.0" customHeight="1">
      <c r="A2111" s="11">
        <v>2110.0</v>
      </c>
      <c r="B2111" s="12">
        <f t="shared" si="337"/>
        <v>40169</v>
      </c>
      <c r="C2111" s="13">
        <v>2009.0</v>
      </c>
      <c r="D2111" s="11" t="s">
        <v>102</v>
      </c>
      <c r="E2111" s="11">
        <v>2.0</v>
      </c>
      <c r="F2111" s="21" t="s">
        <v>1182</v>
      </c>
      <c r="G2111" s="15">
        <v>0.10387596899224805</v>
      </c>
      <c r="H2111" s="11" t="s">
        <v>33</v>
      </c>
      <c r="I2111" s="16">
        <v>0.76</v>
      </c>
      <c r="J2111" s="11" t="s">
        <v>2097</v>
      </c>
      <c r="K2111" s="11" t="s">
        <v>61</v>
      </c>
      <c r="L2111" s="11" t="s">
        <v>36</v>
      </c>
      <c r="M2111" s="11" t="s">
        <v>28</v>
      </c>
      <c r="N2111" s="11" t="s">
        <v>56</v>
      </c>
      <c r="O2111" s="11" t="s">
        <v>1183</v>
      </c>
      <c r="P2111" s="11" t="s">
        <v>58</v>
      </c>
      <c r="Q2111" s="20">
        <v>40171.0</v>
      </c>
      <c r="R2111" s="17">
        <f t="shared" si="2"/>
        <v>1.200806202</v>
      </c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>
        <f t="shared" si="8"/>
        <v>2</v>
      </c>
      <c r="AF2111" s="19">
        <f t="shared" si="13"/>
        <v>4</v>
      </c>
      <c r="AG2111" s="9"/>
      <c r="AH2111" s="9"/>
      <c r="AI2111" s="9"/>
    </row>
    <row r="2112" ht="15.0" customHeight="1">
      <c r="A2112" s="11">
        <v>2111.0</v>
      </c>
      <c r="B2112" s="12">
        <f t="shared" si="337"/>
        <v>40169</v>
      </c>
      <c r="C2112" s="13">
        <v>2009.0</v>
      </c>
      <c r="D2112" s="11" t="s">
        <v>102</v>
      </c>
      <c r="E2112" s="11">
        <v>45.0</v>
      </c>
      <c r="F2112" s="21" t="s">
        <v>342</v>
      </c>
      <c r="G2112" s="15">
        <v>0.011106600474432068</v>
      </c>
      <c r="H2112" s="11" t="s">
        <v>45</v>
      </c>
      <c r="I2112" s="16">
        <v>23.368000000000002</v>
      </c>
      <c r="J2112" s="11" t="s">
        <v>2097</v>
      </c>
      <c r="K2112" s="11" t="s">
        <v>61</v>
      </c>
      <c r="L2112" s="11" t="s">
        <v>36</v>
      </c>
      <c r="M2112" s="11" t="s">
        <v>49</v>
      </c>
      <c r="N2112" s="11" t="s">
        <v>85</v>
      </c>
      <c r="O2112" s="11" t="s">
        <v>343</v>
      </c>
      <c r="P2112" s="11" t="s">
        <v>87</v>
      </c>
      <c r="Q2112" s="20">
        <v>40171.0</v>
      </c>
      <c r="R2112" s="17">
        <f t="shared" si="2"/>
        <v>89.82316527</v>
      </c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>
        <f t="shared" si="8"/>
        <v>2</v>
      </c>
      <c r="AF2112" s="19">
        <f t="shared" si="13"/>
        <v>4</v>
      </c>
      <c r="AG2112" s="9"/>
      <c r="AH2112" s="9"/>
      <c r="AI2112" s="9"/>
    </row>
    <row r="2113" ht="15.0" customHeight="1">
      <c r="A2113" s="11">
        <v>2112.0</v>
      </c>
      <c r="B2113" s="12">
        <f t="shared" si="337"/>
        <v>40169</v>
      </c>
      <c r="C2113" s="13">
        <v>2009.0</v>
      </c>
      <c r="D2113" s="11" t="s">
        <v>39</v>
      </c>
      <c r="E2113" s="11">
        <v>31.0</v>
      </c>
      <c r="F2113" s="21" t="s">
        <v>122</v>
      </c>
      <c r="G2113" s="15">
        <v>0.08642927515833922</v>
      </c>
      <c r="H2113" s="11" t="s">
        <v>33</v>
      </c>
      <c r="I2113" s="16">
        <v>1.192</v>
      </c>
      <c r="J2113" s="11" t="s">
        <v>2098</v>
      </c>
      <c r="K2113" s="11" t="s">
        <v>83</v>
      </c>
      <c r="L2113" s="11" t="s">
        <v>48</v>
      </c>
      <c r="M2113" s="11" t="s">
        <v>28</v>
      </c>
      <c r="N2113" s="11" t="s">
        <v>42</v>
      </c>
      <c r="O2113" s="11" t="s">
        <v>1121</v>
      </c>
      <c r="P2113" s="11" t="s">
        <v>38</v>
      </c>
      <c r="Q2113" s="20">
        <v>40171.0</v>
      </c>
      <c r="R2113" s="17">
        <f t="shared" si="2"/>
        <v>56.10055107</v>
      </c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>
        <f t="shared" si="8"/>
        <v>4</v>
      </c>
      <c r="AF2113" s="19" t="b">
        <f t="shared" si="13"/>
        <v>0</v>
      </c>
      <c r="AG2113" s="9"/>
      <c r="AH2113" s="9"/>
      <c r="AI2113" s="9"/>
    </row>
    <row r="2114" ht="15.0" customHeight="1">
      <c r="A2114" s="11">
        <v>2113.0</v>
      </c>
      <c r="B2114" s="12">
        <f t="shared" si="337"/>
        <v>40169</v>
      </c>
      <c r="C2114" s="13">
        <v>2009.0</v>
      </c>
      <c r="D2114" s="11" t="s">
        <v>44</v>
      </c>
      <c r="E2114" s="11">
        <v>42.0</v>
      </c>
      <c r="F2114" s="21" t="s">
        <v>1166</v>
      </c>
      <c r="G2114" s="15">
        <v>0.040891472868217045</v>
      </c>
      <c r="H2114" s="11" t="s">
        <v>33</v>
      </c>
      <c r="I2114" s="16">
        <v>0.5599999999999999</v>
      </c>
      <c r="J2114" s="11" t="s">
        <v>1754</v>
      </c>
      <c r="K2114" s="11" t="s">
        <v>35</v>
      </c>
      <c r="L2114" s="11" t="s">
        <v>41</v>
      </c>
      <c r="M2114" s="11" t="s">
        <v>28</v>
      </c>
      <c r="N2114" s="11" t="s">
        <v>216</v>
      </c>
      <c r="O2114" s="11" t="s">
        <v>1406</v>
      </c>
      <c r="P2114" s="11" t="s">
        <v>58</v>
      </c>
      <c r="Q2114" s="20">
        <v>40172.0</v>
      </c>
      <c r="R2114" s="17">
        <f t="shared" si="2"/>
        <v>8.094875969</v>
      </c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>
        <f t="shared" si="8"/>
        <v>3</v>
      </c>
      <c r="AF2114" s="19">
        <f t="shared" si="13"/>
        <v>2</v>
      </c>
      <c r="AG2114" s="9"/>
      <c r="AH2114" s="9"/>
      <c r="AI2114" s="9"/>
    </row>
    <row r="2115" ht="15.0" customHeight="1">
      <c r="A2115" s="11">
        <v>2114.0</v>
      </c>
      <c r="B2115" s="12">
        <f t="shared" si="337"/>
        <v>40169</v>
      </c>
      <c r="C2115" s="13">
        <v>2009.0</v>
      </c>
      <c r="D2115" s="11" t="s">
        <v>44</v>
      </c>
      <c r="E2115" s="11">
        <v>28.0</v>
      </c>
      <c r="F2115" s="21" t="s">
        <v>290</v>
      </c>
      <c r="G2115" s="15">
        <v>0.059779527559054996</v>
      </c>
      <c r="H2115" s="11" t="s">
        <v>33</v>
      </c>
      <c r="I2115" s="16">
        <v>1.8079999999999998</v>
      </c>
      <c r="J2115" s="11" t="s">
        <v>1754</v>
      </c>
      <c r="K2115" s="11" t="s">
        <v>35</v>
      </c>
      <c r="L2115" s="11" t="s">
        <v>41</v>
      </c>
      <c r="M2115" s="11" t="s">
        <v>28</v>
      </c>
      <c r="N2115" s="11" t="s">
        <v>56</v>
      </c>
      <c r="O2115" s="11" t="s">
        <v>365</v>
      </c>
      <c r="P2115" s="11" t="s">
        <v>58</v>
      </c>
      <c r="Q2115" s="20">
        <v>40172.0</v>
      </c>
      <c r="R2115" s="17">
        <f t="shared" si="2"/>
        <v>7.138153827</v>
      </c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>
        <f t="shared" si="8"/>
        <v>3</v>
      </c>
      <c r="AF2115" s="19">
        <f t="shared" si="13"/>
        <v>2</v>
      </c>
      <c r="AG2115" s="9"/>
      <c r="AH2115" s="9"/>
      <c r="AI2115" s="9"/>
    </row>
    <row r="2116" ht="15.0" customHeight="1">
      <c r="A2116" s="11">
        <v>2115.0</v>
      </c>
      <c r="B2116" s="12">
        <f t="shared" ref="B2116:B2118" si="338">DATE(2012,12,31)-1104</f>
        <v>40170</v>
      </c>
      <c r="C2116" s="13">
        <v>2009.0</v>
      </c>
      <c r="D2116" s="11" t="s">
        <v>23</v>
      </c>
      <c r="E2116" s="11">
        <v>41.0</v>
      </c>
      <c r="F2116" s="21" t="s">
        <v>583</v>
      </c>
      <c r="G2116" s="15">
        <v>0.08766502281986102</v>
      </c>
      <c r="H2116" s="11" t="s">
        <v>33</v>
      </c>
      <c r="I2116" s="16">
        <v>55.2</v>
      </c>
      <c r="J2116" s="11" t="s">
        <v>1877</v>
      </c>
      <c r="K2116" s="11" t="s">
        <v>26</v>
      </c>
      <c r="L2116" s="11" t="s">
        <v>27</v>
      </c>
      <c r="M2116" s="11" t="s">
        <v>49</v>
      </c>
      <c r="N2116" s="11" t="s">
        <v>85</v>
      </c>
      <c r="O2116" s="11" t="s">
        <v>585</v>
      </c>
      <c r="P2116" s="11" t="s">
        <v>31</v>
      </c>
      <c r="Q2116" s="20">
        <v>40172.0</v>
      </c>
      <c r="R2116" s="17">
        <f t="shared" si="2"/>
        <v>261.1102705</v>
      </c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>
        <f t="shared" si="8"/>
        <v>1</v>
      </c>
      <c r="AF2116" s="19">
        <f t="shared" si="13"/>
        <v>1</v>
      </c>
      <c r="AG2116" s="9"/>
      <c r="AH2116" s="9"/>
      <c r="AI2116" s="9"/>
    </row>
    <row r="2117" ht="15.0" customHeight="1">
      <c r="A2117" s="11">
        <v>2116.0</v>
      </c>
      <c r="B2117" s="12">
        <f t="shared" si="338"/>
        <v>40170</v>
      </c>
      <c r="C2117" s="13">
        <v>2009.0</v>
      </c>
      <c r="D2117" s="11" t="s">
        <v>32</v>
      </c>
      <c r="E2117" s="11">
        <v>2.0</v>
      </c>
      <c r="F2117" s="21" t="s">
        <v>1207</v>
      </c>
      <c r="G2117" s="15">
        <v>0.0696159455517744</v>
      </c>
      <c r="H2117" s="11" t="s">
        <v>45</v>
      </c>
      <c r="I2117" s="16">
        <v>20.96</v>
      </c>
      <c r="J2117" s="11" t="s">
        <v>1068</v>
      </c>
      <c r="K2117" s="11" t="s">
        <v>35</v>
      </c>
      <c r="L2117" s="11" t="s">
        <v>36</v>
      </c>
      <c r="M2117" s="11" t="s">
        <v>49</v>
      </c>
      <c r="N2117" s="11" t="s">
        <v>50</v>
      </c>
      <c r="O2117" s="11" t="s">
        <v>1208</v>
      </c>
      <c r="P2117" s="11" t="s">
        <v>52</v>
      </c>
      <c r="Q2117" s="20">
        <v>40172.0</v>
      </c>
      <c r="R2117" s="17">
        <f t="shared" si="2"/>
        <v>26.64619932</v>
      </c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>
        <f t="shared" si="8"/>
        <v>2</v>
      </c>
      <c r="AF2117" s="19">
        <f t="shared" si="13"/>
        <v>2</v>
      </c>
      <c r="AG2117" s="9"/>
      <c r="AH2117" s="9"/>
      <c r="AI2117" s="9"/>
    </row>
    <row r="2118" ht="15.0" customHeight="1">
      <c r="A2118" s="11">
        <v>2117.0</v>
      </c>
      <c r="B2118" s="12">
        <f t="shared" si="338"/>
        <v>40170</v>
      </c>
      <c r="C2118" s="13">
        <v>2009.0</v>
      </c>
      <c r="D2118" s="11" t="s">
        <v>44</v>
      </c>
      <c r="E2118" s="11">
        <v>38.0</v>
      </c>
      <c r="F2118" s="21" t="s">
        <v>952</v>
      </c>
      <c r="G2118" s="15">
        <v>0.060364001209248</v>
      </c>
      <c r="H2118" s="11" t="s">
        <v>33</v>
      </c>
      <c r="I2118" s="16">
        <v>19.592</v>
      </c>
      <c r="J2118" s="11" t="s">
        <v>2099</v>
      </c>
      <c r="K2118" s="11" t="s">
        <v>83</v>
      </c>
      <c r="L2118" s="11" t="s">
        <v>48</v>
      </c>
      <c r="M2118" s="11" t="s">
        <v>66</v>
      </c>
      <c r="N2118" s="11" t="s">
        <v>170</v>
      </c>
      <c r="O2118" s="11" t="s">
        <v>2100</v>
      </c>
      <c r="P2118" s="11" t="s">
        <v>31</v>
      </c>
      <c r="Q2118" s="20">
        <v>40172.0</v>
      </c>
      <c r="R2118" s="17">
        <f t="shared" si="2"/>
        <v>1377.252496</v>
      </c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>
        <f t="shared" si="8"/>
        <v>4</v>
      </c>
      <c r="AF2118" s="19" t="b">
        <f t="shared" si="13"/>
        <v>0</v>
      </c>
      <c r="AG2118" s="9"/>
      <c r="AH2118" s="9"/>
      <c r="AI2118" s="9"/>
    </row>
    <row r="2119" ht="15.0" customHeight="1">
      <c r="A2119" s="11">
        <v>2118.0</v>
      </c>
      <c r="B2119" s="12">
        <f t="shared" ref="B2119:B2121" si="339">DATE(2012,12,31)-1103</f>
        <v>40171</v>
      </c>
      <c r="C2119" s="13">
        <v>2009.0</v>
      </c>
      <c r="D2119" s="11" t="s">
        <v>23</v>
      </c>
      <c r="E2119" s="11">
        <v>38.0</v>
      </c>
      <c r="F2119" s="21" t="s">
        <v>638</v>
      </c>
      <c r="G2119" s="15">
        <v>0.014213926776740977</v>
      </c>
      <c r="H2119" s="11" t="s">
        <v>33</v>
      </c>
      <c r="I2119" s="16">
        <v>4.84</v>
      </c>
      <c r="J2119" s="11" t="s">
        <v>1935</v>
      </c>
      <c r="K2119" s="11" t="s">
        <v>35</v>
      </c>
      <c r="L2119" s="11" t="s">
        <v>36</v>
      </c>
      <c r="M2119" s="11" t="s">
        <v>28</v>
      </c>
      <c r="N2119" s="11" t="s">
        <v>42</v>
      </c>
      <c r="O2119" s="11" t="s">
        <v>640</v>
      </c>
      <c r="P2119" s="11" t="s">
        <v>38</v>
      </c>
      <c r="Q2119" s="20">
        <v>40173.0</v>
      </c>
      <c r="R2119" s="17">
        <f t="shared" si="2"/>
        <v>3.90371285</v>
      </c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>
        <f t="shared" si="8"/>
        <v>2</v>
      </c>
      <c r="AF2119" s="19">
        <f t="shared" si="13"/>
        <v>2</v>
      </c>
      <c r="AG2119" s="9"/>
      <c r="AH2119" s="9"/>
      <c r="AI2119" s="9"/>
    </row>
    <row r="2120" ht="15.0" customHeight="1">
      <c r="A2120" s="11">
        <v>2119.0</v>
      </c>
      <c r="B2120" s="12">
        <f t="shared" si="339"/>
        <v>40171</v>
      </c>
      <c r="C2120" s="13">
        <v>2009.0</v>
      </c>
      <c r="D2120" s="11" t="s">
        <v>23</v>
      </c>
      <c r="E2120" s="11">
        <v>10.0</v>
      </c>
      <c r="F2120" s="21" t="s">
        <v>304</v>
      </c>
      <c r="G2120" s="15">
        <v>0.05932885906040271</v>
      </c>
      <c r="H2120" s="11" t="s">
        <v>33</v>
      </c>
      <c r="I2120" s="16">
        <v>7.224</v>
      </c>
      <c r="J2120" s="11" t="s">
        <v>1935</v>
      </c>
      <c r="K2120" s="11" t="s">
        <v>35</v>
      </c>
      <c r="L2120" s="11" t="s">
        <v>36</v>
      </c>
      <c r="M2120" s="11" t="s">
        <v>28</v>
      </c>
      <c r="N2120" s="11" t="s">
        <v>56</v>
      </c>
      <c r="O2120" s="11" t="s">
        <v>388</v>
      </c>
      <c r="P2120" s="11" t="s">
        <v>38</v>
      </c>
      <c r="Q2120" s="20">
        <v>40173.0</v>
      </c>
      <c r="R2120" s="17">
        <f t="shared" si="2"/>
        <v>11.64174604</v>
      </c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>
        <f t="shared" si="8"/>
        <v>2</v>
      </c>
      <c r="AF2120" s="19">
        <f t="shared" si="13"/>
        <v>2</v>
      </c>
      <c r="AG2120" s="9"/>
      <c r="AH2120" s="9"/>
      <c r="AI2120" s="9"/>
    </row>
    <row r="2121" ht="15.0" customHeight="1">
      <c r="A2121" s="11">
        <v>2120.0</v>
      </c>
      <c r="B2121" s="12">
        <f t="shared" si="339"/>
        <v>40171</v>
      </c>
      <c r="C2121" s="13">
        <v>2009.0</v>
      </c>
      <c r="D2121" s="11" t="s">
        <v>44</v>
      </c>
      <c r="E2121" s="11">
        <v>11.0</v>
      </c>
      <c r="F2121" s="21" t="s">
        <v>792</v>
      </c>
      <c r="G2121" s="15">
        <v>0.01404483934290726</v>
      </c>
      <c r="H2121" s="11" t="s">
        <v>45</v>
      </c>
      <c r="I2121" s="16">
        <v>28.712000000000003</v>
      </c>
      <c r="J2121" s="11" t="s">
        <v>1605</v>
      </c>
      <c r="K2121" s="11" t="s">
        <v>61</v>
      </c>
      <c r="L2121" s="11" t="s">
        <v>48</v>
      </c>
      <c r="M2121" s="11" t="s">
        <v>49</v>
      </c>
      <c r="N2121" s="11" t="s">
        <v>156</v>
      </c>
      <c r="O2121" s="11" t="s">
        <v>794</v>
      </c>
      <c r="P2121" s="11" t="s">
        <v>87</v>
      </c>
      <c r="Q2121" s="20">
        <v>40173.0</v>
      </c>
      <c r="R2121" s="17">
        <f t="shared" si="2"/>
        <v>26.80614891</v>
      </c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>
        <f t="shared" si="8"/>
        <v>4</v>
      </c>
      <c r="AF2121" s="19">
        <f t="shared" si="13"/>
        <v>4</v>
      </c>
      <c r="AG2121" s="9"/>
      <c r="AH2121" s="9"/>
      <c r="AI2121" s="9"/>
    </row>
    <row r="2122" ht="15.0" customHeight="1">
      <c r="A2122" s="11">
        <v>2121.0</v>
      </c>
      <c r="B2122" s="12">
        <f t="shared" ref="B2122:B2128" si="340">DATE(2012,12,31)-1102</f>
        <v>40172</v>
      </c>
      <c r="C2122" s="13">
        <v>2009.0</v>
      </c>
      <c r="D2122" s="11" t="s">
        <v>44</v>
      </c>
      <c r="E2122" s="11">
        <v>39.0</v>
      </c>
      <c r="F2122" s="21" t="s">
        <v>591</v>
      </c>
      <c r="G2122" s="15">
        <v>0.06788299719513832</v>
      </c>
      <c r="H2122" s="11" t="s">
        <v>33</v>
      </c>
      <c r="I2122" s="16">
        <v>7.5760000000000005</v>
      </c>
      <c r="J2122" s="11" t="s">
        <v>945</v>
      </c>
      <c r="K2122" s="11" t="s">
        <v>65</v>
      </c>
      <c r="L2122" s="11" t="s">
        <v>41</v>
      </c>
      <c r="M2122" s="11" t="s">
        <v>28</v>
      </c>
      <c r="N2122" s="11" t="s">
        <v>29</v>
      </c>
      <c r="O2122" s="11" t="s">
        <v>592</v>
      </c>
      <c r="P2122" s="11" t="s">
        <v>38</v>
      </c>
      <c r="Q2122" s="20">
        <v>40173.0</v>
      </c>
      <c r="R2122" s="17">
        <f t="shared" si="2"/>
        <v>47.37391455</v>
      </c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>
        <f t="shared" si="8"/>
        <v>3</v>
      </c>
      <c r="AF2122" s="19">
        <f t="shared" si="13"/>
        <v>5</v>
      </c>
      <c r="AG2122" s="9"/>
      <c r="AH2122" s="9"/>
      <c r="AI2122" s="9"/>
    </row>
    <row r="2123" ht="15.0" customHeight="1">
      <c r="A2123" s="11">
        <v>2122.0</v>
      </c>
      <c r="B2123" s="12">
        <f t="shared" si="340"/>
        <v>40172</v>
      </c>
      <c r="C2123" s="13">
        <v>2009.0</v>
      </c>
      <c r="D2123" s="11" t="s">
        <v>44</v>
      </c>
      <c r="E2123" s="11">
        <v>48.0</v>
      </c>
      <c r="F2123" s="21" t="s">
        <v>369</v>
      </c>
      <c r="G2123" s="15">
        <v>0.022786601012552875</v>
      </c>
      <c r="H2123" s="11" t="s">
        <v>45</v>
      </c>
      <c r="I2123" s="16">
        <v>29.288</v>
      </c>
      <c r="J2123" s="11" t="s">
        <v>416</v>
      </c>
      <c r="K2123" s="11" t="s">
        <v>65</v>
      </c>
      <c r="L2123" s="11" t="s">
        <v>41</v>
      </c>
      <c r="M2123" s="11" t="s">
        <v>49</v>
      </c>
      <c r="N2123" s="11" t="s">
        <v>156</v>
      </c>
      <c r="O2123" s="11" t="s">
        <v>1885</v>
      </c>
      <c r="P2123" s="11" t="s">
        <v>87</v>
      </c>
      <c r="Q2123" s="20">
        <v>40173.0</v>
      </c>
      <c r="R2123" s="17">
        <f t="shared" si="2"/>
        <v>64.21464687</v>
      </c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>
        <f t="shared" si="8"/>
        <v>3</v>
      </c>
      <c r="AF2123" s="19">
        <f t="shared" si="13"/>
        <v>5</v>
      </c>
      <c r="AG2123" s="9"/>
      <c r="AH2123" s="9"/>
      <c r="AI2123" s="9"/>
    </row>
    <row r="2124" ht="15.0" customHeight="1">
      <c r="A2124" s="11">
        <v>2123.0</v>
      </c>
      <c r="B2124" s="12">
        <f t="shared" si="340"/>
        <v>40172</v>
      </c>
      <c r="C2124" s="13">
        <v>2009.0</v>
      </c>
      <c r="D2124" s="11" t="s">
        <v>44</v>
      </c>
      <c r="E2124" s="11">
        <v>48.0</v>
      </c>
      <c r="F2124" s="21" t="s">
        <v>379</v>
      </c>
      <c r="G2124" s="15">
        <v>0.03382780082987562</v>
      </c>
      <c r="H2124" s="11" t="s">
        <v>33</v>
      </c>
      <c r="I2124" s="16">
        <v>1.1119999999999999</v>
      </c>
      <c r="J2124" s="11" t="s">
        <v>416</v>
      </c>
      <c r="K2124" s="11" t="s">
        <v>65</v>
      </c>
      <c r="L2124" s="11" t="s">
        <v>41</v>
      </c>
      <c r="M2124" s="11" t="s">
        <v>28</v>
      </c>
      <c r="N2124" s="11" t="s">
        <v>236</v>
      </c>
      <c r="O2124" s="11" t="s">
        <v>885</v>
      </c>
      <c r="P2124" s="11" t="s">
        <v>38</v>
      </c>
      <c r="Q2124" s="20">
        <v>40174.0</v>
      </c>
      <c r="R2124" s="17">
        <f t="shared" si="2"/>
        <v>25.20550033</v>
      </c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>
        <f t="shared" si="8"/>
        <v>3</v>
      </c>
      <c r="AF2124" s="19">
        <f t="shared" si="13"/>
        <v>5</v>
      </c>
      <c r="AG2124" s="9"/>
      <c r="AH2124" s="9"/>
      <c r="AI2124" s="9"/>
    </row>
    <row r="2125" ht="15.0" customHeight="1">
      <c r="A2125" s="11">
        <v>2124.0</v>
      </c>
      <c r="B2125" s="12">
        <f t="shared" si="340"/>
        <v>40172</v>
      </c>
      <c r="C2125" s="13">
        <v>2009.0</v>
      </c>
      <c r="D2125" s="11" t="s">
        <v>23</v>
      </c>
      <c r="E2125" s="11">
        <v>38.0</v>
      </c>
      <c r="F2125" s="21" t="s">
        <v>1710</v>
      </c>
      <c r="G2125" s="15">
        <v>0.012742065710204475</v>
      </c>
      <c r="H2125" s="11" t="s">
        <v>45</v>
      </c>
      <c r="I2125" s="16">
        <v>41.552</v>
      </c>
      <c r="J2125" s="11" t="s">
        <v>1256</v>
      </c>
      <c r="K2125" s="11" t="s">
        <v>83</v>
      </c>
      <c r="L2125" s="11" t="s">
        <v>36</v>
      </c>
      <c r="M2125" s="11" t="s">
        <v>49</v>
      </c>
      <c r="N2125" s="11" t="s">
        <v>85</v>
      </c>
      <c r="O2125" s="11" t="s">
        <v>1711</v>
      </c>
      <c r="P2125" s="11" t="s">
        <v>87</v>
      </c>
      <c r="Q2125" s="20">
        <v>40174.0</v>
      </c>
      <c r="R2125" s="17">
        <f t="shared" si="2"/>
        <v>60.76375134</v>
      </c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>
        <f t="shared" si="8"/>
        <v>2</v>
      </c>
      <c r="AF2125" s="19" t="b">
        <f t="shared" si="13"/>
        <v>0</v>
      </c>
      <c r="AG2125" s="9"/>
      <c r="AH2125" s="9"/>
      <c r="AI2125" s="9"/>
    </row>
    <row r="2126" ht="15.0" customHeight="1">
      <c r="A2126" s="11">
        <v>2125.0</v>
      </c>
      <c r="B2126" s="12">
        <f t="shared" si="340"/>
        <v>40172</v>
      </c>
      <c r="C2126" s="13">
        <v>2009.0</v>
      </c>
      <c r="D2126" s="11" t="s">
        <v>23</v>
      </c>
      <c r="E2126" s="11">
        <v>30.0</v>
      </c>
      <c r="F2126" s="21" t="s">
        <v>178</v>
      </c>
      <c r="G2126" s="15">
        <v>0.021460957178841195</v>
      </c>
      <c r="H2126" s="11" t="s">
        <v>33</v>
      </c>
      <c r="I2126" s="16">
        <v>4.248</v>
      </c>
      <c r="J2126" s="11" t="s">
        <v>262</v>
      </c>
      <c r="K2126" s="11" t="s">
        <v>61</v>
      </c>
      <c r="L2126" s="11" t="s">
        <v>36</v>
      </c>
      <c r="M2126" s="11" t="s">
        <v>66</v>
      </c>
      <c r="N2126" s="11" t="s">
        <v>80</v>
      </c>
      <c r="O2126" s="11" t="s">
        <v>1738</v>
      </c>
      <c r="P2126" s="11" t="s">
        <v>38</v>
      </c>
      <c r="Q2126" s="20">
        <v>40174.0</v>
      </c>
      <c r="R2126" s="17">
        <f t="shared" si="2"/>
        <v>42.51947849</v>
      </c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>
        <f t="shared" si="8"/>
        <v>2</v>
      </c>
      <c r="AF2126" s="19">
        <f t="shared" si="13"/>
        <v>4</v>
      </c>
      <c r="AG2126" s="9"/>
      <c r="AH2126" s="9"/>
      <c r="AI2126" s="9"/>
    </row>
    <row r="2127" ht="15.0" customHeight="1">
      <c r="A2127" s="11">
        <v>2126.0</v>
      </c>
      <c r="B2127" s="12">
        <f t="shared" si="340"/>
        <v>40172</v>
      </c>
      <c r="C2127" s="13">
        <v>2009.0</v>
      </c>
      <c r="D2127" s="11" t="s">
        <v>44</v>
      </c>
      <c r="E2127" s="11">
        <v>20.0</v>
      </c>
      <c r="F2127" s="21" t="s">
        <v>758</v>
      </c>
      <c r="G2127" s="15">
        <v>0.1019417475728156</v>
      </c>
      <c r="H2127" s="11" t="s">
        <v>33</v>
      </c>
      <c r="I2127" s="16">
        <v>2.0</v>
      </c>
      <c r="J2127" s="11" t="s">
        <v>2101</v>
      </c>
      <c r="K2127" s="11" t="s">
        <v>65</v>
      </c>
      <c r="L2127" s="11" t="s">
        <v>36</v>
      </c>
      <c r="M2127" s="11" t="s">
        <v>28</v>
      </c>
      <c r="N2127" s="11" t="s">
        <v>236</v>
      </c>
      <c r="O2127" s="11" t="s">
        <v>1171</v>
      </c>
      <c r="P2127" s="11" t="s">
        <v>38</v>
      </c>
      <c r="Q2127" s="20">
        <v>40174.0</v>
      </c>
      <c r="R2127" s="17">
        <f t="shared" si="2"/>
        <v>7.54368932</v>
      </c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>
        <f t="shared" si="8"/>
        <v>2</v>
      </c>
      <c r="AF2127" s="19">
        <f t="shared" si="13"/>
        <v>5</v>
      </c>
      <c r="AG2127" s="9"/>
      <c r="AH2127" s="9"/>
      <c r="AI2127" s="9"/>
    </row>
    <row r="2128" ht="15.0" customHeight="1">
      <c r="A2128" s="11">
        <v>2127.0</v>
      </c>
      <c r="B2128" s="12">
        <f t="shared" si="340"/>
        <v>40172</v>
      </c>
      <c r="C2128" s="13">
        <v>2009.0</v>
      </c>
      <c r="D2128" s="11" t="s">
        <v>32</v>
      </c>
      <c r="E2128" s="11">
        <v>8.0</v>
      </c>
      <c r="F2128" s="21" t="s">
        <v>1191</v>
      </c>
      <c r="G2128" s="15">
        <v>0.04279210925644921</v>
      </c>
      <c r="H2128" s="11" t="s">
        <v>33</v>
      </c>
      <c r="I2128" s="16">
        <v>4.08</v>
      </c>
      <c r="J2128" s="11" t="s">
        <v>1256</v>
      </c>
      <c r="K2128" s="11" t="s">
        <v>83</v>
      </c>
      <c r="L2128" s="11" t="s">
        <v>36</v>
      </c>
      <c r="M2128" s="11" t="s">
        <v>28</v>
      </c>
      <c r="N2128" s="11" t="s">
        <v>197</v>
      </c>
      <c r="O2128" s="11" t="s">
        <v>1193</v>
      </c>
      <c r="P2128" s="11" t="s">
        <v>75</v>
      </c>
      <c r="Q2128" s="20">
        <v>40174.0</v>
      </c>
      <c r="R2128" s="17">
        <f t="shared" si="2"/>
        <v>16.19595751</v>
      </c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>
        <f t="shared" si="8"/>
        <v>2</v>
      </c>
      <c r="AF2128" s="19" t="b">
        <f t="shared" si="13"/>
        <v>0</v>
      </c>
      <c r="AG2128" s="9"/>
      <c r="AH2128" s="9"/>
      <c r="AI2128" s="9"/>
    </row>
    <row r="2129" ht="15.0" customHeight="1">
      <c r="A2129" s="11">
        <v>2128.0</v>
      </c>
      <c r="B2129" s="12">
        <f t="shared" ref="B2129:B2132" si="341">DATE(2012,12,31)-1101</f>
        <v>40173</v>
      </c>
      <c r="C2129" s="13">
        <v>2009.0</v>
      </c>
      <c r="D2129" s="11" t="s">
        <v>23</v>
      </c>
      <c r="E2129" s="11">
        <v>27.0</v>
      </c>
      <c r="F2129" s="21" t="s">
        <v>190</v>
      </c>
      <c r="G2129" s="15">
        <v>0.023169502205418985</v>
      </c>
      <c r="H2129" s="11" t="s">
        <v>33</v>
      </c>
      <c r="I2129" s="16">
        <v>7.192</v>
      </c>
      <c r="J2129" s="11" t="s">
        <v>1767</v>
      </c>
      <c r="K2129" s="11" t="s">
        <v>35</v>
      </c>
      <c r="L2129" s="11" t="s">
        <v>27</v>
      </c>
      <c r="M2129" s="11" t="s">
        <v>49</v>
      </c>
      <c r="N2129" s="11" t="s">
        <v>73</v>
      </c>
      <c r="O2129" s="11" t="s">
        <v>191</v>
      </c>
      <c r="P2129" s="11" t="s">
        <v>99</v>
      </c>
      <c r="Q2129" s="20">
        <v>40175.0</v>
      </c>
      <c r="R2129" s="17">
        <f t="shared" si="2"/>
        <v>14.36722296</v>
      </c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>
        <f t="shared" si="8"/>
        <v>1</v>
      </c>
      <c r="AF2129" s="19">
        <f t="shared" si="13"/>
        <v>2</v>
      </c>
      <c r="AG2129" s="9"/>
      <c r="AH2129" s="9"/>
      <c r="AI2129" s="9"/>
    </row>
    <row r="2130" ht="15.0" customHeight="1">
      <c r="A2130" s="11">
        <v>2129.0</v>
      </c>
      <c r="B2130" s="12">
        <f t="shared" si="341"/>
        <v>40173</v>
      </c>
      <c r="C2130" s="13">
        <v>2009.0</v>
      </c>
      <c r="D2130" s="11" t="s">
        <v>44</v>
      </c>
      <c r="E2130" s="11">
        <v>48.0</v>
      </c>
      <c r="F2130" s="21" t="s">
        <v>1908</v>
      </c>
      <c r="G2130" s="15">
        <v>0.03922703727273351</v>
      </c>
      <c r="H2130" s="11" t="s">
        <v>45</v>
      </c>
      <c r="I2130" s="16">
        <v>39.04</v>
      </c>
      <c r="J2130" s="11" t="s">
        <v>494</v>
      </c>
      <c r="K2130" s="11" t="s">
        <v>83</v>
      </c>
      <c r="L2130" s="11" t="s">
        <v>48</v>
      </c>
      <c r="M2130" s="11" t="s">
        <v>49</v>
      </c>
      <c r="N2130" s="11" t="s">
        <v>50</v>
      </c>
      <c r="O2130" s="11" t="s">
        <v>51</v>
      </c>
      <c r="P2130" s="11" t="s">
        <v>52</v>
      </c>
      <c r="Q2130" s="20">
        <v>40175.0</v>
      </c>
      <c r="R2130" s="17">
        <f t="shared" si="2"/>
        <v>550.7727086</v>
      </c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>
        <f t="shared" si="8"/>
        <v>4</v>
      </c>
      <c r="AF2130" s="19" t="b">
        <f t="shared" si="13"/>
        <v>0</v>
      </c>
      <c r="AG2130" s="9"/>
      <c r="AH2130" s="9"/>
      <c r="AI2130" s="9"/>
    </row>
    <row r="2131" ht="15.0" customHeight="1">
      <c r="A2131" s="11">
        <v>2130.0</v>
      </c>
      <c r="B2131" s="12">
        <f t="shared" si="341"/>
        <v>40173</v>
      </c>
      <c r="C2131" s="13">
        <v>2009.0</v>
      </c>
      <c r="D2131" s="11" t="s">
        <v>39</v>
      </c>
      <c r="E2131" s="11">
        <v>15.0</v>
      </c>
      <c r="F2131" s="21" t="s">
        <v>163</v>
      </c>
      <c r="G2131" s="15">
        <v>0.07554825362054288</v>
      </c>
      <c r="H2131" s="11" t="s">
        <v>33</v>
      </c>
      <c r="I2131" s="16">
        <v>5.744</v>
      </c>
      <c r="J2131" s="11" t="s">
        <v>1353</v>
      </c>
      <c r="K2131" s="11" t="s">
        <v>26</v>
      </c>
      <c r="L2131" s="11" t="s">
        <v>36</v>
      </c>
      <c r="M2131" s="11" t="s">
        <v>66</v>
      </c>
      <c r="N2131" s="11" t="s">
        <v>67</v>
      </c>
      <c r="O2131" s="11" t="s">
        <v>1031</v>
      </c>
      <c r="P2131" s="11" t="s">
        <v>38</v>
      </c>
      <c r="Q2131" s="20">
        <v>40175.0</v>
      </c>
      <c r="R2131" s="17">
        <f t="shared" si="2"/>
        <v>114.776231</v>
      </c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>
        <f t="shared" si="8"/>
        <v>2</v>
      </c>
      <c r="AF2131" s="19">
        <f t="shared" si="13"/>
        <v>1</v>
      </c>
      <c r="AG2131" s="9"/>
      <c r="AH2131" s="9"/>
      <c r="AI2131" s="9"/>
    </row>
    <row r="2132" ht="15.0" customHeight="1">
      <c r="A2132" s="11">
        <v>2131.0</v>
      </c>
      <c r="B2132" s="12">
        <f t="shared" si="341"/>
        <v>40173</v>
      </c>
      <c r="C2132" s="13">
        <v>2009.0</v>
      </c>
      <c r="D2132" s="11" t="s">
        <v>39</v>
      </c>
      <c r="E2132" s="11">
        <v>42.0</v>
      </c>
      <c r="F2132" s="21" t="s">
        <v>344</v>
      </c>
      <c r="G2132" s="15">
        <v>0.03541623586656531</v>
      </c>
      <c r="H2132" s="11" t="s">
        <v>33</v>
      </c>
      <c r="I2132" s="16">
        <v>3.9600000000000004</v>
      </c>
      <c r="J2132" s="11" t="s">
        <v>1353</v>
      </c>
      <c r="K2132" s="11" t="s">
        <v>26</v>
      </c>
      <c r="L2132" s="11" t="s">
        <v>36</v>
      </c>
      <c r="M2132" s="11" t="s">
        <v>49</v>
      </c>
      <c r="N2132" s="11" t="s">
        <v>73</v>
      </c>
      <c r="O2132" s="11" t="s">
        <v>1724</v>
      </c>
      <c r="P2132" s="11" t="s">
        <v>99</v>
      </c>
      <c r="Q2132" s="20">
        <v>40175.0</v>
      </c>
      <c r="R2132" s="17">
        <f t="shared" si="2"/>
        <v>20.07250584</v>
      </c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>
        <f t="shared" si="8"/>
        <v>2</v>
      </c>
      <c r="AF2132" s="19">
        <f t="shared" si="13"/>
        <v>1</v>
      </c>
      <c r="AG2132" s="9"/>
      <c r="AH2132" s="9"/>
      <c r="AI2132" s="9"/>
    </row>
    <row r="2133" ht="15.0" customHeight="1">
      <c r="A2133" s="11">
        <v>2132.0</v>
      </c>
      <c r="B2133" s="12">
        <f t="shared" ref="B2133:B2137" si="342">DATE(2012,12,31)-1100</f>
        <v>40174</v>
      </c>
      <c r="C2133" s="13">
        <v>2009.0</v>
      </c>
      <c r="D2133" s="11" t="s">
        <v>44</v>
      </c>
      <c r="E2133" s="11">
        <v>19.0</v>
      </c>
      <c r="F2133" s="21" t="s">
        <v>319</v>
      </c>
      <c r="G2133" s="15">
        <v>0.07745266781411372</v>
      </c>
      <c r="H2133" s="11" t="s">
        <v>33</v>
      </c>
      <c r="I2133" s="16">
        <v>0.4</v>
      </c>
      <c r="J2133" s="11" t="s">
        <v>1433</v>
      </c>
      <c r="K2133" s="11" t="s">
        <v>61</v>
      </c>
      <c r="L2133" s="11" t="s">
        <v>27</v>
      </c>
      <c r="M2133" s="11" t="s">
        <v>28</v>
      </c>
      <c r="N2133" s="11" t="s">
        <v>188</v>
      </c>
      <c r="O2133" s="11" t="s">
        <v>437</v>
      </c>
      <c r="P2133" s="11" t="s">
        <v>38</v>
      </c>
      <c r="Q2133" s="20">
        <v>40176.0</v>
      </c>
      <c r="R2133" s="17">
        <f t="shared" si="2"/>
        <v>4.151462995</v>
      </c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>
        <f t="shared" si="8"/>
        <v>1</v>
      </c>
      <c r="AF2133" s="19">
        <f t="shared" si="13"/>
        <v>4</v>
      </c>
      <c r="AG2133" s="9"/>
      <c r="AH2133" s="9"/>
      <c r="AI2133" s="9"/>
    </row>
    <row r="2134" ht="15.0" customHeight="1">
      <c r="A2134" s="11">
        <v>2133.0</v>
      </c>
      <c r="B2134" s="12">
        <f t="shared" si="342"/>
        <v>40174</v>
      </c>
      <c r="C2134" s="13">
        <v>2009.0</v>
      </c>
      <c r="D2134" s="11" t="s">
        <v>23</v>
      </c>
      <c r="E2134" s="11">
        <v>36.0</v>
      </c>
      <c r="F2134" s="21" t="s">
        <v>103</v>
      </c>
      <c r="G2134" s="15">
        <v>0.06444540353905907</v>
      </c>
      <c r="H2134" s="11" t="s">
        <v>33</v>
      </c>
      <c r="I2134" s="16">
        <v>4.368</v>
      </c>
      <c r="J2134" s="11" t="s">
        <v>679</v>
      </c>
      <c r="K2134" s="11" t="s">
        <v>61</v>
      </c>
      <c r="L2134" s="11" t="s">
        <v>48</v>
      </c>
      <c r="M2134" s="11" t="s">
        <v>28</v>
      </c>
      <c r="N2134" s="11" t="s">
        <v>56</v>
      </c>
      <c r="O2134" s="11" t="s">
        <v>693</v>
      </c>
      <c r="P2134" s="11" t="s">
        <v>38</v>
      </c>
      <c r="Q2134" s="20">
        <v>40176.0</v>
      </c>
      <c r="R2134" s="17">
        <f t="shared" si="2"/>
        <v>13.96970123</v>
      </c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>
        <f t="shared" si="8"/>
        <v>4</v>
      </c>
      <c r="AF2134" s="19">
        <f t="shared" si="13"/>
        <v>4</v>
      </c>
      <c r="AG2134" s="9"/>
      <c r="AH2134" s="9"/>
      <c r="AI2134" s="9"/>
    </row>
    <row r="2135" ht="15.0" customHeight="1">
      <c r="A2135" s="11">
        <v>2134.0</v>
      </c>
      <c r="B2135" s="12">
        <f t="shared" si="342"/>
        <v>40174</v>
      </c>
      <c r="C2135" s="13">
        <v>2009.0</v>
      </c>
      <c r="D2135" s="11" t="s">
        <v>23</v>
      </c>
      <c r="E2135" s="11">
        <v>7.0</v>
      </c>
      <c r="F2135" s="21" t="s">
        <v>178</v>
      </c>
      <c r="G2135" s="15">
        <v>0.012769394261423856</v>
      </c>
      <c r="H2135" s="11" t="s">
        <v>33</v>
      </c>
      <c r="I2135" s="16">
        <v>3.192</v>
      </c>
      <c r="J2135" s="11" t="s">
        <v>679</v>
      </c>
      <c r="K2135" s="11" t="s">
        <v>61</v>
      </c>
      <c r="L2135" s="11" t="s">
        <v>48</v>
      </c>
      <c r="M2135" s="11" t="s">
        <v>66</v>
      </c>
      <c r="N2135" s="11" t="s">
        <v>80</v>
      </c>
      <c r="O2135" s="11" t="s">
        <v>587</v>
      </c>
      <c r="P2135" s="11" t="s">
        <v>38</v>
      </c>
      <c r="Q2135" s="20">
        <v>40176.0</v>
      </c>
      <c r="R2135" s="17">
        <f t="shared" si="2"/>
        <v>5.931281479</v>
      </c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>
        <f t="shared" si="8"/>
        <v>4</v>
      </c>
      <c r="AF2135" s="19">
        <f t="shared" si="13"/>
        <v>4</v>
      </c>
      <c r="AG2135" s="9"/>
      <c r="AH2135" s="9"/>
      <c r="AI2135" s="9"/>
    </row>
    <row r="2136" ht="15.0" customHeight="1">
      <c r="A2136" s="11">
        <v>2135.0</v>
      </c>
      <c r="B2136" s="12">
        <f t="shared" si="342"/>
        <v>40174</v>
      </c>
      <c r="C2136" s="13">
        <v>2009.0</v>
      </c>
      <c r="D2136" s="11" t="s">
        <v>23</v>
      </c>
      <c r="E2136" s="11">
        <v>13.0</v>
      </c>
      <c r="F2136" s="21" t="s">
        <v>151</v>
      </c>
      <c r="G2136" s="15">
        <v>0.10635394456289977</v>
      </c>
      <c r="H2136" s="11" t="s">
        <v>33</v>
      </c>
      <c r="I2136" s="16">
        <v>0.31200000000000006</v>
      </c>
      <c r="J2136" s="11" t="s">
        <v>1814</v>
      </c>
      <c r="K2136" s="11" t="s">
        <v>35</v>
      </c>
      <c r="L2136" s="11" t="s">
        <v>48</v>
      </c>
      <c r="M2136" s="11" t="s">
        <v>28</v>
      </c>
      <c r="N2136" s="11" t="s">
        <v>197</v>
      </c>
      <c r="O2136" s="11" t="s">
        <v>830</v>
      </c>
      <c r="P2136" s="11" t="s">
        <v>31</v>
      </c>
      <c r="Q2136" s="20">
        <v>40176.0</v>
      </c>
      <c r="R2136" s="17">
        <f t="shared" si="2"/>
        <v>4.457506525</v>
      </c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>
        <f t="shared" si="8"/>
        <v>4</v>
      </c>
      <c r="AF2136" s="19">
        <f t="shared" si="13"/>
        <v>2</v>
      </c>
      <c r="AG2136" s="9"/>
      <c r="AH2136" s="9"/>
      <c r="AI2136" s="9"/>
    </row>
    <row r="2137" ht="15.0" customHeight="1">
      <c r="A2137" s="11">
        <v>2136.0</v>
      </c>
      <c r="B2137" s="12">
        <f t="shared" si="342"/>
        <v>40174</v>
      </c>
      <c r="C2137" s="13">
        <v>2009.0</v>
      </c>
      <c r="D2137" s="11" t="s">
        <v>23</v>
      </c>
      <c r="E2137" s="11">
        <v>15.0</v>
      </c>
      <c r="F2137" s="21" t="s">
        <v>740</v>
      </c>
      <c r="G2137" s="15">
        <v>0.026447753799624413</v>
      </c>
      <c r="H2137" s="11" t="s">
        <v>45</v>
      </c>
      <c r="I2137" s="16">
        <v>51.784000000000006</v>
      </c>
      <c r="J2137" s="11" t="s">
        <v>1814</v>
      </c>
      <c r="K2137" s="11" t="s">
        <v>35</v>
      </c>
      <c r="L2137" s="11" t="s">
        <v>48</v>
      </c>
      <c r="M2137" s="11" t="s">
        <v>49</v>
      </c>
      <c r="N2137" s="11" t="s">
        <v>50</v>
      </c>
      <c r="O2137" s="11" t="s">
        <v>742</v>
      </c>
      <c r="P2137" s="11" t="s">
        <v>52</v>
      </c>
      <c r="Q2137" s="20">
        <v>40177.0</v>
      </c>
      <c r="R2137" s="17">
        <f t="shared" si="2"/>
        <v>120.7415073</v>
      </c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>
        <f t="shared" si="8"/>
        <v>4</v>
      </c>
      <c r="AF2137" s="19">
        <f t="shared" si="13"/>
        <v>2</v>
      </c>
      <c r="AG2137" s="9"/>
      <c r="AH2137" s="9"/>
      <c r="AI2137" s="9"/>
    </row>
    <row r="2138" ht="15.0" customHeight="1">
      <c r="A2138" s="11">
        <v>2137.0</v>
      </c>
      <c r="B2138" s="12">
        <f t="shared" ref="B2138:B2146" si="343">DATE(2012,12,31)-1099</f>
        <v>40175</v>
      </c>
      <c r="C2138" s="13">
        <v>2009.0</v>
      </c>
      <c r="D2138" s="11" t="s">
        <v>32</v>
      </c>
      <c r="E2138" s="11">
        <v>32.0</v>
      </c>
      <c r="F2138" s="21" t="s">
        <v>389</v>
      </c>
      <c r="G2138" s="15">
        <v>0.06692516479255511</v>
      </c>
      <c r="H2138" s="11" t="s">
        <v>45</v>
      </c>
      <c r="I2138" s="16">
        <v>13.440000000000001</v>
      </c>
      <c r="J2138" s="11" t="s">
        <v>1414</v>
      </c>
      <c r="K2138" s="11" t="s">
        <v>35</v>
      </c>
      <c r="L2138" s="11" t="s">
        <v>27</v>
      </c>
      <c r="M2138" s="11" t="s">
        <v>66</v>
      </c>
      <c r="N2138" s="11" t="s">
        <v>69</v>
      </c>
      <c r="O2138" s="11" t="s">
        <v>2102</v>
      </c>
      <c r="P2138" s="11" t="s">
        <v>87</v>
      </c>
      <c r="Q2138" s="20">
        <v>40177.0</v>
      </c>
      <c r="R2138" s="17">
        <f t="shared" si="2"/>
        <v>257.6779465</v>
      </c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>
        <f t="shared" si="8"/>
        <v>1</v>
      </c>
      <c r="AF2138" s="19">
        <f t="shared" si="13"/>
        <v>2</v>
      </c>
      <c r="AG2138" s="9"/>
      <c r="AH2138" s="9"/>
      <c r="AI2138" s="9"/>
    </row>
    <row r="2139" ht="15.0" customHeight="1">
      <c r="A2139" s="11">
        <v>2138.0</v>
      </c>
      <c r="B2139" s="12">
        <f t="shared" si="343"/>
        <v>40175</v>
      </c>
      <c r="C2139" s="13">
        <v>2009.0</v>
      </c>
      <c r="D2139" s="11" t="s">
        <v>44</v>
      </c>
      <c r="E2139" s="11">
        <v>26.0</v>
      </c>
      <c r="F2139" s="21" t="s">
        <v>518</v>
      </c>
      <c r="G2139" s="15">
        <v>0.08697115050399734</v>
      </c>
      <c r="H2139" s="11" t="s">
        <v>33</v>
      </c>
      <c r="I2139" s="16">
        <v>15.991999999999999</v>
      </c>
      <c r="J2139" s="11" t="s">
        <v>897</v>
      </c>
      <c r="K2139" s="11" t="s">
        <v>26</v>
      </c>
      <c r="L2139" s="11" t="s">
        <v>36</v>
      </c>
      <c r="M2139" s="11" t="s">
        <v>66</v>
      </c>
      <c r="N2139" s="11" t="s">
        <v>67</v>
      </c>
      <c r="O2139" s="11" t="s">
        <v>712</v>
      </c>
      <c r="P2139" s="11" t="s">
        <v>38</v>
      </c>
      <c r="Q2139" s="20">
        <v>40177.0</v>
      </c>
      <c r="R2139" s="17">
        <f t="shared" si="2"/>
        <v>114.2272133</v>
      </c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>
        <f t="shared" si="8"/>
        <v>2</v>
      </c>
      <c r="AF2139" s="19">
        <f t="shared" si="13"/>
        <v>1</v>
      </c>
      <c r="AG2139" s="9"/>
      <c r="AH2139" s="9"/>
      <c r="AI2139" s="9"/>
    </row>
    <row r="2140" ht="15.0" customHeight="1">
      <c r="A2140" s="11">
        <v>2139.0</v>
      </c>
      <c r="B2140" s="12">
        <f t="shared" si="343"/>
        <v>40175</v>
      </c>
      <c r="C2140" s="13">
        <v>2009.0</v>
      </c>
      <c r="D2140" s="11" t="s">
        <v>44</v>
      </c>
      <c r="E2140" s="11">
        <v>6.0</v>
      </c>
      <c r="F2140" s="21" t="s">
        <v>1002</v>
      </c>
      <c r="G2140" s="15">
        <v>0.03154105736782904</v>
      </c>
      <c r="H2140" s="11" t="s">
        <v>33</v>
      </c>
      <c r="I2140" s="16">
        <v>1.192</v>
      </c>
      <c r="J2140" s="11" t="s">
        <v>897</v>
      </c>
      <c r="K2140" s="11" t="s">
        <v>26</v>
      </c>
      <c r="L2140" s="11" t="s">
        <v>36</v>
      </c>
      <c r="M2140" s="11" t="s">
        <v>28</v>
      </c>
      <c r="N2140" s="11" t="s">
        <v>42</v>
      </c>
      <c r="O2140" s="11" t="s">
        <v>1003</v>
      </c>
      <c r="P2140" s="11" t="s">
        <v>38</v>
      </c>
      <c r="Q2140" s="20">
        <v>40177.0</v>
      </c>
      <c r="R2140" s="17">
        <f t="shared" si="2"/>
        <v>5.43111775</v>
      </c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>
        <f t="shared" si="8"/>
        <v>2</v>
      </c>
      <c r="AF2140" s="19">
        <f t="shared" si="13"/>
        <v>1</v>
      </c>
      <c r="AG2140" s="9"/>
      <c r="AH2140" s="9"/>
      <c r="AI2140" s="9"/>
    </row>
    <row r="2141" ht="15.0" customHeight="1">
      <c r="A2141" s="11">
        <v>2140.0</v>
      </c>
      <c r="B2141" s="12">
        <f t="shared" si="343"/>
        <v>40175</v>
      </c>
      <c r="C2141" s="13">
        <v>2009.0</v>
      </c>
      <c r="D2141" s="11" t="s">
        <v>102</v>
      </c>
      <c r="E2141" s="11">
        <v>39.0</v>
      </c>
      <c r="F2141" s="21" t="s">
        <v>1452</v>
      </c>
      <c r="G2141" s="15">
        <v>0.07476955130903286</v>
      </c>
      <c r="H2141" s="11" t="s">
        <v>45</v>
      </c>
      <c r="I2141" s="16">
        <v>39.2</v>
      </c>
      <c r="J2141" s="11" t="s">
        <v>855</v>
      </c>
      <c r="K2141" s="11" t="s">
        <v>26</v>
      </c>
      <c r="L2141" s="11" t="s">
        <v>36</v>
      </c>
      <c r="M2141" s="11" t="s">
        <v>66</v>
      </c>
      <c r="N2141" s="11" t="s">
        <v>170</v>
      </c>
      <c r="O2141" s="11" t="s">
        <v>1453</v>
      </c>
      <c r="P2141" s="11" t="s">
        <v>52</v>
      </c>
      <c r="Q2141" s="20">
        <v>40177.0</v>
      </c>
      <c r="R2141" s="17">
        <f t="shared" si="2"/>
        <v>1314.844991</v>
      </c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>
        <f t="shared" si="8"/>
        <v>2</v>
      </c>
      <c r="AF2141" s="19">
        <f t="shared" si="13"/>
        <v>1</v>
      </c>
      <c r="AG2141" s="9"/>
      <c r="AH2141" s="9"/>
      <c r="AI2141" s="9"/>
    </row>
    <row r="2142" ht="15.0" customHeight="1">
      <c r="A2142" s="11">
        <v>2141.0</v>
      </c>
      <c r="B2142" s="12">
        <f t="shared" si="343"/>
        <v>40175</v>
      </c>
      <c r="C2142" s="13">
        <v>2009.0</v>
      </c>
      <c r="D2142" s="11" t="s">
        <v>102</v>
      </c>
      <c r="E2142" s="11">
        <v>27.0</v>
      </c>
      <c r="F2142" s="21" t="s">
        <v>1782</v>
      </c>
      <c r="G2142" s="15">
        <v>0.0588913247729409</v>
      </c>
      <c r="H2142" s="11" t="s">
        <v>33</v>
      </c>
      <c r="I2142" s="16">
        <v>1.592</v>
      </c>
      <c r="J2142" s="11" t="s">
        <v>293</v>
      </c>
      <c r="K2142" s="11" t="s">
        <v>65</v>
      </c>
      <c r="L2142" s="11" t="s">
        <v>36</v>
      </c>
      <c r="M2142" s="11" t="s">
        <v>66</v>
      </c>
      <c r="N2142" s="11" t="s">
        <v>67</v>
      </c>
      <c r="O2142" s="11" t="s">
        <v>2103</v>
      </c>
      <c r="P2142" s="11" t="s">
        <v>99</v>
      </c>
      <c r="Q2142" s="20">
        <v>40178.0</v>
      </c>
      <c r="R2142" s="17">
        <f t="shared" si="2"/>
        <v>35.39321506</v>
      </c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>
        <f t="shared" si="8"/>
        <v>2</v>
      </c>
      <c r="AF2142" s="19">
        <f t="shared" si="13"/>
        <v>5</v>
      </c>
      <c r="AG2142" s="9"/>
      <c r="AH2142" s="9"/>
      <c r="AI2142" s="9"/>
    </row>
    <row r="2143" ht="15.0" customHeight="1">
      <c r="A2143" s="11">
        <v>2142.0</v>
      </c>
      <c r="B2143" s="12">
        <f t="shared" si="343"/>
        <v>40175</v>
      </c>
      <c r="C2143" s="13">
        <v>2009.0</v>
      </c>
      <c r="D2143" s="11" t="s">
        <v>39</v>
      </c>
      <c r="E2143" s="11">
        <v>18.0</v>
      </c>
      <c r="F2143" s="21" t="s">
        <v>126</v>
      </c>
      <c r="G2143" s="15">
        <v>0.05261855670103092</v>
      </c>
      <c r="H2143" s="11" t="s">
        <v>24</v>
      </c>
      <c r="I2143" s="16">
        <v>3.696</v>
      </c>
      <c r="J2143" s="11" t="s">
        <v>2104</v>
      </c>
      <c r="K2143" s="11" t="s">
        <v>47</v>
      </c>
      <c r="L2143" s="11" t="s">
        <v>48</v>
      </c>
      <c r="M2143" s="11" t="s">
        <v>66</v>
      </c>
      <c r="N2143" s="11" t="s">
        <v>67</v>
      </c>
      <c r="O2143" s="11" t="s">
        <v>675</v>
      </c>
      <c r="P2143" s="11" t="s">
        <v>99</v>
      </c>
      <c r="Q2143" s="20">
        <v>40179.0</v>
      </c>
      <c r="R2143" s="17">
        <f t="shared" si="2"/>
        <v>4.835434887</v>
      </c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>
        <f t="shared" si="8"/>
        <v>4</v>
      </c>
      <c r="AF2143" s="19">
        <f t="shared" si="13"/>
        <v>3</v>
      </c>
      <c r="AG2143" s="9"/>
      <c r="AH2143" s="9"/>
      <c r="AI2143" s="9"/>
    </row>
    <row r="2144" ht="15.0" customHeight="1">
      <c r="A2144" s="11">
        <v>2143.0</v>
      </c>
      <c r="B2144" s="12">
        <f t="shared" si="343"/>
        <v>40175</v>
      </c>
      <c r="C2144" s="13">
        <v>2009.0</v>
      </c>
      <c r="D2144" s="11" t="s">
        <v>23</v>
      </c>
      <c r="E2144" s="11">
        <v>9.0</v>
      </c>
      <c r="F2144" s="21" t="s">
        <v>558</v>
      </c>
      <c r="G2144" s="15">
        <v>0.023907380607814777</v>
      </c>
      <c r="H2144" s="11" t="s">
        <v>33</v>
      </c>
      <c r="I2144" s="16">
        <v>1.592</v>
      </c>
      <c r="J2144" s="11" t="s">
        <v>2105</v>
      </c>
      <c r="K2144" s="11" t="s">
        <v>61</v>
      </c>
      <c r="L2144" s="11" t="s">
        <v>36</v>
      </c>
      <c r="M2144" s="11" t="s">
        <v>66</v>
      </c>
      <c r="N2144" s="11" t="s">
        <v>67</v>
      </c>
      <c r="O2144" s="11" t="s">
        <v>559</v>
      </c>
      <c r="P2144" s="11" t="s">
        <v>99</v>
      </c>
      <c r="Q2144" s="20">
        <v>40179.0</v>
      </c>
      <c r="R2144" s="17">
        <f t="shared" si="2"/>
        <v>6.450020029</v>
      </c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>
        <f t="shared" si="8"/>
        <v>2</v>
      </c>
      <c r="AF2144" s="19">
        <f t="shared" si="13"/>
        <v>4</v>
      </c>
      <c r="AG2144" s="9"/>
      <c r="AH2144" s="9"/>
      <c r="AI2144" s="9"/>
    </row>
    <row r="2145" ht="15.0" customHeight="1">
      <c r="A2145" s="11">
        <v>2144.0</v>
      </c>
      <c r="B2145" s="12">
        <f t="shared" si="343"/>
        <v>40175</v>
      </c>
      <c r="C2145" s="13">
        <v>2009.0</v>
      </c>
      <c r="D2145" s="11" t="s">
        <v>23</v>
      </c>
      <c r="E2145" s="11">
        <v>10.0</v>
      </c>
      <c r="F2145" s="21" t="s">
        <v>151</v>
      </c>
      <c r="G2145" s="15">
        <v>0.051859838274932596</v>
      </c>
      <c r="H2145" s="11" t="s">
        <v>24</v>
      </c>
      <c r="I2145" s="16">
        <v>3.176</v>
      </c>
      <c r="J2145" s="11" t="s">
        <v>2105</v>
      </c>
      <c r="K2145" s="11" t="s">
        <v>61</v>
      </c>
      <c r="L2145" s="11" t="s">
        <v>36</v>
      </c>
      <c r="M2145" s="11" t="s">
        <v>28</v>
      </c>
      <c r="N2145" s="11" t="s">
        <v>62</v>
      </c>
      <c r="O2145" s="11" t="s">
        <v>209</v>
      </c>
      <c r="P2145" s="11" t="s">
        <v>58</v>
      </c>
      <c r="Q2145" s="20">
        <v>40179.0</v>
      </c>
      <c r="R2145" s="17">
        <f t="shared" si="2"/>
        <v>1.824221671</v>
      </c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>
        <f t="shared" si="8"/>
        <v>2</v>
      </c>
      <c r="AF2145" s="19">
        <f t="shared" si="13"/>
        <v>4</v>
      </c>
      <c r="AG2145" s="9"/>
      <c r="AH2145" s="9"/>
      <c r="AI2145" s="9"/>
    </row>
    <row r="2146" ht="15.0" customHeight="1">
      <c r="A2146" s="11">
        <v>2145.0</v>
      </c>
      <c r="B2146" s="12">
        <f t="shared" si="343"/>
        <v>40175</v>
      </c>
      <c r="C2146" s="13">
        <v>2009.0</v>
      </c>
      <c r="D2146" s="11" t="s">
        <v>32</v>
      </c>
      <c r="E2146" s="11">
        <v>7.0</v>
      </c>
      <c r="F2146" s="21" t="s">
        <v>130</v>
      </c>
      <c r="G2146" s="15">
        <v>0.03619446772841586</v>
      </c>
      <c r="H2146" s="11" t="s">
        <v>33</v>
      </c>
      <c r="I2146" s="16">
        <v>13.664</v>
      </c>
      <c r="J2146" s="11" t="s">
        <v>1888</v>
      </c>
      <c r="K2146" s="11" t="s">
        <v>26</v>
      </c>
      <c r="L2146" s="11" t="s">
        <v>36</v>
      </c>
      <c r="M2146" s="11" t="s">
        <v>28</v>
      </c>
      <c r="N2146" s="11" t="s">
        <v>56</v>
      </c>
      <c r="O2146" s="11" t="s">
        <v>2106</v>
      </c>
      <c r="P2146" s="11" t="s">
        <v>38</v>
      </c>
      <c r="Q2146" s="20">
        <v>40179.0</v>
      </c>
      <c r="R2146" s="17">
        <f t="shared" si="2"/>
        <v>8.323424577</v>
      </c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>
        <f t="shared" si="8"/>
        <v>2</v>
      </c>
      <c r="AF2146" s="19">
        <f t="shared" si="13"/>
        <v>1</v>
      </c>
      <c r="AG2146" s="9"/>
      <c r="AH2146" s="9"/>
      <c r="AI2146" s="9"/>
    </row>
    <row r="2147" ht="15.0" customHeight="1">
      <c r="A2147" s="11">
        <v>2146.0</v>
      </c>
      <c r="B2147" s="12">
        <f t="shared" ref="B2147:B2148" si="344">DATE(2012,12,31)-1098</f>
        <v>40176</v>
      </c>
      <c r="C2147" s="13">
        <v>2009.0</v>
      </c>
      <c r="D2147" s="11" t="s">
        <v>44</v>
      </c>
      <c r="E2147" s="11">
        <v>24.0</v>
      </c>
      <c r="F2147" s="21" t="s">
        <v>336</v>
      </c>
      <c r="G2147" s="15">
        <v>0.0813648293963255</v>
      </c>
      <c r="H2147" s="11" t="s">
        <v>24</v>
      </c>
      <c r="I2147" s="16">
        <v>0.8</v>
      </c>
      <c r="J2147" s="11" t="s">
        <v>1982</v>
      </c>
      <c r="K2147" s="11" t="s">
        <v>65</v>
      </c>
      <c r="L2147" s="11" t="s">
        <v>36</v>
      </c>
      <c r="M2147" s="11" t="s">
        <v>28</v>
      </c>
      <c r="N2147" s="11" t="s">
        <v>62</v>
      </c>
      <c r="O2147" s="11" t="s">
        <v>2107</v>
      </c>
      <c r="P2147" s="11" t="s">
        <v>58</v>
      </c>
      <c r="Q2147" s="20">
        <v>40180.0</v>
      </c>
      <c r="R2147" s="17">
        <f t="shared" si="2"/>
        <v>11.39107612</v>
      </c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>
        <f t="shared" si="8"/>
        <v>2</v>
      </c>
      <c r="AF2147" s="19">
        <f t="shared" si="13"/>
        <v>5</v>
      </c>
      <c r="AG2147" s="9"/>
      <c r="AH2147" s="9"/>
      <c r="AI2147" s="9"/>
    </row>
    <row r="2148" ht="15.0" customHeight="1">
      <c r="A2148" s="11">
        <v>2147.0</v>
      </c>
      <c r="B2148" s="12">
        <f t="shared" si="344"/>
        <v>40176</v>
      </c>
      <c r="C2148" s="13">
        <v>2009.0</v>
      </c>
      <c r="D2148" s="11" t="s">
        <v>44</v>
      </c>
      <c r="E2148" s="11">
        <v>29.0</v>
      </c>
      <c r="F2148" s="21" t="s">
        <v>100</v>
      </c>
      <c r="G2148" s="15">
        <v>0.04832075341042859</v>
      </c>
      <c r="H2148" s="11" t="s">
        <v>33</v>
      </c>
      <c r="I2148" s="16">
        <v>7.192</v>
      </c>
      <c r="J2148" s="11" t="s">
        <v>1982</v>
      </c>
      <c r="K2148" s="11" t="s">
        <v>65</v>
      </c>
      <c r="L2148" s="11" t="s">
        <v>36</v>
      </c>
      <c r="M2148" s="11" t="s">
        <v>66</v>
      </c>
      <c r="N2148" s="11" t="s">
        <v>80</v>
      </c>
      <c r="O2148" s="11" t="s">
        <v>586</v>
      </c>
      <c r="P2148" s="11" t="s">
        <v>38</v>
      </c>
      <c r="Q2148" s="20">
        <v>40180.0</v>
      </c>
      <c r="R2148" s="17">
        <f t="shared" si="2"/>
        <v>288.8755735</v>
      </c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>
        <f t="shared" si="8"/>
        <v>2</v>
      </c>
      <c r="AF2148" s="19">
        <f t="shared" si="13"/>
        <v>5</v>
      </c>
      <c r="AG2148" s="9"/>
      <c r="AH2148" s="9"/>
      <c r="AI2148" s="9"/>
    </row>
    <row r="2149" ht="15.0" customHeight="1">
      <c r="A2149" s="11">
        <v>2148.0</v>
      </c>
      <c r="B2149" s="12">
        <f t="shared" ref="B2149:B2151" si="345">DATE(2012,12,31)-1097</f>
        <v>40177</v>
      </c>
      <c r="C2149" s="13">
        <v>2009.0</v>
      </c>
      <c r="D2149" s="11" t="s">
        <v>44</v>
      </c>
      <c r="E2149" s="11">
        <v>37.0</v>
      </c>
      <c r="F2149" s="21" t="s">
        <v>2108</v>
      </c>
      <c r="G2149" s="15">
        <v>0.058634967276612916</v>
      </c>
      <c r="H2149" s="11" t="s">
        <v>33</v>
      </c>
      <c r="I2149" s="16">
        <v>3.6</v>
      </c>
      <c r="J2149" s="11" t="s">
        <v>1524</v>
      </c>
      <c r="K2149" s="11" t="s">
        <v>26</v>
      </c>
      <c r="L2149" s="11" t="s">
        <v>48</v>
      </c>
      <c r="M2149" s="11" t="s">
        <v>28</v>
      </c>
      <c r="N2149" s="11" t="s">
        <v>197</v>
      </c>
      <c r="O2149" s="11" t="s">
        <v>2109</v>
      </c>
      <c r="P2149" s="11" t="s">
        <v>38</v>
      </c>
      <c r="Q2149" s="20">
        <v>40180.0</v>
      </c>
      <c r="R2149" s="17">
        <f t="shared" si="2"/>
        <v>82.65184987</v>
      </c>
      <c r="S2149" s="9"/>
      <c r="T2149" s="9"/>
      <c r="U2149" s="9"/>
      <c r="V2149" s="9"/>
      <c r="W2149" s="9"/>
      <c r="X2149" s="9"/>
      <c r="Y2149" s="9"/>
      <c r="Z2149" s="9"/>
      <c r="AA2149" s="9"/>
      <c r="AB2149" s="28"/>
      <c r="AC2149" s="28"/>
      <c r="AD2149" s="28"/>
      <c r="AE2149" s="9">
        <f t="shared" si="8"/>
        <v>4</v>
      </c>
      <c r="AF2149" s="19">
        <f t="shared" si="13"/>
        <v>1</v>
      </c>
      <c r="AG2149" s="28"/>
      <c r="AH2149" s="28"/>
      <c r="AI2149" s="28"/>
    </row>
    <row r="2150" ht="15.0" customHeight="1">
      <c r="A2150" s="11">
        <v>2149.0</v>
      </c>
      <c r="B2150" s="12">
        <f t="shared" si="345"/>
        <v>40177</v>
      </c>
      <c r="C2150" s="13">
        <v>2009.0</v>
      </c>
      <c r="D2150" s="11" t="s">
        <v>44</v>
      </c>
      <c r="E2150" s="11">
        <v>48.0</v>
      </c>
      <c r="F2150" s="21" t="s">
        <v>952</v>
      </c>
      <c r="G2150" s="15">
        <v>0.0743692719860971</v>
      </c>
      <c r="H2150" s="11" t="s">
        <v>33</v>
      </c>
      <c r="I2150" s="16">
        <v>19.592</v>
      </c>
      <c r="J2150" s="11" t="s">
        <v>1524</v>
      </c>
      <c r="K2150" s="11" t="s">
        <v>26</v>
      </c>
      <c r="L2150" s="11" t="s">
        <v>48</v>
      </c>
      <c r="M2150" s="11" t="s">
        <v>66</v>
      </c>
      <c r="N2150" s="11" t="s">
        <v>170</v>
      </c>
      <c r="O2150" s="11" t="s">
        <v>2110</v>
      </c>
      <c r="P2150" s="11" t="s">
        <v>31</v>
      </c>
      <c r="Q2150" s="20">
        <v>40180.0</v>
      </c>
      <c r="R2150" s="17">
        <f t="shared" si="2"/>
        <v>2142.935103</v>
      </c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>
        <f t="shared" si="8"/>
        <v>4</v>
      </c>
      <c r="AF2150" s="19">
        <f t="shared" si="13"/>
        <v>1</v>
      </c>
      <c r="AG2150" s="9"/>
      <c r="AH2150" s="9"/>
      <c r="AI2150" s="9"/>
    </row>
    <row r="2151" ht="15.0" customHeight="1">
      <c r="A2151" s="11">
        <v>2150.0</v>
      </c>
      <c r="B2151" s="12">
        <f t="shared" si="345"/>
        <v>40177</v>
      </c>
      <c r="C2151" s="13">
        <v>2009.0</v>
      </c>
      <c r="D2151" s="11" t="s">
        <v>44</v>
      </c>
      <c r="E2151" s="11">
        <v>11.0</v>
      </c>
      <c r="F2151" s="21" t="s">
        <v>415</v>
      </c>
      <c r="G2151" s="15">
        <v>0.11914396887159538</v>
      </c>
      <c r="H2151" s="11" t="s">
        <v>24</v>
      </c>
      <c r="I2151" s="16">
        <v>2.3760000000000003</v>
      </c>
      <c r="J2151" s="11" t="s">
        <v>1524</v>
      </c>
      <c r="K2151" s="11" t="s">
        <v>26</v>
      </c>
      <c r="L2151" s="11" t="s">
        <v>48</v>
      </c>
      <c r="M2151" s="11" t="s">
        <v>28</v>
      </c>
      <c r="N2151" s="11" t="s">
        <v>56</v>
      </c>
      <c r="O2151" s="11" t="s">
        <v>2111</v>
      </c>
      <c r="P2151" s="11" t="s">
        <v>58</v>
      </c>
      <c r="Q2151" s="20">
        <v>40181.0</v>
      </c>
      <c r="R2151" s="17">
        <f t="shared" si="2"/>
        <v>5.394362335</v>
      </c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>
        <f t="shared" si="8"/>
        <v>4</v>
      </c>
      <c r="AF2151" s="19">
        <f t="shared" si="13"/>
        <v>1</v>
      </c>
      <c r="AG2151" s="9"/>
      <c r="AH2151" s="9"/>
      <c r="AI2151" s="9"/>
    </row>
    <row r="2152" ht="15.0" customHeight="1">
      <c r="A2152" s="11">
        <v>2151.0</v>
      </c>
      <c r="B2152" s="12">
        <f t="shared" ref="B2152:B2154" si="346">DATE(2012,12,31)-1096</f>
        <v>40178</v>
      </c>
      <c r="C2152" s="13">
        <v>2009.0</v>
      </c>
      <c r="D2152" s="11" t="s">
        <v>23</v>
      </c>
      <c r="E2152" s="11">
        <v>47.0</v>
      </c>
      <c r="F2152" s="21" t="s">
        <v>569</v>
      </c>
      <c r="G2152" s="15">
        <v>0.01054559902069223</v>
      </c>
      <c r="H2152" s="11" t="s">
        <v>33</v>
      </c>
      <c r="I2152" s="16">
        <v>7.192</v>
      </c>
      <c r="J2152" s="11" t="s">
        <v>2112</v>
      </c>
      <c r="K2152" s="11" t="s">
        <v>26</v>
      </c>
      <c r="L2152" s="11" t="s">
        <v>41</v>
      </c>
      <c r="M2152" s="11" t="s">
        <v>66</v>
      </c>
      <c r="N2152" s="11" t="s">
        <v>80</v>
      </c>
      <c r="O2152" s="11" t="s">
        <v>755</v>
      </c>
      <c r="P2152" s="11" t="s">
        <v>38</v>
      </c>
      <c r="Q2152" s="20">
        <v>40181.0</v>
      </c>
      <c r="R2152" s="17">
        <f t="shared" si="2"/>
        <v>97.17233781</v>
      </c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>
        <f t="shared" si="8"/>
        <v>3</v>
      </c>
      <c r="AF2152" s="19">
        <f t="shared" si="13"/>
        <v>1</v>
      </c>
      <c r="AG2152" s="9"/>
      <c r="AH2152" s="9"/>
      <c r="AI2152" s="9"/>
    </row>
    <row r="2153" ht="15.0" customHeight="1">
      <c r="A2153" s="11">
        <v>2152.0</v>
      </c>
      <c r="B2153" s="12">
        <f t="shared" si="346"/>
        <v>40178</v>
      </c>
      <c r="C2153" s="13">
        <v>2009.0</v>
      </c>
      <c r="D2153" s="11" t="s">
        <v>23</v>
      </c>
      <c r="E2153" s="11">
        <v>10.0</v>
      </c>
      <c r="F2153" s="21" t="s">
        <v>254</v>
      </c>
      <c r="G2153" s="15">
        <v>0.066778947368421</v>
      </c>
      <c r="H2153" s="11" t="s">
        <v>33</v>
      </c>
      <c r="I2153" s="16">
        <v>3.9840000000000004</v>
      </c>
      <c r="J2153" s="11" t="s">
        <v>2112</v>
      </c>
      <c r="K2153" s="11" t="s">
        <v>26</v>
      </c>
      <c r="L2153" s="11" t="s">
        <v>41</v>
      </c>
      <c r="M2153" s="11" t="s">
        <v>28</v>
      </c>
      <c r="N2153" s="11" t="s">
        <v>42</v>
      </c>
      <c r="O2153" s="11" t="s">
        <v>2040</v>
      </c>
      <c r="P2153" s="11" t="s">
        <v>38</v>
      </c>
      <c r="Q2153" s="20">
        <v>40181.0</v>
      </c>
      <c r="R2153" s="17">
        <f t="shared" si="2"/>
        <v>8.880531537</v>
      </c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>
        <f t="shared" si="8"/>
        <v>3</v>
      </c>
      <c r="AF2153" s="19">
        <f t="shared" si="13"/>
        <v>1</v>
      </c>
      <c r="AG2153" s="9"/>
      <c r="AH2153" s="9"/>
      <c r="AI2153" s="9"/>
    </row>
    <row r="2154" ht="15.0" customHeight="1">
      <c r="A2154" s="29">
        <v>2153.0</v>
      </c>
      <c r="B2154" s="30">
        <f t="shared" si="346"/>
        <v>40178</v>
      </c>
      <c r="C2154" s="31">
        <v>2009.0</v>
      </c>
      <c r="D2154" s="29" t="s">
        <v>23</v>
      </c>
      <c r="E2154" s="29">
        <v>1.0</v>
      </c>
      <c r="F2154" s="32" t="s">
        <v>536</v>
      </c>
      <c r="G2154" s="33">
        <v>0.07270844122216465</v>
      </c>
      <c r="H2154" s="29" t="s">
        <v>45</v>
      </c>
      <c r="I2154" s="34">
        <v>56.160000000000004</v>
      </c>
      <c r="J2154" s="29" t="s">
        <v>2112</v>
      </c>
      <c r="K2154" s="29" t="s">
        <v>26</v>
      </c>
      <c r="L2154" s="29" t="s">
        <v>41</v>
      </c>
      <c r="M2154" s="29" t="s">
        <v>49</v>
      </c>
      <c r="N2154" s="29" t="s">
        <v>50</v>
      </c>
      <c r="O2154" s="29" t="s">
        <v>537</v>
      </c>
      <c r="P2154" s="29" t="s">
        <v>52</v>
      </c>
      <c r="Q2154" s="35">
        <v>40181.0</v>
      </c>
      <c r="R2154" s="17">
        <f t="shared" si="2"/>
        <v>13.01917349</v>
      </c>
      <c r="S2154" s="36"/>
      <c r="T2154" s="36"/>
      <c r="U2154" s="36"/>
      <c r="V2154" s="36"/>
      <c r="W2154" s="36"/>
      <c r="X2154" s="28"/>
      <c r="Y2154" s="28"/>
      <c r="Z2154" s="28"/>
      <c r="AA2154" s="28"/>
      <c r="AB2154" s="9"/>
      <c r="AC2154" s="9"/>
      <c r="AD2154" s="9"/>
      <c r="AE2154" s="9">
        <f t="shared" si="8"/>
        <v>3</v>
      </c>
      <c r="AF2154" s="19">
        <f t="shared" si="13"/>
        <v>1</v>
      </c>
      <c r="AG2154" s="9"/>
      <c r="AH2154" s="9"/>
      <c r="AI2154" s="9"/>
    </row>
    <row r="2155" ht="15.0" customHeight="1">
      <c r="A2155" s="11">
        <v>2154.0</v>
      </c>
      <c r="B2155" s="12">
        <f t="shared" ref="B2155:B2159" si="347">DATE(2012,12,31)-1095</f>
        <v>40179</v>
      </c>
      <c r="C2155" s="13">
        <v>2010.0</v>
      </c>
      <c r="D2155" s="11" t="s">
        <v>44</v>
      </c>
      <c r="E2155" s="11">
        <v>42.0</v>
      </c>
      <c r="F2155" s="21" t="s">
        <v>1158</v>
      </c>
      <c r="G2155" s="15">
        <v>0.03766052129688497</v>
      </c>
      <c r="H2155" s="11" t="s">
        <v>33</v>
      </c>
      <c r="I2155" s="16">
        <v>4.376</v>
      </c>
      <c r="J2155" s="11" t="s">
        <v>1535</v>
      </c>
      <c r="K2155" s="11" t="s">
        <v>65</v>
      </c>
      <c r="L2155" s="11" t="s">
        <v>48</v>
      </c>
      <c r="M2155" s="11" t="s">
        <v>28</v>
      </c>
      <c r="N2155" s="11" t="s">
        <v>42</v>
      </c>
      <c r="O2155" s="11" t="s">
        <v>1530</v>
      </c>
      <c r="P2155" s="11" t="s">
        <v>38</v>
      </c>
      <c r="Q2155" s="20">
        <v>40181.0</v>
      </c>
      <c r="R2155" s="17">
        <f t="shared" si="2"/>
        <v>5.700899072</v>
      </c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>
        <f t="shared" si="8"/>
        <v>4</v>
      </c>
      <c r="AF2155" s="19">
        <f t="shared" si="13"/>
        <v>5</v>
      </c>
      <c r="AG2155" s="9"/>
      <c r="AH2155" s="9"/>
      <c r="AI2155" s="9"/>
    </row>
    <row r="2156" ht="15.0" customHeight="1">
      <c r="A2156" s="11">
        <v>2155.0</v>
      </c>
      <c r="B2156" s="12">
        <f t="shared" si="347"/>
        <v>40179</v>
      </c>
      <c r="C2156" s="13">
        <v>2010.0</v>
      </c>
      <c r="D2156" s="11" t="s">
        <v>44</v>
      </c>
      <c r="E2156" s="11">
        <v>11.0</v>
      </c>
      <c r="F2156" s="21" t="s">
        <v>1870</v>
      </c>
      <c r="G2156" s="15">
        <v>0.08631537242472277</v>
      </c>
      <c r="H2156" s="11" t="s">
        <v>33</v>
      </c>
      <c r="I2156" s="16">
        <v>6.928000000000001</v>
      </c>
      <c r="J2156" s="11" t="s">
        <v>1535</v>
      </c>
      <c r="K2156" s="11" t="s">
        <v>65</v>
      </c>
      <c r="L2156" s="11" t="s">
        <v>48</v>
      </c>
      <c r="M2156" s="11" t="s">
        <v>49</v>
      </c>
      <c r="N2156" s="11" t="s">
        <v>73</v>
      </c>
      <c r="O2156" s="11" t="s">
        <v>1871</v>
      </c>
      <c r="P2156" s="11" t="s">
        <v>75</v>
      </c>
      <c r="Q2156" s="20">
        <v>40181.0</v>
      </c>
      <c r="R2156" s="17">
        <f t="shared" si="2"/>
        <v>39.81106659</v>
      </c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>
        <f t="shared" si="8"/>
        <v>4</v>
      </c>
      <c r="AF2156" s="19">
        <f t="shared" si="13"/>
        <v>5</v>
      </c>
      <c r="AG2156" s="9"/>
      <c r="AH2156" s="9"/>
      <c r="AI2156" s="9"/>
    </row>
    <row r="2157" ht="15.0" customHeight="1">
      <c r="A2157" s="11">
        <v>2156.0</v>
      </c>
      <c r="B2157" s="12">
        <f t="shared" si="347"/>
        <v>40179</v>
      </c>
      <c r="C2157" s="13">
        <v>2010.0</v>
      </c>
      <c r="D2157" s="11" t="s">
        <v>44</v>
      </c>
      <c r="E2157" s="11">
        <v>29.0</v>
      </c>
      <c r="F2157" s="21" t="s">
        <v>110</v>
      </c>
      <c r="G2157" s="15">
        <v>0.02076563440262932</v>
      </c>
      <c r="H2157" s="11" t="s">
        <v>45</v>
      </c>
      <c r="I2157" s="16">
        <v>14.280000000000001</v>
      </c>
      <c r="J2157" s="11" t="s">
        <v>1535</v>
      </c>
      <c r="K2157" s="11" t="s">
        <v>65</v>
      </c>
      <c r="L2157" s="11" t="s">
        <v>48</v>
      </c>
      <c r="M2157" s="11" t="s">
        <v>66</v>
      </c>
      <c r="N2157" s="11" t="s">
        <v>69</v>
      </c>
      <c r="O2157" s="11" t="s">
        <v>111</v>
      </c>
      <c r="P2157" s="11" t="s">
        <v>52</v>
      </c>
      <c r="Q2157" s="20">
        <v>40181.0</v>
      </c>
      <c r="R2157" s="17">
        <f t="shared" si="2"/>
        <v>87.85690728</v>
      </c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>
        <f t="shared" si="8"/>
        <v>4</v>
      </c>
      <c r="AF2157" s="19">
        <f t="shared" si="13"/>
        <v>5</v>
      </c>
      <c r="AG2157" s="9"/>
      <c r="AH2157" s="9"/>
      <c r="AI2157" s="9"/>
    </row>
    <row r="2158" ht="15.0" customHeight="1">
      <c r="A2158" s="11">
        <v>2157.0</v>
      </c>
      <c r="B2158" s="12">
        <f t="shared" si="347"/>
        <v>40179</v>
      </c>
      <c r="C2158" s="13">
        <v>2010.0</v>
      </c>
      <c r="D2158" s="11" t="s">
        <v>102</v>
      </c>
      <c r="E2158" s="11">
        <v>43.0</v>
      </c>
      <c r="F2158" s="21" t="s">
        <v>135</v>
      </c>
      <c r="G2158" s="15">
        <v>0.026132615281050185</v>
      </c>
      <c r="H2158" s="11" t="s">
        <v>33</v>
      </c>
      <c r="I2158" s="16">
        <v>5.5360000000000005</v>
      </c>
      <c r="J2158" s="11" t="s">
        <v>180</v>
      </c>
      <c r="K2158" s="11" t="s">
        <v>35</v>
      </c>
      <c r="L2158" s="11" t="s">
        <v>36</v>
      </c>
      <c r="M2158" s="11" t="s">
        <v>28</v>
      </c>
      <c r="N2158" s="11" t="s">
        <v>56</v>
      </c>
      <c r="O2158" s="11" t="s">
        <v>1296</v>
      </c>
      <c r="P2158" s="11" t="s">
        <v>38</v>
      </c>
      <c r="Q2158" s="20">
        <v>40182.0</v>
      </c>
      <c r="R2158" s="17">
        <f t="shared" si="2"/>
        <v>7.561106375</v>
      </c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>
        <f t="shared" si="8"/>
        <v>2</v>
      </c>
      <c r="AF2158" s="19">
        <f t="shared" si="13"/>
        <v>2</v>
      </c>
      <c r="AG2158" s="9"/>
      <c r="AH2158" s="9"/>
      <c r="AI2158" s="9"/>
    </row>
    <row r="2159" ht="15.0" customHeight="1">
      <c r="A2159" s="11">
        <v>2158.0</v>
      </c>
      <c r="B2159" s="12">
        <f t="shared" si="347"/>
        <v>40179</v>
      </c>
      <c r="C2159" s="13">
        <v>2010.0</v>
      </c>
      <c r="D2159" s="11" t="s">
        <v>102</v>
      </c>
      <c r="E2159" s="11">
        <v>6.0</v>
      </c>
      <c r="F2159" s="21" t="s">
        <v>2021</v>
      </c>
      <c r="G2159" s="15">
        <v>0.08459851851851859</v>
      </c>
      <c r="H2159" s="11" t="s">
        <v>24</v>
      </c>
      <c r="I2159" s="16">
        <v>11.192</v>
      </c>
      <c r="J2159" s="11" t="s">
        <v>1095</v>
      </c>
      <c r="K2159" s="11" t="s">
        <v>65</v>
      </c>
      <c r="L2159" s="11" t="s">
        <v>41</v>
      </c>
      <c r="M2159" s="11" t="s">
        <v>66</v>
      </c>
      <c r="N2159" s="11" t="s">
        <v>69</v>
      </c>
      <c r="O2159" s="11" t="s">
        <v>2022</v>
      </c>
      <c r="P2159" s="11" t="s">
        <v>75</v>
      </c>
      <c r="Q2159" s="20">
        <v>40182.0</v>
      </c>
      <c r="R2159" s="17">
        <f t="shared" si="2"/>
        <v>104.5461724</v>
      </c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>
        <f t="shared" si="8"/>
        <v>3</v>
      </c>
      <c r="AF2159" s="19">
        <f t="shared" si="13"/>
        <v>5</v>
      </c>
      <c r="AG2159" s="9"/>
      <c r="AH2159" s="9"/>
      <c r="AI2159" s="9"/>
    </row>
    <row r="2160" ht="15.0" customHeight="1">
      <c r="A2160" s="11">
        <v>2159.0</v>
      </c>
      <c r="B2160" s="12">
        <f t="shared" ref="B2160:B2165" si="348">DATE(2012,12,31)-1094</f>
        <v>40180</v>
      </c>
      <c r="C2160" s="13">
        <v>2010.0</v>
      </c>
      <c r="D2160" s="11" t="s">
        <v>44</v>
      </c>
      <c r="E2160" s="11">
        <v>9.0</v>
      </c>
      <c r="F2160" s="21" t="s">
        <v>2113</v>
      </c>
      <c r="G2160" s="15">
        <v>0.04968953430145205</v>
      </c>
      <c r="H2160" s="11" t="s">
        <v>24</v>
      </c>
      <c r="I2160" s="16">
        <v>4.008</v>
      </c>
      <c r="J2160" s="11" t="s">
        <v>1410</v>
      </c>
      <c r="K2160" s="11" t="s">
        <v>83</v>
      </c>
      <c r="L2160" s="11" t="s">
        <v>41</v>
      </c>
      <c r="M2160" s="11" t="s">
        <v>28</v>
      </c>
      <c r="N2160" s="11" t="s">
        <v>236</v>
      </c>
      <c r="O2160" s="11" t="s">
        <v>2114</v>
      </c>
      <c r="P2160" s="11" t="s">
        <v>38</v>
      </c>
      <c r="Q2160" s="20">
        <v>40182.0</v>
      </c>
      <c r="R2160" s="17">
        <f t="shared" si="2"/>
        <v>37.719723</v>
      </c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>
        <f t="shared" si="8"/>
        <v>3</v>
      </c>
      <c r="AF2160" s="19" t="b">
        <f t="shared" si="13"/>
        <v>0</v>
      </c>
      <c r="AG2160" s="9"/>
      <c r="AH2160" s="9"/>
      <c r="AI2160" s="9"/>
    </row>
    <row r="2161" ht="15.0" customHeight="1">
      <c r="A2161" s="11">
        <v>2160.0</v>
      </c>
      <c r="B2161" s="12">
        <f t="shared" si="348"/>
        <v>40180</v>
      </c>
      <c r="C2161" s="13">
        <v>2010.0</v>
      </c>
      <c r="D2161" s="11" t="s">
        <v>44</v>
      </c>
      <c r="E2161" s="11">
        <v>23.0</v>
      </c>
      <c r="F2161" s="21" t="s">
        <v>178</v>
      </c>
      <c r="G2161" s="15">
        <v>0.06910660021879184</v>
      </c>
      <c r="H2161" s="11" t="s">
        <v>33</v>
      </c>
      <c r="I2161" s="16">
        <v>15.991999999999999</v>
      </c>
      <c r="J2161" s="11" t="s">
        <v>1410</v>
      </c>
      <c r="K2161" s="11" t="s">
        <v>83</v>
      </c>
      <c r="L2161" s="11" t="s">
        <v>41</v>
      </c>
      <c r="M2161" s="11" t="s">
        <v>66</v>
      </c>
      <c r="N2161" s="11" t="s">
        <v>80</v>
      </c>
      <c r="O2161" s="11" t="s">
        <v>2115</v>
      </c>
      <c r="P2161" s="11" t="s">
        <v>38</v>
      </c>
      <c r="Q2161" s="20">
        <v>40182.0</v>
      </c>
      <c r="R2161" s="17">
        <f t="shared" si="2"/>
        <v>105.8500267</v>
      </c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>
        <f t="shared" si="8"/>
        <v>3</v>
      </c>
      <c r="AF2161" s="19" t="b">
        <f t="shared" si="13"/>
        <v>0</v>
      </c>
      <c r="AG2161" s="9"/>
      <c r="AH2161" s="9"/>
      <c r="AI2161" s="9"/>
    </row>
    <row r="2162" ht="15.0" customHeight="1">
      <c r="A2162" s="11">
        <v>2161.0</v>
      </c>
      <c r="B2162" s="12">
        <f t="shared" si="348"/>
        <v>40180</v>
      </c>
      <c r="C2162" s="13">
        <v>2010.0</v>
      </c>
      <c r="D2162" s="11" t="s">
        <v>39</v>
      </c>
      <c r="E2162" s="11">
        <v>42.0</v>
      </c>
      <c r="F2162" s="21" t="s">
        <v>122</v>
      </c>
      <c r="G2162" s="15">
        <v>0.07038380430198236</v>
      </c>
      <c r="H2162" s="11" t="s">
        <v>33</v>
      </c>
      <c r="I2162" s="16">
        <v>3.848</v>
      </c>
      <c r="J2162" s="11" t="s">
        <v>2116</v>
      </c>
      <c r="K2162" s="11" t="s">
        <v>65</v>
      </c>
      <c r="L2162" s="11" t="s">
        <v>36</v>
      </c>
      <c r="M2162" s="11" t="s">
        <v>66</v>
      </c>
      <c r="N2162" s="11" t="s">
        <v>80</v>
      </c>
      <c r="O2162" s="11" t="s">
        <v>899</v>
      </c>
      <c r="P2162" s="11" t="s">
        <v>75</v>
      </c>
      <c r="Q2162" s="20">
        <v>40182.0</v>
      </c>
      <c r="R2162" s="17">
        <f t="shared" si="2"/>
        <v>62.0537403</v>
      </c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>
        <f t="shared" si="8"/>
        <v>2</v>
      </c>
      <c r="AF2162" s="19">
        <f t="shared" si="13"/>
        <v>5</v>
      </c>
      <c r="AG2162" s="9"/>
      <c r="AH2162" s="9"/>
      <c r="AI2162" s="9"/>
    </row>
    <row r="2163" ht="15.0" customHeight="1">
      <c r="A2163" s="11">
        <v>2162.0</v>
      </c>
      <c r="B2163" s="12">
        <f t="shared" si="348"/>
        <v>40180</v>
      </c>
      <c r="C2163" s="13">
        <v>2010.0</v>
      </c>
      <c r="D2163" s="11" t="s">
        <v>39</v>
      </c>
      <c r="E2163" s="11">
        <v>38.0</v>
      </c>
      <c r="F2163" s="21" t="s">
        <v>1954</v>
      </c>
      <c r="G2163" s="15">
        <v>0.08390413783622784</v>
      </c>
      <c r="H2163" s="11" t="s">
        <v>24</v>
      </c>
      <c r="I2163" s="16">
        <v>15.991999999999999</v>
      </c>
      <c r="J2163" s="11" t="s">
        <v>2116</v>
      </c>
      <c r="K2163" s="11" t="s">
        <v>65</v>
      </c>
      <c r="L2163" s="11" t="s">
        <v>36</v>
      </c>
      <c r="M2163" s="11" t="s">
        <v>28</v>
      </c>
      <c r="N2163" s="11" t="s">
        <v>56</v>
      </c>
      <c r="O2163" s="11" t="s">
        <v>2117</v>
      </c>
      <c r="P2163" s="11" t="s">
        <v>38</v>
      </c>
      <c r="Q2163" s="20">
        <v>40182.0</v>
      </c>
      <c r="R2163" s="17">
        <f t="shared" si="2"/>
        <v>335.4816335</v>
      </c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>
        <f t="shared" si="8"/>
        <v>2</v>
      </c>
      <c r="AF2163" s="19">
        <f t="shared" si="13"/>
        <v>5</v>
      </c>
      <c r="AG2163" s="9"/>
      <c r="AH2163" s="9"/>
      <c r="AI2163" s="9"/>
    </row>
    <row r="2164" ht="15.0" customHeight="1">
      <c r="A2164" s="11">
        <v>2163.0</v>
      </c>
      <c r="B2164" s="12">
        <f t="shared" si="348"/>
        <v>40180</v>
      </c>
      <c r="C2164" s="13">
        <v>2010.0</v>
      </c>
      <c r="D2164" s="11" t="s">
        <v>39</v>
      </c>
      <c r="E2164" s="11">
        <v>32.0</v>
      </c>
      <c r="F2164" s="21" t="s">
        <v>1897</v>
      </c>
      <c r="G2164" s="15">
        <v>0.09260060908462626</v>
      </c>
      <c r="H2164" s="11" t="s">
        <v>45</v>
      </c>
      <c r="I2164" s="16">
        <v>79.2</v>
      </c>
      <c r="J2164" s="11" t="s">
        <v>235</v>
      </c>
      <c r="K2164" s="11" t="s">
        <v>61</v>
      </c>
      <c r="L2164" s="11" t="s">
        <v>48</v>
      </c>
      <c r="M2164" s="11" t="s">
        <v>28</v>
      </c>
      <c r="N2164" s="11" t="s">
        <v>29</v>
      </c>
      <c r="O2164" s="11" t="s">
        <v>1898</v>
      </c>
      <c r="P2164" s="11" t="s">
        <v>52</v>
      </c>
      <c r="Q2164" s="20">
        <v>40183.0</v>
      </c>
      <c r="R2164" s="17">
        <f t="shared" si="2"/>
        <v>1106.392077</v>
      </c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>
        <f t="shared" si="8"/>
        <v>4</v>
      </c>
      <c r="AF2164" s="19">
        <f t="shared" si="13"/>
        <v>4</v>
      </c>
      <c r="AG2164" s="9"/>
      <c r="AH2164" s="9"/>
      <c r="AI2164" s="9"/>
    </row>
    <row r="2165" ht="15.0" customHeight="1">
      <c r="A2165" s="11">
        <v>2164.0</v>
      </c>
      <c r="B2165" s="12">
        <f t="shared" si="348"/>
        <v>40180</v>
      </c>
      <c r="C2165" s="13">
        <v>2010.0</v>
      </c>
      <c r="D2165" s="11" t="s">
        <v>44</v>
      </c>
      <c r="E2165" s="11">
        <v>34.0</v>
      </c>
      <c r="F2165" s="21" t="s">
        <v>284</v>
      </c>
      <c r="G2165" s="15">
        <v>0.1355980861244019</v>
      </c>
      <c r="H2165" s="11" t="s">
        <v>33</v>
      </c>
      <c r="I2165" s="16">
        <v>4.264</v>
      </c>
      <c r="J2165" s="11" t="s">
        <v>202</v>
      </c>
      <c r="K2165" s="11" t="s">
        <v>35</v>
      </c>
      <c r="L2165" s="11" t="s">
        <v>27</v>
      </c>
      <c r="M2165" s="11" t="s">
        <v>49</v>
      </c>
      <c r="N2165" s="11" t="s">
        <v>73</v>
      </c>
      <c r="O2165" s="11" t="s">
        <v>286</v>
      </c>
      <c r="P2165" s="11" t="s">
        <v>38</v>
      </c>
      <c r="Q2165" s="20">
        <v>40183.0</v>
      </c>
      <c r="R2165" s="17">
        <f t="shared" si="2"/>
        <v>9.798860096</v>
      </c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>
        <f t="shared" si="8"/>
        <v>1</v>
      </c>
      <c r="AF2165" s="19">
        <f t="shared" si="13"/>
        <v>2</v>
      </c>
      <c r="AG2165" s="9"/>
      <c r="AH2165" s="9"/>
      <c r="AI2165" s="9"/>
    </row>
    <row r="2166" ht="15.0" customHeight="1">
      <c r="A2166" s="11">
        <v>2165.0</v>
      </c>
      <c r="B2166" s="12">
        <f t="shared" ref="B2166:B2174" si="349">DATE(2012,12,31)-1093</f>
        <v>40181</v>
      </c>
      <c r="C2166" s="13">
        <v>2010.0</v>
      </c>
      <c r="D2166" s="11" t="s">
        <v>44</v>
      </c>
      <c r="E2166" s="11">
        <v>37.0</v>
      </c>
      <c r="F2166" s="21" t="s">
        <v>743</v>
      </c>
      <c r="G2166" s="15">
        <v>0.06821388164690836</v>
      </c>
      <c r="H2166" s="11" t="s">
        <v>33</v>
      </c>
      <c r="I2166" s="16">
        <v>10.928</v>
      </c>
      <c r="J2166" s="11" t="s">
        <v>2009</v>
      </c>
      <c r="K2166" s="11" t="s">
        <v>65</v>
      </c>
      <c r="L2166" s="11" t="s">
        <v>41</v>
      </c>
      <c r="M2166" s="11" t="s">
        <v>28</v>
      </c>
      <c r="N2166" s="11" t="s">
        <v>197</v>
      </c>
      <c r="O2166" s="11" t="s">
        <v>1638</v>
      </c>
      <c r="P2166" s="11" t="s">
        <v>38</v>
      </c>
      <c r="Q2166" s="20">
        <v>40183.0</v>
      </c>
      <c r="R2166" s="17">
        <f t="shared" si="2"/>
        <v>129.2126446</v>
      </c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>
        <f t="shared" si="8"/>
        <v>3</v>
      </c>
      <c r="AF2166" s="19">
        <f t="shared" si="13"/>
        <v>5</v>
      </c>
      <c r="AG2166" s="9"/>
      <c r="AH2166" s="9"/>
      <c r="AI2166" s="9"/>
    </row>
    <row r="2167" ht="15.0" customHeight="1">
      <c r="A2167" s="11">
        <v>2166.0</v>
      </c>
      <c r="B2167" s="12">
        <f t="shared" si="349"/>
        <v>40181</v>
      </c>
      <c r="C2167" s="13">
        <v>2010.0</v>
      </c>
      <c r="D2167" s="11" t="s">
        <v>44</v>
      </c>
      <c r="E2167" s="11">
        <v>12.0</v>
      </c>
      <c r="F2167" s="21" t="s">
        <v>1782</v>
      </c>
      <c r="G2167" s="15">
        <v>0.012920810313075647</v>
      </c>
      <c r="H2167" s="11" t="s">
        <v>33</v>
      </c>
      <c r="I2167" s="16">
        <v>1.592</v>
      </c>
      <c r="J2167" s="11" t="s">
        <v>2009</v>
      </c>
      <c r="K2167" s="11" t="s">
        <v>65</v>
      </c>
      <c r="L2167" s="11" t="s">
        <v>41</v>
      </c>
      <c r="M2167" s="11" t="s">
        <v>66</v>
      </c>
      <c r="N2167" s="11" t="s">
        <v>67</v>
      </c>
      <c r="O2167" s="11" t="s">
        <v>2103</v>
      </c>
      <c r="P2167" s="11" t="s">
        <v>99</v>
      </c>
      <c r="Q2167" s="20">
        <v>40183.0</v>
      </c>
      <c r="R2167" s="17">
        <f t="shared" si="2"/>
        <v>3.462673797</v>
      </c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>
        <f t="shared" si="8"/>
        <v>3</v>
      </c>
      <c r="AF2167" s="19">
        <f t="shared" si="13"/>
        <v>5</v>
      </c>
      <c r="AG2167" s="9"/>
      <c r="AH2167" s="9"/>
      <c r="AI2167" s="9"/>
    </row>
    <row r="2168" ht="15.0" customHeight="1">
      <c r="A2168" s="11">
        <v>2167.0</v>
      </c>
      <c r="B2168" s="12">
        <f t="shared" si="349"/>
        <v>40181</v>
      </c>
      <c r="C2168" s="13">
        <v>2010.0</v>
      </c>
      <c r="D2168" s="11" t="s">
        <v>44</v>
      </c>
      <c r="E2168" s="11">
        <v>13.0</v>
      </c>
      <c r="F2168" s="21" t="s">
        <v>344</v>
      </c>
      <c r="G2168" s="15">
        <v>0.04594017094017076</v>
      </c>
      <c r="H2168" s="11" t="s">
        <v>33</v>
      </c>
      <c r="I2168" s="16">
        <v>4.4</v>
      </c>
      <c r="J2168" s="11" t="s">
        <v>2009</v>
      </c>
      <c r="K2168" s="11" t="s">
        <v>65</v>
      </c>
      <c r="L2168" s="11" t="s">
        <v>41</v>
      </c>
      <c r="M2168" s="11" t="s">
        <v>28</v>
      </c>
      <c r="N2168" s="11" t="s">
        <v>29</v>
      </c>
      <c r="O2168" s="11" t="s">
        <v>346</v>
      </c>
      <c r="P2168" s="11" t="s">
        <v>38</v>
      </c>
      <c r="Q2168" s="20">
        <v>40183.0</v>
      </c>
      <c r="R2168" s="17">
        <f t="shared" si="2"/>
        <v>8.20491453</v>
      </c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>
        <f t="shared" si="8"/>
        <v>3</v>
      </c>
      <c r="AF2168" s="19">
        <f t="shared" si="13"/>
        <v>5</v>
      </c>
      <c r="AG2168" s="9"/>
      <c r="AH2168" s="9"/>
      <c r="AI2168" s="9"/>
    </row>
    <row r="2169" ht="15.0" customHeight="1">
      <c r="A2169" s="11">
        <v>2168.0</v>
      </c>
      <c r="B2169" s="12">
        <f t="shared" si="349"/>
        <v>40181</v>
      </c>
      <c r="C2169" s="13">
        <v>2010.0</v>
      </c>
      <c r="D2169" s="11" t="s">
        <v>102</v>
      </c>
      <c r="E2169" s="11">
        <v>19.0</v>
      </c>
      <c r="F2169" s="21" t="s">
        <v>1881</v>
      </c>
      <c r="G2169" s="15">
        <v>0.09474686646593376</v>
      </c>
      <c r="H2169" s="11" t="s">
        <v>33</v>
      </c>
      <c r="I2169" s="16">
        <v>15.991999999999999</v>
      </c>
      <c r="J2169" s="11" t="s">
        <v>1014</v>
      </c>
      <c r="K2169" s="11" t="s">
        <v>61</v>
      </c>
      <c r="L2169" s="11" t="s">
        <v>36</v>
      </c>
      <c r="M2169" s="11" t="s">
        <v>28</v>
      </c>
      <c r="N2169" s="11" t="s">
        <v>42</v>
      </c>
      <c r="O2169" s="11" t="s">
        <v>1882</v>
      </c>
      <c r="P2169" s="11" t="s">
        <v>38</v>
      </c>
      <c r="Q2169" s="20">
        <v>40183.0</v>
      </c>
      <c r="R2169" s="17">
        <f t="shared" si="2"/>
        <v>122.487991</v>
      </c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>
        <f t="shared" si="8"/>
        <v>2</v>
      </c>
      <c r="AF2169" s="19">
        <f t="shared" si="13"/>
        <v>4</v>
      </c>
      <c r="AG2169" s="9"/>
      <c r="AH2169" s="9"/>
      <c r="AI2169" s="9"/>
    </row>
    <row r="2170" ht="15.0" customHeight="1">
      <c r="A2170" s="11">
        <v>2169.0</v>
      </c>
      <c r="B2170" s="12">
        <f t="shared" si="349"/>
        <v>40181</v>
      </c>
      <c r="C2170" s="13">
        <v>2010.0</v>
      </c>
      <c r="D2170" s="11" t="s">
        <v>32</v>
      </c>
      <c r="E2170" s="11">
        <v>43.0</v>
      </c>
      <c r="F2170" s="21" t="s">
        <v>158</v>
      </c>
      <c r="G2170" s="15">
        <v>0.03551273227804559</v>
      </c>
      <c r="H2170" s="11" t="s">
        <v>33</v>
      </c>
      <c r="I2170" s="16">
        <v>5.08</v>
      </c>
      <c r="J2170" s="11" t="s">
        <v>1259</v>
      </c>
      <c r="K2170" s="11" t="s">
        <v>65</v>
      </c>
      <c r="L2170" s="11" t="s">
        <v>41</v>
      </c>
      <c r="M2170" s="11" t="s">
        <v>28</v>
      </c>
      <c r="N2170" s="11" t="s">
        <v>56</v>
      </c>
      <c r="O2170" s="11" t="s">
        <v>931</v>
      </c>
      <c r="P2170" s="11" t="s">
        <v>38</v>
      </c>
      <c r="Q2170" s="20">
        <v>40183.0</v>
      </c>
      <c r="R2170" s="17">
        <f t="shared" si="2"/>
        <v>9.953508603</v>
      </c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>
        <f t="shared" si="8"/>
        <v>3</v>
      </c>
      <c r="AF2170" s="19">
        <f t="shared" si="13"/>
        <v>5</v>
      </c>
      <c r="AG2170" s="9"/>
      <c r="AH2170" s="9"/>
      <c r="AI2170" s="9"/>
    </row>
    <row r="2171" ht="15.0" customHeight="1">
      <c r="A2171" s="11">
        <v>2170.0</v>
      </c>
      <c r="B2171" s="12">
        <f t="shared" si="349"/>
        <v>40181</v>
      </c>
      <c r="C2171" s="13">
        <v>2010.0</v>
      </c>
      <c r="D2171" s="11" t="s">
        <v>32</v>
      </c>
      <c r="E2171" s="11">
        <v>23.0</v>
      </c>
      <c r="F2171" s="21" t="s">
        <v>336</v>
      </c>
      <c r="G2171" s="15">
        <v>0.06415620641562056</v>
      </c>
      <c r="H2171" s="11" t="s">
        <v>33</v>
      </c>
      <c r="I2171" s="16">
        <v>0.8</v>
      </c>
      <c r="J2171" s="11" t="s">
        <v>1259</v>
      </c>
      <c r="K2171" s="11" t="s">
        <v>65</v>
      </c>
      <c r="L2171" s="11" t="s">
        <v>41</v>
      </c>
      <c r="M2171" s="11" t="s">
        <v>28</v>
      </c>
      <c r="N2171" s="11" t="s">
        <v>62</v>
      </c>
      <c r="O2171" s="11" t="s">
        <v>2107</v>
      </c>
      <c r="P2171" s="11" t="s">
        <v>58</v>
      </c>
      <c r="Q2171" s="20">
        <v>40183.0</v>
      </c>
      <c r="R2171" s="17">
        <f t="shared" si="2"/>
        <v>8.609762901</v>
      </c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>
        <f t="shared" si="8"/>
        <v>3</v>
      </c>
      <c r="AF2171" s="19">
        <f t="shared" si="13"/>
        <v>5</v>
      </c>
      <c r="AG2171" s="9"/>
      <c r="AH2171" s="9"/>
      <c r="AI2171" s="9"/>
    </row>
    <row r="2172" ht="15.0" customHeight="1">
      <c r="A2172" s="11">
        <v>2171.0</v>
      </c>
      <c r="B2172" s="12">
        <f t="shared" si="349"/>
        <v>40181</v>
      </c>
      <c r="C2172" s="13">
        <v>2010.0</v>
      </c>
      <c r="D2172" s="11" t="s">
        <v>32</v>
      </c>
      <c r="E2172" s="11">
        <v>41.0</v>
      </c>
      <c r="F2172" s="21" t="s">
        <v>914</v>
      </c>
      <c r="G2172" s="15">
        <v>0.043072053621299594</v>
      </c>
      <c r="H2172" s="11" t="s">
        <v>33</v>
      </c>
      <c r="I2172" s="16">
        <v>7.032</v>
      </c>
      <c r="J2172" s="11" t="s">
        <v>1259</v>
      </c>
      <c r="K2172" s="11" t="s">
        <v>65</v>
      </c>
      <c r="L2172" s="11" t="s">
        <v>41</v>
      </c>
      <c r="M2172" s="11" t="s">
        <v>28</v>
      </c>
      <c r="N2172" s="11" t="s">
        <v>29</v>
      </c>
      <c r="O2172" s="11" t="s">
        <v>1964</v>
      </c>
      <c r="P2172" s="11" t="s">
        <v>38</v>
      </c>
      <c r="Q2172" s="20">
        <v>40183.0</v>
      </c>
      <c r="R2172" s="17">
        <f t="shared" si="2"/>
        <v>44.27514222</v>
      </c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>
        <f t="shared" si="8"/>
        <v>3</v>
      </c>
      <c r="AF2172" s="19">
        <f t="shared" si="13"/>
        <v>5</v>
      </c>
      <c r="AG2172" s="9"/>
      <c r="AH2172" s="9"/>
      <c r="AI2172" s="9"/>
    </row>
    <row r="2173" ht="15.0" customHeight="1">
      <c r="A2173" s="11">
        <v>2172.0</v>
      </c>
      <c r="B2173" s="12">
        <f t="shared" si="349"/>
        <v>40181</v>
      </c>
      <c r="C2173" s="13">
        <v>2010.0</v>
      </c>
      <c r="D2173" s="11" t="s">
        <v>32</v>
      </c>
      <c r="E2173" s="11">
        <v>33.0</v>
      </c>
      <c r="F2173" s="21" t="s">
        <v>154</v>
      </c>
      <c r="G2173" s="15">
        <v>0.06578911892152142</v>
      </c>
      <c r="H2173" s="11" t="s">
        <v>45</v>
      </c>
      <c r="I2173" s="16">
        <v>35.64</v>
      </c>
      <c r="J2173" s="11" t="s">
        <v>1259</v>
      </c>
      <c r="K2173" s="11" t="s">
        <v>65</v>
      </c>
      <c r="L2173" s="11" t="s">
        <v>41</v>
      </c>
      <c r="M2173" s="11" t="s">
        <v>49</v>
      </c>
      <c r="N2173" s="11" t="s">
        <v>156</v>
      </c>
      <c r="O2173" s="11" t="s">
        <v>157</v>
      </c>
      <c r="P2173" s="11" t="s">
        <v>87</v>
      </c>
      <c r="Q2173" s="20">
        <v>40184.0</v>
      </c>
      <c r="R2173" s="17">
        <f t="shared" si="2"/>
        <v>1914.814675</v>
      </c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>
        <f t="shared" si="8"/>
        <v>3</v>
      </c>
      <c r="AF2173" s="19">
        <f t="shared" si="13"/>
        <v>5</v>
      </c>
      <c r="AG2173" s="9"/>
      <c r="AH2173" s="9"/>
      <c r="AI2173" s="9"/>
    </row>
    <row r="2174" ht="15.0" customHeight="1">
      <c r="A2174" s="11">
        <v>2173.0</v>
      </c>
      <c r="B2174" s="12">
        <f t="shared" si="349"/>
        <v>40181</v>
      </c>
      <c r="C2174" s="13">
        <v>2010.0</v>
      </c>
      <c r="D2174" s="11" t="s">
        <v>23</v>
      </c>
      <c r="E2174" s="11">
        <v>37.0</v>
      </c>
      <c r="F2174" s="21" t="s">
        <v>1791</v>
      </c>
      <c r="G2174" s="15">
        <v>0.08249195671248889</v>
      </c>
      <c r="H2174" s="11" t="s">
        <v>33</v>
      </c>
      <c r="I2174" s="16">
        <v>2.8960000000000004</v>
      </c>
      <c r="J2174" s="11" t="s">
        <v>120</v>
      </c>
      <c r="K2174" s="11" t="s">
        <v>35</v>
      </c>
      <c r="L2174" s="11" t="s">
        <v>41</v>
      </c>
      <c r="M2174" s="11" t="s">
        <v>66</v>
      </c>
      <c r="N2174" s="11" t="s">
        <v>67</v>
      </c>
      <c r="O2174" s="11" t="s">
        <v>2118</v>
      </c>
      <c r="P2174" s="11" t="s">
        <v>99</v>
      </c>
      <c r="Q2174" s="20">
        <v>40184.0</v>
      </c>
      <c r="R2174" s="17">
        <f t="shared" si="2"/>
        <v>25.87739685</v>
      </c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>
        <f t="shared" si="8"/>
        <v>3</v>
      </c>
      <c r="AF2174" s="19">
        <f t="shared" si="13"/>
        <v>2</v>
      </c>
      <c r="AG2174" s="9"/>
      <c r="AH2174" s="9"/>
      <c r="AI2174" s="9"/>
    </row>
    <row r="2175" ht="15.0" customHeight="1">
      <c r="A2175" s="11">
        <v>2174.0</v>
      </c>
      <c r="B2175" s="12">
        <f t="shared" ref="B2175:B2177" si="350">DATE(2012,12,31)-1092</f>
        <v>40182</v>
      </c>
      <c r="C2175" s="13">
        <v>2010.0</v>
      </c>
      <c r="D2175" s="11" t="s">
        <v>32</v>
      </c>
      <c r="E2175" s="11">
        <v>5.0</v>
      </c>
      <c r="F2175" s="21" t="s">
        <v>1452</v>
      </c>
      <c r="G2175" s="15">
        <v>0.021900944006207162</v>
      </c>
      <c r="H2175" s="11" t="s">
        <v>33</v>
      </c>
      <c r="I2175" s="16">
        <v>19.592</v>
      </c>
      <c r="J2175" s="11" t="s">
        <v>892</v>
      </c>
      <c r="K2175" s="11" t="s">
        <v>35</v>
      </c>
      <c r="L2175" s="11" t="s">
        <v>27</v>
      </c>
      <c r="M2175" s="11" t="s">
        <v>66</v>
      </c>
      <c r="N2175" s="11" t="s">
        <v>170</v>
      </c>
      <c r="O2175" s="11" t="s">
        <v>1453</v>
      </c>
      <c r="P2175" s="11" t="s">
        <v>31</v>
      </c>
      <c r="Q2175" s="20">
        <v>40185.0</v>
      </c>
      <c r="R2175" s="17">
        <f t="shared" si="2"/>
        <v>49.69525684</v>
      </c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>
        <f t="shared" si="8"/>
        <v>1</v>
      </c>
      <c r="AF2175" s="19">
        <f t="shared" si="13"/>
        <v>2</v>
      </c>
      <c r="AG2175" s="9"/>
      <c r="AH2175" s="9"/>
      <c r="AI2175" s="9"/>
    </row>
    <row r="2176" ht="15.0" customHeight="1">
      <c r="A2176" s="11">
        <v>2175.0</v>
      </c>
      <c r="B2176" s="12">
        <f t="shared" si="350"/>
        <v>40182</v>
      </c>
      <c r="C2176" s="13">
        <v>2010.0</v>
      </c>
      <c r="D2176" s="11" t="s">
        <v>32</v>
      </c>
      <c r="E2176" s="11">
        <v>48.0</v>
      </c>
      <c r="F2176" s="21" t="s">
        <v>1774</v>
      </c>
      <c r="G2176" s="15">
        <v>0.030263790993120213</v>
      </c>
      <c r="H2176" s="11" t="s">
        <v>24</v>
      </c>
      <c r="I2176" s="16">
        <v>15.991999999999999</v>
      </c>
      <c r="J2176" s="11" t="s">
        <v>892</v>
      </c>
      <c r="K2176" s="11" t="s">
        <v>35</v>
      </c>
      <c r="L2176" s="11" t="s">
        <v>27</v>
      </c>
      <c r="M2176" s="11" t="s">
        <v>28</v>
      </c>
      <c r="N2176" s="11" t="s">
        <v>29</v>
      </c>
      <c r="O2176" s="11" t="s">
        <v>1775</v>
      </c>
      <c r="P2176" s="11" t="s">
        <v>38</v>
      </c>
      <c r="Q2176" s="20">
        <v>40185.0</v>
      </c>
      <c r="R2176" s="17">
        <f t="shared" si="2"/>
        <v>139.0679303</v>
      </c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>
        <f t="shared" si="8"/>
        <v>1</v>
      </c>
      <c r="AF2176" s="19">
        <f t="shared" si="13"/>
        <v>2</v>
      </c>
      <c r="AG2176" s="9"/>
      <c r="AH2176" s="9"/>
      <c r="AI2176" s="9"/>
    </row>
    <row r="2177" ht="15.0" customHeight="1">
      <c r="A2177" s="11">
        <v>2176.0</v>
      </c>
      <c r="B2177" s="12">
        <f t="shared" si="350"/>
        <v>40182</v>
      </c>
      <c r="C2177" s="13">
        <v>2010.0</v>
      </c>
      <c r="D2177" s="11" t="s">
        <v>32</v>
      </c>
      <c r="E2177" s="11">
        <v>3.0</v>
      </c>
      <c r="F2177" s="21" t="s">
        <v>2119</v>
      </c>
      <c r="G2177" s="15">
        <v>0.024062672404281137</v>
      </c>
      <c r="H2177" s="11" t="s">
        <v>33</v>
      </c>
      <c r="I2177" s="16">
        <v>15.991999999999999</v>
      </c>
      <c r="J2177" s="11" t="s">
        <v>892</v>
      </c>
      <c r="K2177" s="11" t="s">
        <v>35</v>
      </c>
      <c r="L2177" s="11" t="s">
        <v>27</v>
      </c>
      <c r="M2177" s="11" t="s">
        <v>28</v>
      </c>
      <c r="N2177" s="11" t="s">
        <v>197</v>
      </c>
      <c r="O2177" s="11" t="s">
        <v>2120</v>
      </c>
      <c r="P2177" s="11" t="s">
        <v>38</v>
      </c>
      <c r="Q2177" s="20">
        <v>40185.0</v>
      </c>
      <c r="R2177" s="17">
        <f t="shared" si="2"/>
        <v>21.28324124</v>
      </c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>
        <f t="shared" si="8"/>
        <v>1</v>
      </c>
      <c r="AF2177" s="19">
        <f t="shared" si="13"/>
        <v>2</v>
      </c>
      <c r="AG2177" s="9"/>
      <c r="AH2177" s="9"/>
      <c r="AI2177" s="9"/>
    </row>
    <row r="2178" ht="15.0" customHeight="1">
      <c r="A2178" s="11">
        <v>2177.0</v>
      </c>
      <c r="B2178" s="12">
        <f t="shared" ref="B2178:B2183" si="351">DATE(2012,12,31)-1091</f>
        <v>40183</v>
      </c>
      <c r="C2178" s="13">
        <v>2010.0</v>
      </c>
      <c r="D2178" s="11" t="s">
        <v>32</v>
      </c>
      <c r="E2178" s="11">
        <v>6.0</v>
      </c>
      <c r="F2178" s="21" t="s">
        <v>1015</v>
      </c>
      <c r="G2178" s="15">
        <v>0.10017857142857127</v>
      </c>
      <c r="H2178" s="11" t="s">
        <v>24</v>
      </c>
      <c r="I2178" s="16">
        <v>6.112</v>
      </c>
      <c r="J2178" s="11" t="s">
        <v>1887</v>
      </c>
      <c r="K2178" s="11" t="s">
        <v>61</v>
      </c>
      <c r="L2178" s="11" t="s">
        <v>36</v>
      </c>
      <c r="M2178" s="11" t="s">
        <v>28</v>
      </c>
      <c r="N2178" s="11" t="s">
        <v>56</v>
      </c>
      <c r="O2178" s="11" t="s">
        <v>1016</v>
      </c>
      <c r="P2178" s="11" t="s">
        <v>38</v>
      </c>
      <c r="Q2178" s="20">
        <v>40185.0</v>
      </c>
      <c r="R2178" s="17">
        <f t="shared" si="2"/>
        <v>4.038398571</v>
      </c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>
        <f t="shared" si="8"/>
        <v>2</v>
      </c>
      <c r="AF2178" s="19">
        <f t="shared" si="13"/>
        <v>4</v>
      </c>
      <c r="AG2178" s="9"/>
      <c r="AH2178" s="9"/>
      <c r="AI2178" s="9"/>
    </row>
    <row r="2179" ht="15.0" customHeight="1">
      <c r="A2179" s="11">
        <v>2178.0</v>
      </c>
      <c r="B2179" s="12">
        <f t="shared" si="351"/>
        <v>40183</v>
      </c>
      <c r="C2179" s="13">
        <v>2010.0</v>
      </c>
      <c r="D2179" s="11" t="s">
        <v>32</v>
      </c>
      <c r="E2179" s="11">
        <v>15.0</v>
      </c>
      <c r="F2179" s="21" t="s">
        <v>782</v>
      </c>
      <c r="G2179" s="15">
        <v>0.04166620536949912</v>
      </c>
      <c r="H2179" s="11" t="s">
        <v>33</v>
      </c>
      <c r="I2179" s="16">
        <v>3.9920000000000004</v>
      </c>
      <c r="J2179" s="11" t="s">
        <v>1887</v>
      </c>
      <c r="K2179" s="11" t="s">
        <v>61</v>
      </c>
      <c r="L2179" s="11" t="s">
        <v>36</v>
      </c>
      <c r="M2179" s="11" t="s">
        <v>66</v>
      </c>
      <c r="N2179" s="11" t="s">
        <v>80</v>
      </c>
      <c r="O2179" s="11" t="s">
        <v>783</v>
      </c>
      <c r="P2179" s="11" t="s">
        <v>38</v>
      </c>
      <c r="Q2179" s="20">
        <v>40185.0</v>
      </c>
      <c r="R2179" s="17">
        <f t="shared" si="2"/>
        <v>28.85351389</v>
      </c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>
        <f t="shared" si="8"/>
        <v>2</v>
      </c>
      <c r="AF2179" s="19">
        <f t="shared" si="13"/>
        <v>4</v>
      </c>
      <c r="AG2179" s="9"/>
      <c r="AH2179" s="9"/>
      <c r="AI2179" s="9"/>
    </row>
    <row r="2180" ht="15.0" customHeight="1">
      <c r="A2180" s="11">
        <v>2179.0</v>
      </c>
      <c r="B2180" s="12">
        <f t="shared" si="351"/>
        <v>40183</v>
      </c>
      <c r="C2180" s="13">
        <v>2010.0</v>
      </c>
      <c r="D2180" s="11" t="s">
        <v>32</v>
      </c>
      <c r="E2180" s="11">
        <v>31.0</v>
      </c>
      <c r="F2180" s="21" t="s">
        <v>666</v>
      </c>
      <c r="G2180" s="15">
        <v>0.09510703363914381</v>
      </c>
      <c r="H2180" s="11" t="s">
        <v>33</v>
      </c>
      <c r="I2180" s="16">
        <v>0.5599999999999999</v>
      </c>
      <c r="J2180" s="11" t="s">
        <v>1264</v>
      </c>
      <c r="K2180" s="11" t="s">
        <v>35</v>
      </c>
      <c r="L2180" s="11" t="s">
        <v>41</v>
      </c>
      <c r="M2180" s="11" t="s">
        <v>28</v>
      </c>
      <c r="N2180" s="11" t="s">
        <v>62</v>
      </c>
      <c r="O2180" s="11" t="s">
        <v>2121</v>
      </c>
      <c r="P2180" s="11" t="s">
        <v>58</v>
      </c>
      <c r="Q2180" s="20">
        <v>40185.0</v>
      </c>
      <c r="R2180" s="17">
        <f t="shared" si="2"/>
        <v>11.2568685</v>
      </c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>
        <f t="shared" si="8"/>
        <v>3</v>
      </c>
      <c r="AF2180" s="19">
        <f t="shared" si="13"/>
        <v>2</v>
      </c>
      <c r="AG2180" s="9"/>
      <c r="AH2180" s="9"/>
      <c r="AI2180" s="9"/>
    </row>
    <row r="2181" ht="15.0" customHeight="1">
      <c r="A2181" s="11">
        <v>2180.0</v>
      </c>
      <c r="B2181" s="12">
        <f t="shared" si="351"/>
        <v>40183</v>
      </c>
      <c r="C2181" s="13">
        <v>2010.0</v>
      </c>
      <c r="D2181" s="11" t="s">
        <v>32</v>
      </c>
      <c r="E2181" s="11">
        <v>44.0</v>
      </c>
      <c r="F2181" s="21" t="s">
        <v>178</v>
      </c>
      <c r="G2181" s="15">
        <v>0.09239956229482554</v>
      </c>
      <c r="H2181" s="11" t="s">
        <v>24</v>
      </c>
      <c r="I2181" s="16">
        <v>3.3600000000000003</v>
      </c>
      <c r="J2181" s="11" t="s">
        <v>1264</v>
      </c>
      <c r="K2181" s="11" t="s">
        <v>35</v>
      </c>
      <c r="L2181" s="11" t="s">
        <v>41</v>
      </c>
      <c r="M2181" s="11" t="s">
        <v>66</v>
      </c>
      <c r="N2181" s="11" t="s">
        <v>80</v>
      </c>
      <c r="O2181" s="11" t="s">
        <v>1690</v>
      </c>
      <c r="P2181" s="11" t="s">
        <v>38</v>
      </c>
      <c r="Q2181" s="20">
        <v>40185.0</v>
      </c>
      <c r="R2181" s="17">
        <f t="shared" si="2"/>
        <v>268.2322334</v>
      </c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>
        <f t="shared" si="8"/>
        <v>3</v>
      </c>
      <c r="AF2181" s="19">
        <f t="shared" si="13"/>
        <v>2</v>
      </c>
      <c r="AG2181" s="9"/>
      <c r="AH2181" s="9"/>
      <c r="AI2181" s="9"/>
    </row>
    <row r="2182" ht="15.0" customHeight="1">
      <c r="A2182" s="11">
        <v>2181.0</v>
      </c>
      <c r="B2182" s="12">
        <f t="shared" si="351"/>
        <v>40183</v>
      </c>
      <c r="C2182" s="13">
        <v>2010.0</v>
      </c>
      <c r="D2182" s="11" t="s">
        <v>23</v>
      </c>
      <c r="E2182" s="11">
        <v>34.0</v>
      </c>
      <c r="F2182" s="21" t="s">
        <v>306</v>
      </c>
      <c r="G2182" s="15">
        <v>0.045746102449888686</v>
      </c>
      <c r="H2182" s="11" t="s">
        <v>33</v>
      </c>
      <c r="I2182" s="16">
        <v>8.936</v>
      </c>
      <c r="J2182" s="11" t="s">
        <v>1857</v>
      </c>
      <c r="K2182" s="11" t="s">
        <v>61</v>
      </c>
      <c r="L2182" s="11" t="s">
        <v>27</v>
      </c>
      <c r="M2182" s="11" t="s">
        <v>49</v>
      </c>
      <c r="N2182" s="11" t="s">
        <v>73</v>
      </c>
      <c r="O2182" s="11" t="s">
        <v>125</v>
      </c>
      <c r="P2182" s="11" t="s">
        <v>31</v>
      </c>
      <c r="Q2182" s="20">
        <v>40185.0</v>
      </c>
      <c r="R2182" s="17">
        <f t="shared" si="2"/>
        <v>31.36060009</v>
      </c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>
        <f t="shared" si="8"/>
        <v>1</v>
      </c>
      <c r="AF2182" s="19">
        <f t="shared" si="13"/>
        <v>4</v>
      </c>
      <c r="AG2182" s="9"/>
      <c r="AH2182" s="9"/>
      <c r="AI2182" s="9"/>
    </row>
    <row r="2183" ht="15.0" customHeight="1">
      <c r="A2183" s="11">
        <v>2182.0</v>
      </c>
      <c r="B2183" s="12">
        <f t="shared" si="351"/>
        <v>40183</v>
      </c>
      <c r="C2183" s="13">
        <v>2010.0</v>
      </c>
      <c r="D2183" s="11" t="s">
        <v>23</v>
      </c>
      <c r="E2183" s="11">
        <v>44.0</v>
      </c>
      <c r="F2183" s="21" t="s">
        <v>1265</v>
      </c>
      <c r="G2183" s="15">
        <v>0.05871997988180567</v>
      </c>
      <c r="H2183" s="11" t="s">
        <v>33</v>
      </c>
      <c r="I2183" s="16">
        <v>5.0</v>
      </c>
      <c r="J2183" s="11" t="s">
        <v>1857</v>
      </c>
      <c r="K2183" s="11" t="s">
        <v>61</v>
      </c>
      <c r="L2183" s="11" t="s">
        <v>27</v>
      </c>
      <c r="M2183" s="11" t="s">
        <v>28</v>
      </c>
      <c r="N2183" s="11" t="s">
        <v>29</v>
      </c>
      <c r="O2183" s="11" t="s">
        <v>2019</v>
      </c>
      <c r="P2183" s="11" t="s">
        <v>38</v>
      </c>
      <c r="Q2183" s="20">
        <v>40185.0</v>
      </c>
      <c r="R2183" s="17">
        <f t="shared" si="2"/>
        <v>43.95777694</v>
      </c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>
        <f t="shared" si="8"/>
        <v>1</v>
      </c>
      <c r="AF2183" s="19">
        <f t="shared" si="13"/>
        <v>4</v>
      </c>
      <c r="AG2183" s="9"/>
      <c r="AH2183" s="9"/>
      <c r="AI2183" s="9"/>
    </row>
    <row r="2184" ht="15.0" customHeight="1">
      <c r="A2184" s="11">
        <v>2183.0</v>
      </c>
      <c r="B2184" s="12">
        <f t="shared" ref="B2184:B2186" si="352">DATE(2012,12,31)-1090</f>
        <v>40184</v>
      </c>
      <c r="C2184" s="13">
        <v>2010.0</v>
      </c>
      <c r="D2184" s="11" t="s">
        <v>23</v>
      </c>
      <c r="E2184" s="11">
        <v>25.0</v>
      </c>
      <c r="F2184" s="21" t="s">
        <v>956</v>
      </c>
      <c r="G2184" s="15">
        <v>0.08721875000000001</v>
      </c>
      <c r="H2184" s="11" t="s">
        <v>33</v>
      </c>
      <c r="I2184" s="16">
        <v>4.336</v>
      </c>
      <c r="J2184" s="11" t="s">
        <v>1825</v>
      </c>
      <c r="K2184" s="11" t="s">
        <v>65</v>
      </c>
      <c r="L2184" s="11" t="s">
        <v>36</v>
      </c>
      <c r="M2184" s="11" t="s">
        <v>28</v>
      </c>
      <c r="N2184" s="11" t="s">
        <v>42</v>
      </c>
      <c r="O2184" s="11" t="s">
        <v>1189</v>
      </c>
      <c r="P2184" s="11" t="s">
        <v>38</v>
      </c>
      <c r="Q2184" s="20">
        <v>40186.0</v>
      </c>
      <c r="R2184" s="17">
        <f t="shared" si="2"/>
        <v>10.19028988</v>
      </c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>
        <f t="shared" si="8"/>
        <v>2</v>
      </c>
      <c r="AF2184" s="19">
        <f t="shared" si="13"/>
        <v>5</v>
      </c>
      <c r="AG2184" s="9"/>
      <c r="AH2184" s="9"/>
      <c r="AI2184" s="9"/>
    </row>
    <row r="2185" ht="15.0" customHeight="1">
      <c r="A2185" s="11">
        <v>2184.0</v>
      </c>
      <c r="B2185" s="12">
        <f t="shared" si="352"/>
        <v>40184</v>
      </c>
      <c r="C2185" s="13">
        <v>2010.0</v>
      </c>
      <c r="D2185" s="11" t="s">
        <v>23</v>
      </c>
      <c r="E2185" s="11">
        <v>29.0</v>
      </c>
      <c r="F2185" s="21" t="s">
        <v>2122</v>
      </c>
      <c r="G2185" s="15">
        <v>0.04503027856277743</v>
      </c>
      <c r="H2185" s="11" t="s">
        <v>33</v>
      </c>
      <c r="I2185" s="16">
        <v>6.192</v>
      </c>
      <c r="J2185" s="11" t="s">
        <v>1825</v>
      </c>
      <c r="K2185" s="11" t="s">
        <v>65</v>
      </c>
      <c r="L2185" s="11" t="s">
        <v>36</v>
      </c>
      <c r="M2185" s="11" t="s">
        <v>49</v>
      </c>
      <c r="N2185" s="11" t="s">
        <v>73</v>
      </c>
      <c r="O2185" s="11" t="s">
        <v>2123</v>
      </c>
      <c r="P2185" s="11" t="s">
        <v>38</v>
      </c>
      <c r="Q2185" s="20">
        <v>40186.0</v>
      </c>
      <c r="R2185" s="17">
        <f t="shared" si="2"/>
        <v>21.30346455</v>
      </c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>
        <f t="shared" si="8"/>
        <v>2</v>
      </c>
      <c r="AF2185" s="19">
        <f t="shared" si="13"/>
        <v>5</v>
      </c>
      <c r="AG2185" s="9"/>
      <c r="AH2185" s="9"/>
      <c r="AI2185" s="9"/>
    </row>
    <row r="2186" ht="15.0" customHeight="1">
      <c r="A2186" s="11">
        <v>2185.0</v>
      </c>
      <c r="B2186" s="12">
        <f t="shared" si="352"/>
        <v>40184</v>
      </c>
      <c r="C2186" s="13">
        <v>2010.0</v>
      </c>
      <c r="D2186" s="11" t="s">
        <v>32</v>
      </c>
      <c r="E2186" s="11">
        <v>35.0</v>
      </c>
      <c r="F2186" s="21" t="s">
        <v>1195</v>
      </c>
      <c r="G2186" s="15">
        <v>0.07415999999999996</v>
      </c>
      <c r="H2186" s="11" t="s">
        <v>33</v>
      </c>
      <c r="I2186" s="16">
        <v>3.168</v>
      </c>
      <c r="J2186" s="11" t="s">
        <v>1653</v>
      </c>
      <c r="K2186" s="11" t="s">
        <v>83</v>
      </c>
      <c r="L2186" s="11" t="s">
        <v>36</v>
      </c>
      <c r="M2186" s="11" t="s">
        <v>49</v>
      </c>
      <c r="N2186" s="11" t="s">
        <v>73</v>
      </c>
      <c r="O2186" s="11" t="s">
        <v>2124</v>
      </c>
      <c r="P2186" s="11" t="s">
        <v>58</v>
      </c>
      <c r="Q2186" s="20">
        <v>40186.0</v>
      </c>
      <c r="R2186" s="17">
        <f t="shared" si="2"/>
        <v>13.73205888</v>
      </c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>
        <f t="shared" si="8"/>
        <v>2</v>
      </c>
      <c r="AF2186" s="19" t="b">
        <f t="shared" si="13"/>
        <v>0</v>
      </c>
      <c r="AG2186" s="9"/>
      <c r="AH2186" s="9"/>
      <c r="AI2186" s="9"/>
    </row>
    <row r="2187" ht="15.0" customHeight="1">
      <c r="A2187" s="11">
        <v>2186.0</v>
      </c>
      <c r="B2187" s="12">
        <f t="shared" ref="B2187:B2192" si="353">DATE(2012,12,31)-1089</f>
        <v>40185</v>
      </c>
      <c r="C2187" s="13">
        <v>2010.0</v>
      </c>
      <c r="D2187" s="11" t="s">
        <v>102</v>
      </c>
      <c r="E2187" s="11">
        <v>12.0</v>
      </c>
      <c r="F2187" s="21" t="s">
        <v>700</v>
      </c>
      <c r="G2187" s="15">
        <v>0.0844514106583073</v>
      </c>
      <c r="H2187" s="11" t="s">
        <v>33</v>
      </c>
      <c r="I2187" s="16">
        <v>1.6239999999999999</v>
      </c>
      <c r="J2187" s="11" t="s">
        <v>1370</v>
      </c>
      <c r="K2187" s="11" t="s">
        <v>83</v>
      </c>
      <c r="L2187" s="11" t="s">
        <v>27</v>
      </c>
      <c r="M2187" s="11" t="s">
        <v>28</v>
      </c>
      <c r="N2187" s="11" t="s">
        <v>56</v>
      </c>
      <c r="O2187" s="11" t="s">
        <v>1751</v>
      </c>
      <c r="P2187" s="11" t="s">
        <v>58</v>
      </c>
      <c r="Q2187" s="20">
        <v>40186.0</v>
      </c>
      <c r="R2187" s="17">
        <f t="shared" si="2"/>
        <v>9.865951599</v>
      </c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>
        <f t="shared" si="8"/>
        <v>1</v>
      </c>
      <c r="AF2187" s="19" t="b">
        <f t="shared" si="13"/>
        <v>0</v>
      </c>
      <c r="AG2187" s="9"/>
      <c r="AH2187" s="9"/>
      <c r="AI2187" s="9"/>
    </row>
    <row r="2188" ht="15.0" customHeight="1">
      <c r="A2188" s="11">
        <v>2187.0</v>
      </c>
      <c r="B2188" s="12">
        <f t="shared" si="353"/>
        <v>40185</v>
      </c>
      <c r="C2188" s="13">
        <v>2010.0</v>
      </c>
      <c r="D2188" s="11" t="s">
        <v>44</v>
      </c>
      <c r="E2188" s="11">
        <v>44.0</v>
      </c>
      <c r="F2188" s="21" t="s">
        <v>151</v>
      </c>
      <c r="G2188" s="15">
        <v>0.02557467309015835</v>
      </c>
      <c r="H2188" s="11" t="s">
        <v>24</v>
      </c>
      <c r="I2188" s="16">
        <v>0.784</v>
      </c>
      <c r="J2188" s="11" t="s">
        <v>215</v>
      </c>
      <c r="K2188" s="11" t="s">
        <v>26</v>
      </c>
      <c r="L2188" s="11" t="s">
        <v>48</v>
      </c>
      <c r="M2188" s="11" t="s">
        <v>28</v>
      </c>
      <c r="N2188" s="11" t="s">
        <v>62</v>
      </c>
      <c r="O2188" s="11" t="s">
        <v>2125</v>
      </c>
      <c r="P2188" s="11" t="s">
        <v>58</v>
      </c>
      <c r="Q2188" s="20">
        <v>40186.0</v>
      </c>
      <c r="R2188" s="17">
        <f t="shared" si="2"/>
        <v>3.620964515</v>
      </c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>
        <f t="shared" si="8"/>
        <v>4</v>
      </c>
      <c r="AF2188" s="19">
        <f t="shared" si="13"/>
        <v>1</v>
      </c>
      <c r="AG2188" s="9"/>
      <c r="AH2188" s="9"/>
      <c r="AI2188" s="9"/>
    </row>
    <row r="2189" ht="15.0" customHeight="1">
      <c r="A2189" s="11">
        <v>2188.0</v>
      </c>
      <c r="B2189" s="12">
        <f t="shared" si="353"/>
        <v>40185</v>
      </c>
      <c r="C2189" s="13">
        <v>2010.0</v>
      </c>
      <c r="D2189" s="11" t="s">
        <v>102</v>
      </c>
      <c r="E2189" s="11">
        <v>21.0</v>
      </c>
      <c r="F2189" s="21" t="s">
        <v>158</v>
      </c>
      <c r="G2189" s="15">
        <v>0.03276216586703222</v>
      </c>
      <c r="H2189" s="11" t="s">
        <v>33</v>
      </c>
      <c r="I2189" s="16">
        <v>6.720000000000001</v>
      </c>
      <c r="J2189" s="11" t="s">
        <v>1214</v>
      </c>
      <c r="K2189" s="11" t="s">
        <v>35</v>
      </c>
      <c r="L2189" s="11" t="s">
        <v>27</v>
      </c>
      <c r="M2189" s="11" t="s">
        <v>28</v>
      </c>
      <c r="N2189" s="11" t="s">
        <v>56</v>
      </c>
      <c r="O2189" s="11" t="s">
        <v>1260</v>
      </c>
      <c r="P2189" s="11" t="s">
        <v>38</v>
      </c>
      <c r="Q2189" s="20">
        <v>40186.0</v>
      </c>
      <c r="R2189" s="17">
        <f t="shared" si="2"/>
        <v>4.623396847</v>
      </c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>
        <f t="shared" si="8"/>
        <v>1</v>
      </c>
      <c r="AF2189" s="19">
        <f t="shared" si="13"/>
        <v>2</v>
      </c>
      <c r="AG2189" s="9"/>
      <c r="AH2189" s="9"/>
      <c r="AI2189" s="9"/>
    </row>
    <row r="2190" ht="15.0" customHeight="1">
      <c r="A2190" s="11">
        <v>2189.0</v>
      </c>
      <c r="B2190" s="12">
        <f t="shared" si="353"/>
        <v>40185</v>
      </c>
      <c r="C2190" s="13">
        <v>2010.0</v>
      </c>
      <c r="D2190" s="11" t="s">
        <v>102</v>
      </c>
      <c r="E2190" s="11">
        <v>19.0</v>
      </c>
      <c r="F2190" s="21" t="s">
        <v>210</v>
      </c>
      <c r="G2190" s="15">
        <v>0.056723163841807915</v>
      </c>
      <c r="H2190" s="11" t="s">
        <v>33</v>
      </c>
      <c r="I2190" s="16">
        <v>0.6880000000000001</v>
      </c>
      <c r="J2190" s="11" t="s">
        <v>1214</v>
      </c>
      <c r="K2190" s="11" t="s">
        <v>35</v>
      </c>
      <c r="L2190" s="11" t="s">
        <v>27</v>
      </c>
      <c r="M2190" s="11" t="s">
        <v>28</v>
      </c>
      <c r="N2190" s="11" t="s">
        <v>62</v>
      </c>
      <c r="O2190" s="11" t="s">
        <v>2126</v>
      </c>
      <c r="P2190" s="11" t="s">
        <v>58</v>
      </c>
      <c r="Q2190" s="20">
        <v>40187.0</v>
      </c>
      <c r="R2190" s="17">
        <f t="shared" si="2"/>
        <v>2.841149831</v>
      </c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>
        <f t="shared" si="8"/>
        <v>1</v>
      </c>
      <c r="AF2190" s="19">
        <f t="shared" si="13"/>
        <v>2</v>
      </c>
      <c r="AG2190" s="9"/>
      <c r="AH2190" s="9"/>
      <c r="AI2190" s="9"/>
    </row>
    <row r="2191" ht="15.0" customHeight="1">
      <c r="A2191" s="11">
        <v>2190.0</v>
      </c>
      <c r="B2191" s="12">
        <f t="shared" si="353"/>
        <v>40185</v>
      </c>
      <c r="C2191" s="13">
        <v>2010.0</v>
      </c>
      <c r="D2191" s="11" t="s">
        <v>102</v>
      </c>
      <c r="E2191" s="11">
        <v>32.0</v>
      </c>
      <c r="F2191" s="21" t="s">
        <v>438</v>
      </c>
      <c r="G2191" s="15">
        <v>0.048626586669931846</v>
      </c>
      <c r="H2191" s="11" t="s">
        <v>45</v>
      </c>
      <c r="I2191" s="16">
        <v>23.28</v>
      </c>
      <c r="J2191" s="11" t="s">
        <v>1214</v>
      </c>
      <c r="K2191" s="11" t="s">
        <v>35</v>
      </c>
      <c r="L2191" s="11" t="s">
        <v>27</v>
      </c>
      <c r="M2191" s="11" t="s">
        <v>49</v>
      </c>
      <c r="N2191" s="11" t="s">
        <v>85</v>
      </c>
      <c r="O2191" s="11" t="s">
        <v>439</v>
      </c>
      <c r="P2191" s="11" t="s">
        <v>87</v>
      </c>
      <c r="Q2191" s="20">
        <v>40187.0</v>
      </c>
      <c r="R2191" s="17">
        <f t="shared" si="2"/>
        <v>340.0398854</v>
      </c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>
        <f t="shared" si="8"/>
        <v>1</v>
      </c>
      <c r="AF2191" s="19">
        <f t="shared" si="13"/>
        <v>2</v>
      </c>
      <c r="AG2191" s="9"/>
      <c r="AH2191" s="9"/>
      <c r="AI2191" s="9"/>
    </row>
    <row r="2192" ht="15.0" customHeight="1">
      <c r="A2192" s="11">
        <v>2191.0</v>
      </c>
      <c r="B2192" s="12">
        <f t="shared" si="353"/>
        <v>40185</v>
      </c>
      <c r="C2192" s="13">
        <v>2010.0</v>
      </c>
      <c r="D2192" s="11" t="s">
        <v>44</v>
      </c>
      <c r="E2192" s="11">
        <v>21.0</v>
      </c>
      <c r="F2192" s="21" t="s">
        <v>126</v>
      </c>
      <c r="G2192" s="15">
        <v>0.02626538368725856</v>
      </c>
      <c r="H2192" s="11" t="s">
        <v>33</v>
      </c>
      <c r="I2192" s="16">
        <v>0.4</v>
      </c>
      <c r="J2192" s="11" t="s">
        <v>759</v>
      </c>
      <c r="K2192" s="11" t="s">
        <v>61</v>
      </c>
      <c r="L2192" s="11" t="s">
        <v>41</v>
      </c>
      <c r="M2192" s="11" t="s">
        <v>28</v>
      </c>
      <c r="N2192" s="11" t="s">
        <v>188</v>
      </c>
      <c r="O2192" s="11" t="s">
        <v>410</v>
      </c>
      <c r="P2192" s="11" t="s">
        <v>38</v>
      </c>
      <c r="Q2192" s="20">
        <v>40188.0</v>
      </c>
      <c r="R2192" s="17">
        <f t="shared" si="2"/>
        <v>2.713214135</v>
      </c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>
        <f t="shared" si="8"/>
        <v>3</v>
      </c>
      <c r="AF2192" s="19">
        <f t="shared" si="13"/>
        <v>4</v>
      </c>
      <c r="AG2192" s="9"/>
      <c r="AH2192" s="9"/>
      <c r="AI2192" s="9"/>
    </row>
    <row r="2193" ht="15.0" customHeight="1">
      <c r="A2193" s="11">
        <v>2192.0</v>
      </c>
      <c r="B2193" s="12">
        <f t="shared" ref="B2193:B2196" si="354">DATE(2012,12,31)-1088</f>
        <v>40186</v>
      </c>
      <c r="C2193" s="13">
        <v>2010.0</v>
      </c>
      <c r="D2193" s="11" t="s">
        <v>39</v>
      </c>
      <c r="E2193" s="11">
        <v>19.0</v>
      </c>
      <c r="F2193" s="21" t="s">
        <v>666</v>
      </c>
      <c r="G2193" s="15">
        <v>0.013548387096774323</v>
      </c>
      <c r="H2193" s="11" t="s">
        <v>24</v>
      </c>
      <c r="I2193" s="16">
        <v>1.192</v>
      </c>
      <c r="J2193" s="11" t="s">
        <v>1410</v>
      </c>
      <c r="K2193" s="11" t="s">
        <v>83</v>
      </c>
      <c r="L2193" s="11" t="s">
        <v>41</v>
      </c>
      <c r="M2193" s="11" t="s">
        <v>28</v>
      </c>
      <c r="N2193" s="11" t="s">
        <v>42</v>
      </c>
      <c r="O2193" s="11" t="s">
        <v>667</v>
      </c>
      <c r="P2193" s="11" t="s">
        <v>38</v>
      </c>
      <c r="Q2193" s="20">
        <v>40188.0</v>
      </c>
      <c r="R2193" s="17">
        <f t="shared" si="2"/>
        <v>0.9943432258</v>
      </c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>
        <f t="shared" si="8"/>
        <v>3</v>
      </c>
      <c r="AF2193" s="19" t="b">
        <f t="shared" si="13"/>
        <v>0</v>
      </c>
      <c r="AG2193" s="9"/>
      <c r="AH2193" s="9"/>
      <c r="AI2193" s="9"/>
    </row>
    <row r="2194" ht="15.0" customHeight="1">
      <c r="A2194" s="11">
        <v>2193.0</v>
      </c>
      <c r="B2194" s="12">
        <f t="shared" si="354"/>
        <v>40186</v>
      </c>
      <c r="C2194" s="13">
        <v>2010.0</v>
      </c>
      <c r="D2194" s="11" t="s">
        <v>32</v>
      </c>
      <c r="E2194" s="11">
        <v>24.0</v>
      </c>
      <c r="F2194" s="21" t="s">
        <v>122</v>
      </c>
      <c r="G2194" s="15">
        <v>0.015872274143302265</v>
      </c>
      <c r="H2194" s="11" t="s">
        <v>33</v>
      </c>
      <c r="I2194" s="16">
        <v>3.848</v>
      </c>
      <c r="J2194" s="11" t="s">
        <v>2127</v>
      </c>
      <c r="K2194" s="11" t="s">
        <v>35</v>
      </c>
      <c r="L2194" s="11" t="s">
        <v>48</v>
      </c>
      <c r="M2194" s="11" t="s">
        <v>66</v>
      </c>
      <c r="N2194" s="11" t="s">
        <v>80</v>
      </c>
      <c r="O2194" s="11" t="s">
        <v>899</v>
      </c>
      <c r="P2194" s="11" t="s">
        <v>75</v>
      </c>
      <c r="Q2194" s="20">
        <v>40188.0</v>
      </c>
      <c r="R2194" s="17">
        <f t="shared" si="2"/>
        <v>8.022609221</v>
      </c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>
        <f t="shared" si="8"/>
        <v>4</v>
      </c>
      <c r="AF2194" s="19">
        <f t="shared" si="13"/>
        <v>2</v>
      </c>
      <c r="AG2194" s="9"/>
      <c r="AH2194" s="9"/>
      <c r="AI2194" s="9"/>
    </row>
    <row r="2195" ht="15.0" customHeight="1">
      <c r="A2195" s="11">
        <v>2194.0</v>
      </c>
      <c r="B2195" s="12">
        <f t="shared" si="354"/>
        <v>40186</v>
      </c>
      <c r="C2195" s="13">
        <v>2010.0</v>
      </c>
      <c r="D2195" s="11" t="s">
        <v>44</v>
      </c>
      <c r="E2195" s="11">
        <v>33.0</v>
      </c>
      <c r="F2195" s="21" t="s">
        <v>605</v>
      </c>
      <c r="G2195" s="15">
        <v>0.019189531447868387</v>
      </c>
      <c r="H2195" s="11" t="s">
        <v>33</v>
      </c>
      <c r="I2195" s="16">
        <v>6.008</v>
      </c>
      <c r="J2195" s="11" t="s">
        <v>771</v>
      </c>
      <c r="K2195" s="11" t="s">
        <v>61</v>
      </c>
      <c r="L2195" s="11" t="s">
        <v>48</v>
      </c>
      <c r="M2195" s="11" t="s">
        <v>66</v>
      </c>
      <c r="N2195" s="11" t="s">
        <v>69</v>
      </c>
      <c r="O2195" s="11" t="s">
        <v>607</v>
      </c>
      <c r="P2195" s="11" t="s">
        <v>75</v>
      </c>
      <c r="Q2195" s="20">
        <v>40188.0</v>
      </c>
      <c r="R2195" s="17">
        <f t="shared" si="2"/>
        <v>8.91752878</v>
      </c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>
        <f t="shared" si="8"/>
        <v>4</v>
      </c>
      <c r="AF2195" s="19">
        <f t="shared" si="13"/>
        <v>4</v>
      </c>
      <c r="AG2195" s="9"/>
      <c r="AH2195" s="9"/>
      <c r="AI2195" s="9"/>
    </row>
    <row r="2196" ht="15.0" customHeight="1">
      <c r="A2196" s="11">
        <v>2195.0</v>
      </c>
      <c r="B2196" s="12">
        <f t="shared" si="354"/>
        <v>40186</v>
      </c>
      <c r="C2196" s="13">
        <v>2010.0</v>
      </c>
      <c r="D2196" s="11" t="s">
        <v>102</v>
      </c>
      <c r="E2196" s="11">
        <v>42.0</v>
      </c>
      <c r="F2196" s="21" t="s">
        <v>135</v>
      </c>
      <c r="G2196" s="15">
        <v>0.035967302452316274</v>
      </c>
      <c r="H2196" s="11" t="s">
        <v>33</v>
      </c>
      <c r="I2196" s="16">
        <v>5.84</v>
      </c>
      <c r="J2196" s="11" t="s">
        <v>2128</v>
      </c>
      <c r="K2196" s="11" t="s">
        <v>65</v>
      </c>
      <c r="L2196" s="11" t="s">
        <v>27</v>
      </c>
      <c r="M2196" s="11" t="s">
        <v>28</v>
      </c>
      <c r="N2196" s="11" t="s">
        <v>56</v>
      </c>
      <c r="O2196" s="11" t="s">
        <v>2129</v>
      </c>
      <c r="P2196" s="11" t="s">
        <v>38</v>
      </c>
      <c r="Q2196" s="20">
        <v>40188.0</v>
      </c>
      <c r="R2196" s="17">
        <f t="shared" si="2"/>
        <v>10.18018529</v>
      </c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>
        <f t="shared" si="8"/>
        <v>1</v>
      </c>
      <c r="AF2196" s="19">
        <f t="shared" si="13"/>
        <v>5</v>
      </c>
      <c r="AG2196" s="9"/>
      <c r="AH2196" s="9"/>
      <c r="AI2196" s="9"/>
    </row>
    <row r="2197" ht="15.0" customHeight="1">
      <c r="A2197" s="11">
        <v>2196.0</v>
      </c>
      <c r="B2197" s="12">
        <f t="shared" ref="B2197:B2198" si="355">DATE(2012,12,31)-1087</f>
        <v>40187</v>
      </c>
      <c r="C2197" s="13">
        <v>2010.0</v>
      </c>
      <c r="D2197" s="11" t="s">
        <v>32</v>
      </c>
      <c r="E2197" s="11">
        <v>32.0</v>
      </c>
      <c r="F2197" s="21" t="s">
        <v>562</v>
      </c>
      <c r="G2197" s="15">
        <v>0.0296162309868692</v>
      </c>
      <c r="H2197" s="11" t="s">
        <v>45</v>
      </c>
      <c r="I2197" s="16">
        <v>22.512</v>
      </c>
      <c r="J2197" s="11" t="s">
        <v>775</v>
      </c>
      <c r="K2197" s="11" t="s">
        <v>65</v>
      </c>
      <c r="L2197" s="11" t="s">
        <v>41</v>
      </c>
      <c r="M2197" s="11" t="s">
        <v>66</v>
      </c>
      <c r="N2197" s="11" t="s">
        <v>69</v>
      </c>
      <c r="O2197" s="11" t="s">
        <v>564</v>
      </c>
      <c r="P2197" s="11" t="s">
        <v>52</v>
      </c>
      <c r="Q2197" s="20">
        <v>40188.0</v>
      </c>
      <c r="R2197" s="17">
        <f t="shared" si="2"/>
        <v>475.3793638</v>
      </c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>
        <f t="shared" si="8"/>
        <v>3</v>
      </c>
      <c r="AF2197" s="19">
        <f t="shared" si="13"/>
        <v>5</v>
      </c>
      <c r="AG2197" s="9"/>
      <c r="AH2197" s="9"/>
      <c r="AI2197" s="9"/>
    </row>
    <row r="2198" ht="15.0" customHeight="1">
      <c r="A2198" s="11">
        <v>2197.0</v>
      </c>
      <c r="B2198" s="12">
        <f t="shared" si="355"/>
        <v>40187</v>
      </c>
      <c r="C2198" s="13">
        <v>2010.0</v>
      </c>
      <c r="D2198" s="11" t="s">
        <v>44</v>
      </c>
      <c r="E2198" s="11">
        <v>49.0</v>
      </c>
      <c r="F2198" s="21" t="s">
        <v>952</v>
      </c>
      <c r="G2198" s="15">
        <v>0.047920324192754916</v>
      </c>
      <c r="H2198" s="11" t="s">
        <v>33</v>
      </c>
      <c r="I2198" s="16">
        <v>19.592</v>
      </c>
      <c r="J2198" s="11" t="s">
        <v>1876</v>
      </c>
      <c r="K2198" s="11" t="s">
        <v>61</v>
      </c>
      <c r="L2198" s="11" t="s">
        <v>48</v>
      </c>
      <c r="M2198" s="11" t="s">
        <v>66</v>
      </c>
      <c r="N2198" s="11" t="s">
        <v>170</v>
      </c>
      <c r="O2198" s="11" t="s">
        <v>2100</v>
      </c>
      <c r="P2198" s="11" t="s">
        <v>31</v>
      </c>
      <c r="Q2198" s="20">
        <v>40188.0</v>
      </c>
      <c r="R2198" s="17">
        <f t="shared" si="2"/>
        <v>1409.561577</v>
      </c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>
        <f t="shared" si="8"/>
        <v>4</v>
      </c>
      <c r="AF2198" s="19">
        <f t="shared" si="13"/>
        <v>4</v>
      </c>
      <c r="AG2198" s="9"/>
      <c r="AH2198" s="9"/>
      <c r="AI2198" s="9"/>
    </row>
    <row r="2199" ht="15.0" customHeight="1">
      <c r="A2199" s="11">
        <v>2198.0</v>
      </c>
      <c r="B2199" s="12">
        <f t="shared" ref="B2199:B2208" si="356">DATE(2012,12,31)-1086</f>
        <v>40188</v>
      </c>
      <c r="C2199" s="13">
        <v>2010.0</v>
      </c>
      <c r="D2199" s="11" t="s">
        <v>44</v>
      </c>
      <c r="E2199" s="11">
        <v>40.0</v>
      </c>
      <c r="F2199" s="21" t="s">
        <v>122</v>
      </c>
      <c r="G2199" s="15">
        <v>0.05216901408450699</v>
      </c>
      <c r="H2199" s="11" t="s">
        <v>33</v>
      </c>
      <c r="I2199" s="16">
        <v>5.2</v>
      </c>
      <c r="J2199" s="11" t="s">
        <v>1054</v>
      </c>
      <c r="K2199" s="11" t="s">
        <v>61</v>
      </c>
      <c r="L2199" s="11" t="s">
        <v>48</v>
      </c>
      <c r="M2199" s="11" t="s">
        <v>66</v>
      </c>
      <c r="N2199" s="11" t="s">
        <v>67</v>
      </c>
      <c r="O2199" s="11" t="s">
        <v>2130</v>
      </c>
      <c r="P2199" s="11" t="s">
        <v>38</v>
      </c>
      <c r="Q2199" s="20">
        <v>40189.0</v>
      </c>
      <c r="R2199" s="17">
        <f t="shared" si="2"/>
        <v>43.88457465</v>
      </c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>
        <f t="shared" si="8"/>
        <v>4</v>
      </c>
      <c r="AF2199" s="19">
        <f t="shared" si="13"/>
        <v>4</v>
      </c>
      <c r="AG2199" s="9"/>
      <c r="AH2199" s="9"/>
      <c r="AI2199" s="9"/>
    </row>
    <row r="2200" ht="15.0" customHeight="1">
      <c r="A2200" s="11">
        <v>2199.0</v>
      </c>
      <c r="B2200" s="12">
        <f t="shared" si="356"/>
        <v>40188</v>
      </c>
      <c r="C2200" s="13">
        <v>2010.0</v>
      </c>
      <c r="D2200" s="11" t="s">
        <v>23</v>
      </c>
      <c r="E2200" s="11">
        <v>32.0</v>
      </c>
      <c r="F2200" s="21" t="s">
        <v>1166</v>
      </c>
      <c r="G2200" s="15">
        <v>0.06384757221880748</v>
      </c>
      <c r="H2200" s="11" t="s">
        <v>24</v>
      </c>
      <c r="I2200" s="16">
        <v>1.9120000000000001</v>
      </c>
      <c r="J2200" s="11" t="s">
        <v>567</v>
      </c>
      <c r="K2200" s="11" t="s">
        <v>61</v>
      </c>
      <c r="L2200" s="11" t="s">
        <v>36</v>
      </c>
      <c r="M2200" s="11" t="s">
        <v>66</v>
      </c>
      <c r="N2200" s="11" t="s">
        <v>67</v>
      </c>
      <c r="O2200" s="11" t="s">
        <v>1167</v>
      </c>
      <c r="P2200" s="11" t="s">
        <v>99</v>
      </c>
      <c r="Q2200" s="20">
        <v>40189.0</v>
      </c>
      <c r="R2200" s="17">
        <f t="shared" si="2"/>
        <v>9.72475142</v>
      </c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>
        <f t="shared" si="8"/>
        <v>2</v>
      </c>
      <c r="AF2200" s="19">
        <f t="shared" si="13"/>
        <v>4</v>
      </c>
      <c r="AG2200" s="9"/>
      <c r="AH2200" s="9"/>
      <c r="AI2200" s="9"/>
    </row>
    <row r="2201" ht="15.0" customHeight="1">
      <c r="A2201" s="11">
        <v>2200.0</v>
      </c>
      <c r="B2201" s="12">
        <f t="shared" si="356"/>
        <v>40188</v>
      </c>
      <c r="C2201" s="13">
        <v>2010.0</v>
      </c>
      <c r="D2201" s="11" t="s">
        <v>102</v>
      </c>
      <c r="E2201" s="11">
        <v>21.0</v>
      </c>
      <c r="F2201" s="21" t="s">
        <v>126</v>
      </c>
      <c r="G2201" s="15">
        <v>0.07982847341337901</v>
      </c>
      <c r="H2201" s="11" t="s">
        <v>33</v>
      </c>
      <c r="I2201" s="16">
        <v>4.392</v>
      </c>
      <c r="J2201" s="11" t="s">
        <v>608</v>
      </c>
      <c r="K2201" s="11" t="s">
        <v>35</v>
      </c>
      <c r="L2201" s="11" t="s">
        <v>27</v>
      </c>
      <c r="M2201" s="11" t="s">
        <v>28</v>
      </c>
      <c r="N2201" s="11" t="s">
        <v>56</v>
      </c>
      <c r="O2201" s="11" t="s">
        <v>1297</v>
      </c>
      <c r="P2201" s="11" t="s">
        <v>38</v>
      </c>
      <c r="Q2201" s="20">
        <v>40189.0</v>
      </c>
      <c r="R2201" s="17">
        <f t="shared" si="2"/>
        <v>8.564956569</v>
      </c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>
        <f t="shared" si="8"/>
        <v>1</v>
      </c>
      <c r="AF2201" s="19">
        <f t="shared" si="13"/>
        <v>2</v>
      </c>
      <c r="AG2201" s="9"/>
      <c r="AH2201" s="9"/>
      <c r="AI2201" s="9"/>
    </row>
    <row r="2202" ht="15.0" customHeight="1">
      <c r="A2202" s="11">
        <v>2201.0</v>
      </c>
      <c r="B2202" s="12">
        <f t="shared" si="356"/>
        <v>40188</v>
      </c>
      <c r="C2202" s="13">
        <v>2010.0</v>
      </c>
      <c r="D2202" s="11" t="s">
        <v>102</v>
      </c>
      <c r="E2202" s="11">
        <v>24.0</v>
      </c>
      <c r="F2202" s="21" t="s">
        <v>413</v>
      </c>
      <c r="G2202" s="15">
        <v>0.03858900738310096</v>
      </c>
      <c r="H2202" s="11" t="s">
        <v>33</v>
      </c>
      <c r="I2202" s="16">
        <v>1.592</v>
      </c>
      <c r="J2202" s="11" t="s">
        <v>608</v>
      </c>
      <c r="K2202" s="11" t="s">
        <v>35</v>
      </c>
      <c r="L2202" s="11" t="s">
        <v>27</v>
      </c>
      <c r="M2202" s="11" t="s">
        <v>66</v>
      </c>
      <c r="N2202" s="11" t="s">
        <v>67</v>
      </c>
      <c r="O2202" s="11" t="s">
        <v>414</v>
      </c>
      <c r="P2202" s="11" t="s">
        <v>99</v>
      </c>
      <c r="Q2202" s="20">
        <v>40189.0</v>
      </c>
      <c r="R2202" s="17">
        <f t="shared" si="2"/>
        <v>9.044954619</v>
      </c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>
        <f t="shared" si="8"/>
        <v>1</v>
      </c>
      <c r="AF2202" s="19">
        <f t="shared" si="13"/>
        <v>2</v>
      </c>
      <c r="AG2202" s="9"/>
      <c r="AH2202" s="9"/>
      <c r="AI2202" s="9"/>
    </row>
    <row r="2203" ht="15.0" customHeight="1">
      <c r="A2203" s="11">
        <v>2202.0</v>
      </c>
      <c r="B2203" s="12">
        <f t="shared" si="356"/>
        <v>40188</v>
      </c>
      <c r="C2203" s="13">
        <v>2010.0</v>
      </c>
      <c r="D2203" s="11" t="s">
        <v>44</v>
      </c>
      <c r="E2203" s="11">
        <v>46.0</v>
      </c>
      <c r="F2203" s="21" t="s">
        <v>562</v>
      </c>
      <c r="G2203" s="15">
        <v>0.08291910893372692</v>
      </c>
      <c r="H2203" s="11" t="s">
        <v>45</v>
      </c>
      <c r="I2203" s="16">
        <v>20.8</v>
      </c>
      <c r="J2203" s="11" t="s">
        <v>2131</v>
      </c>
      <c r="K2203" s="11" t="s">
        <v>26</v>
      </c>
      <c r="L2203" s="11" t="s">
        <v>48</v>
      </c>
      <c r="M2203" s="11" t="s">
        <v>49</v>
      </c>
      <c r="N2203" s="11" t="s">
        <v>50</v>
      </c>
      <c r="O2203" s="11" t="s">
        <v>1649</v>
      </c>
      <c r="P2203" s="11" t="s">
        <v>52</v>
      </c>
      <c r="Q2203" s="20">
        <v>40189.0</v>
      </c>
      <c r="R2203" s="17">
        <f t="shared" si="2"/>
        <v>1912.297074</v>
      </c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>
        <f t="shared" si="8"/>
        <v>4</v>
      </c>
      <c r="AF2203" s="19">
        <f t="shared" si="13"/>
        <v>1</v>
      </c>
      <c r="AG2203" s="9"/>
      <c r="AH2203" s="9"/>
      <c r="AI2203" s="9"/>
    </row>
    <row r="2204" ht="15.0" customHeight="1">
      <c r="A2204" s="11">
        <v>2203.0</v>
      </c>
      <c r="B2204" s="12">
        <f t="shared" si="356"/>
        <v>40188</v>
      </c>
      <c r="C2204" s="13">
        <v>2010.0</v>
      </c>
      <c r="D2204" s="11" t="s">
        <v>44</v>
      </c>
      <c r="E2204" s="11">
        <v>7.0</v>
      </c>
      <c r="F2204" s="21" t="s">
        <v>161</v>
      </c>
      <c r="G2204" s="15">
        <v>0.12002069322296956</v>
      </c>
      <c r="H2204" s="11" t="s">
        <v>33</v>
      </c>
      <c r="I2204" s="16">
        <v>28.0</v>
      </c>
      <c r="J2204" s="11" t="s">
        <v>2131</v>
      </c>
      <c r="K2204" s="11" t="s">
        <v>26</v>
      </c>
      <c r="L2204" s="11" t="s">
        <v>48</v>
      </c>
      <c r="M2204" s="11" t="s">
        <v>28</v>
      </c>
      <c r="N2204" s="11" t="s">
        <v>29</v>
      </c>
      <c r="O2204" s="11" t="s">
        <v>162</v>
      </c>
      <c r="P2204" s="11" t="s">
        <v>31</v>
      </c>
      <c r="Q2204" s="20">
        <v>40190.0</v>
      </c>
      <c r="R2204" s="17">
        <f t="shared" si="2"/>
        <v>20.41551992</v>
      </c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>
        <f t="shared" si="8"/>
        <v>4</v>
      </c>
      <c r="AF2204" s="19">
        <f t="shared" si="13"/>
        <v>1</v>
      </c>
      <c r="AG2204" s="9"/>
      <c r="AH2204" s="9"/>
      <c r="AI2204" s="9"/>
    </row>
    <row r="2205" ht="15.0" customHeight="1">
      <c r="A2205" s="11">
        <v>2204.0</v>
      </c>
      <c r="B2205" s="12">
        <f t="shared" si="356"/>
        <v>40188</v>
      </c>
      <c r="C2205" s="13">
        <v>2010.0</v>
      </c>
      <c r="D2205" s="11" t="s">
        <v>102</v>
      </c>
      <c r="E2205" s="11">
        <v>11.0</v>
      </c>
      <c r="F2205" s="21" t="s">
        <v>433</v>
      </c>
      <c r="G2205" s="15">
        <v>0.04598376356836615</v>
      </c>
      <c r="H2205" s="11" t="s">
        <v>33</v>
      </c>
      <c r="I2205" s="16">
        <v>31.688000000000002</v>
      </c>
      <c r="J2205" s="11" t="s">
        <v>1524</v>
      </c>
      <c r="K2205" s="11" t="s">
        <v>26</v>
      </c>
      <c r="L2205" s="11" t="s">
        <v>48</v>
      </c>
      <c r="M2205" s="11" t="s">
        <v>49</v>
      </c>
      <c r="N2205" s="11" t="s">
        <v>73</v>
      </c>
      <c r="O2205" s="11" t="s">
        <v>434</v>
      </c>
      <c r="P2205" s="11" t="s">
        <v>75</v>
      </c>
      <c r="Q2205" s="20">
        <v>40190.0</v>
      </c>
      <c r="R2205" s="17">
        <f t="shared" si="2"/>
        <v>48.09386651</v>
      </c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>
        <f t="shared" si="8"/>
        <v>4</v>
      </c>
      <c r="AF2205" s="19">
        <f t="shared" si="13"/>
        <v>1</v>
      </c>
      <c r="AG2205" s="9"/>
      <c r="AH2205" s="9"/>
      <c r="AI2205" s="9"/>
    </row>
    <row r="2206" ht="15.0" customHeight="1">
      <c r="A2206" s="11">
        <v>2205.0</v>
      </c>
      <c r="B2206" s="12">
        <f t="shared" si="356"/>
        <v>40188</v>
      </c>
      <c r="C2206" s="13">
        <v>2010.0</v>
      </c>
      <c r="D2206" s="11" t="s">
        <v>102</v>
      </c>
      <c r="E2206" s="11">
        <v>35.0</v>
      </c>
      <c r="F2206" s="21" t="s">
        <v>151</v>
      </c>
      <c r="G2206" s="15">
        <v>0.1111111111111111</v>
      </c>
      <c r="H2206" s="11" t="s">
        <v>24</v>
      </c>
      <c r="I2206" s="16">
        <v>4.0</v>
      </c>
      <c r="J2206" s="11" t="s">
        <v>1524</v>
      </c>
      <c r="K2206" s="11" t="s">
        <v>26</v>
      </c>
      <c r="L2206" s="11" t="s">
        <v>48</v>
      </c>
      <c r="M2206" s="11" t="s">
        <v>28</v>
      </c>
      <c r="N2206" s="11" t="s">
        <v>62</v>
      </c>
      <c r="O2206" s="11" t="s">
        <v>2132</v>
      </c>
      <c r="P2206" s="11" t="s">
        <v>58</v>
      </c>
      <c r="Q2206" s="20">
        <v>40190.0</v>
      </c>
      <c r="R2206" s="17">
        <f t="shared" si="2"/>
        <v>12.88888889</v>
      </c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>
        <f t="shared" si="8"/>
        <v>4</v>
      </c>
      <c r="AF2206" s="19">
        <f t="shared" si="13"/>
        <v>1</v>
      </c>
      <c r="AG2206" s="9"/>
      <c r="AH2206" s="9"/>
      <c r="AI2206" s="9"/>
    </row>
    <row r="2207" ht="15.0" customHeight="1">
      <c r="A2207" s="11">
        <v>2206.0</v>
      </c>
      <c r="B2207" s="12">
        <f t="shared" si="356"/>
        <v>40188</v>
      </c>
      <c r="C2207" s="13">
        <v>2010.0</v>
      </c>
      <c r="D2207" s="11" t="s">
        <v>102</v>
      </c>
      <c r="E2207" s="11">
        <v>33.0</v>
      </c>
      <c r="F2207" s="21" t="s">
        <v>126</v>
      </c>
      <c r="G2207" s="15">
        <v>0.021726010863005227</v>
      </c>
      <c r="H2207" s="11" t="s">
        <v>33</v>
      </c>
      <c r="I2207" s="16">
        <v>0.4</v>
      </c>
      <c r="J2207" s="11" t="s">
        <v>897</v>
      </c>
      <c r="K2207" s="11" t="s">
        <v>26</v>
      </c>
      <c r="L2207" s="11" t="s">
        <v>36</v>
      </c>
      <c r="M2207" s="11" t="s">
        <v>28</v>
      </c>
      <c r="N2207" s="11" t="s">
        <v>188</v>
      </c>
      <c r="O2207" s="11" t="s">
        <v>410</v>
      </c>
      <c r="P2207" s="11" t="s">
        <v>38</v>
      </c>
      <c r="Q2207" s="20">
        <v>40190.0</v>
      </c>
      <c r="R2207" s="17">
        <f t="shared" si="2"/>
        <v>3.521786361</v>
      </c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>
        <f t="shared" si="8"/>
        <v>2</v>
      </c>
      <c r="AF2207" s="19">
        <f t="shared" si="13"/>
        <v>1</v>
      </c>
      <c r="AG2207" s="9"/>
      <c r="AH2207" s="9"/>
      <c r="AI2207" s="9"/>
    </row>
    <row r="2208" ht="15.0" customHeight="1">
      <c r="A2208" s="11">
        <v>2207.0</v>
      </c>
      <c r="B2208" s="12">
        <f t="shared" si="356"/>
        <v>40188</v>
      </c>
      <c r="C2208" s="13">
        <v>2010.0</v>
      </c>
      <c r="D2208" s="11" t="s">
        <v>102</v>
      </c>
      <c r="E2208" s="11">
        <v>12.0</v>
      </c>
      <c r="F2208" s="21" t="s">
        <v>135</v>
      </c>
      <c r="G2208" s="15">
        <v>0.11456635318704297</v>
      </c>
      <c r="H2208" s="11" t="s">
        <v>33</v>
      </c>
      <c r="I2208" s="16">
        <v>5.5360000000000005</v>
      </c>
      <c r="J2208" s="11" t="s">
        <v>897</v>
      </c>
      <c r="K2208" s="11" t="s">
        <v>26</v>
      </c>
      <c r="L2208" s="11" t="s">
        <v>36</v>
      </c>
      <c r="M2208" s="11" t="s">
        <v>28</v>
      </c>
      <c r="N2208" s="11" t="s">
        <v>56</v>
      </c>
      <c r="O2208" s="11" t="s">
        <v>1296</v>
      </c>
      <c r="P2208" s="11" t="s">
        <v>38</v>
      </c>
      <c r="Q2208" s="20">
        <v>40190.0</v>
      </c>
      <c r="R2208" s="17">
        <f t="shared" si="2"/>
        <v>9.707894504</v>
      </c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>
        <f t="shared" si="8"/>
        <v>2</v>
      </c>
      <c r="AF2208" s="19">
        <f t="shared" si="13"/>
        <v>1</v>
      </c>
      <c r="AG2208" s="9"/>
      <c r="AH2208" s="9"/>
      <c r="AI2208" s="9"/>
    </row>
    <row r="2209" ht="15.0" customHeight="1">
      <c r="A2209" s="11">
        <v>2208.0</v>
      </c>
      <c r="B2209" s="12">
        <f t="shared" ref="B2209:B2217" si="357">DATE(2012,12,31)-1085</f>
        <v>40189</v>
      </c>
      <c r="C2209" s="13">
        <v>2010.0</v>
      </c>
      <c r="D2209" s="11" t="s">
        <v>39</v>
      </c>
      <c r="E2209" s="11">
        <v>12.0</v>
      </c>
      <c r="F2209" s="21" t="s">
        <v>1557</v>
      </c>
      <c r="G2209" s="15">
        <v>0.0051116790754527274</v>
      </c>
      <c r="H2209" s="11" t="s">
        <v>45</v>
      </c>
      <c r="I2209" s="16">
        <v>35.0</v>
      </c>
      <c r="J2209" s="11" t="s">
        <v>1444</v>
      </c>
      <c r="K2209" s="11" t="s">
        <v>61</v>
      </c>
      <c r="L2209" s="11" t="s">
        <v>36</v>
      </c>
      <c r="M2209" s="11" t="s">
        <v>49</v>
      </c>
      <c r="N2209" s="11" t="s">
        <v>85</v>
      </c>
      <c r="O2209" s="11" t="s">
        <v>1558</v>
      </c>
      <c r="P2209" s="11" t="s">
        <v>87</v>
      </c>
      <c r="Q2209" s="20">
        <v>40190.0</v>
      </c>
      <c r="R2209" s="17">
        <f t="shared" si="2"/>
        <v>9.152972553</v>
      </c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>
        <f t="shared" si="8"/>
        <v>2</v>
      </c>
      <c r="AF2209" s="19">
        <f t="shared" si="13"/>
        <v>4</v>
      </c>
      <c r="AG2209" s="9"/>
      <c r="AH2209" s="9"/>
      <c r="AI2209" s="9"/>
    </row>
    <row r="2210" ht="15.0" customHeight="1">
      <c r="A2210" s="11">
        <v>2209.0</v>
      </c>
      <c r="B2210" s="12">
        <f t="shared" si="357"/>
        <v>40189</v>
      </c>
      <c r="C2210" s="13">
        <v>2010.0</v>
      </c>
      <c r="D2210" s="11" t="s">
        <v>44</v>
      </c>
      <c r="E2210" s="11">
        <v>27.0</v>
      </c>
      <c r="F2210" s="21" t="s">
        <v>254</v>
      </c>
      <c r="G2210" s="15">
        <v>0.005995449374288976</v>
      </c>
      <c r="H2210" s="11" t="s">
        <v>33</v>
      </c>
      <c r="I2210" s="16">
        <v>1.192</v>
      </c>
      <c r="J2210" s="11" t="s">
        <v>871</v>
      </c>
      <c r="K2210" s="11" t="s">
        <v>26</v>
      </c>
      <c r="L2210" s="11" t="s">
        <v>27</v>
      </c>
      <c r="M2210" s="11" t="s">
        <v>28</v>
      </c>
      <c r="N2210" s="11" t="s">
        <v>42</v>
      </c>
      <c r="O2210" s="11" t="s">
        <v>556</v>
      </c>
      <c r="P2210" s="11" t="s">
        <v>38</v>
      </c>
      <c r="Q2210" s="20">
        <v>40190.0</v>
      </c>
      <c r="R2210" s="17">
        <f t="shared" si="2"/>
        <v>2.095361593</v>
      </c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>
        <f t="shared" si="8"/>
        <v>1</v>
      </c>
      <c r="AF2210" s="19">
        <f t="shared" si="13"/>
        <v>1</v>
      </c>
      <c r="AG2210" s="9"/>
      <c r="AH2210" s="9"/>
      <c r="AI2210" s="9"/>
    </row>
    <row r="2211" ht="15.0" customHeight="1">
      <c r="A2211" s="11">
        <v>2210.0</v>
      </c>
      <c r="B2211" s="12">
        <f t="shared" si="357"/>
        <v>40189</v>
      </c>
      <c r="C2211" s="13">
        <v>2010.0</v>
      </c>
      <c r="D2211" s="11" t="s">
        <v>102</v>
      </c>
      <c r="E2211" s="11">
        <v>42.0</v>
      </c>
      <c r="F2211" s="21" t="s">
        <v>270</v>
      </c>
      <c r="G2211" s="15">
        <v>0.0515969331872947</v>
      </c>
      <c r="H2211" s="11" t="s">
        <v>33</v>
      </c>
      <c r="I2211" s="16">
        <v>13.984000000000002</v>
      </c>
      <c r="J2211" s="11" t="s">
        <v>444</v>
      </c>
      <c r="K2211" s="11" t="s">
        <v>61</v>
      </c>
      <c r="L2211" s="11" t="s">
        <v>36</v>
      </c>
      <c r="M2211" s="11" t="s">
        <v>28</v>
      </c>
      <c r="N2211" s="11" t="s">
        <v>56</v>
      </c>
      <c r="O2211" s="11" t="s">
        <v>1172</v>
      </c>
      <c r="P2211" s="11" t="s">
        <v>38</v>
      </c>
      <c r="Q2211" s="20">
        <v>40190.0</v>
      </c>
      <c r="R2211" s="17">
        <f t="shared" si="2"/>
        <v>89.35474334</v>
      </c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>
        <f t="shared" si="8"/>
        <v>2</v>
      </c>
      <c r="AF2211" s="19">
        <f t="shared" si="13"/>
        <v>4</v>
      </c>
      <c r="AG2211" s="9"/>
      <c r="AH2211" s="9"/>
      <c r="AI2211" s="9"/>
    </row>
    <row r="2212" ht="15.0" customHeight="1">
      <c r="A2212" s="11">
        <v>2211.0</v>
      </c>
      <c r="B2212" s="12">
        <f t="shared" si="357"/>
        <v>40189</v>
      </c>
      <c r="C2212" s="13">
        <v>2010.0</v>
      </c>
      <c r="D2212" s="11" t="s">
        <v>102</v>
      </c>
      <c r="E2212" s="11">
        <v>11.0</v>
      </c>
      <c r="F2212" s="21" t="s">
        <v>1207</v>
      </c>
      <c r="G2212" s="15">
        <v>0.01563492063492063</v>
      </c>
      <c r="H2212" s="11" t="s">
        <v>45</v>
      </c>
      <c r="I2212" s="16">
        <v>44.19200000000001</v>
      </c>
      <c r="J2212" s="11" t="s">
        <v>444</v>
      </c>
      <c r="K2212" s="11" t="s">
        <v>61</v>
      </c>
      <c r="L2212" s="11" t="s">
        <v>36</v>
      </c>
      <c r="M2212" s="11" t="s">
        <v>28</v>
      </c>
      <c r="N2212" s="11" t="s">
        <v>197</v>
      </c>
      <c r="O2212" s="11" t="s">
        <v>2133</v>
      </c>
      <c r="P2212" s="11" t="s">
        <v>52</v>
      </c>
      <c r="Q2212" s="20">
        <v>40191.0</v>
      </c>
      <c r="R2212" s="17">
        <f t="shared" si="2"/>
        <v>31.80286698</v>
      </c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>
        <f t="shared" si="8"/>
        <v>2</v>
      </c>
      <c r="AF2212" s="19">
        <f t="shared" si="13"/>
        <v>4</v>
      </c>
      <c r="AG2212" s="9"/>
      <c r="AH2212" s="9"/>
      <c r="AI2212" s="9"/>
    </row>
    <row r="2213" ht="15.0" customHeight="1">
      <c r="A2213" s="11">
        <v>2212.0</v>
      </c>
      <c r="B2213" s="12">
        <f t="shared" si="357"/>
        <v>40189</v>
      </c>
      <c r="C2213" s="13">
        <v>2010.0</v>
      </c>
      <c r="D2213" s="11" t="s">
        <v>102</v>
      </c>
      <c r="E2213" s="11">
        <v>47.0</v>
      </c>
      <c r="F2213" s="21" t="s">
        <v>221</v>
      </c>
      <c r="G2213" s="15">
        <v>0.07773752012882455</v>
      </c>
      <c r="H2213" s="11" t="s">
        <v>24</v>
      </c>
      <c r="I2213" s="16">
        <v>6.840000000000001</v>
      </c>
      <c r="J2213" s="11" t="s">
        <v>444</v>
      </c>
      <c r="K2213" s="11" t="s">
        <v>61</v>
      </c>
      <c r="L2213" s="11" t="s">
        <v>36</v>
      </c>
      <c r="M2213" s="11" t="s">
        <v>49</v>
      </c>
      <c r="N2213" s="11" t="s">
        <v>73</v>
      </c>
      <c r="O2213" s="11" t="s">
        <v>223</v>
      </c>
      <c r="P2213" s="11" t="s">
        <v>38</v>
      </c>
      <c r="Q2213" s="20">
        <v>40191.0</v>
      </c>
      <c r="R2213" s="17">
        <f t="shared" si="2"/>
        <v>106.8533309</v>
      </c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>
        <f t="shared" si="8"/>
        <v>2</v>
      </c>
      <c r="AF2213" s="19">
        <f t="shared" si="13"/>
        <v>4</v>
      </c>
      <c r="AG2213" s="9"/>
      <c r="AH2213" s="9"/>
      <c r="AI2213" s="9"/>
    </row>
    <row r="2214" ht="15.0" customHeight="1">
      <c r="A2214" s="11">
        <v>2213.0</v>
      </c>
      <c r="B2214" s="12">
        <f t="shared" si="357"/>
        <v>40189</v>
      </c>
      <c r="C2214" s="13">
        <v>2010.0</v>
      </c>
      <c r="D2214" s="11" t="s">
        <v>32</v>
      </c>
      <c r="E2214" s="11">
        <v>48.0</v>
      </c>
      <c r="F2214" s="21" t="s">
        <v>822</v>
      </c>
      <c r="G2214" s="15">
        <v>0.010185387305709942</v>
      </c>
      <c r="H2214" s="11" t="s">
        <v>45</v>
      </c>
      <c r="I2214" s="16">
        <v>13.304</v>
      </c>
      <c r="J2214" s="11" t="s">
        <v>1210</v>
      </c>
      <c r="K2214" s="11" t="s">
        <v>47</v>
      </c>
      <c r="L2214" s="11" t="s">
        <v>36</v>
      </c>
      <c r="M2214" s="11" t="s">
        <v>66</v>
      </c>
      <c r="N2214" s="11" t="s">
        <v>69</v>
      </c>
      <c r="O2214" s="11" t="s">
        <v>824</v>
      </c>
      <c r="P2214" s="11" t="s">
        <v>87</v>
      </c>
      <c r="Q2214" s="20">
        <v>40191.0</v>
      </c>
      <c r="R2214" s="17">
        <f t="shared" si="2"/>
        <v>253.0916372</v>
      </c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>
        <f t="shared" si="8"/>
        <v>2</v>
      </c>
      <c r="AF2214" s="19">
        <f t="shared" si="13"/>
        <v>3</v>
      </c>
      <c r="AG2214" s="9"/>
      <c r="AH2214" s="9"/>
      <c r="AI2214" s="9"/>
    </row>
    <row r="2215" ht="15.0" customHeight="1">
      <c r="A2215" s="11">
        <v>2214.0</v>
      </c>
      <c r="B2215" s="12">
        <f t="shared" si="357"/>
        <v>40189</v>
      </c>
      <c r="C2215" s="13">
        <v>2010.0</v>
      </c>
      <c r="D2215" s="11" t="s">
        <v>32</v>
      </c>
      <c r="E2215" s="11">
        <v>14.0</v>
      </c>
      <c r="F2215" s="21" t="s">
        <v>1201</v>
      </c>
      <c r="G2215" s="15">
        <v>0.012257621801784045</v>
      </c>
      <c r="H2215" s="11" t="s">
        <v>33</v>
      </c>
      <c r="I2215" s="16">
        <v>15.991999999999999</v>
      </c>
      <c r="J2215" s="11" t="s">
        <v>1210</v>
      </c>
      <c r="K2215" s="11" t="s">
        <v>47</v>
      </c>
      <c r="L2215" s="11" t="s">
        <v>36</v>
      </c>
      <c r="M2215" s="11" t="s">
        <v>28</v>
      </c>
      <c r="N2215" s="11" t="s">
        <v>29</v>
      </c>
      <c r="O2215" s="11" t="s">
        <v>1202</v>
      </c>
      <c r="P2215" s="11" t="s">
        <v>38</v>
      </c>
      <c r="Q2215" s="20">
        <v>40191.0</v>
      </c>
      <c r="R2215" s="17">
        <f t="shared" si="2"/>
        <v>24.70146139</v>
      </c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>
        <f t="shared" si="8"/>
        <v>2</v>
      </c>
      <c r="AF2215" s="19">
        <f t="shared" si="13"/>
        <v>3</v>
      </c>
      <c r="AG2215" s="9"/>
      <c r="AH2215" s="9"/>
      <c r="AI2215" s="9"/>
    </row>
    <row r="2216" ht="15.0" customHeight="1">
      <c r="A2216" s="11">
        <v>2215.0</v>
      </c>
      <c r="B2216" s="12">
        <f t="shared" si="357"/>
        <v>40189</v>
      </c>
      <c r="C2216" s="13">
        <v>2010.0</v>
      </c>
      <c r="D2216" s="11" t="s">
        <v>32</v>
      </c>
      <c r="E2216" s="11">
        <v>5.0</v>
      </c>
      <c r="F2216" s="21" t="s">
        <v>536</v>
      </c>
      <c r="G2216" s="15">
        <v>0.0935802135423706</v>
      </c>
      <c r="H2216" s="11" t="s">
        <v>45</v>
      </c>
      <c r="I2216" s="16">
        <v>56.160000000000004</v>
      </c>
      <c r="J2216" s="11" t="s">
        <v>1210</v>
      </c>
      <c r="K2216" s="11" t="s">
        <v>47</v>
      </c>
      <c r="L2216" s="11" t="s">
        <v>36</v>
      </c>
      <c r="M2216" s="11" t="s">
        <v>49</v>
      </c>
      <c r="N2216" s="11" t="s">
        <v>50</v>
      </c>
      <c r="O2216" s="11" t="s">
        <v>537</v>
      </c>
      <c r="P2216" s="11" t="s">
        <v>52</v>
      </c>
      <c r="Q2216" s="20">
        <v>40191.0</v>
      </c>
      <c r="R2216" s="17">
        <f t="shared" si="2"/>
        <v>62.76050601</v>
      </c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>
        <f t="shared" si="8"/>
        <v>2</v>
      </c>
      <c r="AF2216" s="19">
        <f t="shared" si="13"/>
        <v>3</v>
      </c>
      <c r="AG2216" s="9"/>
      <c r="AH2216" s="9"/>
      <c r="AI2216" s="9"/>
    </row>
    <row r="2217" ht="15.0" customHeight="1">
      <c r="A2217" s="11">
        <v>2216.0</v>
      </c>
      <c r="B2217" s="12">
        <f t="shared" si="357"/>
        <v>40189</v>
      </c>
      <c r="C2217" s="13">
        <v>2010.0</v>
      </c>
      <c r="D2217" s="11" t="s">
        <v>32</v>
      </c>
      <c r="E2217" s="11">
        <v>47.0</v>
      </c>
      <c r="F2217" s="21" t="s">
        <v>397</v>
      </c>
      <c r="G2217" s="15">
        <v>0.012649278432410928</v>
      </c>
      <c r="H2217" s="11" t="s">
        <v>33</v>
      </c>
      <c r="I2217" s="16">
        <v>1.592</v>
      </c>
      <c r="J2217" s="11" t="s">
        <v>1210</v>
      </c>
      <c r="K2217" s="11" t="s">
        <v>47</v>
      </c>
      <c r="L2217" s="11" t="s">
        <v>36</v>
      </c>
      <c r="M2217" s="11" t="s">
        <v>66</v>
      </c>
      <c r="N2217" s="11" t="s">
        <v>67</v>
      </c>
      <c r="O2217" s="11" t="s">
        <v>502</v>
      </c>
      <c r="P2217" s="11" t="s">
        <v>99</v>
      </c>
      <c r="Q2217" s="20">
        <v>40191.0</v>
      </c>
      <c r="R2217" s="17">
        <f t="shared" si="2"/>
        <v>18.86629759</v>
      </c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>
        <f t="shared" si="8"/>
        <v>2</v>
      </c>
      <c r="AF2217" s="19">
        <f t="shared" si="13"/>
        <v>3</v>
      </c>
      <c r="AG2217" s="9"/>
      <c r="AH2217" s="9"/>
      <c r="AI2217" s="9"/>
    </row>
    <row r="2218" ht="15.0" customHeight="1">
      <c r="A2218" s="11">
        <v>2217.0</v>
      </c>
      <c r="B2218" s="12">
        <f t="shared" ref="B2218:B2222" si="358">DATE(2012,12,31)-1084</f>
        <v>40190</v>
      </c>
      <c r="C2218" s="13">
        <v>2010.0</v>
      </c>
      <c r="D2218" s="11" t="s">
        <v>32</v>
      </c>
      <c r="E2218" s="11">
        <v>37.0</v>
      </c>
      <c r="F2218" s="21" t="s">
        <v>1074</v>
      </c>
      <c r="G2218" s="15">
        <v>0.08030493273542595</v>
      </c>
      <c r="H2218" s="11" t="s">
        <v>33</v>
      </c>
      <c r="I2218" s="16">
        <v>1.592</v>
      </c>
      <c r="J2218" s="11" t="s">
        <v>403</v>
      </c>
      <c r="K2218" s="11" t="s">
        <v>61</v>
      </c>
      <c r="L2218" s="11" t="s">
        <v>41</v>
      </c>
      <c r="M2218" s="11" t="s">
        <v>28</v>
      </c>
      <c r="N2218" s="11" t="s">
        <v>62</v>
      </c>
      <c r="O2218" s="11" t="s">
        <v>1947</v>
      </c>
      <c r="P2218" s="11" t="s">
        <v>58</v>
      </c>
      <c r="Q2218" s="20">
        <v>40191.0</v>
      </c>
      <c r="R2218" s="17">
        <f t="shared" si="2"/>
        <v>16.46989926</v>
      </c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>
        <f t="shared" si="8"/>
        <v>3</v>
      </c>
      <c r="AF2218" s="19">
        <f t="shared" si="13"/>
        <v>4</v>
      </c>
      <c r="AG2218" s="9"/>
      <c r="AH2218" s="9"/>
      <c r="AI2218" s="9"/>
    </row>
    <row r="2219" ht="15.0" customHeight="1">
      <c r="A2219" s="11">
        <v>2218.0</v>
      </c>
      <c r="B2219" s="12">
        <f t="shared" si="358"/>
        <v>40190</v>
      </c>
      <c r="C2219" s="13">
        <v>2010.0</v>
      </c>
      <c r="D2219" s="11" t="s">
        <v>32</v>
      </c>
      <c r="E2219" s="11">
        <v>39.0</v>
      </c>
      <c r="F2219" s="21" t="s">
        <v>1782</v>
      </c>
      <c r="G2219" s="15">
        <v>0.05078612591062312</v>
      </c>
      <c r="H2219" s="11" t="s">
        <v>33</v>
      </c>
      <c r="I2219" s="16">
        <v>7.192</v>
      </c>
      <c r="J2219" s="11" t="s">
        <v>300</v>
      </c>
      <c r="K2219" s="11" t="s">
        <v>35</v>
      </c>
      <c r="L2219" s="11" t="s">
        <v>36</v>
      </c>
      <c r="M2219" s="11" t="s">
        <v>49</v>
      </c>
      <c r="N2219" s="11" t="s">
        <v>73</v>
      </c>
      <c r="O2219" s="11" t="s">
        <v>2134</v>
      </c>
      <c r="P2219" s="11" t="s">
        <v>99</v>
      </c>
      <c r="Q2219" s="20">
        <v>40191.0</v>
      </c>
      <c r="R2219" s="17">
        <f t="shared" si="2"/>
        <v>44.33588163</v>
      </c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>
        <f t="shared" si="8"/>
        <v>2</v>
      </c>
      <c r="AF2219" s="19">
        <f t="shared" si="13"/>
        <v>2</v>
      </c>
      <c r="AG2219" s="9"/>
      <c r="AH2219" s="9"/>
      <c r="AI2219" s="9"/>
    </row>
    <row r="2220" ht="15.0" customHeight="1">
      <c r="A2220" s="11">
        <v>2219.0</v>
      </c>
      <c r="B2220" s="12">
        <f t="shared" si="358"/>
        <v>40190</v>
      </c>
      <c r="C2220" s="13">
        <v>2010.0</v>
      </c>
      <c r="D2220" s="11" t="s">
        <v>32</v>
      </c>
      <c r="E2220" s="11">
        <v>2.0</v>
      </c>
      <c r="F2220" s="21" t="s">
        <v>204</v>
      </c>
      <c r="G2220" s="15">
        <v>0.10869565217391286</v>
      </c>
      <c r="H2220" s="11" t="s">
        <v>33</v>
      </c>
      <c r="I2220" s="16">
        <v>2.8000000000000003</v>
      </c>
      <c r="J2220" s="11" t="s">
        <v>300</v>
      </c>
      <c r="K2220" s="11" t="s">
        <v>35</v>
      </c>
      <c r="L2220" s="11" t="s">
        <v>36</v>
      </c>
      <c r="M2220" s="11" t="s">
        <v>28</v>
      </c>
      <c r="N2220" s="11" t="s">
        <v>62</v>
      </c>
      <c r="O2220" s="11" t="s">
        <v>2135</v>
      </c>
      <c r="P2220" s="11" t="s">
        <v>99</v>
      </c>
      <c r="Q2220" s="20">
        <v>40192.0</v>
      </c>
      <c r="R2220" s="17">
        <f t="shared" si="2"/>
        <v>0.8913043478</v>
      </c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>
        <f t="shared" si="8"/>
        <v>2</v>
      </c>
      <c r="AF2220" s="19">
        <f t="shared" si="13"/>
        <v>2</v>
      </c>
      <c r="AG2220" s="9"/>
      <c r="AH2220" s="9"/>
      <c r="AI2220" s="9"/>
    </row>
    <row r="2221" ht="15.0" customHeight="1">
      <c r="A2221" s="11">
        <v>2220.0</v>
      </c>
      <c r="B2221" s="12">
        <f t="shared" si="358"/>
        <v>40190</v>
      </c>
      <c r="C2221" s="13">
        <v>2010.0</v>
      </c>
      <c r="D2221" s="11" t="s">
        <v>39</v>
      </c>
      <c r="E2221" s="11">
        <v>15.0</v>
      </c>
      <c r="F2221" s="21" t="s">
        <v>886</v>
      </c>
      <c r="G2221" s="15">
        <v>0.08435777871979652</v>
      </c>
      <c r="H2221" s="11" t="s">
        <v>45</v>
      </c>
      <c r="I2221" s="16">
        <v>48.0</v>
      </c>
      <c r="J2221" s="11" t="s">
        <v>2136</v>
      </c>
      <c r="K2221" s="11" t="s">
        <v>61</v>
      </c>
      <c r="L2221" s="11" t="s">
        <v>27</v>
      </c>
      <c r="M2221" s="11" t="s">
        <v>28</v>
      </c>
      <c r="N2221" s="11" t="s">
        <v>197</v>
      </c>
      <c r="O2221" s="11" t="s">
        <v>888</v>
      </c>
      <c r="P2221" s="11" t="s">
        <v>52</v>
      </c>
      <c r="Q2221" s="20">
        <v>40192.0</v>
      </c>
      <c r="R2221" s="17">
        <f t="shared" si="2"/>
        <v>91.10640102</v>
      </c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>
        <f t="shared" si="8"/>
        <v>1</v>
      </c>
      <c r="AF2221" s="19">
        <f t="shared" si="13"/>
        <v>4</v>
      </c>
      <c r="AG2221" s="9"/>
      <c r="AH2221" s="9"/>
      <c r="AI2221" s="9"/>
    </row>
    <row r="2222" ht="15.0" customHeight="1">
      <c r="A2222" s="11">
        <v>2221.0</v>
      </c>
      <c r="B2222" s="12">
        <f t="shared" si="358"/>
        <v>40190</v>
      </c>
      <c r="C2222" s="13">
        <v>2010.0</v>
      </c>
      <c r="D2222" s="11" t="s">
        <v>23</v>
      </c>
      <c r="E2222" s="11">
        <v>3.0</v>
      </c>
      <c r="F2222" s="21" t="s">
        <v>583</v>
      </c>
      <c r="G2222" s="15">
        <v>0.06789054381711127</v>
      </c>
      <c r="H2222" s="11" t="s">
        <v>33</v>
      </c>
      <c r="I2222" s="16">
        <v>55.2</v>
      </c>
      <c r="J2222" s="11" t="s">
        <v>897</v>
      </c>
      <c r="K2222" s="11" t="s">
        <v>26</v>
      </c>
      <c r="L2222" s="11" t="s">
        <v>41</v>
      </c>
      <c r="M2222" s="11" t="s">
        <v>49</v>
      </c>
      <c r="N2222" s="11" t="s">
        <v>85</v>
      </c>
      <c r="O2222" s="11" t="s">
        <v>585</v>
      </c>
      <c r="P2222" s="11" t="s">
        <v>31</v>
      </c>
      <c r="Q2222" s="20">
        <v>40193.0</v>
      </c>
      <c r="R2222" s="17">
        <f t="shared" si="2"/>
        <v>18.26934534</v>
      </c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>
        <f t="shared" si="8"/>
        <v>3</v>
      </c>
      <c r="AF2222" s="19">
        <f t="shared" si="13"/>
        <v>1</v>
      </c>
      <c r="AG2222" s="9"/>
      <c r="AH2222" s="9"/>
      <c r="AI2222" s="9"/>
    </row>
    <row r="2223" ht="15.0" customHeight="1">
      <c r="A2223" s="11">
        <v>2222.0</v>
      </c>
      <c r="B2223" s="12">
        <f t="shared" ref="B2223:B2226" si="359">DATE(2012,12,31)-1083</f>
        <v>40191</v>
      </c>
      <c r="C2223" s="13">
        <v>2010.0</v>
      </c>
      <c r="D2223" s="11" t="s">
        <v>44</v>
      </c>
      <c r="E2223" s="11">
        <v>43.0</v>
      </c>
      <c r="F2223" s="21" t="s">
        <v>151</v>
      </c>
      <c r="G2223" s="15">
        <v>0.06647214854111425</v>
      </c>
      <c r="H2223" s="11" t="s">
        <v>33</v>
      </c>
      <c r="I2223" s="16">
        <v>3.176</v>
      </c>
      <c r="J2223" s="11" t="s">
        <v>1061</v>
      </c>
      <c r="K2223" s="11" t="s">
        <v>26</v>
      </c>
      <c r="L2223" s="11" t="s">
        <v>36</v>
      </c>
      <c r="M2223" s="11" t="s">
        <v>28</v>
      </c>
      <c r="N2223" s="11" t="s">
        <v>62</v>
      </c>
      <c r="O2223" s="11" t="s">
        <v>153</v>
      </c>
      <c r="P2223" s="11" t="s">
        <v>58</v>
      </c>
      <c r="Q2223" s="20">
        <v>40193.0</v>
      </c>
      <c r="R2223" s="17">
        <f t="shared" si="2"/>
        <v>9.357683183</v>
      </c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>
        <f t="shared" si="8"/>
        <v>2</v>
      </c>
      <c r="AF2223" s="19">
        <f t="shared" si="13"/>
        <v>1</v>
      </c>
      <c r="AG2223" s="9"/>
      <c r="AH2223" s="9"/>
      <c r="AI2223" s="9"/>
    </row>
    <row r="2224" ht="15.0" customHeight="1">
      <c r="A2224" s="11">
        <v>2223.0</v>
      </c>
      <c r="B2224" s="12">
        <f t="shared" si="359"/>
        <v>40191</v>
      </c>
      <c r="C2224" s="13">
        <v>2010.0</v>
      </c>
      <c r="D2224" s="11" t="s">
        <v>44</v>
      </c>
      <c r="E2224" s="11">
        <v>50.0</v>
      </c>
      <c r="F2224" s="21" t="s">
        <v>1327</v>
      </c>
      <c r="G2224" s="15">
        <v>0.09179648504676811</v>
      </c>
      <c r="H2224" s="11" t="s">
        <v>33</v>
      </c>
      <c r="I2224" s="16">
        <v>15.991999999999999</v>
      </c>
      <c r="J2224" s="11" t="s">
        <v>1061</v>
      </c>
      <c r="K2224" s="11" t="s">
        <v>26</v>
      </c>
      <c r="L2224" s="11" t="s">
        <v>36</v>
      </c>
      <c r="M2224" s="11" t="s">
        <v>28</v>
      </c>
      <c r="N2224" s="11" t="s">
        <v>42</v>
      </c>
      <c r="O2224" s="11" t="s">
        <v>1328</v>
      </c>
      <c r="P2224" s="11" t="s">
        <v>38</v>
      </c>
      <c r="Q2224" s="20">
        <v>40193.0</v>
      </c>
      <c r="R2224" s="17">
        <f t="shared" si="2"/>
        <v>795.0486226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>
        <f t="shared" si="8"/>
        <v>2</v>
      </c>
      <c r="AF2224" s="19">
        <f t="shared" si="13"/>
        <v>1</v>
      </c>
      <c r="AG2224" s="9"/>
      <c r="AH2224" s="9"/>
      <c r="AI2224" s="9"/>
    </row>
    <row r="2225" ht="15.0" customHeight="1">
      <c r="A2225" s="11">
        <v>2224.0</v>
      </c>
      <c r="B2225" s="12">
        <f t="shared" si="359"/>
        <v>40191</v>
      </c>
      <c r="C2225" s="13">
        <v>2010.0</v>
      </c>
      <c r="D2225" s="11" t="s">
        <v>23</v>
      </c>
      <c r="E2225" s="11">
        <v>26.0</v>
      </c>
      <c r="F2225" s="21" t="s">
        <v>731</v>
      </c>
      <c r="G2225" s="15">
        <v>0.06049511524234076</v>
      </c>
      <c r="H2225" s="11" t="s">
        <v>33</v>
      </c>
      <c r="I2225" s="16">
        <v>10.32</v>
      </c>
      <c r="J2225" s="11" t="s">
        <v>1981</v>
      </c>
      <c r="K2225" s="11" t="s">
        <v>35</v>
      </c>
      <c r="L2225" s="11" t="s">
        <v>27</v>
      </c>
      <c r="M2225" s="11" t="s">
        <v>28</v>
      </c>
      <c r="N2225" s="11" t="s">
        <v>29</v>
      </c>
      <c r="O2225" s="11" t="s">
        <v>733</v>
      </c>
      <c r="P2225" s="11" t="s">
        <v>38</v>
      </c>
      <c r="Q2225" s="20">
        <v>40193.0</v>
      </c>
      <c r="R2225" s="17">
        <f t="shared" si="2"/>
        <v>59.92162155</v>
      </c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>
        <f t="shared" si="8"/>
        <v>1</v>
      </c>
      <c r="AF2225" s="19">
        <f t="shared" si="13"/>
        <v>2</v>
      </c>
      <c r="AG2225" s="9"/>
      <c r="AH2225" s="9"/>
      <c r="AI2225" s="9"/>
    </row>
    <row r="2226" ht="15.0" customHeight="1">
      <c r="A2226" s="11">
        <v>2225.0</v>
      </c>
      <c r="B2226" s="12">
        <f t="shared" si="359"/>
        <v>40191</v>
      </c>
      <c r="C2226" s="13">
        <v>2010.0</v>
      </c>
      <c r="D2226" s="11" t="s">
        <v>23</v>
      </c>
      <c r="E2226" s="11">
        <v>39.0</v>
      </c>
      <c r="F2226" s="21" t="s">
        <v>1659</v>
      </c>
      <c r="G2226" s="15">
        <v>0.010700808625336886</v>
      </c>
      <c r="H2226" s="11" t="s">
        <v>33</v>
      </c>
      <c r="I2226" s="16">
        <v>5.024000000000001</v>
      </c>
      <c r="J2226" s="11" t="s">
        <v>1975</v>
      </c>
      <c r="K2226" s="11" t="s">
        <v>26</v>
      </c>
      <c r="L2226" s="11" t="s">
        <v>27</v>
      </c>
      <c r="M2226" s="11" t="s">
        <v>28</v>
      </c>
      <c r="N2226" s="11" t="s">
        <v>42</v>
      </c>
      <c r="O2226" s="11" t="s">
        <v>1660</v>
      </c>
      <c r="P2226" s="11" t="s">
        <v>38</v>
      </c>
      <c r="Q2226" s="20">
        <v>40193.0</v>
      </c>
      <c r="R2226" s="17">
        <f t="shared" si="2"/>
        <v>3.142014232</v>
      </c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>
        <f t="shared" si="8"/>
        <v>1</v>
      </c>
      <c r="AF2226" s="19">
        <f t="shared" si="13"/>
        <v>1</v>
      </c>
      <c r="AG2226" s="9"/>
      <c r="AH2226" s="9"/>
      <c r="AI2226" s="9"/>
    </row>
    <row r="2227" ht="15.0" customHeight="1">
      <c r="A2227" s="11">
        <v>2226.0</v>
      </c>
      <c r="B2227" s="12">
        <f t="shared" ref="B2227:B2235" si="360">DATE(2012,12,31)-1082</f>
        <v>40192</v>
      </c>
      <c r="C2227" s="13">
        <v>2010.0</v>
      </c>
      <c r="D2227" s="11" t="s">
        <v>23</v>
      </c>
      <c r="E2227" s="11">
        <v>6.0</v>
      </c>
      <c r="F2227" s="21" t="s">
        <v>1015</v>
      </c>
      <c r="G2227" s="15">
        <v>0.11774403470715829</v>
      </c>
      <c r="H2227" s="11" t="s">
        <v>33</v>
      </c>
      <c r="I2227" s="16">
        <v>6.472</v>
      </c>
      <c r="J2227" s="11" t="s">
        <v>1454</v>
      </c>
      <c r="K2227" s="11" t="s">
        <v>35</v>
      </c>
      <c r="L2227" s="11" t="s">
        <v>36</v>
      </c>
      <c r="M2227" s="11" t="s">
        <v>28</v>
      </c>
      <c r="N2227" s="11" t="s">
        <v>56</v>
      </c>
      <c r="O2227" s="11" t="s">
        <v>2137</v>
      </c>
      <c r="P2227" s="11" t="s">
        <v>38</v>
      </c>
      <c r="Q2227" s="20">
        <v>40193.0</v>
      </c>
      <c r="R2227" s="17">
        <f t="shared" si="2"/>
        <v>4.78888538</v>
      </c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>
        <f t="shared" si="8"/>
        <v>2</v>
      </c>
      <c r="AF2227" s="19">
        <f t="shared" si="13"/>
        <v>2</v>
      </c>
      <c r="AG2227" s="9"/>
      <c r="AH2227" s="9"/>
      <c r="AI2227" s="9"/>
    </row>
    <row r="2228" ht="15.0" customHeight="1">
      <c r="A2228" s="11">
        <v>2227.0</v>
      </c>
      <c r="B2228" s="12">
        <f t="shared" si="360"/>
        <v>40192</v>
      </c>
      <c r="C2228" s="13">
        <v>2010.0</v>
      </c>
      <c r="D2228" s="11" t="s">
        <v>39</v>
      </c>
      <c r="E2228" s="11">
        <v>9.0</v>
      </c>
      <c r="F2228" s="21" t="s">
        <v>2138</v>
      </c>
      <c r="G2228" s="15">
        <v>0.07686956521739133</v>
      </c>
      <c r="H2228" s="11" t="s">
        <v>33</v>
      </c>
      <c r="I2228" s="16">
        <v>3.7439999999999998</v>
      </c>
      <c r="J2228" s="11" t="s">
        <v>326</v>
      </c>
      <c r="K2228" s="11" t="s">
        <v>35</v>
      </c>
      <c r="L2228" s="11" t="s">
        <v>48</v>
      </c>
      <c r="M2228" s="11" t="s">
        <v>28</v>
      </c>
      <c r="N2228" s="11" t="s">
        <v>442</v>
      </c>
      <c r="O2228" s="11" t="s">
        <v>2139</v>
      </c>
      <c r="P2228" s="11" t="s">
        <v>99</v>
      </c>
      <c r="Q2228" s="20">
        <v>40193.0</v>
      </c>
      <c r="R2228" s="17">
        <f t="shared" si="2"/>
        <v>7.344425739</v>
      </c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>
        <f t="shared" si="8"/>
        <v>4</v>
      </c>
      <c r="AF2228" s="19">
        <f t="shared" si="13"/>
        <v>2</v>
      </c>
      <c r="AG2228" s="9"/>
      <c r="AH2228" s="9"/>
      <c r="AI2228" s="9"/>
    </row>
    <row r="2229" ht="15.0" customHeight="1">
      <c r="A2229" s="11">
        <v>2228.0</v>
      </c>
      <c r="B2229" s="12">
        <f t="shared" si="360"/>
        <v>40192</v>
      </c>
      <c r="C2229" s="13">
        <v>2010.0</v>
      </c>
      <c r="D2229" s="11" t="s">
        <v>23</v>
      </c>
      <c r="E2229" s="11">
        <v>34.0</v>
      </c>
      <c r="F2229" s="21" t="s">
        <v>450</v>
      </c>
      <c r="G2229" s="15">
        <v>0.05769102094421787</v>
      </c>
      <c r="H2229" s="11" t="s">
        <v>33</v>
      </c>
      <c r="I2229" s="16">
        <v>19.592</v>
      </c>
      <c r="J2229" s="11" t="s">
        <v>1490</v>
      </c>
      <c r="K2229" s="11" t="s">
        <v>61</v>
      </c>
      <c r="L2229" s="11" t="s">
        <v>48</v>
      </c>
      <c r="M2229" s="11" t="s">
        <v>66</v>
      </c>
      <c r="N2229" s="11" t="s">
        <v>170</v>
      </c>
      <c r="O2229" s="11" t="s">
        <v>451</v>
      </c>
      <c r="P2229" s="11" t="s">
        <v>31</v>
      </c>
      <c r="Q2229" s="20">
        <v>40193.0</v>
      </c>
      <c r="R2229" s="17">
        <f t="shared" si="2"/>
        <v>393.2330754</v>
      </c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>
        <f t="shared" si="8"/>
        <v>4</v>
      </c>
      <c r="AF2229" s="19">
        <f t="shared" si="13"/>
        <v>4</v>
      </c>
      <c r="AG2229" s="9"/>
      <c r="AH2229" s="9"/>
      <c r="AI2229" s="9"/>
    </row>
    <row r="2230" ht="15.0" customHeight="1">
      <c r="A2230" s="11">
        <v>2229.0</v>
      </c>
      <c r="B2230" s="12">
        <f t="shared" si="360"/>
        <v>40192</v>
      </c>
      <c r="C2230" s="13">
        <v>2010.0</v>
      </c>
      <c r="D2230" s="11" t="s">
        <v>102</v>
      </c>
      <c r="E2230" s="11">
        <v>32.0</v>
      </c>
      <c r="F2230" s="21" t="s">
        <v>158</v>
      </c>
      <c r="G2230" s="15">
        <v>0.04561531449407466</v>
      </c>
      <c r="H2230" s="11" t="s">
        <v>33</v>
      </c>
      <c r="I2230" s="16">
        <v>4.5920000000000005</v>
      </c>
      <c r="J2230" s="11" t="s">
        <v>1036</v>
      </c>
      <c r="K2230" s="11" t="s">
        <v>65</v>
      </c>
      <c r="L2230" s="11" t="s">
        <v>36</v>
      </c>
      <c r="M2230" s="11" t="s">
        <v>28</v>
      </c>
      <c r="N2230" s="11" t="s">
        <v>56</v>
      </c>
      <c r="O2230" s="11" t="s">
        <v>2053</v>
      </c>
      <c r="P2230" s="11" t="s">
        <v>38</v>
      </c>
      <c r="Q2230" s="20">
        <v>40193.0</v>
      </c>
      <c r="R2230" s="17">
        <f t="shared" si="2"/>
        <v>9.551481933</v>
      </c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>
        <f t="shared" si="8"/>
        <v>2</v>
      </c>
      <c r="AF2230" s="19">
        <f t="shared" si="13"/>
        <v>5</v>
      </c>
      <c r="AG2230" s="9"/>
      <c r="AH2230" s="9"/>
      <c r="AI2230" s="9"/>
    </row>
    <row r="2231" ht="15.0" customHeight="1">
      <c r="A2231" s="11">
        <v>2230.0</v>
      </c>
      <c r="B2231" s="12">
        <f t="shared" si="360"/>
        <v>40192</v>
      </c>
      <c r="C2231" s="13">
        <v>2010.0</v>
      </c>
      <c r="D2231" s="11" t="s">
        <v>32</v>
      </c>
      <c r="E2231" s="11">
        <v>31.0</v>
      </c>
      <c r="F2231" s="21" t="s">
        <v>126</v>
      </c>
      <c r="G2231" s="15">
        <v>0.03111387678904774</v>
      </c>
      <c r="H2231" s="11" t="s">
        <v>33</v>
      </c>
      <c r="I2231" s="16">
        <v>3.8000000000000003</v>
      </c>
      <c r="J2231" s="11" t="s">
        <v>2140</v>
      </c>
      <c r="K2231" s="11" t="s">
        <v>117</v>
      </c>
      <c r="L2231" s="11" t="s">
        <v>48</v>
      </c>
      <c r="M2231" s="11" t="s">
        <v>28</v>
      </c>
      <c r="N2231" s="11" t="s">
        <v>56</v>
      </c>
      <c r="O2231" s="11" t="s">
        <v>313</v>
      </c>
      <c r="P2231" s="11" t="s">
        <v>38</v>
      </c>
      <c r="Q2231" s="20">
        <v>40193.0</v>
      </c>
      <c r="R2231" s="17">
        <f t="shared" si="2"/>
        <v>4.844430616</v>
      </c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>
        <f t="shared" si="8"/>
        <v>4</v>
      </c>
      <c r="AF2231" s="19" t="b">
        <f t="shared" si="13"/>
        <v>0</v>
      </c>
      <c r="AG2231" s="9"/>
      <c r="AH2231" s="9"/>
      <c r="AI2231" s="9"/>
    </row>
    <row r="2232" ht="15.0" customHeight="1">
      <c r="A2232" s="11">
        <v>2231.0</v>
      </c>
      <c r="B2232" s="12">
        <f t="shared" si="360"/>
        <v>40192</v>
      </c>
      <c r="C2232" s="13">
        <v>2010.0</v>
      </c>
      <c r="D2232" s="11" t="s">
        <v>32</v>
      </c>
      <c r="E2232" s="11">
        <v>46.0</v>
      </c>
      <c r="F2232" s="21" t="s">
        <v>1559</v>
      </c>
      <c r="G2232" s="15">
        <v>0.054439592430858934</v>
      </c>
      <c r="H2232" s="11" t="s">
        <v>33</v>
      </c>
      <c r="I2232" s="16">
        <v>0.5599999999999999</v>
      </c>
      <c r="J2232" s="11" t="s">
        <v>329</v>
      </c>
      <c r="K2232" s="11" t="s">
        <v>26</v>
      </c>
      <c r="L2232" s="11" t="s">
        <v>41</v>
      </c>
      <c r="M2232" s="11" t="s">
        <v>28</v>
      </c>
      <c r="N2232" s="11" t="s">
        <v>216</v>
      </c>
      <c r="O2232" s="11" t="s">
        <v>1561</v>
      </c>
      <c r="P2232" s="11" t="s">
        <v>58</v>
      </c>
      <c r="Q2232" s="20">
        <v>40193.0</v>
      </c>
      <c r="R2232" s="17">
        <f t="shared" si="2"/>
        <v>3.536395924</v>
      </c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>
        <f t="shared" si="8"/>
        <v>3</v>
      </c>
      <c r="AF2232" s="19">
        <f t="shared" si="13"/>
        <v>1</v>
      </c>
      <c r="AG2232" s="9"/>
      <c r="AH2232" s="9"/>
      <c r="AI2232" s="9"/>
    </row>
    <row r="2233" ht="15.0" customHeight="1">
      <c r="A2233" s="11">
        <v>2232.0</v>
      </c>
      <c r="B2233" s="12">
        <f t="shared" si="360"/>
        <v>40192</v>
      </c>
      <c r="C2233" s="13">
        <v>2010.0</v>
      </c>
      <c r="D2233" s="11" t="s">
        <v>32</v>
      </c>
      <c r="E2233" s="11">
        <v>13.0</v>
      </c>
      <c r="F2233" s="21" t="s">
        <v>142</v>
      </c>
      <c r="G2233" s="15">
        <v>0.03272950819672139</v>
      </c>
      <c r="H2233" s="11" t="s">
        <v>33</v>
      </c>
      <c r="I2233" s="16">
        <v>5.328</v>
      </c>
      <c r="J2233" s="11" t="s">
        <v>1080</v>
      </c>
      <c r="K2233" s="11" t="s">
        <v>47</v>
      </c>
      <c r="L2233" s="11" t="s">
        <v>48</v>
      </c>
      <c r="M2233" s="11" t="s">
        <v>28</v>
      </c>
      <c r="N2233" s="11" t="s">
        <v>236</v>
      </c>
      <c r="O2233" s="11" t="s">
        <v>1389</v>
      </c>
      <c r="P2233" s="11" t="s">
        <v>38</v>
      </c>
      <c r="Q2233" s="20">
        <v>40193.0</v>
      </c>
      <c r="R2233" s="17">
        <f t="shared" si="2"/>
        <v>15.4492443</v>
      </c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>
        <f t="shared" si="8"/>
        <v>4</v>
      </c>
      <c r="AF2233" s="19">
        <f t="shared" si="13"/>
        <v>3</v>
      </c>
      <c r="AG2233" s="9"/>
      <c r="AH2233" s="9"/>
      <c r="AI2233" s="9"/>
    </row>
    <row r="2234" ht="15.0" customHeight="1">
      <c r="A2234" s="11">
        <v>2233.0</v>
      </c>
      <c r="B2234" s="12">
        <f t="shared" si="360"/>
        <v>40192</v>
      </c>
      <c r="C2234" s="13">
        <v>2010.0</v>
      </c>
      <c r="D2234" s="11" t="s">
        <v>39</v>
      </c>
      <c r="E2234" s="11">
        <v>49.0</v>
      </c>
      <c r="F2234" s="21" t="s">
        <v>814</v>
      </c>
      <c r="G2234" s="15">
        <v>0.05826710798232485</v>
      </c>
      <c r="H2234" s="11" t="s">
        <v>45</v>
      </c>
      <c r="I2234" s="16">
        <v>24.0</v>
      </c>
      <c r="J2234" s="11" t="s">
        <v>2141</v>
      </c>
      <c r="K2234" s="11" t="s">
        <v>26</v>
      </c>
      <c r="L2234" s="11" t="s">
        <v>36</v>
      </c>
      <c r="M2234" s="11" t="s">
        <v>49</v>
      </c>
      <c r="N2234" s="11" t="s">
        <v>50</v>
      </c>
      <c r="O2234" s="11" t="s">
        <v>816</v>
      </c>
      <c r="P2234" s="11" t="s">
        <v>52</v>
      </c>
      <c r="Q2234" s="20">
        <v>40194.0</v>
      </c>
      <c r="R2234" s="17">
        <f t="shared" si="2"/>
        <v>326.592967</v>
      </c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>
        <f t="shared" si="8"/>
        <v>2</v>
      </c>
      <c r="AF2234" s="19">
        <f t="shared" si="13"/>
        <v>1</v>
      </c>
      <c r="AG2234" s="9"/>
      <c r="AH2234" s="9"/>
      <c r="AI2234" s="9"/>
    </row>
    <row r="2235" ht="15.0" customHeight="1">
      <c r="A2235" s="11">
        <v>2234.0</v>
      </c>
      <c r="B2235" s="12">
        <f t="shared" si="360"/>
        <v>40192</v>
      </c>
      <c r="C2235" s="13">
        <v>2010.0</v>
      </c>
      <c r="D2235" s="11" t="s">
        <v>39</v>
      </c>
      <c r="E2235" s="11">
        <v>19.0</v>
      </c>
      <c r="F2235" s="21" t="s">
        <v>115</v>
      </c>
      <c r="G2235" s="15">
        <v>0.026582831422313782</v>
      </c>
      <c r="H2235" s="11" t="s">
        <v>45</v>
      </c>
      <c r="I2235" s="16">
        <v>24.0</v>
      </c>
      <c r="J2235" s="11" t="s">
        <v>2141</v>
      </c>
      <c r="K2235" s="11" t="s">
        <v>26</v>
      </c>
      <c r="L2235" s="11" t="s">
        <v>36</v>
      </c>
      <c r="M2235" s="11" t="s">
        <v>49</v>
      </c>
      <c r="N2235" s="11" t="s">
        <v>50</v>
      </c>
      <c r="O2235" s="11" t="s">
        <v>1402</v>
      </c>
      <c r="P2235" s="11" t="s">
        <v>52</v>
      </c>
      <c r="Q2235" s="20">
        <v>40194.0</v>
      </c>
      <c r="R2235" s="17">
        <f t="shared" si="2"/>
        <v>61.70141001</v>
      </c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>
        <f t="shared" si="8"/>
        <v>2</v>
      </c>
      <c r="AF2235" s="19">
        <f t="shared" si="13"/>
        <v>1</v>
      </c>
      <c r="AG2235" s="9"/>
      <c r="AH2235" s="9"/>
      <c r="AI2235" s="9"/>
    </row>
    <row r="2236" ht="15.0" customHeight="1">
      <c r="A2236" s="11">
        <v>2235.0</v>
      </c>
      <c r="B2236" s="12">
        <f t="shared" ref="B2236:B2240" si="361">DATE(2012,12,31)-1081</f>
        <v>40193</v>
      </c>
      <c r="C2236" s="13">
        <v>2010.0</v>
      </c>
      <c r="D2236" s="11" t="s">
        <v>39</v>
      </c>
      <c r="E2236" s="11">
        <v>10.0</v>
      </c>
      <c r="F2236" s="21" t="s">
        <v>158</v>
      </c>
      <c r="G2236" s="15">
        <v>0.051720430107527054</v>
      </c>
      <c r="H2236" s="11" t="s">
        <v>33</v>
      </c>
      <c r="I2236" s="16">
        <v>6.552</v>
      </c>
      <c r="J2236" s="11" t="s">
        <v>196</v>
      </c>
      <c r="K2236" s="11" t="s">
        <v>65</v>
      </c>
      <c r="L2236" s="11" t="s">
        <v>27</v>
      </c>
      <c r="M2236" s="11" t="s">
        <v>28</v>
      </c>
      <c r="N2236" s="11" t="s">
        <v>56</v>
      </c>
      <c r="O2236" s="11" t="s">
        <v>637</v>
      </c>
      <c r="P2236" s="11" t="s">
        <v>38</v>
      </c>
      <c r="Q2236" s="20">
        <v>40194.0</v>
      </c>
      <c r="R2236" s="17">
        <f t="shared" si="2"/>
        <v>3.648979785</v>
      </c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>
        <f t="shared" si="8"/>
        <v>1</v>
      </c>
      <c r="AF2236" s="19">
        <f t="shared" si="13"/>
        <v>5</v>
      </c>
      <c r="AG2236" s="9"/>
      <c r="AH2236" s="9"/>
      <c r="AI2236" s="9"/>
    </row>
    <row r="2237" ht="15.0" customHeight="1">
      <c r="A2237" s="11">
        <v>2236.0</v>
      </c>
      <c r="B2237" s="12">
        <f t="shared" si="361"/>
        <v>40193</v>
      </c>
      <c r="C2237" s="13">
        <v>2010.0</v>
      </c>
      <c r="D2237" s="11" t="s">
        <v>39</v>
      </c>
      <c r="E2237" s="11">
        <v>42.0</v>
      </c>
      <c r="F2237" s="21" t="s">
        <v>287</v>
      </c>
      <c r="G2237" s="15">
        <v>0.05748814890776464</v>
      </c>
      <c r="H2237" s="11" t="s">
        <v>33</v>
      </c>
      <c r="I2237" s="16">
        <v>3.3840000000000003</v>
      </c>
      <c r="J2237" s="11" t="s">
        <v>196</v>
      </c>
      <c r="K2237" s="11" t="s">
        <v>65</v>
      </c>
      <c r="L2237" s="11" t="s">
        <v>27</v>
      </c>
      <c r="M2237" s="11" t="s">
        <v>66</v>
      </c>
      <c r="N2237" s="11" t="s">
        <v>80</v>
      </c>
      <c r="O2237" s="11" t="s">
        <v>1718</v>
      </c>
      <c r="P2237" s="11" t="s">
        <v>38</v>
      </c>
      <c r="Q2237" s="20">
        <v>40194.0</v>
      </c>
      <c r="R2237" s="17">
        <f t="shared" si="2"/>
        <v>280.0353511</v>
      </c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>
        <f t="shared" si="8"/>
        <v>1</v>
      </c>
      <c r="AF2237" s="19">
        <f t="shared" si="13"/>
        <v>5</v>
      </c>
      <c r="AG2237" s="9"/>
      <c r="AH2237" s="9"/>
      <c r="AI2237" s="9"/>
    </row>
    <row r="2238" ht="15.0" customHeight="1">
      <c r="A2238" s="11">
        <v>2237.0</v>
      </c>
      <c r="B2238" s="12">
        <f t="shared" si="361"/>
        <v>40193</v>
      </c>
      <c r="C2238" s="13">
        <v>2010.0</v>
      </c>
      <c r="D2238" s="11" t="s">
        <v>102</v>
      </c>
      <c r="E2238" s="11">
        <v>45.0</v>
      </c>
      <c r="F2238" s="21" t="s">
        <v>422</v>
      </c>
      <c r="G2238" s="15">
        <v>0.0351278859547729</v>
      </c>
      <c r="H2238" s="11" t="s">
        <v>33</v>
      </c>
      <c r="I2238" s="16">
        <v>5.744</v>
      </c>
      <c r="J2238" s="11" t="s">
        <v>2142</v>
      </c>
      <c r="K2238" s="11" t="s">
        <v>35</v>
      </c>
      <c r="L2238" s="11" t="s">
        <v>36</v>
      </c>
      <c r="M2238" s="11" t="s">
        <v>66</v>
      </c>
      <c r="N2238" s="11" t="s">
        <v>67</v>
      </c>
      <c r="O2238" s="11" t="s">
        <v>1679</v>
      </c>
      <c r="P2238" s="11" t="s">
        <v>38</v>
      </c>
      <c r="Q2238" s="20">
        <v>40194.0</v>
      </c>
      <c r="R2238" s="17">
        <f t="shared" si="2"/>
        <v>128.0848434</v>
      </c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>
        <f t="shared" si="8"/>
        <v>2</v>
      </c>
      <c r="AF2238" s="19">
        <f t="shared" si="13"/>
        <v>2</v>
      </c>
      <c r="AG2238" s="9"/>
      <c r="AH2238" s="9"/>
      <c r="AI2238" s="9"/>
    </row>
    <row r="2239" ht="15.0" customHeight="1">
      <c r="A2239" s="11">
        <v>2238.0</v>
      </c>
      <c r="B2239" s="12">
        <f t="shared" si="361"/>
        <v>40193</v>
      </c>
      <c r="C2239" s="13">
        <v>2010.0</v>
      </c>
      <c r="D2239" s="11" t="s">
        <v>102</v>
      </c>
      <c r="E2239" s="11">
        <v>23.0</v>
      </c>
      <c r="F2239" s="21" t="s">
        <v>377</v>
      </c>
      <c r="G2239" s="15">
        <v>0.011139905445631178</v>
      </c>
      <c r="H2239" s="11" t="s">
        <v>33</v>
      </c>
      <c r="I2239" s="16">
        <v>4.776</v>
      </c>
      <c r="J2239" s="11" t="s">
        <v>2142</v>
      </c>
      <c r="K2239" s="11" t="s">
        <v>35</v>
      </c>
      <c r="L2239" s="11" t="s">
        <v>36</v>
      </c>
      <c r="M2239" s="11" t="s">
        <v>28</v>
      </c>
      <c r="N2239" s="11" t="s">
        <v>56</v>
      </c>
      <c r="O2239" s="11" t="s">
        <v>1956</v>
      </c>
      <c r="P2239" s="11" t="s">
        <v>38</v>
      </c>
      <c r="Q2239" s="20">
        <v>40194.0</v>
      </c>
      <c r="R2239" s="17">
        <f t="shared" si="2"/>
        <v>12.58225584</v>
      </c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>
        <f t="shared" si="8"/>
        <v>2</v>
      </c>
      <c r="AF2239" s="19">
        <f t="shared" si="13"/>
        <v>2</v>
      </c>
      <c r="AG2239" s="9"/>
      <c r="AH2239" s="9"/>
      <c r="AI2239" s="9"/>
    </row>
    <row r="2240" ht="15.0" customHeight="1">
      <c r="A2240" s="11">
        <v>2239.0</v>
      </c>
      <c r="B2240" s="12">
        <f t="shared" si="361"/>
        <v>40193</v>
      </c>
      <c r="C2240" s="13">
        <v>2010.0</v>
      </c>
      <c r="D2240" s="11" t="s">
        <v>39</v>
      </c>
      <c r="E2240" s="11">
        <v>33.0</v>
      </c>
      <c r="F2240" s="21" t="s">
        <v>144</v>
      </c>
      <c r="G2240" s="15">
        <v>0.01401947148817816</v>
      </c>
      <c r="H2240" s="11" t="s">
        <v>33</v>
      </c>
      <c r="I2240" s="16">
        <v>1.592</v>
      </c>
      <c r="J2240" s="11" t="s">
        <v>897</v>
      </c>
      <c r="K2240" s="11" t="s">
        <v>26</v>
      </c>
      <c r="L2240" s="11" t="s">
        <v>36</v>
      </c>
      <c r="M2240" s="11" t="s">
        <v>66</v>
      </c>
      <c r="N2240" s="11" t="s">
        <v>67</v>
      </c>
      <c r="O2240" s="11" t="s">
        <v>1106</v>
      </c>
      <c r="P2240" s="11" t="s">
        <v>99</v>
      </c>
      <c r="Q2240" s="20">
        <v>40195.0</v>
      </c>
      <c r="R2240" s="17">
        <f t="shared" si="2"/>
        <v>0.9938683727</v>
      </c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>
        <f t="shared" si="8"/>
        <v>2</v>
      </c>
      <c r="AF2240" s="19">
        <f t="shared" si="13"/>
        <v>1</v>
      </c>
      <c r="AG2240" s="9"/>
      <c r="AH2240" s="9"/>
      <c r="AI2240" s="9"/>
    </row>
    <row r="2241" ht="15.0" customHeight="1">
      <c r="A2241" s="11">
        <v>2240.0</v>
      </c>
      <c r="B2241" s="12">
        <f t="shared" ref="B2241:B2247" si="362">DATE(2012,12,31)-1080</f>
        <v>40194</v>
      </c>
      <c r="C2241" s="13">
        <v>2010.0</v>
      </c>
      <c r="D2241" s="11" t="s">
        <v>23</v>
      </c>
      <c r="E2241" s="11">
        <v>33.0</v>
      </c>
      <c r="F2241" s="21" t="s">
        <v>856</v>
      </c>
      <c r="G2241" s="15">
        <v>0.07546907574704666</v>
      </c>
      <c r="H2241" s="11" t="s">
        <v>33</v>
      </c>
      <c r="I2241" s="16">
        <v>1.04</v>
      </c>
      <c r="J2241" s="11" t="s">
        <v>106</v>
      </c>
      <c r="K2241" s="11" t="s">
        <v>35</v>
      </c>
      <c r="L2241" s="11" t="s">
        <v>36</v>
      </c>
      <c r="M2241" s="11" t="s">
        <v>28</v>
      </c>
      <c r="N2241" s="11" t="s">
        <v>56</v>
      </c>
      <c r="O2241" s="11" t="s">
        <v>858</v>
      </c>
      <c r="P2241" s="11" t="s">
        <v>58</v>
      </c>
      <c r="Q2241" s="20">
        <v>40195.0</v>
      </c>
      <c r="R2241" s="17">
        <f t="shared" si="2"/>
        <v>10.04040584</v>
      </c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>
        <f t="shared" si="8"/>
        <v>2</v>
      </c>
      <c r="AF2241" s="19">
        <f t="shared" si="13"/>
        <v>2</v>
      </c>
      <c r="AG2241" s="9"/>
      <c r="AH2241" s="9"/>
      <c r="AI2241" s="9"/>
    </row>
    <row r="2242" ht="15.0" customHeight="1">
      <c r="A2242" s="11">
        <v>2241.0</v>
      </c>
      <c r="B2242" s="12">
        <f t="shared" si="362"/>
        <v>40194</v>
      </c>
      <c r="C2242" s="13">
        <v>2010.0</v>
      </c>
      <c r="D2242" s="11" t="s">
        <v>23</v>
      </c>
      <c r="E2242" s="11">
        <v>4.0</v>
      </c>
      <c r="F2242" s="21" t="s">
        <v>158</v>
      </c>
      <c r="G2242" s="15">
        <v>0.11193460490463225</v>
      </c>
      <c r="H2242" s="11" t="s">
        <v>33</v>
      </c>
      <c r="I2242" s="16">
        <v>6.992000000000001</v>
      </c>
      <c r="J2242" s="11" t="s">
        <v>106</v>
      </c>
      <c r="K2242" s="11" t="s">
        <v>35</v>
      </c>
      <c r="L2242" s="11" t="s">
        <v>36</v>
      </c>
      <c r="M2242" s="11" t="s">
        <v>28</v>
      </c>
      <c r="N2242" s="11" t="s">
        <v>56</v>
      </c>
      <c r="O2242" s="11" t="s">
        <v>2047</v>
      </c>
      <c r="P2242" s="11" t="s">
        <v>38</v>
      </c>
      <c r="Q2242" s="20">
        <v>40195.0</v>
      </c>
      <c r="R2242" s="17">
        <f t="shared" si="2"/>
        <v>3.648172643</v>
      </c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>
        <f t="shared" si="8"/>
        <v>2</v>
      </c>
      <c r="AF2242" s="19">
        <f t="shared" si="13"/>
        <v>2</v>
      </c>
      <c r="AG2242" s="9"/>
      <c r="AH2242" s="9"/>
      <c r="AI2242" s="9"/>
    </row>
    <row r="2243" ht="15.0" customHeight="1">
      <c r="A2243" s="11">
        <v>2242.0</v>
      </c>
      <c r="B2243" s="12">
        <f t="shared" si="362"/>
        <v>40194</v>
      </c>
      <c r="C2243" s="13">
        <v>2010.0</v>
      </c>
      <c r="D2243" s="11" t="s">
        <v>32</v>
      </c>
      <c r="E2243" s="11">
        <v>26.0</v>
      </c>
      <c r="F2243" s="21" t="s">
        <v>336</v>
      </c>
      <c r="G2243" s="15">
        <v>0.08877934272300478</v>
      </c>
      <c r="H2243" s="11" t="s">
        <v>33</v>
      </c>
      <c r="I2243" s="16">
        <v>4.472</v>
      </c>
      <c r="J2243" s="11" t="s">
        <v>1145</v>
      </c>
      <c r="K2243" s="11" t="s">
        <v>65</v>
      </c>
      <c r="L2243" s="11" t="s">
        <v>48</v>
      </c>
      <c r="M2243" s="11" t="s">
        <v>28</v>
      </c>
      <c r="N2243" s="11" t="s">
        <v>42</v>
      </c>
      <c r="O2243" s="11" t="s">
        <v>2143</v>
      </c>
      <c r="P2243" s="11" t="s">
        <v>38</v>
      </c>
      <c r="Q2243" s="20">
        <v>40195.0</v>
      </c>
      <c r="R2243" s="17">
        <f t="shared" si="2"/>
        <v>13.7849461</v>
      </c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>
        <f t="shared" si="8"/>
        <v>4</v>
      </c>
      <c r="AF2243" s="19">
        <f t="shared" si="13"/>
        <v>5</v>
      </c>
      <c r="AG2243" s="9"/>
      <c r="AH2243" s="9"/>
      <c r="AI2243" s="9"/>
    </row>
    <row r="2244" ht="15.0" customHeight="1">
      <c r="A2244" s="11">
        <v>2243.0</v>
      </c>
      <c r="B2244" s="12">
        <f t="shared" si="362"/>
        <v>40194</v>
      </c>
      <c r="C2244" s="13">
        <v>2010.0</v>
      </c>
      <c r="D2244" s="11" t="s">
        <v>32</v>
      </c>
      <c r="E2244" s="11">
        <v>13.0</v>
      </c>
      <c r="F2244" s="21" t="s">
        <v>1670</v>
      </c>
      <c r="G2244" s="15">
        <v>0.04405961674946769</v>
      </c>
      <c r="H2244" s="11" t="s">
        <v>33</v>
      </c>
      <c r="I2244" s="16">
        <v>0.792</v>
      </c>
      <c r="J2244" s="11" t="s">
        <v>1145</v>
      </c>
      <c r="K2244" s="11" t="s">
        <v>65</v>
      </c>
      <c r="L2244" s="11" t="s">
        <v>48</v>
      </c>
      <c r="M2244" s="11" t="s">
        <v>28</v>
      </c>
      <c r="N2244" s="11" t="s">
        <v>188</v>
      </c>
      <c r="O2244" s="11" t="s">
        <v>2144</v>
      </c>
      <c r="P2244" s="11" t="s">
        <v>38</v>
      </c>
      <c r="Q2244" s="20">
        <v>40195.0</v>
      </c>
      <c r="R2244" s="17">
        <f t="shared" si="2"/>
        <v>5.934477899</v>
      </c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>
        <f t="shared" si="8"/>
        <v>4</v>
      </c>
      <c r="AF2244" s="19">
        <f t="shared" si="13"/>
        <v>5</v>
      </c>
      <c r="AG2244" s="9"/>
      <c r="AH2244" s="9"/>
      <c r="AI2244" s="9"/>
    </row>
    <row r="2245" ht="15.0" customHeight="1">
      <c r="A2245" s="11">
        <v>2244.0</v>
      </c>
      <c r="B2245" s="12">
        <f t="shared" si="362"/>
        <v>40194</v>
      </c>
      <c r="C2245" s="13">
        <v>2010.0</v>
      </c>
      <c r="D2245" s="11" t="s">
        <v>23</v>
      </c>
      <c r="E2245" s="11">
        <v>30.0</v>
      </c>
      <c r="F2245" s="21" t="s">
        <v>137</v>
      </c>
      <c r="G2245" s="15">
        <v>0.01326783867631867</v>
      </c>
      <c r="H2245" s="11" t="s">
        <v>45</v>
      </c>
      <c r="I2245" s="16">
        <v>53.016</v>
      </c>
      <c r="J2245" s="11" t="s">
        <v>1884</v>
      </c>
      <c r="K2245" s="11" t="s">
        <v>117</v>
      </c>
      <c r="L2245" s="11" t="s">
        <v>48</v>
      </c>
      <c r="M2245" s="11" t="s">
        <v>49</v>
      </c>
      <c r="N2245" s="11" t="s">
        <v>156</v>
      </c>
      <c r="O2245" s="11" t="s">
        <v>1553</v>
      </c>
      <c r="P2245" s="11" t="s">
        <v>87</v>
      </c>
      <c r="Q2245" s="20">
        <v>40196.0</v>
      </c>
      <c r="R2245" s="17">
        <f t="shared" si="2"/>
        <v>60.76691342</v>
      </c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>
        <f t="shared" si="8"/>
        <v>4</v>
      </c>
      <c r="AF2245" s="19" t="b">
        <f t="shared" si="13"/>
        <v>0</v>
      </c>
      <c r="AG2245" s="9"/>
      <c r="AH2245" s="9"/>
      <c r="AI2245" s="9"/>
    </row>
    <row r="2246" ht="15.0" customHeight="1">
      <c r="A2246" s="11">
        <v>2245.0</v>
      </c>
      <c r="B2246" s="12">
        <f t="shared" si="362"/>
        <v>40194</v>
      </c>
      <c r="C2246" s="13">
        <v>2010.0</v>
      </c>
      <c r="D2246" s="11" t="s">
        <v>23</v>
      </c>
      <c r="E2246" s="11">
        <v>4.0</v>
      </c>
      <c r="F2246" s="21" t="s">
        <v>865</v>
      </c>
      <c r="G2246" s="15">
        <v>0.07965092861937782</v>
      </c>
      <c r="H2246" s="11" t="s">
        <v>45</v>
      </c>
      <c r="I2246" s="16">
        <v>19.008000000000003</v>
      </c>
      <c r="J2246" s="11" t="s">
        <v>1884</v>
      </c>
      <c r="K2246" s="11" t="s">
        <v>117</v>
      </c>
      <c r="L2246" s="11" t="s">
        <v>48</v>
      </c>
      <c r="M2246" s="11" t="s">
        <v>49</v>
      </c>
      <c r="N2246" s="11" t="s">
        <v>50</v>
      </c>
      <c r="O2246" s="11" t="s">
        <v>866</v>
      </c>
      <c r="P2246" s="11" t="s">
        <v>52</v>
      </c>
      <c r="Q2246" s="20">
        <v>40196.0</v>
      </c>
      <c r="R2246" s="17">
        <f t="shared" si="2"/>
        <v>65.52149109</v>
      </c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>
        <f t="shared" si="8"/>
        <v>4</v>
      </c>
      <c r="AF2246" s="19" t="b">
        <f t="shared" si="13"/>
        <v>0</v>
      </c>
      <c r="AG2246" s="9"/>
      <c r="AH2246" s="9"/>
      <c r="AI2246" s="9"/>
    </row>
    <row r="2247" ht="15.0" customHeight="1">
      <c r="A2247" s="11">
        <v>2246.0</v>
      </c>
      <c r="B2247" s="12">
        <f t="shared" si="362"/>
        <v>40194</v>
      </c>
      <c r="C2247" s="13">
        <v>2010.0</v>
      </c>
      <c r="D2247" s="11" t="s">
        <v>39</v>
      </c>
      <c r="E2247" s="11">
        <v>6.0</v>
      </c>
      <c r="F2247" s="21" t="s">
        <v>1084</v>
      </c>
      <c r="G2247" s="15">
        <v>0.05506849315068483</v>
      </c>
      <c r="H2247" s="11" t="s">
        <v>33</v>
      </c>
      <c r="I2247" s="16">
        <v>1.192</v>
      </c>
      <c r="J2247" s="11" t="s">
        <v>2145</v>
      </c>
      <c r="K2247" s="11" t="s">
        <v>26</v>
      </c>
      <c r="L2247" s="11" t="s">
        <v>36</v>
      </c>
      <c r="M2247" s="11" t="s">
        <v>28</v>
      </c>
      <c r="N2247" s="11" t="s">
        <v>42</v>
      </c>
      <c r="O2247" s="11" t="s">
        <v>1404</v>
      </c>
      <c r="P2247" s="11" t="s">
        <v>38</v>
      </c>
      <c r="Q2247" s="20">
        <v>40196.0</v>
      </c>
      <c r="R2247" s="17">
        <f t="shared" si="2"/>
        <v>1.519449863</v>
      </c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>
        <f t="shared" si="8"/>
        <v>2</v>
      </c>
      <c r="AF2247" s="19">
        <f t="shared" si="13"/>
        <v>1</v>
      </c>
      <c r="AG2247" s="9"/>
      <c r="AH2247" s="9"/>
      <c r="AI2247" s="9"/>
    </row>
    <row r="2248" ht="15.0" customHeight="1">
      <c r="A2248" s="11">
        <v>2247.0</v>
      </c>
      <c r="B2248" s="12">
        <f t="shared" ref="B2248:B2250" si="363">DATE(2012,12,31)-1079</f>
        <v>40195</v>
      </c>
      <c r="C2248" s="13">
        <v>2010.0</v>
      </c>
      <c r="D2248" s="11" t="s">
        <v>39</v>
      </c>
      <c r="E2248" s="11">
        <v>33.0</v>
      </c>
      <c r="F2248" s="21" t="s">
        <v>135</v>
      </c>
      <c r="G2248" s="15">
        <v>0.041575492341356796</v>
      </c>
      <c r="H2248" s="11" t="s">
        <v>33</v>
      </c>
      <c r="I2248" s="16">
        <v>1.2000000000000002</v>
      </c>
      <c r="J2248" s="11" t="s">
        <v>1961</v>
      </c>
      <c r="K2248" s="11" t="s">
        <v>65</v>
      </c>
      <c r="L2248" s="11" t="s">
        <v>27</v>
      </c>
      <c r="M2248" s="11" t="s">
        <v>28</v>
      </c>
      <c r="N2248" s="11" t="s">
        <v>62</v>
      </c>
      <c r="O2248" s="11" t="s">
        <v>978</v>
      </c>
      <c r="P2248" s="11" t="s">
        <v>58</v>
      </c>
      <c r="Q2248" s="20">
        <v>40196.0</v>
      </c>
      <c r="R2248" s="17">
        <f t="shared" si="2"/>
        <v>9.105032823</v>
      </c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>
        <f t="shared" si="8"/>
        <v>1</v>
      </c>
      <c r="AF2248" s="19">
        <f t="shared" si="13"/>
        <v>5</v>
      </c>
      <c r="AG2248" s="9"/>
      <c r="AH2248" s="9"/>
      <c r="AI2248" s="9"/>
    </row>
    <row r="2249" ht="15.0" customHeight="1">
      <c r="A2249" s="11">
        <v>2248.0</v>
      </c>
      <c r="B2249" s="12">
        <f t="shared" si="363"/>
        <v>40195</v>
      </c>
      <c r="C2249" s="13">
        <v>2010.0</v>
      </c>
      <c r="D2249" s="11" t="s">
        <v>23</v>
      </c>
      <c r="E2249" s="11">
        <v>26.0</v>
      </c>
      <c r="F2249" s="21" t="s">
        <v>151</v>
      </c>
      <c r="G2249" s="15">
        <v>0.09791621911922649</v>
      </c>
      <c r="H2249" s="11" t="s">
        <v>33</v>
      </c>
      <c r="I2249" s="16">
        <v>0.784</v>
      </c>
      <c r="J2249" s="11" t="s">
        <v>581</v>
      </c>
      <c r="K2249" s="11" t="s">
        <v>47</v>
      </c>
      <c r="L2249" s="11" t="s">
        <v>36</v>
      </c>
      <c r="M2249" s="11" t="s">
        <v>28</v>
      </c>
      <c r="N2249" s="11" t="s">
        <v>62</v>
      </c>
      <c r="O2249" s="11" t="s">
        <v>2125</v>
      </c>
      <c r="P2249" s="11" t="s">
        <v>58</v>
      </c>
      <c r="Q2249" s="20">
        <v>40197.0</v>
      </c>
      <c r="R2249" s="17">
        <f t="shared" si="2"/>
        <v>8.223395747</v>
      </c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>
        <f t="shared" si="8"/>
        <v>2</v>
      </c>
      <c r="AF2249" s="19">
        <f t="shared" si="13"/>
        <v>3</v>
      </c>
      <c r="AG2249" s="9"/>
      <c r="AH2249" s="9"/>
      <c r="AI2249" s="9"/>
    </row>
    <row r="2250" ht="15.0" customHeight="1">
      <c r="A2250" s="11">
        <v>2249.0</v>
      </c>
      <c r="B2250" s="12">
        <f t="shared" si="363"/>
        <v>40195</v>
      </c>
      <c r="C2250" s="13">
        <v>2010.0</v>
      </c>
      <c r="D2250" s="11" t="s">
        <v>23</v>
      </c>
      <c r="E2250" s="11">
        <v>41.0</v>
      </c>
      <c r="F2250" s="21" t="s">
        <v>605</v>
      </c>
      <c r="G2250" s="15">
        <v>0.040845961698584544</v>
      </c>
      <c r="H2250" s="11" t="s">
        <v>33</v>
      </c>
      <c r="I2250" s="16">
        <v>6.072</v>
      </c>
      <c r="J2250" s="11" t="s">
        <v>581</v>
      </c>
      <c r="K2250" s="11" t="s">
        <v>47</v>
      </c>
      <c r="L2250" s="11" t="s">
        <v>36</v>
      </c>
      <c r="M2250" s="11" t="s">
        <v>28</v>
      </c>
      <c r="N2250" s="11" t="s">
        <v>442</v>
      </c>
      <c r="O2250" s="11" t="s">
        <v>1289</v>
      </c>
      <c r="P2250" s="11" t="s">
        <v>99</v>
      </c>
      <c r="Q2250" s="20">
        <v>40197.0</v>
      </c>
      <c r="R2250" s="17">
        <f t="shared" si="2"/>
        <v>23.52613025</v>
      </c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>
        <f t="shared" si="8"/>
        <v>2</v>
      </c>
      <c r="AF2250" s="19">
        <f t="shared" si="13"/>
        <v>3</v>
      </c>
      <c r="AG2250" s="9"/>
      <c r="AH2250" s="9"/>
      <c r="AI2250" s="9"/>
    </row>
    <row r="2251" ht="15.0" customHeight="1">
      <c r="A2251" s="11">
        <v>2250.0</v>
      </c>
      <c r="B2251" s="12">
        <f t="shared" ref="B2251:B2260" si="364">DATE(2012,12,31)-1078</f>
        <v>40196</v>
      </c>
      <c r="C2251" s="13">
        <v>2010.0</v>
      </c>
      <c r="D2251" s="11" t="s">
        <v>23</v>
      </c>
      <c r="E2251" s="11">
        <v>4.0</v>
      </c>
      <c r="F2251" s="21" t="s">
        <v>865</v>
      </c>
      <c r="G2251" s="15">
        <v>0.015901423615264886</v>
      </c>
      <c r="H2251" s="11" t="s">
        <v>45</v>
      </c>
      <c r="I2251" s="16">
        <v>19.008000000000003</v>
      </c>
      <c r="J2251" s="11" t="s">
        <v>548</v>
      </c>
      <c r="K2251" s="11" t="s">
        <v>47</v>
      </c>
      <c r="L2251" s="11" t="s">
        <v>27</v>
      </c>
      <c r="M2251" s="11" t="s">
        <v>49</v>
      </c>
      <c r="N2251" s="11" t="s">
        <v>50</v>
      </c>
      <c r="O2251" s="11" t="s">
        <v>866</v>
      </c>
      <c r="P2251" s="11" t="s">
        <v>52</v>
      </c>
      <c r="Q2251" s="20">
        <v>40197.0</v>
      </c>
      <c r="R2251" s="17">
        <f t="shared" si="2"/>
        <v>13.08063828</v>
      </c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>
        <f t="shared" si="8"/>
        <v>1</v>
      </c>
      <c r="AF2251" s="19">
        <f t="shared" si="13"/>
        <v>3</v>
      </c>
      <c r="AG2251" s="9"/>
      <c r="AH2251" s="9"/>
      <c r="AI2251" s="9"/>
    </row>
    <row r="2252" ht="15.0" customHeight="1">
      <c r="A2252" s="11">
        <v>2251.0</v>
      </c>
      <c r="B2252" s="12">
        <f t="shared" si="364"/>
        <v>40196</v>
      </c>
      <c r="C2252" s="13">
        <v>2010.0</v>
      </c>
      <c r="D2252" s="11" t="s">
        <v>23</v>
      </c>
      <c r="E2252" s="11">
        <v>7.0</v>
      </c>
      <c r="F2252" s="21" t="s">
        <v>122</v>
      </c>
      <c r="G2252" s="15">
        <v>0.08751861042183626</v>
      </c>
      <c r="H2252" s="11" t="s">
        <v>33</v>
      </c>
      <c r="I2252" s="16">
        <v>0.792</v>
      </c>
      <c r="J2252" s="11" t="s">
        <v>1482</v>
      </c>
      <c r="K2252" s="11" t="s">
        <v>61</v>
      </c>
      <c r="L2252" s="11" t="s">
        <v>36</v>
      </c>
      <c r="M2252" s="11" t="s">
        <v>66</v>
      </c>
      <c r="N2252" s="11" t="s">
        <v>80</v>
      </c>
      <c r="O2252" s="11" t="s">
        <v>1321</v>
      </c>
      <c r="P2252" s="11" t="s">
        <v>58</v>
      </c>
      <c r="Q2252" s="20">
        <v>40197.0</v>
      </c>
      <c r="R2252" s="17">
        <f t="shared" si="2"/>
        <v>12.87328744</v>
      </c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>
        <f t="shared" si="8"/>
        <v>2</v>
      </c>
      <c r="AF2252" s="19">
        <f t="shared" si="13"/>
        <v>4</v>
      </c>
      <c r="AG2252" s="9"/>
      <c r="AH2252" s="9"/>
      <c r="AI2252" s="9"/>
    </row>
    <row r="2253" ht="15.0" customHeight="1">
      <c r="A2253" s="11">
        <v>2252.0</v>
      </c>
      <c r="B2253" s="12">
        <f t="shared" si="364"/>
        <v>40196</v>
      </c>
      <c r="C2253" s="13">
        <v>2010.0</v>
      </c>
      <c r="D2253" s="11" t="s">
        <v>32</v>
      </c>
      <c r="E2253" s="11">
        <v>29.0</v>
      </c>
      <c r="F2253" s="21" t="s">
        <v>322</v>
      </c>
      <c r="G2253" s="15">
        <v>0.03194156093810092</v>
      </c>
      <c r="H2253" s="11" t="s">
        <v>33</v>
      </c>
      <c r="I2253" s="16">
        <v>2.3920000000000003</v>
      </c>
      <c r="J2253" s="11" t="s">
        <v>1802</v>
      </c>
      <c r="K2253" s="11" t="s">
        <v>61</v>
      </c>
      <c r="L2253" s="11" t="s">
        <v>27</v>
      </c>
      <c r="M2253" s="11" t="s">
        <v>28</v>
      </c>
      <c r="N2253" s="11" t="s">
        <v>42</v>
      </c>
      <c r="O2253" s="11" t="s">
        <v>2146</v>
      </c>
      <c r="P2253" s="11" t="s">
        <v>38</v>
      </c>
      <c r="Q2253" s="20">
        <v>40197.0</v>
      </c>
      <c r="R2253" s="17">
        <f t="shared" si="2"/>
        <v>8.042629512</v>
      </c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>
        <f t="shared" si="8"/>
        <v>1</v>
      </c>
      <c r="AF2253" s="19">
        <f t="shared" si="13"/>
        <v>4</v>
      </c>
      <c r="AG2253" s="9"/>
      <c r="AH2253" s="9"/>
      <c r="AI2253" s="9"/>
    </row>
    <row r="2254" ht="15.0" customHeight="1">
      <c r="A2254" s="11">
        <v>2253.0</v>
      </c>
      <c r="B2254" s="12">
        <f t="shared" si="364"/>
        <v>40196</v>
      </c>
      <c r="C2254" s="13">
        <v>2010.0</v>
      </c>
      <c r="D2254" s="11" t="s">
        <v>32</v>
      </c>
      <c r="E2254" s="11">
        <v>3.0</v>
      </c>
      <c r="F2254" s="21" t="s">
        <v>1656</v>
      </c>
      <c r="G2254" s="15">
        <v>0.04778740863516561</v>
      </c>
      <c r="H2254" s="11" t="s">
        <v>45</v>
      </c>
      <c r="I2254" s="16">
        <v>6.984000000000001</v>
      </c>
      <c r="J2254" s="11" t="s">
        <v>1802</v>
      </c>
      <c r="K2254" s="11" t="s">
        <v>61</v>
      </c>
      <c r="L2254" s="11" t="s">
        <v>27</v>
      </c>
      <c r="M2254" s="11" t="s">
        <v>66</v>
      </c>
      <c r="N2254" s="11" t="s">
        <v>69</v>
      </c>
      <c r="O2254" s="11" t="s">
        <v>1658</v>
      </c>
      <c r="P2254" s="11" t="s">
        <v>87</v>
      </c>
      <c r="Q2254" s="20">
        <v>40198.0</v>
      </c>
      <c r="R2254" s="17">
        <f t="shared" si="2"/>
        <v>502.4025986</v>
      </c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>
        <f t="shared" si="8"/>
        <v>1</v>
      </c>
      <c r="AF2254" s="19">
        <f t="shared" si="13"/>
        <v>4</v>
      </c>
      <c r="AG2254" s="9"/>
      <c r="AH2254" s="9"/>
      <c r="AI2254" s="9"/>
    </row>
    <row r="2255" ht="15.0" customHeight="1">
      <c r="A2255" s="11">
        <v>2254.0</v>
      </c>
      <c r="B2255" s="12">
        <f t="shared" si="364"/>
        <v>40196</v>
      </c>
      <c r="C2255" s="13">
        <v>2010.0</v>
      </c>
      <c r="D2255" s="11" t="s">
        <v>32</v>
      </c>
      <c r="E2255" s="11">
        <v>25.0</v>
      </c>
      <c r="F2255" s="21" t="s">
        <v>2004</v>
      </c>
      <c r="G2255" s="15">
        <v>0.05169338131065316</v>
      </c>
      <c r="H2255" s="11" t="s">
        <v>33</v>
      </c>
      <c r="I2255" s="16">
        <v>7.192</v>
      </c>
      <c r="J2255" s="11" t="s">
        <v>1802</v>
      </c>
      <c r="K2255" s="11" t="s">
        <v>61</v>
      </c>
      <c r="L2255" s="11" t="s">
        <v>27</v>
      </c>
      <c r="M2255" s="11" t="s">
        <v>28</v>
      </c>
      <c r="N2255" s="11" t="s">
        <v>62</v>
      </c>
      <c r="O2255" s="11" t="s">
        <v>2007</v>
      </c>
      <c r="P2255" s="11" t="s">
        <v>99</v>
      </c>
      <c r="Q2255" s="20">
        <v>40198.0</v>
      </c>
      <c r="R2255" s="17">
        <f t="shared" si="2"/>
        <v>44.95732018</v>
      </c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>
        <f t="shared" si="8"/>
        <v>1</v>
      </c>
      <c r="AF2255" s="19">
        <f t="shared" si="13"/>
        <v>4</v>
      </c>
      <c r="AG2255" s="9"/>
      <c r="AH2255" s="9"/>
      <c r="AI2255" s="9"/>
    </row>
    <row r="2256" ht="15.0" customHeight="1">
      <c r="A2256" s="11">
        <v>2255.0</v>
      </c>
      <c r="B2256" s="12">
        <f t="shared" si="364"/>
        <v>40196</v>
      </c>
      <c r="C2256" s="13">
        <v>2010.0</v>
      </c>
      <c r="D2256" s="11" t="s">
        <v>32</v>
      </c>
      <c r="E2256" s="11">
        <v>32.0</v>
      </c>
      <c r="F2256" s="21" t="s">
        <v>610</v>
      </c>
      <c r="G2256" s="15">
        <v>0.06841209829867674</v>
      </c>
      <c r="H2256" s="11" t="s">
        <v>33</v>
      </c>
      <c r="I2256" s="16">
        <v>3.848</v>
      </c>
      <c r="J2256" s="11" t="s">
        <v>1802</v>
      </c>
      <c r="K2256" s="11" t="s">
        <v>61</v>
      </c>
      <c r="L2256" s="11" t="s">
        <v>27</v>
      </c>
      <c r="M2256" s="11" t="s">
        <v>28</v>
      </c>
      <c r="N2256" s="11" t="s">
        <v>29</v>
      </c>
      <c r="O2256" s="11" t="s">
        <v>2147</v>
      </c>
      <c r="P2256" s="11" t="s">
        <v>38</v>
      </c>
      <c r="Q2256" s="20">
        <v>40198.0</v>
      </c>
      <c r="R2256" s="17">
        <f t="shared" si="2"/>
        <v>26.97133293</v>
      </c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>
        <f t="shared" si="8"/>
        <v>1</v>
      </c>
      <c r="AF2256" s="19">
        <f t="shared" si="13"/>
        <v>4</v>
      </c>
      <c r="AG2256" s="9"/>
      <c r="AH2256" s="9"/>
      <c r="AI2256" s="9"/>
    </row>
    <row r="2257" ht="15.0" customHeight="1">
      <c r="A2257" s="11">
        <v>2256.0</v>
      </c>
      <c r="B2257" s="12">
        <f t="shared" si="364"/>
        <v>40196</v>
      </c>
      <c r="C2257" s="13">
        <v>2010.0</v>
      </c>
      <c r="D2257" s="11" t="s">
        <v>32</v>
      </c>
      <c r="E2257" s="11">
        <v>26.0</v>
      </c>
      <c r="F2257" s="21" t="s">
        <v>591</v>
      </c>
      <c r="G2257" s="15">
        <v>0.08001585414189463</v>
      </c>
      <c r="H2257" s="11" t="s">
        <v>33</v>
      </c>
      <c r="I2257" s="16">
        <v>4.024</v>
      </c>
      <c r="J2257" s="11" t="s">
        <v>2148</v>
      </c>
      <c r="K2257" s="11" t="s">
        <v>65</v>
      </c>
      <c r="L2257" s="11" t="s">
        <v>27</v>
      </c>
      <c r="M2257" s="11" t="s">
        <v>49</v>
      </c>
      <c r="N2257" s="11" t="s">
        <v>73</v>
      </c>
      <c r="O2257" s="11" t="s">
        <v>2020</v>
      </c>
      <c r="P2257" s="11" t="s">
        <v>38</v>
      </c>
      <c r="Q2257" s="20">
        <v>40198.0</v>
      </c>
      <c r="R2257" s="17">
        <f t="shared" si="2"/>
        <v>37.14527987</v>
      </c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>
        <f t="shared" si="8"/>
        <v>1</v>
      </c>
      <c r="AF2257" s="19">
        <f t="shared" si="13"/>
        <v>5</v>
      </c>
      <c r="AG2257" s="9"/>
      <c r="AH2257" s="9"/>
      <c r="AI2257" s="9"/>
    </row>
    <row r="2258" ht="15.0" customHeight="1">
      <c r="A2258" s="11">
        <v>2257.0</v>
      </c>
      <c r="B2258" s="12">
        <f t="shared" si="364"/>
        <v>40196</v>
      </c>
      <c r="C2258" s="13">
        <v>2010.0</v>
      </c>
      <c r="D2258" s="11" t="s">
        <v>32</v>
      </c>
      <c r="E2258" s="11">
        <v>46.0</v>
      </c>
      <c r="F2258" s="21" t="s">
        <v>140</v>
      </c>
      <c r="G2258" s="15">
        <v>0.08708344962322076</v>
      </c>
      <c r="H2258" s="11" t="s">
        <v>33</v>
      </c>
      <c r="I2258" s="16">
        <v>11.192</v>
      </c>
      <c r="J2258" s="11" t="s">
        <v>2148</v>
      </c>
      <c r="K2258" s="11" t="s">
        <v>65</v>
      </c>
      <c r="L2258" s="11" t="s">
        <v>27</v>
      </c>
      <c r="M2258" s="11" t="s">
        <v>28</v>
      </c>
      <c r="N2258" s="11" t="s">
        <v>29</v>
      </c>
      <c r="O2258" s="11" t="s">
        <v>141</v>
      </c>
      <c r="P2258" s="11" t="s">
        <v>75</v>
      </c>
      <c r="Q2258" s="20">
        <v>40198.0</v>
      </c>
      <c r="R2258" s="17">
        <f t="shared" si="2"/>
        <v>113.9392888</v>
      </c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>
        <f t="shared" si="8"/>
        <v>1</v>
      </c>
      <c r="AF2258" s="19">
        <f t="shared" si="13"/>
        <v>5</v>
      </c>
      <c r="AG2258" s="9"/>
      <c r="AH2258" s="9"/>
      <c r="AI2258" s="9"/>
    </row>
    <row r="2259" ht="15.0" customHeight="1">
      <c r="A2259" s="11">
        <v>2258.0</v>
      </c>
      <c r="B2259" s="12">
        <f t="shared" si="364"/>
        <v>40196</v>
      </c>
      <c r="C2259" s="13">
        <v>2010.0</v>
      </c>
      <c r="D2259" s="11" t="s">
        <v>32</v>
      </c>
      <c r="E2259" s="11">
        <v>14.0</v>
      </c>
      <c r="F2259" s="21" t="s">
        <v>1944</v>
      </c>
      <c r="G2259" s="15">
        <v>0.11449631449631457</v>
      </c>
      <c r="H2259" s="11" t="s">
        <v>33</v>
      </c>
      <c r="I2259" s="16">
        <v>1.04</v>
      </c>
      <c r="J2259" s="11" t="s">
        <v>1896</v>
      </c>
      <c r="K2259" s="11" t="s">
        <v>65</v>
      </c>
      <c r="L2259" s="11" t="s">
        <v>48</v>
      </c>
      <c r="M2259" s="11" t="s">
        <v>28</v>
      </c>
      <c r="N2259" s="11" t="s">
        <v>62</v>
      </c>
      <c r="O2259" s="11" t="s">
        <v>2028</v>
      </c>
      <c r="P2259" s="11" t="s">
        <v>58</v>
      </c>
      <c r="Q2259" s="20">
        <v>40198.0</v>
      </c>
      <c r="R2259" s="17">
        <f t="shared" si="2"/>
        <v>4.126447174</v>
      </c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>
        <f t="shared" si="8"/>
        <v>4</v>
      </c>
      <c r="AF2259" s="19">
        <f t="shared" si="13"/>
        <v>5</v>
      </c>
      <c r="AG2259" s="9"/>
      <c r="AH2259" s="9"/>
      <c r="AI2259" s="9"/>
    </row>
    <row r="2260" ht="15.0" customHeight="1">
      <c r="A2260" s="11">
        <v>2259.0</v>
      </c>
      <c r="B2260" s="12">
        <f t="shared" si="364"/>
        <v>40196</v>
      </c>
      <c r="C2260" s="13">
        <v>2010.0</v>
      </c>
      <c r="D2260" s="11" t="s">
        <v>32</v>
      </c>
      <c r="E2260" s="11">
        <v>1.0</v>
      </c>
      <c r="F2260" s="21" t="s">
        <v>440</v>
      </c>
      <c r="G2260" s="15">
        <v>0.08186046511627905</v>
      </c>
      <c r="H2260" s="11" t="s">
        <v>33</v>
      </c>
      <c r="I2260" s="16">
        <v>1.096</v>
      </c>
      <c r="J2260" s="11" t="s">
        <v>1896</v>
      </c>
      <c r="K2260" s="11" t="s">
        <v>65</v>
      </c>
      <c r="L2260" s="11" t="s">
        <v>48</v>
      </c>
      <c r="M2260" s="11" t="s">
        <v>28</v>
      </c>
      <c r="N2260" s="11" t="s">
        <v>442</v>
      </c>
      <c r="O2260" s="11" t="s">
        <v>443</v>
      </c>
      <c r="P2260" s="11" t="s">
        <v>99</v>
      </c>
      <c r="Q2260" s="20">
        <v>40198.0</v>
      </c>
      <c r="R2260" s="17">
        <f t="shared" si="2"/>
        <v>0.6463702326</v>
      </c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>
        <f t="shared" si="8"/>
        <v>4</v>
      </c>
      <c r="AF2260" s="19">
        <f t="shared" si="13"/>
        <v>5</v>
      </c>
      <c r="AG2260" s="9"/>
      <c r="AH2260" s="9"/>
      <c r="AI2260" s="9"/>
    </row>
    <row r="2261" ht="15.0" customHeight="1">
      <c r="A2261" s="11">
        <v>2260.0</v>
      </c>
      <c r="B2261" s="12">
        <f>DATE(2012,12,31)-1077</f>
        <v>40197</v>
      </c>
      <c r="C2261" s="13">
        <v>2010.0</v>
      </c>
      <c r="D2261" s="11" t="s">
        <v>23</v>
      </c>
      <c r="E2261" s="11">
        <v>1.0</v>
      </c>
      <c r="F2261" s="21" t="s">
        <v>1201</v>
      </c>
      <c r="G2261" s="15">
        <v>0.08845005740528122</v>
      </c>
      <c r="H2261" s="11" t="s">
        <v>33</v>
      </c>
      <c r="I2261" s="16">
        <v>15.991999999999999</v>
      </c>
      <c r="J2261" s="11" t="s">
        <v>2033</v>
      </c>
      <c r="K2261" s="11" t="s">
        <v>65</v>
      </c>
      <c r="L2261" s="11" t="s">
        <v>27</v>
      </c>
      <c r="M2261" s="11" t="s">
        <v>28</v>
      </c>
      <c r="N2261" s="11" t="s">
        <v>29</v>
      </c>
      <c r="O2261" s="11" t="s">
        <v>1202</v>
      </c>
      <c r="P2261" s="11" t="s">
        <v>38</v>
      </c>
      <c r="Q2261" s="20">
        <v>40199.0</v>
      </c>
      <c r="R2261" s="17">
        <f t="shared" si="2"/>
        <v>14.04516152</v>
      </c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>
        <f t="shared" si="8"/>
        <v>1</v>
      </c>
      <c r="AF2261" s="19">
        <f t="shared" si="13"/>
        <v>5</v>
      </c>
      <c r="AG2261" s="9"/>
      <c r="AH2261" s="9"/>
      <c r="AI2261" s="9"/>
    </row>
    <row r="2262" ht="15.0" customHeight="1">
      <c r="A2262" s="11">
        <v>2261.0</v>
      </c>
      <c r="B2262" s="12">
        <f t="shared" ref="B2262:B2271" si="365">DATE(2012,12,31)-1076</f>
        <v>40198</v>
      </c>
      <c r="C2262" s="13">
        <v>2010.0</v>
      </c>
      <c r="D2262" s="11" t="s">
        <v>39</v>
      </c>
      <c r="E2262" s="11">
        <v>5.0</v>
      </c>
      <c r="F2262" s="21" t="s">
        <v>308</v>
      </c>
      <c r="G2262" s="15">
        <v>0.08527739819622841</v>
      </c>
      <c r="H2262" s="11" t="s">
        <v>45</v>
      </c>
      <c r="I2262" s="16">
        <v>14.288</v>
      </c>
      <c r="J2262" s="11" t="s">
        <v>659</v>
      </c>
      <c r="K2262" s="11" t="s">
        <v>26</v>
      </c>
      <c r="L2262" s="11" t="s">
        <v>48</v>
      </c>
      <c r="M2262" s="11" t="s">
        <v>66</v>
      </c>
      <c r="N2262" s="11" t="s">
        <v>69</v>
      </c>
      <c r="O2262" s="11" t="s">
        <v>309</v>
      </c>
      <c r="P2262" s="11" t="s">
        <v>52</v>
      </c>
      <c r="Q2262" s="20">
        <v>40199.0</v>
      </c>
      <c r="R2262" s="17">
        <f t="shared" si="2"/>
        <v>114.1683574</v>
      </c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>
        <f t="shared" si="8"/>
        <v>4</v>
      </c>
      <c r="AF2262" s="19">
        <f t="shared" si="13"/>
        <v>1</v>
      </c>
      <c r="AG2262" s="9"/>
      <c r="AH2262" s="9"/>
      <c r="AI2262" s="9"/>
    </row>
    <row r="2263" ht="15.0" customHeight="1">
      <c r="A2263" s="11">
        <v>2262.0</v>
      </c>
      <c r="B2263" s="12">
        <f t="shared" si="365"/>
        <v>40198</v>
      </c>
      <c r="C2263" s="13">
        <v>2010.0</v>
      </c>
      <c r="D2263" s="11" t="s">
        <v>44</v>
      </c>
      <c r="E2263" s="11">
        <v>48.0</v>
      </c>
      <c r="F2263" s="21" t="s">
        <v>306</v>
      </c>
      <c r="G2263" s="15">
        <v>0.05232656700914763</v>
      </c>
      <c r="H2263" s="11" t="s">
        <v>33</v>
      </c>
      <c r="I2263" s="16">
        <v>11.896</v>
      </c>
      <c r="J2263" s="11" t="s">
        <v>882</v>
      </c>
      <c r="K2263" s="11" t="s">
        <v>65</v>
      </c>
      <c r="L2263" s="11" t="s">
        <v>48</v>
      </c>
      <c r="M2263" s="11" t="s">
        <v>49</v>
      </c>
      <c r="N2263" s="11" t="s">
        <v>73</v>
      </c>
      <c r="O2263" s="11" t="s">
        <v>2149</v>
      </c>
      <c r="P2263" s="11" t="s">
        <v>31</v>
      </c>
      <c r="Q2263" s="20">
        <v>40199.0</v>
      </c>
      <c r="R2263" s="17">
        <f t="shared" si="2"/>
        <v>50.60481365</v>
      </c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>
        <f t="shared" si="8"/>
        <v>4</v>
      </c>
      <c r="AF2263" s="19">
        <f t="shared" si="13"/>
        <v>5</v>
      </c>
      <c r="AG2263" s="9"/>
      <c r="AH2263" s="9"/>
      <c r="AI2263" s="9"/>
    </row>
    <row r="2264" ht="15.0" customHeight="1">
      <c r="A2264" s="11">
        <v>2263.0</v>
      </c>
      <c r="B2264" s="12">
        <f t="shared" si="365"/>
        <v>40198</v>
      </c>
      <c r="C2264" s="13">
        <v>2010.0</v>
      </c>
      <c r="D2264" s="11" t="s">
        <v>44</v>
      </c>
      <c r="E2264" s="11">
        <v>17.0</v>
      </c>
      <c r="F2264" s="21" t="s">
        <v>135</v>
      </c>
      <c r="G2264" s="15">
        <v>0.09056304520222047</v>
      </c>
      <c r="H2264" s="11" t="s">
        <v>33</v>
      </c>
      <c r="I2264" s="16">
        <v>2.4800000000000004</v>
      </c>
      <c r="J2264" s="11" t="s">
        <v>882</v>
      </c>
      <c r="K2264" s="11" t="s">
        <v>65</v>
      </c>
      <c r="L2264" s="11" t="s">
        <v>48</v>
      </c>
      <c r="M2264" s="11" t="s">
        <v>28</v>
      </c>
      <c r="N2264" s="11" t="s">
        <v>56</v>
      </c>
      <c r="O2264" s="11" t="s">
        <v>2150</v>
      </c>
      <c r="P2264" s="11" t="s">
        <v>58</v>
      </c>
      <c r="Q2264" s="20">
        <v>40200.0</v>
      </c>
      <c r="R2264" s="17">
        <f t="shared" si="2"/>
        <v>10.38577002</v>
      </c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>
        <f t="shared" si="8"/>
        <v>4</v>
      </c>
      <c r="AF2264" s="19">
        <f t="shared" si="13"/>
        <v>5</v>
      </c>
      <c r="AG2264" s="9"/>
      <c r="AH2264" s="9"/>
      <c r="AI2264" s="9"/>
    </row>
    <row r="2265" ht="15.0" customHeight="1">
      <c r="A2265" s="11">
        <v>2264.0</v>
      </c>
      <c r="B2265" s="12">
        <f t="shared" si="365"/>
        <v>40198</v>
      </c>
      <c r="C2265" s="13">
        <v>2010.0</v>
      </c>
      <c r="D2265" s="11" t="s">
        <v>44</v>
      </c>
      <c r="E2265" s="11">
        <v>3.0</v>
      </c>
      <c r="F2265" s="21" t="s">
        <v>126</v>
      </c>
      <c r="G2265" s="15">
        <v>0.07320388349514559</v>
      </c>
      <c r="H2265" s="11" t="s">
        <v>24</v>
      </c>
      <c r="I2265" s="16">
        <v>4.392</v>
      </c>
      <c r="J2265" s="11" t="s">
        <v>882</v>
      </c>
      <c r="K2265" s="11" t="s">
        <v>65</v>
      </c>
      <c r="L2265" s="11" t="s">
        <v>48</v>
      </c>
      <c r="M2265" s="11" t="s">
        <v>28</v>
      </c>
      <c r="N2265" s="11" t="s">
        <v>56</v>
      </c>
      <c r="O2265" s="11" t="s">
        <v>1297</v>
      </c>
      <c r="P2265" s="11" t="s">
        <v>38</v>
      </c>
      <c r="Q2265" s="20">
        <v>40200.0</v>
      </c>
      <c r="R2265" s="17">
        <f t="shared" si="2"/>
        <v>1.397608544</v>
      </c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>
        <f t="shared" si="8"/>
        <v>4</v>
      </c>
      <c r="AF2265" s="19">
        <f t="shared" si="13"/>
        <v>5</v>
      </c>
      <c r="AG2265" s="9"/>
      <c r="AH2265" s="9"/>
      <c r="AI2265" s="9"/>
    </row>
    <row r="2266" ht="15.0" customHeight="1">
      <c r="A2266" s="11">
        <v>2265.0</v>
      </c>
      <c r="B2266" s="12">
        <f t="shared" si="365"/>
        <v>40198</v>
      </c>
      <c r="C2266" s="13">
        <v>2010.0</v>
      </c>
      <c r="D2266" s="11" t="s">
        <v>32</v>
      </c>
      <c r="E2266" s="11">
        <v>8.0</v>
      </c>
      <c r="F2266" s="21" t="s">
        <v>2151</v>
      </c>
      <c r="G2266" s="15">
        <v>0.03546075792089453</v>
      </c>
      <c r="H2266" s="11" t="s">
        <v>33</v>
      </c>
      <c r="I2266" s="16">
        <v>10.576</v>
      </c>
      <c r="J2266" s="11" t="s">
        <v>1605</v>
      </c>
      <c r="K2266" s="11" t="s">
        <v>61</v>
      </c>
      <c r="L2266" s="11" t="s">
        <v>48</v>
      </c>
      <c r="M2266" s="11" t="s">
        <v>28</v>
      </c>
      <c r="N2266" s="11" t="s">
        <v>197</v>
      </c>
      <c r="O2266" s="11" t="s">
        <v>2152</v>
      </c>
      <c r="P2266" s="11" t="s">
        <v>38</v>
      </c>
      <c r="Q2266" s="20">
        <v>40200.0</v>
      </c>
      <c r="R2266" s="17">
        <f t="shared" si="2"/>
        <v>16.51676998</v>
      </c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>
        <f t="shared" si="8"/>
        <v>4</v>
      </c>
      <c r="AF2266" s="19">
        <f t="shared" si="13"/>
        <v>4</v>
      </c>
      <c r="AG2266" s="9"/>
      <c r="AH2266" s="9"/>
      <c r="AI2266" s="9"/>
    </row>
    <row r="2267" ht="15.0" customHeight="1">
      <c r="A2267" s="11">
        <v>2266.0</v>
      </c>
      <c r="B2267" s="12">
        <f t="shared" si="365"/>
        <v>40198</v>
      </c>
      <c r="C2267" s="13">
        <v>2010.0</v>
      </c>
      <c r="D2267" s="11" t="s">
        <v>32</v>
      </c>
      <c r="E2267" s="11">
        <v>48.0</v>
      </c>
      <c r="F2267" s="21" t="s">
        <v>218</v>
      </c>
      <c r="G2267" s="15">
        <v>0.05083352790100395</v>
      </c>
      <c r="H2267" s="11" t="s">
        <v>24</v>
      </c>
      <c r="I2267" s="16">
        <v>8.128</v>
      </c>
      <c r="J2267" s="11" t="s">
        <v>1605</v>
      </c>
      <c r="K2267" s="11" t="s">
        <v>61</v>
      </c>
      <c r="L2267" s="11" t="s">
        <v>48</v>
      </c>
      <c r="M2267" s="11" t="s">
        <v>49</v>
      </c>
      <c r="N2267" s="11" t="s">
        <v>73</v>
      </c>
      <c r="O2267" s="11" t="s">
        <v>1517</v>
      </c>
      <c r="P2267" s="11" t="s">
        <v>31</v>
      </c>
      <c r="Q2267" s="20">
        <v>40200.0</v>
      </c>
      <c r="R2267" s="17">
        <f t="shared" si="2"/>
        <v>20.66525243</v>
      </c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>
        <f t="shared" si="8"/>
        <v>4</v>
      </c>
      <c r="AF2267" s="19">
        <f t="shared" si="13"/>
        <v>4</v>
      </c>
      <c r="AG2267" s="9"/>
      <c r="AH2267" s="9"/>
      <c r="AI2267" s="9"/>
    </row>
    <row r="2268" ht="15.0" customHeight="1">
      <c r="A2268" s="11">
        <v>2267.0</v>
      </c>
      <c r="B2268" s="12">
        <f t="shared" si="365"/>
        <v>40198</v>
      </c>
      <c r="C2268" s="13">
        <v>2010.0</v>
      </c>
      <c r="D2268" s="11" t="s">
        <v>32</v>
      </c>
      <c r="E2268" s="11">
        <v>5.0</v>
      </c>
      <c r="F2268" s="21" t="s">
        <v>270</v>
      </c>
      <c r="G2268" s="15">
        <v>0.036666666666666674</v>
      </c>
      <c r="H2268" s="11" t="s">
        <v>24</v>
      </c>
      <c r="I2268" s="16">
        <v>13.984000000000002</v>
      </c>
      <c r="J2268" s="11" t="s">
        <v>1605</v>
      </c>
      <c r="K2268" s="11" t="s">
        <v>61</v>
      </c>
      <c r="L2268" s="11" t="s">
        <v>48</v>
      </c>
      <c r="M2268" s="11" t="s">
        <v>28</v>
      </c>
      <c r="N2268" s="11" t="s">
        <v>56</v>
      </c>
      <c r="O2268" s="11" t="s">
        <v>1172</v>
      </c>
      <c r="P2268" s="11" t="s">
        <v>38</v>
      </c>
      <c r="Q2268" s="20">
        <v>40200.0</v>
      </c>
      <c r="R2268" s="17">
        <f t="shared" si="2"/>
        <v>8.01108</v>
      </c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>
        <f t="shared" si="8"/>
        <v>4</v>
      </c>
      <c r="AF2268" s="19">
        <f t="shared" si="13"/>
        <v>4</v>
      </c>
      <c r="AG2268" s="9"/>
      <c r="AH2268" s="9"/>
      <c r="AI2268" s="9"/>
    </row>
    <row r="2269" ht="15.0" customHeight="1">
      <c r="A2269" s="11">
        <v>2268.0</v>
      </c>
      <c r="B2269" s="12">
        <f t="shared" si="365"/>
        <v>40198</v>
      </c>
      <c r="C2269" s="13">
        <v>2010.0</v>
      </c>
      <c r="D2269" s="11" t="s">
        <v>39</v>
      </c>
      <c r="E2269" s="11">
        <v>26.0</v>
      </c>
      <c r="F2269" s="21" t="s">
        <v>231</v>
      </c>
      <c r="G2269" s="15">
        <v>0.08866456788869717</v>
      </c>
      <c r="H2269" s="11" t="s">
        <v>33</v>
      </c>
      <c r="I2269" s="16">
        <v>15.991999999999999</v>
      </c>
      <c r="J2269" s="11" t="s">
        <v>429</v>
      </c>
      <c r="K2269" s="11" t="s">
        <v>83</v>
      </c>
      <c r="L2269" s="11" t="s">
        <v>48</v>
      </c>
      <c r="M2269" s="11" t="s">
        <v>49</v>
      </c>
      <c r="N2269" s="11" t="s">
        <v>73</v>
      </c>
      <c r="O2269" s="11" t="s">
        <v>1820</v>
      </c>
      <c r="P2269" s="11" t="s">
        <v>38</v>
      </c>
      <c r="Q2269" s="20">
        <v>40201.0</v>
      </c>
      <c r="R2269" s="17">
        <f t="shared" si="2"/>
        <v>79.56687391</v>
      </c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>
        <f t="shared" si="8"/>
        <v>4</v>
      </c>
      <c r="AF2269" s="19" t="b">
        <f t="shared" si="13"/>
        <v>0</v>
      </c>
      <c r="AG2269" s="9"/>
      <c r="AH2269" s="9"/>
      <c r="AI2269" s="9"/>
    </row>
    <row r="2270" ht="15.0" customHeight="1">
      <c r="A2270" s="11">
        <v>2269.0</v>
      </c>
      <c r="B2270" s="12">
        <f t="shared" si="365"/>
        <v>40198</v>
      </c>
      <c r="C2270" s="13">
        <v>2010.0</v>
      </c>
      <c r="D2270" s="11" t="s">
        <v>102</v>
      </c>
      <c r="E2270" s="11">
        <v>21.0</v>
      </c>
      <c r="F2270" s="21" t="s">
        <v>144</v>
      </c>
      <c r="G2270" s="15">
        <v>0.0395698924731182</v>
      </c>
      <c r="H2270" s="11" t="s">
        <v>33</v>
      </c>
      <c r="I2270" s="16">
        <v>0.5599999999999999</v>
      </c>
      <c r="J2270" s="11" t="s">
        <v>2095</v>
      </c>
      <c r="K2270" s="11" t="s">
        <v>35</v>
      </c>
      <c r="L2270" s="11" t="s">
        <v>36</v>
      </c>
      <c r="M2270" s="11" t="s">
        <v>28</v>
      </c>
      <c r="N2270" s="11" t="s">
        <v>62</v>
      </c>
      <c r="O2270" s="11" t="s">
        <v>146</v>
      </c>
      <c r="P2270" s="11" t="s">
        <v>58</v>
      </c>
      <c r="Q2270" s="20">
        <v>40201.0</v>
      </c>
      <c r="R2270" s="17">
        <f t="shared" si="2"/>
        <v>1.767191398</v>
      </c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>
        <f t="shared" si="8"/>
        <v>2</v>
      </c>
      <c r="AF2270" s="19">
        <f t="shared" si="13"/>
        <v>2</v>
      </c>
      <c r="AG2270" s="9"/>
      <c r="AH2270" s="9"/>
      <c r="AI2270" s="9"/>
    </row>
    <row r="2271" ht="15.0" customHeight="1">
      <c r="A2271" s="11">
        <v>2270.0</v>
      </c>
      <c r="B2271" s="12">
        <f t="shared" si="365"/>
        <v>40198</v>
      </c>
      <c r="C2271" s="13">
        <v>2010.0</v>
      </c>
      <c r="D2271" s="11" t="s">
        <v>102</v>
      </c>
      <c r="E2271" s="11">
        <v>24.0</v>
      </c>
      <c r="F2271" s="21" t="s">
        <v>1084</v>
      </c>
      <c r="G2271" s="15">
        <v>0.1350059737156511</v>
      </c>
      <c r="H2271" s="11" t="s">
        <v>33</v>
      </c>
      <c r="I2271" s="16">
        <v>39.2</v>
      </c>
      <c r="J2271" s="11" t="s">
        <v>2095</v>
      </c>
      <c r="K2271" s="11" t="s">
        <v>35</v>
      </c>
      <c r="L2271" s="11" t="s">
        <v>36</v>
      </c>
      <c r="M2271" s="11" t="s">
        <v>28</v>
      </c>
      <c r="N2271" s="11" t="s">
        <v>197</v>
      </c>
      <c r="O2271" s="11" t="s">
        <v>1096</v>
      </c>
      <c r="P2271" s="11" t="s">
        <v>31</v>
      </c>
      <c r="Q2271" s="20">
        <v>40201.0</v>
      </c>
      <c r="R2271" s="17">
        <f t="shared" si="2"/>
        <v>19.54886499</v>
      </c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>
        <f t="shared" si="8"/>
        <v>2</v>
      </c>
      <c r="AF2271" s="19">
        <f t="shared" si="13"/>
        <v>2</v>
      </c>
      <c r="AG2271" s="9"/>
      <c r="AH2271" s="9"/>
      <c r="AI2271" s="9"/>
    </row>
    <row r="2272" ht="15.0" customHeight="1">
      <c r="A2272" s="11">
        <v>2271.0</v>
      </c>
      <c r="B2272" s="12">
        <f>DATE(2012,12,31)-1075</f>
        <v>40199</v>
      </c>
      <c r="C2272" s="13">
        <v>2010.0</v>
      </c>
      <c r="D2272" s="11" t="s">
        <v>32</v>
      </c>
      <c r="E2272" s="11">
        <v>13.0</v>
      </c>
      <c r="F2272" s="21" t="s">
        <v>103</v>
      </c>
      <c r="G2272" s="15">
        <v>0.09698324022346361</v>
      </c>
      <c r="H2272" s="11" t="s">
        <v>33</v>
      </c>
      <c r="I2272" s="16">
        <v>4.12</v>
      </c>
      <c r="J2272" s="11" t="s">
        <v>312</v>
      </c>
      <c r="K2272" s="11" t="s">
        <v>35</v>
      </c>
      <c r="L2272" s="11" t="s">
        <v>27</v>
      </c>
      <c r="M2272" s="11" t="s">
        <v>28</v>
      </c>
      <c r="N2272" s="11" t="s">
        <v>56</v>
      </c>
      <c r="O2272" s="11" t="s">
        <v>1478</v>
      </c>
      <c r="P2272" s="11" t="s">
        <v>38</v>
      </c>
      <c r="Q2272" s="20">
        <v>40201.0</v>
      </c>
      <c r="R2272" s="17">
        <f t="shared" si="2"/>
        <v>7.838185475</v>
      </c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>
        <f t="shared" si="8"/>
        <v>1</v>
      </c>
      <c r="AF2272" s="19">
        <f t="shared" si="13"/>
        <v>2</v>
      </c>
      <c r="AG2272" s="9"/>
      <c r="AH2272" s="9"/>
      <c r="AI2272" s="9"/>
    </row>
    <row r="2273" ht="15.0" customHeight="1">
      <c r="A2273" s="11">
        <v>2272.0</v>
      </c>
      <c r="B2273" s="12">
        <f t="shared" ref="B2273:B2281" si="366">DATE(2012,12,31)-1074</f>
        <v>40200</v>
      </c>
      <c r="C2273" s="13">
        <v>2010.0</v>
      </c>
      <c r="D2273" s="11" t="s">
        <v>32</v>
      </c>
      <c r="E2273" s="11">
        <v>39.0</v>
      </c>
      <c r="F2273" s="21" t="s">
        <v>115</v>
      </c>
      <c r="G2273" s="15">
        <v>0.022635716191531628</v>
      </c>
      <c r="H2273" s="11" t="s">
        <v>45</v>
      </c>
      <c r="I2273" s="16">
        <v>46.912000000000006</v>
      </c>
      <c r="J2273" s="11" t="s">
        <v>963</v>
      </c>
      <c r="K2273" s="11" t="s">
        <v>35</v>
      </c>
      <c r="L2273" s="11" t="s">
        <v>41</v>
      </c>
      <c r="M2273" s="11" t="s">
        <v>49</v>
      </c>
      <c r="N2273" s="11" t="s">
        <v>156</v>
      </c>
      <c r="O2273" s="11" t="s">
        <v>649</v>
      </c>
      <c r="P2273" s="11" t="s">
        <v>87</v>
      </c>
      <c r="Q2273" s="20">
        <v>40201.0</v>
      </c>
      <c r="R2273" s="17">
        <f t="shared" si="2"/>
        <v>107.7915521</v>
      </c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>
        <f t="shared" si="8"/>
        <v>3</v>
      </c>
      <c r="AF2273" s="19">
        <f t="shared" si="13"/>
        <v>2</v>
      </c>
      <c r="AG2273" s="9"/>
      <c r="AH2273" s="9"/>
      <c r="AI2273" s="9"/>
    </row>
    <row r="2274" ht="15.0" customHeight="1">
      <c r="A2274" s="11">
        <v>2273.0</v>
      </c>
      <c r="B2274" s="12">
        <f t="shared" si="366"/>
        <v>40200</v>
      </c>
      <c r="C2274" s="13">
        <v>2010.0</v>
      </c>
      <c r="D2274" s="11" t="s">
        <v>32</v>
      </c>
      <c r="E2274" s="11">
        <v>24.0</v>
      </c>
      <c r="F2274" s="21" t="s">
        <v>304</v>
      </c>
      <c r="G2274" s="15">
        <v>0.017400937366851315</v>
      </c>
      <c r="H2274" s="11" t="s">
        <v>33</v>
      </c>
      <c r="I2274" s="16">
        <v>7.632</v>
      </c>
      <c r="J2274" s="11" t="s">
        <v>963</v>
      </c>
      <c r="K2274" s="11" t="s">
        <v>35</v>
      </c>
      <c r="L2274" s="11" t="s">
        <v>41</v>
      </c>
      <c r="M2274" s="11" t="s">
        <v>28</v>
      </c>
      <c r="N2274" s="11" t="s">
        <v>56</v>
      </c>
      <c r="O2274" s="11" t="s">
        <v>305</v>
      </c>
      <c r="P2274" s="11" t="s">
        <v>38</v>
      </c>
      <c r="Q2274" s="20">
        <v>40201.0</v>
      </c>
      <c r="R2274" s="17">
        <f t="shared" si="2"/>
        <v>8.025869144</v>
      </c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>
        <f t="shared" si="8"/>
        <v>3</v>
      </c>
      <c r="AF2274" s="19">
        <f t="shared" si="13"/>
        <v>2</v>
      </c>
      <c r="AG2274" s="9"/>
      <c r="AH2274" s="9"/>
      <c r="AI2274" s="9"/>
    </row>
    <row r="2275" ht="15.0" customHeight="1">
      <c r="A2275" s="11">
        <v>2274.0</v>
      </c>
      <c r="B2275" s="12">
        <f t="shared" si="366"/>
        <v>40200</v>
      </c>
      <c r="C2275" s="13">
        <v>2010.0</v>
      </c>
      <c r="D2275" s="11" t="s">
        <v>44</v>
      </c>
      <c r="E2275" s="11">
        <v>12.0</v>
      </c>
      <c r="F2275" s="21" t="s">
        <v>226</v>
      </c>
      <c r="G2275" s="15">
        <v>0.09273177987109572</v>
      </c>
      <c r="H2275" s="11" t="s">
        <v>33</v>
      </c>
      <c r="I2275" s="16">
        <v>1.192</v>
      </c>
      <c r="J2275" s="11" t="s">
        <v>1754</v>
      </c>
      <c r="K2275" s="11" t="s">
        <v>35</v>
      </c>
      <c r="L2275" s="11" t="s">
        <v>41</v>
      </c>
      <c r="M2275" s="11" t="s">
        <v>28</v>
      </c>
      <c r="N2275" s="11" t="s">
        <v>42</v>
      </c>
      <c r="O2275" s="11" t="s">
        <v>411</v>
      </c>
      <c r="P2275" s="11" t="s">
        <v>38</v>
      </c>
      <c r="Q2275" s="20">
        <v>40202.0</v>
      </c>
      <c r="R2275" s="17">
        <f t="shared" si="2"/>
        <v>33.93908958</v>
      </c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>
        <f t="shared" si="8"/>
        <v>3</v>
      </c>
      <c r="AF2275" s="19">
        <f t="shared" si="13"/>
        <v>2</v>
      </c>
      <c r="AG2275" s="9"/>
      <c r="AH2275" s="9"/>
      <c r="AI2275" s="9"/>
    </row>
    <row r="2276" ht="15.0" customHeight="1">
      <c r="A2276" s="11">
        <v>2275.0</v>
      </c>
      <c r="B2276" s="12">
        <f t="shared" si="366"/>
        <v>40200</v>
      </c>
      <c r="C2276" s="13">
        <v>2010.0</v>
      </c>
      <c r="D2276" s="11" t="s">
        <v>39</v>
      </c>
      <c r="E2276" s="11">
        <v>24.0</v>
      </c>
      <c r="F2276" s="21" t="s">
        <v>814</v>
      </c>
      <c r="G2276" s="15">
        <v>0.07670673318378125</v>
      </c>
      <c r="H2276" s="11" t="s">
        <v>45</v>
      </c>
      <c r="I2276" s="16">
        <v>24.0</v>
      </c>
      <c r="J2276" s="11" t="s">
        <v>1482</v>
      </c>
      <c r="K2276" s="11" t="s">
        <v>61</v>
      </c>
      <c r="L2276" s="11" t="s">
        <v>36</v>
      </c>
      <c r="M2276" s="11" t="s">
        <v>49</v>
      </c>
      <c r="N2276" s="11" t="s">
        <v>50</v>
      </c>
      <c r="O2276" s="11" t="s">
        <v>816</v>
      </c>
      <c r="P2276" s="11" t="s">
        <v>52</v>
      </c>
      <c r="Q2276" s="20">
        <v>40202.0</v>
      </c>
      <c r="R2276" s="17">
        <f t="shared" si="2"/>
        <v>211.5264874</v>
      </c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>
        <f t="shared" si="8"/>
        <v>2</v>
      </c>
      <c r="AF2276" s="19">
        <f t="shared" si="13"/>
        <v>4</v>
      </c>
      <c r="AG2276" s="9"/>
      <c r="AH2276" s="9"/>
      <c r="AI2276" s="9"/>
    </row>
    <row r="2277" ht="15.0" customHeight="1">
      <c r="A2277" s="11">
        <v>2276.0</v>
      </c>
      <c r="B2277" s="12">
        <f t="shared" si="366"/>
        <v>40200</v>
      </c>
      <c r="C2277" s="13">
        <v>2010.0</v>
      </c>
      <c r="D2277" s="11" t="s">
        <v>39</v>
      </c>
      <c r="E2277" s="11">
        <v>2.0</v>
      </c>
      <c r="F2277" s="21" t="s">
        <v>790</v>
      </c>
      <c r="G2277" s="15">
        <v>0.09396914446002809</v>
      </c>
      <c r="H2277" s="11" t="s">
        <v>33</v>
      </c>
      <c r="I2277" s="16">
        <v>3.2</v>
      </c>
      <c r="J2277" s="11" t="s">
        <v>1482</v>
      </c>
      <c r="K2277" s="11" t="s">
        <v>61</v>
      </c>
      <c r="L2277" s="11" t="s">
        <v>36</v>
      </c>
      <c r="M2277" s="11" t="s">
        <v>66</v>
      </c>
      <c r="N2277" s="11" t="s">
        <v>67</v>
      </c>
      <c r="O2277" s="11" t="s">
        <v>791</v>
      </c>
      <c r="P2277" s="11" t="s">
        <v>38</v>
      </c>
      <c r="Q2277" s="20">
        <v>40202.0</v>
      </c>
      <c r="R2277" s="17">
        <f t="shared" si="2"/>
        <v>6.070406732</v>
      </c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>
        <f t="shared" si="8"/>
        <v>2</v>
      </c>
      <c r="AF2277" s="19">
        <f t="shared" si="13"/>
        <v>4</v>
      </c>
      <c r="AG2277" s="9"/>
      <c r="AH2277" s="9"/>
      <c r="AI2277" s="9"/>
    </row>
    <row r="2278" ht="15.0" customHeight="1">
      <c r="A2278" s="11">
        <v>2277.0</v>
      </c>
      <c r="B2278" s="12">
        <f t="shared" si="366"/>
        <v>40200</v>
      </c>
      <c r="C2278" s="13">
        <v>2010.0</v>
      </c>
      <c r="D2278" s="11" t="s">
        <v>39</v>
      </c>
      <c r="E2278" s="11">
        <v>19.0</v>
      </c>
      <c r="F2278" s="21" t="s">
        <v>853</v>
      </c>
      <c r="G2278" s="15">
        <v>0.07522442377678935</v>
      </c>
      <c r="H2278" s="11" t="s">
        <v>33</v>
      </c>
      <c r="I2278" s="16">
        <v>4.688000000000001</v>
      </c>
      <c r="J2278" s="11" t="s">
        <v>1482</v>
      </c>
      <c r="K2278" s="11" t="s">
        <v>61</v>
      </c>
      <c r="L2278" s="11" t="s">
        <v>36</v>
      </c>
      <c r="M2278" s="11" t="s">
        <v>28</v>
      </c>
      <c r="N2278" s="11" t="s">
        <v>56</v>
      </c>
      <c r="O2278" s="11" t="s">
        <v>1034</v>
      </c>
      <c r="P2278" s="11" t="s">
        <v>38</v>
      </c>
      <c r="Q2278" s="20">
        <v>40202.0</v>
      </c>
      <c r="R2278" s="17">
        <f t="shared" si="2"/>
        <v>68.81440018</v>
      </c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>
        <f t="shared" si="8"/>
        <v>2</v>
      </c>
      <c r="AF2278" s="19">
        <f t="shared" si="13"/>
        <v>4</v>
      </c>
      <c r="AG2278" s="9"/>
      <c r="AH2278" s="9"/>
      <c r="AI2278" s="9"/>
    </row>
    <row r="2279" ht="15.0" customHeight="1">
      <c r="A2279" s="11">
        <v>2278.0</v>
      </c>
      <c r="B2279" s="12">
        <f t="shared" si="366"/>
        <v>40200</v>
      </c>
      <c r="C2279" s="13">
        <v>2010.0</v>
      </c>
      <c r="D2279" s="11" t="s">
        <v>102</v>
      </c>
      <c r="E2279" s="11">
        <v>17.0</v>
      </c>
      <c r="F2279" s="21" t="s">
        <v>158</v>
      </c>
      <c r="G2279" s="15">
        <v>0.10458658346333834</v>
      </c>
      <c r="H2279" s="11" t="s">
        <v>33</v>
      </c>
      <c r="I2279" s="16">
        <v>5.992000000000001</v>
      </c>
      <c r="J2279" s="11" t="s">
        <v>878</v>
      </c>
      <c r="K2279" s="11" t="s">
        <v>61</v>
      </c>
      <c r="L2279" s="11" t="s">
        <v>36</v>
      </c>
      <c r="M2279" s="11" t="s">
        <v>28</v>
      </c>
      <c r="N2279" s="11" t="s">
        <v>56</v>
      </c>
      <c r="O2279" s="11" t="s">
        <v>1042</v>
      </c>
      <c r="P2279" s="11" t="s">
        <v>38</v>
      </c>
      <c r="Q2279" s="20">
        <v>40202.0</v>
      </c>
      <c r="R2279" s="17">
        <f t="shared" si="2"/>
        <v>12.00570309</v>
      </c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>
        <f t="shared" si="8"/>
        <v>2</v>
      </c>
      <c r="AF2279" s="19">
        <f t="shared" si="13"/>
        <v>4</v>
      </c>
      <c r="AG2279" s="9"/>
      <c r="AH2279" s="9"/>
      <c r="AI2279" s="9"/>
    </row>
    <row r="2280" ht="15.0" customHeight="1">
      <c r="A2280" s="11">
        <v>2279.0</v>
      </c>
      <c r="B2280" s="12">
        <f t="shared" si="366"/>
        <v>40200</v>
      </c>
      <c r="C2280" s="13">
        <v>2010.0</v>
      </c>
      <c r="D2280" s="11" t="s">
        <v>32</v>
      </c>
      <c r="E2280" s="11">
        <v>1.0</v>
      </c>
      <c r="F2280" s="21" t="s">
        <v>319</v>
      </c>
      <c r="G2280" s="15">
        <v>0.09189189189189197</v>
      </c>
      <c r="H2280" s="11" t="s">
        <v>33</v>
      </c>
      <c r="I2280" s="16">
        <v>0.5599999999999999</v>
      </c>
      <c r="J2280" s="11" t="s">
        <v>491</v>
      </c>
      <c r="K2280" s="11" t="s">
        <v>47</v>
      </c>
      <c r="L2280" s="11" t="s">
        <v>48</v>
      </c>
      <c r="M2280" s="11" t="s">
        <v>28</v>
      </c>
      <c r="N2280" s="11" t="s">
        <v>62</v>
      </c>
      <c r="O2280" s="11" t="s">
        <v>1606</v>
      </c>
      <c r="P2280" s="11" t="s">
        <v>58</v>
      </c>
      <c r="Q2280" s="20">
        <v>40203.0</v>
      </c>
      <c r="R2280" s="17">
        <f t="shared" si="2"/>
        <v>0.3087567568</v>
      </c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>
        <f t="shared" si="8"/>
        <v>4</v>
      </c>
      <c r="AF2280" s="19">
        <f t="shared" si="13"/>
        <v>3</v>
      </c>
      <c r="AG2280" s="9"/>
      <c r="AH2280" s="9"/>
      <c r="AI2280" s="9"/>
    </row>
    <row r="2281" ht="15.0" customHeight="1">
      <c r="A2281" s="11">
        <v>2280.0</v>
      </c>
      <c r="B2281" s="12">
        <f t="shared" si="366"/>
        <v>40200</v>
      </c>
      <c r="C2281" s="13">
        <v>2010.0</v>
      </c>
      <c r="D2281" s="11" t="s">
        <v>102</v>
      </c>
      <c r="E2281" s="11">
        <v>1.0</v>
      </c>
      <c r="F2281" s="21" t="s">
        <v>221</v>
      </c>
      <c r="G2281" s="15">
        <v>0.05495844875346265</v>
      </c>
      <c r="H2281" s="11" t="s">
        <v>33</v>
      </c>
      <c r="I2281" s="16">
        <v>5.016</v>
      </c>
      <c r="J2281" s="11" t="s">
        <v>1564</v>
      </c>
      <c r="K2281" s="11" t="s">
        <v>35</v>
      </c>
      <c r="L2281" s="11" t="s">
        <v>27</v>
      </c>
      <c r="M2281" s="11" t="s">
        <v>28</v>
      </c>
      <c r="N2281" s="11" t="s">
        <v>42</v>
      </c>
      <c r="O2281" s="11" t="s">
        <v>1542</v>
      </c>
      <c r="P2281" s="11" t="s">
        <v>38</v>
      </c>
      <c r="Q2281" s="20">
        <v>40203.0</v>
      </c>
      <c r="R2281" s="17">
        <f t="shared" si="2"/>
        <v>1.874962438</v>
      </c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>
        <f t="shared" si="8"/>
        <v>1</v>
      </c>
      <c r="AF2281" s="19">
        <f t="shared" si="13"/>
        <v>2</v>
      </c>
      <c r="AG2281" s="9"/>
      <c r="AH2281" s="9"/>
      <c r="AI2281" s="9"/>
    </row>
    <row r="2282" ht="15.0" customHeight="1">
      <c r="A2282" s="11">
        <v>2281.0</v>
      </c>
      <c r="B2282" s="12">
        <f t="shared" ref="B2282:B2284" si="367">DATE(2012,12,31)-1073</f>
        <v>40201</v>
      </c>
      <c r="C2282" s="13">
        <v>2010.0</v>
      </c>
      <c r="D2282" s="11" t="s">
        <v>44</v>
      </c>
      <c r="E2282" s="11">
        <v>11.0</v>
      </c>
      <c r="F2282" s="21" t="s">
        <v>869</v>
      </c>
      <c r="G2282" s="15">
        <v>0.05770027899561568</v>
      </c>
      <c r="H2282" s="11" t="s">
        <v>33</v>
      </c>
      <c r="I2282" s="16">
        <v>0.792</v>
      </c>
      <c r="J2282" s="11" t="s">
        <v>759</v>
      </c>
      <c r="K2282" s="11" t="s">
        <v>61</v>
      </c>
      <c r="L2282" s="11" t="s">
        <v>41</v>
      </c>
      <c r="M2282" s="11" t="s">
        <v>66</v>
      </c>
      <c r="N2282" s="11" t="s">
        <v>80</v>
      </c>
      <c r="O2282" s="11" t="s">
        <v>1055</v>
      </c>
      <c r="P2282" s="11" t="s">
        <v>58</v>
      </c>
      <c r="Q2282" s="20">
        <v>40203.0</v>
      </c>
      <c r="R2282" s="17">
        <f t="shared" si="2"/>
        <v>54.56669224</v>
      </c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>
        <f t="shared" si="8"/>
        <v>3</v>
      </c>
      <c r="AF2282" s="19">
        <f t="shared" si="13"/>
        <v>4</v>
      </c>
      <c r="AG2282" s="9"/>
      <c r="AH2282" s="9"/>
      <c r="AI2282" s="9"/>
    </row>
    <row r="2283" ht="15.0" customHeight="1">
      <c r="A2283" s="11">
        <v>2282.0</v>
      </c>
      <c r="B2283" s="12">
        <f t="shared" si="367"/>
        <v>40201</v>
      </c>
      <c r="C2283" s="13">
        <v>2010.0</v>
      </c>
      <c r="D2283" s="11" t="s">
        <v>44</v>
      </c>
      <c r="E2283" s="11">
        <v>48.0</v>
      </c>
      <c r="F2283" s="21" t="s">
        <v>207</v>
      </c>
      <c r="G2283" s="15">
        <v>0.02959761549925491</v>
      </c>
      <c r="H2283" s="11" t="s">
        <v>24</v>
      </c>
      <c r="I2283" s="16">
        <v>6.056000000000001</v>
      </c>
      <c r="J2283" s="11" t="s">
        <v>597</v>
      </c>
      <c r="K2283" s="11" t="s">
        <v>26</v>
      </c>
      <c r="L2283" s="11" t="s">
        <v>27</v>
      </c>
      <c r="M2283" s="11" t="s">
        <v>28</v>
      </c>
      <c r="N2283" s="11" t="s">
        <v>42</v>
      </c>
      <c r="O2283" s="11" t="s">
        <v>208</v>
      </c>
      <c r="P2283" s="11" t="s">
        <v>38</v>
      </c>
      <c r="Q2283" s="20">
        <v>40203.0</v>
      </c>
      <c r="R2283" s="17">
        <f t="shared" si="2"/>
        <v>7.708876542</v>
      </c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>
        <f t="shared" si="8"/>
        <v>1</v>
      </c>
      <c r="AF2283" s="19">
        <f t="shared" si="13"/>
        <v>1</v>
      </c>
      <c r="AG2283" s="9"/>
      <c r="AH2283" s="9"/>
      <c r="AI2283" s="9"/>
    </row>
    <row r="2284" ht="15.0" customHeight="1">
      <c r="A2284" s="11">
        <v>2283.0</v>
      </c>
      <c r="B2284" s="12">
        <f t="shared" si="367"/>
        <v>40201</v>
      </c>
      <c r="C2284" s="13">
        <v>2010.0</v>
      </c>
      <c r="D2284" s="11" t="s">
        <v>102</v>
      </c>
      <c r="E2284" s="11">
        <v>47.0</v>
      </c>
      <c r="F2284" s="21" t="s">
        <v>287</v>
      </c>
      <c r="G2284" s="15">
        <v>0.06622913739333082</v>
      </c>
      <c r="H2284" s="11" t="s">
        <v>33</v>
      </c>
      <c r="I2284" s="16">
        <v>2.0</v>
      </c>
      <c r="J2284" s="11" t="s">
        <v>60</v>
      </c>
      <c r="K2284" s="11" t="s">
        <v>61</v>
      </c>
      <c r="L2284" s="11" t="s">
        <v>27</v>
      </c>
      <c r="M2284" s="11" t="s">
        <v>66</v>
      </c>
      <c r="N2284" s="11" t="s">
        <v>80</v>
      </c>
      <c r="O2284" s="11" t="s">
        <v>644</v>
      </c>
      <c r="P2284" s="11" t="s">
        <v>38</v>
      </c>
      <c r="Q2284" s="20">
        <v>40203.0</v>
      </c>
      <c r="R2284" s="17">
        <f t="shared" si="2"/>
        <v>360.9024384</v>
      </c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>
        <f t="shared" si="8"/>
        <v>1</v>
      </c>
      <c r="AF2284" s="19">
        <f t="shared" si="13"/>
        <v>4</v>
      </c>
      <c r="AG2284" s="9"/>
      <c r="AH2284" s="9"/>
      <c r="AI2284" s="9"/>
    </row>
    <row r="2285" ht="15.0" customHeight="1">
      <c r="A2285" s="11">
        <v>2284.0</v>
      </c>
      <c r="B2285" s="12">
        <f t="shared" ref="B2285:B2288" si="368">DATE(2012,12,31)-1072</f>
        <v>40202</v>
      </c>
      <c r="C2285" s="13">
        <v>2010.0</v>
      </c>
      <c r="D2285" s="11" t="s">
        <v>23</v>
      </c>
      <c r="E2285" s="11">
        <v>38.0</v>
      </c>
      <c r="F2285" s="21" t="s">
        <v>2153</v>
      </c>
      <c r="G2285" s="15">
        <v>0.05963180031717571</v>
      </c>
      <c r="H2285" s="11" t="s">
        <v>33</v>
      </c>
      <c r="I2285" s="16">
        <v>7.216</v>
      </c>
      <c r="J2285" s="11" t="s">
        <v>1802</v>
      </c>
      <c r="K2285" s="11" t="s">
        <v>61</v>
      </c>
      <c r="L2285" s="11" t="s">
        <v>27</v>
      </c>
      <c r="M2285" s="11" t="s">
        <v>66</v>
      </c>
      <c r="N2285" s="11" t="s">
        <v>67</v>
      </c>
      <c r="O2285" s="11" t="s">
        <v>2154</v>
      </c>
      <c r="P2285" s="11" t="s">
        <v>38</v>
      </c>
      <c r="Q2285" s="20">
        <v>40203.0</v>
      </c>
      <c r="R2285" s="17">
        <f t="shared" si="2"/>
        <v>81.32680338</v>
      </c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>
        <f t="shared" si="8"/>
        <v>1</v>
      </c>
      <c r="AF2285" s="19">
        <f t="shared" si="13"/>
        <v>4</v>
      </c>
      <c r="AG2285" s="9"/>
      <c r="AH2285" s="9"/>
      <c r="AI2285" s="9"/>
    </row>
    <row r="2286" ht="15.0" customHeight="1">
      <c r="A2286" s="11">
        <v>2285.0</v>
      </c>
      <c r="B2286" s="12">
        <f t="shared" si="368"/>
        <v>40202</v>
      </c>
      <c r="C2286" s="13">
        <v>2010.0</v>
      </c>
      <c r="D2286" s="11" t="s">
        <v>32</v>
      </c>
      <c r="E2286" s="11">
        <v>42.0</v>
      </c>
      <c r="F2286" s="21" t="s">
        <v>178</v>
      </c>
      <c r="G2286" s="15">
        <v>0.09250581033749058</v>
      </c>
      <c r="H2286" s="11" t="s">
        <v>33</v>
      </c>
      <c r="I2286" s="16">
        <v>4.5040000000000004</v>
      </c>
      <c r="J2286" s="11" t="s">
        <v>2155</v>
      </c>
      <c r="K2286" s="11" t="s">
        <v>26</v>
      </c>
      <c r="L2286" s="11" t="s">
        <v>48</v>
      </c>
      <c r="M2286" s="11" t="s">
        <v>66</v>
      </c>
      <c r="N2286" s="11" t="s">
        <v>80</v>
      </c>
      <c r="O2286" s="11" t="s">
        <v>1250</v>
      </c>
      <c r="P2286" s="11" t="s">
        <v>38</v>
      </c>
      <c r="Q2286" s="20">
        <v>40204.0</v>
      </c>
      <c r="R2286" s="17">
        <f t="shared" si="2"/>
        <v>256.454228</v>
      </c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>
        <f t="shared" si="8"/>
        <v>4</v>
      </c>
      <c r="AF2286" s="19">
        <f t="shared" si="13"/>
        <v>1</v>
      </c>
      <c r="AG2286" s="9"/>
      <c r="AH2286" s="9"/>
      <c r="AI2286" s="9"/>
    </row>
    <row r="2287" ht="15.0" customHeight="1">
      <c r="A2287" s="11">
        <v>2286.0</v>
      </c>
      <c r="B2287" s="12">
        <f t="shared" si="368"/>
        <v>40202</v>
      </c>
      <c r="C2287" s="13">
        <v>2010.0</v>
      </c>
      <c r="D2287" s="11" t="s">
        <v>32</v>
      </c>
      <c r="E2287" s="11">
        <v>47.0</v>
      </c>
      <c r="F2287" s="21" t="s">
        <v>1015</v>
      </c>
      <c r="G2287" s="15">
        <v>0.0627844620144378</v>
      </c>
      <c r="H2287" s="11" t="s">
        <v>33</v>
      </c>
      <c r="I2287" s="16">
        <v>4.736</v>
      </c>
      <c r="J2287" s="11" t="s">
        <v>2155</v>
      </c>
      <c r="K2287" s="11" t="s">
        <v>26</v>
      </c>
      <c r="L2287" s="11" t="s">
        <v>48</v>
      </c>
      <c r="M2287" s="11" t="s">
        <v>49</v>
      </c>
      <c r="N2287" s="11" t="s">
        <v>73</v>
      </c>
      <c r="O2287" s="11" t="s">
        <v>1063</v>
      </c>
      <c r="P2287" s="11" t="s">
        <v>75</v>
      </c>
      <c r="Q2287" s="20">
        <v>40204.0</v>
      </c>
      <c r="R2287" s="17">
        <f t="shared" si="2"/>
        <v>17.11730459</v>
      </c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>
        <f t="shared" si="8"/>
        <v>4</v>
      </c>
      <c r="AF2287" s="19">
        <f t="shared" si="13"/>
        <v>1</v>
      </c>
      <c r="AG2287" s="9"/>
      <c r="AH2287" s="9"/>
      <c r="AI2287" s="9"/>
    </row>
    <row r="2288" ht="15.0" customHeight="1">
      <c r="A2288" s="11">
        <v>2287.0</v>
      </c>
      <c r="B2288" s="12">
        <f t="shared" si="368"/>
        <v>40202</v>
      </c>
      <c r="C2288" s="13">
        <v>2010.0</v>
      </c>
      <c r="D2288" s="11" t="s">
        <v>39</v>
      </c>
      <c r="E2288" s="11">
        <v>28.0</v>
      </c>
      <c r="F2288" s="21" t="s">
        <v>933</v>
      </c>
      <c r="G2288" s="15">
        <v>0.031104525529419096</v>
      </c>
      <c r="H2288" s="11" t="s">
        <v>33</v>
      </c>
      <c r="I2288" s="16">
        <v>4.12</v>
      </c>
      <c r="J2288" s="11" t="s">
        <v>2156</v>
      </c>
      <c r="K2288" s="11" t="s">
        <v>65</v>
      </c>
      <c r="L2288" s="11" t="s">
        <v>27</v>
      </c>
      <c r="M2288" s="11" t="s">
        <v>28</v>
      </c>
      <c r="N2288" s="11" t="s">
        <v>56</v>
      </c>
      <c r="O2288" s="11" t="s">
        <v>2157</v>
      </c>
      <c r="P2288" s="11" t="s">
        <v>38</v>
      </c>
      <c r="Q2288" s="20">
        <v>40204.0</v>
      </c>
      <c r="R2288" s="17">
        <f t="shared" si="2"/>
        <v>48.812954</v>
      </c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>
        <f t="shared" si="8"/>
        <v>1</v>
      </c>
      <c r="AF2288" s="19">
        <f t="shared" si="13"/>
        <v>5</v>
      </c>
      <c r="AG2288" s="9"/>
      <c r="AH2288" s="9"/>
      <c r="AI2288" s="9"/>
    </row>
    <row r="2289" ht="15.0" customHeight="1">
      <c r="A2289" s="11">
        <v>2288.0</v>
      </c>
      <c r="B2289" s="12">
        <f t="shared" ref="B2289:B2295" si="369">DATE(2012,12,31)-1071</f>
        <v>40203</v>
      </c>
      <c r="C2289" s="13">
        <v>2010.0</v>
      </c>
      <c r="D2289" s="11" t="s">
        <v>39</v>
      </c>
      <c r="E2289" s="11">
        <v>15.0</v>
      </c>
      <c r="F2289" s="21" t="s">
        <v>2158</v>
      </c>
      <c r="G2289" s="15">
        <v>0.052523986684942264</v>
      </c>
      <c r="H2289" s="11" t="s">
        <v>33</v>
      </c>
      <c r="I2289" s="16">
        <v>5.376</v>
      </c>
      <c r="J2289" s="11" t="s">
        <v>392</v>
      </c>
      <c r="K2289" s="11" t="s">
        <v>65</v>
      </c>
      <c r="L2289" s="11" t="s">
        <v>41</v>
      </c>
      <c r="M2289" s="11" t="s">
        <v>28</v>
      </c>
      <c r="N2289" s="11" t="s">
        <v>29</v>
      </c>
      <c r="O2289" s="11" t="s">
        <v>2159</v>
      </c>
      <c r="P2289" s="11" t="s">
        <v>38</v>
      </c>
      <c r="Q2289" s="20">
        <v>40205.0</v>
      </c>
      <c r="R2289" s="17">
        <f t="shared" si="2"/>
        <v>25.41509658</v>
      </c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>
        <f t="shared" si="8"/>
        <v>3</v>
      </c>
      <c r="AF2289" s="19">
        <f t="shared" si="13"/>
        <v>5</v>
      </c>
      <c r="AG2289" s="9"/>
      <c r="AH2289" s="9"/>
      <c r="AI2289" s="9"/>
    </row>
    <row r="2290" ht="15.0" customHeight="1">
      <c r="A2290" s="11">
        <v>2289.0</v>
      </c>
      <c r="B2290" s="12">
        <f t="shared" si="369"/>
        <v>40203</v>
      </c>
      <c r="C2290" s="13">
        <v>2010.0</v>
      </c>
      <c r="D2290" s="11" t="s">
        <v>32</v>
      </c>
      <c r="E2290" s="11">
        <v>33.0</v>
      </c>
      <c r="F2290" s="21" t="s">
        <v>163</v>
      </c>
      <c r="G2290" s="15">
        <v>0.09467253124497121</v>
      </c>
      <c r="H2290" s="11" t="s">
        <v>45</v>
      </c>
      <c r="I2290" s="16">
        <v>45.904</v>
      </c>
      <c r="J2290" s="11" t="s">
        <v>1462</v>
      </c>
      <c r="K2290" s="11" t="s">
        <v>61</v>
      </c>
      <c r="L2290" s="11" t="s">
        <v>27</v>
      </c>
      <c r="M2290" s="11" t="s">
        <v>49</v>
      </c>
      <c r="N2290" s="11" t="s">
        <v>156</v>
      </c>
      <c r="O2290" s="11" t="s">
        <v>852</v>
      </c>
      <c r="P2290" s="11" t="s">
        <v>87</v>
      </c>
      <c r="Q2290" s="20">
        <v>40205.0</v>
      </c>
      <c r="R2290" s="17">
        <f t="shared" si="2"/>
        <v>319.5769752</v>
      </c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>
        <f t="shared" si="8"/>
        <v>1</v>
      </c>
      <c r="AF2290" s="19">
        <f t="shared" si="13"/>
        <v>4</v>
      </c>
      <c r="AG2290" s="9"/>
      <c r="AH2290" s="9"/>
      <c r="AI2290" s="9"/>
    </row>
    <row r="2291" ht="15.0" customHeight="1">
      <c r="A2291" s="11">
        <v>2290.0</v>
      </c>
      <c r="B2291" s="12">
        <f t="shared" si="369"/>
        <v>40203</v>
      </c>
      <c r="C2291" s="13">
        <v>2010.0</v>
      </c>
      <c r="D2291" s="11" t="s">
        <v>32</v>
      </c>
      <c r="E2291" s="11">
        <v>1.0</v>
      </c>
      <c r="F2291" s="21" t="s">
        <v>135</v>
      </c>
      <c r="G2291" s="15">
        <v>0.10258064516129034</v>
      </c>
      <c r="H2291" s="11" t="s">
        <v>33</v>
      </c>
      <c r="I2291" s="16">
        <v>4.5280000000000005</v>
      </c>
      <c r="J2291" s="11" t="s">
        <v>1462</v>
      </c>
      <c r="K2291" s="11" t="s">
        <v>61</v>
      </c>
      <c r="L2291" s="11" t="s">
        <v>27</v>
      </c>
      <c r="M2291" s="11" t="s">
        <v>28</v>
      </c>
      <c r="N2291" s="11" t="s">
        <v>56</v>
      </c>
      <c r="O2291" s="11" t="s">
        <v>590</v>
      </c>
      <c r="P2291" s="11" t="s">
        <v>38</v>
      </c>
      <c r="Q2291" s="20">
        <v>40205.0</v>
      </c>
      <c r="R2291" s="17">
        <f t="shared" si="2"/>
        <v>1.141517419</v>
      </c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>
        <f t="shared" si="8"/>
        <v>1</v>
      </c>
      <c r="AF2291" s="19">
        <f t="shared" si="13"/>
        <v>4</v>
      </c>
      <c r="AG2291" s="9"/>
      <c r="AH2291" s="9"/>
      <c r="AI2291" s="9"/>
    </row>
    <row r="2292" ht="15.0" customHeight="1">
      <c r="A2292" s="11">
        <v>2291.0</v>
      </c>
      <c r="B2292" s="12">
        <f t="shared" si="369"/>
        <v>40203</v>
      </c>
      <c r="C2292" s="13">
        <v>2010.0</v>
      </c>
      <c r="D2292" s="11" t="s">
        <v>32</v>
      </c>
      <c r="E2292" s="11">
        <v>11.0</v>
      </c>
      <c r="F2292" s="21" t="s">
        <v>2160</v>
      </c>
      <c r="G2292" s="15">
        <v>0.01304937361827567</v>
      </c>
      <c r="H2292" s="11" t="s">
        <v>33</v>
      </c>
      <c r="I2292" s="16">
        <v>15.991999999999999</v>
      </c>
      <c r="J2292" s="11" t="s">
        <v>1462</v>
      </c>
      <c r="K2292" s="11" t="s">
        <v>61</v>
      </c>
      <c r="L2292" s="11" t="s">
        <v>27</v>
      </c>
      <c r="M2292" s="11" t="s">
        <v>28</v>
      </c>
      <c r="N2292" s="11" t="s">
        <v>29</v>
      </c>
      <c r="O2292" s="11" t="s">
        <v>2161</v>
      </c>
      <c r="P2292" s="11" t="s">
        <v>38</v>
      </c>
      <c r="Q2292" s="20">
        <v>40205.0</v>
      </c>
      <c r="R2292" s="17">
        <f t="shared" si="2"/>
        <v>17.47692169</v>
      </c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>
        <f t="shared" si="8"/>
        <v>1</v>
      </c>
      <c r="AF2292" s="19">
        <f t="shared" si="13"/>
        <v>4</v>
      </c>
      <c r="AG2292" s="9"/>
      <c r="AH2292" s="9"/>
      <c r="AI2292" s="9"/>
    </row>
    <row r="2293" ht="15.0" customHeight="1">
      <c r="A2293" s="11">
        <v>2292.0</v>
      </c>
      <c r="B2293" s="12">
        <f t="shared" si="369"/>
        <v>40203</v>
      </c>
      <c r="C2293" s="13">
        <v>2010.0</v>
      </c>
      <c r="D2293" s="11" t="s">
        <v>23</v>
      </c>
      <c r="E2293" s="11">
        <v>48.0</v>
      </c>
      <c r="F2293" s="21" t="s">
        <v>384</v>
      </c>
      <c r="G2293" s="15">
        <v>0.08293799049408639</v>
      </c>
      <c r="H2293" s="11" t="s">
        <v>33</v>
      </c>
      <c r="I2293" s="16">
        <v>0.792</v>
      </c>
      <c r="J2293" s="11" t="s">
        <v>2162</v>
      </c>
      <c r="K2293" s="11" t="s">
        <v>117</v>
      </c>
      <c r="L2293" s="11" t="s">
        <v>27</v>
      </c>
      <c r="M2293" s="11" t="s">
        <v>28</v>
      </c>
      <c r="N2293" s="11" t="s">
        <v>197</v>
      </c>
      <c r="O2293" s="11" t="s">
        <v>386</v>
      </c>
      <c r="P2293" s="11" t="s">
        <v>38</v>
      </c>
      <c r="Q2293" s="20">
        <v>40205.0</v>
      </c>
      <c r="R2293" s="17">
        <f t="shared" si="2"/>
        <v>825.7299699</v>
      </c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>
        <f t="shared" si="8"/>
        <v>1</v>
      </c>
      <c r="AF2293" s="19" t="b">
        <f t="shared" si="13"/>
        <v>0</v>
      </c>
      <c r="AG2293" s="9"/>
      <c r="AH2293" s="9"/>
      <c r="AI2293" s="9"/>
    </row>
    <row r="2294" ht="15.0" customHeight="1">
      <c r="A2294" s="11">
        <v>2293.0</v>
      </c>
      <c r="B2294" s="12">
        <f t="shared" si="369"/>
        <v>40203</v>
      </c>
      <c r="C2294" s="13">
        <v>2010.0</v>
      </c>
      <c r="D2294" s="11" t="s">
        <v>23</v>
      </c>
      <c r="E2294" s="11">
        <v>27.0</v>
      </c>
      <c r="F2294" s="21" t="s">
        <v>369</v>
      </c>
      <c r="G2294" s="15">
        <v>0.07028857342331854</v>
      </c>
      <c r="H2294" s="11" t="s">
        <v>45</v>
      </c>
      <c r="I2294" s="16">
        <v>29.288</v>
      </c>
      <c r="J2294" s="11" t="s">
        <v>2162</v>
      </c>
      <c r="K2294" s="11" t="s">
        <v>117</v>
      </c>
      <c r="L2294" s="11" t="s">
        <v>27</v>
      </c>
      <c r="M2294" s="11" t="s">
        <v>49</v>
      </c>
      <c r="N2294" s="11" t="s">
        <v>156</v>
      </c>
      <c r="O2294" s="11" t="s">
        <v>1885</v>
      </c>
      <c r="P2294" s="11" t="s">
        <v>87</v>
      </c>
      <c r="Q2294" s="20">
        <v>40205.0</v>
      </c>
      <c r="R2294" s="17">
        <f t="shared" si="2"/>
        <v>112.3202969</v>
      </c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>
        <f t="shared" si="8"/>
        <v>1</v>
      </c>
      <c r="AF2294" s="19" t="b">
        <f t="shared" si="13"/>
        <v>0</v>
      </c>
      <c r="AG2294" s="9"/>
      <c r="AH2294" s="9"/>
      <c r="AI2294" s="9"/>
    </row>
    <row r="2295" ht="15.0" customHeight="1">
      <c r="A2295" s="11">
        <v>2294.0</v>
      </c>
      <c r="B2295" s="12">
        <f t="shared" si="369"/>
        <v>40203</v>
      </c>
      <c r="C2295" s="13">
        <v>2010.0</v>
      </c>
      <c r="D2295" s="11" t="s">
        <v>39</v>
      </c>
      <c r="E2295" s="11">
        <v>45.0</v>
      </c>
      <c r="F2295" s="21" t="s">
        <v>834</v>
      </c>
      <c r="G2295" s="15">
        <v>0.010558919167478777</v>
      </c>
      <c r="H2295" s="11" t="s">
        <v>45</v>
      </c>
      <c r="I2295" s="16">
        <v>34.016000000000005</v>
      </c>
      <c r="J2295" s="11" t="s">
        <v>1643</v>
      </c>
      <c r="K2295" s="11" t="s">
        <v>83</v>
      </c>
      <c r="L2295" s="11" t="s">
        <v>48</v>
      </c>
      <c r="M2295" s="11" t="s">
        <v>49</v>
      </c>
      <c r="N2295" s="11" t="s">
        <v>85</v>
      </c>
      <c r="O2295" s="11" t="s">
        <v>1115</v>
      </c>
      <c r="P2295" s="11" t="s">
        <v>87</v>
      </c>
      <c r="Q2295" s="20">
        <v>40206.0</v>
      </c>
      <c r="R2295" s="17">
        <f t="shared" si="2"/>
        <v>190.8473534</v>
      </c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>
        <f t="shared" si="8"/>
        <v>4</v>
      </c>
      <c r="AF2295" s="19" t="b">
        <f t="shared" si="13"/>
        <v>0</v>
      </c>
      <c r="AG2295" s="9"/>
      <c r="AH2295" s="9"/>
      <c r="AI2295" s="9"/>
    </row>
    <row r="2296" ht="15.0" customHeight="1">
      <c r="A2296" s="11">
        <v>2295.0</v>
      </c>
      <c r="B2296" s="12">
        <f t="shared" ref="B2296:B2300" si="370">DATE(2012,12,31)-1070</f>
        <v>40204</v>
      </c>
      <c r="C2296" s="13">
        <v>2010.0</v>
      </c>
      <c r="D2296" s="11" t="s">
        <v>39</v>
      </c>
      <c r="E2296" s="11">
        <v>47.0</v>
      </c>
      <c r="F2296" s="21" t="s">
        <v>591</v>
      </c>
      <c r="G2296" s="15">
        <v>0.040598857142857145</v>
      </c>
      <c r="H2296" s="11" t="s">
        <v>33</v>
      </c>
      <c r="I2296" s="16">
        <v>7.5760000000000005</v>
      </c>
      <c r="J2296" s="11" t="s">
        <v>398</v>
      </c>
      <c r="K2296" s="11" t="s">
        <v>35</v>
      </c>
      <c r="L2296" s="11" t="s">
        <v>27</v>
      </c>
      <c r="M2296" s="11" t="s">
        <v>28</v>
      </c>
      <c r="N2296" s="11" t="s">
        <v>29</v>
      </c>
      <c r="O2296" s="11" t="s">
        <v>592</v>
      </c>
      <c r="P2296" s="11" t="s">
        <v>38</v>
      </c>
      <c r="Q2296" s="20">
        <v>40206.0</v>
      </c>
      <c r="R2296" s="17">
        <f t="shared" si="2"/>
        <v>34.0817662</v>
      </c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>
        <f t="shared" si="8"/>
        <v>1</v>
      </c>
      <c r="AF2296" s="19">
        <f t="shared" si="13"/>
        <v>2</v>
      </c>
      <c r="AG2296" s="9"/>
      <c r="AH2296" s="9"/>
      <c r="AI2296" s="9"/>
    </row>
    <row r="2297" ht="15.0" customHeight="1">
      <c r="A2297" s="11">
        <v>2296.0</v>
      </c>
      <c r="B2297" s="12">
        <f t="shared" si="370"/>
        <v>40204</v>
      </c>
      <c r="C2297" s="13">
        <v>2010.0</v>
      </c>
      <c r="D2297" s="11" t="s">
        <v>44</v>
      </c>
      <c r="E2297" s="11">
        <v>8.0</v>
      </c>
      <c r="F2297" s="21" t="s">
        <v>369</v>
      </c>
      <c r="G2297" s="15">
        <v>0.052926969522714244</v>
      </c>
      <c r="H2297" s="11" t="s">
        <v>45</v>
      </c>
      <c r="I2297" s="16">
        <v>29.288</v>
      </c>
      <c r="J2297" s="11" t="s">
        <v>2163</v>
      </c>
      <c r="K2297" s="11" t="s">
        <v>65</v>
      </c>
      <c r="L2297" s="11" t="s">
        <v>41</v>
      </c>
      <c r="M2297" s="11" t="s">
        <v>49</v>
      </c>
      <c r="N2297" s="11" t="s">
        <v>156</v>
      </c>
      <c r="O2297" s="11" t="s">
        <v>1885</v>
      </c>
      <c r="P2297" s="11" t="s">
        <v>87</v>
      </c>
      <c r="Q2297" s="20">
        <v>40207.0</v>
      </c>
      <c r="R2297" s="17">
        <f t="shared" si="2"/>
        <v>26.15058052</v>
      </c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>
        <f t="shared" si="8"/>
        <v>3</v>
      </c>
      <c r="AF2297" s="19">
        <f t="shared" si="13"/>
        <v>5</v>
      </c>
      <c r="AG2297" s="9"/>
      <c r="AH2297" s="9"/>
      <c r="AI2297" s="9"/>
    </row>
    <row r="2298" ht="15.0" customHeight="1">
      <c r="A2298" s="11">
        <v>2297.0</v>
      </c>
      <c r="B2298" s="12">
        <f t="shared" si="370"/>
        <v>40204</v>
      </c>
      <c r="C2298" s="13">
        <v>2010.0</v>
      </c>
      <c r="D2298" s="11" t="s">
        <v>39</v>
      </c>
      <c r="E2298" s="11">
        <v>32.0</v>
      </c>
      <c r="F2298" s="21" t="s">
        <v>1479</v>
      </c>
      <c r="G2298" s="15">
        <v>0.1004636785162286</v>
      </c>
      <c r="H2298" s="11" t="s">
        <v>33</v>
      </c>
      <c r="I2298" s="16">
        <v>3.6</v>
      </c>
      <c r="J2298" s="11" t="s">
        <v>798</v>
      </c>
      <c r="K2298" s="11" t="s">
        <v>117</v>
      </c>
      <c r="L2298" s="11" t="s">
        <v>36</v>
      </c>
      <c r="M2298" s="11" t="s">
        <v>28</v>
      </c>
      <c r="N2298" s="11" t="s">
        <v>197</v>
      </c>
      <c r="O2298" s="11" t="s">
        <v>1480</v>
      </c>
      <c r="P2298" s="11" t="s">
        <v>38</v>
      </c>
      <c r="Q2298" s="20">
        <v>40208.0</v>
      </c>
      <c r="R2298" s="17">
        <f t="shared" si="2"/>
        <v>35.08191654</v>
      </c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>
        <f t="shared" si="8"/>
        <v>2</v>
      </c>
      <c r="AF2298" s="19" t="b">
        <f t="shared" si="13"/>
        <v>0</v>
      </c>
      <c r="AG2298" s="9"/>
      <c r="AH2298" s="9"/>
      <c r="AI2298" s="9"/>
    </row>
    <row r="2299" ht="15.0" customHeight="1">
      <c r="A2299" s="11">
        <v>2298.0</v>
      </c>
      <c r="B2299" s="12">
        <f t="shared" si="370"/>
        <v>40204</v>
      </c>
      <c r="C2299" s="13">
        <v>2010.0</v>
      </c>
      <c r="D2299" s="11" t="s">
        <v>39</v>
      </c>
      <c r="E2299" s="11">
        <v>19.0</v>
      </c>
      <c r="F2299" s="21" t="s">
        <v>158</v>
      </c>
      <c r="G2299" s="15">
        <v>0.03145038167938924</v>
      </c>
      <c r="H2299" s="11" t="s">
        <v>33</v>
      </c>
      <c r="I2299" s="16">
        <v>5.28</v>
      </c>
      <c r="J2299" s="11" t="s">
        <v>798</v>
      </c>
      <c r="K2299" s="11" t="s">
        <v>117</v>
      </c>
      <c r="L2299" s="11" t="s">
        <v>36</v>
      </c>
      <c r="M2299" s="11" t="s">
        <v>28</v>
      </c>
      <c r="N2299" s="11" t="s">
        <v>56</v>
      </c>
      <c r="O2299" s="11" t="s">
        <v>543</v>
      </c>
      <c r="P2299" s="11" t="s">
        <v>38</v>
      </c>
      <c r="Q2299" s="20">
        <v>40208.0</v>
      </c>
      <c r="R2299" s="17">
        <f t="shared" si="2"/>
        <v>3.990424427</v>
      </c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>
        <f t="shared" si="8"/>
        <v>2</v>
      </c>
      <c r="AF2299" s="19" t="b">
        <f t="shared" si="13"/>
        <v>0</v>
      </c>
      <c r="AG2299" s="9"/>
      <c r="AH2299" s="9"/>
      <c r="AI2299" s="9"/>
    </row>
    <row r="2300" ht="15.0" customHeight="1">
      <c r="A2300" s="11">
        <v>2299.0</v>
      </c>
      <c r="B2300" s="12">
        <f t="shared" si="370"/>
        <v>40204</v>
      </c>
      <c r="C2300" s="13">
        <v>2010.0</v>
      </c>
      <c r="D2300" s="11" t="s">
        <v>44</v>
      </c>
      <c r="E2300" s="11">
        <v>9.0</v>
      </c>
      <c r="F2300" s="21" t="s">
        <v>983</v>
      </c>
      <c r="G2300" s="15">
        <v>0.016195935383011856</v>
      </c>
      <c r="H2300" s="11" t="s">
        <v>24</v>
      </c>
      <c r="I2300" s="16">
        <v>1.592</v>
      </c>
      <c r="J2300" s="11" t="s">
        <v>1068</v>
      </c>
      <c r="K2300" s="11" t="s">
        <v>35</v>
      </c>
      <c r="L2300" s="11" t="s">
        <v>41</v>
      </c>
      <c r="M2300" s="11" t="s">
        <v>66</v>
      </c>
      <c r="N2300" s="11" t="s">
        <v>67</v>
      </c>
      <c r="O2300" s="11" t="s">
        <v>2051</v>
      </c>
      <c r="P2300" s="11" t="s">
        <v>99</v>
      </c>
      <c r="Q2300" s="20">
        <v>40209.0</v>
      </c>
      <c r="R2300" s="17">
        <f t="shared" si="2"/>
        <v>3.057663033</v>
      </c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>
        <f t="shared" si="8"/>
        <v>3</v>
      </c>
      <c r="AF2300" s="19">
        <f t="shared" si="13"/>
        <v>2</v>
      </c>
      <c r="AG2300" s="9"/>
      <c r="AH2300" s="9"/>
      <c r="AI2300" s="9"/>
    </row>
    <row r="2301" ht="15.0" customHeight="1">
      <c r="A2301" s="11">
        <v>2300.0</v>
      </c>
      <c r="B2301" s="12">
        <f>DATE(2012,12,31)-1069</f>
        <v>40205</v>
      </c>
      <c r="C2301" s="13">
        <v>2010.0</v>
      </c>
      <c r="D2301" s="11" t="s">
        <v>44</v>
      </c>
      <c r="E2301" s="11">
        <v>1.0</v>
      </c>
      <c r="F2301" s="21" t="s">
        <v>1369</v>
      </c>
      <c r="G2301" s="15">
        <v>0.09098039215686266</v>
      </c>
      <c r="H2301" s="11" t="s">
        <v>33</v>
      </c>
      <c r="I2301" s="16">
        <v>1.536</v>
      </c>
      <c r="J2301" s="11" t="s">
        <v>2164</v>
      </c>
      <c r="K2301" s="11" t="s">
        <v>61</v>
      </c>
      <c r="L2301" s="11" t="s">
        <v>48</v>
      </c>
      <c r="M2301" s="11" t="s">
        <v>28</v>
      </c>
      <c r="N2301" s="11" t="s">
        <v>442</v>
      </c>
      <c r="O2301" s="11" t="s">
        <v>1776</v>
      </c>
      <c r="P2301" s="11" t="s">
        <v>58</v>
      </c>
      <c r="Q2301" s="20">
        <v>40209.0</v>
      </c>
      <c r="R2301" s="17">
        <f t="shared" si="2"/>
        <v>0.421785098</v>
      </c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>
        <f t="shared" si="8"/>
        <v>4</v>
      </c>
      <c r="AF2301" s="19">
        <f t="shared" si="13"/>
        <v>4</v>
      </c>
      <c r="AG2301" s="9"/>
      <c r="AH2301" s="9"/>
      <c r="AI2301" s="9"/>
    </row>
    <row r="2302" ht="15.0" customHeight="1">
      <c r="A2302" s="11">
        <v>2301.0</v>
      </c>
      <c r="B2302" s="12">
        <f t="shared" ref="B2302:B2305" si="371">DATE(2012,12,31)-1068</f>
        <v>40206</v>
      </c>
      <c r="C2302" s="13">
        <v>2010.0</v>
      </c>
      <c r="D2302" s="11" t="s">
        <v>102</v>
      </c>
      <c r="E2302" s="11">
        <v>26.0</v>
      </c>
      <c r="F2302" s="21" t="s">
        <v>319</v>
      </c>
      <c r="G2302" s="15">
        <v>0.060333761232349195</v>
      </c>
      <c r="H2302" s="11" t="s">
        <v>33</v>
      </c>
      <c r="I2302" s="16">
        <v>0.4</v>
      </c>
      <c r="J2302" s="11" t="s">
        <v>2165</v>
      </c>
      <c r="K2302" s="11" t="s">
        <v>83</v>
      </c>
      <c r="L2302" s="11" t="s">
        <v>41</v>
      </c>
      <c r="M2302" s="11" t="s">
        <v>28</v>
      </c>
      <c r="N2302" s="11" t="s">
        <v>188</v>
      </c>
      <c r="O2302" s="11" t="s">
        <v>437</v>
      </c>
      <c r="P2302" s="11" t="s">
        <v>38</v>
      </c>
      <c r="Q2302" s="20">
        <v>40209.0</v>
      </c>
      <c r="R2302" s="17">
        <f t="shared" si="2"/>
        <v>4.416431322</v>
      </c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>
        <f t="shared" si="8"/>
        <v>3</v>
      </c>
      <c r="AF2302" s="19" t="b">
        <f t="shared" si="13"/>
        <v>0</v>
      </c>
      <c r="AG2302" s="9"/>
      <c r="AH2302" s="9"/>
      <c r="AI2302" s="9"/>
    </row>
    <row r="2303" ht="15.0" customHeight="1">
      <c r="A2303" s="11">
        <v>2302.0</v>
      </c>
      <c r="B2303" s="12">
        <f t="shared" si="371"/>
        <v>40206</v>
      </c>
      <c r="C2303" s="13">
        <v>2010.0</v>
      </c>
      <c r="D2303" s="11" t="s">
        <v>44</v>
      </c>
      <c r="E2303" s="11">
        <v>47.0</v>
      </c>
      <c r="F2303" s="21" t="s">
        <v>802</v>
      </c>
      <c r="G2303" s="15">
        <v>0.06589556511941475</v>
      </c>
      <c r="H2303" s="11" t="s">
        <v>33</v>
      </c>
      <c r="I2303" s="16">
        <v>4.648</v>
      </c>
      <c r="J2303" s="11" t="s">
        <v>1564</v>
      </c>
      <c r="K2303" s="11" t="s">
        <v>35</v>
      </c>
      <c r="L2303" s="11" t="s">
        <v>27</v>
      </c>
      <c r="M2303" s="11" t="s">
        <v>49</v>
      </c>
      <c r="N2303" s="11" t="s">
        <v>73</v>
      </c>
      <c r="O2303" s="11" t="s">
        <v>804</v>
      </c>
      <c r="P2303" s="11" t="s">
        <v>75</v>
      </c>
      <c r="Q2303" s="20">
        <v>40209.0</v>
      </c>
      <c r="R2303" s="17">
        <f t="shared" si="2"/>
        <v>333.2436254</v>
      </c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>
        <f t="shared" si="8"/>
        <v>1</v>
      </c>
      <c r="AF2303" s="19">
        <f t="shared" si="13"/>
        <v>2</v>
      </c>
      <c r="AG2303" s="9"/>
      <c r="AH2303" s="9"/>
      <c r="AI2303" s="9"/>
    </row>
    <row r="2304" ht="15.0" customHeight="1">
      <c r="A2304" s="11">
        <v>2303.0</v>
      </c>
      <c r="B2304" s="12">
        <f t="shared" si="371"/>
        <v>40206</v>
      </c>
      <c r="C2304" s="13">
        <v>2010.0</v>
      </c>
      <c r="D2304" s="11" t="s">
        <v>44</v>
      </c>
      <c r="E2304" s="11">
        <v>27.0</v>
      </c>
      <c r="F2304" s="21" t="s">
        <v>144</v>
      </c>
      <c r="G2304" s="15">
        <v>0.13130919220055706</v>
      </c>
      <c r="H2304" s="11" t="s">
        <v>33</v>
      </c>
      <c r="I2304" s="16">
        <v>5.672000000000001</v>
      </c>
      <c r="J2304" s="11" t="s">
        <v>1564</v>
      </c>
      <c r="K2304" s="11" t="s">
        <v>35</v>
      </c>
      <c r="L2304" s="11" t="s">
        <v>27</v>
      </c>
      <c r="M2304" s="11" t="s">
        <v>28</v>
      </c>
      <c r="N2304" s="11" t="s">
        <v>56</v>
      </c>
      <c r="O2304" s="11" t="s">
        <v>2166</v>
      </c>
      <c r="P2304" s="11" t="s">
        <v>58</v>
      </c>
      <c r="Q2304" s="20">
        <v>40209.0</v>
      </c>
      <c r="R2304" s="17">
        <f t="shared" si="2"/>
        <v>8.190016936</v>
      </c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>
        <f t="shared" si="8"/>
        <v>1</v>
      </c>
      <c r="AF2304" s="19">
        <f t="shared" si="13"/>
        <v>2</v>
      </c>
      <c r="AG2304" s="9"/>
      <c r="AH2304" s="9"/>
      <c r="AI2304" s="9"/>
    </row>
    <row r="2305" ht="15.0" customHeight="1">
      <c r="A2305" s="11">
        <v>2304.0</v>
      </c>
      <c r="B2305" s="12">
        <f t="shared" si="371"/>
        <v>40206</v>
      </c>
      <c r="C2305" s="13">
        <v>2010.0</v>
      </c>
      <c r="D2305" s="11" t="s">
        <v>32</v>
      </c>
      <c r="E2305" s="11">
        <v>32.0</v>
      </c>
      <c r="F2305" s="21" t="s">
        <v>314</v>
      </c>
      <c r="G2305" s="15">
        <v>0.019893255701115935</v>
      </c>
      <c r="H2305" s="11" t="s">
        <v>24</v>
      </c>
      <c r="I2305" s="16">
        <v>0.4</v>
      </c>
      <c r="J2305" s="11" t="s">
        <v>1629</v>
      </c>
      <c r="K2305" s="11" t="s">
        <v>65</v>
      </c>
      <c r="L2305" s="11" t="s">
        <v>41</v>
      </c>
      <c r="M2305" s="11" t="s">
        <v>28</v>
      </c>
      <c r="N2305" s="11" t="s">
        <v>188</v>
      </c>
      <c r="O2305" s="11" t="s">
        <v>516</v>
      </c>
      <c r="P2305" s="11" t="s">
        <v>38</v>
      </c>
      <c r="Q2305" s="20">
        <v>40209.0</v>
      </c>
      <c r="R2305" s="17">
        <f t="shared" si="2"/>
        <v>4.018437652</v>
      </c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>
        <f t="shared" si="8"/>
        <v>3</v>
      </c>
      <c r="AF2305" s="19">
        <f t="shared" si="13"/>
        <v>5</v>
      </c>
      <c r="AG2305" s="9"/>
      <c r="AH2305" s="9"/>
      <c r="AI2305" s="9"/>
    </row>
    <row r="2306" ht="15.0" customHeight="1">
      <c r="A2306" s="11">
        <v>2305.0</v>
      </c>
      <c r="B2306" s="12">
        <f t="shared" ref="B2306:B2309" si="372">DATE(2012,12,31)-1067</f>
        <v>40207</v>
      </c>
      <c r="C2306" s="13">
        <v>2010.0</v>
      </c>
      <c r="D2306" s="11" t="s">
        <v>39</v>
      </c>
      <c r="E2306" s="11">
        <v>49.0</v>
      </c>
      <c r="F2306" s="21" t="s">
        <v>1881</v>
      </c>
      <c r="G2306" s="15">
        <v>0.012241924891038213</v>
      </c>
      <c r="H2306" s="11" t="s">
        <v>33</v>
      </c>
      <c r="I2306" s="16">
        <v>15.991999999999999</v>
      </c>
      <c r="J2306" s="11" t="s">
        <v>2167</v>
      </c>
      <c r="K2306" s="11" t="s">
        <v>83</v>
      </c>
      <c r="L2306" s="11" t="s">
        <v>41</v>
      </c>
      <c r="M2306" s="11" t="s">
        <v>28</v>
      </c>
      <c r="N2306" s="11" t="s">
        <v>42</v>
      </c>
      <c r="O2306" s="11" t="s">
        <v>1882</v>
      </c>
      <c r="P2306" s="11" t="s">
        <v>38</v>
      </c>
      <c r="Q2306" s="20">
        <v>40210.0</v>
      </c>
      <c r="R2306" s="17">
        <f t="shared" si="2"/>
        <v>40.50598314</v>
      </c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>
        <f t="shared" si="8"/>
        <v>3</v>
      </c>
      <c r="AF2306" s="19" t="b">
        <f t="shared" si="13"/>
        <v>0</v>
      </c>
      <c r="AG2306" s="9"/>
      <c r="AH2306" s="9"/>
      <c r="AI2306" s="9"/>
    </row>
    <row r="2307" ht="15.0" customHeight="1">
      <c r="A2307" s="11">
        <v>2306.0</v>
      </c>
      <c r="B2307" s="12">
        <f t="shared" si="372"/>
        <v>40207</v>
      </c>
      <c r="C2307" s="13">
        <v>2010.0</v>
      </c>
      <c r="D2307" s="11" t="s">
        <v>39</v>
      </c>
      <c r="E2307" s="11">
        <v>29.0</v>
      </c>
      <c r="F2307" s="21" t="s">
        <v>126</v>
      </c>
      <c r="G2307" s="15">
        <v>0.058967741935483785</v>
      </c>
      <c r="H2307" s="11" t="s">
        <v>33</v>
      </c>
      <c r="I2307" s="16">
        <v>3.7600000000000002</v>
      </c>
      <c r="J2307" s="11" t="s">
        <v>2168</v>
      </c>
      <c r="K2307" s="11" t="s">
        <v>35</v>
      </c>
      <c r="L2307" s="11" t="s">
        <v>41</v>
      </c>
      <c r="M2307" s="11" t="s">
        <v>28</v>
      </c>
      <c r="N2307" s="11" t="s">
        <v>56</v>
      </c>
      <c r="O2307" s="11" t="s">
        <v>1730</v>
      </c>
      <c r="P2307" s="11" t="s">
        <v>38</v>
      </c>
      <c r="Q2307" s="20">
        <v>40210.0</v>
      </c>
      <c r="R2307" s="17">
        <f t="shared" si="2"/>
        <v>8.601034839</v>
      </c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>
        <f t="shared" si="8"/>
        <v>3</v>
      </c>
      <c r="AF2307" s="19">
        <f t="shared" si="13"/>
        <v>2</v>
      </c>
      <c r="AG2307" s="9"/>
      <c r="AH2307" s="9"/>
      <c r="AI2307" s="9"/>
    </row>
    <row r="2308" ht="15.0" customHeight="1">
      <c r="A2308" s="11">
        <v>2307.0</v>
      </c>
      <c r="B2308" s="12">
        <f t="shared" si="372"/>
        <v>40207</v>
      </c>
      <c r="C2308" s="13">
        <v>2010.0</v>
      </c>
      <c r="D2308" s="11" t="s">
        <v>102</v>
      </c>
      <c r="E2308" s="11">
        <v>28.0</v>
      </c>
      <c r="F2308" s="21" t="s">
        <v>846</v>
      </c>
      <c r="G2308" s="15">
        <v>0.05762685944668415</v>
      </c>
      <c r="H2308" s="11" t="s">
        <v>33</v>
      </c>
      <c r="I2308" s="16">
        <v>15.991999999999999</v>
      </c>
      <c r="J2308" s="11" t="s">
        <v>2169</v>
      </c>
      <c r="K2308" s="11" t="s">
        <v>26</v>
      </c>
      <c r="L2308" s="11" t="s">
        <v>48</v>
      </c>
      <c r="M2308" s="11" t="s">
        <v>28</v>
      </c>
      <c r="N2308" s="11" t="s">
        <v>29</v>
      </c>
      <c r="O2308" s="11" t="s">
        <v>847</v>
      </c>
      <c r="P2308" s="11" t="s">
        <v>38</v>
      </c>
      <c r="Q2308" s="20">
        <v>40210.0</v>
      </c>
      <c r="R2308" s="17">
        <f t="shared" si="2"/>
        <v>312.4984724</v>
      </c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>
        <f t="shared" si="8"/>
        <v>4</v>
      </c>
      <c r="AF2308" s="19">
        <f t="shared" si="13"/>
        <v>1</v>
      </c>
      <c r="AG2308" s="9"/>
      <c r="AH2308" s="9"/>
      <c r="AI2308" s="9"/>
    </row>
    <row r="2309" ht="15.0" customHeight="1">
      <c r="A2309" s="11">
        <v>2308.0</v>
      </c>
      <c r="B2309" s="12">
        <f t="shared" si="372"/>
        <v>40207</v>
      </c>
      <c r="C2309" s="13">
        <v>2010.0</v>
      </c>
      <c r="D2309" s="11" t="s">
        <v>102</v>
      </c>
      <c r="E2309" s="11">
        <v>17.0</v>
      </c>
      <c r="F2309" s="21" t="s">
        <v>1088</v>
      </c>
      <c r="G2309" s="15">
        <v>0.07694748772194943</v>
      </c>
      <c r="H2309" s="11" t="s">
        <v>24</v>
      </c>
      <c r="I2309" s="16">
        <v>3.696</v>
      </c>
      <c r="J2309" s="11" t="s">
        <v>1655</v>
      </c>
      <c r="K2309" s="11" t="s">
        <v>65</v>
      </c>
      <c r="L2309" s="11" t="s">
        <v>48</v>
      </c>
      <c r="M2309" s="11" t="s">
        <v>28</v>
      </c>
      <c r="N2309" s="11" t="s">
        <v>197</v>
      </c>
      <c r="O2309" s="11" t="s">
        <v>1090</v>
      </c>
      <c r="P2309" s="11" t="s">
        <v>38</v>
      </c>
      <c r="Q2309" s="20">
        <v>40210.0</v>
      </c>
      <c r="R2309" s="17">
        <f t="shared" si="2"/>
        <v>56.40220071</v>
      </c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>
        <f t="shared" si="8"/>
        <v>4</v>
      </c>
      <c r="AF2309" s="19">
        <f t="shared" si="13"/>
        <v>5</v>
      </c>
      <c r="AG2309" s="9"/>
      <c r="AH2309" s="9"/>
      <c r="AI2309" s="9"/>
    </row>
    <row r="2310" ht="15.0" customHeight="1">
      <c r="A2310" s="11">
        <v>2309.0</v>
      </c>
      <c r="B2310" s="12">
        <f t="shared" ref="B2310:B2313" si="373">DATE(2012,12,31)-1066</f>
        <v>40208</v>
      </c>
      <c r="C2310" s="13">
        <v>2010.0</v>
      </c>
      <c r="D2310" s="11" t="s">
        <v>39</v>
      </c>
      <c r="E2310" s="11">
        <v>47.0</v>
      </c>
      <c r="F2310" s="21" t="s">
        <v>933</v>
      </c>
      <c r="G2310" s="15">
        <v>0.09243784530386749</v>
      </c>
      <c r="H2310" s="11" t="s">
        <v>33</v>
      </c>
      <c r="I2310" s="16">
        <v>1.0</v>
      </c>
      <c r="J2310" s="11" t="s">
        <v>2128</v>
      </c>
      <c r="K2310" s="11" t="s">
        <v>65</v>
      </c>
      <c r="L2310" s="11" t="s">
        <v>27</v>
      </c>
      <c r="M2310" s="11" t="s">
        <v>66</v>
      </c>
      <c r="N2310" s="11" t="s">
        <v>80</v>
      </c>
      <c r="O2310" s="11" t="s">
        <v>1407</v>
      </c>
      <c r="P2310" s="11" t="s">
        <v>99</v>
      </c>
      <c r="Q2310" s="20">
        <v>40210.0</v>
      </c>
      <c r="R2310" s="17">
        <f t="shared" si="2"/>
        <v>242.9543888</v>
      </c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>
        <f t="shared" si="8"/>
        <v>1</v>
      </c>
      <c r="AF2310" s="19">
        <f t="shared" si="13"/>
        <v>5</v>
      </c>
      <c r="AG2310" s="9"/>
      <c r="AH2310" s="9"/>
      <c r="AI2310" s="9"/>
    </row>
    <row r="2311" ht="15.0" customHeight="1">
      <c r="A2311" s="11">
        <v>2310.0</v>
      </c>
      <c r="B2311" s="12">
        <f t="shared" si="373"/>
        <v>40208</v>
      </c>
      <c r="C2311" s="13">
        <v>2010.0</v>
      </c>
      <c r="D2311" s="11" t="s">
        <v>39</v>
      </c>
      <c r="E2311" s="11">
        <v>35.0</v>
      </c>
      <c r="F2311" s="21" t="s">
        <v>287</v>
      </c>
      <c r="G2311" s="15">
        <v>0.07490141551366514</v>
      </c>
      <c r="H2311" s="11" t="s">
        <v>33</v>
      </c>
      <c r="I2311" s="16">
        <v>2.0</v>
      </c>
      <c r="J2311" s="11" t="s">
        <v>2128</v>
      </c>
      <c r="K2311" s="11" t="s">
        <v>65</v>
      </c>
      <c r="L2311" s="11" t="s">
        <v>27</v>
      </c>
      <c r="M2311" s="11" t="s">
        <v>66</v>
      </c>
      <c r="N2311" s="11" t="s">
        <v>80</v>
      </c>
      <c r="O2311" s="11" t="s">
        <v>644</v>
      </c>
      <c r="P2311" s="11" t="s">
        <v>38</v>
      </c>
      <c r="Q2311" s="20">
        <v>40210.0</v>
      </c>
      <c r="R2311" s="17">
        <f t="shared" si="2"/>
        <v>303.9873949</v>
      </c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>
        <f t="shared" si="8"/>
        <v>1</v>
      </c>
      <c r="AF2311" s="19">
        <f t="shared" si="13"/>
        <v>5</v>
      </c>
      <c r="AG2311" s="9"/>
      <c r="AH2311" s="9"/>
      <c r="AI2311" s="9"/>
    </row>
    <row r="2312" ht="15.0" customHeight="1">
      <c r="A2312" s="11">
        <v>2311.0</v>
      </c>
      <c r="B2312" s="12">
        <f t="shared" si="373"/>
        <v>40208</v>
      </c>
      <c r="C2312" s="13">
        <v>2010.0</v>
      </c>
      <c r="D2312" s="11" t="s">
        <v>23</v>
      </c>
      <c r="E2312" s="11">
        <v>1.0</v>
      </c>
      <c r="F2312" s="21" t="s">
        <v>523</v>
      </c>
      <c r="G2312" s="15">
        <v>0.11813953488372093</v>
      </c>
      <c r="H2312" s="11" t="s">
        <v>33</v>
      </c>
      <c r="I2312" s="16">
        <v>0.792</v>
      </c>
      <c r="J2312" s="11" t="s">
        <v>491</v>
      </c>
      <c r="K2312" s="11" t="s">
        <v>47</v>
      </c>
      <c r="L2312" s="11" t="s">
        <v>48</v>
      </c>
      <c r="M2312" s="11" t="s">
        <v>28</v>
      </c>
      <c r="N2312" s="11" t="s">
        <v>188</v>
      </c>
      <c r="O2312" s="11" t="s">
        <v>1495</v>
      </c>
      <c r="P2312" s="11" t="s">
        <v>38</v>
      </c>
      <c r="Q2312" s="20">
        <v>40210.0</v>
      </c>
      <c r="R2312" s="17">
        <f t="shared" si="2"/>
        <v>0.4479851163</v>
      </c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>
        <f t="shared" si="8"/>
        <v>4</v>
      </c>
      <c r="AF2312" s="19">
        <f t="shared" si="13"/>
        <v>3</v>
      </c>
      <c r="AG2312" s="9"/>
      <c r="AH2312" s="9"/>
      <c r="AI2312" s="9"/>
    </row>
    <row r="2313" ht="15.0" customHeight="1">
      <c r="A2313" s="11">
        <v>2312.0</v>
      </c>
      <c r="B2313" s="12">
        <f t="shared" si="373"/>
        <v>40208</v>
      </c>
      <c r="C2313" s="13">
        <v>2010.0</v>
      </c>
      <c r="D2313" s="11" t="s">
        <v>23</v>
      </c>
      <c r="E2313" s="11">
        <v>10.0</v>
      </c>
      <c r="F2313" s="21" t="s">
        <v>178</v>
      </c>
      <c r="G2313" s="15">
        <v>0.07641233086901936</v>
      </c>
      <c r="H2313" s="11" t="s">
        <v>33</v>
      </c>
      <c r="I2313" s="16">
        <v>3.12</v>
      </c>
      <c r="J2313" s="11" t="s">
        <v>491</v>
      </c>
      <c r="K2313" s="11" t="s">
        <v>47</v>
      </c>
      <c r="L2313" s="11" t="s">
        <v>48</v>
      </c>
      <c r="M2313" s="11" t="s">
        <v>66</v>
      </c>
      <c r="N2313" s="11" t="s">
        <v>80</v>
      </c>
      <c r="O2313" s="11" t="s">
        <v>2029</v>
      </c>
      <c r="P2313" s="11" t="s">
        <v>38</v>
      </c>
      <c r="Q2313" s="20">
        <v>40210.0</v>
      </c>
      <c r="R2313" s="17">
        <f t="shared" si="2"/>
        <v>50.59413251</v>
      </c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>
        <f t="shared" si="8"/>
        <v>4</v>
      </c>
      <c r="AF2313" s="19">
        <f t="shared" si="13"/>
        <v>3</v>
      </c>
      <c r="AG2313" s="9"/>
      <c r="AH2313" s="9"/>
      <c r="AI2313" s="9"/>
    </row>
    <row r="2314" ht="15.0" customHeight="1">
      <c r="A2314" s="11">
        <v>2313.0</v>
      </c>
      <c r="B2314" s="12">
        <f t="shared" ref="B2314:B2320" si="374">DATE(2012,12,31)-1065</f>
        <v>40209</v>
      </c>
      <c r="C2314" s="13">
        <v>2010.0</v>
      </c>
      <c r="D2314" s="11" t="s">
        <v>102</v>
      </c>
      <c r="E2314" s="11">
        <v>36.0</v>
      </c>
      <c r="F2314" s="21" t="s">
        <v>473</v>
      </c>
      <c r="G2314" s="15">
        <v>0.03155062226707036</v>
      </c>
      <c r="H2314" s="11" t="s">
        <v>33</v>
      </c>
      <c r="I2314" s="16">
        <v>3.2</v>
      </c>
      <c r="J2314" s="11" t="s">
        <v>1168</v>
      </c>
      <c r="K2314" s="11" t="s">
        <v>61</v>
      </c>
      <c r="L2314" s="11" t="s">
        <v>36</v>
      </c>
      <c r="M2314" s="11" t="s">
        <v>66</v>
      </c>
      <c r="N2314" s="11" t="s">
        <v>67</v>
      </c>
      <c r="O2314" s="11" t="s">
        <v>1019</v>
      </c>
      <c r="P2314" s="11" t="s">
        <v>38</v>
      </c>
      <c r="Q2314" s="20">
        <v>40210.0</v>
      </c>
      <c r="R2314" s="17">
        <f t="shared" si="2"/>
        <v>45.42027582</v>
      </c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>
        <f t="shared" si="8"/>
        <v>2</v>
      </c>
      <c r="AF2314" s="19">
        <f t="shared" si="13"/>
        <v>4</v>
      </c>
      <c r="AG2314" s="9"/>
      <c r="AH2314" s="9"/>
      <c r="AI2314" s="9"/>
    </row>
    <row r="2315" ht="15.0" customHeight="1">
      <c r="A2315" s="11">
        <v>2314.0</v>
      </c>
      <c r="B2315" s="12">
        <f t="shared" si="374"/>
        <v>40209</v>
      </c>
      <c r="C2315" s="13">
        <v>2010.0</v>
      </c>
      <c r="D2315" s="11" t="s">
        <v>44</v>
      </c>
      <c r="E2315" s="11">
        <v>34.0</v>
      </c>
      <c r="F2315" s="21" t="s">
        <v>865</v>
      </c>
      <c r="G2315" s="15">
        <v>0.09163564924204205</v>
      </c>
      <c r="H2315" s="11" t="s">
        <v>45</v>
      </c>
      <c r="I2315" s="16">
        <v>12.472000000000001</v>
      </c>
      <c r="J2315" s="11" t="s">
        <v>878</v>
      </c>
      <c r="K2315" s="11" t="s">
        <v>61</v>
      </c>
      <c r="L2315" s="11" t="s">
        <v>36</v>
      </c>
      <c r="M2315" s="11" t="s">
        <v>66</v>
      </c>
      <c r="N2315" s="11" t="s">
        <v>69</v>
      </c>
      <c r="O2315" s="11" t="s">
        <v>1675</v>
      </c>
      <c r="P2315" s="11" t="s">
        <v>52</v>
      </c>
      <c r="Q2315" s="20">
        <v>40211.0</v>
      </c>
      <c r="R2315" s="17">
        <f t="shared" si="2"/>
        <v>627.0693455</v>
      </c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>
        <f t="shared" si="8"/>
        <v>2</v>
      </c>
      <c r="AF2315" s="19">
        <f t="shared" si="13"/>
        <v>4</v>
      </c>
      <c r="AG2315" s="9"/>
      <c r="AH2315" s="9"/>
      <c r="AI2315" s="9"/>
    </row>
    <row r="2316" ht="15.0" customHeight="1">
      <c r="A2316" s="11">
        <v>2315.0</v>
      </c>
      <c r="B2316" s="12">
        <f t="shared" si="374"/>
        <v>40209</v>
      </c>
      <c r="C2316" s="13">
        <v>2010.0</v>
      </c>
      <c r="D2316" s="11" t="s">
        <v>102</v>
      </c>
      <c r="E2316" s="11">
        <v>7.0</v>
      </c>
      <c r="F2316" s="21" t="s">
        <v>1015</v>
      </c>
      <c r="G2316" s="15">
        <v>0.09866125760649082</v>
      </c>
      <c r="H2316" s="11" t="s">
        <v>33</v>
      </c>
      <c r="I2316" s="16">
        <v>4.5360000000000005</v>
      </c>
      <c r="J2316" s="11" t="s">
        <v>1185</v>
      </c>
      <c r="K2316" s="11" t="s">
        <v>83</v>
      </c>
      <c r="L2316" s="11" t="s">
        <v>48</v>
      </c>
      <c r="M2316" s="11" t="s">
        <v>28</v>
      </c>
      <c r="N2316" s="11" t="s">
        <v>56</v>
      </c>
      <c r="O2316" s="11" t="s">
        <v>1617</v>
      </c>
      <c r="P2316" s="11" t="s">
        <v>38</v>
      </c>
      <c r="Q2316" s="20">
        <v>40211.0</v>
      </c>
      <c r="R2316" s="17">
        <f t="shared" si="2"/>
        <v>4.384111643</v>
      </c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>
        <f t="shared" si="8"/>
        <v>4</v>
      </c>
      <c r="AF2316" s="19" t="b">
        <f t="shared" si="13"/>
        <v>0</v>
      </c>
      <c r="AG2316" s="9"/>
      <c r="AH2316" s="9"/>
      <c r="AI2316" s="9"/>
    </row>
    <row r="2317" ht="15.0" customHeight="1">
      <c r="A2317" s="11">
        <v>2316.0</v>
      </c>
      <c r="B2317" s="12">
        <f t="shared" si="374"/>
        <v>40209</v>
      </c>
      <c r="C2317" s="13">
        <v>2010.0</v>
      </c>
      <c r="D2317" s="11" t="s">
        <v>102</v>
      </c>
      <c r="E2317" s="11">
        <v>50.0</v>
      </c>
      <c r="F2317" s="21" t="s">
        <v>2113</v>
      </c>
      <c r="G2317" s="15">
        <v>0.09208684590672908</v>
      </c>
      <c r="H2317" s="11" t="s">
        <v>33</v>
      </c>
      <c r="I2317" s="16">
        <v>15.991999999999999</v>
      </c>
      <c r="J2317" s="11" t="s">
        <v>1185</v>
      </c>
      <c r="K2317" s="11" t="s">
        <v>83</v>
      </c>
      <c r="L2317" s="11" t="s">
        <v>48</v>
      </c>
      <c r="M2317" s="11" t="s">
        <v>28</v>
      </c>
      <c r="N2317" s="11" t="s">
        <v>236</v>
      </c>
      <c r="O2317" s="11" t="s">
        <v>2170</v>
      </c>
      <c r="P2317" s="11" t="s">
        <v>38</v>
      </c>
      <c r="Q2317" s="20">
        <v>40211.0</v>
      </c>
      <c r="R2317" s="17">
        <f t="shared" si="2"/>
        <v>387.7769714</v>
      </c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>
        <f t="shared" si="8"/>
        <v>4</v>
      </c>
      <c r="AF2317" s="19" t="b">
        <f t="shared" si="13"/>
        <v>0</v>
      </c>
      <c r="AG2317" s="9"/>
      <c r="AH2317" s="9"/>
      <c r="AI2317" s="9"/>
    </row>
    <row r="2318" ht="15.0" customHeight="1">
      <c r="A2318" s="11">
        <v>2317.0</v>
      </c>
      <c r="B2318" s="12">
        <f t="shared" si="374"/>
        <v>40209</v>
      </c>
      <c r="C2318" s="13">
        <v>2010.0</v>
      </c>
      <c r="D2318" s="11" t="s">
        <v>39</v>
      </c>
      <c r="E2318" s="11">
        <v>36.0</v>
      </c>
      <c r="F2318" s="21" t="s">
        <v>144</v>
      </c>
      <c r="G2318" s="15">
        <v>0.1183448275862068</v>
      </c>
      <c r="H2318" s="11" t="s">
        <v>33</v>
      </c>
      <c r="I2318" s="16">
        <v>1.1039999999999999</v>
      </c>
      <c r="J2318" s="11" t="s">
        <v>1168</v>
      </c>
      <c r="K2318" s="11" t="s">
        <v>61</v>
      </c>
      <c r="L2318" s="11" t="s">
        <v>36</v>
      </c>
      <c r="M2318" s="11" t="s">
        <v>28</v>
      </c>
      <c r="N2318" s="11" t="s">
        <v>216</v>
      </c>
      <c r="O2318" s="11" t="s">
        <v>1062</v>
      </c>
      <c r="P2318" s="11" t="s">
        <v>58</v>
      </c>
      <c r="Q2318" s="20">
        <v>40211.0</v>
      </c>
      <c r="R2318" s="17">
        <f t="shared" si="2"/>
        <v>9.077521655</v>
      </c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>
        <f t="shared" si="8"/>
        <v>2</v>
      </c>
      <c r="AF2318" s="19">
        <f t="shared" si="13"/>
        <v>4</v>
      </c>
      <c r="AG2318" s="9"/>
      <c r="AH2318" s="9"/>
      <c r="AI2318" s="9"/>
    </row>
    <row r="2319" ht="15.0" customHeight="1">
      <c r="A2319" s="11">
        <v>2318.0</v>
      </c>
      <c r="B2319" s="12">
        <f t="shared" si="374"/>
        <v>40209</v>
      </c>
      <c r="C2319" s="13">
        <v>2010.0</v>
      </c>
      <c r="D2319" s="11" t="s">
        <v>39</v>
      </c>
      <c r="E2319" s="11">
        <v>22.0</v>
      </c>
      <c r="F2319" s="21" t="s">
        <v>473</v>
      </c>
      <c r="G2319" s="15">
        <v>0.04242188344685911</v>
      </c>
      <c r="H2319" s="11" t="s">
        <v>33</v>
      </c>
      <c r="I2319" s="16">
        <v>7.864000000000001</v>
      </c>
      <c r="J2319" s="11" t="s">
        <v>1008</v>
      </c>
      <c r="K2319" s="11" t="s">
        <v>65</v>
      </c>
      <c r="L2319" s="11" t="s">
        <v>48</v>
      </c>
      <c r="M2319" s="11" t="s">
        <v>28</v>
      </c>
      <c r="N2319" s="11" t="s">
        <v>236</v>
      </c>
      <c r="O2319" s="11" t="s">
        <v>2171</v>
      </c>
      <c r="P2319" s="11" t="s">
        <v>38</v>
      </c>
      <c r="Q2319" s="20">
        <v>40211.0</v>
      </c>
      <c r="R2319" s="17">
        <f t="shared" si="2"/>
        <v>37.57153498</v>
      </c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>
        <f t="shared" si="8"/>
        <v>4</v>
      </c>
      <c r="AF2319" s="19">
        <f t="shared" si="13"/>
        <v>5</v>
      </c>
      <c r="AG2319" s="9"/>
      <c r="AH2319" s="9"/>
      <c r="AI2319" s="9"/>
    </row>
    <row r="2320" ht="15.0" customHeight="1">
      <c r="A2320" s="11">
        <v>2319.0</v>
      </c>
      <c r="B2320" s="12">
        <f t="shared" si="374"/>
        <v>40209</v>
      </c>
      <c r="C2320" s="13">
        <v>2010.0</v>
      </c>
      <c r="D2320" s="11" t="s">
        <v>39</v>
      </c>
      <c r="E2320" s="11">
        <v>3.0</v>
      </c>
      <c r="F2320" s="21" t="s">
        <v>428</v>
      </c>
      <c r="G2320" s="15">
        <v>0.12062256809338519</v>
      </c>
      <c r="H2320" s="11" t="s">
        <v>45</v>
      </c>
      <c r="I2320" s="16">
        <v>22.200000000000003</v>
      </c>
      <c r="J2320" s="11" t="s">
        <v>1008</v>
      </c>
      <c r="K2320" s="11" t="s">
        <v>65</v>
      </c>
      <c r="L2320" s="11" t="s">
        <v>48</v>
      </c>
      <c r="M2320" s="11" t="s">
        <v>49</v>
      </c>
      <c r="N2320" s="11" t="s">
        <v>85</v>
      </c>
      <c r="O2320" s="11" t="s">
        <v>1668</v>
      </c>
      <c r="P2320" s="11" t="s">
        <v>87</v>
      </c>
      <c r="Q2320" s="20">
        <v>40211.0</v>
      </c>
      <c r="R2320" s="17">
        <f t="shared" si="2"/>
        <v>8.178210117</v>
      </c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>
        <f t="shared" si="8"/>
        <v>4</v>
      </c>
      <c r="AF2320" s="19">
        <f t="shared" si="13"/>
        <v>5</v>
      </c>
      <c r="AG2320" s="9"/>
      <c r="AH2320" s="9"/>
      <c r="AI2320" s="9"/>
    </row>
    <row r="2321" ht="15.0" customHeight="1">
      <c r="A2321" s="11">
        <v>2320.0</v>
      </c>
      <c r="B2321" s="12">
        <f t="shared" ref="B2321:B2327" si="375">DATE(2012,12,31)-1064</f>
        <v>40210</v>
      </c>
      <c r="C2321" s="13">
        <v>2010.0</v>
      </c>
      <c r="D2321" s="11" t="s">
        <v>23</v>
      </c>
      <c r="E2321" s="11">
        <v>18.0</v>
      </c>
      <c r="F2321" s="21" t="s">
        <v>372</v>
      </c>
      <c r="G2321" s="15">
        <v>0.02303030303030299</v>
      </c>
      <c r="H2321" s="11" t="s">
        <v>33</v>
      </c>
      <c r="I2321" s="16">
        <v>1.1119999999999999</v>
      </c>
      <c r="J2321" s="11" t="s">
        <v>1118</v>
      </c>
      <c r="K2321" s="11" t="s">
        <v>26</v>
      </c>
      <c r="L2321" s="11" t="s">
        <v>48</v>
      </c>
      <c r="M2321" s="11" t="s">
        <v>28</v>
      </c>
      <c r="N2321" s="11" t="s">
        <v>236</v>
      </c>
      <c r="O2321" s="11" t="s">
        <v>374</v>
      </c>
      <c r="P2321" s="11" t="s">
        <v>38</v>
      </c>
      <c r="Q2321" s="20">
        <v>40211.0</v>
      </c>
      <c r="R2321" s="17">
        <f t="shared" si="2"/>
        <v>6.533973333</v>
      </c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>
        <f t="shared" si="8"/>
        <v>4</v>
      </c>
      <c r="AF2321" s="19">
        <f t="shared" si="13"/>
        <v>1</v>
      </c>
      <c r="AG2321" s="9"/>
      <c r="AH2321" s="9"/>
      <c r="AI2321" s="9"/>
    </row>
    <row r="2322" ht="15.0" customHeight="1">
      <c r="A2322" s="11">
        <v>2321.0</v>
      </c>
      <c r="B2322" s="12">
        <f t="shared" si="375"/>
        <v>40210</v>
      </c>
      <c r="C2322" s="13">
        <v>2010.0</v>
      </c>
      <c r="D2322" s="11" t="s">
        <v>23</v>
      </c>
      <c r="E2322" s="11">
        <v>50.0</v>
      </c>
      <c r="F2322" s="21" t="s">
        <v>158</v>
      </c>
      <c r="G2322" s="15">
        <v>0.035525303344184564</v>
      </c>
      <c r="H2322" s="11" t="s">
        <v>33</v>
      </c>
      <c r="I2322" s="16">
        <v>5.896000000000001</v>
      </c>
      <c r="J2322" s="11" t="s">
        <v>1086</v>
      </c>
      <c r="K2322" s="11" t="s">
        <v>61</v>
      </c>
      <c r="L2322" s="11" t="s">
        <v>41</v>
      </c>
      <c r="M2322" s="11" t="s">
        <v>28</v>
      </c>
      <c r="N2322" s="11" t="s">
        <v>56</v>
      </c>
      <c r="O2322" s="11" t="s">
        <v>860</v>
      </c>
      <c r="P2322" s="11" t="s">
        <v>38</v>
      </c>
      <c r="Q2322" s="20">
        <v>40211.0</v>
      </c>
      <c r="R2322" s="17">
        <f t="shared" si="2"/>
        <v>11.57755426</v>
      </c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>
        <f t="shared" si="8"/>
        <v>3</v>
      </c>
      <c r="AF2322" s="19">
        <f t="shared" si="13"/>
        <v>4</v>
      </c>
      <c r="AG2322" s="9"/>
      <c r="AH2322" s="9"/>
      <c r="AI2322" s="9"/>
    </row>
    <row r="2323" ht="15.0" customHeight="1">
      <c r="A2323" s="11">
        <v>2322.0</v>
      </c>
      <c r="B2323" s="12">
        <f t="shared" si="375"/>
        <v>40210</v>
      </c>
      <c r="C2323" s="13">
        <v>2010.0</v>
      </c>
      <c r="D2323" s="11" t="s">
        <v>32</v>
      </c>
      <c r="E2323" s="11">
        <v>36.0</v>
      </c>
      <c r="F2323" s="21" t="s">
        <v>333</v>
      </c>
      <c r="G2323" s="15">
        <v>0.014460093896713674</v>
      </c>
      <c r="H2323" s="11" t="s">
        <v>33</v>
      </c>
      <c r="I2323" s="16">
        <v>0.5599999999999999</v>
      </c>
      <c r="J2323" s="11" t="s">
        <v>25</v>
      </c>
      <c r="K2323" s="11" t="s">
        <v>26</v>
      </c>
      <c r="L2323" s="11" t="s">
        <v>27</v>
      </c>
      <c r="M2323" s="11" t="s">
        <v>28</v>
      </c>
      <c r="N2323" s="11" t="s">
        <v>62</v>
      </c>
      <c r="O2323" s="11" t="s">
        <v>480</v>
      </c>
      <c r="P2323" s="11" t="s">
        <v>58</v>
      </c>
      <c r="Q2323" s="20">
        <v>40211.0</v>
      </c>
      <c r="R2323" s="17">
        <f t="shared" si="2"/>
        <v>1.517731455</v>
      </c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>
        <f t="shared" si="8"/>
        <v>1</v>
      </c>
      <c r="AF2323" s="19">
        <f t="shared" si="13"/>
        <v>1</v>
      </c>
      <c r="AG2323" s="9"/>
      <c r="AH2323" s="9"/>
      <c r="AI2323" s="9"/>
    </row>
    <row r="2324" ht="15.0" customHeight="1">
      <c r="A2324" s="11">
        <v>2323.0</v>
      </c>
      <c r="B2324" s="12">
        <f t="shared" si="375"/>
        <v>40210</v>
      </c>
      <c r="C2324" s="13">
        <v>2010.0</v>
      </c>
      <c r="D2324" s="11" t="s">
        <v>32</v>
      </c>
      <c r="E2324" s="11">
        <v>50.0</v>
      </c>
      <c r="F2324" s="21" t="s">
        <v>498</v>
      </c>
      <c r="G2324" s="15">
        <v>0.04870158188954531</v>
      </c>
      <c r="H2324" s="11" t="s">
        <v>24</v>
      </c>
      <c r="I2324" s="16">
        <v>3.9200000000000004</v>
      </c>
      <c r="J2324" s="11" t="s">
        <v>25</v>
      </c>
      <c r="K2324" s="11" t="s">
        <v>26</v>
      </c>
      <c r="L2324" s="11" t="s">
        <v>27</v>
      </c>
      <c r="M2324" s="11" t="s">
        <v>66</v>
      </c>
      <c r="N2324" s="11" t="s">
        <v>80</v>
      </c>
      <c r="O2324" s="11" t="s">
        <v>500</v>
      </c>
      <c r="P2324" s="11" t="s">
        <v>38</v>
      </c>
      <c r="Q2324" s="20">
        <v>40211.0</v>
      </c>
      <c r="R2324" s="17">
        <f t="shared" si="2"/>
        <v>233.7149954</v>
      </c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>
        <f t="shared" si="8"/>
        <v>1</v>
      </c>
      <c r="AF2324" s="19">
        <f t="shared" si="13"/>
        <v>1</v>
      </c>
      <c r="AG2324" s="9"/>
      <c r="AH2324" s="9"/>
      <c r="AI2324" s="9"/>
    </row>
    <row r="2325" ht="15.0" customHeight="1">
      <c r="A2325" s="11">
        <v>2324.0</v>
      </c>
      <c r="B2325" s="12">
        <f t="shared" si="375"/>
        <v>40210</v>
      </c>
      <c r="C2325" s="13">
        <v>2010.0</v>
      </c>
      <c r="D2325" s="11" t="s">
        <v>32</v>
      </c>
      <c r="E2325" s="11">
        <v>4.0</v>
      </c>
      <c r="F2325" s="21" t="s">
        <v>322</v>
      </c>
      <c r="G2325" s="15">
        <v>0.07920792079207928</v>
      </c>
      <c r="H2325" s="11" t="s">
        <v>33</v>
      </c>
      <c r="I2325" s="16">
        <v>2.8000000000000003</v>
      </c>
      <c r="J2325" s="11" t="s">
        <v>25</v>
      </c>
      <c r="K2325" s="11" t="s">
        <v>26</v>
      </c>
      <c r="L2325" s="11" t="s">
        <v>27</v>
      </c>
      <c r="M2325" s="11" t="s">
        <v>28</v>
      </c>
      <c r="N2325" s="11" t="s">
        <v>197</v>
      </c>
      <c r="O2325" s="11" t="s">
        <v>2172</v>
      </c>
      <c r="P2325" s="11" t="s">
        <v>38</v>
      </c>
      <c r="Q2325" s="20">
        <v>40212.0</v>
      </c>
      <c r="R2325" s="17">
        <f t="shared" si="2"/>
        <v>2.946534653</v>
      </c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>
        <f t="shared" si="8"/>
        <v>1</v>
      </c>
      <c r="AF2325" s="19">
        <f t="shared" si="13"/>
        <v>1</v>
      </c>
      <c r="AG2325" s="9"/>
      <c r="AH2325" s="9"/>
      <c r="AI2325" s="9"/>
    </row>
    <row r="2326" ht="15.0" customHeight="1">
      <c r="A2326" s="11">
        <v>2325.0</v>
      </c>
      <c r="B2326" s="12">
        <f t="shared" si="375"/>
        <v>40210</v>
      </c>
      <c r="C2326" s="13">
        <v>2010.0</v>
      </c>
      <c r="D2326" s="11" t="s">
        <v>32</v>
      </c>
      <c r="E2326" s="11">
        <v>5.0</v>
      </c>
      <c r="F2326" s="21" t="s">
        <v>163</v>
      </c>
      <c r="G2326" s="15">
        <v>0.023082519624736602</v>
      </c>
      <c r="H2326" s="11" t="s">
        <v>24</v>
      </c>
      <c r="I2326" s="16">
        <v>5.744</v>
      </c>
      <c r="J2326" s="11" t="s">
        <v>25</v>
      </c>
      <c r="K2326" s="11" t="s">
        <v>26</v>
      </c>
      <c r="L2326" s="11" t="s">
        <v>27</v>
      </c>
      <c r="M2326" s="11" t="s">
        <v>66</v>
      </c>
      <c r="N2326" s="11" t="s">
        <v>67</v>
      </c>
      <c r="O2326" s="11" t="s">
        <v>1181</v>
      </c>
      <c r="P2326" s="11" t="s">
        <v>38</v>
      </c>
      <c r="Q2326" s="20">
        <v>40212.0</v>
      </c>
      <c r="R2326" s="17">
        <f t="shared" si="2"/>
        <v>11.77771714</v>
      </c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>
        <f t="shared" si="8"/>
        <v>1</v>
      </c>
      <c r="AF2326" s="19">
        <f t="shared" si="13"/>
        <v>1</v>
      </c>
      <c r="AG2326" s="9"/>
      <c r="AH2326" s="9"/>
      <c r="AI2326" s="9"/>
    </row>
    <row r="2327" ht="15.0" customHeight="1">
      <c r="A2327" s="11">
        <v>2326.0</v>
      </c>
      <c r="B2327" s="12">
        <f t="shared" si="375"/>
        <v>40210</v>
      </c>
      <c r="C2327" s="13">
        <v>2010.0</v>
      </c>
      <c r="D2327" s="11" t="s">
        <v>44</v>
      </c>
      <c r="E2327" s="11">
        <v>31.0</v>
      </c>
      <c r="F2327" s="21" t="s">
        <v>130</v>
      </c>
      <c r="G2327" s="15">
        <v>0.0421680755842864</v>
      </c>
      <c r="H2327" s="11" t="s">
        <v>33</v>
      </c>
      <c r="I2327" s="16">
        <v>5.2</v>
      </c>
      <c r="J2327" s="11" t="s">
        <v>993</v>
      </c>
      <c r="K2327" s="11" t="s">
        <v>83</v>
      </c>
      <c r="L2327" s="11" t="s">
        <v>48</v>
      </c>
      <c r="M2327" s="11" t="s">
        <v>66</v>
      </c>
      <c r="N2327" s="11" t="s">
        <v>67</v>
      </c>
      <c r="O2327" s="11" t="s">
        <v>1305</v>
      </c>
      <c r="P2327" s="11" t="s">
        <v>38</v>
      </c>
      <c r="Q2327" s="20">
        <v>40212.0</v>
      </c>
      <c r="R2327" s="17">
        <f t="shared" si="2"/>
        <v>40.6120736</v>
      </c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>
        <f t="shared" si="8"/>
        <v>4</v>
      </c>
      <c r="AF2327" s="19" t="b">
        <f t="shared" si="13"/>
        <v>0</v>
      </c>
      <c r="AG2327" s="9"/>
      <c r="AH2327" s="9"/>
      <c r="AI2327" s="9"/>
    </row>
    <row r="2328" ht="15.0" customHeight="1">
      <c r="A2328" s="11">
        <v>2327.0</v>
      </c>
      <c r="B2328" s="12">
        <f t="shared" ref="B2328:B2338" si="376">DATE(2012,12,31)-1063</f>
        <v>40211</v>
      </c>
      <c r="C2328" s="13">
        <v>2010.0</v>
      </c>
      <c r="D2328" s="11" t="s">
        <v>39</v>
      </c>
      <c r="E2328" s="11">
        <v>25.0</v>
      </c>
      <c r="F2328" s="21" t="s">
        <v>151</v>
      </c>
      <c r="G2328" s="15">
        <v>0.09306487695749448</v>
      </c>
      <c r="H2328" s="11" t="s">
        <v>33</v>
      </c>
      <c r="I2328" s="16">
        <v>1.08</v>
      </c>
      <c r="J2328" s="11" t="s">
        <v>905</v>
      </c>
      <c r="K2328" s="11" t="s">
        <v>61</v>
      </c>
      <c r="L2328" s="11" t="s">
        <v>27</v>
      </c>
      <c r="M2328" s="11" t="s">
        <v>28</v>
      </c>
      <c r="N2328" s="11" t="s">
        <v>216</v>
      </c>
      <c r="O2328" s="11" t="s">
        <v>217</v>
      </c>
      <c r="P2328" s="11" t="s">
        <v>58</v>
      </c>
      <c r="Q2328" s="20">
        <v>40212.0</v>
      </c>
      <c r="R2328" s="17">
        <f t="shared" si="2"/>
        <v>7.545700224</v>
      </c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>
        <f t="shared" si="8"/>
        <v>1</v>
      </c>
      <c r="AF2328" s="19">
        <f t="shared" si="13"/>
        <v>4</v>
      </c>
      <c r="AG2328" s="9"/>
      <c r="AH2328" s="9"/>
      <c r="AI2328" s="9"/>
    </row>
    <row r="2329" ht="15.0" customHeight="1">
      <c r="A2329" s="11">
        <v>2328.0</v>
      </c>
      <c r="B2329" s="12">
        <f t="shared" si="376"/>
        <v>40211</v>
      </c>
      <c r="C2329" s="13">
        <v>2010.0</v>
      </c>
      <c r="D2329" s="11" t="s">
        <v>44</v>
      </c>
      <c r="E2329" s="11">
        <v>23.0</v>
      </c>
      <c r="F2329" s="21" t="s">
        <v>306</v>
      </c>
      <c r="G2329" s="15">
        <v>0.08100474683544306</v>
      </c>
      <c r="H2329" s="11" t="s">
        <v>24</v>
      </c>
      <c r="I2329" s="16">
        <v>6.944</v>
      </c>
      <c r="J2329" s="11" t="s">
        <v>2116</v>
      </c>
      <c r="K2329" s="11" t="s">
        <v>65</v>
      </c>
      <c r="L2329" s="11" t="s">
        <v>48</v>
      </c>
      <c r="M2329" s="11" t="s">
        <v>28</v>
      </c>
      <c r="N2329" s="11" t="s">
        <v>56</v>
      </c>
      <c r="O2329" s="11" t="s">
        <v>401</v>
      </c>
      <c r="P2329" s="11" t="s">
        <v>38</v>
      </c>
      <c r="Q2329" s="20">
        <v>40212.0</v>
      </c>
      <c r="R2329" s="17">
        <f t="shared" si="2"/>
        <v>37.63836959</v>
      </c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>
        <f t="shared" si="8"/>
        <v>4</v>
      </c>
      <c r="AF2329" s="19">
        <f t="shared" si="13"/>
        <v>5</v>
      </c>
      <c r="AG2329" s="9"/>
      <c r="AH2329" s="9"/>
      <c r="AI2329" s="9"/>
    </row>
    <row r="2330" ht="15.0" customHeight="1">
      <c r="A2330" s="11">
        <v>2329.0</v>
      </c>
      <c r="B2330" s="12">
        <f t="shared" si="376"/>
        <v>40211</v>
      </c>
      <c r="C2330" s="13">
        <v>2010.0</v>
      </c>
      <c r="D2330" s="11" t="s">
        <v>44</v>
      </c>
      <c r="E2330" s="11">
        <v>34.0</v>
      </c>
      <c r="F2330" s="21" t="s">
        <v>325</v>
      </c>
      <c r="G2330" s="15">
        <v>0.04163004394726334</v>
      </c>
      <c r="H2330" s="11" t="s">
        <v>33</v>
      </c>
      <c r="I2330" s="16">
        <v>1.8800000000000001</v>
      </c>
      <c r="J2330" s="11" t="s">
        <v>2116</v>
      </c>
      <c r="K2330" s="11" t="s">
        <v>65</v>
      </c>
      <c r="L2330" s="11" t="s">
        <v>48</v>
      </c>
      <c r="M2330" s="11" t="s">
        <v>28</v>
      </c>
      <c r="N2330" s="11" t="s">
        <v>62</v>
      </c>
      <c r="O2330" s="11" t="s">
        <v>1113</v>
      </c>
      <c r="P2330" s="11" t="s">
        <v>58</v>
      </c>
      <c r="Q2330" s="20">
        <v>40212.0</v>
      </c>
      <c r="R2330" s="17">
        <f t="shared" si="2"/>
        <v>9.986214942</v>
      </c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>
        <f t="shared" si="8"/>
        <v>4</v>
      </c>
      <c r="AF2330" s="19">
        <f t="shared" si="13"/>
        <v>5</v>
      </c>
      <c r="AG2330" s="9"/>
      <c r="AH2330" s="9"/>
      <c r="AI2330" s="9"/>
    </row>
    <row r="2331" ht="15.0" customHeight="1">
      <c r="A2331" s="11">
        <v>2330.0</v>
      </c>
      <c r="B2331" s="12">
        <f t="shared" si="376"/>
        <v>40211</v>
      </c>
      <c r="C2331" s="13">
        <v>2010.0</v>
      </c>
      <c r="D2331" s="11" t="s">
        <v>23</v>
      </c>
      <c r="E2331" s="11">
        <v>12.0</v>
      </c>
      <c r="F2331" s="21" t="s">
        <v>1015</v>
      </c>
      <c r="G2331" s="15">
        <v>0.045277044854881106</v>
      </c>
      <c r="H2331" s="11" t="s">
        <v>33</v>
      </c>
      <c r="I2331" s="16">
        <v>3.968</v>
      </c>
      <c r="J2331" s="11" t="s">
        <v>674</v>
      </c>
      <c r="K2331" s="11" t="s">
        <v>61</v>
      </c>
      <c r="L2331" s="11" t="s">
        <v>36</v>
      </c>
      <c r="M2331" s="11" t="s">
        <v>28</v>
      </c>
      <c r="N2331" s="11" t="s">
        <v>56</v>
      </c>
      <c r="O2331" s="11" t="s">
        <v>2173</v>
      </c>
      <c r="P2331" s="11" t="s">
        <v>38</v>
      </c>
      <c r="Q2331" s="20">
        <v>40212.0</v>
      </c>
      <c r="R2331" s="17">
        <f t="shared" si="2"/>
        <v>3.276609182</v>
      </c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>
        <f t="shared" si="8"/>
        <v>2</v>
      </c>
      <c r="AF2331" s="19">
        <f t="shared" si="13"/>
        <v>4</v>
      </c>
      <c r="AG2331" s="9"/>
      <c r="AH2331" s="9"/>
      <c r="AI2331" s="9"/>
    </row>
    <row r="2332" ht="15.0" customHeight="1">
      <c r="A2332" s="11">
        <v>2331.0</v>
      </c>
      <c r="B2332" s="12">
        <f t="shared" si="376"/>
        <v>40211</v>
      </c>
      <c r="C2332" s="13">
        <v>2010.0</v>
      </c>
      <c r="D2332" s="11" t="s">
        <v>23</v>
      </c>
      <c r="E2332" s="11">
        <v>34.0</v>
      </c>
      <c r="F2332" s="21" t="s">
        <v>151</v>
      </c>
      <c r="G2332" s="15">
        <v>0.09331174089068815</v>
      </c>
      <c r="H2332" s="11" t="s">
        <v>33</v>
      </c>
      <c r="I2332" s="16">
        <v>3.176</v>
      </c>
      <c r="J2332" s="11" t="s">
        <v>674</v>
      </c>
      <c r="K2332" s="11" t="s">
        <v>61</v>
      </c>
      <c r="L2332" s="11" t="s">
        <v>36</v>
      </c>
      <c r="M2332" s="11" t="s">
        <v>28</v>
      </c>
      <c r="N2332" s="11" t="s">
        <v>62</v>
      </c>
      <c r="O2332" s="11" t="s">
        <v>209</v>
      </c>
      <c r="P2332" s="11" t="s">
        <v>58</v>
      </c>
      <c r="Q2332" s="20">
        <v>40212.0</v>
      </c>
      <c r="R2332" s="17">
        <f t="shared" si="2"/>
        <v>10.4486755</v>
      </c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>
        <f t="shared" si="8"/>
        <v>2</v>
      </c>
      <c r="AF2332" s="19">
        <f t="shared" si="13"/>
        <v>4</v>
      </c>
      <c r="AG2332" s="9"/>
      <c r="AH2332" s="9"/>
      <c r="AI2332" s="9"/>
    </row>
    <row r="2333" ht="15.0" customHeight="1">
      <c r="A2333" s="11">
        <v>2332.0</v>
      </c>
      <c r="B2333" s="12">
        <f t="shared" si="376"/>
        <v>40211</v>
      </c>
      <c r="C2333" s="13">
        <v>2010.0</v>
      </c>
      <c r="D2333" s="11" t="s">
        <v>23</v>
      </c>
      <c r="E2333" s="11">
        <v>23.0</v>
      </c>
      <c r="F2333" s="21" t="s">
        <v>805</v>
      </c>
      <c r="G2333" s="15">
        <v>0.0925754687003495</v>
      </c>
      <c r="H2333" s="11" t="s">
        <v>45</v>
      </c>
      <c r="I2333" s="16">
        <v>43.296</v>
      </c>
      <c r="J2333" s="11" t="s">
        <v>674</v>
      </c>
      <c r="K2333" s="11" t="s">
        <v>61</v>
      </c>
      <c r="L2333" s="11" t="s">
        <v>36</v>
      </c>
      <c r="M2333" s="11" t="s">
        <v>49</v>
      </c>
      <c r="N2333" s="11" t="s">
        <v>85</v>
      </c>
      <c r="O2333" s="11" t="s">
        <v>807</v>
      </c>
      <c r="P2333" s="11" t="s">
        <v>87</v>
      </c>
      <c r="Q2333" s="20">
        <v>40213.0</v>
      </c>
      <c r="R2333" s="17">
        <f t="shared" si="2"/>
        <v>634.474862</v>
      </c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>
        <f t="shared" si="8"/>
        <v>2</v>
      </c>
      <c r="AF2333" s="19">
        <f t="shared" si="13"/>
        <v>4</v>
      </c>
      <c r="AG2333" s="9"/>
      <c r="AH2333" s="9"/>
      <c r="AI2333" s="9"/>
    </row>
    <row r="2334" ht="15.0" customHeight="1">
      <c r="A2334" s="11">
        <v>2333.0</v>
      </c>
      <c r="B2334" s="12">
        <f t="shared" si="376"/>
        <v>40211</v>
      </c>
      <c r="C2334" s="13">
        <v>2010.0</v>
      </c>
      <c r="D2334" s="11" t="s">
        <v>23</v>
      </c>
      <c r="E2334" s="11">
        <v>45.0</v>
      </c>
      <c r="F2334" s="21" t="s">
        <v>810</v>
      </c>
      <c r="G2334" s="15">
        <v>0.051491414238857676</v>
      </c>
      <c r="H2334" s="11" t="s">
        <v>33</v>
      </c>
      <c r="I2334" s="16">
        <v>1.1119999999999999</v>
      </c>
      <c r="J2334" s="11" t="s">
        <v>1393</v>
      </c>
      <c r="K2334" s="11" t="s">
        <v>117</v>
      </c>
      <c r="L2334" s="11" t="s">
        <v>36</v>
      </c>
      <c r="M2334" s="11" t="s">
        <v>28</v>
      </c>
      <c r="N2334" s="11" t="s">
        <v>236</v>
      </c>
      <c r="O2334" s="11" t="s">
        <v>2174</v>
      </c>
      <c r="P2334" s="11" t="s">
        <v>38</v>
      </c>
      <c r="Q2334" s="20">
        <v>40213.0</v>
      </c>
      <c r="R2334" s="17">
        <f t="shared" si="2"/>
        <v>25.31379714</v>
      </c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>
        <f t="shared" si="8"/>
        <v>2</v>
      </c>
      <c r="AF2334" s="19" t="b">
        <f t="shared" si="13"/>
        <v>0</v>
      </c>
      <c r="AG2334" s="9"/>
      <c r="AH2334" s="9"/>
      <c r="AI2334" s="9"/>
    </row>
    <row r="2335" ht="15.0" customHeight="1">
      <c r="A2335" s="11">
        <v>2334.0</v>
      </c>
      <c r="B2335" s="12">
        <f t="shared" si="376"/>
        <v>40211</v>
      </c>
      <c r="C2335" s="13">
        <v>2010.0</v>
      </c>
      <c r="D2335" s="11" t="s">
        <v>23</v>
      </c>
      <c r="E2335" s="11">
        <v>21.0</v>
      </c>
      <c r="F2335" s="21" t="s">
        <v>270</v>
      </c>
      <c r="G2335" s="15">
        <v>0.022148047229791013</v>
      </c>
      <c r="H2335" s="11" t="s">
        <v>24</v>
      </c>
      <c r="I2335" s="16">
        <v>2.3920000000000003</v>
      </c>
      <c r="J2335" s="11" t="s">
        <v>1393</v>
      </c>
      <c r="K2335" s="11" t="s">
        <v>117</v>
      </c>
      <c r="L2335" s="11" t="s">
        <v>36</v>
      </c>
      <c r="M2335" s="11" t="s">
        <v>28</v>
      </c>
      <c r="N2335" s="11" t="s">
        <v>42</v>
      </c>
      <c r="O2335" s="11" t="s">
        <v>43</v>
      </c>
      <c r="P2335" s="11" t="s">
        <v>38</v>
      </c>
      <c r="Q2335" s="20">
        <v>40213.0</v>
      </c>
      <c r="R2335" s="17">
        <f t="shared" si="2"/>
        <v>19.07593589</v>
      </c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>
        <f t="shared" si="8"/>
        <v>2</v>
      </c>
      <c r="AF2335" s="19" t="b">
        <f t="shared" si="13"/>
        <v>0</v>
      </c>
      <c r="AG2335" s="9"/>
      <c r="AH2335" s="9"/>
      <c r="AI2335" s="9"/>
    </row>
    <row r="2336" ht="15.0" customHeight="1">
      <c r="A2336" s="11">
        <v>2335.0</v>
      </c>
      <c r="B2336" s="12">
        <f t="shared" si="376"/>
        <v>40211</v>
      </c>
      <c r="C2336" s="13">
        <v>2010.0</v>
      </c>
      <c r="D2336" s="11" t="s">
        <v>44</v>
      </c>
      <c r="E2336" s="11">
        <v>1.0</v>
      </c>
      <c r="F2336" s="21" t="s">
        <v>415</v>
      </c>
      <c r="G2336" s="15">
        <v>0.15384615384615385</v>
      </c>
      <c r="H2336" s="11" t="s">
        <v>33</v>
      </c>
      <c r="I2336" s="16">
        <v>1.6</v>
      </c>
      <c r="J2336" s="11" t="s">
        <v>202</v>
      </c>
      <c r="K2336" s="11" t="s">
        <v>35</v>
      </c>
      <c r="L2336" s="11" t="s">
        <v>41</v>
      </c>
      <c r="M2336" s="11" t="s">
        <v>28</v>
      </c>
      <c r="N2336" s="11" t="s">
        <v>216</v>
      </c>
      <c r="O2336" s="11" t="s">
        <v>1856</v>
      </c>
      <c r="P2336" s="11" t="s">
        <v>58</v>
      </c>
      <c r="Q2336" s="20">
        <v>40213.0</v>
      </c>
      <c r="R2336" s="17">
        <f t="shared" si="2"/>
        <v>0.8461538462</v>
      </c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>
        <f t="shared" si="8"/>
        <v>3</v>
      </c>
      <c r="AF2336" s="19">
        <f t="shared" si="13"/>
        <v>2</v>
      </c>
      <c r="AG2336" s="9"/>
      <c r="AH2336" s="9"/>
      <c r="AI2336" s="9"/>
    </row>
    <row r="2337" ht="15.0" customHeight="1">
      <c r="A2337" s="11">
        <v>2336.0</v>
      </c>
      <c r="B2337" s="12">
        <f t="shared" si="376"/>
        <v>40211</v>
      </c>
      <c r="C2337" s="13">
        <v>2010.0</v>
      </c>
      <c r="D2337" s="11" t="s">
        <v>23</v>
      </c>
      <c r="E2337" s="11">
        <v>40.0</v>
      </c>
      <c r="F2337" s="21" t="s">
        <v>523</v>
      </c>
      <c r="G2337" s="15">
        <v>0.03674641148325362</v>
      </c>
      <c r="H2337" s="11" t="s">
        <v>24</v>
      </c>
      <c r="I2337" s="16">
        <v>0.792</v>
      </c>
      <c r="J2337" s="11" t="s">
        <v>1829</v>
      </c>
      <c r="K2337" s="11" t="s">
        <v>83</v>
      </c>
      <c r="L2337" s="11" t="s">
        <v>48</v>
      </c>
      <c r="M2337" s="11" t="s">
        <v>28</v>
      </c>
      <c r="N2337" s="11" t="s">
        <v>188</v>
      </c>
      <c r="O2337" s="11" t="s">
        <v>2175</v>
      </c>
      <c r="P2337" s="11" t="s">
        <v>38</v>
      </c>
      <c r="Q2337" s="20">
        <v>40213.0</v>
      </c>
      <c r="R2337" s="17">
        <f t="shared" si="2"/>
        <v>4.438672536</v>
      </c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>
        <f t="shared" si="8"/>
        <v>4</v>
      </c>
      <c r="AF2337" s="19" t="b">
        <f t="shared" si="13"/>
        <v>0</v>
      </c>
      <c r="AG2337" s="9"/>
      <c r="AH2337" s="9"/>
      <c r="AI2337" s="9"/>
    </row>
    <row r="2338" ht="15.0" customHeight="1">
      <c r="A2338" s="11">
        <v>2337.0</v>
      </c>
      <c r="B2338" s="12">
        <f t="shared" si="376"/>
        <v>40211</v>
      </c>
      <c r="C2338" s="13">
        <v>2010.0</v>
      </c>
      <c r="D2338" s="11" t="s">
        <v>23</v>
      </c>
      <c r="E2338" s="11">
        <v>19.0</v>
      </c>
      <c r="F2338" s="21" t="s">
        <v>103</v>
      </c>
      <c r="G2338" s="15">
        <v>0.05292702485966314</v>
      </c>
      <c r="H2338" s="11" t="s">
        <v>33</v>
      </c>
      <c r="I2338" s="16">
        <v>6.0</v>
      </c>
      <c r="J2338" s="11" t="s">
        <v>1829</v>
      </c>
      <c r="K2338" s="11" t="s">
        <v>83</v>
      </c>
      <c r="L2338" s="11" t="s">
        <v>48</v>
      </c>
      <c r="M2338" s="11" t="s">
        <v>28</v>
      </c>
      <c r="N2338" s="11" t="s">
        <v>56</v>
      </c>
      <c r="O2338" s="11" t="s">
        <v>1701</v>
      </c>
      <c r="P2338" s="11" t="s">
        <v>38</v>
      </c>
      <c r="Q2338" s="20">
        <v>40214.0</v>
      </c>
      <c r="R2338" s="17">
        <f t="shared" si="2"/>
        <v>6.250681636</v>
      </c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>
        <f t="shared" si="8"/>
        <v>4</v>
      </c>
      <c r="AF2338" s="19" t="b">
        <f t="shared" si="13"/>
        <v>0</v>
      </c>
      <c r="AG2338" s="9"/>
      <c r="AH2338" s="9"/>
      <c r="AI2338" s="9"/>
    </row>
    <row r="2339" ht="15.0" customHeight="1">
      <c r="A2339" s="11">
        <v>2338.0</v>
      </c>
      <c r="B2339" s="12">
        <f t="shared" ref="B2339:B2341" si="377">DATE(2012,12,31)-1062</f>
        <v>40212</v>
      </c>
      <c r="C2339" s="13">
        <v>2010.0</v>
      </c>
      <c r="D2339" s="11" t="s">
        <v>44</v>
      </c>
      <c r="E2339" s="11">
        <v>41.0</v>
      </c>
      <c r="F2339" s="21" t="s">
        <v>933</v>
      </c>
      <c r="G2339" s="15">
        <v>0.03501785339214456</v>
      </c>
      <c r="H2339" s="11" t="s">
        <v>24</v>
      </c>
      <c r="I2339" s="16">
        <v>5.24</v>
      </c>
      <c r="J2339" s="11" t="s">
        <v>630</v>
      </c>
      <c r="K2339" s="11" t="s">
        <v>35</v>
      </c>
      <c r="L2339" s="11" t="s">
        <v>36</v>
      </c>
      <c r="M2339" s="11" t="s">
        <v>66</v>
      </c>
      <c r="N2339" s="11" t="s">
        <v>67</v>
      </c>
      <c r="O2339" s="11" t="s">
        <v>935</v>
      </c>
      <c r="P2339" s="11" t="s">
        <v>38</v>
      </c>
      <c r="Q2339" s="20">
        <v>40214.0</v>
      </c>
      <c r="R2339" s="17">
        <f t="shared" si="2"/>
        <v>80.44091174</v>
      </c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>
        <f t="shared" si="8"/>
        <v>2</v>
      </c>
      <c r="AF2339" s="19">
        <f t="shared" si="13"/>
        <v>2</v>
      </c>
      <c r="AG2339" s="9"/>
      <c r="AH2339" s="9"/>
      <c r="AI2339" s="9"/>
    </row>
    <row r="2340" ht="15.0" customHeight="1">
      <c r="A2340" s="11">
        <v>2339.0</v>
      </c>
      <c r="B2340" s="12">
        <f t="shared" si="377"/>
        <v>40212</v>
      </c>
      <c r="C2340" s="13">
        <v>2010.0</v>
      </c>
      <c r="D2340" s="11" t="s">
        <v>44</v>
      </c>
      <c r="E2340" s="11">
        <v>2.0</v>
      </c>
      <c r="F2340" s="21" t="s">
        <v>122</v>
      </c>
      <c r="G2340" s="15">
        <v>0.05518763796909493</v>
      </c>
      <c r="H2340" s="11" t="s">
        <v>33</v>
      </c>
      <c r="I2340" s="16">
        <v>1.0</v>
      </c>
      <c r="J2340" s="11" t="s">
        <v>630</v>
      </c>
      <c r="K2340" s="11" t="s">
        <v>35</v>
      </c>
      <c r="L2340" s="11" t="s">
        <v>36</v>
      </c>
      <c r="M2340" s="11" t="s">
        <v>66</v>
      </c>
      <c r="N2340" s="11" t="s">
        <v>80</v>
      </c>
      <c r="O2340" s="11" t="s">
        <v>1992</v>
      </c>
      <c r="P2340" s="11" t="s">
        <v>99</v>
      </c>
      <c r="Q2340" s="20">
        <v>40214.0</v>
      </c>
      <c r="R2340" s="17">
        <f t="shared" si="2"/>
        <v>2.362030905</v>
      </c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>
        <f t="shared" si="8"/>
        <v>2</v>
      </c>
      <c r="AF2340" s="19">
        <f t="shared" si="13"/>
        <v>2</v>
      </c>
      <c r="AG2340" s="9"/>
      <c r="AH2340" s="9"/>
      <c r="AI2340" s="9"/>
    </row>
    <row r="2341" ht="15.0" customHeight="1">
      <c r="A2341" s="11">
        <v>2340.0</v>
      </c>
      <c r="B2341" s="12">
        <f t="shared" si="377"/>
        <v>40212</v>
      </c>
      <c r="C2341" s="13">
        <v>2010.0</v>
      </c>
      <c r="D2341" s="11" t="s">
        <v>32</v>
      </c>
      <c r="E2341" s="11">
        <v>34.0</v>
      </c>
      <c r="F2341" s="21" t="s">
        <v>668</v>
      </c>
      <c r="G2341" s="15">
        <v>0.06153528399311524</v>
      </c>
      <c r="H2341" s="11" t="s">
        <v>33</v>
      </c>
      <c r="I2341" s="16">
        <v>4.024</v>
      </c>
      <c r="J2341" s="11" t="s">
        <v>966</v>
      </c>
      <c r="K2341" s="11" t="s">
        <v>26</v>
      </c>
      <c r="L2341" s="11" t="s">
        <v>36</v>
      </c>
      <c r="M2341" s="11" t="s">
        <v>66</v>
      </c>
      <c r="N2341" s="11" t="s">
        <v>80</v>
      </c>
      <c r="O2341" s="11" t="s">
        <v>1603</v>
      </c>
      <c r="P2341" s="11" t="s">
        <v>75</v>
      </c>
      <c r="Q2341" s="20">
        <v>40214.0</v>
      </c>
      <c r="R2341" s="17">
        <f t="shared" si="2"/>
        <v>16.77599526</v>
      </c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>
        <f t="shared" si="8"/>
        <v>2</v>
      </c>
      <c r="AF2341" s="19">
        <f t="shared" si="13"/>
        <v>1</v>
      </c>
      <c r="AG2341" s="9"/>
      <c r="AH2341" s="9"/>
      <c r="AI2341" s="9"/>
    </row>
    <row r="2342" ht="15.0" customHeight="1">
      <c r="A2342" s="11">
        <v>2341.0</v>
      </c>
      <c r="B2342" s="12">
        <f t="shared" ref="B2342:B2351" si="378">DATE(2012,12,31)-1061</f>
        <v>40213</v>
      </c>
      <c r="C2342" s="13">
        <v>2010.0</v>
      </c>
      <c r="D2342" s="11" t="s">
        <v>102</v>
      </c>
      <c r="E2342" s="11">
        <v>48.0</v>
      </c>
      <c r="F2342" s="21" t="s">
        <v>1195</v>
      </c>
      <c r="G2342" s="15">
        <v>0.09168394708616368</v>
      </c>
      <c r="H2342" s="11" t="s">
        <v>33</v>
      </c>
      <c r="I2342" s="16">
        <v>4.456</v>
      </c>
      <c r="J2342" s="11" t="s">
        <v>617</v>
      </c>
      <c r="K2342" s="11" t="s">
        <v>61</v>
      </c>
      <c r="L2342" s="11" t="s">
        <v>27</v>
      </c>
      <c r="M2342" s="11" t="s">
        <v>28</v>
      </c>
      <c r="N2342" s="11" t="s">
        <v>56</v>
      </c>
      <c r="O2342" s="11" t="s">
        <v>2176</v>
      </c>
      <c r="P2342" s="11" t="s">
        <v>38</v>
      </c>
      <c r="Q2342" s="20">
        <v>40214.0</v>
      </c>
      <c r="R2342" s="17">
        <f t="shared" si="2"/>
        <v>23.29285686</v>
      </c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>
        <f t="shared" si="8"/>
        <v>1</v>
      </c>
      <c r="AF2342" s="19">
        <f t="shared" si="13"/>
        <v>4</v>
      </c>
      <c r="AG2342" s="9"/>
      <c r="AH2342" s="9"/>
      <c r="AI2342" s="9"/>
    </row>
    <row r="2343" ht="15.0" customHeight="1">
      <c r="A2343" s="11">
        <v>2342.0</v>
      </c>
      <c r="B2343" s="12">
        <f t="shared" si="378"/>
        <v>40213</v>
      </c>
      <c r="C2343" s="13">
        <v>2010.0</v>
      </c>
      <c r="D2343" s="11" t="s">
        <v>102</v>
      </c>
      <c r="E2343" s="11">
        <v>44.0</v>
      </c>
      <c r="F2343" s="21" t="s">
        <v>369</v>
      </c>
      <c r="G2343" s="15">
        <v>0.026829329980344513</v>
      </c>
      <c r="H2343" s="11" t="s">
        <v>45</v>
      </c>
      <c r="I2343" s="16">
        <v>29.288</v>
      </c>
      <c r="J2343" s="11" t="s">
        <v>2177</v>
      </c>
      <c r="K2343" s="11" t="s">
        <v>83</v>
      </c>
      <c r="L2343" s="11" t="s">
        <v>48</v>
      </c>
      <c r="M2343" s="11" t="s">
        <v>49</v>
      </c>
      <c r="N2343" s="11" t="s">
        <v>156</v>
      </c>
      <c r="O2343" s="11" t="s">
        <v>1885</v>
      </c>
      <c r="P2343" s="11" t="s">
        <v>87</v>
      </c>
      <c r="Q2343" s="20">
        <v>40214.0</v>
      </c>
      <c r="R2343" s="17">
        <f t="shared" si="2"/>
        <v>69.37227658</v>
      </c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>
        <f t="shared" si="8"/>
        <v>4</v>
      </c>
      <c r="AF2343" s="19" t="b">
        <f t="shared" si="13"/>
        <v>0</v>
      </c>
      <c r="AG2343" s="9"/>
      <c r="AH2343" s="9"/>
      <c r="AI2343" s="9"/>
    </row>
    <row r="2344" ht="15.0" customHeight="1">
      <c r="A2344" s="11">
        <v>2343.0</v>
      </c>
      <c r="B2344" s="12">
        <f t="shared" si="378"/>
        <v>40213</v>
      </c>
      <c r="C2344" s="13">
        <v>2010.0</v>
      </c>
      <c r="D2344" s="11" t="s">
        <v>39</v>
      </c>
      <c r="E2344" s="11">
        <v>45.0</v>
      </c>
      <c r="F2344" s="21" t="s">
        <v>1015</v>
      </c>
      <c r="G2344" s="15">
        <v>0.010603873908089746</v>
      </c>
      <c r="H2344" s="11" t="s">
        <v>33</v>
      </c>
      <c r="I2344" s="16">
        <v>4.008</v>
      </c>
      <c r="J2344" s="11" t="s">
        <v>293</v>
      </c>
      <c r="K2344" s="11" t="s">
        <v>65</v>
      </c>
      <c r="L2344" s="11" t="s">
        <v>36</v>
      </c>
      <c r="M2344" s="11" t="s">
        <v>28</v>
      </c>
      <c r="N2344" s="11" t="s">
        <v>42</v>
      </c>
      <c r="O2344" s="11" t="s">
        <v>1547</v>
      </c>
      <c r="P2344" s="11" t="s">
        <v>38</v>
      </c>
      <c r="Q2344" s="20">
        <v>40214.0</v>
      </c>
      <c r="R2344" s="17">
        <f t="shared" si="2"/>
        <v>2.762393984</v>
      </c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>
        <f t="shared" si="8"/>
        <v>2</v>
      </c>
      <c r="AF2344" s="19">
        <f t="shared" si="13"/>
        <v>5</v>
      </c>
      <c r="AG2344" s="9"/>
      <c r="AH2344" s="9"/>
      <c r="AI2344" s="9"/>
    </row>
    <row r="2345" ht="15.0" customHeight="1">
      <c r="A2345" s="11">
        <v>2344.0</v>
      </c>
      <c r="B2345" s="12">
        <f t="shared" si="378"/>
        <v>40213</v>
      </c>
      <c r="C2345" s="13">
        <v>2010.0</v>
      </c>
      <c r="D2345" s="11" t="s">
        <v>39</v>
      </c>
      <c r="E2345" s="11">
        <v>6.0</v>
      </c>
      <c r="F2345" s="21" t="s">
        <v>297</v>
      </c>
      <c r="G2345" s="15">
        <v>0.06641509433962259</v>
      </c>
      <c r="H2345" s="11" t="s">
        <v>33</v>
      </c>
      <c r="I2345" s="16">
        <v>2.9760000000000004</v>
      </c>
      <c r="J2345" s="11" t="s">
        <v>293</v>
      </c>
      <c r="K2345" s="11" t="s">
        <v>65</v>
      </c>
      <c r="L2345" s="11" t="s">
        <v>36</v>
      </c>
      <c r="M2345" s="11" t="s">
        <v>49</v>
      </c>
      <c r="N2345" s="11" t="s">
        <v>73</v>
      </c>
      <c r="O2345" s="11" t="s">
        <v>2178</v>
      </c>
      <c r="P2345" s="11" t="s">
        <v>99</v>
      </c>
      <c r="Q2345" s="20">
        <v>40214.0</v>
      </c>
      <c r="R2345" s="17">
        <f t="shared" si="2"/>
        <v>3.943462642</v>
      </c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>
        <f t="shared" si="8"/>
        <v>2</v>
      </c>
      <c r="AF2345" s="19">
        <f t="shared" si="13"/>
        <v>5</v>
      </c>
      <c r="AG2345" s="9"/>
      <c r="AH2345" s="9"/>
      <c r="AI2345" s="9"/>
    </row>
    <row r="2346" ht="15.0" customHeight="1">
      <c r="A2346" s="11">
        <v>2345.0</v>
      </c>
      <c r="B2346" s="12">
        <f t="shared" si="378"/>
        <v>40213</v>
      </c>
      <c r="C2346" s="13">
        <v>2010.0</v>
      </c>
      <c r="D2346" s="11" t="s">
        <v>39</v>
      </c>
      <c r="E2346" s="11">
        <v>12.0</v>
      </c>
      <c r="F2346" s="21" t="s">
        <v>1544</v>
      </c>
      <c r="G2346" s="15">
        <v>0.04016029494269451</v>
      </c>
      <c r="H2346" s="11" t="s">
        <v>33</v>
      </c>
      <c r="I2346" s="16">
        <v>7.192</v>
      </c>
      <c r="J2346" s="11" t="s">
        <v>293</v>
      </c>
      <c r="K2346" s="11" t="s">
        <v>65</v>
      </c>
      <c r="L2346" s="11" t="s">
        <v>36</v>
      </c>
      <c r="M2346" s="11" t="s">
        <v>49</v>
      </c>
      <c r="N2346" s="11" t="s">
        <v>73</v>
      </c>
      <c r="O2346" s="11" t="s">
        <v>1545</v>
      </c>
      <c r="P2346" s="11" t="s">
        <v>99</v>
      </c>
      <c r="Q2346" s="20">
        <v>40215.0</v>
      </c>
      <c r="R2346" s="17">
        <f t="shared" si="2"/>
        <v>48.09564794</v>
      </c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>
        <f t="shared" si="8"/>
        <v>2</v>
      </c>
      <c r="AF2346" s="19">
        <f t="shared" si="13"/>
        <v>5</v>
      </c>
      <c r="AG2346" s="9"/>
      <c r="AH2346" s="9"/>
      <c r="AI2346" s="9"/>
    </row>
    <row r="2347" ht="15.0" customHeight="1">
      <c r="A2347" s="11">
        <v>2346.0</v>
      </c>
      <c r="B2347" s="12">
        <f t="shared" si="378"/>
        <v>40213</v>
      </c>
      <c r="C2347" s="13">
        <v>2010.0</v>
      </c>
      <c r="D2347" s="11" t="s">
        <v>39</v>
      </c>
      <c r="E2347" s="11">
        <v>9.0</v>
      </c>
      <c r="F2347" s="21" t="s">
        <v>93</v>
      </c>
      <c r="G2347" s="15">
        <v>0.029694555112881865</v>
      </c>
      <c r="H2347" s="11" t="s">
        <v>33</v>
      </c>
      <c r="I2347" s="16">
        <v>4.664000000000001</v>
      </c>
      <c r="J2347" s="11" t="s">
        <v>293</v>
      </c>
      <c r="K2347" s="11" t="s">
        <v>65</v>
      </c>
      <c r="L2347" s="11" t="s">
        <v>36</v>
      </c>
      <c r="M2347" s="11" t="s">
        <v>28</v>
      </c>
      <c r="N2347" s="11" t="s">
        <v>56</v>
      </c>
      <c r="O2347" s="11" t="s">
        <v>95</v>
      </c>
      <c r="P2347" s="11" t="s">
        <v>58</v>
      </c>
      <c r="Q2347" s="20">
        <v>40215.0</v>
      </c>
      <c r="R2347" s="17">
        <f t="shared" si="2"/>
        <v>2.169602975</v>
      </c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>
        <f t="shared" si="8"/>
        <v>2</v>
      </c>
      <c r="AF2347" s="19">
        <f t="shared" si="13"/>
        <v>5</v>
      </c>
      <c r="AG2347" s="9"/>
      <c r="AH2347" s="9"/>
      <c r="AI2347" s="9"/>
    </row>
    <row r="2348" ht="15.0" customHeight="1">
      <c r="A2348" s="11">
        <v>2347.0</v>
      </c>
      <c r="B2348" s="12">
        <f t="shared" si="378"/>
        <v>40213</v>
      </c>
      <c r="C2348" s="13">
        <v>2010.0</v>
      </c>
      <c r="D2348" s="11" t="s">
        <v>39</v>
      </c>
      <c r="E2348" s="11">
        <v>7.0</v>
      </c>
      <c r="F2348" s="21" t="s">
        <v>178</v>
      </c>
      <c r="G2348" s="15">
        <v>0.08283627978478073</v>
      </c>
      <c r="H2348" s="11" t="s">
        <v>33</v>
      </c>
      <c r="I2348" s="16">
        <v>15.991999999999999</v>
      </c>
      <c r="J2348" s="11" t="s">
        <v>293</v>
      </c>
      <c r="K2348" s="11" t="s">
        <v>65</v>
      </c>
      <c r="L2348" s="11" t="s">
        <v>36</v>
      </c>
      <c r="M2348" s="11" t="s">
        <v>66</v>
      </c>
      <c r="N2348" s="11" t="s">
        <v>80</v>
      </c>
      <c r="O2348" s="11" t="s">
        <v>2115</v>
      </c>
      <c r="P2348" s="11" t="s">
        <v>38</v>
      </c>
      <c r="Q2348" s="20">
        <v>40215.0</v>
      </c>
      <c r="R2348" s="17">
        <f t="shared" si="2"/>
        <v>39.53709365</v>
      </c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>
        <f t="shared" si="8"/>
        <v>2</v>
      </c>
      <c r="AF2348" s="19">
        <f t="shared" si="13"/>
        <v>5</v>
      </c>
      <c r="AG2348" s="9"/>
      <c r="AH2348" s="9"/>
      <c r="AI2348" s="9"/>
    </row>
    <row r="2349" ht="15.0" customHeight="1">
      <c r="A2349" s="11">
        <v>2348.0</v>
      </c>
      <c r="B2349" s="12">
        <f t="shared" si="378"/>
        <v>40213</v>
      </c>
      <c r="C2349" s="13">
        <v>2010.0</v>
      </c>
      <c r="D2349" s="11" t="s">
        <v>39</v>
      </c>
      <c r="E2349" s="11">
        <v>3.0</v>
      </c>
      <c r="F2349" s="21" t="s">
        <v>126</v>
      </c>
      <c r="G2349" s="15">
        <v>0.075</v>
      </c>
      <c r="H2349" s="11" t="s">
        <v>33</v>
      </c>
      <c r="I2349" s="16">
        <v>3.8000000000000003</v>
      </c>
      <c r="J2349" s="11" t="s">
        <v>159</v>
      </c>
      <c r="K2349" s="11" t="s">
        <v>83</v>
      </c>
      <c r="L2349" s="11" t="s">
        <v>48</v>
      </c>
      <c r="M2349" s="11" t="s">
        <v>28</v>
      </c>
      <c r="N2349" s="11" t="s">
        <v>56</v>
      </c>
      <c r="O2349" s="11" t="s">
        <v>313</v>
      </c>
      <c r="P2349" s="11" t="s">
        <v>38</v>
      </c>
      <c r="Q2349" s="20">
        <v>40215.0</v>
      </c>
      <c r="R2349" s="17">
        <f t="shared" si="2"/>
        <v>1.3875</v>
      </c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>
        <f t="shared" si="8"/>
        <v>4</v>
      </c>
      <c r="AF2349" s="19" t="b">
        <f t="shared" si="13"/>
        <v>0</v>
      </c>
      <c r="AG2349" s="9"/>
      <c r="AH2349" s="9"/>
      <c r="AI2349" s="9"/>
    </row>
    <row r="2350" ht="15.0" customHeight="1">
      <c r="A2350" s="11">
        <v>2349.0</v>
      </c>
      <c r="B2350" s="12">
        <f t="shared" si="378"/>
        <v>40213</v>
      </c>
      <c r="C2350" s="13">
        <v>2010.0</v>
      </c>
      <c r="D2350" s="11" t="s">
        <v>23</v>
      </c>
      <c r="E2350" s="11">
        <v>25.0</v>
      </c>
      <c r="F2350" s="21" t="s">
        <v>1894</v>
      </c>
      <c r="G2350" s="15">
        <v>0.033607085346215836</v>
      </c>
      <c r="H2350" s="11" t="s">
        <v>33</v>
      </c>
      <c r="I2350" s="16">
        <v>5.104</v>
      </c>
      <c r="J2350" s="11" t="s">
        <v>1145</v>
      </c>
      <c r="K2350" s="11" t="s">
        <v>65</v>
      </c>
      <c r="L2350" s="11" t="s">
        <v>48</v>
      </c>
      <c r="M2350" s="11" t="s">
        <v>49</v>
      </c>
      <c r="N2350" s="11" t="s">
        <v>73</v>
      </c>
      <c r="O2350" s="11" t="s">
        <v>1895</v>
      </c>
      <c r="P2350" s="11" t="s">
        <v>38</v>
      </c>
      <c r="Q2350" s="20">
        <v>40215.0</v>
      </c>
      <c r="R2350" s="17">
        <f t="shared" si="2"/>
        <v>16.1348961</v>
      </c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>
        <f t="shared" si="8"/>
        <v>4</v>
      </c>
      <c r="AF2350" s="19">
        <f t="shared" si="13"/>
        <v>5</v>
      </c>
      <c r="AG2350" s="9"/>
      <c r="AH2350" s="9"/>
      <c r="AI2350" s="9"/>
    </row>
    <row r="2351" ht="15.0" customHeight="1">
      <c r="A2351" s="11">
        <v>2350.0</v>
      </c>
      <c r="B2351" s="12">
        <f t="shared" si="378"/>
        <v>40213</v>
      </c>
      <c r="C2351" s="13">
        <v>2010.0</v>
      </c>
      <c r="D2351" s="11" t="s">
        <v>23</v>
      </c>
      <c r="E2351" s="11">
        <v>28.0</v>
      </c>
      <c r="F2351" s="21" t="s">
        <v>1043</v>
      </c>
      <c r="G2351" s="15">
        <v>0.058597455014294475</v>
      </c>
      <c r="H2351" s="11" t="s">
        <v>33</v>
      </c>
      <c r="I2351" s="16">
        <v>7.768000000000001</v>
      </c>
      <c r="J2351" s="11" t="s">
        <v>1145</v>
      </c>
      <c r="K2351" s="11" t="s">
        <v>65</v>
      </c>
      <c r="L2351" s="11" t="s">
        <v>48</v>
      </c>
      <c r="M2351" s="11" t="s">
        <v>28</v>
      </c>
      <c r="N2351" s="11" t="s">
        <v>29</v>
      </c>
      <c r="O2351" s="11" t="s">
        <v>1044</v>
      </c>
      <c r="P2351" s="11" t="s">
        <v>38</v>
      </c>
      <c r="Q2351" s="20">
        <v>40216.0</v>
      </c>
      <c r="R2351" s="17">
        <f t="shared" si="2"/>
        <v>98.40669083</v>
      </c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>
        <f t="shared" si="8"/>
        <v>4</v>
      </c>
      <c r="AF2351" s="19">
        <f t="shared" si="13"/>
        <v>5</v>
      </c>
      <c r="AG2351" s="9"/>
      <c r="AH2351" s="9"/>
      <c r="AI2351" s="9"/>
    </row>
    <row r="2352" ht="15.0" customHeight="1">
      <c r="A2352" s="11">
        <v>2351.0</v>
      </c>
      <c r="B2352" s="12">
        <f t="shared" ref="B2352:B2354" si="379">DATE(2012,12,31)-1060</f>
        <v>40214</v>
      </c>
      <c r="C2352" s="13">
        <v>2010.0</v>
      </c>
      <c r="D2352" s="11" t="s">
        <v>102</v>
      </c>
      <c r="E2352" s="11">
        <v>14.0</v>
      </c>
      <c r="F2352" s="21" t="s">
        <v>105</v>
      </c>
      <c r="G2352" s="15">
        <v>0.09167293420746109</v>
      </c>
      <c r="H2352" s="11" t="s">
        <v>33</v>
      </c>
      <c r="I2352" s="16">
        <v>9.232</v>
      </c>
      <c r="J2352" s="11" t="s">
        <v>1448</v>
      </c>
      <c r="K2352" s="11" t="s">
        <v>61</v>
      </c>
      <c r="L2352" s="11" t="s">
        <v>27</v>
      </c>
      <c r="M2352" s="11" t="s">
        <v>49</v>
      </c>
      <c r="N2352" s="11" t="s">
        <v>73</v>
      </c>
      <c r="O2352" s="11" t="s">
        <v>107</v>
      </c>
      <c r="P2352" s="11" t="s">
        <v>31</v>
      </c>
      <c r="Q2352" s="20">
        <v>40216.0</v>
      </c>
      <c r="R2352" s="17">
        <f t="shared" si="2"/>
        <v>250.2150402</v>
      </c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>
        <f t="shared" si="8"/>
        <v>1</v>
      </c>
      <c r="AF2352" s="19">
        <f t="shared" si="13"/>
        <v>4</v>
      </c>
      <c r="AG2352" s="9"/>
      <c r="AH2352" s="9"/>
      <c r="AI2352" s="9"/>
    </row>
    <row r="2353" ht="15.0" customHeight="1">
      <c r="A2353" s="11">
        <v>2352.0</v>
      </c>
      <c r="B2353" s="12">
        <f t="shared" si="379"/>
        <v>40214</v>
      </c>
      <c r="C2353" s="13">
        <v>2010.0</v>
      </c>
      <c r="D2353" s="11" t="s">
        <v>23</v>
      </c>
      <c r="E2353" s="11">
        <v>39.0</v>
      </c>
      <c r="F2353" s="21" t="s">
        <v>377</v>
      </c>
      <c r="G2353" s="15">
        <v>0.03926991150442485</v>
      </c>
      <c r="H2353" s="11" t="s">
        <v>33</v>
      </c>
      <c r="I2353" s="16">
        <v>3.6</v>
      </c>
      <c r="J2353" s="11" t="s">
        <v>1857</v>
      </c>
      <c r="K2353" s="11" t="s">
        <v>61</v>
      </c>
      <c r="L2353" s="11" t="s">
        <v>27</v>
      </c>
      <c r="M2353" s="11" t="s">
        <v>28</v>
      </c>
      <c r="N2353" s="11" t="s">
        <v>197</v>
      </c>
      <c r="O2353" s="11" t="s">
        <v>2179</v>
      </c>
      <c r="P2353" s="11" t="s">
        <v>38</v>
      </c>
      <c r="Q2353" s="20">
        <v>40216.0</v>
      </c>
      <c r="R2353" s="17">
        <f t="shared" si="2"/>
        <v>75.03301991</v>
      </c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>
        <f t="shared" si="8"/>
        <v>1</v>
      </c>
      <c r="AF2353" s="19">
        <f t="shared" si="13"/>
        <v>4</v>
      </c>
      <c r="AG2353" s="9"/>
      <c r="AH2353" s="9"/>
      <c r="AI2353" s="9"/>
    </row>
    <row r="2354" ht="15.0" customHeight="1">
      <c r="A2354" s="11">
        <v>2353.0</v>
      </c>
      <c r="B2354" s="12">
        <f t="shared" si="379"/>
        <v>40214</v>
      </c>
      <c r="C2354" s="13">
        <v>2010.0</v>
      </c>
      <c r="D2354" s="11" t="s">
        <v>23</v>
      </c>
      <c r="E2354" s="11">
        <v>2.0</v>
      </c>
      <c r="F2354" s="21" t="s">
        <v>322</v>
      </c>
      <c r="G2354" s="15">
        <v>0.06258373205741627</v>
      </c>
      <c r="H2354" s="11" t="s">
        <v>33</v>
      </c>
      <c r="I2354" s="16">
        <v>2.3920000000000003</v>
      </c>
      <c r="J2354" s="11" t="s">
        <v>1857</v>
      </c>
      <c r="K2354" s="11" t="s">
        <v>61</v>
      </c>
      <c r="L2354" s="11" t="s">
        <v>27</v>
      </c>
      <c r="M2354" s="11" t="s">
        <v>28</v>
      </c>
      <c r="N2354" s="11" t="s">
        <v>42</v>
      </c>
      <c r="O2354" s="11" t="s">
        <v>2146</v>
      </c>
      <c r="P2354" s="11" t="s">
        <v>38</v>
      </c>
      <c r="Q2354" s="20">
        <v>40216.0</v>
      </c>
      <c r="R2354" s="17">
        <f t="shared" si="2"/>
        <v>1.226140478</v>
      </c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>
        <f t="shared" si="8"/>
        <v>1</v>
      </c>
      <c r="AF2354" s="19">
        <f t="shared" si="13"/>
        <v>4</v>
      </c>
      <c r="AG2354" s="9"/>
      <c r="AH2354" s="9"/>
      <c r="AI2354" s="9"/>
    </row>
    <row r="2355" ht="15.0" customHeight="1">
      <c r="A2355" s="11">
        <v>2354.0</v>
      </c>
      <c r="B2355" s="12">
        <f t="shared" ref="B2355:B2363" si="380">DATE(2012,12,31)-1059</f>
        <v>40215</v>
      </c>
      <c r="C2355" s="13">
        <v>2010.0</v>
      </c>
      <c r="D2355" s="11" t="s">
        <v>44</v>
      </c>
      <c r="E2355" s="11">
        <v>27.0</v>
      </c>
      <c r="F2355" s="21" t="s">
        <v>1207</v>
      </c>
      <c r="G2355" s="15">
        <v>0.030727305041568644</v>
      </c>
      <c r="H2355" s="11" t="s">
        <v>45</v>
      </c>
      <c r="I2355" s="16">
        <v>24.0</v>
      </c>
      <c r="J2355" s="11" t="s">
        <v>2180</v>
      </c>
      <c r="K2355" s="11" t="s">
        <v>61</v>
      </c>
      <c r="L2355" s="11" t="s">
        <v>36</v>
      </c>
      <c r="M2355" s="11" t="s">
        <v>49</v>
      </c>
      <c r="N2355" s="11" t="s">
        <v>50</v>
      </c>
      <c r="O2355" s="11" t="s">
        <v>1677</v>
      </c>
      <c r="P2355" s="11" t="s">
        <v>52</v>
      </c>
      <c r="Q2355" s="20">
        <v>40216.0</v>
      </c>
      <c r="R2355" s="17">
        <f t="shared" si="2"/>
        <v>150.8188313</v>
      </c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>
        <f t="shared" si="8"/>
        <v>2</v>
      </c>
      <c r="AF2355" s="19">
        <f t="shared" si="13"/>
        <v>4</v>
      </c>
      <c r="AG2355" s="9"/>
      <c r="AH2355" s="9"/>
      <c r="AI2355" s="9"/>
    </row>
    <row r="2356" ht="15.0" customHeight="1">
      <c r="A2356" s="11">
        <v>2355.0</v>
      </c>
      <c r="B2356" s="12">
        <f t="shared" si="380"/>
        <v>40215</v>
      </c>
      <c r="C2356" s="13">
        <v>2010.0</v>
      </c>
      <c r="D2356" s="11" t="s">
        <v>39</v>
      </c>
      <c r="E2356" s="11">
        <v>42.0</v>
      </c>
      <c r="F2356" s="21" t="s">
        <v>126</v>
      </c>
      <c r="G2356" s="15">
        <v>0.019418931583880063</v>
      </c>
      <c r="H2356" s="11" t="s">
        <v>24</v>
      </c>
      <c r="I2356" s="16">
        <v>3.4560000000000004</v>
      </c>
      <c r="J2356" s="11" t="s">
        <v>1586</v>
      </c>
      <c r="K2356" s="11" t="s">
        <v>65</v>
      </c>
      <c r="L2356" s="11" t="s">
        <v>27</v>
      </c>
      <c r="M2356" s="11" t="s">
        <v>66</v>
      </c>
      <c r="N2356" s="11" t="s">
        <v>67</v>
      </c>
      <c r="O2356" s="11" t="s">
        <v>2181</v>
      </c>
      <c r="P2356" s="11" t="s">
        <v>99</v>
      </c>
      <c r="Q2356" s="20">
        <v>40216.0</v>
      </c>
      <c r="R2356" s="17">
        <f t="shared" si="2"/>
        <v>4.063527948</v>
      </c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>
        <f t="shared" si="8"/>
        <v>1</v>
      </c>
      <c r="AF2356" s="19">
        <f t="shared" si="13"/>
        <v>5</v>
      </c>
      <c r="AG2356" s="9"/>
      <c r="AH2356" s="9"/>
      <c r="AI2356" s="9"/>
    </row>
    <row r="2357" ht="15.0" customHeight="1">
      <c r="A2357" s="11">
        <v>2356.0</v>
      </c>
      <c r="B2357" s="12">
        <f t="shared" si="380"/>
        <v>40215</v>
      </c>
      <c r="C2357" s="13">
        <v>2010.0</v>
      </c>
      <c r="D2357" s="11" t="s">
        <v>39</v>
      </c>
      <c r="E2357" s="11">
        <v>29.0</v>
      </c>
      <c r="F2357" s="21" t="s">
        <v>270</v>
      </c>
      <c r="G2357" s="15">
        <v>0.0682049276495894</v>
      </c>
      <c r="H2357" s="11" t="s">
        <v>33</v>
      </c>
      <c r="I2357" s="16">
        <v>5.2</v>
      </c>
      <c r="J2357" s="11" t="s">
        <v>1586</v>
      </c>
      <c r="K2357" s="11" t="s">
        <v>65</v>
      </c>
      <c r="L2357" s="11" t="s">
        <v>27</v>
      </c>
      <c r="M2357" s="11" t="s">
        <v>66</v>
      </c>
      <c r="N2357" s="11" t="s">
        <v>67</v>
      </c>
      <c r="O2357" s="11" t="s">
        <v>272</v>
      </c>
      <c r="P2357" s="11" t="s">
        <v>38</v>
      </c>
      <c r="Q2357" s="20">
        <v>40216.0</v>
      </c>
      <c r="R2357" s="17">
        <f t="shared" si="2"/>
        <v>81.25253031</v>
      </c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>
        <f t="shared" si="8"/>
        <v>1</v>
      </c>
      <c r="AF2357" s="19">
        <f t="shared" si="13"/>
        <v>5</v>
      </c>
      <c r="AG2357" s="9"/>
      <c r="AH2357" s="9"/>
      <c r="AI2357" s="9"/>
    </row>
    <row r="2358" ht="15.0" customHeight="1">
      <c r="A2358" s="11">
        <v>2357.0</v>
      </c>
      <c r="B2358" s="12">
        <f t="shared" si="380"/>
        <v>40215</v>
      </c>
      <c r="C2358" s="13">
        <v>2010.0</v>
      </c>
      <c r="D2358" s="11" t="s">
        <v>39</v>
      </c>
      <c r="E2358" s="11">
        <v>43.0</v>
      </c>
      <c r="F2358" s="21" t="s">
        <v>210</v>
      </c>
      <c r="G2358" s="15">
        <v>0.013703382480485676</v>
      </c>
      <c r="H2358" s="11" t="s">
        <v>33</v>
      </c>
      <c r="I2358" s="16">
        <v>1.92</v>
      </c>
      <c r="J2358" s="11" t="s">
        <v>1586</v>
      </c>
      <c r="K2358" s="11" t="s">
        <v>65</v>
      </c>
      <c r="L2358" s="11" t="s">
        <v>27</v>
      </c>
      <c r="M2358" s="11" t="s">
        <v>28</v>
      </c>
      <c r="N2358" s="11" t="s">
        <v>62</v>
      </c>
      <c r="O2358" s="11" t="s">
        <v>212</v>
      </c>
      <c r="P2358" s="11" t="s">
        <v>58</v>
      </c>
      <c r="Q2358" s="20">
        <v>40216.0</v>
      </c>
      <c r="R2358" s="17">
        <f t="shared" si="2"/>
        <v>1.558348656</v>
      </c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>
        <f t="shared" si="8"/>
        <v>1</v>
      </c>
      <c r="AF2358" s="19">
        <f t="shared" si="13"/>
        <v>5</v>
      </c>
      <c r="AG2358" s="9"/>
      <c r="AH2358" s="9"/>
      <c r="AI2358" s="9"/>
    </row>
    <row r="2359" ht="15.0" customHeight="1">
      <c r="A2359" s="11">
        <v>2358.0</v>
      </c>
      <c r="B2359" s="12">
        <f t="shared" si="380"/>
        <v>40215</v>
      </c>
      <c r="C2359" s="13">
        <v>2010.0</v>
      </c>
      <c r="D2359" s="11" t="s">
        <v>23</v>
      </c>
      <c r="E2359" s="11">
        <v>4.0</v>
      </c>
      <c r="F2359" s="21" t="s">
        <v>619</v>
      </c>
      <c r="G2359" s="15">
        <v>0.07648964218455741</v>
      </c>
      <c r="H2359" s="11" t="s">
        <v>33</v>
      </c>
      <c r="I2359" s="16">
        <v>1.592</v>
      </c>
      <c r="J2359" s="11" t="s">
        <v>2140</v>
      </c>
      <c r="K2359" s="11" t="s">
        <v>117</v>
      </c>
      <c r="L2359" s="11" t="s">
        <v>48</v>
      </c>
      <c r="M2359" s="11" t="s">
        <v>66</v>
      </c>
      <c r="N2359" s="11" t="s">
        <v>67</v>
      </c>
      <c r="O2359" s="11" t="s">
        <v>1669</v>
      </c>
      <c r="P2359" s="11" t="s">
        <v>99</v>
      </c>
      <c r="Q2359" s="20">
        <v>40217.0</v>
      </c>
      <c r="R2359" s="17">
        <f t="shared" si="2"/>
        <v>18.75464835</v>
      </c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>
        <f t="shared" si="8"/>
        <v>4</v>
      </c>
      <c r="AF2359" s="19" t="b">
        <f t="shared" si="13"/>
        <v>0</v>
      </c>
      <c r="AG2359" s="9"/>
      <c r="AH2359" s="9"/>
      <c r="AI2359" s="9"/>
    </row>
    <row r="2360" ht="15.0" customHeight="1">
      <c r="A2360" s="11">
        <v>2359.0</v>
      </c>
      <c r="B2360" s="12">
        <f t="shared" si="380"/>
        <v>40215</v>
      </c>
      <c r="C2360" s="13">
        <v>2010.0</v>
      </c>
      <c r="D2360" s="11" t="s">
        <v>23</v>
      </c>
      <c r="E2360" s="11">
        <v>25.0</v>
      </c>
      <c r="F2360" s="21" t="s">
        <v>1184</v>
      </c>
      <c r="G2360" s="15">
        <v>0.026416269497400318</v>
      </c>
      <c r="H2360" s="11" t="s">
        <v>33</v>
      </c>
      <c r="I2360" s="16">
        <v>5.312</v>
      </c>
      <c r="J2360" s="11" t="s">
        <v>2140</v>
      </c>
      <c r="K2360" s="11" t="s">
        <v>117</v>
      </c>
      <c r="L2360" s="11" t="s">
        <v>48</v>
      </c>
      <c r="M2360" s="11" t="s">
        <v>28</v>
      </c>
      <c r="N2360" s="11" t="s">
        <v>29</v>
      </c>
      <c r="O2360" s="11" t="s">
        <v>1186</v>
      </c>
      <c r="P2360" s="11" t="s">
        <v>38</v>
      </c>
      <c r="Q2360" s="20">
        <v>40217.0</v>
      </c>
      <c r="R2360" s="17">
        <f t="shared" si="2"/>
        <v>19.75440333</v>
      </c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>
        <f t="shared" si="8"/>
        <v>4</v>
      </c>
      <c r="AF2360" s="19" t="b">
        <f t="shared" si="13"/>
        <v>0</v>
      </c>
      <c r="AG2360" s="9"/>
      <c r="AH2360" s="9"/>
      <c r="AI2360" s="9"/>
    </row>
    <row r="2361" ht="15.0" customHeight="1">
      <c r="A2361" s="11">
        <v>2360.0</v>
      </c>
      <c r="B2361" s="12">
        <f t="shared" si="380"/>
        <v>40215</v>
      </c>
      <c r="C2361" s="13">
        <v>2010.0</v>
      </c>
      <c r="D2361" s="11" t="s">
        <v>23</v>
      </c>
      <c r="E2361" s="11">
        <v>4.0</v>
      </c>
      <c r="F2361" s="21" t="s">
        <v>610</v>
      </c>
      <c r="G2361" s="15">
        <v>0.09070811744386878</v>
      </c>
      <c r="H2361" s="11" t="s">
        <v>24</v>
      </c>
      <c r="I2361" s="16">
        <v>3.848</v>
      </c>
      <c r="J2361" s="11" t="s">
        <v>2140</v>
      </c>
      <c r="K2361" s="11" t="s">
        <v>117</v>
      </c>
      <c r="L2361" s="11" t="s">
        <v>48</v>
      </c>
      <c r="M2361" s="11" t="s">
        <v>28</v>
      </c>
      <c r="N2361" s="11" t="s">
        <v>29</v>
      </c>
      <c r="O2361" s="11" t="s">
        <v>2147</v>
      </c>
      <c r="P2361" s="11" t="s">
        <v>38</v>
      </c>
      <c r="Q2361" s="20">
        <v>40217.0</v>
      </c>
      <c r="R2361" s="17">
        <f t="shared" si="2"/>
        <v>4.775600967</v>
      </c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>
        <f t="shared" si="8"/>
        <v>4</v>
      </c>
      <c r="AF2361" s="19" t="b">
        <f t="shared" si="13"/>
        <v>0</v>
      </c>
      <c r="AG2361" s="9"/>
      <c r="AH2361" s="9"/>
      <c r="AI2361" s="9"/>
    </row>
    <row r="2362" ht="15.0" customHeight="1">
      <c r="A2362" s="11">
        <v>2361.0</v>
      </c>
      <c r="B2362" s="12">
        <f t="shared" si="380"/>
        <v>40215</v>
      </c>
      <c r="C2362" s="13">
        <v>2010.0</v>
      </c>
      <c r="D2362" s="11" t="s">
        <v>44</v>
      </c>
      <c r="E2362" s="11">
        <v>15.0</v>
      </c>
      <c r="F2362" s="21" t="s">
        <v>869</v>
      </c>
      <c r="G2362" s="15">
        <v>0.06674862597627998</v>
      </c>
      <c r="H2362" s="11" t="s">
        <v>24</v>
      </c>
      <c r="I2362" s="16">
        <v>2.0</v>
      </c>
      <c r="J2362" s="11" t="s">
        <v>1930</v>
      </c>
      <c r="K2362" s="11" t="s">
        <v>117</v>
      </c>
      <c r="L2362" s="11" t="s">
        <v>41</v>
      </c>
      <c r="M2362" s="11" t="s">
        <v>66</v>
      </c>
      <c r="N2362" s="11" t="s">
        <v>80</v>
      </c>
      <c r="O2362" s="11" t="s">
        <v>2182</v>
      </c>
      <c r="P2362" s="11" t="s">
        <v>38</v>
      </c>
      <c r="Q2362" s="20">
        <v>40217.0</v>
      </c>
      <c r="R2362" s="17">
        <f t="shared" si="2"/>
        <v>86.13910182</v>
      </c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>
        <f t="shared" si="8"/>
        <v>3</v>
      </c>
      <c r="AF2362" s="19" t="b">
        <f t="shared" si="13"/>
        <v>0</v>
      </c>
      <c r="AG2362" s="9"/>
      <c r="AH2362" s="9"/>
      <c r="AI2362" s="9"/>
    </row>
    <row r="2363" ht="15.0" customHeight="1">
      <c r="A2363" s="11">
        <v>2362.0</v>
      </c>
      <c r="B2363" s="12">
        <f t="shared" si="380"/>
        <v>40215</v>
      </c>
      <c r="C2363" s="13">
        <v>2010.0</v>
      </c>
      <c r="D2363" s="11" t="s">
        <v>23</v>
      </c>
      <c r="E2363" s="11">
        <v>21.0</v>
      </c>
      <c r="F2363" s="21" t="s">
        <v>1091</v>
      </c>
      <c r="G2363" s="15">
        <v>0.03609161912168994</v>
      </c>
      <c r="H2363" s="11" t="s">
        <v>33</v>
      </c>
      <c r="I2363" s="16">
        <v>3.936</v>
      </c>
      <c r="J2363" s="11" t="s">
        <v>2183</v>
      </c>
      <c r="K2363" s="11" t="s">
        <v>117</v>
      </c>
      <c r="L2363" s="11" t="s">
        <v>36</v>
      </c>
      <c r="M2363" s="11" t="s">
        <v>28</v>
      </c>
      <c r="N2363" s="11" t="s">
        <v>56</v>
      </c>
      <c r="O2363" s="11" t="s">
        <v>2184</v>
      </c>
      <c r="P2363" s="11" t="s">
        <v>38</v>
      </c>
      <c r="Q2363" s="20">
        <v>40217.0</v>
      </c>
      <c r="R2363" s="17">
        <f t="shared" si="2"/>
        <v>26.97256627</v>
      </c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>
        <f t="shared" si="8"/>
        <v>2</v>
      </c>
      <c r="AF2363" s="19" t="b">
        <f t="shared" si="13"/>
        <v>0</v>
      </c>
      <c r="AG2363" s="9"/>
      <c r="AH2363" s="9"/>
      <c r="AI2363" s="9"/>
    </row>
    <row r="2364" ht="15.0" customHeight="1">
      <c r="A2364" s="11">
        <v>2363.0</v>
      </c>
      <c r="B2364" s="12">
        <f t="shared" ref="B2364:B2369" si="381">DATE(2012,12,31)-1058</f>
        <v>40216</v>
      </c>
      <c r="C2364" s="13">
        <v>2010.0</v>
      </c>
      <c r="D2364" s="11" t="s">
        <v>39</v>
      </c>
      <c r="E2364" s="11">
        <v>10.0</v>
      </c>
      <c r="F2364" s="21" t="s">
        <v>242</v>
      </c>
      <c r="G2364" s="15">
        <v>0.05548687443424273</v>
      </c>
      <c r="H2364" s="11" t="s">
        <v>45</v>
      </c>
      <c r="I2364" s="16">
        <v>21.392</v>
      </c>
      <c r="J2364" s="11" t="s">
        <v>2079</v>
      </c>
      <c r="K2364" s="11" t="s">
        <v>61</v>
      </c>
      <c r="L2364" s="11" t="s">
        <v>48</v>
      </c>
      <c r="M2364" s="11" t="s">
        <v>49</v>
      </c>
      <c r="N2364" s="11" t="s">
        <v>156</v>
      </c>
      <c r="O2364" s="11" t="s">
        <v>1909</v>
      </c>
      <c r="P2364" s="11" t="s">
        <v>87</v>
      </c>
      <c r="Q2364" s="20">
        <v>40217.0</v>
      </c>
      <c r="R2364" s="17">
        <f t="shared" si="2"/>
        <v>40.52716919</v>
      </c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>
        <f t="shared" si="8"/>
        <v>4</v>
      </c>
      <c r="AF2364" s="19">
        <f t="shared" si="13"/>
        <v>4</v>
      </c>
      <c r="AG2364" s="9"/>
      <c r="AH2364" s="9"/>
      <c r="AI2364" s="9"/>
    </row>
    <row r="2365" ht="15.0" customHeight="1">
      <c r="A2365" s="11">
        <v>2364.0</v>
      </c>
      <c r="B2365" s="12">
        <f t="shared" si="381"/>
        <v>40216</v>
      </c>
      <c r="C2365" s="13">
        <v>2010.0</v>
      </c>
      <c r="D2365" s="11" t="s">
        <v>102</v>
      </c>
      <c r="E2365" s="11">
        <v>42.0</v>
      </c>
      <c r="F2365" s="21" t="s">
        <v>290</v>
      </c>
      <c r="G2365" s="15">
        <v>0.06953020134228183</v>
      </c>
      <c r="H2365" s="11" t="s">
        <v>33</v>
      </c>
      <c r="I2365" s="16">
        <v>3.8320000000000003</v>
      </c>
      <c r="J2365" s="11" t="s">
        <v>1419</v>
      </c>
      <c r="K2365" s="11" t="s">
        <v>61</v>
      </c>
      <c r="L2365" s="11" t="s">
        <v>41</v>
      </c>
      <c r="M2365" s="11" t="s">
        <v>28</v>
      </c>
      <c r="N2365" s="11" t="s">
        <v>56</v>
      </c>
      <c r="O2365" s="11" t="s">
        <v>1012</v>
      </c>
      <c r="P2365" s="11" t="s">
        <v>38</v>
      </c>
      <c r="Q2365" s="20">
        <v>40217.0</v>
      </c>
      <c r="R2365" s="17">
        <f t="shared" si="2"/>
        <v>12.53156725</v>
      </c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>
        <f t="shared" si="8"/>
        <v>3</v>
      </c>
      <c r="AF2365" s="19">
        <f t="shared" si="13"/>
        <v>4</v>
      </c>
      <c r="AG2365" s="9"/>
      <c r="AH2365" s="9"/>
      <c r="AI2365" s="9"/>
    </row>
    <row r="2366" ht="15.0" customHeight="1">
      <c r="A2366" s="11">
        <v>2365.0</v>
      </c>
      <c r="B2366" s="12">
        <f t="shared" si="381"/>
        <v>40216</v>
      </c>
      <c r="C2366" s="13">
        <v>2010.0</v>
      </c>
      <c r="D2366" s="11" t="s">
        <v>39</v>
      </c>
      <c r="E2366" s="11">
        <v>21.0</v>
      </c>
      <c r="F2366" s="21" t="s">
        <v>126</v>
      </c>
      <c r="G2366" s="15">
        <v>0.07449447748513169</v>
      </c>
      <c r="H2366" s="11" t="s">
        <v>33</v>
      </c>
      <c r="I2366" s="16">
        <v>6.032</v>
      </c>
      <c r="J2366" s="11" t="s">
        <v>603</v>
      </c>
      <c r="K2366" s="11" t="s">
        <v>61</v>
      </c>
      <c r="L2366" s="11" t="s">
        <v>48</v>
      </c>
      <c r="M2366" s="11" t="s">
        <v>28</v>
      </c>
      <c r="N2366" s="11" t="s">
        <v>56</v>
      </c>
      <c r="O2366" s="11" t="s">
        <v>842</v>
      </c>
      <c r="P2366" s="11" t="s">
        <v>38</v>
      </c>
      <c r="Q2366" s="20">
        <v>40218.0</v>
      </c>
      <c r="R2366" s="17">
        <f t="shared" si="2"/>
        <v>8.114832421</v>
      </c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>
        <f t="shared" si="8"/>
        <v>4</v>
      </c>
      <c r="AF2366" s="19">
        <f t="shared" si="13"/>
        <v>4</v>
      </c>
      <c r="AG2366" s="9"/>
      <c r="AH2366" s="9"/>
      <c r="AI2366" s="9"/>
    </row>
    <row r="2367" ht="15.0" customHeight="1">
      <c r="A2367" s="11">
        <v>2366.0</v>
      </c>
      <c r="B2367" s="12">
        <f t="shared" si="381"/>
        <v>40216</v>
      </c>
      <c r="C2367" s="13">
        <v>2010.0</v>
      </c>
      <c r="D2367" s="11" t="s">
        <v>39</v>
      </c>
      <c r="E2367" s="11">
        <v>37.0</v>
      </c>
      <c r="F2367" s="21" t="s">
        <v>350</v>
      </c>
      <c r="G2367" s="15">
        <v>0.08771048430015965</v>
      </c>
      <c r="H2367" s="11" t="s">
        <v>33</v>
      </c>
      <c r="I2367" s="16">
        <v>13.496000000000002</v>
      </c>
      <c r="J2367" s="11" t="s">
        <v>603</v>
      </c>
      <c r="K2367" s="11" t="s">
        <v>61</v>
      </c>
      <c r="L2367" s="11" t="s">
        <v>48</v>
      </c>
      <c r="M2367" s="11" t="s">
        <v>28</v>
      </c>
      <c r="N2367" s="11" t="s">
        <v>56</v>
      </c>
      <c r="O2367" s="11" t="s">
        <v>1630</v>
      </c>
      <c r="P2367" s="11" t="s">
        <v>38</v>
      </c>
      <c r="Q2367" s="20">
        <v>40218.0</v>
      </c>
      <c r="R2367" s="17">
        <f t="shared" si="2"/>
        <v>75.17630525</v>
      </c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>
        <f t="shared" si="8"/>
        <v>4</v>
      </c>
      <c r="AF2367" s="19">
        <f t="shared" si="13"/>
        <v>4</v>
      </c>
      <c r="AG2367" s="9"/>
      <c r="AH2367" s="9"/>
      <c r="AI2367" s="9"/>
    </row>
    <row r="2368" ht="15.0" customHeight="1">
      <c r="A2368" s="11">
        <v>2367.0</v>
      </c>
      <c r="B2368" s="12">
        <f t="shared" si="381"/>
        <v>40216</v>
      </c>
      <c r="C2368" s="13">
        <v>2010.0</v>
      </c>
      <c r="D2368" s="11" t="s">
        <v>32</v>
      </c>
      <c r="E2368" s="11">
        <v>37.0</v>
      </c>
      <c r="F2368" s="21" t="s">
        <v>93</v>
      </c>
      <c r="G2368" s="15">
        <v>0.04712000000000008</v>
      </c>
      <c r="H2368" s="11" t="s">
        <v>24</v>
      </c>
      <c r="I2368" s="16">
        <v>4.664000000000001</v>
      </c>
      <c r="J2368" s="11" t="s">
        <v>1405</v>
      </c>
      <c r="K2368" s="11" t="s">
        <v>35</v>
      </c>
      <c r="L2368" s="11" t="s">
        <v>48</v>
      </c>
      <c r="M2368" s="11" t="s">
        <v>28</v>
      </c>
      <c r="N2368" s="11" t="s">
        <v>56</v>
      </c>
      <c r="O2368" s="11" t="s">
        <v>95</v>
      </c>
      <c r="P2368" s="11" t="s">
        <v>58</v>
      </c>
      <c r="Q2368" s="20">
        <v>40218.0</v>
      </c>
      <c r="R2368" s="17">
        <f t="shared" si="2"/>
        <v>13.46991168</v>
      </c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>
        <f t="shared" si="8"/>
        <v>4</v>
      </c>
      <c r="AF2368" s="19">
        <f t="shared" si="13"/>
        <v>2</v>
      </c>
      <c r="AG2368" s="9"/>
      <c r="AH2368" s="9"/>
      <c r="AI2368" s="9"/>
    </row>
    <row r="2369" ht="15.0" customHeight="1">
      <c r="A2369" s="11">
        <v>2368.0</v>
      </c>
      <c r="B2369" s="12">
        <f t="shared" si="381"/>
        <v>40216</v>
      </c>
      <c r="C2369" s="13">
        <v>2010.0</v>
      </c>
      <c r="D2369" s="11" t="s">
        <v>32</v>
      </c>
      <c r="E2369" s="11">
        <v>40.0</v>
      </c>
      <c r="F2369" s="21" t="s">
        <v>1710</v>
      </c>
      <c r="G2369" s="15">
        <v>0.012642764374827916</v>
      </c>
      <c r="H2369" s="11" t="s">
        <v>45</v>
      </c>
      <c r="I2369" s="16">
        <v>41.552</v>
      </c>
      <c r="J2369" s="11" t="s">
        <v>1405</v>
      </c>
      <c r="K2369" s="11" t="s">
        <v>35</v>
      </c>
      <c r="L2369" s="11" t="s">
        <v>48</v>
      </c>
      <c r="M2369" s="11" t="s">
        <v>49</v>
      </c>
      <c r="N2369" s="11" t="s">
        <v>85</v>
      </c>
      <c r="O2369" s="11" t="s">
        <v>1711</v>
      </c>
      <c r="P2369" s="11" t="s">
        <v>87</v>
      </c>
      <c r="Q2369" s="20">
        <v>40218.0</v>
      </c>
      <c r="R2369" s="17">
        <f t="shared" si="2"/>
        <v>63.43572767</v>
      </c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>
        <f t="shared" si="8"/>
        <v>4</v>
      </c>
      <c r="AF2369" s="19">
        <f t="shared" si="13"/>
        <v>2</v>
      </c>
      <c r="AG2369" s="9"/>
      <c r="AH2369" s="9"/>
      <c r="AI2369" s="9"/>
    </row>
    <row r="2370" ht="15.0" customHeight="1">
      <c r="A2370" s="11">
        <v>2369.0</v>
      </c>
      <c r="B2370" s="12">
        <f t="shared" ref="B2370:B2374" si="382">DATE(2012,12,31)-1057</f>
        <v>40217</v>
      </c>
      <c r="C2370" s="13">
        <v>2010.0</v>
      </c>
      <c r="D2370" s="11" t="s">
        <v>102</v>
      </c>
      <c r="E2370" s="11">
        <v>44.0</v>
      </c>
      <c r="F2370" s="21" t="s">
        <v>799</v>
      </c>
      <c r="G2370" s="15">
        <v>0.011088701641382969</v>
      </c>
      <c r="H2370" s="11" t="s">
        <v>45</v>
      </c>
      <c r="I2370" s="16">
        <v>45.6</v>
      </c>
      <c r="J2370" s="11" t="s">
        <v>2185</v>
      </c>
      <c r="K2370" s="11" t="s">
        <v>26</v>
      </c>
      <c r="L2370" s="11" t="s">
        <v>36</v>
      </c>
      <c r="M2370" s="11" t="s">
        <v>49</v>
      </c>
      <c r="N2370" s="11" t="s">
        <v>50</v>
      </c>
      <c r="O2370" s="11" t="s">
        <v>801</v>
      </c>
      <c r="P2370" s="11" t="s">
        <v>52</v>
      </c>
      <c r="Q2370" s="20">
        <v>40219.0</v>
      </c>
      <c r="R2370" s="17">
        <f t="shared" si="2"/>
        <v>137.5575616</v>
      </c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>
        <f t="shared" si="8"/>
        <v>2</v>
      </c>
      <c r="AF2370" s="19">
        <f t="shared" si="13"/>
        <v>1</v>
      </c>
      <c r="AG2370" s="9"/>
      <c r="AH2370" s="9"/>
      <c r="AI2370" s="9"/>
    </row>
    <row r="2371" ht="15.0" customHeight="1">
      <c r="A2371" s="11">
        <v>2370.0</v>
      </c>
      <c r="B2371" s="12">
        <f t="shared" si="382"/>
        <v>40217</v>
      </c>
      <c r="C2371" s="13">
        <v>2010.0</v>
      </c>
      <c r="D2371" s="11" t="s">
        <v>102</v>
      </c>
      <c r="E2371" s="11">
        <v>18.0</v>
      </c>
      <c r="F2371" s="21" t="s">
        <v>158</v>
      </c>
      <c r="G2371" s="15">
        <v>0.04950871632329639</v>
      </c>
      <c r="H2371" s="11" t="s">
        <v>33</v>
      </c>
      <c r="I2371" s="16">
        <v>4.752000000000001</v>
      </c>
      <c r="J2371" s="11" t="s">
        <v>2185</v>
      </c>
      <c r="K2371" s="11" t="s">
        <v>26</v>
      </c>
      <c r="L2371" s="11" t="s">
        <v>36</v>
      </c>
      <c r="M2371" s="11" t="s">
        <v>28</v>
      </c>
      <c r="N2371" s="11" t="s">
        <v>56</v>
      </c>
      <c r="O2371" s="11" t="s">
        <v>2186</v>
      </c>
      <c r="P2371" s="11" t="s">
        <v>38</v>
      </c>
      <c r="Q2371" s="20">
        <v>40219.0</v>
      </c>
      <c r="R2371" s="17">
        <f t="shared" si="2"/>
        <v>5.93866954</v>
      </c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>
        <f t="shared" si="8"/>
        <v>2</v>
      </c>
      <c r="AF2371" s="19">
        <f t="shared" si="13"/>
        <v>1</v>
      </c>
      <c r="AG2371" s="9"/>
      <c r="AH2371" s="9"/>
      <c r="AI2371" s="9"/>
    </row>
    <row r="2372" ht="15.0" customHeight="1">
      <c r="A2372" s="11">
        <v>2371.0</v>
      </c>
      <c r="B2372" s="12">
        <f t="shared" si="382"/>
        <v>40217</v>
      </c>
      <c r="C2372" s="13">
        <v>2010.0</v>
      </c>
      <c r="D2372" s="11" t="s">
        <v>39</v>
      </c>
      <c r="E2372" s="11">
        <v>39.0</v>
      </c>
      <c r="F2372" s="21" t="s">
        <v>1158</v>
      </c>
      <c r="G2372" s="15">
        <v>0.028441379310344794</v>
      </c>
      <c r="H2372" s="11" t="s">
        <v>33</v>
      </c>
      <c r="I2372" s="16">
        <v>4.376</v>
      </c>
      <c r="J2372" s="11" t="s">
        <v>2187</v>
      </c>
      <c r="K2372" s="11" t="s">
        <v>26</v>
      </c>
      <c r="L2372" s="11" t="s">
        <v>36</v>
      </c>
      <c r="M2372" s="11" t="s">
        <v>28</v>
      </c>
      <c r="N2372" s="11" t="s">
        <v>42</v>
      </c>
      <c r="O2372" s="11" t="s">
        <v>1530</v>
      </c>
      <c r="P2372" s="11" t="s">
        <v>38</v>
      </c>
      <c r="Q2372" s="20">
        <v>40219.0</v>
      </c>
      <c r="R2372" s="17">
        <f t="shared" si="2"/>
        <v>4.006707752</v>
      </c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>
        <f t="shared" si="8"/>
        <v>2</v>
      </c>
      <c r="AF2372" s="19">
        <f t="shared" si="13"/>
        <v>1</v>
      </c>
      <c r="AG2372" s="9"/>
      <c r="AH2372" s="9"/>
      <c r="AI2372" s="9"/>
    </row>
    <row r="2373" ht="15.0" customHeight="1">
      <c r="A2373" s="11">
        <v>2372.0</v>
      </c>
      <c r="B2373" s="12">
        <f t="shared" si="382"/>
        <v>40217</v>
      </c>
      <c r="C2373" s="13">
        <v>2010.0</v>
      </c>
      <c r="D2373" s="11" t="s">
        <v>39</v>
      </c>
      <c r="E2373" s="11">
        <v>37.0</v>
      </c>
      <c r="F2373" s="21" t="s">
        <v>624</v>
      </c>
      <c r="G2373" s="15">
        <v>0.043635620915032744</v>
      </c>
      <c r="H2373" s="11" t="s">
        <v>33</v>
      </c>
      <c r="I2373" s="16">
        <v>5.736000000000001</v>
      </c>
      <c r="J2373" s="11" t="s">
        <v>2177</v>
      </c>
      <c r="K2373" s="11" t="s">
        <v>83</v>
      </c>
      <c r="L2373" s="11" t="s">
        <v>48</v>
      </c>
      <c r="M2373" s="11" t="s">
        <v>28</v>
      </c>
      <c r="N2373" s="11" t="s">
        <v>42</v>
      </c>
      <c r="O2373" s="11" t="s">
        <v>625</v>
      </c>
      <c r="P2373" s="11" t="s">
        <v>38</v>
      </c>
      <c r="Q2373" s="20">
        <v>40219.0</v>
      </c>
      <c r="R2373" s="17">
        <f t="shared" si="2"/>
        <v>20.43176859</v>
      </c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>
        <f t="shared" si="8"/>
        <v>4</v>
      </c>
      <c r="AF2373" s="19" t="b">
        <f t="shared" si="13"/>
        <v>0</v>
      </c>
      <c r="AG2373" s="9"/>
      <c r="AH2373" s="9"/>
      <c r="AI2373" s="9"/>
    </row>
    <row r="2374" ht="15.0" customHeight="1">
      <c r="A2374" s="11">
        <v>2373.0</v>
      </c>
      <c r="B2374" s="12">
        <f t="shared" si="382"/>
        <v>40217</v>
      </c>
      <c r="C2374" s="13">
        <v>2010.0</v>
      </c>
      <c r="D2374" s="11" t="s">
        <v>39</v>
      </c>
      <c r="E2374" s="11">
        <v>24.0</v>
      </c>
      <c r="F2374" s="21" t="s">
        <v>1458</v>
      </c>
      <c r="G2374" s="15">
        <v>0.05815788495147436</v>
      </c>
      <c r="H2374" s="11" t="s">
        <v>24</v>
      </c>
      <c r="I2374" s="16">
        <v>8.096</v>
      </c>
      <c r="J2374" s="11" t="s">
        <v>2177</v>
      </c>
      <c r="K2374" s="11" t="s">
        <v>83</v>
      </c>
      <c r="L2374" s="11" t="s">
        <v>48</v>
      </c>
      <c r="M2374" s="11" t="s">
        <v>49</v>
      </c>
      <c r="N2374" s="11" t="s">
        <v>73</v>
      </c>
      <c r="O2374" s="11" t="s">
        <v>1459</v>
      </c>
      <c r="P2374" s="11" t="s">
        <v>31</v>
      </c>
      <c r="Q2374" s="20">
        <v>40219.0</v>
      </c>
      <c r="R2374" s="17">
        <f t="shared" si="2"/>
        <v>147.3078742</v>
      </c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>
        <f t="shared" si="8"/>
        <v>4</v>
      </c>
      <c r="AF2374" s="19" t="b">
        <f t="shared" si="13"/>
        <v>0</v>
      </c>
      <c r="AG2374" s="9"/>
      <c r="AH2374" s="9"/>
      <c r="AI2374" s="9"/>
    </row>
    <row r="2375" ht="15.0" customHeight="1">
      <c r="A2375" s="11">
        <v>2374.0</v>
      </c>
      <c r="B2375" s="12">
        <f t="shared" ref="B2375:B2378" si="383">DATE(2012,12,31)-1056</f>
        <v>40218</v>
      </c>
      <c r="C2375" s="13">
        <v>2010.0</v>
      </c>
      <c r="D2375" s="11" t="s">
        <v>44</v>
      </c>
      <c r="E2375" s="11">
        <v>44.0</v>
      </c>
      <c r="F2375" s="21" t="s">
        <v>752</v>
      </c>
      <c r="G2375" s="15">
        <v>0.056979447771295516</v>
      </c>
      <c r="H2375" s="11" t="s">
        <v>33</v>
      </c>
      <c r="I2375" s="16">
        <v>19.592</v>
      </c>
      <c r="J2375" s="11" t="s">
        <v>353</v>
      </c>
      <c r="K2375" s="11" t="s">
        <v>117</v>
      </c>
      <c r="L2375" s="11" t="s">
        <v>36</v>
      </c>
      <c r="M2375" s="11" t="s">
        <v>66</v>
      </c>
      <c r="N2375" s="11" t="s">
        <v>170</v>
      </c>
      <c r="O2375" s="11" t="s">
        <v>753</v>
      </c>
      <c r="P2375" s="11" t="s">
        <v>31</v>
      </c>
      <c r="Q2375" s="20">
        <v>40219.0</v>
      </c>
      <c r="R2375" s="17">
        <f t="shared" si="2"/>
        <v>1254.413483</v>
      </c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>
        <f t="shared" si="8"/>
        <v>2</v>
      </c>
      <c r="AF2375" s="19" t="b">
        <f t="shared" si="13"/>
        <v>0</v>
      </c>
      <c r="AG2375" s="9"/>
      <c r="AH2375" s="9"/>
      <c r="AI2375" s="9"/>
    </row>
    <row r="2376" ht="15.0" customHeight="1">
      <c r="A2376" s="11">
        <v>2375.0</v>
      </c>
      <c r="B2376" s="12">
        <f t="shared" si="383"/>
        <v>40218</v>
      </c>
      <c r="C2376" s="13">
        <v>2010.0</v>
      </c>
      <c r="D2376" s="11" t="s">
        <v>44</v>
      </c>
      <c r="E2376" s="11">
        <v>28.0</v>
      </c>
      <c r="F2376" s="21" t="s">
        <v>122</v>
      </c>
      <c r="G2376" s="15">
        <v>0.03915492957746499</v>
      </c>
      <c r="H2376" s="11" t="s">
        <v>45</v>
      </c>
      <c r="I2376" s="16">
        <v>42.42400000000001</v>
      </c>
      <c r="J2376" s="11" t="s">
        <v>353</v>
      </c>
      <c r="K2376" s="11" t="s">
        <v>117</v>
      </c>
      <c r="L2376" s="11" t="s">
        <v>36</v>
      </c>
      <c r="M2376" s="11" t="s">
        <v>28</v>
      </c>
      <c r="N2376" s="11" t="s">
        <v>29</v>
      </c>
      <c r="O2376" s="11" t="s">
        <v>725</v>
      </c>
      <c r="P2376" s="11" t="s">
        <v>52</v>
      </c>
      <c r="Q2376" s="20">
        <v>40219.0</v>
      </c>
      <c r="R2376" s="17">
        <f t="shared" si="2"/>
        <v>24.57457352</v>
      </c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>
        <f t="shared" si="8"/>
        <v>2</v>
      </c>
      <c r="AF2376" s="19" t="b">
        <f t="shared" si="13"/>
        <v>0</v>
      </c>
      <c r="AG2376" s="9"/>
      <c r="AH2376" s="9"/>
      <c r="AI2376" s="9"/>
    </row>
    <row r="2377" ht="15.0" customHeight="1">
      <c r="A2377" s="11">
        <v>2376.0</v>
      </c>
      <c r="B2377" s="12">
        <f t="shared" si="383"/>
        <v>40218</v>
      </c>
      <c r="C2377" s="13">
        <v>2010.0</v>
      </c>
      <c r="D2377" s="11" t="s">
        <v>39</v>
      </c>
      <c r="E2377" s="11">
        <v>15.0</v>
      </c>
      <c r="F2377" s="21" t="s">
        <v>1300</v>
      </c>
      <c r="G2377" s="15">
        <v>0.05231555413605875</v>
      </c>
      <c r="H2377" s="11" t="s">
        <v>33</v>
      </c>
      <c r="I2377" s="16">
        <v>8.440000000000001</v>
      </c>
      <c r="J2377" s="11" t="s">
        <v>1767</v>
      </c>
      <c r="K2377" s="11" t="s">
        <v>35</v>
      </c>
      <c r="L2377" s="11" t="s">
        <v>27</v>
      </c>
      <c r="M2377" s="11" t="s">
        <v>28</v>
      </c>
      <c r="N2377" s="11" t="s">
        <v>42</v>
      </c>
      <c r="O2377" s="11" t="s">
        <v>1301</v>
      </c>
      <c r="P2377" s="11" t="s">
        <v>38</v>
      </c>
      <c r="Q2377" s="20">
        <v>40219.0</v>
      </c>
      <c r="R2377" s="17">
        <f t="shared" si="2"/>
        <v>31.04614245</v>
      </c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>
        <f t="shared" si="8"/>
        <v>1</v>
      </c>
      <c r="AF2377" s="19">
        <f t="shared" si="13"/>
        <v>2</v>
      </c>
      <c r="AG2377" s="9"/>
      <c r="AH2377" s="9"/>
      <c r="AI2377" s="9"/>
    </row>
    <row r="2378" ht="15.0" customHeight="1">
      <c r="A2378" s="11">
        <v>2377.0</v>
      </c>
      <c r="B2378" s="12">
        <f t="shared" si="383"/>
        <v>40218</v>
      </c>
      <c r="C2378" s="13">
        <v>2010.0</v>
      </c>
      <c r="D2378" s="11" t="s">
        <v>102</v>
      </c>
      <c r="E2378" s="11">
        <v>4.0</v>
      </c>
      <c r="F2378" s="21" t="s">
        <v>2188</v>
      </c>
      <c r="G2378" s="15">
        <v>0.09824953445065182</v>
      </c>
      <c r="H2378" s="11" t="s">
        <v>33</v>
      </c>
      <c r="I2378" s="16">
        <v>4.024</v>
      </c>
      <c r="J2378" s="11" t="s">
        <v>2189</v>
      </c>
      <c r="K2378" s="11" t="s">
        <v>35</v>
      </c>
      <c r="L2378" s="11" t="s">
        <v>27</v>
      </c>
      <c r="M2378" s="11" t="s">
        <v>28</v>
      </c>
      <c r="N2378" s="11" t="s">
        <v>56</v>
      </c>
      <c r="O2378" s="11" t="s">
        <v>2190</v>
      </c>
      <c r="P2378" s="11" t="s">
        <v>38</v>
      </c>
      <c r="Q2378" s="20">
        <v>40220.0</v>
      </c>
      <c r="R2378" s="17">
        <f t="shared" si="2"/>
        <v>4.757635456</v>
      </c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>
        <f t="shared" si="8"/>
        <v>1</v>
      </c>
      <c r="AF2378" s="19">
        <f t="shared" si="13"/>
        <v>2</v>
      </c>
      <c r="AG2378" s="9"/>
      <c r="AH2378" s="9"/>
      <c r="AI2378" s="9"/>
    </row>
    <row r="2379" ht="15.0" customHeight="1">
      <c r="A2379" s="11">
        <v>2378.0</v>
      </c>
      <c r="B2379" s="12">
        <f t="shared" ref="B2379:B2386" si="384">DATE(2012,12,31)-1055</f>
        <v>40219</v>
      </c>
      <c r="C2379" s="13">
        <v>2010.0</v>
      </c>
      <c r="D2379" s="11" t="s">
        <v>102</v>
      </c>
      <c r="E2379" s="11">
        <v>18.0</v>
      </c>
      <c r="F2379" s="21" t="s">
        <v>869</v>
      </c>
      <c r="G2379" s="15">
        <v>0.04076500709482388</v>
      </c>
      <c r="H2379" s="11" t="s">
        <v>33</v>
      </c>
      <c r="I2379" s="16">
        <v>8.624</v>
      </c>
      <c r="J2379" s="11" t="s">
        <v>1211</v>
      </c>
      <c r="K2379" s="11" t="s">
        <v>35</v>
      </c>
      <c r="L2379" s="11" t="s">
        <v>48</v>
      </c>
      <c r="M2379" s="11" t="s">
        <v>66</v>
      </c>
      <c r="N2379" s="11" t="s">
        <v>80</v>
      </c>
      <c r="O2379" s="11" t="s">
        <v>1713</v>
      </c>
      <c r="P2379" s="11" t="s">
        <v>38</v>
      </c>
      <c r="Q2379" s="20">
        <v>40220.0</v>
      </c>
      <c r="R2379" s="17">
        <f t="shared" si="2"/>
        <v>63.38241139</v>
      </c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>
        <f t="shared" si="8"/>
        <v>4</v>
      </c>
      <c r="AF2379" s="19">
        <f t="shared" si="13"/>
        <v>2</v>
      </c>
      <c r="AG2379" s="9"/>
      <c r="AH2379" s="9"/>
      <c r="AI2379" s="9"/>
    </row>
    <row r="2380" ht="15.0" customHeight="1">
      <c r="A2380" s="11">
        <v>2379.0</v>
      </c>
      <c r="B2380" s="12">
        <f t="shared" si="384"/>
        <v>40219</v>
      </c>
      <c r="C2380" s="13">
        <v>2010.0</v>
      </c>
      <c r="D2380" s="11" t="s">
        <v>32</v>
      </c>
      <c r="E2380" s="11">
        <v>3.0</v>
      </c>
      <c r="F2380" s="21" t="s">
        <v>186</v>
      </c>
      <c r="G2380" s="15">
        <v>0.12686274509803927</v>
      </c>
      <c r="H2380" s="11" t="s">
        <v>33</v>
      </c>
      <c r="I2380" s="16">
        <v>5.5120000000000005</v>
      </c>
      <c r="J2380" s="11" t="s">
        <v>850</v>
      </c>
      <c r="K2380" s="11" t="s">
        <v>61</v>
      </c>
      <c r="L2380" s="11" t="s">
        <v>36</v>
      </c>
      <c r="M2380" s="11" t="s">
        <v>28</v>
      </c>
      <c r="N2380" s="11" t="s">
        <v>188</v>
      </c>
      <c r="O2380" s="11" t="s">
        <v>203</v>
      </c>
      <c r="P2380" s="11" t="s">
        <v>38</v>
      </c>
      <c r="Q2380" s="20">
        <v>40220.0</v>
      </c>
      <c r="R2380" s="17">
        <f t="shared" si="2"/>
        <v>2.259679216</v>
      </c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>
        <f t="shared" si="8"/>
        <v>2</v>
      </c>
      <c r="AF2380" s="19">
        <f t="shared" si="13"/>
        <v>4</v>
      </c>
      <c r="AG2380" s="9"/>
      <c r="AH2380" s="9"/>
      <c r="AI2380" s="9"/>
    </row>
    <row r="2381" ht="15.0" customHeight="1">
      <c r="A2381" s="11">
        <v>2380.0</v>
      </c>
      <c r="B2381" s="12">
        <f t="shared" si="384"/>
        <v>40219</v>
      </c>
      <c r="C2381" s="13">
        <v>2010.0</v>
      </c>
      <c r="D2381" s="11" t="s">
        <v>102</v>
      </c>
      <c r="E2381" s="11">
        <v>10.0</v>
      </c>
      <c r="F2381" s="21" t="s">
        <v>369</v>
      </c>
      <c r="G2381" s="15">
        <v>0.059503775620280426</v>
      </c>
      <c r="H2381" s="11" t="s">
        <v>45</v>
      </c>
      <c r="I2381" s="16">
        <v>29.288</v>
      </c>
      <c r="J2381" s="11" t="s">
        <v>2191</v>
      </c>
      <c r="K2381" s="11" t="s">
        <v>35</v>
      </c>
      <c r="L2381" s="11" t="s">
        <v>48</v>
      </c>
      <c r="M2381" s="11" t="s">
        <v>49</v>
      </c>
      <c r="N2381" s="11" t="s">
        <v>156</v>
      </c>
      <c r="O2381" s="11" t="s">
        <v>1885</v>
      </c>
      <c r="P2381" s="11" t="s">
        <v>87</v>
      </c>
      <c r="Q2381" s="20">
        <v>40221.0</v>
      </c>
      <c r="R2381" s="17">
        <f t="shared" si="2"/>
        <v>36.31444022</v>
      </c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>
        <f t="shared" si="8"/>
        <v>4</v>
      </c>
      <c r="AF2381" s="19">
        <f t="shared" si="13"/>
        <v>2</v>
      </c>
      <c r="AG2381" s="9"/>
      <c r="AH2381" s="9"/>
      <c r="AI2381" s="9"/>
    </row>
    <row r="2382" ht="15.0" customHeight="1">
      <c r="A2382" s="11">
        <v>2381.0</v>
      </c>
      <c r="B2382" s="12">
        <f t="shared" si="384"/>
        <v>40219</v>
      </c>
      <c r="C2382" s="13">
        <v>2010.0</v>
      </c>
      <c r="D2382" s="11" t="s">
        <v>44</v>
      </c>
      <c r="E2382" s="11">
        <v>1.0</v>
      </c>
      <c r="F2382" s="21" t="s">
        <v>1166</v>
      </c>
      <c r="G2382" s="15">
        <v>0.043636363636363674</v>
      </c>
      <c r="H2382" s="11" t="s">
        <v>33</v>
      </c>
      <c r="I2382" s="16">
        <v>0.5599999999999999</v>
      </c>
      <c r="J2382" s="11" t="s">
        <v>1360</v>
      </c>
      <c r="K2382" s="11" t="s">
        <v>65</v>
      </c>
      <c r="L2382" s="11" t="s">
        <v>27</v>
      </c>
      <c r="M2382" s="11" t="s">
        <v>28</v>
      </c>
      <c r="N2382" s="11" t="s">
        <v>216</v>
      </c>
      <c r="O2382" s="11" t="s">
        <v>1406</v>
      </c>
      <c r="P2382" s="11" t="s">
        <v>58</v>
      </c>
      <c r="Q2382" s="20">
        <v>40221.0</v>
      </c>
      <c r="R2382" s="17">
        <f t="shared" si="2"/>
        <v>0.2295272727</v>
      </c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>
        <f t="shared" si="8"/>
        <v>1</v>
      </c>
      <c r="AF2382" s="19">
        <f t="shared" si="13"/>
        <v>5</v>
      </c>
      <c r="AG2382" s="9"/>
      <c r="AH2382" s="9"/>
      <c r="AI2382" s="9"/>
    </row>
    <row r="2383" ht="15.0" customHeight="1">
      <c r="A2383" s="11">
        <v>2382.0</v>
      </c>
      <c r="B2383" s="12">
        <f t="shared" si="384"/>
        <v>40219</v>
      </c>
      <c r="C2383" s="13">
        <v>2010.0</v>
      </c>
      <c r="D2383" s="11" t="s">
        <v>44</v>
      </c>
      <c r="E2383" s="11">
        <v>5.0</v>
      </c>
      <c r="F2383" s="21" t="s">
        <v>523</v>
      </c>
      <c r="G2383" s="15">
        <v>0.08716763005780352</v>
      </c>
      <c r="H2383" s="11" t="s">
        <v>33</v>
      </c>
      <c r="I2383" s="16">
        <v>0.792</v>
      </c>
      <c r="J2383" s="11" t="s">
        <v>1360</v>
      </c>
      <c r="K2383" s="11" t="s">
        <v>65</v>
      </c>
      <c r="L2383" s="11" t="s">
        <v>27</v>
      </c>
      <c r="M2383" s="11" t="s">
        <v>28</v>
      </c>
      <c r="N2383" s="11" t="s">
        <v>188</v>
      </c>
      <c r="O2383" s="11" t="s">
        <v>1495</v>
      </c>
      <c r="P2383" s="11" t="s">
        <v>38</v>
      </c>
      <c r="Q2383" s="20">
        <v>40221.0</v>
      </c>
      <c r="R2383" s="17">
        <f t="shared" si="2"/>
        <v>1.376551214</v>
      </c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>
        <f t="shared" si="8"/>
        <v>1</v>
      </c>
      <c r="AF2383" s="19">
        <f t="shared" si="13"/>
        <v>5</v>
      </c>
      <c r="AG2383" s="9"/>
      <c r="AH2383" s="9"/>
      <c r="AI2383" s="9"/>
    </row>
    <row r="2384" ht="15.0" customHeight="1">
      <c r="A2384" s="11">
        <v>2383.0</v>
      </c>
      <c r="B2384" s="12">
        <f t="shared" si="384"/>
        <v>40219</v>
      </c>
      <c r="C2384" s="13">
        <v>2010.0</v>
      </c>
      <c r="D2384" s="11" t="s">
        <v>44</v>
      </c>
      <c r="E2384" s="11">
        <v>38.0</v>
      </c>
      <c r="F2384" s="21" t="s">
        <v>1144</v>
      </c>
      <c r="G2384" s="15">
        <v>0.0829934539765078</v>
      </c>
      <c r="H2384" s="11" t="s">
        <v>33</v>
      </c>
      <c r="I2384" s="16">
        <v>15.991999999999999</v>
      </c>
      <c r="J2384" s="11" t="s">
        <v>1360</v>
      </c>
      <c r="K2384" s="11" t="s">
        <v>65</v>
      </c>
      <c r="L2384" s="11" t="s">
        <v>27</v>
      </c>
      <c r="M2384" s="11" t="s">
        <v>28</v>
      </c>
      <c r="N2384" s="11" t="s">
        <v>29</v>
      </c>
      <c r="O2384" s="11" t="s">
        <v>1146</v>
      </c>
      <c r="P2384" s="11" t="s">
        <v>38</v>
      </c>
      <c r="Q2384" s="20">
        <v>40221.0</v>
      </c>
      <c r="R2384" s="17">
        <f t="shared" si="2"/>
        <v>1323.064381</v>
      </c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>
        <f t="shared" si="8"/>
        <v>1</v>
      </c>
      <c r="AF2384" s="19">
        <f t="shared" si="13"/>
        <v>5</v>
      </c>
      <c r="AG2384" s="9"/>
      <c r="AH2384" s="9"/>
      <c r="AI2384" s="9"/>
    </row>
    <row r="2385" ht="15.0" customHeight="1">
      <c r="A2385" s="11">
        <v>2384.0</v>
      </c>
      <c r="B2385" s="12">
        <f t="shared" si="384"/>
        <v>40219</v>
      </c>
      <c r="C2385" s="13">
        <v>2010.0</v>
      </c>
      <c r="D2385" s="11" t="s">
        <v>44</v>
      </c>
      <c r="E2385" s="11">
        <v>2.0</v>
      </c>
      <c r="F2385" s="21" t="s">
        <v>245</v>
      </c>
      <c r="G2385" s="15">
        <v>0.10151624548736467</v>
      </c>
      <c r="H2385" s="11" t="s">
        <v>24</v>
      </c>
      <c r="I2385" s="16">
        <v>1.888</v>
      </c>
      <c r="J2385" s="11" t="s">
        <v>262</v>
      </c>
      <c r="K2385" s="11" t="s">
        <v>61</v>
      </c>
      <c r="L2385" s="11" t="s">
        <v>27</v>
      </c>
      <c r="M2385" s="11" t="s">
        <v>28</v>
      </c>
      <c r="N2385" s="11" t="s">
        <v>62</v>
      </c>
      <c r="O2385" s="11" t="s">
        <v>246</v>
      </c>
      <c r="P2385" s="11" t="s">
        <v>58</v>
      </c>
      <c r="Q2385" s="20">
        <v>40221.0</v>
      </c>
      <c r="R2385" s="17">
        <f t="shared" si="2"/>
        <v>2.526536318</v>
      </c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>
        <f t="shared" si="8"/>
        <v>1</v>
      </c>
      <c r="AF2385" s="19">
        <f t="shared" si="13"/>
        <v>4</v>
      </c>
      <c r="AG2385" s="9"/>
      <c r="AH2385" s="9"/>
      <c r="AI2385" s="9"/>
    </row>
    <row r="2386" ht="15.0" customHeight="1">
      <c r="A2386" s="11">
        <v>2385.0</v>
      </c>
      <c r="B2386" s="12">
        <f t="shared" si="384"/>
        <v>40219</v>
      </c>
      <c r="C2386" s="13">
        <v>2010.0</v>
      </c>
      <c r="D2386" s="11" t="s">
        <v>44</v>
      </c>
      <c r="E2386" s="11">
        <v>16.0</v>
      </c>
      <c r="F2386" s="21" t="s">
        <v>126</v>
      </c>
      <c r="G2386" s="15">
        <v>0.05436133486766402</v>
      </c>
      <c r="H2386" s="11" t="s">
        <v>33</v>
      </c>
      <c r="I2386" s="16">
        <v>3.776</v>
      </c>
      <c r="J2386" s="11" t="s">
        <v>262</v>
      </c>
      <c r="K2386" s="11" t="s">
        <v>61</v>
      </c>
      <c r="L2386" s="11" t="s">
        <v>27</v>
      </c>
      <c r="M2386" s="11" t="s">
        <v>28</v>
      </c>
      <c r="N2386" s="11" t="s">
        <v>56</v>
      </c>
      <c r="O2386" s="11" t="s">
        <v>1299</v>
      </c>
      <c r="P2386" s="11" t="s">
        <v>38</v>
      </c>
      <c r="Q2386" s="20">
        <v>40221.0</v>
      </c>
      <c r="R2386" s="17">
        <f t="shared" si="2"/>
        <v>4.467197054</v>
      </c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>
        <f t="shared" si="8"/>
        <v>1</v>
      </c>
      <c r="AF2386" s="19">
        <f t="shared" si="13"/>
        <v>4</v>
      </c>
      <c r="AG2386" s="9"/>
      <c r="AH2386" s="9"/>
      <c r="AI2386" s="9"/>
    </row>
    <row r="2387" ht="15.0" customHeight="1">
      <c r="A2387" s="11">
        <v>2386.0</v>
      </c>
      <c r="B2387" s="12">
        <f t="shared" ref="B2387:B2397" si="385">DATE(2012,12,31)-1054</f>
        <v>40220</v>
      </c>
      <c r="C2387" s="13">
        <v>2010.0</v>
      </c>
      <c r="D2387" s="11" t="s">
        <v>32</v>
      </c>
      <c r="E2387" s="11">
        <v>12.0</v>
      </c>
      <c r="F2387" s="21" t="s">
        <v>319</v>
      </c>
      <c r="G2387" s="15">
        <v>0.07675675675675685</v>
      </c>
      <c r="H2387" s="11" t="s">
        <v>33</v>
      </c>
      <c r="I2387" s="16">
        <v>0.5599999999999999</v>
      </c>
      <c r="J2387" s="11" t="s">
        <v>1310</v>
      </c>
      <c r="K2387" s="11" t="s">
        <v>83</v>
      </c>
      <c r="L2387" s="11" t="s">
        <v>48</v>
      </c>
      <c r="M2387" s="11" t="s">
        <v>28</v>
      </c>
      <c r="N2387" s="11" t="s">
        <v>62</v>
      </c>
      <c r="O2387" s="11" t="s">
        <v>383</v>
      </c>
      <c r="P2387" s="11" t="s">
        <v>58</v>
      </c>
      <c r="Q2387" s="20">
        <v>40221.0</v>
      </c>
      <c r="R2387" s="17">
        <f t="shared" si="2"/>
        <v>2.622010811</v>
      </c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>
        <f t="shared" si="8"/>
        <v>4</v>
      </c>
      <c r="AF2387" s="19" t="b">
        <f t="shared" si="13"/>
        <v>0</v>
      </c>
      <c r="AG2387" s="9"/>
      <c r="AH2387" s="9"/>
      <c r="AI2387" s="9"/>
    </row>
    <row r="2388" ht="15.0" customHeight="1">
      <c r="A2388" s="11">
        <v>2387.0</v>
      </c>
      <c r="B2388" s="12">
        <f t="shared" si="385"/>
        <v>40220</v>
      </c>
      <c r="C2388" s="13">
        <v>2010.0</v>
      </c>
      <c r="D2388" s="11" t="s">
        <v>32</v>
      </c>
      <c r="E2388" s="11">
        <v>1.0</v>
      </c>
      <c r="F2388" s="21" t="s">
        <v>1908</v>
      </c>
      <c r="G2388" s="15">
        <v>0.11684913217623495</v>
      </c>
      <c r="H2388" s="11" t="s">
        <v>45</v>
      </c>
      <c r="I2388" s="16">
        <v>39.04</v>
      </c>
      <c r="J2388" s="11" t="s">
        <v>1310</v>
      </c>
      <c r="K2388" s="11" t="s">
        <v>83</v>
      </c>
      <c r="L2388" s="11" t="s">
        <v>48</v>
      </c>
      <c r="M2388" s="11" t="s">
        <v>49</v>
      </c>
      <c r="N2388" s="11" t="s">
        <v>50</v>
      </c>
      <c r="O2388" s="11" t="s">
        <v>51</v>
      </c>
      <c r="P2388" s="11" t="s">
        <v>52</v>
      </c>
      <c r="Q2388" s="20">
        <v>40222.0</v>
      </c>
      <c r="R2388" s="17">
        <f t="shared" si="2"/>
        <v>38.64668198</v>
      </c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>
        <f t="shared" si="8"/>
        <v>4</v>
      </c>
      <c r="AF2388" s="19" t="b">
        <f t="shared" si="13"/>
        <v>0</v>
      </c>
      <c r="AG2388" s="9"/>
      <c r="AH2388" s="9"/>
      <c r="AI2388" s="9"/>
    </row>
    <row r="2389" ht="15.0" customHeight="1">
      <c r="A2389" s="11">
        <v>2388.0</v>
      </c>
      <c r="B2389" s="12">
        <f t="shared" si="385"/>
        <v>40220</v>
      </c>
      <c r="C2389" s="13">
        <v>2010.0</v>
      </c>
      <c r="D2389" s="11" t="s">
        <v>32</v>
      </c>
      <c r="E2389" s="11">
        <v>8.0</v>
      </c>
      <c r="F2389" s="21" t="s">
        <v>1551</v>
      </c>
      <c r="G2389" s="15">
        <v>0.0790970654627539</v>
      </c>
      <c r="H2389" s="11" t="s">
        <v>33</v>
      </c>
      <c r="I2389" s="16">
        <v>1.592</v>
      </c>
      <c r="J2389" s="11" t="s">
        <v>1773</v>
      </c>
      <c r="K2389" s="11" t="s">
        <v>61</v>
      </c>
      <c r="L2389" s="11" t="s">
        <v>48</v>
      </c>
      <c r="M2389" s="11" t="s">
        <v>66</v>
      </c>
      <c r="N2389" s="11" t="s">
        <v>67</v>
      </c>
      <c r="O2389" s="11" t="s">
        <v>1598</v>
      </c>
      <c r="P2389" s="11" t="s">
        <v>99</v>
      </c>
      <c r="Q2389" s="20">
        <v>40222.0</v>
      </c>
      <c r="R2389" s="17">
        <f t="shared" si="2"/>
        <v>6.453687765</v>
      </c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>
        <f t="shared" si="8"/>
        <v>4</v>
      </c>
      <c r="AF2389" s="19">
        <f t="shared" si="13"/>
        <v>4</v>
      </c>
      <c r="AG2389" s="9"/>
      <c r="AH2389" s="9"/>
      <c r="AI2389" s="9"/>
    </row>
    <row r="2390" ht="15.0" customHeight="1">
      <c r="A2390" s="11">
        <v>2389.0</v>
      </c>
      <c r="B2390" s="12">
        <f t="shared" si="385"/>
        <v>40220</v>
      </c>
      <c r="C2390" s="13">
        <v>2010.0</v>
      </c>
      <c r="D2390" s="11" t="s">
        <v>32</v>
      </c>
      <c r="E2390" s="11">
        <v>41.0</v>
      </c>
      <c r="F2390" s="21" t="s">
        <v>825</v>
      </c>
      <c r="G2390" s="15">
        <v>0.07634869843466223</v>
      </c>
      <c r="H2390" s="11" t="s">
        <v>33</v>
      </c>
      <c r="I2390" s="16">
        <v>8.136000000000001</v>
      </c>
      <c r="J2390" s="11" t="s">
        <v>1773</v>
      </c>
      <c r="K2390" s="11" t="s">
        <v>61</v>
      </c>
      <c r="L2390" s="11" t="s">
        <v>48</v>
      </c>
      <c r="M2390" s="11" t="s">
        <v>66</v>
      </c>
      <c r="N2390" s="11" t="s">
        <v>69</v>
      </c>
      <c r="O2390" s="11" t="s">
        <v>827</v>
      </c>
      <c r="P2390" s="11" t="s">
        <v>75</v>
      </c>
      <c r="Q2390" s="20">
        <v>40222.0</v>
      </c>
      <c r="R2390" s="17">
        <f t="shared" si="2"/>
        <v>163.0835684</v>
      </c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>
        <f t="shared" si="8"/>
        <v>4</v>
      </c>
      <c r="AF2390" s="19">
        <f t="shared" si="13"/>
        <v>4</v>
      </c>
      <c r="AG2390" s="9"/>
      <c r="AH2390" s="9"/>
      <c r="AI2390" s="9"/>
    </row>
    <row r="2391" ht="15.0" customHeight="1">
      <c r="A2391" s="11">
        <v>2390.0</v>
      </c>
      <c r="B2391" s="12">
        <f t="shared" si="385"/>
        <v>40220</v>
      </c>
      <c r="C2391" s="13">
        <v>2010.0</v>
      </c>
      <c r="D2391" s="11" t="s">
        <v>32</v>
      </c>
      <c r="E2391" s="11">
        <v>34.0</v>
      </c>
      <c r="F2391" s="21" t="s">
        <v>2192</v>
      </c>
      <c r="G2391" s="15">
        <v>0.04937516115169735</v>
      </c>
      <c r="H2391" s="11" t="s">
        <v>33</v>
      </c>
      <c r="I2391" s="16">
        <v>5.5040000000000004</v>
      </c>
      <c r="J2391" s="11" t="s">
        <v>1773</v>
      </c>
      <c r="K2391" s="11" t="s">
        <v>61</v>
      </c>
      <c r="L2391" s="11" t="s">
        <v>48</v>
      </c>
      <c r="M2391" s="11" t="s">
        <v>28</v>
      </c>
      <c r="N2391" s="11" t="s">
        <v>29</v>
      </c>
      <c r="O2391" s="11" t="s">
        <v>2193</v>
      </c>
      <c r="P2391" s="11" t="s">
        <v>38</v>
      </c>
      <c r="Q2391" s="20">
        <v>40222.0</v>
      </c>
      <c r="R2391" s="17">
        <f t="shared" si="2"/>
        <v>109.2229915</v>
      </c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>
        <f t="shared" si="8"/>
        <v>4</v>
      </c>
      <c r="AF2391" s="19">
        <f t="shared" si="13"/>
        <v>4</v>
      </c>
      <c r="AG2391" s="9"/>
      <c r="AH2391" s="9"/>
      <c r="AI2391" s="9"/>
    </row>
    <row r="2392" ht="15.0" customHeight="1">
      <c r="A2392" s="11">
        <v>2391.0</v>
      </c>
      <c r="B2392" s="12">
        <f t="shared" si="385"/>
        <v>40220</v>
      </c>
      <c r="C2392" s="13">
        <v>2010.0</v>
      </c>
      <c r="D2392" s="11" t="s">
        <v>32</v>
      </c>
      <c r="E2392" s="11">
        <v>26.0</v>
      </c>
      <c r="F2392" s="21" t="s">
        <v>965</v>
      </c>
      <c r="G2392" s="15">
        <v>0.05068151656301234</v>
      </c>
      <c r="H2392" s="11" t="s">
        <v>45</v>
      </c>
      <c r="I2392" s="16">
        <v>41.93600000000001</v>
      </c>
      <c r="J2392" s="11" t="s">
        <v>1773</v>
      </c>
      <c r="K2392" s="11" t="s">
        <v>61</v>
      </c>
      <c r="L2392" s="11" t="s">
        <v>48</v>
      </c>
      <c r="M2392" s="11" t="s">
        <v>49</v>
      </c>
      <c r="N2392" s="11" t="s">
        <v>85</v>
      </c>
      <c r="O2392" s="11" t="s">
        <v>967</v>
      </c>
      <c r="P2392" s="11" t="s">
        <v>87</v>
      </c>
      <c r="Q2392" s="20">
        <v>40222.0</v>
      </c>
      <c r="R2392" s="17">
        <f t="shared" si="2"/>
        <v>184.8930651</v>
      </c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>
        <f t="shared" si="8"/>
        <v>4</v>
      </c>
      <c r="AF2392" s="19">
        <f t="shared" si="13"/>
        <v>4</v>
      </c>
      <c r="AG2392" s="9"/>
      <c r="AH2392" s="9"/>
      <c r="AI2392" s="9"/>
    </row>
    <row r="2393" ht="15.0" customHeight="1">
      <c r="A2393" s="11">
        <v>2392.0</v>
      </c>
      <c r="B2393" s="12">
        <f t="shared" si="385"/>
        <v>40220</v>
      </c>
      <c r="C2393" s="13">
        <v>2010.0</v>
      </c>
      <c r="D2393" s="11" t="s">
        <v>39</v>
      </c>
      <c r="E2393" s="11">
        <v>17.0</v>
      </c>
      <c r="F2393" s="21" t="s">
        <v>359</v>
      </c>
      <c r="G2393" s="15">
        <v>0.09466141436878633</v>
      </c>
      <c r="H2393" s="11" t="s">
        <v>33</v>
      </c>
      <c r="I2393" s="16">
        <v>4.936</v>
      </c>
      <c r="J2393" s="11" t="s">
        <v>1995</v>
      </c>
      <c r="K2393" s="11" t="s">
        <v>65</v>
      </c>
      <c r="L2393" s="11" t="s">
        <v>36</v>
      </c>
      <c r="M2393" s="11" t="s">
        <v>28</v>
      </c>
      <c r="N2393" s="11" t="s">
        <v>62</v>
      </c>
      <c r="O2393" s="11" t="s">
        <v>361</v>
      </c>
      <c r="P2393" s="11" t="s">
        <v>99</v>
      </c>
      <c r="Q2393" s="20">
        <v>40222.0</v>
      </c>
      <c r="R2393" s="17">
        <f t="shared" si="2"/>
        <v>45.68700639</v>
      </c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>
        <f t="shared" si="8"/>
        <v>2</v>
      </c>
      <c r="AF2393" s="19">
        <f t="shared" si="13"/>
        <v>5</v>
      </c>
      <c r="AG2393" s="9"/>
      <c r="AH2393" s="9"/>
      <c r="AI2393" s="9"/>
    </row>
    <row r="2394" ht="15.0" customHeight="1">
      <c r="A2394" s="11">
        <v>2393.0</v>
      </c>
      <c r="B2394" s="12">
        <f t="shared" si="385"/>
        <v>40220</v>
      </c>
      <c r="C2394" s="13">
        <v>2010.0</v>
      </c>
      <c r="D2394" s="11" t="s">
        <v>44</v>
      </c>
      <c r="E2394" s="11">
        <v>36.0</v>
      </c>
      <c r="F2394" s="21" t="s">
        <v>135</v>
      </c>
      <c r="G2394" s="15">
        <v>0.09028400597907332</v>
      </c>
      <c r="H2394" s="11" t="s">
        <v>33</v>
      </c>
      <c r="I2394" s="16">
        <v>5.84</v>
      </c>
      <c r="J2394" s="11" t="s">
        <v>538</v>
      </c>
      <c r="K2394" s="11" t="s">
        <v>61</v>
      </c>
      <c r="L2394" s="11" t="s">
        <v>36</v>
      </c>
      <c r="M2394" s="11" t="s">
        <v>28</v>
      </c>
      <c r="N2394" s="11" t="s">
        <v>56</v>
      </c>
      <c r="O2394" s="11" t="s">
        <v>2129</v>
      </c>
      <c r="P2394" s="11" t="s">
        <v>38</v>
      </c>
      <c r="Q2394" s="20">
        <v>40223.0</v>
      </c>
      <c r="R2394" s="17">
        <f t="shared" si="2"/>
        <v>21.97873842</v>
      </c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>
        <f t="shared" si="8"/>
        <v>2</v>
      </c>
      <c r="AF2394" s="19">
        <f t="shared" si="13"/>
        <v>4</v>
      </c>
      <c r="AG2394" s="9"/>
      <c r="AH2394" s="9"/>
      <c r="AI2394" s="9"/>
    </row>
    <row r="2395" ht="15.0" customHeight="1">
      <c r="A2395" s="11">
        <v>2394.0</v>
      </c>
      <c r="B2395" s="12">
        <f t="shared" si="385"/>
        <v>40220</v>
      </c>
      <c r="C2395" s="13">
        <v>2010.0</v>
      </c>
      <c r="D2395" s="11" t="s">
        <v>44</v>
      </c>
      <c r="E2395" s="11">
        <v>8.0</v>
      </c>
      <c r="F2395" s="21" t="s">
        <v>924</v>
      </c>
      <c r="G2395" s="15">
        <v>0.006400000000000053</v>
      </c>
      <c r="H2395" s="11" t="s">
        <v>33</v>
      </c>
      <c r="I2395" s="16">
        <v>1.72</v>
      </c>
      <c r="J2395" s="11" t="s">
        <v>538</v>
      </c>
      <c r="K2395" s="11" t="s">
        <v>61</v>
      </c>
      <c r="L2395" s="11" t="s">
        <v>36</v>
      </c>
      <c r="M2395" s="11" t="s">
        <v>28</v>
      </c>
      <c r="N2395" s="11" t="s">
        <v>56</v>
      </c>
      <c r="O2395" s="11" t="s">
        <v>57</v>
      </c>
      <c r="P2395" s="11" t="s">
        <v>58</v>
      </c>
      <c r="Q2395" s="20">
        <v>40223.0</v>
      </c>
      <c r="R2395" s="17">
        <f t="shared" si="2"/>
        <v>0.476928</v>
      </c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>
        <f t="shared" si="8"/>
        <v>2</v>
      </c>
      <c r="AF2395" s="19">
        <f t="shared" si="13"/>
        <v>4</v>
      </c>
      <c r="AG2395" s="9"/>
      <c r="AH2395" s="9"/>
      <c r="AI2395" s="9"/>
    </row>
    <row r="2396" ht="15.0" customHeight="1">
      <c r="A2396" s="11">
        <v>2395.0</v>
      </c>
      <c r="B2396" s="12">
        <f t="shared" si="385"/>
        <v>40220</v>
      </c>
      <c r="C2396" s="13">
        <v>2010.0</v>
      </c>
      <c r="D2396" s="11" t="s">
        <v>102</v>
      </c>
      <c r="E2396" s="11">
        <v>30.0</v>
      </c>
      <c r="F2396" s="21" t="s">
        <v>573</v>
      </c>
      <c r="G2396" s="15">
        <v>0.012775416802876622</v>
      </c>
      <c r="H2396" s="11" t="s">
        <v>33</v>
      </c>
      <c r="I2396" s="16">
        <v>4.992000000000001</v>
      </c>
      <c r="J2396" s="11" t="s">
        <v>611</v>
      </c>
      <c r="K2396" s="11" t="s">
        <v>65</v>
      </c>
      <c r="L2396" s="11" t="s">
        <v>36</v>
      </c>
      <c r="M2396" s="11" t="s">
        <v>66</v>
      </c>
      <c r="N2396" s="11" t="s">
        <v>69</v>
      </c>
      <c r="O2396" s="11" t="s">
        <v>1412</v>
      </c>
      <c r="P2396" s="11" t="s">
        <v>75</v>
      </c>
      <c r="Q2396" s="20">
        <v>40224.0</v>
      </c>
      <c r="R2396" s="17">
        <f t="shared" si="2"/>
        <v>3.858073671</v>
      </c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>
        <f t="shared" si="8"/>
        <v>2</v>
      </c>
      <c r="AF2396" s="19">
        <f t="shared" si="13"/>
        <v>5</v>
      </c>
      <c r="AG2396" s="9"/>
      <c r="AH2396" s="9"/>
      <c r="AI2396" s="9"/>
    </row>
    <row r="2397" ht="15.0" customHeight="1">
      <c r="A2397" s="11">
        <v>2396.0</v>
      </c>
      <c r="B2397" s="12">
        <f t="shared" si="385"/>
        <v>40220</v>
      </c>
      <c r="C2397" s="13">
        <v>2010.0</v>
      </c>
      <c r="D2397" s="11" t="s">
        <v>102</v>
      </c>
      <c r="E2397" s="11">
        <v>25.0</v>
      </c>
      <c r="F2397" s="21" t="s">
        <v>226</v>
      </c>
      <c r="G2397" s="15">
        <v>0.09347517730496459</v>
      </c>
      <c r="H2397" s="11" t="s">
        <v>24</v>
      </c>
      <c r="I2397" s="16">
        <v>6.920000000000001</v>
      </c>
      <c r="J2397" s="11" t="s">
        <v>611</v>
      </c>
      <c r="K2397" s="11" t="s">
        <v>65</v>
      </c>
      <c r="L2397" s="11" t="s">
        <v>36</v>
      </c>
      <c r="M2397" s="11" t="s">
        <v>66</v>
      </c>
      <c r="N2397" s="11" t="s">
        <v>67</v>
      </c>
      <c r="O2397" s="11" t="s">
        <v>228</v>
      </c>
      <c r="P2397" s="11" t="s">
        <v>38</v>
      </c>
      <c r="Q2397" s="20">
        <v>40224.0</v>
      </c>
      <c r="R2397" s="17">
        <f t="shared" si="2"/>
        <v>71.68798298</v>
      </c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>
        <f t="shared" si="8"/>
        <v>2</v>
      </c>
      <c r="AF2397" s="19">
        <f t="shared" si="13"/>
        <v>5</v>
      </c>
      <c r="AG2397" s="9"/>
      <c r="AH2397" s="9"/>
      <c r="AI2397" s="9"/>
    </row>
    <row r="2398" ht="15.0" customHeight="1">
      <c r="A2398" s="11">
        <v>2397.0</v>
      </c>
      <c r="B2398" s="12">
        <f t="shared" ref="B2398:B2402" si="386">DATE(2012,12,31)-1053</f>
        <v>40221</v>
      </c>
      <c r="C2398" s="13">
        <v>2010.0</v>
      </c>
      <c r="D2398" s="11" t="s">
        <v>44</v>
      </c>
      <c r="E2398" s="11">
        <v>20.0</v>
      </c>
      <c r="F2398" s="21" t="s">
        <v>790</v>
      </c>
      <c r="G2398" s="15">
        <v>0.03600306754694633</v>
      </c>
      <c r="H2398" s="11" t="s">
        <v>33</v>
      </c>
      <c r="I2398" s="16">
        <v>3.2</v>
      </c>
      <c r="J2398" s="11" t="s">
        <v>1080</v>
      </c>
      <c r="K2398" s="11" t="s">
        <v>47</v>
      </c>
      <c r="L2398" s="11" t="s">
        <v>48</v>
      </c>
      <c r="M2398" s="11" t="s">
        <v>66</v>
      </c>
      <c r="N2398" s="11" t="s">
        <v>67</v>
      </c>
      <c r="O2398" s="11" t="s">
        <v>791</v>
      </c>
      <c r="P2398" s="11" t="s">
        <v>38</v>
      </c>
      <c r="Q2398" s="20">
        <v>40224.0</v>
      </c>
      <c r="R2398" s="17">
        <f t="shared" si="2"/>
        <v>22.22109329</v>
      </c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>
        <f t="shared" si="8"/>
        <v>4</v>
      </c>
      <c r="AF2398" s="19">
        <f t="shared" si="13"/>
        <v>3</v>
      </c>
      <c r="AG2398" s="9"/>
      <c r="AH2398" s="9"/>
      <c r="AI2398" s="9"/>
    </row>
    <row r="2399" ht="15.0" customHeight="1">
      <c r="A2399" s="11">
        <v>2398.0</v>
      </c>
      <c r="B2399" s="12">
        <f t="shared" si="386"/>
        <v>40221</v>
      </c>
      <c r="C2399" s="13">
        <v>2010.0</v>
      </c>
      <c r="D2399" s="11" t="s">
        <v>39</v>
      </c>
      <c r="E2399" s="11">
        <v>47.0</v>
      </c>
      <c r="F2399" s="21" t="s">
        <v>218</v>
      </c>
      <c r="G2399" s="15">
        <v>0.09452478399272397</v>
      </c>
      <c r="H2399" s="11" t="s">
        <v>33</v>
      </c>
      <c r="I2399" s="16">
        <v>8.128</v>
      </c>
      <c r="J2399" s="11" t="s">
        <v>850</v>
      </c>
      <c r="K2399" s="11" t="s">
        <v>61</v>
      </c>
      <c r="L2399" s="11" t="s">
        <v>36</v>
      </c>
      <c r="M2399" s="11" t="s">
        <v>49</v>
      </c>
      <c r="N2399" s="11" t="s">
        <v>73</v>
      </c>
      <c r="O2399" s="11" t="s">
        <v>1517</v>
      </c>
      <c r="P2399" s="11" t="s">
        <v>31</v>
      </c>
      <c r="Q2399" s="20">
        <v>40224.0</v>
      </c>
      <c r="R2399" s="17">
        <f t="shared" si="2"/>
        <v>37.64241568</v>
      </c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>
        <f t="shared" si="8"/>
        <v>2</v>
      </c>
      <c r="AF2399" s="19">
        <f t="shared" si="13"/>
        <v>4</v>
      </c>
      <c r="AG2399" s="9"/>
      <c r="AH2399" s="9"/>
      <c r="AI2399" s="9"/>
    </row>
    <row r="2400" ht="15.0" customHeight="1">
      <c r="A2400" s="11">
        <v>2399.0</v>
      </c>
      <c r="B2400" s="12">
        <f t="shared" si="386"/>
        <v>40221</v>
      </c>
      <c r="C2400" s="13">
        <v>2010.0</v>
      </c>
      <c r="D2400" s="11" t="s">
        <v>39</v>
      </c>
      <c r="E2400" s="11">
        <v>17.0</v>
      </c>
      <c r="F2400" s="21" t="s">
        <v>799</v>
      </c>
      <c r="G2400" s="15">
        <v>0.08497513570967632</v>
      </c>
      <c r="H2400" s="11" t="s">
        <v>45</v>
      </c>
      <c r="I2400" s="16">
        <v>45.6</v>
      </c>
      <c r="J2400" s="11" t="s">
        <v>2098</v>
      </c>
      <c r="K2400" s="11" t="s">
        <v>83</v>
      </c>
      <c r="L2400" s="11" t="s">
        <v>48</v>
      </c>
      <c r="M2400" s="11" t="s">
        <v>49</v>
      </c>
      <c r="N2400" s="11" t="s">
        <v>50</v>
      </c>
      <c r="O2400" s="11" t="s">
        <v>801</v>
      </c>
      <c r="P2400" s="11" t="s">
        <v>52</v>
      </c>
      <c r="Q2400" s="20">
        <v>40224.0</v>
      </c>
      <c r="R2400" s="17">
        <f t="shared" si="2"/>
        <v>409.6566317</v>
      </c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>
        <f t="shared" si="8"/>
        <v>4</v>
      </c>
      <c r="AF2400" s="19" t="b">
        <f t="shared" si="13"/>
        <v>0</v>
      </c>
      <c r="AG2400" s="9"/>
      <c r="AH2400" s="9"/>
      <c r="AI2400" s="9"/>
    </row>
    <row r="2401" ht="15.0" customHeight="1">
      <c r="A2401" s="11">
        <v>2400.0</v>
      </c>
      <c r="B2401" s="12">
        <f t="shared" si="386"/>
        <v>40221</v>
      </c>
      <c r="C2401" s="13">
        <v>2010.0</v>
      </c>
      <c r="D2401" s="11" t="s">
        <v>39</v>
      </c>
      <c r="E2401" s="11">
        <v>42.0</v>
      </c>
      <c r="F2401" s="21" t="s">
        <v>573</v>
      </c>
      <c r="G2401" s="15">
        <v>0.02372071658245286</v>
      </c>
      <c r="H2401" s="11" t="s">
        <v>33</v>
      </c>
      <c r="I2401" s="16">
        <v>9.272</v>
      </c>
      <c r="J2401" s="11" t="s">
        <v>2098</v>
      </c>
      <c r="K2401" s="11" t="s">
        <v>83</v>
      </c>
      <c r="L2401" s="11" t="s">
        <v>48</v>
      </c>
      <c r="M2401" s="11" t="s">
        <v>28</v>
      </c>
      <c r="N2401" s="11" t="s">
        <v>56</v>
      </c>
      <c r="O2401" s="11" t="s">
        <v>1325</v>
      </c>
      <c r="P2401" s="11" t="s">
        <v>38</v>
      </c>
      <c r="Q2401" s="20">
        <v>40224.0</v>
      </c>
      <c r="R2401" s="17">
        <f t="shared" si="2"/>
        <v>10.08301244</v>
      </c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>
        <f t="shared" si="8"/>
        <v>4</v>
      </c>
      <c r="AF2401" s="19" t="b">
        <f t="shared" si="13"/>
        <v>0</v>
      </c>
      <c r="AG2401" s="9"/>
      <c r="AH2401" s="9"/>
      <c r="AI2401" s="9"/>
    </row>
    <row r="2402" ht="15.0" customHeight="1">
      <c r="A2402" s="11">
        <v>2401.0</v>
      </c>
      <c r="B2402" s="12">
        <f t="shared" si="386"/>
        <v>40221</v>
      </c>
      <c r="C2402" s="13">
        <v>2010.0</v>
      </c>
      <c r="D2402" s="11" t="s">
        <v>39</v>
      </c>
      <c r="E2402" s="11">
        <v>23.0</v>
      </c>
      <c r="F2402" s="21" t="s">
        <v>1139</v>
      </c>
      <c r="G2402" s="15">
        <v>0.030464547677261568</v>
      </c>
      <c r="H2402" s="11" t="s">
        <v>45</v>
      </c>
      <c r="I2402" s="16">
        <v>22.528000000000002</v>
      </c>
      <c r="J2402" s="11" t="s">
        <v>2039</v>
      </c>
      <c r="K2402" s="11" t="s">
        <v>83</v>
      </c>
      <c r="L2402" s="11" t="s">
        <v>41</v>
      </c>
      <c r="M2402" s="11" t="s">
        <v>49</v>
      </c>
      <c r="N2402" s="11" t="s">
        <v>50</v>
      </c>
      <c r="O2402" s="11" t="s">
        <v>1140</v>
      </c>
      <c r="P2402" s="11" t="s">
        <v>52</v>
      </c>
      <c r="Q2402" s="20">
        <v>40224.0</v>
      </c>
      <c r="R2402" s="17">
        <f t="shared" si="2"/>
        <v>159.4614349</v>
      </c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>
        <f t="shared" si="8"/>
        <v>3</v>
      </c>
      <c r="AF2402" s="19" t="b">
        <f t="shared" si="13"/>
        <v>0</v>
      </c>
      <c r="AG2402" s="9"/>
      <c r="AH2402" s="9"/>
      <c r="AI2402" s="9"/>
    </row>
    <row r="2403" ht="15.0" customHeight="1">
      <c r="A2403" s="11">
        <v>2402.0</v>
      </c>
      <c r="B2403" s="12">
        <f t="shared" ref="B2403:B2404" si="387">DATE(2012,12,31)-1052</f>
        <v>40222</v>
      </c>
      <c r="C2403" s="13">
        <v>2010.0</v>
      </c>
      <c r="D2403" s="11" t="s">
        <v>23</v>
      </c>
      <c r="E2403" s="11">
        <v>35.0</v>
      </c>
      <c r="F2403" s="21" t="s">
        <v>158</v>
      </c>
      <c r="G2403" s="15">
        <v>0.09165354330708662</v>
      </c>
      <c r="H2403" s="11" t="s">
        <v>33</v>
      </c>
      <c r="I2403" s="16">
        <v>6.720000000000001</v>
      </c>
      <c r="J2403" s="11" t="s">
        <v>2194</v>
      </c>
      <c r="K2403" s="11" t="s">
        <v>47</v>
      </c>
      <c r="L2403" s="11" t="s">
        <v>41</v>
      </c>
      <c r="M2403" s="11" t="s">
        <v>28</v>
      </c>
      <c r="N2403" s="11" t="s">
        <v>56</v>
      </c>
      <c r="O2403" s="11" t="s">
        <v>1260</v>
      </c>
      <c r="P2403" s="11" t="s">
        <v>38</v>
      </c>
      <c r="Q2403" s="20">
        <v>40224.0</v>
      </c>
      <c r="R2403" s="17">
        <f t="shared" si="2"/>
        <v>21.14630551</v>
      </c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>
        <f t="shared" si="8"/>
        <v>3</v>
      </c>
      <c r="AF2403" s="19">
        <f t="shared" si="13"/>
        <v>3</v>
      </c>
      <c r="AG2403" s="9"/>
      <c r="AH2403" s="9"/>
      <c r="AI2403" s="9"/>
    </row>
    <row r="2404" ht="15.0" customHeight="1">
      <c r="A2404" s="11">
        <v>2403.0</v>
      </c>
      <c r="B2404" s="12">
        <f t="shared" si="387"/>
        <v>40222</v>
      </c>
      <c r="C2404" s="13">
        <v>2010.0</v>
      </c>
      <c r="D2404" s="11" t="s">
        <v>23</v>
      </c>
      <c r="E2404" s="11">
        <v>12.0</v>
      </c>
      <c r="F2404" s="21" t="s">
        <v>103</v>
      </c>
      <c r="G2404" s="15">
        <v>0.0668292682926828</v>
      </c>
      <c r="H2404" s="11" t="s">
        <v>33</v>
      </c>
      <c r="I2404" s="16">
        <v>5.720000000000001</v>
      </c>
      <c r="J2404" s="11" t="s">
        <v>2194</v>
      </c>
      <c r="K2404" s="11" t="s">
        <v>47</v>
      </c>
      <c r="L2404" s="11" t="s">
        <v>41</v>
      </c>
      <c r="M2404" s="11" t="s">
        <v>28</v>
      </c>
      <c r="N2404" s="11" t="s">
        <v>56</v>
      </c>
      <c r="O2404" s="11" t="s">
        <v>1312</v>
      </c>
      <c r="P2404" s="11" t="s">
        <v>38</v>
      </c>
      <c r="Q2404" s="20">
        <v>40225.0</v>
      </c>
      <c r="R2404" s="17">
        <f t="shared" si="2"/>
        <v>5.11377561</v>
      </c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>
        <f t="shared" si="8"/>
        <v>3</v>
      </c>
      <c r="AF2404" s="19">
        <f t="shared" si="13"/>
        <v>3</v>
      </c>
      <c r="AG2404" s="9"/>
      <c r="AH2404" s="9"/>
      <c r="AI2404" s="9"/>
    </row>
    <row r="2405" ht="15.0" customHeight="1">
      <c r="A2405" s="11">
        <v>2404.0</v>
      </c>
      <c r="B2405" s="12">
        <f t="shared" ref="B2405:B2408" si="388">DATE(2012,12,31)-1051</f>
        <v>40223</v>
      </c>
      <c r="C2405" s="13">
        <v>2010.0</v>
      </c>
      <c r="D2405" s="11" t="s">
        <v>32</v>
      </c>
      <c r="E2405" s="11">
        <v>45.0</v>
      </c>
      <c r="F2405" s="21" t="s">
        <v>2195</v>
      </c>
      <c r="G2405" s="15">
        <v>0.06790263444994898</v>
      </c>
      <c r="H2405" s="11" t="s">
        <v>45</v>
      </c>
      <c r="I2405" s="16">
        <v>41.136</v>
      </c>
      <c r="J2405" s="11" t="s">
        <v>145</v>
      </c>
      <c r="K2405" s="11" t="s">
        <v>83</v>
      </c>
      <c r="L2405" s="11" t="s">
        <v>41</v>
      </c>
      <c r="M2405" s="11" t="s">
        <v>49</v>
      </c>
      <c r="N2405" s="11" t="s">
        <v>156</v>
      </c>
      <c r="O2405" s="11" t="s">
        <v>2196</v>
      </c>
      <c r="P2405" s="11" t="s">
        <v>87</v>
      </c>
      <c r="Q2405" s="20">
        <v>40225.0</v>
      </c>
      <c r="R2405" s="17">
        <f t="shared" si="2"/>
        <v>353.8838142</v>
      </c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>
        <f t="shared" si="8"/>
        <v>3</v>
      </c>
      <c r="AF2405" s="19" t="b">
        <f t="shared" si="13"/>
        <v>0</v>
      </c>
      <c r="AG2405" s="9"/>
      <c r="AH2405" s="9"/>
      <c r="AI2405" s="9"/>
    </row>
    <row r="2406" ht="15.0" customHeight="1">
      <c r="A2406" s="11">
        <v>2405.0</v>
      </c>
      <c r="B2406" s="12">
        <f t="shared" si="388"/>
        <v>40223</v>
      </c>
      <c r="C2406" s="13">
        <v>2010.0</v>
      </c>
      <c r="D2406" s="11" t="s">
        <v>32</v>
      </c>
      <c r="E2406" s="11">
        <v>45.0</v>
      </c>
      <c r="F2406" s="21" t="s">
        <v>2158</v>
      </c>
      <c r="G2406" s="15">
        <v>0.09401659959758558</v>
      </c>
      <c r="H2406" s="11" t="s">
        <v>33</v>
      </c>
      <c r="I2406" s="16">
        <v>5.376</v>
      </c>
      <c r="J2406" s="11" t="s">
        <v>145</v>
      </c>
      <c r="K2406" s="11" t="s">
        <v>83</v>
      </c>
      <c r="L2406" s="11" t="s">
        <v>41</v>
      </c>
      <c r="M2406" s="11" t="s">
        <v>28</v>
      </c>
      <c r="N2406" s="11" t="s">
        <v>29</v>
      </c>
      <c r="O2406" s="11" t="s">
        <v>2159</v>
      </c>
      <c r="P2406" s="11" t="s">
        <v>38</v>
      </c>
      <c r="Q2406" s="20">
        <v>40226.0</v>
      </c>
      <c r="R2406" s="17">
        <f t="shared" si="2"/>
        <v>135.466262</v>
      </c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>
        <f t="shared" si="8"/>
        <v>3</v>
      </c>
      <c r="AF2406" s="19" t="b">
        <f t="shared" si="13"/>
        <v>0</v>
      </c>
      <c r="AG2406" s="9"/>
      <c r="AH2406" s="9"/>
      <c r="AI2406" s="9"/>
    </row>
    <row r="2407" ht="15.0" customHeight="1">
      <c r="A2407" s="11">
        <v>2406.0</v>
      </c>
      <c r="B2407" s="12">
        <f t="shared" si="388"/>
        <v>40223</v>
      </c>
      <c r="C2407" s="13">
        <v>2010.0</v>
      </c>
      <c r="D2407" s="11" t="s">
        <v>102</v>
      </c>
      <c r="E2407" s="11">
        <v>29.0</v>
      </c>
      <c r="F2407" s="21" t="s">
        <v>178</v>
      </c>
      <c r="G2407" s="15">
        <v>0.049271417928979315</v>
      </c>
      <c r="H2407" s="11" t="s">
        <v>33</v>
      </c>
      <c r="I2407" s="16">
        <v>3.192</v>
      </c>
      <c r="J2407" s="11" t="s">
        <v>2069</v>
      </c>
      <c r="K2407" s="11" t="s">
        <v>35</v>
      </c>
      <c r="L2407" s="11" t="s">
        <v>41</v>
      </c>
      <c r="M2407" s="11" t="s">
        <v>66</v>
      </c>
      <c r="N2407" s="11" t="s">
        <v>80</v>
      </c>
      <c r="O2407" s="11" t="s">
        <v>2197</v>
      </c>
      <c r="P2407" s="11" t="s">
        <v>38</v>
      </c>
      <c r="Q2407" s="20">
        <v>40226.0</v>
      </c>
      <c r="R2407" s="17">
        <f t="shared" si="2"/>
        <v>94.31988117</v>
      </c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>
        <f t="shared" si="8"/>
        <v>3</v>
      </c>
      <c r="AF2407" s="19">
        <f t="shared" si="13"/>
        <v>2</v>
      </c>
      <c r="AG2407" s="9"/>
      <c r="AH2407" s="9"/>
      <c r="AI2407" s="9"/>
    </row>
    <row r="2408" ht="15.0" customHeight="1">
      <c r="A2408" s="11">
        <v>2407.0</v>
      </c>
      <c r="B2408" s="12">
        <f t="shared" si="388"/>
        <v>40223</v>
      </c>
      <c r="C2408" s="13">
        <v>2010.0</v>
      </c>
      <c r="D2408" s="11" t="s">
        <v>39</v>
      </c>
      <c r="E2408" s="11">
        <v>12.0</v>
      </c>
      <c r="F2408" s="21" t="s">
        <v>726</v>
      </c>
      <c r="G2408" s="15">
        <v>0.06608026388125364</v>
      </c>
      <c r="H2408" s="11" t="s">
        <v>33</v>
      </c>
      <c r="I2408" s="16">
        <v>5.48</v>
      </c>
      <c r="J2408" s="11" t="s">
        <v>681</v>
      </c>
      <c r="K2408" s="11" t="s">
        <v>61</v>
      </c>
      <c r="L2408" s="11" t="s">
        <v>48</v>
      </c>
      <c r="M2408" s="11" t="s">
        <v>49</v>
      </c>
      <c r="N2408" s="11" t="s">
        <v>73</v>
      </c>
      <c r="O2408" s="11" t="s">
        <v>1850</v>
      </c>
      <c r="P2408" s="11" t="s">
        <v>58</v>
      </c>
      <c r="Q2408" s="20">
        <v>40226.0</v>
      </c>
      <c r="R2408" s="17">
        <f t="shared" si="2"/>
        <v>11.22571523</v>
      </c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>
        <f t="shared" si="8"/>
        <v>4</v>
      </c>
      <c r="AF2408" s="19">
        <f t="shared" si="13"/>
        <v>4</v>
      </c>
      <c r="AG2408" s="9"/>
      <c r="AH2408" s="9"/>
      <c r="AI2408" s="9"/>
    </row>
    <row r="2409" ht="15.0" customHeight="1">
      <c r="A2409" s="11">
        <v>2408.0</v>
      </c>
      <c r="B2409" s="12">
        <f t="shared" ref="B2409:B2411" si="389">DATE(2012,12,31)-1050</f>
        <v>40224</v>
      </c>
      <c r="C2409" s="13">
        <v>2010.0</v>
      </c>
      <c r="D2409" s="11" t="s">
        <v>44</v>
      </c>
      <c r="E2409" s="11">
        <v>31.0</v>
      </c>
      <c r="F2409" s="21" t="s">
        <v>319</v>
      </c>
      <c r="G2409" s="15">
        <v>0.08307045215562557</v>
      </c>
      <c r="H2409" s="11" t="s">
        <v>33</v>
      </c>
      <c r="I2409" s="16">
        <v>0.4</v>
      </c>
      <c r="J2409" s="11" t="s">
        <v>1697</v>
      </c>
      <c r="K2409" s="11" t="s">
        <v>61</v>
      </c>
      <c r="L2409" s="11" t="s">
        <v>48</v>
      </c>
      <c r="M2409" s="11" t="s">
        <v>28</v>
      </c>
      <c r="N2409" s="11" t="s">
        <v>188</v>
      </c>
      <c r="O2409" s="11" t="s">
        <v>2198</v>
      </c>
      <c r="P2409" s="11" t="s">
        <v>38</v>
      </c>
      <c r="Q2409" s="20">
        <v>40227.0</v>
      </c>
      <c r="R2409" s="17">
        <f t="shared" si="2"/>
        <v>7.243743428</v>
      </c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>
        <f t="shared" si="8"/>
        <v>4</v>
      </c>
      <c r="AF2409" s="19">
        <f t="shared" si="13"/>
        <v>4</v>
      </c>
      <c r="AG2409" s="9"/>
      <c r="AH2409" s="9"/>
      <c r="AI2409" s="9"/>
    </row>
    <row r="2410" ht="15.0" customHeight="1">
      <c r="A2410" s="11">
        <v>2409.0</v>
      </c>
      <c r="B2410" s="12">
        <f t="shared" si="389"/>
        <v>40224</v>
      </c>
      <c r="C2410" s="13">
        <v>2010.0</v>
      </c>
      <c r="D2410" s="11" t="s">
        <v>44</v>
      </c>
      <c r="E2410" s="11">
        <v>25.0</v>
      </c>
      <c r="F2410" s="21" t="s">
        <v>1997</v>
      </c>
      <c r="G2410" s="15">
        <v>0.08051371862230006</v>
      </c>
      <c r="H2410" s="11" t="s">
        <v>33</v>
      </c>
      <c r="I2410" s="16">
        <v>5.016</v>
      </c>
      <c r="J2410" s="11" t="s">
        <v>1697</v>
      </c>
      <c r="K2410" s="11" t="s">
        <v>61</v>
      </c>
      <c r="L2410" s="11" t="s">
        <v>48</v>
      </c>
      <c r="M2410" s="11" t="s">
        <v>28</v>
      </c>
      <c r="N2410" s="11" t="s">
        <v>29</v>
      </c>
      <c r="O2410" s="11" t="s">
        <v>1998</v>
      </c>
      <c r="P2410" s="11" t="s">
        <v>75</v>
      </c>
      <c r="Q2410" s="20">
        <v>40227.0</v>
      </c>
      <c r="R2410" s="17">
        <f t="shared" si="2"/>
        <v>25.36310959</v>
      </c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>
        <f t="shared" si="8"/>
        <v>4</v>
      </c>
      <c r="AF2410" s="19">
        <f t="shared" si="13"/>
        <v>4</v>
      </c>
      <c r="AG2410" s="9"/>
      <c r="AH2410" s="9"/>
      <c r="AI2410" s="9"/>
    </row>
    <row r="2411" ht="15.0" customHeight="1">
      <c r="A2411" s="11">
        <v>2410.0</v>
      </c>
      <c r="B2411" s="12">
        <f t="shared" si="389"/>
        <v>40224</v>
      </c>
      <c r="C2411" s="13">
        <v>2010.0</v>
      </c>
      <c r="D2411" s="11" t="s">
        <v>39</v>
      </c>
      <c r="E2411" s="11">
        <v>8.0</v>
      </c>
      <c r="F2411" s="21" t="s">
        <v>509</v>
      </c>
      <c r="G2411" s="15">
        <v>0.03604126177306034</v>
      </c>
      <c r="H2411" s="11" t="s">
        <v>24</v>
      </c>
      <c r="I2411" s="16">
        <v>15.991999999999999</v>
      </c>
      <c r="J2411" s="11" t="s">
        <v>1965</v>
      </c>
      <c r="K2411" s="11" t="s">
        <v>35</v>
      </c>
      <c r="L2411" s="11" t="s">
        <v>48</v>
      </c>
      <c r="M2411" s="11" t="s">
        <v>49</v>
      </c>
      <c r="N2411" s="11" t="s">
        <v>73</v>
      </c>
      <c r="O2411" s="11" t="s">
        <v>664</v>
      </c>
      <c r="P2411" s="11" t="s">
        <v>38</v>
      </c>
      <c r="Q2411" s="20">
        <v>40228.0</v>
      </c>
      <c r="R2411" s="17">
        <f t="shared" si="2"/>
        <v>23.23911726</v>
      </c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>
        <f t="shared" si="8"/>
        <v>4</v>
      </c>
      <c r="AF2411" s="19">
        <f t="shared" si="13"/>
        <v>2</v>
      </c>
      <c r="AG2411" s="9"/>
      <c r="AH2411" s="9"/>
      <c r="AI2411" s="9"/>
    </row>
    <row r="2412" ht="15.0" customHeight="1">
      <c r="A2412" s="11">
        <v>2411.0</v>
      </c>
      <c r="B2412" s="12">
        <f t="shared" ref="B2412:B2413" si="390">DATE(2012,12,31)-1049</f>
        <v>40225</v>
      </c>
      <c r="C2412" s="13">
        <v>2010.0</v>
      </c>
      <c r="D2412" s="11" t="s">
        <v>44</v>
      </c>
      <c r="E2412" s="11">
        <v>27.0</v>
      </c>
      <c r="F2412" s="21" t="s">
        <v>1195</v>
      </c>
      <c r="G2412" s="15">
        <v>0.10810743285446592</v>
      </c>
      <c r="H2412" s="11" t="s">
        <v>33</v>
      </c>
      <c r="I2412" s="16">
        <v>2.3920000000000003</v>
      </c>
      <c r="J2412" s="11" t="s">
        <v>2191</v>
      </c>
      <c r="K2412" s="11" t="s">
        <v>35</v>
      </c>
      <c r="L2412" s="11" t="s">
        <v>48</v>
      </c>
      <c r="M2412" s="11" t="s">
        <v>28</v>
      </c>
      <c r="N2412" s="11" t="s">
        <v>42</v>
      </c>
      <c r="O2412" s="11" t="s">
        <v>2199</v>
      </c>
      <c r="P2412" s="11" t="s">
        <v>38</v>
      </c>
      <c r="Q2412" s="20">
        <v>40228.0</v>
      </c>
      <c r="R2412" s="17">
        <f t="shared" si="2"/>
        <v>15.43687655</v>
      </c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>
        <f t="shared" si="8"/>
        <v>4</v>
      </c>
      <c r="AF2412" s="19">
        <f t="shared" si="13"/>
        <v>2</v>
      </c>
      <c r="AG2412" s="9"/>
      <c r="AH2412" s="9"/>
      <c r="AI2412" s="9"/>
    </row>
    <row r="2413" ht="15.0" customHeight="1">
      <c r="A2413" s="11">
        <v>2412.0</v>
      </c>
      <c r="B2413" s="12">
        <f t="shared" si="390"/>
        <v>40225</v>
      </c>
      <c r="C2413" s="13">
        <v>2010.0</v>
      </c>
      <c r="D2413" s="11" t="s">
        <v>44</v>
      </c>
      <c r="E2413" s="11">
        <v>13.0</v>
      </c>
      <c r="F2413" s="21" t="s">
        <v>490</v>
      </c>
      <c r="G2413" s="15">
        <v>0.005248130523453452</v>
      </c>
      <c r="H2413" s="11" t="s">
        <v>33</v>
      </c>
      <c r="I2413" s="16">
        <v>11.440000000000001</v>
      </c>
      <c r="J2413" s="11" t="s">
        <v>1784</v>
      </c>
      <c r="K2413" s="11" t="s">
        <v>117</v>
      </c>
      <c r="L2413" s="11" t="s">
        <v>41</v>
      </c>
      <c r="M2413" s="11" t="s">
        <v>28</v>
      </c>
      <c r="N2413" s="11" t="s">
        <v>56</v>
      </c>
      <c r="O2413" s="11" t="s">
        <v>492</v>
      </c>
      <c r="P2413" s="11" t="s">
        <v>38</v>
      </c>
      <c r="Q2413" s="20">
        <v>40228.0</v>
      </c>
      <c r="R2413" s="17">
        <f t="shared" si="2"/>
        <v>3.839742216</v>
      </c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>
        <f t="shared" si="8"/>
        <v>3</v>
      </c>
      <c r="AF2413" s="19" t="b">
        <f t="shared" si="13"/>
        <v>0</v>
      </c>
      <c r="AG2413" s="9"/>
      <c r="AH2413" s="9"/>
      <c r="AI2413" s="9"/>
    </row>
    <row r="2414" ht="15.0" customHeight="1">
      <c r="A2414" s="11">
        <v>2413.0</v>
      </c>
      <c r="B2414" s="12">
        <f t="shared" ref="B2414:B2417" si="391">DATE(2012,12,31)-1048</f>
        <v>40226</v>
      </c>
      <c r="C2414" s="13">
        <v>2010.0</v>
      </c>
      <c r="D2414" s="11" t="s">
        <v>32</v>
      </c>
      <c r="E2414" s="11">
        <v>31.0</v>
      </c>
      <c r="F2414" s="21" t="s">
        <v>1265</v>
      </c>
      <c r="G2414" s="15">
        <v>0.038003243827716644</v>
      </c>
      <c r="H2414" s="11" t="s">
        <v>33</v>
      </c>
      <c r="I2414" s="16">
        <v>9.912</v>
      </c>
      <c r="J2414" s="11" t="s">
        <v>966</v>
      </c>
      <c r="K2414" s="11" t="s">
        <v>26</v>
      </c>
      <c r="L2414" s="11" t="s">
        <v>36</v>
      </c>
      <c r="M2414" s="11" t="s">
        <v>28</v>
      </c>
      <c r="N2414" s="11" t="s">
        <v>236</v>
      </c>
      <c r="O2414" s="11" t="s">
        <v>1267</v>
      </c>
      <c r="P2414" s="11" t="s">
        <v>38</v>
      </c>
      <c r="Q2414" s="20">
        <v>40228.0</v>
      </c>
      <c r="R2414" s="17">
        <f t="shared" si="2"/>
        <v>20.28658759</v>
      </c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>
        <f t="shared" si="8"/>
        <v>2</v>
      </c>
      <c r="AF2414" s="19">
        <f t="shared" si="13"/>
        <v>1</v>
      </c>
      <c r="AG2414" s="9"/>
      <c r="AH2414" s="9"/>
      <c r="AI2414" s="9"/>
    </row>
    <row r="2415" ht="15.0" customHeight="1">
      <c r="A2415" s="11">
        <v>2414.0</v>
      </c>
      <c r="B2415" s="12">
        <f t="shared" si="391"/>
        <v>40226</v>
      </c>
      <c r="C2415" s="13">
        <v>2010.0</v>
      </c>
      <c r="D2415" s="11" t="s">
        <v>39</v>
      </c>
      <c r="E2415" s="11">
        <v>31.0</v>
      </c>
      <c r="F2415" s="21" t="s">
        <v>310</v>
      </c>
      <c r="G2415" s="15">
        <v>0.0915767888227627</v>
      </c>
      <c r="H2415" s="11" t="s">
        <v>33</v>
      </c>
      <c r="I2415" s="16">
        <v>19.592</v>
      </c>
      <c r="J2415" s="11" t="s">
        <v>1068</v>
      </c>
      <c r="K2415" s="11" t="s">
        <v>35</v>
      </c>
      <c r="L2415" s="11" t="s">
        <v>41</v>
      </c>
      <c r="M2415" s="11" t="s">
        <v>49</v>
      </c>
      <c r="N2415" s="11" t="s">
        <v>50</v>
      </c>
      <c r="O2415" s="11" t="s">
        <v>1937</v>
      </c>
      <c r="P2415" s="11" t="s">
        <v>31</v>
      </c>
      <c r="Q2415" s="20">
        <v>40228.0</v>
      </c>
      <c r="R2415" s="17">
        <f t="shared" si="2"/>
        <v>912.79091</v>
      </c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>
        <f t="shared" si="8"/>
        <v>3</v>
      </c>
      <c r="AF2415" s="19">
        <f t="shared" si="13"/>
        <v>2</v>
      </c>
      <c r="AG2415" s="9"/>
      <c r="AH2415" s="9"/>
      <c r="AI2415" s="9"/>
    </row>
    <row r="2416" ht="15.0" customHeight="1">
      <c r="A2416" s="11">
        <v>2415.0</v>
      </c>
      <c r="B2416" s="12">
        <f t="shared" si="391"/>
        <v>40226</v>
      </c>
      <c r="C2416" s="13">
        <v>2010.0</v>
      </c>
      <c r="D2416" s="11" t="s">
        <v>39</v>
      </c>
      <c r="E2416" s="11">
        <v>18.0</v>
      </c>
      <c r="F2416" s="21" t="s">
        <v>126</v>
      </c>
      <c r="G2416" s="15">
        <v>0.0340336134453781</v>
      </c>
      <c r="H2416" s="11" t="s">
        <v>33</v>
      </c>
      <c r="I2416" s="16">
        <v>3.7600000000000002</v>
      </c>
      <c r="J2416" s="11" t="s">
        <v>1068</v>
      </c>
      <c r="K2416" s="11" t="s">
        <v>35</v>
      </c>
      <c r="L2416" s="11" t="s">
        <v>41</v>
      </c>
      <c r="M2416" s="11" t="s">
        <v>28</v>
      </c>
      <c r="N2416" s="11" t="s">
        <v>56</v>
      </c>
      <c r="O2416" s="11" t="s">
        <v>1730</v>
      </c>
      <c r="P2416" s="11" t="s">
        <v>38</v>
      </c>
      <c r="Q2416" s="20">
        <v>40229.0</v>
      </c>
      <c r="R2416" s="17">
        <f t="shared" si="2"/>
        <v>3.129731092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>
        <f t="shared" si="8"/>
        <v>3</v>
      </c>
      <c r="AF2416" s="19">
        <f t="shared" si="13"/>
        <v>2</v>
      </c>
      <c r="AG2416" s="9"/>
      <c r="AH2416" s="9"/>
      <c r="AI2416" s="9"/>
    </row>
    <row r="2417" ht="15.0" customHeight="1">
      <c r="A2417" s="11">
        <v>2416.0</v>
      </c>
      <c r="B2417" s="12">
        <f t="shared" si="391"/>
        <v>40226</v>
      </c>
      <c r="C2417" s="13">
        <v>2010.0</v>
      </c>
      <c r="D2417" s="11" t="s">
        <v>32</v>
      </c>
      <c r="E2417" s="11">
        <v>11.0</v>
      </c>
      <c r="F2417" s="21" t="s">
        <v>737</v>
      </c>
      <c r="G2417" s="15">
        <v>0.03211541929666365</v>
      </c>
      <c r="H2417" s="11" t="s">
        <v>33</v>
      </c>
      <c r="I2417" s="16">
        <v>3.192</v>
      </c>
      <c r="J2417" s="11" t="s">
        <v>1685</v>
      </c>
      <c r="K2417" s="11" t="s">
        <v>61</v>
      </c>
      <c r="L2417" s="11" t="s">
        <v>41</v>
      </c>
      <c r="M2417" s="11" t="s">
        <v>28</v>
      </c>
      <c r="N2417" s="11" t="s">
        <v>197</v>
      </c>
      <c r="O2417" s="11" t="s">
        <v>739</v>
      </c>
      <c r="P2417" s="11" t="s">
        <v>38</v>
      </c>
      <c r="Q2417" s="20">
        <v>40229.0</v>
      </c>
      <c r="R2417" s="17">
        <f t="shared" si="2"/>
        <v>17.23608861</v>
      </c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>
        <f t="shared" si="8"/>
        <v>3</v>
      </c>
      <c r="AF2417" s="19">
        <f t="shared" si="13"/>
        <v>4</v>
      </c>
      <c r="AG2417" s="9"/>
      <c r="AH2417" s="9"/>
      <c r="AI2417" s="9"/>
    </row>
    <row r="2418" ht="15.0" customHeight="1">
      <c r="A2418" s="11">
        <v>2417.0</v>
      </c>
      <c r="B2418" s="12">
        <f>DATE(2012,12,31)-1047</f>
        <v>40227</v>
      </c>
      <c r="C2418" s="13">
        <v>2010.0</v>
      </c>
      <c r="D2418" s="11" t="s">
        <v>23</v>
      </c>
      <c r="E2418" s="11">
        <v>18.0</v>
      </c>
      <c r="F2418" s="21" t="s">
        <v>629</v>
      </c>
      <c r="G2418" s="15">
        <v>0.05769863013698635</v>
      </c>
      <c r="H2418" s="11" t="s">
        <v>33</v>
      </c>
      <c r="I2418" s="16">
        <v>6.176</v>
      </c>
      <c r="J2418" s="11" t="s">
        <v>1784</v>
      </c>
      <c r="K2418" s="11" t="s">
        <v>117</v>
      </c>
      <c r="L2418" s="11" t="s">
        <v>41</v>
      </c>
      <c r="M2418" s="11" t="s">
        <v>28</v>
      </c>
      <c r="N2418" s="11" t="s">
        <v>42</v>
      </c>
      <c r="O2418" s="11" t="s">
        <v>1822</v>
      </c>
      <c r="P2418" s="11" t="s">
        <v>38</v>
      </c>
      <c r="Q2418" s="20">
        <v>40229.0</v>
      </c>
      <c r="R2418" s="17">
        <f t="shared" si="2"/>
        <v>7.93794674</v>
      </c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>
        <f t="shared" si="8"/>
        <v>3</v>
      </c>
      <c r="AF2418" s="19" t="b">
        <f t="shared" si="13"/>
        <v>0</v>
      </c>
      <c r="AG2418" s="9"/>
      <c r="AH2418" s="9"/>
      <c r="AI2418" s="9"/>
    </row>
    <row r="2419" ht="15.0" customHeight="1">
      <c r="A2419" s="11">
        <v>2418.0</v>
      </c>
      <c r="B2419" s="12">
        <f t="shared" ref="B2419:B2423" si="392">DATE(2012,12,31)-1046</f>
        <v>40228</v>
      </c>
      <c r="C2419" s="13">
        <v>2010.0</v>
      </c>
      <c r="D2419" s="11" t="s">
        <v>102</v>
      </c>
      <c r="E2419" s="11">
        <v>5.0</v>
      </c>
      <c r="F2419" s="21" t="s">
        <v>247</v>
      </c>
      <c r="G2419" s="15">
        <v>0.04128093158660835</v>
      </c>
      <c r="H2419" s="11" t="s">
        <v>33</v>
      </c>
      <c r="I2419" s="16">
        <v>1.592</v>
      </c>
      <c r="J2419" s="11" t="s">
        <v>2086</v>
      </c>
      <c r="K2419" s="11" t="s">
        <v>83</v>
      </c>
      <c r="L2419" s="11" t="s">
        <v>41</v>
      </c>
      <c r="M2419" s="11" t="s">
        <v>66</v>
      </c>
      <c r="N2419" s="11" t="s">
        <v>67</v>
      </c>
      <c r="O2419" s="11" t="s">
        <v>249</v>
      </c>
      <c r="P2419" s="11" t="s">
        <v>99</v>
      </c>
      <c r="Q2419" s="20">
        <v>40229.0</v>
      </c>
      <c r="R2419" s="17">
        <f t="shared" si="2"/>
        <v>8.156781834</v>
      </c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>
        <f t="shared" si="8"/>
        <v>3</v>
      </c>
      <c r="AF2419" s="19" t="b">
        <f t="shared" si="13"/>
        <v>0</v>
      </c>
      <c r="AG2419" s="9"/>
      <c r="AH2419" s="9"/>
      <c r="AI2419" s="9"/>
    </row>
    <row r="2420" ht="15.0" customHeight="1">
      <c r="A2420" s="11">
        <v>2419.0</v>
      </c>
      <c r="B2420" s="12">
        <f t="shared" si="392"/>
        <v>40228</v>
      </c>
      <c r="C2420" s="13">
        <v>2010.0</v>
      </c>
      <c r="D2420" s="11" t="s">
        <v>102</v>
      </c>
      <c r="E2420" s="11">
        <v>33.0</v>
      </c>
      <c r="F2420" s="21" t="s">
        <v>389</v>
      </c>
      <c r="G2420" s="15">
        <v>0.07733179617246944</v>
      </c>
      <c r="H2420" s="11" t="s">
        <v>45</v>
      </c>
      <c r="I2420" s="16">
        <v>44.912000000000006</v>
      </c>
      <c r="J2420" s="11" t="s">
        <v>2086</v>
      </c>
      <c r="K2420" s="11" t="s">
        <v>83</v>
      </c>
      <c r="L2420" s="11" t="s">
        <v>41</v>
      </c>
      <c r="M2420" s="11" t="s">
        <v>66</v>
      </c>
      <c r="N2420" s="11" t="s">
        <v>69</v>
      </c>
      <c r="O2420" s="11" t="s">
        <v>390</v>
      </c>
      <c r="P2420" s="11" t="s">
        <v>87</v>
      </c>
      <c r="Q2420" s="20">
        <v>40229.0</v>
      </c>
      <c r="R2420" s="17">
        <f t="shared" si="2"/>
        <v>309.4518435</v>
      </c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>
        <f t="shared" si="8"/>
        <v>3</v>
      </c>
      <c r="AF2420" s="19" t="b">
        <f t="shared" si="13"/>
        <v>0</v>
      </c>
      <c r="AG2420" s="9"/>
      <c r="AH2420" s="9"/>
      <c r="AI2420" s="9"/>
    </row>
    <row r="2421" ht="15.0" customHeight="1">
      <c r="A2421" s="11">
        <v>2420.0</v>
      </c>
      <c r="B2421" s="12">
        <f t="shared" si="392"/>
        <v>40228</v>
      </c>
      <c r="C2421" s="13">
        <v>2010.0</v>
      </c>
      <c r="D2421" s="11" t="s">
        <v>102</v>
      </c>
      <c r="E2421" s="11">
        <v>34.0</v>
      </c>
      <c r="F2421" s="21" t="s">
        <v>422</v>
      </c>
      <c r="G2421" s="15">
        <v>0.013351324479795276</v>
      </c>
      <c r="H2421" s="11" t="s">
        <v>33</v>
      </c>
      <c r="I2421" s="16">
        <v>28.0</v>
      </c>
      <c r="J2421" s="11" t="s">
        <v>2086</v>
      </c>
      <c r="K2421" s="11" t="s">
        <v>83</v>
      </c>
      <c r="L2421" s="11" t="s">
        <v>41</v>
      </c>
      <c r="M2421" s="11" t="s">
        <v>28</v>
      </c>
      <c r="N2421" s="11" t="s">
        <v>29</v>
      </c>
      <c r="O2421" s="11" t="s">
        <v>424</v>
      </c>
      <c r="P2421" s="11" t="s">
        <v>31</v>
      </c>
      <c r="Q2421" s="20">
        <v>40229.0</v>
      </c>
      <c r="R2421" s="17">
        <f t="shared" si="2"/>
        <v>37.0979902</v>
      </c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>
        <f t="shared" si="8"/>
        <v>3</v>
      </c>
      <c r="AF2421" s="19" t="b">
        <f t="shared" si="13"/>
        <v>0</v>
      </c>
      <c r="AG2421" s="9"/>
      <c r="AH2421" s="9"/>
      <c r="AI2421" s="9"/>
    </row>
    <row r="2422" ht="15.0" customHeight="1">
      <c r="A2422" s="11">
        <v>2421.0</v>
      </c>
      <c r="B2422" s="12">
        <f t="shared" si="392"/>
        <v>40228</v>
      </c>
      <c r="C2422" s="13">
        <v>2010.0</v>
      </c>
      <c r="D2422" s="11" t="s">
        <v>102</v>
      </c>
      <c r="E2422" s="11">
        <v>4.0</v>
      </c>
      <c r="F2422" s="21" t="s">
        <v>2004</v>
      </c>
      <c r="G2422" s="15">
        <v>0.029948186528497376</v>
      </c>
      <c r="H2422" s="11" t="s">
        <v>33</v>
      </c>
      <c r="I2422" s="16">
        <v>11.776000000000002</v>
      </c>
      <c r="J2422" s="11" t="s">
        <v>648</v>
      </c>
      <c r="K2422" s="11" t="s">
        <v>35</v>
      </c>
      <c r="L2422" s="11" t="s">
        <v>48</v>
      </c>
      <c r="M2422" s="11" t="s">
        <v>28</v>
      </c>
      <c r="N2422" s="11" t="s">
        <v>42</v>
      </c>
      <c r="O2422" s="11" t="s">
        <v>2005</v>
      </c>
      <c r="P2422" s="11" t="s">
        <v>38</v>
      </c>
      <c r="Q2422" s="20">
        <v>40230.0</v>
      </c>
      <c r="R2422" s="17">
        <f t="shared" si="2"/>
        <v>4.485519585</v>
      </c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>
        <f t="shared" si="8"/>
        <v>4</v>
      </c>
      <c r="AF2422" s="19">
        <f t="shared" si="13"/>
        <v>2</v>
      </c>
      <c r="AG2422" s="9"/>
      <c r="AH2422" s="9"/>
      <c r="AI2422" s="9"/>
    </row>
    <row r="2423" ht="15.0" customHeight="1">
      <c r="A2423" s="11">
        <v>2422.0</v>
      </c>
      <c r="B2423" s="12">
        <f t="shared" si="392"/>
        <v>40228</v>
      </c>
      <c r="C2423" s="13">
        <v>2010.0</v>
      </c>
      <c r="D2423" s="11" t="s">
        <v>32</v>
      </c>
      <c r="E2423" s="11">
        <v>3.0</v>
      </c>
      <c r="F2423" s="21" t="s">
        <v>705</v>
      </c>
      <c r="G2423" s="15">
        <v>0.11065868263473037</v>
      </c>
      <c r="H2423" s="11" t="s">
        <v>33</v>
      </c>
      <c r="I2423" s="16">
        <v>3.7520000000000007</v>
      </c>
      <c r="J2423" s="11" t="s">
        <v>763</v>
      </c>
      <c r="K2423" s="11" t="s">
        <v>65</v>
      </c>
      <c r="L2423" s="11" t="s">
        <v>27</v>
      </c>
      <c r="M2423" s="11" t="s">
        <v>28</v>
      </c>
      <c r="N2423" s="11" t="s">
        <v>42</v>
      </c>
      <c r="O2423" s="11" t="s">
        <v>2200</v>
      </c>
      <c r="P2423" s="11" t="s">
        <v>38</v>
      </c>
      <c r="Q2423" s="20">
        <v>40230.0</v>
      </c>
      <c r="R2423" s="17">
        <f t="shared" si="2"/>
        <v>1.643502754</v>
      </c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>
        <f t="shared" si="8"/>
        <v>1</v>
      </c>
      <c r="AF2423" s="19">
        <f t="shared" si="13"/>
        <v>5</v>
      </c>
      <c r="AG2423" s="9"/>
      <c r="AH2423" s="9"/>
      <c r="AI2423" s="9"/>
    </row>
    <row r="2424" ht="15.0" customHeight="1">
      <c r="A2424" s="11">
        <v>2423.0</v>
      </c>
      <c r="B2424" s="12">
        <f t="shared" ref="B2424:B2432" si="393">DATE(2012,12,31)-1045</f>
        <v>40229</v>
      </c>
      <c r="C2424" s="13">
        <v>2010.0</v>
      </c>
      <c r="D2424" s="11" t="s">
        <v>102</v>
      </c>
      <c r="E2424" s="11">
        <v>30.0</v>
      </c>
      <c r="F2424" s="21" t="s">
        <v>731</v>
      </c>
      <c r="G2424" s="15">
        <v>0.06044801128847353</v>
      </c>
      <c r="H2424" s="11" t="s">
        <v>33</v>
      </c>
      <c r="I2424" s="16">
        <v>2.3920000000000003</v>
      </c>
      <c r="J2424" s="11" t="s">
        <v>1054</v>
      </c>
      <c r="K2424" s="11" t="s">
        <v>61</v>
      </c>
      <c r="L2424" s="11" t="s">
        <v>48</v>
      </c>
      <c r="M2424" s="11" t="s">
        <v>28</v>
      </c>
      <c r="N2424" s="11" t="s">
        <v>42</v>
      </c>
      <c r="O2424" s="11" t="s">
        <v>1302</v>
      </c>
      <c r="P2424" s="11" t="s">
        <v>38</v>
      </c>
      <c r="Q2424" s="20">
        <v>40231.0</v>
      </c>
      <c r="R2424" s="17">
        <f t="shared" si="2"/>
        <v>68.51129241</v>
      </c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>
        <f t="shared" si="8"/>
        <v>4</v>
      </c>
      <c r="AF2424" s="19">
        <f t="shared" si="13"/>
        <v>4</v>
      </c>
      <c r="AG2424" s="9"/>
      <c r="AH2424" s="9"/>
      <c r="AI2424" s="9"/>
    </row>
    <row r="2425" ht="15.0" customHeight="1">
      <c r="A2425" s="11">
        <v>2424.0</v>
      </c>
      <c r="B2425" s="12">
        <f t="shared" si="393"/>
        <v>40229</v>
      </c>
      <c r="C2425" s="13">
        <v>2010.0</v>
      </c>
      <c r="D2425" s="11" t="s">
        <v>44</v>
      </c>
      <c r="E2425" s="11">
        <v>16.0</v>
      </c>
      <c r="F2425" s="21" t="s">
        <v>333</v>
      </c>
      <c r="G2425" s="15">
        <v>0.053225806451612914</v>
      </c>
      <c r="H2425" s="11" t="s">
        <v>33</v>
      </c>
      <c r="I2425" s="16">
        <v>0.5599999999999999</v>
      </c>
      <c r="J2425" s="11" t="s">
        <v>977</v>
      </c>
      <c r="K2425" s="11" t="s">
        <v>83</v>
      </c>
      <c r="L2425" s="11" t="s">
        <v>48</v>
      </c>
      <c r="M2425" s="11" t="s">
        <v>28</v>
      </c>
      <c r="N2425" s="11" t="s">
        <v>62</v>
      </c>
      <c r="O2425" s="11" t="s">
        <v>480</v>
      </c>
      <c r="P2425" s="11" t="s">
        <v>58</v>
      </c>
      <c r="Q2425" s="20">
        <v>40231.0</v>
      </c>
      <c r="R2425" s="17">
        <f t="shared" si="2"/>
        <v>2.499483871</v>
      </c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>
        <f t="shared" si="8"/>
        <v>4</v>
      </c>
      <c r="AF2425" s="19" t="b">
        <f t="shared" si="13"/>
        <v>0</v>
      </c>
      <c r="AG2425" s="9"/>
      <c r="AH2425" s="9"/>
      <c r="AI2425" s="9"/>
    </row>
    <row r="2426" ht="15.0" customHeight="1">
      <c r="A2426" s="11">
        <v>2425.0</v>
      </c>
      <c r="B2426" s="12">
        <f t="shared" si="393"/>
        <v>40229</v>
      </c>
      <c r="C2426" s="13">
        <v>2010.0</v>
      </c>
      <c r="D2426" s="11" t="s">
        <v>23</v>
      </c>
      <c r="E2426" s="11">
        <v>36.0</v>
      </c>
      <c r="F2426" s="21" t="s">
        <v>889</v>
      </c>
      <c r="G2426" s="15">
        <v>0.07814956855225294</v>
      </c>
      <c r="H2426" s="11" t="s">
        <v>33</v>
      </c>
      <c r="I2426" s="16">
        <v>2.3920000000000003</v>
      </c>
      <c r="J2426" s="11" t="s">
        <v>608</v>
      </c>
      <c r="K2426" s="11" t="s">
        <v>35</v>
      </c>
      <c r="L2426" s="11" t="s">
        <v>48</v>
      </c>
      <c r="M2426" s="11" t="s">
        <v>28</v>
      </c>
      <c r="N2426" s="11" t="s">
        <v>42</v>
      </c>
      <c r="O2426" s="11" t="s">
        <v>2201</v>
      </c>
      <c r="P2426" s="11" t="s">
        <v>38</v>
      </c>
      <c r="Q2426" s="20">
        <v>40231.0</v>
      </c>
      <c r="R2426" s="17">
        <f t="shared" si="2"/>
        <v>60.11202293</v>
      </c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>
        <f t="shared" si="8"/>
        <v>4</v>
      </c>
      <c r="AF2426" s="19">
        <f t="shared" si="13"/>
        <v>2</v>
      </c>
      <c r="AG2426" s="9"/>
      <c r="AH2426" s="9"/>
      <c r="AI2426" s="9"/>
    </row>
    <row r="2427" ht="15.0" customHeight="1">
      <c r="A2427" s="11">
        <v>2426.0</v>
      </c>
      <c r="B2427" s="12">
        <f t="shared" si="393"/>
        <v>40229</v>
      </c>
      <c r="C2427" s="13">
        <v>2010.0</v>
      </c>
      <c r="D2427" s="11" t="s">
        <v>23</v>
      </c>
      <c r="E2427" s="11">
        <v>48.0</v>
      </c>
      <c r="F2427" s="21" t="s">
        <v>573</v>
      </c>
      <c r="G2427" s="15">
        <v>0.03967942296133034</v>
      </c>
      <c r="H2427" s="11" t="s">
        <v>33</v>
      </c>
      <c r="I2427" s="16">
        <v>4.096</v>
      </c>
      <c r="J2427" s="11" t="s">
        <v>608</v>
      </c>
      <c r="K2427" s="11" t="s">
        <v>35</v>
      </c>
      <c r="L2427" s="11" t="s">
        <v>48</v>
      </c>
      <c r="M2427" s="11" t="s">
        <v>28</v>
      </c>
      <c r="N2427" s="11" t="s">
        <v>56</v>
      </c>
      <c r="O2427" s="11" t="s">
        <v>2202</v>
      </c>
      <c r="P2427" s="11" t="s">
        <v>38</v>
      </c>
      <c r="Q2427" s="20">
        <v>40231.0</v>
      </c>
      <c r="R2427" s="17">
        <f t="shared" si="2"/>
        <v>19.01818871</v>
      </c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>
        <f t="shared" si="8"/>
        <v>4</v>
      </c>
      <c r="AF2427" s="19">
        <f t="shared" si="13"/>
        <v>2</v>
      </c>
      <c r="AG2427" s="9"/>
      <c r="AH2427" s="9"/>
      <c r="AI2427" s="9"/>
    </row>
    <row r="2428" ht="15.0" customHeight="1">
      <c r="A2428" s="11">
        <v>2427.0</v>
      </c>
      <c r="B2428" s="12">
        <f t="shared" si="393"/>
        <v>40229</v>
      </c>
      <c r="C2428" s="13">
        <v>2010.0</v>
      </c>
      <c r="D2428" s="11" t="s">
        <v>32</v>
      </c>
      <c r="E2428" s="11">
        <v>39.0</v>
      </c>
      <c r="F2428" s="21" t="s">
        <v>1195</v>
      </c>
      <c r="G2428" s="15">
        <v>0.02888262910798116</v>
      </c>
      <c r="H2428" s="11" t="s">
        <v>33</v>
      </c>
      <c r="I2428" s="16">
        <v>4.048</v>
      </c>
      <c r="J2428" s="11" t="s">
        <v>429</v>
      </c>
      <c r="K2428" s="11" t="s">
        <v>83</v>
      </c>
      <c r="L2428" s="11" t="s">
        <v>27</v>
      </c>
      <c r="M2428" s="11" t="s">
        <v>28</v>
      </c>
      <c r="N2428" s="11" t="s">
        <v>56</v>
      </c>
      <c r="O2428" s="11" t="s">
        <v>2203</v>
      </c>
      <c r="P2428" s="11" t="s">
        <v>38</v>
      </c>
      <c r="Q2428" s="20">
        <v>40231.0</v>
      </c>
      <c r="R2428" s="17">
        <f t="shared" si="2"/>
        <v>5.974314066</v>
      </c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>
        <f t="shared" si="8"/>
        <v>1</v>
      </c>
      <c r="AF2428" s="19" t="b">
        <f t="shared" si="13"/>
        <v>0</v>
      </c>
      <c r="AG2428" s="9"/>
      <c r="AH2428" s="9"/>
      <c r="AI2428" s="9"/>
    </row>
    <row r="2429" ht="15.0" customHeight="1">
      <c r="A2429" s="11">
        <v>2428.0</v>
      </c>
      <c r="B2429" s="12">
        <f t="shared" si="393"/>
        <v>40229</v>
      </c>
      <c r="C2429" s="13">
        <v>2010.0</v>
      </c>
      <c r="D2429" s="11" t="s">
        <v>39</v>
      </c>
      <c r="E2429" s="11">
        <v>23.0</v>
      </c>
      <c r="F2429" s="21" t="s">
        <v>126</v>
      </c>
      <c r="G2429" s="15">
        <v>0.08717868338557991</v>
      </c>
      <c r="H2429" s="11" t="s">
        <v>33</v>
      </c>
      <c r="I2429" s="16">
        <v>3.776</v>
      </c>
      <c r="J2429" s="11" t="s">
        <v>106</v>
      </c>
      <c r="K2429" s="11" t="s">
        <v>35</v>
      </c>
      <c r="L2429" s="11" t="s">
        <v>48</v>
      </c>
      <c r="M2429" s="11" t="s">
        <v>28</v>
      </c>
      <c r="N2429" s="11" t="s">
        <v>56</v>
      </c>
      <c r="O2429" s="11" t="s">
        <v>1299</v>
      </c>
      <c r="P2429" s="11" t="s">
        <v>38</v>
      </c>
      <c r="Q2429" s="20">
        <v>40231.0</v>
      </c>
      <c r="R2429" s="17">
        <f t="shared" si="2"/>
        <v>10.15422433</v>
      </c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>
        <f t="shared" si="8"/>
        <v>4</v>
      </c>
      <c r="AF2429" s="19">
        <f t="shared" si="13"/>
        <v>2</v>
      </c>
      <c r="AG2429" s="9"/>
      <c r="AH2429" s="9"/>
      <c r="AI2429" s="9"/>
    </row>
    <row r="2430" ht="15.0" customHeight="1">
      <c r="A2430" s="11">
        <v>2429.0</v>
      </c>
      <c r="B2430" s="12">
        <f t="shared" si="393"/>
        <v>40229</v>
      </c>
      <c r="C2430" s="13">
        <v>2010.0</v>
      </c>
      <c r="D2430" s="11" t="s">
        <v>23</v>
      </c>
      <c r="E2430" s="11">
        <v>1.0</v>
      </c>
      <c r="F2430" s="21" t="s">
        <v>924</v>
      </c>
      <c r="G2430" s="15">
        <v>0.12096774193548386</v>
      </c>
      <c r="H2430" s="11" t="s">
        <v>33</v>
      </c>
      <c r="I2430" s="16">
        <v>1.8</v>
      </c>
      <c r="J2430" s="11" t="s">
        <v>2204</v>
      </c>
      <c r="K2430" s="11" t="s">
        <v>61</v>
      </c>
      <c r="L2430" s="11" t="s">
        <v>27</v>
      </c>
      <c r="M2430" s="11" t="s">
        <v>28</v>
      </c>
      <c r="N2430" s="11" t="s">
        <v>62</v>
      </c>
      <c r="O2430" s="11" t="s">
        <v>1398</v>
      </c>
      <c r="P2430" s="11" t="s">
        <v>58</v>
      </c>
      <c r="Q2430" s="20">
        <v>40231.0</v>
      </c>
      <c r="R2430" s="17">
        <f t="shared" si="2"/>
        <v>1.318548387</v>
      </c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>
        <f t="shared" si="8"/>
        <v>1</v>
      </c>
      <c r="AF2430" s="19">
        <f t="shared" si="13"/>
        <v>4</v>
      </c>
      <c r="AG2430" s="9"/>
      <c r="AH2430" s="9"/>
      <c r="AI2430" s="9"/>
    </row>
    <row r="2431" ht="15.0" customHeight="1">
      <c r="A2431" s="11">
        <v>2430.0</v>
      </c>
      <c r="B2431" s="12">
        <f t="shared" si="393"/>
        <v>40229</v>
      </c>
      <c r="C2431" s="13">
        <v>2010.0</v>
      </c>
      <c r="D2431" s="11" t="s">
        <v>39</v>
      </c>
      <c r="E2431" s="11">
        <v>40.0</v>
      </c>
      <c r="F2431" s="21" t="s">
        <v>231</v>
      </c>
      <c r="G2431" s="15">
        <v>0.07889090298757975</v>
      </c>
      <c r="H2431" s="11" t="s">
        <v>33</v>
      </c>
      <c r="I2431" s="16">
        <v>15.991999999999999</v>
      </c>
      <c r="J2431" s="11" t="s">
        <v>567</v>
      </c>
      <c r="K2431" s="11" t="s">
        <v>35</v>
      </c>
      <c r="L2431" s="11" t="s">
        <v>36</v>
      </c>
      <c r="M2431" s="11" t="s">
        <v>49</v>
      </c>
      <c r="N2431" s="11" t="s">
        <v>73</v>
      </c>
      <c r="O2431" s="11" t="s">
        <v>1820</v>
      </c>
      <c r="P2431" s="11" t="s">
        <v>38</v>
      </c>
      <c r="Q2431" s="20">
        <v>40231.0</v>
      </c>
      <c r="R2431" s="17">
        <f t="shared" si="2"/>
        <v>108.2376878</v>
      </c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>
        <f t="shared" si="8"/>
        <v>2</v>
      </c>
      <c r="AF2431" s="19">
        <f t="shared" si="13"/>
        <v>2</v>
      </c>
      <c r="AG2431" s="9"/>
      <c r="AH2431" s="9"/>
      <c r="AI2431" s="9"/>
    </row>
    <row r="2432" ht="15.0" customHeight="1">
      <c r="A2432" s="11">
        <v>2431.0</v>
      </c>
      <c r="B2432" s="12">
        <f t="shared" si="393"/>
        <v>40229</v>
      </c>
      <c r="C2432" s="13">
        <v>2010.0</v>
      </c>
      <c r="D2432" s="11" t="s">
        <v>39</v>
      </c>
      <c r="E2432" s="11">
        <v>21.0</v>
      </c>
      <c r="F2432" s="21" t="s">
        <v>302</v>
      </c>
      <c r="G2432" s="15">
        <v>0.048515454761388334</v>
      </c>
      <c r="H2432" s="11" t="s">
        <v>45</v>
      </c>
      <c r="I2432" s="16">
        <v>21.224000000000004</v>
      </c>
      <c r="J2432" s="11" t="s">
        <v>510</v>
      </c>
      <c r="K2432" s="11" t="s">
        <v>35</v>
      </c>
      <c r="L2432" s="11" t="s">
        <v>27</v>
      </c>
      <c r="M2432" s="11" t="s">
        <v>66</v>
      </c>
      <c r="N2432" s="11" t="s">
        <v>69</v>
      </c>
      <c r="O2432" s="11" t="s">
        <v>303</v>
      </c>
      <c r="P2432" s="11" t="s">
        <v>52</v>
      </c>
      <c r="Q2432" s="20">
        <v>40231.0</v>
      </c>
      <c r="R2432" s="17">
        <f t="shared" si="2"/>
        <v>312.8918868</v>
      </c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>
        <f t="shared" si="8"/>
        <v>1</v>
      </c>
      <c r="AF2432" s="19">
        <f t="shared" si="13"/>
        <v>2</v>
      </c>
      <c r="AG2432" s="9"/>
      <c r="AH2432" s="9"/>
      <c r="AI2432" s="9"/>
    </row>
    <row r="2433" ht="15.0" customHeight="1">
      <c r="A2433" s="11">
        <v>2432.0</v>
      </c>
      <c r="B2433" s="12">
        <f t="shared" ref="B2433:B2437" si="394">DATE(2012,12,31)-1044</f>
        <v>40230</v>
      </c>
      <c r="C2433" s="13">
        <v>2010.0</v>
      </c>
      <c r="D2433" s="11" t="s">
        <v>102</v>
      </c>
      <c r="E2433" s="11">
        <v>38.0</v>
      </c>
      <c r="F2433" s="21" t="s">
        <v>166</v>
      </c>
      <c r="G2433" s="15">
        <v>0.1286227544910179</v>
      </c>
      <c r="H2433" s="11" t="s">
        <v>33</v>
      </c>
      <c r="I2433" s="16">
        <v>0.5599999999999999</v>
      </c>
      <c r="J2433" s="11" t="s">
        <v>2205</v>
      </c>
      <c r="K2433" s="11" t="s">
        <v>35</v>
      </c>
      <c r="L2433" s="11" t="s">
        <v>48</v>
      </c>
      <c r="M2433" s="11" t="s">
        <v>28</v>
      </c>
      <c r="N2433" s="11" t="s">
        <v>216</v>
      </c>
      <c r="O2433" s="11" t="s">
        <v>266</v>
      </c>
      <c r="P2433" s="11" t="s">
        <v>58</v>
      </c>
      <c r="Q2433" s="20">
        <v>40231.0</v>
      </c>
      <c r="R2433" s="17">
        <f t="shared" si="2"/>
        <v>9.358591617</v>
      </c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>
        <f t="shared" si="8"/>
        <v>4</v>
      </c>
      <c r="AF2433" s="19">
        <f t="shared" si="13"/>
        <v>2</v>
      </c>
      <c r="AG2433" s="9"/>
      <c r="AH2433" s="9"/>
      <c r="AI2433" s="9"/>
    </row>
    <row r="2434" ht="15.0" customHeight="1">
      <c r="A2434" s="11">
        <v>2433.0</v>
      </c>
      <c r="B2434" s="12">
        <f t="shared" si="394"/>
        <v>40230</v>
      </c>
      <c r="C2434" s="13">
        <v>2010.0</v>
      </c>
      <c r="D2434" s="11" t="s">
        <v>102</v>
      </c>
      <c r="E2434" s="11">
        <v>11.0</v>
      </c>
      <c r="F2434" s="21" t="s">
        <v>319</v>
      </c>
      <c r="G2434" s="15">
        <v>0.0741839762611278</v>
      </c>
      <c r="H2434" s="11" t="s">
        <v>33</v>
      </c>
      <c r="I2434" s="16">
        <v>0.4</v>
      </c>
      <c r="J2434" s="11" t="s">
        <v>337</v>
      </c>
      <c r="K2434" s="11" t="s">
        <v>117</v>
      </c>
      <c r="L2434" s="11" t="s">
        <v>48</v>
      </c>
      <c r="M2434" s="11" t="s">
        <v>28</v>
      </c>
      <c r="N2434" s="11" t="s">
        <v>188</v>
      </c>
      <c r="O2434" s="11" t="s">
        <v>1198</v>
      </c>
      <c r="P2434" s="11" t="s">
        <v>38</v>
      </c>
      <c r="Q2434" s="20">
        <v>40231.0</v>
      </c>
      <c r="R2434" s="17">
        <f t="shared" si="2"/>
        <v>2.314540059</v>
      </c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>
        <f t="shared" si="8"/>
        <v>4</v>
      </c>
      <c r="AF2434" s="19" t="b">
        <f t="shared" si="13"/>
        <v>0</v>
      </c>
      <c r="AG2434" s="9"/>
      <c r="AH2434" s="9"/>
      <c r="AI2434" s="9"/>
    </row>
    <row r="2435" ht="15.0" customHeight="1">
      <c r="A2435" s="11">
        <v>2434.0</v>
      </c>
      <c r="B2435" s="12">
        <f t="shared" si="394"/>
        <v>40230</v>
      </c>
      <c r="C2435" s="13">
        <v>2010.0</v>
      </c>
      <c r="D2435" s="11" t="s">
        <v>23</v>
      </c>
      <c r="E2435" s="11">
        <v>29.0</v>
      </c>
      <c r="F2435" s="21" t="s">
        <v>147</v>
      </c>
      <c r="G2435" s="15">
        <v>0.0905882352941176</v>
      </c>
      <c r="H2435" s="11" t="s">
        <v>24</v>
      </c>
      <c r="I2435" s="16">
        <v>3.2640000000000002</v>
      </c>
      <c r="J2435" s="11" t="s">
        <v>120</v>
      </c>
      <c r="K2435" s="11" t="s">
        <v>35</v>
      </c>
      <c r="L2435" s="11" t="s">
        <v>27</v>
      </c>
      <c r="M2435" s="11" t="s">
        <v>49</v>
      </c>
      <c r="N2435" s="11" t="s">
        <v>73</v>
      </c>
      <c r="O2435" s="11" t="s">
        <v>458</v>
      </c>
      <c r="P2435" s="11" t="s">
        <v>99</v>
      </c>
      <c r="Q2435" s="20">
        <v>40232.0</v>
      </c>
      <c r="R2435" s="17">
        <f t="shared" si="2"/>
        <v>4.76168</v>
      </c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>
        <f t="shared" si="8"/>
        <v>1</v>
      </c>
      <c r="AF2435" s="19">
        <f t="shared" si="13"/>
        <v>2</v>
      </c>
      <c r="AG2435" s="9"/>
      <c r="AH2435" s="9"/>
      <c r="AI2435" s="9"/>
    </row>
    <row r="2436" ht="15.0" customHeight="1">
      <c r="A2436" s="11">
        <v>2435.0</v>
      </c>
      <c r="B2436" s="12">
        <f t="shared" si="394"/>
        <v>40230</v>
      </c>
      <c r="C2436" s="13">
        <v>2010.0</v>
      </c>
      <c r="D2436" s="11" t="s">
        <v>39</v>
      </c>
      <c r="E2436" s="11">
        <v>12.0</v>
      </c>
      <c r="F2436" s="21" t="s">
        <v>865</v>
      </c>
      <c r="G2436" s="15">
        <v>0.08328839946838795</v>
      </c>
      <c r="H2436" s="11" t="s">
        <v>33</v>
      </c>
      <c r="I2436" s="16">
        <v>3.3600000000000003</v>
      </c>
      <c r="J2436" s="11" t="s">
        <v>1578</v>
      </c>
      <c r="K2436" s="11" t="s">
        <v>26</v>
      </c>
      <c r="L2436" s="11" t="s">
        <v>41</v>
      </c>
      <c r="M2436" s="11" t="s">
        <v>66</v>
      </c>
      <c r="N2436" s="11" t="s">
        <v>80</v>
      </c>
      <c r="O2436" s="11" t="s">
        <v>1519</v>
      </c>
      <c r="P2436" s="11" t="s">
        <v>38</v>
      </c>
      <c r="Q2436" s="20">
        <v>40232.0</v>
      </c>
      <c r="R2436" s="17">
        <f t="shared" si="2"/>
        <v>201.0715225</v>
      </c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>
        <f t="shared" si="8"/>
        <v>3</v>
      </c>
      <c r="AF2436" s="19">
        <f t="shared" si="13"/>
        <v>1</v>
      </c>
      <c r="AG2436" s="9"/>
      <c r="AH2436" s="9"/>
      <c r="AI2436" s="9"/>
    </row>
    <row r="2437" ht="15.0" customHeight="1">
      <c r="A2437" s="11">
        <v>2436.0</v>
      </c>
      <c r="B2437" s="12">
        <f t="shared" si="394"/>
        <v>40230</v>
      </c>
      <c r="C2437" s="13">
        <v>2010.0</v>
      </c>
      <c r="D2437" s="11" t="s">
        <v>39</v>
      </c>
      <c r="E2437" s="11">
        <v>44.0</v>
      </c>
      <c r="F2437" s="21" t="s">
        <v>270</v>
      </c>
      <c r="G2437" s="15">
        <v>0.07656547071450476</v>
      </c>
      <c r="H2437" s="11" t="s">
        <v>33</v>
      </c>
      <c r="I2437" s="16">
        <v>7.192</v>
      </c>
      <c r="J2437" s="11" t="s">
        <v>1578</v>
      </c>
      <c r="K2437" s="11" t="s">
        <v>26</v>
      </c>
      <c r="L2437" s="11" t="s">
        <v>41</v>
      </c>
      <c r="M2437" s="11" t="s">
        <v>28</v>
      </c>
      <c r="N2437" s="11" t="s">
        <v>62</v>
      </c>
      <c r="O2437" s="11" t="s">
        <v>1847</v>
      </c>
      <c r="P2437" s="11" t="s">
        <v>99</v>
      </c>
      <c r="Q2437" s="20">
        <v>40232.0</v>
      </c>
      <c r="R2437" s="17">
        <f t="shared" si="2"/>
        <v>138.33788</v>
      </c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>
        <f t="shared" si="8"/>
        <v>3</v>
      </c>
      <c r="AF2437" s="19">
        <f t="shared" si="13"/>
        <v>1</v>
      </c>
      <c r="AG2437" s="9"/>
      <c r="AH2437" s="9"/>
      <c r="AI2437" s="9"/>
    </row>
    <row r="2438" ht="15.0" customHeight="1">
      <c r="A2438" s="11">
        <v>2437.0</v>
      </c>
      <c r="B2438" s="12">
        <f t="shared" ref="B2438:B2447" si="395">DATE(2012,12,31)-1043</f>
        <v>40231</v>
      </c>
      <c r="C2438" s="13">
        <v>2010.0</v>
      </c>
      <c r="D2438" s="11" t="s">
        <v>102</v>
      </c>
      <c r="E2438" s="11">
        <v>49.0</v>
      </c>
      <c r="F2438" s="21" t="s">
        <v>461</v>
      </c>
      <c r="G2438" s="15">
        <v>0.03594771241830056</v>
      </c>
      <c r="H2438" s="11" t="s">
        <v>45</v>
      </c>
      <c r="I2438" s="16">
        <v>24.0</v>
      </c>
      <c r="J2438" s="11" t="s">
        <v>239</v>
      </c>
      <c r="K2438" s="11" t="s">
        <v>61</v>
      </c>
      <c r="L2438" s="11" t="s">
        <v>48</v>
      </c>
      <c r="M2438" s="11" t="s">
        <v>49</v>
      </c>
      <c r="N2438" s="11" t="s">
        <v>50</v>
      </c>
      <c r="O2438" s="11" t="s">
        <v>2206</v>
      </c>
      <c r="P2438" s="11" t="s">
        <v>52</v>
      </c>
      <c r="Q2438" s="20">
        <v>40232.0</v>
      </c>
      <c r="R2438" s="17">
        <f t="shared" si="2"/>
        <v>160.977451</v>
      </c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>
        <f t="shared" si="8"/>
        <v>4</v>
      </c>
      <c r="AF2438" s="19">
        <f t="shared" si="13"/>
        <v>4</v>
      </c>
      <c r="AG2438" s="9"/>
      <c r="AH2438" s="9"/>
      <c r="AI2438" s="9"/>
    </row>
    <row r="2439" ht="15.0" customHeight="1">
      <c r="A2439" s="11">
        <v>2438.0</v>
      </c>
      <c r="B2439" s="12">
        <f t="shared" si="395"/>
        <v>40231</v>
      </c>
      <c r="C2439" s="13">
        <v>2010.0</v>
      </c>
      <c r="D2439" s="11" t="s">
        <v>102</v>
      </c>
      <c r="E2439" s="11">
        <v>39.0</v>
      </c>
      <c r="F2439" s="21" t="s">
        <v>122</v>
      </c>
      <c r="G2439" s="15">
        <v>0.04327378867483955</v>
      </c>
      <c r="H2439" s="11" t="s">
        <v>33</v>
      </c>
      <c r="I2439" s="16">
        <v>4.336</v>
      </c>
      <c r="J2439" s="11" t="s">
        <v>239</v>
      </c>
      <c r="K2439" s="11" t="s">
        <v>61</v>
      </c>
      <c r="L2439" s="11" t="s">
        <v>48</v>
      </c>
      <c r="M2439" s="11" t="s">
        <v>28</v>
      </c>
      <c r="N2439" s="11" t="s">
        <v>29</v>
      </c>
      <c r="O2439" s="11" t="s">
        <v>2207</v>
      </c>
      <c r="P2439" s="11" t="s">
        <v>38</v>
      </c>
      <c r="Q2439" s="20">
        <v>40232.0</v>
      </c>
      <c r="R2439" s="17">
        <f t="shared" si="2"/>
        <v>35.4601003</v>
      </c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>
        <f t="shared" si="8"/>
        <v>4</v>
      </c>
      <c r="AF2439" s="19">
        <f t="shared" si="13"/>
        <v>4</v>
      </c>
      <c r="AG2439" s="9"/>
      <c r="AH2439" s="9"/>
      <c r="AI2439" s="9"/>
    </row>
    <row r="2440" ht="15.0" customHeight="1">
      <c r="A2440" s="11">
        <v>2439.0</v>
      </c>
      <c r="B2440" s="12">
        <f t="shared" si="395"/>
        <v>40231</v>
      </c>
      <c r="C2440" s="13">
        <v>2010.0</v>
      </c>
      <c r="D2440" s="11" t="s">
        <v>102</v>
      </c>
      <c r="E2440" s="11">
        <v>50.0</v>
      </c>
      <c r="F2440" s="21" t="s">
        <v>1878</v>
      </c>
      <c r="G2440" s="15">
        <v>0.056146788990825695</v>
      </c>
      <c r="H2440" s="11" t="s">
        <v>33</v>
      </c>
      <c r="I2440" s="16">
        <v>4.216</v>
      </c>
      <c r="J2440" s="11" t="s">
        <v>2208</v>
      </c>
      <c r="K2440" s="11" t="s">
        <v>61</v>
      </c>
      <c r="L2440" s="11" t="s">
        <v>36</v>
      </c>
      <c r="M2440" s="11" t="s">
        <v>28</v>
      </c>
      <c r="N2440" s="11" t="s">
        <v>42</v>
      </c>
      <c r="O2440" s="11" t="s">
        <v>1879</v>
      </c>
      <c r="P2440" s="11" t="s">
        <v>38</v>
      </c>
      <c r="Q2440" s="20">
        <v>40232.0</v>
      </c>
      <c r="R2440" s="17">
        <f t="shared" si="2"/>
        <v>18.48442128</v>
      </c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>
        <f t="shared" si="8"/>
        <v>2</v>
      </c>
      <c r="AF2440" s="19">
        <f t="shared" si="13"/>
        <v>4</v>
      </c>
      <c r="AG2440" s="9"/>
      <c r="AH2440" s="9"/>
      <c r="AI2440" s="9"/>
    </row>
    <row r="2441" ht="15.0" customHeight="1">
      <c r="A2441" s="11">
        <v>2440.0</v>
      </c>
      <c r="B2441" s="12">
        <f t="shared" si="395"/>
        <v>40231</v>
      </c>
      <c r="C2441" s="13">
        <v>2010.0</v>
      </c>
      <c r="D2441" s="11" t="s">
        <v>32</v>
      </c>
      <c r="E2441" s="11">
        <v>49.0</v>
      </c>
      <c r="F2441" s="21" t="s">
        <v>126</v>
      </c>
      <c r="G2441" s="15">
        <v>0.08647834274952912</v>
      </c>
      <c r="H2441" s="11" t="s">
        <v>33</v>
      </c>
      <c r="I2441" s="16">
        <v>2.44</v>
      </c>
      <c r="J2441" s="11" t="s">
        <v>1414</v>
      </c>
      <c r="K2441" s="11" t="s">
        <v>35</v>
      </c>
      <c r="L2441" s="11" t="s">
        <v>27</v>
      </c>
      <c r="M2441" s="11" t="s">
        <v>49</v>
      </c>
      <c r="N2441" s="11" t="s">
        <v>73</v>
      </c>
      <c r="O2441" s="11" t="s">
        <v>2209</v>
      </c>
      <c r="P2441" s="11" t="s">
        <v>99</v>
      </c>
      <c r="Q2441" s="20">
        <v>40233.0</v>
      </c>
      <c r="R2441" s="17">
        <f t="shared" si="2"/>
        <v>20.97445725</v>
      </c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>
        <f t="shared" si="8"/>
        <v>1</v>
      </c>
      <c r="AF2441" s="19">
        <f t="shared" si="13"/>
        <v>2</v>
      </c>
      <c r="AG2441" s="9"/>
      <c r="AH2441" s="9"/>
      <c r="AI2441" s="9"/>
    </row>
    <row r="2442" ht="15.0" customHeight="1">
      <c r="A2442" s="11">
        <v>2441.0</v>
      </c>
      <c r="B2442" s="12">
        <f t="shared" si="395"/>
        <v>40231</v>
      </c>
      <c r="C2442" s="13">
        <v>2010.0</v>
      </c>
      <c r="D2442" s="11" t="s">
        <v>32</v>
      </c>
      <c r="E2442" s="11">
        <v>2.0</v>
      </c>
      <c r="F2442" s="21" t="s">
        <v>154</v>
      </c>
      <c r="G2442" s="15">
        <v>0.005015222806531937</v>
      </c>
      <c r="H2442" s="11" t="s">
        <v>45</v>
      </c>
      <c r="I2442" s="16">
        <v>35.64</v>
      </c>
      <c r="J2442" s="11" t="s">
        <v>1414</v>
      </c>
      <c r="K2442" s="11" t="s">
        <v>35</v>
      </c>
      <c r="L2442" s="11" t="s">
        <v>27</v>
      </c>
      <c r="M2442" s="11" t="s">
        <v>49</v>
      </c>
      <c r="N2442" s="11" t="s">
        <v>156</v>
      </c>
      <c r="O2442" s="11" t="s">
        <v>157</v>
      </c>
      <c r="P2442" s="11" t="s">
        <v>87</v>
      </c>
      <c r="Q2442" s="20">
        <v>40233.0</v>
      </c>
      <c r="R2442" s="17">
        <f t="shared" si="2"/>
        <v>9.014562081</v>
      </c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>
        <f t="shared" si="8"/>
        <v>1</v>
      </c>
      <c r="AF2442" s="19">
        <f t="shared" si="13"/>
        <v>2</v>
      </c>
      <c r="AG2442" s="9"/>
      <c r="AH2442" s="9"/>
      <c r="AI2442" s="9"/>
    </row>
    <row r="2443" ht="15.0" customHeight="1">
      <c r="A2443" s="11">
        <v>2442.0</v>
      </c>
      <c r="B2443" s="12">
        <f t="shared" si="395"/>
        <v>40231</v>
      </c>
      <c r="C2443" s="13">
        <v>2010.0</v>
      </c>
      <c r="D2443" s="11" t="s">
        <v>39</v>
      </c>
      <c r="E2443" s="11">
        <v>1.0</v>
      </c>
      <c r="F2443" s="21" t="s">
        <v>126</v>
      </c>
      <c r="G2443" s="15">
        <v>0.10028169014084491</v>
      </c>
      <c r="H2443" s="11" t="s">
        <v>24</v>
      </c>
      <c r="I2443" s="16">
        <v>1.4880000000000002</v>
      </c>
      <c r="J2443" s="11" t="s">
        <v>1948</v>
      </c>
      <c r="K2443" s="11" t="s">
        <v>61</v>
      </c>
      <c r="L2443" s="11" t="s">
        <v>41</v>
      </c>
      <c r="M2443" s="11" t="s">
        <v>28</v>
      </c>
      <c r="N2443" s="11" t="s">
        <v>56</v>
      </c>
      <c r="O2443" s="11" t="s">
        <v>1732</v>
      </c>
      <c r="P2443" s="11" t="s">
        <v>38</v>
      </c>
      <c r="Q2443" s="20">
        <v>40233.0</v>
      </c>
      <c r="R2443" s="17">
        <f t="shared" si="2"/>
        <v>0.6405994366</v>
      </c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>
        <f t="shared" si="8"/>
        <v>3</v>
      </c>
      <c r="AF2443" s="19">
        <f t="shared" si="13"/>
        <v>4</v>
      </c>
      <c r="AG2443" s="9"/>
      <c r="AH2443" s="9"/>
      <c r="AI2443" s="9"/>
    </row>
    <row r="2444" ht="15.0" customHeight="1">
      <c r="A2444" s="11">
        <v>2443.0</v>
      </c>
      <c r="B2444" s="12">
        <f t="shared" si="395"/>
        <v>40231</v>
      </c>
      <c r="C2444" s="13">
        <v>2010.0</v>
      </c>
      <c r="D2444" s="11" t="s">
        <v>39</v>
      </c>
      <c r="E2444" s="11">
        <v>41.0</v>
      </c>
      <c r="F2444" s="21" t="s">
        <v>1158</v>
      </c>
      <c r="G2444" s="15">
        <v>0.0526709677419354</v>
      </c>
      <c r="H2444" s="11" t="s">
        <v>33</v>
      </c>
      <c r="I2444" s="16">
        <v>3.3360000000000003</v>
      </c>
      <c r="J2444" s="11" t="s">
        <v>1948</v>
      </c>
      <c r="K2444" s="11" t="s">
        <v>61</v>
      </c>
      <c r="L2444" s="11" t="s">
        <v>41</v>
      </c>
      <c r="M2444" s="11" t="s">
        <v>28</v>
      </c>
      <c r="N2444" s="11" t="s">
        <v>62</v>
      </c>
      <c r="O2444" s="11" t="s">
        <v>1532</v>
      </c>
      <c r="P2444" s="11" t="s">
        <v>99</v>
      </c>
      <c r="Q2444" s="20">
        <v>40233.0</v>
      </c>
      <c r="R2444" s="17">
        <f t="shared" si="2"/>
        <v>7.733994219</v>
      </c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>
        <f t="shared" si="8"/>
        <v>3</v>
      </c>
      <c r="AF2444" s="19">
        <f t="shared" si="13"/>
        <v>4</v>
      </c>
      <c r="AG2444" s="9"/>
      <c r="AH2444" s="9"/>
      <c r="AI2444" s="9"/>
    </row>
    <row r="2445" ht="15.0" customHeight="1">
      <c r="A2445" s="11">
        <v>2444.0</v>
      </c>
      <c r="B2445" s="12">
        <f t="shared" si="395"/>
        <v>40231</v>
      </c>
      <c r="C2445" s="13">
        <v>2010.0</v>
      </c>
      <c r="D2445" s="11" t="s">
        <v>39</v>
      </c>
      <c r="E2445" s="11">
        <v>21.0</v>
      </c>
      <c r="F2445" s="21" t="s">
        <v>151</v>
      </c>
      <c r="G2445" s="15">
        <v>0.08839378238341966</v>
      </c>
      <c r="H2445" s="11" t="s">
        <v>33</v>
      </c>
      <c r="I2445" s="16">
        <v>3.176</v>
      </c>
      <c r="J2445" s="11" t="s">
        <v>1948</v>
      </c>
      <c r="K2445" s="11" t="s">
        <v>61</v>
      </c>
      <c r="L2445" s="11" t="s">
        <v>41</v>
      </c>
      <c r="M2445" s="11" t="s">
        <v>28</v>
      </c>
      <c r="N2445" s="11" t="s">
        <v>62</v>
      </c>
      <c r="O2445" s="11" t="s">
        <v>153</v>
      </c>
      <c r="P2445" s="11" t="s">
        <v>58</v>
      </c>
      <c r="Q2445" s="20">
        <v>40233.0</v>
      </c>
      <c r="R2445" s="17">
        <f t="shared" si="2"/>
        <v>6.220800829</v>
      </c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>
        <f t="shared" si="8"/>
        <v>3</v>
      </c>
      <c r="AF2445" s="19">
        <f t="shared" si="13"/>
        <v>4</v>
      </c>
      <c r="AG2445" s="9"/>
      <c r="AH2445" s="9"/>
      <c r="AI2445" s="9"/>
    </row>
    <row r="2446" ht="15.0" customHeight="1">
      <c r="A2446" s="11">
        <v>2445.0</v>
      </c>
      <c r="B2446" s="12">
        <f t="shared" si="395"/>
        <v>40231</v>
      </c>
      <c r="C2446" s="13">
        <v>2010.0</v>
      </c>
      <c r="D2446" s="11" t="s">
        <v>39</v>
      </c>
      <c r="E2446" s="11">
        <v>5.0</v>
      </c>
      <c r="F2446" s="21" t="s">
        <v>319</v>
      </c>
      <c r="G2446" s="15">
        <v>0.045677419354838725</v>
      </c>
      <c r="H2446" s="11" t="s">
        <v>33</v>
      </c>
      <c r="I2446" s="16">
        <v>0.792</v>
      </c>
      <c r="J2446" s="11" t="s">
        <v>1214</v>
      </c>
      <c r="K2446" s="11" t="s">
        <v>35</v>
      </c>
      <c r="L2446" s="11" t="s">
        <v>27</v>
      </c>
      <c r="M2446" s="11" t="s">
        <v>28</v>
      </c>
      <c r="N2446" s="11" t="s">
        <v>188</v>
      </c>
      <c r="O2446" s="11" t="s">
        <v>1570</v>
      </c>
      <c r="P2446" s="11" t="s">
        <v>38</v>
      </c>
      <c r="Q2446" s="20">
        <v>40233.0</v>
      </c>
      <c r="R2446" s="17">
        <f t="shared" si="2"/>
        <v>0.6756603871</v>
      </c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>
        <f t="shared" si="8"/>
        <v>1</v>
      </c>
      <c r="AF2446" s="19">
        <f t="shared" si="13"/>
        <v>2</v>
      </c>
      <c r="AG2446" s="9"/>
      <c r="AH2446" s="9"/>
      <c r="AI2446" s="9"/>
    </row>
    <row r="2447" ht="15.0" customHeight="1">
      <c r="A2447" s="11">
        <v>2446.0</v>
      </c>
      <c r="B2447" s="12">
        <f t="shared" si="395"/>
        <v>40231</v>
      </c>
      <c r="C2447" s="13">
        <v>2010.0</v>
      </c>
      <c r="D2447" s="11" t="s">
        <v>102</v>
      </c>
      <c r="E2447" s="11">
        <v>47.0</v>
      </c>
      <c r="F2447" s="21" t="s">
        <v>130</v>
      </c>
      <c r="G2447" s="15">
        <v>0.022301336736750214</v>
      </c>
      <c r="H2447" s="11" t="s">
        <v>33</v>
      </c>
      <c r="I2447" s="16">
        <v>3.2</v>
      </c>
      <c r="J2447" s="11" t="s">
        <v>2104</v>
      </c>
      <c r="K2447" s="11" t="s">
        <v>47</v>
      </c>
      <c r="L2447" s="11" t="s">
        <v>48</v>
      </c>
      <c r="M2447" s="11" t="s">
        <v>66</v>
      </c>
      <c r="N2447" s="11" t="s">
        <v>67</v>
      </c>
      <c r="O2447" s="11" t="s">
        <v>1926</v>
      </c>
      <c r="P2447" s="11" t="s">
        <v>38</v>
      </c>
      <c r="Q2447" s="20">
        <v>40233.0</v>
      </c>
      <c r="R2447" s="17">
        <f t="shared" si="2"/>
        <v>32.45959562</v>
      </c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>
        <f t="shared" si="8"/>
        <v>4</v>
      </c>
      <c r="AF2447" s="19">
        <f t="shared" si="13"/>
        <v>3</v>
      </c>
      <c r="AG2447" s="9"/>
      <c r="AH2447" s="9"/>
      <c r="AI2447" s="9"/>
    </row>
    <row r="2448" ht="15.0" customHeight="1">
      <c r="A2448" s="11">
        <v>2447.0</v>
      </c>
      <c r="B2448" s="12">
        <f t="shared" ref="B2448:B2454" si="396">DATE(2012,12,31)-1042</f>
        <v>40232</v>
      </c>
      <c r="C2448" s="13">
        <v>2010.0</v>
      </c>
      <c r="D2448" s="11" t="s">
        <v>44</v>
      </c>
      <c r="E2448" s="11">
        <v>41.0</v>
      </c>
      <c r="F2448" s="21" t="s">
        <v>573</v>
      </c>
      <c r="G2448" s="15">
        <v>0.020970131421744215</v>
      </c>
      <c r="H2448" s="11" t="s">
        <v>33</v>
      </c>
      <c r="I2448" s="16">
        <v>3.8240000000000003</v>
      </c>
      <c r="J2448" s="11" t="s">
        <v>953</v>
      </c>
      <c r="K2448" s="11" t="s">
        <v>65</v>
      </c>
      <c r="L2448" s="11" t="s">
        <v>27</v>
      </c>
      <c r="M2448" s="11" t="s">
        <v>28</v>
      </c>
      <c r="N2448" s="11" t="s">
        <v>56</v>
      </c>
      <c r="O2448" s="11" t="s">
        <v>1806</v>
      </c>
      <c r="P2448" s="11" t="s">
        <v>38</v>
      </c>
      <c r="Q2448" s="20">
        <v>40233.0</v>
      </c>
      <c r="R2448" s="17">
        <f t="shared" si="2"/>
        <v>8.591966127</v>
      </c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>
        <f t="shared" si="8"/>
        <v>1</v>
      </c>
      <c r="AF2448" s="19">
        <f t="shared" si="13"/>
        <v>5</v>
      </c>
      <c r="AG2448" s="9"/>
      <c r="AH2448" s="9"/>
      <c r="AI2448" s="9"/>
    </row>
    <row r="2449" ht="15.0" customHeight="1">
      <c r="A2449" s="11">
        <v>2448.0</v>
      </c>
      <c r="B2449" s="12">
        <f t="shared" si="396"/>
        <v>40232</v>
      </c>
      <c r="C2449" s="13">
        <v>2010.0</v>
      </c>
      <c r="D2449" s="11" t="s">
        <v>44</v>
      </c>
      <c r="E2449" s="11">
        <v>32.0</v>
      </c>
      <c r="F2449" s="21" t="s">
        <v>1057</v>
      </c>
      <c r="G2449" s="15">
        <v>0.027595294117646947</v>
      </c>
      <c r="H2449" s="11" t="s">
        <v>24</v>
      </c>
      <c r="I2449" s="16">
        <v>3.672</v>
      </c>
      <c r="J2449" s="11" t="s">
        <v>953</v>
      </c>
      <c r="K2449" s="11" t="s">
        <v>65</v>
      </c>
      <c r="L2449" s="11" t="s">
        <v>27</v>
      </c>
      <c r="M2449" s="11" t="s">
        <v>28</v>
      </c>
      <c r="N2449" s="11" t="s">
        <v>442</v>
      </c>
      <c r="O2449" s="11" t="s">
        <v>1059</v>
      </c>
      <c r="P2449" s="11" t="s">
        <v>58</v>
      </c>
      <c r="Q2449" s="20">
        <v>40233.0</v>
      </c>
      <c r="R2449" s="17">
        <f t="shared" si="2"/>
        <v>11.40436239</v>
      </c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>
        <f t="shared" si="8"/>
        <v>1</v>
      </c>
      <c r="AF2449" s="19">
        <f t="shared" si="13"/>
        <v>5</v>
      </c>
      <c r="AG2449" s="9"/>
      <c r="AH2449" s="9"/>
      <c r="AI2449" s="9"/>
    </row>
    <row r="2450" ht="15.0" customHeight="1">
      <c r="A2450" s="11">
        <v>2449.0</v>
      </c>
      <c r="B2450" s="12">
        <f t="shared" si="396"/>
        <v>40232</v>
      </c>
      <c r="C2450" s="13">
        <v>2010.0</v>
      </c>
      <c r="D2450" s="11" t="s">
        <v>102</v>
      </c>
      <c r="E2450" s="11">
        <v>37.0</v>
      </c>
      <c r="F2450" s="21" t="s">
        <v>1091</v>
      </c>
      <c r="G2450" s="15">
        <v>0.023573427603476242</v>
      </c>
      <c r="H2450" s="11" t="s">
        <v>33</v>
      </c>
      <c r="I2450" s="16">
        <v>15.991999999999999</v>
      </c>
      <c r="J2450" s="11" t="s">
        <v>1069</v>
      </c>
      <c r="K2450" s="11" t="s">
        <v>83</v>
      </c>
      <c r="L2450" s="11" t="s">
        <v>41</v>
      </c>
      <c r="M2450" s="11" t="s">
        <v>28</v>
      </c>
      <c r="N2450" s="11" t="s">
        <v>56</v>
      </c>
      <c r="O2450" s="11" t="s">
        <v>1943</v>
      </c>
      <c r="P2450" s="11" t="s">
        <v>38</v>
      </c>
      <c r="Q2450" s="20">
        <v>40234.0</v>
      </c>
      <c r="R2450" s="17">
        <f t="shared" si="2"/>
        <v>31.25346173</v>
      </c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>
        <f t="shared" si="8"/>
        <v>3</v>
      </c>
      <c r="AF2450" s="19" t="b">
        <f t="shared" si="13"/>
        <v>0</v>
      </c>
      <c r="AG2450" s="9"/>
      <c r="AH2450" s="9"/>
      <c r="AI2450" s="9"/>
    </row>
    <row r="2451" ht="15.0" customHeight="1">
      <c r="A2451" s="11">
        <v>2450.0</v>
      </c>
      <c r="B2451" s="12">
        <f t="shared" si="396"/>
        <v>40232</v>
      </c>
      <c r="C2451" s="13">
        <v>2010.0</v>
      </c>
      <c r="D2451" s="11" t="s">
        <v>102</v>
      </c>
      <c r="E2451" s="11">
        <v>13.0</v>
      </c>
      <c r="F2451" s="21" t="s">
        <v>591</v>
      </c>
      <c r="G2451" s="15">
        <v>0.027114203847728297</v>
      </c>
      <c r="H2451" s="11" t="s">
        <v>33</v>
      </c>
      <c r="I2451" s="16">
        <v>7.5760000000000005</v>
      </c>
      <c r="J2451" s="11" t="s">
        <v>1069</v>
      </c>
      <c r="K2451" s="11" t="s">
        <v>83</v>
      </c>
      <c r="L2451" s="11" t="s">
        <v>41</v>
      </c>
      <c r="M2451" s="11" t="s">
        <v>28</v>
      </c>
      <c r="N2451" s="11" t="s">
        <v>29</v>
      </c>
      <c r="O2451" s="11" t="s">
        <v>592</v>
      </c>
      <c r="P2451" s="11" t="s">
        <v>38</v>
      </c>
      <c r="Q2451" s="20">
        <v>40234.0</v>
      </c>
      <c r="R2451" s="17">
        <f t="shared" si="2"/>
        <v>6.444395514</v>
      </c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>
        <f t="shared" si="8"/>
        <v>3</v>
      </c>
      <c r="AF2451" s="19" t="b">
        <f t="shared" si="13"/>
        <v>0</v>
      </c>
      <c r="AG2451" s="9"/>
      <c r="AH2451" s="9"/>
      <c r="AI2451" s="9"/>
    </row>
    <row r="2452" ht="15.0" customHeight="1">
      <c r="A2452" s="11">
        <v>2451.0</v>
      </c>
      <c r="B2452" s="12">
        <f t="shared" si="396"/>
        <v>40232</v>
      </c>
      <c r="C2452" s="13">
        <v>2010.0</v>
      </c>
      <c r="D2452" s="11" t="s">
        <v>102</v>
      </c>
      <c r="E2452" s="11">
        <v>31.0</v>
      </c>
      <c r="F2452" s="21" t="s">
        <v>413</v>
      </c>
      <c r="G2452" s="15">
        <v>0.028624678663239124</v>
      </c>
      <c r="H2452" s="11" t="s">
        <v>24</v>
      </c>
      <c r="I2452" s="16">
        <v>1.592</v>
      </c>
      <c r="J2452" s="11" t="s">
        <v>1069</v>
      </c>
      <c r="K2452" s="11" t="s">
        <v>83</v>
      </c>
      <c r="L2452" s="11" t="s">
        <v>41</v>
      </c>
      <c r="M2452" s="11" t="s">
        <v>66</v>
      </c>
      <c r="N2452" s="11" t="s">
        <v>67</v>
      </c>
      <c r="O2452" s="11" t="s">
        <v>414</v>
      </c>
      <c r="P2452" s="11" t="s">
        <v>99</v>
      </c>
      <c r="Q2452" s="20">
        <v>40234.0</v>
      </c>
      <c r="R2452" s="17">
        <f t="shared" si="2"/>
        <v>8.653011362</v>
      </c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>
        <f t="shared" si="8"/>
        <v>3</v>
      </c>
      <c r="AF2452" s="19" t="b">
        <f t="shared" si="13"/>
        <v>0</v>
      </c>
      <c r="AG2452" s="9"/>
      <c r="AH2452" s="9"/>
      <c r="AI2452" s="9"/>
    </row>
    <row r="2453" ht="15.0" customHeight="1">
      <c r="A2453" s="11">
        <v>2452.0</v>
      </c>
      <c r="B2453" s="12">
        <f t="shared" si="396"/>
        <v>40232</v>
      </c>
      <c r="C2453" s="13">
        <v>2010.0</v>
      </c>
      <c r="D2453" s="11" t="s">
        <v>102</v>
      </c>
      <c r="E2453" s="11">
        <v>46.0</v>
      </c>
      <c r="F2453" s="21" t="s">
        <v>2210</v>
      </c>
      <c r="G2453" s="15">
        <v>0.036169429097605864</v>
      </c>
      <c r="H2453" s="11" t="s">
        <v>33</v>
      </c>
      <c r="I2453" s="16">
        <v>0.6080000000000001</v>
      </c>
      <c r="J2453" s="11" t="s">
        <v>1069</v>
      </c>
      <c r="K2453" s="11" t="s">
        <v>83</v>
      </c>
      <c r="L2453" s="11" t="s">
        <v>41</v>
      </c>
      <c r="M2453" s="11" t="s">
        <v>28</v>
      </c>
      <c r="N2453" s="11" t="s">
        <v>216</v>
      </c>
      <c r="O2453" s="11" t="s">
        <v>2211</v>
      </c>
      <c r="P2453" s="11" t="s">
        <v>58</v>
      </c>
      <c r="Q2453" s="20">
        <v>40234.0</v>
      </c>
      <c r="R2453" s="17">
        <f t="shared" si="2"/>
        <v>5.678889724</v>
      </c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>
        <f t="shared" si="8"/>
        <v>3</v>
      </c>
      <c r="AF2453" s="19" t="b">
        <f t="shared" si="13"/>
        <v>0</v>
      </c>
      <c r="AG2453" s="9"/>
      <c r="AH2453" s="9"/>
      <c r="AI2453" s="9"/>
    </row>
    <row r="2454" ht="15.0" customHeight="1">
      <c r="A2454" s="11">
        <v>2453.0</v>
      </c>
      <c r="B2454" s="12">
        <f t="shared" si="396"/>
        <v>40232</v>
      </c>
      <c r="C2454" s="13">
        <v>2010.0</v>
      </c>
      <c r="D2454" s="11" t="s">
        <v>102</v>
      </c>
      <c r="E2454" s="11">
        <v>29.0</v>
      </c>
      <c r="F2454" s="21" t="s">
        <v>158</v>
      </c>
      <c r="G2454" s="15">
        <v>0.04011940298507445</v>
      </c>
      <c r="H2454" s="11" t="s">
        <v>33</v>
      </c>
      <c r="I2454" s="16">
        <v>7.336</v>
      </c>
      <c r="J2454" s="11" t="s">
        <v>1069</v>
      </c>
      <c r="K2454" s="11" t="s">
        <v>83</v>
      </c>
      <c r="L2454" s="11" t="s">
        <v>41</v>
      </c>
      <c r="M2454" s="11" t="s">
        <v>28</v>
      </c>
      <c r="N2454" s="11" t="s">
        <v>56</v>
      </c>
      <c r="O2454" s="11" t="s">
        <v>241</v>
      </c>
      <c r="P2454" s="11" t="s">
        <v>38</v>
      </c>
      <c r="Q2454" s="20">
        <v>40234.0</v>
      </c>
      <c r="R2454" s="17">
        <f t="shared" si="2"/>
        <v>7.740477134</v>
      </c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>
        <f t="shared" si="8"/>
        <v>3</v>
      </c>
      <c r="AF2454" s="19" t="b">
        <f t="shared" si="13"/>
        <v>0</v>
      </c>
      <c r="AG2454" s="9"/>
      <c r="AH2454" s="9"/>
      <c r="AI2454" s="9"/>
    </row>
    <row r="2455" ht="15.0" customHeight="1">
      <c r="A2455" s="11">
        <v>2454.0</v>
      </c>
      <c r="B2455" s="12">
        <f t="shared" ref="B2455:B2461" si="397">DATE(2012,12,31)-1041</f>
        <v>40233</v>
      </c>
      <c r="C2455" s="13">
        <v>2010.0</v>
      </c>
      <c r="D2455" s="11" t="s">
        <v>44</v>
      </c>
      <c r="E2455" s="11">
        <v>4.0</v>
      </c>
      <c r="F2455" s="21" t="s">
        <v>299</v>
      </c>
      <c r="G2455" s="15">
        <v>0.0973049645390071</v>
      </c>
      <c r="H2455" s="11" t="s">
        <v>33</v>
      </c>
      <c r="I2455" s="16">
        <v>7.384</v>
      </c>
      <c r="J2455" s="11" t="s">
        <v>25</v>
      </c>
      <c r="K2455" s="11" t="s">
        <v>26</v>
      </c>
      <c r="L2455" s="11" t="s">
        <v>27</v>
      </c>
      <c r="M2455" s="11" t="s">
        <v>28</v>
      </c>
      <c r="N2455" s="11" t="s">
        <v>197</v>
      </c>
      <c r="O2455" s="11" t="s">
        <v>301</v>
      </c>
      <c r="P2455" s="11" t="s">
        <v>38</v>
      </c>
      <c r="Q2455" s="20">
        <v>40234.0</v>
      </c>
      <c r="R2455" s="17">
        <f t="shared" si="2"/>
        <v>3.715492766</v>
      </c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>
        <f t="shared" si="8"/>
        <v>1</v>
      </c>
      <c r="AF2455" s="19">
        <f t="shared" si="13"/>
        <v>1</v>
      </c>
      <c r="AG2455" s="9"/>
      <c r="AH2455" s="9"/>
      <c r="AI2455" s="9"/>
    </row>
    <row r="2456" ht="15.0" customHeight="1">
      <c r="A2456" s="11">
        <v>2455.0</v>
      </c>
      <c r="B2456" s="12">
        <f t="shared" si="397"/>
        <v>40233</v>
      </c>
      <c r="C2456" s="13">
        <v>2010.0</v>
      </c>
      <c r="D2456" s="11" t="s">
        <v>23</v>
      </c>
      <c r="E2456" s="11">
        <v>18.0</v>
      </c>
      <c r="F2456" s="21" t="s">
        <v>314</v>
      </c>
      <c r="G2456" s="15">
        <v>0.09105431309904158</v>
      </c>
      <c r="H2456" s="11" t="s">
        <v>33</v>
      </c>
      <c r="I2456" s="16">
        <v>0.4</v>
      </c>
      <c r="J2456" s="11" t="s">
        <v>1492</v>
      </c>
      <c r="K2456" s="11" t="s">
        <v>35</v>
      </c>
      <c r="L2456" s="11" t="s">
        <v>36</v>
      </c>
      <c r="M2456" s="11" t="s">
        <v>28</v>
      </c>
      <c r="N2456" s="11" t="s">
        <v>188</v>
      </c>
      <c r="O2456" s="11" t="s">
        <v>1143</v>
      </c>
      <c r="P2456" s="11" t="s">
        <v>38</v>
      </c>
      <c r="Q2456" s="20">
        <v>40234.0</v>
      </c>
      <c r="R2456" s="17">
        <f t="shared" si="2"/>
        <v>10.36198083</v>
      </c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>
        <f t="shared" si="8"/>
        <v>2</v>
      </c>
      <c r="AF2456" s="19">
        <f t="shared" si="13"/>
        <v>2</v>
      </c>
      <c r="AG2456" s="9"/>
      <c r="AH2456" s="9"/>
      <c r="AI2456" s="9"/>
    </row>
    <row r="2457" ht="15.0" customHeight="1">
      <c r="A2457" s="11">
        <v>2456.0</v>
      </c>
      <c r="B2457" s="12">
        <f t="shared" si="397"/>
        <v>40233</v>
      </c>
      <c r="C2457" s="13">
        <v>2010.0</v>
      </c>
      <c r="D2457" s="11" t="s">
        <v>23</v>
      </c>
      <c r="E2457" s="11">
        <v>15.0</v>
      </c>
      <c r="F2457" s="21" t="s">
        <v>158</v>
      </c>
      <c r="G2457" s="15">
        <v>0.0966755555555556</v>
      </c>
      <c r="H2457" s="11" t="s">
        <v>33</v>
      </c>
      <c r="I2457" s="16">
        <v>5.6240000000000006</v>
      </c>
      <c r="J2457" s="11" t="s">
        <v>1492</v>
      </c>
      <c r="K2457" s="11" t="s">
        <v>35</v>
      </c>
      <c r="L2457" s="11" t="s">
        <v>36</v>
      </c>
      <c r="M2457" s="11" t="s">
        <v>28</v>
      </c>
      <c r="N2457" s="11" t="s">
        <v>56</v>
      </c>
      <c r="O2457" s="11" t="s">
        <v>1534</v>
      </c>
      <c r="P2457" s="11" t="s">
        <v>38</v>
      </c>
      <c r="Q2457" s="20">
        <v>40234.0</v>
      </c>
      <c r="R2457" s="17">
        <f t="shared" si="2"/>
        <v>9.824556658</v>
      </c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>
        <f t="shared" si="8"/>
        <v>2</v>
      </c>
      <c r="AF2457" s="19">
        <f t="shared" si="13"/>
        <v>2</v>
      </c>
      <c r="AG2457" s="9"/>
      <c r="AH2457" s="9"/>
      <c r="AI2457" s="9"/>
    </row>
    <row r="2458" ht="15.0" customHeight="1">
      <c r="A2458" s="11">
        <v>2457.0</v>
      </c>
      <c r="B2458" s="12">
        <f t="shared" si="397"/>
        <v>40233</v>
      </c>
      <c r="C2458" s="13">
        <v>2010.0</v>
      </c>
      <c r="D2458" s="11" t="s">
        <v>44</v>
      </c>
      <c r="E2458" s="11">
        <v>10.0</v>
      </c>
      <c r="F2458" s="21" t="s">
        <v>122</v>
      </c>
      <c r="G2458" s="15">
        <v>0.07174103237095365</v>
      </c>
      <c r="H2458" s="11" t="s">
        <v>33</v>
      </c>
      <c r="I2458" s="16">
        <v>3.2</v>
      </c>
      <c r="J2458" s="11" t="s">
        <v>781</v>
      </c>
      <c r="K2458" s="11" t="s">
        <v>65</v>
      </c>
      <c r="L2458" s="11" t="s">
        <v>27</v>
      </c>
      <c r="M2458" s="11" t="s">
        <v>66</v>
      </c>
      <c r="N2458" s="11" t="s">
        <v>67</v>
      </c>
      <c r="O2458" s="11" t="s">
        <v>2130</v>
      </c>
      <c r="P2458" s="11" t="s">
        <v>38</v>
      </c>
      <c r="Q2458" s="20">
        <v>40234.0</v>
      </c>
      <c r="R2458" s="17">
        <f t="shared" si="2"/>
        <v>15.22344707</v>
      </c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>
        <f t="shared" si="8"/>
        <v>1</v>
      </c>
      <c r="AF2458" s="19">
        <f t="shared" si="13"/>
        <v>5</v>
      </c>
      <c r="AG2458" s="9"/>
      <c r="AH2458" s="9"/>
      <c r="AI2458" s="9"/>
    </row>
    <row r="2459" ht="15.0" customHeight="1">
      <c r="A2459" s="11">
        <v>2458.0</v>
      </c>
      <c r="B2459" s="12">
        <f t="shared" si="397"/>
        <v>40233</v>
      </c>
      <c r="C2459" s="13">
        <v>2010.0</v>
      </c>
      <c r="D2459" s="11" t="s">
        <v>32</v>
      </c>
      <c r="E2459" s="11">
        <v>26.0</v>
      </c>
      <c r="F2459" s="21" t="s">
        <v>158</v>
      </c>
      <c r="G2459" s="15">
        <v>0.02048780487804875</v>
      </c>
      <c r="H2459" s="11" t="s">
        <v>33</v>
      </c>
      <c r="I2459" s="16">
        <v>6.288</v>
      </c>
      <c r="J2459" s="11" t="s">
        <v>2177</v>
      </c>
      <c r="K2459" s="11" t="s">
        <v>83</v>
      </c>
      <c r="L2459" s="11" t="s">
        <v>48</v>
      </c>
      <c r="M2459" s="11" t="s">
        <v>28</v>
      </c>
      <c r="N2459" s="11" t="s">
        <v>56</v>
      </c>
      <c r="O2459" s="11" t="s">
        <v>1285</v>
      </c>
      <c r="P2459" s="11" t="s">
        <v>38</v>
      </c>
      <c r="Q2459" s="20">
        <v>40235.0</v>
      </c>
      <c r="R2459" s="17">
        <f t="shared" si="2"/>
        <v>3.537998049</v>
      </c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>
        <f t="shared" si="8"/>
        <v>4</v>
      </c>
      <c r="AF2459" s="19" t="b">
        <f t="shared" si="13"/>
        <v>0</v>
      </c>
      <c r="AG2459" s="9"/>
      <c r="AH2459" s="9"/>
      <c r="AI2459" s="9"/>
    </row>
    <row r="2460" ht="15.0" customHeight="1">
      <c r="A2460" s="11">
        <v>2459.0</v>
      </c>
      <c r="B2460" s="12">
        <f t="shared" si="397"/>
        <v>40233</v>
      </c>
      <c r="C2460" s="13">
        <v>2010.0</v>
      </c>
      <c r="D2460" s="11" t="s">
        <v>32</v>
      </c>
      <c r="E2460" s="11">
        <v>5.0</v>
      </c>
      <c r="F2460" s="21" t="s">
        <v>2212</v>
      </c>
      <c r="G2460" s="15">
        <v>0.04361627322953289</v>
      </c>
      <c r="H2460" s="11" t="s">
        <v>24</v>
      </c>
      <c r="I2460" s="16">
        <v>3.416</v>
      </c>
      <c r="J2460" s="11" t="s">
        <v>2177</v>
      </c>
      <c r="K2460" s="11" t="s">
        <v>83</v>
      </c>
      <c r="L2460" s="11" t="s">
        <v>48</v>
      </c>
      <c r="M2460" s="11" t="s">
        <v>28</v>
      </c>
      <c r="N2460" s="11" t="s">
        <v>62</v>
      </c>
      <c r="O2460" s="11" t="s">
        <v>2213</v>
      </c>
      <c r="P2460" s="11" t="s">
        <v>58</v>
      </c>
      <c r="Q2460" s="20">
        <v>40235.0</v>
      </c>
      <c r="R2460" s="17">
        <f t="shared" si="2"/>
        <v>8.305236283</v>
      </c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>
        <f t="shared" si="8"/>
        <v>4</v>
      </c>
      <c r="AF2460" s="19" t="b">
        <f t="shared" si="13"/>
        <v>0</v>
      </c>
      <c r="AG2460" s="9"/>
      <c r="AH2460" s="9"/>
      <c r="AI2460" s="9"/>
    </row>
    <row r="2461" ht="15.0" customHeight="1">
      <c r="A2461" s="11">
        <v>2460.0</v>
      </c>
      <c r="B2461" s="12">
        <f t="shared" si="397"/>
        <v>40233</v>
      </c>
      <c r="C2461" s="13">
        <v>2010.0</v>
      </c>
      <c r="D2461" s="11" t="s">
        <v>32</v>
      </c>
      <c r="E2461" s="11">
        <v>36.0</v>
      </c>
      <c r="F2461" s="21" t="s">
        <v>948</v>
      </c>
      <c r="G2461" s="15">
        <v>0.052501333333333455</v>
      </c>
      <c r="H2461" s="11" t="s">
        <v>33</v>
      </c>
      <c r="I2461" s="16">
        <v>4.856000000000001</v>
      </c>
      <c r="J2461" s="11" t="s">
        <v>1014</v>
      </c>
      <c r="K2461" s="11" t="s">
        <v>61</v>
      </c>
      <c r="L2461" s="11" t="s">
        <v>36</v>
      </c>
      <c r="M2461" s="11" t="s">
        <v>28</v>
      </c>
      <c r="N2461" s="11" t="s">
        <v>42</v>
      </c>
      <c r="O2461" s="11" t="s">
        <v>2214</v>
      </c>
      <c r="P2461" s="11" t="s">
        <v>38</v>
      </c>
      <c r="Q2461" s="20">
        <v>40235.0</v>
      </c>
      <c r="R2461" s="17">
        <f t="shared" si="2"/>
        <v>9.327176875</v>
      </c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>
        <f t="shared" si="8"/>
        <v>2</v>
      </c>
      <c r="AF2461" s="19">
        <f t="shared" si="13"/>
        <v>4</v>
      </c>
      <c r="AG2461" s="9"/>
      <c r="AH2461" s="9"/>
      <c r="AI2461" s="9"/>
    </row>
    <row r="2462" ht="15.0" customHeight="1">
      <c r="A2462" s="11">
        <v>2461.0</v>
      </c>
      <c r="B2462" s="12">
        <f t="shared" ref="B2462:B2465" si="398">DATE(2012,12,31)-1040</f>
        <v>40234</v>
      </c>
      <c r="C2462" s="13">
        <v>2010.0</v>
      </c>
      <c r="D2462" s="11" t="s">
        <v>44</v>
      </c>
      <c r="E2462" s="11">
        <v>19.0</v>
      </c>
      <c r="F2462" s="21" t="s">
        <v>350</v>
      </c>
      <c r="G2462" s="15">
        <v>0.04504208935894668</v>
      </c>
      <c r="H2462" s="11" t="s">
        <v>33</v>
      </c>
      <c r="I2462" s="16">
        <v>9.232</v>
      </c>
      <c r="J2462" s="11" t="s">
        <v>370</v>
      </c>
      <c r="K2462" s="11" t="s">
        <v>65</v>
      </c>
      <c r="L2462" s="11" t="s">
        <v>41</v>
      </c>
      <c r="M2462" s="11" t="s">
        <v>28</v>
      </c>
      <c r="N2462" s="11" t="s">
        <v>56</v>
      </c>
      <c r="O2462" s="11" t="s">
        <v>969</v>
      </c>
      <c r="P2462" s="11" t="s">
        <v>38</v>
      </c>
      <c r="Q2462" s="20">
        <v>40235.0</v>
      </c>
      <c r="R2462" s="17">
        <f t="shared" si="2"/>
        <v>19.92806168</v>
      </c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>
        <f t="shared" si="8"/>
        <v>3</v>
      </c>
      <c r="AF2462" s="19">
        <f t="shared" si="13"/>
        <v>5</v>
      </c>
      <c r="AG2462" s="9"/>
      <c r="AH2462" s="9"/>
      <c r="AI2462" s="9"/>
    </row>
    <row r="2463" ht="15.0" customHeight="1">
      <c r="A2463" s="11">
        <v>2462.0</v>
      </c>
      <c r="B2463" s="12">
        <f t="shared" si="398"/>
        <v>40234</v>
      </c>
      <c r="C2463" s="13">
        <v>2010.0</v>
      </c>
      <c r="D2463" s="11" t="s">
        <v>44</v>
      </c>
      <c r="E2463" s="11">
        <v>14.0</v>
      </c>
      <c r="F2463" s="21" t="s">
        <v>128</v>
      </c>
      <c r="G2463" s="15">
        <v>0.07517151086671901</v>
      </c>
      <c r="H2463" s="11" t="s">
        <v>33</v>
      </c>
      <c r="I2463" s="16">
        <v>3.3600000000000003</v>
      </c>
      <c r="J2463" s="11" t="s">
        <v>370</v>
      </c>
      <c r="K2463" s="11" t="s">
        <v>65</v>
      </c>
      <c r="L2463" s="11" t="s">
        <v>41</v>
      </c>
      <c r="M2463" s="11" t="s">
        <v>66</v>
      </c>
      <c r="N2463" s="11" t="s">
        <v>80</v>
      </c>
      <c r="O2463" s="11" t="s">
        <v>1601</v>
      </c>
      <c r="P2463" s="11" t="s">
        <v>38</v>
      </c>
      <c r="Q2463" s="20">
        <v>40235.0</v>
      </c>
      <c r="R2463" s="17">
        <f t="shared" si="2"/>
        <v>132.7498813</v>
      </c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>
        <f t="shared" si="8"/>
        <v>3</v>
      </c>
      <c r="AF2463" s="19">
        <f t="shared" si="13"/>
        <v>5</v>
      </c>
      <c r="AG2463" s="9"/>
      <c r="AH2463" s="9"/>
      <c r="AI2463" s="9"/>
    </row>
    <row r="2464" ht="15.0" customHeight="1">
      <c r="A2464" s="11">
        <v>2463.0</v>
      </c>
      <c r="B2464" s="12">
        <f t="shared" si="398"/>
        <v>40234</v>
      </c>
      <c r="C2464" s="13">
        <v>2010.0</v>
      </c>
      <c r="D2464" s="11" t="s">
        <v>102</v>
      </c>
      <c r="E2464" s="11">
        <v>3.0</v>
      </c>
      <c r="F2464" s="21" t="s">
        <v>838</v>
      </c>
      <c r="G2464" s="15">
        <v>0.08627496382054974</v>
      </c>
      <c r="H2464" s="11" t="s">
        <v>33</v>
      </c>
      <c r="I2464" s="16">
        <v>15.991999999999999</v>
      </c>
      <c r="J2464" s="11" t="s">
        <v>2215</v>
      </c>
      <c r="K2464" s="11" t="s">
        <v>83</v>
      </c>
      <c r="L2464" s="11" t="s">
        <v>41</v>
      </c>
      <c r="M2464" s="11" t="s">
        <v>66</v>
      </c>
      <c r="N2464" s="11" t="s">
        <v>69</v>
      </c>
      <c r="O2464" s="11" t="s">
        <v>840</v>
      </c>
      <c r="P2464" s="11" t="s">
        <v>38</v>
      </c>
      <c r="Q2464" s="20">
        <v>40236.0</v>
      </c>
      <c r="R2464" s="17">
        <f t="shared" si="2"/>
        <v>27.23631588</v>
      </c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>
        <f t="shared" si="8"/>
        <v>3</v>
      </c>
      <c r="AF2464" s="19" t="b">
        <f t="shared" si="13"/>
        <v>0</v>
      </c>
      <c r="AG2464" s="9"/>
      <c r="AH2464" s="9"/>
      <c r="AI2464" s="9"/>
    </row>
    <row r="2465" ht="15.0" customHeight="1">
      <c r="A2465" s="11">
        <v>2464.0</v>
      </c>
      <c r="B2465" s="12">
        <f t="shared" si="398"/>
        <v>40234</v>
      </c>
      <c r="C2465" s="13">
        <v>2010.0</v>
      </c>
      <c r="D2465" s="11" t="s">
        <v>23</v>
      </c>
      <c r="E2465" s="11">
        <v>32.0</v>
      </c>
      <c r="F2465" s="21" t="s">
        <v>610</v>
      </c>
      <c r="G2465" s="15">
        <v>0.03204517554628043</v>
      </c>
      <c r="H2465" s="11" t="s">
        <v>33</v>
      </c>
      <c r="I2465" s="16">
        <v>3.848</v>
      </c>
      <c r="J2465" s="11" t="s">
        <v>82</v>
      </c>
      <c r="K2465" s="11" t="s">
        <v>83</v>
      </c>
      <c r="L2465" s="11" t="s">
        <v>27</v>
      </c>
      <c r="M2465" s="11" t="s">
        <v>28</v>
      </c>
      <c r="N2465" s="11" t="s">
        <v>29</v>
      </c>
      <c r="O2465" s="11" t="s">
        <v>2147</v>
      </c>
      <c r="P2465" s="11" t="s">
        <v>38</v>
      </c>
      <c r="Q2465" s="20">
        <v>40236.0</v>
      </c>
      <c r="R2465" s="17">
        <f t="shared" si="2"/>
        <v>12.63374637</v>
      </c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>
        <f t="shared" si="8"/>
        <v>1</v>
      </c>
      <c r="AF2465" s="19" t="b">
        <f t="shared" si="13"/>
        <v>0</v>
      </c>
      <c r="AG2465" s="9"/>
      <c r="AH2465" s="9"/>
      <c r="AI2465" s="9"/>
    </row>
    <row r="2466" ht="15.0" customHeight="1">
      <c r="A2466" s="11">
        <v>2465.0</v>
      </c>
      <c r="B2466" s="12">
        <f t="shared" ref="B2466:B2479" si="399">DATE(2012,12,31)-1039</f>
        <v>40235</v>
      </c>
      <c r="C2466" s="13">
        <v>2010.0</v>
      </c>
      <c r="D2466" s="11" t="s">
        <v>44</v>
      </c>
      <c r="E2466" s="11">
        <v>44.0</v>
      </c>
      <c r="F2466" s="21" t="s">
        <v>126</v>
      </c>
      <c r="G2466" s="15">
        <v>0.08646115906288533</v>
      </c>
      <c r="H2466" s="11" t="s">
        <v>33</v>
      </c>
      <c r="I2466" s="16">
        <v>6.664000000000001</v>
      </c>
      <c r="J2466" s="11" t="s">
        <v>831</v>
      </c>
      <c r="K2466" s="11" t="s">
        <v>117</v>
      </c>
      <c r="L2466" s="11" t="s">
        <v>27</v>
      </c>
      <c r="M2466" s="11" t="s">
        <v>28</v>
      </c>
      <c r="N2466" s="11" t="s">
        <v>56</v>
      </c>
      <c r="O2466" s="11" t="s">
        <v>2216</v>
      </c>
      <c r="P2466" s="11" t="s">
        <v>38</v>
      </c>
      <c r="Q2466" s="20">
        <v>40236.0</v>
      </c>
      <c r="R2466" s="17">
        <f t="shared" si="2"/>
        <v>19.21720306</v>
      </c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>
        <f t="shared" si="8"/>
        <v>1</v>
      </c>
      <c r="AF2466" s="19" t="b">
        <f t="shared" si="13"/>
        <v>0</v>
      </c>
      <c r="AG2466" s="9"/>
      <c r="AH2466" s="9"/>
      <c r="AI2466" s="9"/>
    </row>
    <row r="2467" ht="15.0" customHeight="1">
      <c r="A2467" s="11">
        <v>2466.0</v>
      </c>
      <c r="B2467" s="12">
        <f t="shared" si="399"/>
        <v>40235</v>
      </c>
      <c r="C2467" s="13">
        <v>2010.0</v>
      </c>
      <c r="D2467" s="11" t="s">
        <v>44</v>
      </c>
      <c r="E2467" s="11">
        <v>42.0</v>
      </c>
      <c r="F2467" s="21" t="s">
        <v>186</v>
      </c>
      <c r="G2467" s="15">
        <v>0.06343007915567288</v>
      </c>
      <c r="H2467" s="11" t="s">
        <v>33</v>
      </c>
      <c r="I2467" s="16">
        <v>5.28</v>
      </c>
      <c r="J2467" s="11" t="s">
        <v>1221</v>
      </c>
      <c r="K2467" s="11" t="s">
        <v>61</v>
      </c>
      <c r="L2467" s="11" t="s">
        <v>41</v>
      </c>
      <c r="M2467" s="11" t="s">
        <v>49</v>
      </c>
      <c r="N2467" s="11" t="s">
        <v>73</v>
      </c>
      <c r="O2467" s="11" t="s">
        <v>258</v>
      </c>
      <c r="P2467" s="11" t="s">
        <v>38</v>
      </c>
      <c r="Q2467" s="20">
        <v>40236.0</v>
      </c>
      <c r="R2467" s="17">
        <f t="shared" si="2"/>
        <v>11.25757045</v>
      </c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>
        <f t="shared" si="8"/>
        <v>3</v>
      </c>
      <c r="AF2467" s="19">
        <f t="shared" si="13"/>
        <v>4</v>
      </c>
      <c r="AG2467" s="9"/>
      <c r="AH2467" s="9"/>
      <c r="AI2467" s="9"/>
    </row>
    <row r="2468" ht="15.0" customHeight="1">
      <c r="A2468" s="11">
        <v>2467.0</v>
      </c>
      <c r="B2468" s="12">
        <f t="shared" si="399"/>
        <v>40235</v>
      </c>
      <c r="C2468" s="13">
        <v>2010.0</v>
      </c>
      <c r="D2468" s="11" t="s">
        <v>39</v>
      </c>
      <c r="E2468" s="11">
        <v>40.0</v>
      </c>
      <c r="F2468" s="21" t="s">
        <v>319</v>
      </c>
      <c r="G2468" s="15">
        <v>0.10864393338620135</v>
      </c>
      <c r="H2468" s="11" t="s">
        <v>24</v>
      </c>
      <c r="I2468" s="16">
        <v>0.4</v>
      </c>
      <c r="J2468" s="11" t="s">
        <v>2075</v>
      </c>
      <c r="K2468" s="11" t="s">
        <v>35</v>
      </c>
      <c r="L2468" s="11" t="s">
        <v>48</v>
      </c>
      <c r="M2468" s="11" t="s">
        <v>28</v>
      </c>
      <c r="N2468" s="11" t="s">
        <v>188</v>
      </c>
      <c r="O2468" s="11" t="s">
        <v>1198</v>
      </c>
      <c r="P2468" s="11" t="s">
        <v>38</v>
      </c>
      <c r="Q2468" s="20">
        <v>40236.0</v>
      </c>
      <c r="R2468" s="17">
        <f t="shared" si="2"/>
        <v>12.21157811</v>
      </c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>
        <f t="shared" si="8"/>
        <v>4</v>
      </c>
      <c r="AF2468" s="19">
        <f t="shared" si="13"/>
        <v>2</v>
      </c>
      <c r="AG2468" s="9"/>
      <c r="AH2468" s="9"/>
      <c r="AI2468" s="9"/>
    </row>
    <row r="2469" ht="15.0" customHeight="1">
      <c r="A2469" s="11">
        <v>2468.0</v>
      </c>
      <c r="B2469" s="12">
        <f t="shared" si="399"/>
        <v>40235</v>
      </c>
      <c r="C2469" s="13">
        <v>2010.0</v>
      </c>
      <c r="D2469" s="11" t="s">
        <v>39</v>
      </c>
      <c r="E2469" s="11">
        <v>26.0</v>
      </c>
      <c r="F2469" s="21" t="s">
        <v>270</v>
      </c>
      <c r="G2469" s="15">
        <v>0.015602371181030712</v>
      </c>
      <c r="H2469" s="11" t="s">
        <v>33</v>
      </c>
      <c r="I2469" s="16">
        <v>15.991999999999999</v>
      </c>
      <c r="J2469" s="11" t="s">
        <v>2075</v>
      </c>
      <c r="K2469" s="11" t="s">
        <v>35</v>
      </c>
      <c r="L2469" s="11" t="s">
        <v>48</v>
      </c>
      <c r="M2469" s="11" t="s">
        <v>28</v>
      </c>
      <c r="N2469" s="11" t="s">
        <v>56</v>
      </c>
      <c r="O2469" s="11" t="s">
        <v>1306</v>
      </c>
      <c r="P2469" s="11" t="s">
        <v>38</v>
      </c>
      <c r="Q2469" s="20">
        <v>40236.0</v>
      </c>
      <c r="R2469" s="17">
        <f t="shared" si="2"/>
        <v>16.84107463</v>
      </c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>
        <f t="shared" si="8"/>
        <v>4</v>
      </c>
      <c r="AF2469" s="19">
        <f t="shared" si="13"/>
        <v>2</v>
      </c>
      <c r="AG2469" s="9"/>
      <c r="AH2469" s="9"/>
      <c r="AI2469" s="9"/>
    </row>
    <row r="2470" ht="15.0" customHeight="1">
      <c r="A2470" s="11">
        <v>2469.0</v>
      </c>
      <c r="B2470" s="12">
        <f t="shared" si="399"/>
        <v>40235</v>
      </c>
      <c r="C2470" s="13">
        <v>2010.0</v>
      </c>
      <c r="D2470" s="11" t="s">
        <v>102</v>
      </c>
      <c r="E2470" s="11">
        <v>44.0</v>
      </c>
      <c r="F2470" s="21" t="s">
        <v>372</v>
      </c>
      <c r="G2470" s="15">
        <v>0.0767120362957033</v>
      </c>
      <c r="H2470" s="11" t="s">
        <v>33</v>
      </c>
      <c r="I2470" s="16">
        <v>1.1119999999999999</v>
      </c>
      <c r="J2470" s="11" t="s">
        <v>2217</v>
      </c>
      <c r="K2470" s="11" t="s">
        <v>83</v>
      </c>
      <c r="L2470" s="11" t="s">
        <v>36</v>
      </c>
      <c r="M2470" s="11" t="s">
        <v>28</v>
      </c>
      <c r="N2470" s="11" t="s">
        <v>236</v>
      </c>
      <c r="O2470" s="11" t="s">
        <v>374</v>
      </c>
      <c r="P2470" s="11" t="s">
        <v>38</v>
      </c>
      <c r="Q2470" s="20">
        <v>40236.0</v>
      </c>
      <c r="R2470" s="17">
        <f t="shared" si="2"/>
        <v>53.07797846</v>
      </c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>
        <f t="shared" si="8"/>
        <v>2</v>
      </c>
      <c r="AF2470" s="19" t="b">
        <f t="shared" si="13"/>
        <v>0</v>
      </c>
      <c r="AG2470" s="9"/>
      <c r="AH2470" s="9"/>
      <c r="AI2470" s="9"/>
    </row>
    <row r="2471" ht="15.0" customHeight="1">
      <c r="A2471" s="11">
        <v>2470.0</v>
      </c>
      <c r="B2471" s="12">
        <f t="shared" si="399"/>
        <v>40235</v>
      </c>
      <c r="C2471" s="13">
        <v>2010.0</v>
      </c>
      <c r="D2471" s="11" t="s">
        <v>102</v>
      </c>
      <c r="E2471" s="11">
        <v>30.0</v>
      </c>
      <c r="F2471" s="21" t="s">
        <v>700</v>
      </c>
      <c r="G2471" s="15">
        <v>0.018834561286001417</v>
      </c>
      <c r="H2471" s="11" t="s">
        <v>24</v>
      </c>
      <c r="I2471" s="16">
        <v>4.976</v>
      </c>
      <c r="J2471" s="11" t="s">
        <v>2217</v>
      </c>
      <c r="K2471" s="11" t="s">
        <v>83</v>
      </c>
      <c r="L2471" s="11" t="s">
        <v>36</v>
      </c>
      <c r="M2471" s="11" t="s">
        <v>49</v>
      </c>
      <c r="N2471" s="11" t="s">
        <v>73</v>
      </c>
      <c r="O2471" s="11" t="s">
        <v>701</v>
      </c>
      <c r="P2471" s="11" t="s">
        <v>38</v>
      </c>
      <c r="Q2471" s="20">
        <v>40237.0</v>
      </c>
      <c r="R2471" s="17">
        <f t="shared" si="2"/>
        <v>5.518074427</v>
      </c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>
        <f t="shared" si="8"/>
        <v>2</v>
      </c>
      <c r="AF2471" s="19" t="b">
        <f t="shared" si="13"/>
        <v>0</v>
      </c>
      <c r="AG2471" s="9"/>
      <c r="AH2471" s="9"/>
      <c r="AI2471" s="9"/>
    </row>
    <row r="2472" ht="15.0" customHeight="1">
      <c r="A2472" s="11">
        <v>2471.0</v>
      </c>
      <c r="B2472" s="12">
        <f t="shared" si="399"/>
        <v>40235</v>
      </c>
      <c r="C2472" s="13">
        <v>2010.0</v>
      </c>
      <c r="D2472" s="11" t="s">
        <v>102</v>
      </c>
      <c r="E2472" s="11">
        <v>43.0</v>
      </c>
      <c r="F2472" s="21" t="s">
        <v>1828</v>
      </c>
      <c r="G2472" s="15">
        <v>0.07450792137385116</v>
      </c>
      <c r="H2472" s="11" t="s">
        <v>33</v>
      </c>
      <c r="I2472" s="16">
        <v>15.991999999999999</v>
      </c>
      <c r="J2472" s="11" t="s">
        <v>1876</v>
      </c>
      <c r="K2472" s="11" t="s">
        <v>61</v>
      </c>
      <c r="L2472" s="11" t="s">
        <v>48</v>
      </c>
      <c r="M2472" s="11" t="s">
        <v>28</v>
      </c>
      <c r="N2472" s="11" t="s">
        <v>42</v>
      </c>
      <c r="O2472" s="11" t="s">
        <v>1830</v>
      </c>
      <c r="P2472" s="11" t="s">
        <v>38</v>
      </c>
      <c r="Q2472" s="20">
        <v>40237.0</v>
      </c>
      <c r="R2472" s="17">
        <f t="shared" si="2"/>
        <v>1243.961307</v>
      </c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>
        <f t="shared" si="8"/>
        <v>4</v>
      </c>
      <c r="AF2472" s="19">
        <f t="shared" si="13"/>
        <v>4</v>
      </c>
      <c r="AG2472" s="9"/>
      <c r="AH2472" s="9"/>
      <c r="AI2472" s="9"/>
    </row>
    <row r="2473" ht="15.0" customHeight="1">
      <c r="A2473" s="11">
        <v>2472.0</v>
      </c>
      <c r="B2473" s="12">
        <f t="shared" si="399"/>
        <v>40235</v>
      </c>
      <c r="C2473" s="13">
        <v>2010.0</v>
      </c>
      <c r="D2473" s="11" t="s">
        <v>102</v>
      </c>
      <c r="E2473" s="11">
        <v>3.0</v>
      </c>
      <c r="F2473" s="21" t="s">
        <v>122</v>
      </c>
      <c r="G2473" s="15">
        <v>0.02889208633093539</v>
      </c>
      <c r="H2473" s="11" t="s">
        <v>33</v>
      </c>
      <c r="I2473" s="16">
        <v>4.792000000000001</v>
      </c>
      <c r="J2473" s="11" t="s">
        <v>1393</v>
      </c>
      <c r="K2473" s="11" t="s">
        <v>117</v>
      </c>
      <c r="L2473" s="11" t="s">
        <v>36</v>
      </c>
      <c r="M2473" s="11" t="s">
        <v>66</v>
      </c>
      <c r="N2473" s="11" t="s">
        <v>67</v>
      </c>
      <c r="O2473" s="11" t="s">
        <v>1485</v>
      </c>
      <c r="P2473" s="11" t="s">
        <v>38</v>
      </c>
      <c r="Q2473" s="20">
        <v>40237.0</v>
      </c>
      <c r="R2473" s="17">
        <f t="shared" si="2"/>
        <v>1.949984691</v>
      </c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>
        <f t="shared" si="8"/>
        <v>2</v>
      </c>
      <c r="AF2473" s="19" t="b">
        <f t="shared" si="13"/>
        <v>0</v>
      </c>
      <c r="AG2473" s="9"/>
      <c r="AH2473" s="9"/>
      <c r="AI2473" s="9"/>
    </row>
    <row r="2474" ht="15.0" customHeight="1">
      <c r="A2474" s="11">
        <v>2473.0</v>
      </c>
      <c r="B2474" s="12">
        <f t="shared" si="399"/>
        <v>40235</v>
      </c>
      <c r="C2474" s="13">
        <v>2010.0</v>
      </c>
      <c r="D2474" s="11" t="s">
        <v>102</v>
      </c>
      <c r="E2474" s="11">
        <v>10.0</v>
      </c>
      <c r="F2474" s="21" t="s">
        <v>933</v>
      </c>
      <c r="G2474" s="15">
        <v>0.07973527037933811</v>
      </c>
      <c r="H2474" s="11" t="s">
        <v>24</v>
      </c>
      <c r="I2474" s="16">
        <v>11.104000000000001</v>
      </c>
      <c r="J2474" s="11" t="s">
        <v>1393</v>
      </c>
      <c r="K2474" s="11" t="s">
        <v>117</v>
      </c>
      <c r="L2474" s="11" t="s">
        <v>36</v>
      </c>
      <c r="M2474" s="11" t="s">
        <v>28</v>
      </c>
      <c r="N2474" s="11" t="s">
        <v>56</v>
      </c>
      <c r="O2474" s="11" t="s">
        <v>989</v>
      </c>
      <c r="P2474" s="11" t="s">
        <v>38</v>
      </c>
      <c r="Q2474" s="20">
        <v>40237.0</v>
      </c>
      <c r="R2474" s="17">
        <f t="shared" si="2"/>
        <v>45.45739658</v>
      </c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>
        <f t="shared" si="8"/>
        <v>2</v>
      </c>
      <c r="AF2474" s="19" t="b">
        <f t="shared" si="13"/>
        <v>0</v>
      </c>
      <c r="AG2474" s="9"/>
      <c r="AH2474" s="9"/>
      <c r="AI2474" s="9"/>
    </row>
    <row r="2475" ht="15.0" customHeight="1">
      <c r="A2475" s="11">
        <v>2474.0</v>
      </c>
      <c r="B2475" s="12">
        <f t="shared" si="399"/>
        <v>40235</v>
      </c>
      <c r="C2475" s="13">
        <v>2010.0</v>
      </c>
      <c r="D2475" s="11" t="s">
        <v>102</v>
      </c>
      <c r="E2475" s="11">
        <v>18.0</v>
      </c>
      <c r="F2475" s="21" t="s">
        <v>422</v>
      </c>
      <c r="G2475" s="15">
        <v>0.0960472623180462</v>
      </c>
      <c r="H2475" s="11" t="s">
        <v>33</v>
      </c>
      <c r="I2475" s="16">
        <v>28.0</v>
      </c>
      <c r="J2475" s="11" t="s">
        <v>1393</v>
      </c>
      <c r="K2475" s="11" t="s">
        <v>117</v>
      </c>
      <c r="L2475" s="11" t="s">
        <v>36</v>
      </c>
      <c r="M2475" s="11" t="s">
        <v>28</v>
      </c>
      <c r="N2475" s="11" t="s">
        <v>29</v>
      </c>
      <c r="O2475" s="11" t="s">
        <v>1571</v>
      </c>
      <c r="P2475" s="11" t="s">
        <v>31</v>
      </c>
      <c r="Q2475" s="20">
        <v>40237.0</v>
      </c>
      <c r="R2475" s="17">
        <f t="shared" si="2"/>
        <v>142.5533467</v>
      </c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>
        <f t="shared" si="8"/>
        <v>2</v>
      </c>
      <c r="AF2475" s="19" t="b">
        <f t="shared" si="13"/>
        <v>0</v>
      </c>
      <c r="AG2475" s="9"/>
      <c r="AH2475" s="9"/>
      <c r="AI2475" s="9"/>
    </row>
    <row r="2476" ht="15.0" customHeight="1">
      <c r="A2476" s="11">
        <v>2475.0</v>
      </c>
      <c r="B2476" s="12">
        <f t="shared" si="399"/>
        <v>40235</v>
      </c>
      <c r="C2476" s="13">
        <v>2010.0</v>
      </c>
      <c r="D2476" s="11" t="s">
        <v>44</v>
      </c>
      <c r="E2476" s="11">
        <v>48.0</v>
      </c>
      <c r="F2476" s="21" t="s">
        <v>242</v>
      </c>
      <c r="G2476" s="15">
        <v>0.06967300175225766</v>
      </c>
      <c r="H2476" s="11" t="s">
        <v>45</v>
      </c>
      <c r="I2476" s="16">
        <v>47.848000000000006</v>
      </c>
      <c r="J2476" s="11" t="s">
        <v>1772</v>
      </c>
      <c r="K2476" s="11" t="s">
        <v>65</v>
      </c>
      <c r="L2476" s="11" t="s">
        <v>48</v>
      </c>
      <c r="M2476" s="11" t="s">
        <v>49</v>
      </c>
      <c r="N2476" s="11" t="s">
        <v>50</v>
      </c>
      <c r="O2476" s="11" t="s">
        <v>2218</v>
      </c>
      <c r="P2476" s="11" t="s">
        <v>52</v>
      </c>
      <c r="Q2476" s="20">
        <v>40237.0</v>
      </c>
      <c r="R2476" s="17">
        <f t="shared" si="2"/>
        <v>240.4448734</v>
      </c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>
        <f t="shared" si="8"/>
        <v>4</v>
      </c>
      <c r="AF2476" s="19">
        <f t="shared" si="13"/>
        <v>5</v>
      </c>
      <c r="AG2476" s="9"/>
      <c r="AH2476" s="9"/>
      <c r="AI2476" s="9"/>
    </row>
    <row r="2477" ht="15.0" customHeight="1">
      <c r="A2477" s="11">
        <v>2476.0</v>
      </c>
      <c r="B2477" s="12">
        <f t="shared" si="399"/>
        <v>40235</v>
      </c>
      <c r="C2477" s="13">
        <v>2010.0</v>
      </c>
      <c r="D2477" s="11" t="s">
        <v>44</v>
      </c>
      <c r="E2477" s="11">
        <v>34.0</v>
      </c>
      <c r="F2477" s="21" t="s">
        <v>2219</v>
      </c>
      <c r="G2477" s="15">
        <v>0.05796376013614955</v>
      </c>
      <c r="H2477" s="11" t="s">
        <v>33</v>
      </c>
      <c r="I2477" s="16">
        <v>4.4</v>
      </c>
      <c r="J2477" s="11" t="s">
        <v>1772</v>
      </c>
      <c r="K2477" s="11" t="s">
        <v>65</v>
      </c>
      <c r="L2477" s="11" t="s">
        <v>48</v>
      </c>
      <c r="M2477" s="11" t="s">
        <v>66</v>
      </c>
      <c r="N2477" s="11" t="s">
        <v>67</v>
      </c>
      <c r="O2477" s="11" t="s">
        <v>531</v>
      </c>
      <c r="P2477" s="11" t="s">
        <v>38</v>
      </c>
      <c r="Q2477" s="20">
        <v>40238.0</v>
      </c>
      <c r="R2477" s="17">
        <f t="shared" si="2"/>
        <v>163.6316949</v>
      </c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>
        <f t="shared" si="8"/>
        <v>4</v>
      </c>
      <c r="AF2477" s="19">
        <f t="shared" si="13"/>
        <v>5</v>
      </c>
      <c r="AG2477" s="9"/>
      <c r="AH2477" s="9"/>
      <c r="AI2477" s="9"/>
    </row>
    <row r="2478" ht="15.0" customHeight="1">
      <c r="A2478" s="11">
        <v>2477.0</v>
      </c>
      <c r="B2478" s="12">
        <f t="shared" si="399"/>
        <v>40235</v>
      </c>
      <c r="C2478" s="13">
        <v>2010.0</v>
      </c>
      <c r="D2478" s="11" t="s">
        <v>44</v>
      </c>
      <c r="E2478" s="11">
        <v>31.0</v>
      </c>
      <c r="F2478" s="21" t="s">
        <v>166</v>
      </c>
      <c r="G2478" s="15">
        <v>0.04890995260663502</v>
      </c>
      <c r="H2478" s="11" t="s">
        <v>33</v>
      </c>
      <c r="I2478" s="16">
        <v>1.304</v>
      </c>
      <c r="J2478" s="11" t="s">
        <v>1772</v>
      </c>
      <c r="K2478" s="11" t="s">
        <v>65</v>
      </c>
      <c r="L2478" s="11" t="s">
        <v>48</v>
      </c>
      <c r="M2478" s="11" t="s">
        <v>28</v>
      </c>
      <c r="N2478" s="11" t="s">
        <v>62</v>
      </c>
      <c r="O2478" s="11" t="s">
        <v>2220</v>
      </c>
      <c r="P2478" s="11" t="s">
        <v>58</v>
      </c>
      <c r="Q2478" s="20">
        <v>40238.0</v>
      </c>
      <c r="R2478" s="17">
        <f t="shared" si="2"/>
        <v>2.944574787</v>
      </c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>
        <f t="shared" si="8"/>
        <v>4</v>
      </c>
      <c r="AF2478" s="19">
        <f t="shared" si="13"/>
        <v>5</v>
      </c>
      <c r="AG2478" s="9"/>
      <c r="AH2478" s="9"/>
      <c r="AI2478" s="9"/>
    </row>
    <row r="2479" ht="15.0" customHeight="1">
      <c r="A2479" s="11">
        <v>2478.0</v>
      </c>
      <c r="B2479" s="12">
        <f t="shared" si="399"/>
        <v>40235</v>
      </c>
      <c r="C2479" s="13">
        <v>2010.0</v>
      </c>
      <c r="D2479" s="11" t="s">
        <v>39</v>
      </c>
      <c r="E2479" s="11">
        <v>21.0</v>
      </c>
      <c r="F2479" s="21" t="s">
        <v>428</v>
      </c>
      <c r="G2479" s="15">
        <v>0.06440120580981092</v>
      </c>
      <c r="H2479" s="11" t="s">
        <v>45</v>
      </c>
      <c r="I2479" s="16">
        <v>22.200000000000003</v>
      </c>
      <c r="J2479" s="11" t="s">
        <v>213</v>
      </c>
      <c r="K2479" s="11" t="s">
        <v>47</v>
      </c>
      <c r="L2479" s="11" t="s">
        <v>48</v>
      </c>
      <c r="M2479" s="11" t="s">
        <v>49</v>
      </c>
      <c r="N2479" s="11" t="s">
        <v>85</v>
      </c>
      <c r="O2479" s="11" t="s">
        <v>1668</v>
      </c>
      <c r="P2479" s="11" t="s">
        <v>87</v>
      </c>
      <c r="Q2479" s="20">
        <v>40238.0</v>
      </c>
      <c r="R2479" s="17">
        <f t="shared" si="2"/>
        <v>21.98657166</v>
      </c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>
        <f t="shared" si="8"/>
        <v>4</v>
      </c>
      <c r="AF2479" s="19">
        <f t="shared" si="13"/>
        <v>3</v>
      </c>
      <c r="AG2479" s="9"/>
      <c r="AH2479" s="9"/>
      <c r="AI2479" s="9"/>
    </row>
    <row r="2480" ht="15.0" customHeight="1">
      <c r="A2480" s="11">
        <v>2479.0</v>
      </c>
      <c r="B2480" s="12">
        <f t="shared" ref="B2480:B2496" si="400">DATE(2012,12,31)-1038</f>
        <v>40236</v>
      </c>
      <c r="C2480" s="13">
        <v>2010.0</v>
      </c>
      <c r="D2480" s="11" t="s">
        <v>44</v>
      </c>
      <c r="E2480" s="11">
        <v>19.0</v>
      </c>
      <c r="F2480" s="21" t="s">
        <v>638</v>
      </c>
      <c r="G2480" s="15">
        <v>0.08186596583442826</v>
      </c>
      <c r="H2480" s="11" t="s">
        <v>33</v>
      </c>
      <c r="I2480" s="16">
        <v>4.84</v>
      </c>
      <c r="J2480" s="11" t="s">
        <v>1145</v>
      </c>
      <c r="K2480" s="11" t="s">
        <v>65</v>
      </c>
      <c r="L2480" s="11" t="s">
        <v>48</v>
      </c>
      <c r="M2480" s="11" t="s">
        <v>28</v>
      </c>
      <c r="N2480" s="11" t="s">
        <v>42</v>
      </c>
      <c r="O2480" s="11" t="s">
        <v>640</v>
      </c>
      <c r="P2480" s="11" t="s">
        <v>38</v>
      </c>
      <c r="Q2480" s="20">
        <v>40238.0</v>
      </c>
      <c r="R2480" s="17">
        <f t="shared" si="2"/>
        <v>11.43995007</v>
      </c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>
        <f t="shared" si="8"/>
        <v>4</v>
      </c>
      <c r="AF2480" s="19">
        <f t="shared" si="13"/>
        <v>5</v>
      </c>
      <c r="AG2480" s="9"/>
      <c r="AH2480" s="9"/>
      <c r="AI2480" s="9"/>
    </row>
    <row r="2481" ht="15.0" customHeight="1">
      <c r="A2481" s="11">
        <v>2480.0</v>
      </c>
      <c r="B2481" s="12">
        <f t="shared" si="400"/>
        <v>40236</v>
      </c>
      <c r="C2481" s="13">
        <v>2010.0</v>
      </c>
      <c r="D2481" s="11" t="s">
        <v>32</v>
      </c>
      <c r="E2481" s="11">
        <v>33.0</v>
      </c>
      <c r="F2481" s="21" t="s">
        <v>950</v>
      </c>
      <c r="G2481" s="15">
        <v>0.055844057532172565</v>
      </c>
      <c r="H2481" s="11" t="s">
        <v>33</v>
      </c>
      <c r="I2481" s="16">
        <v>7.192</v>
      </c>
      <c r="J2481" s="11" t="s">
        <v>360</v>
      </c>
      <c r="K2481" s="11" t="s">
        <v>65</v>
      </c>
      <c r="L2481" s="11" t="s">
        <v>48</v>
      </c>
      <c r="M2481" s="11" t="s">
        <v>49</v>
      </c>
      <c r="N2481" s="11" t="s">
        <v>73</v>
      </c>
      <c r="O2481" s="11" t="s">
        <v>1793</v>
      </c>
      <c r="P2481" s="11" t="s">
        <v>99</v>
      </c>
      <c r="Q2481" s="20">
        <v>40238.0</v>
      </c>
      <c r="R2481" s="17">
        <f t="shared" si="2"/>
        <v>27.86015355</v>
      </c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>
        <f t="shared" si="8"/>
        <v>4</v>
      </c>
      <c r="AF2481" s="19">
        <f t="shared" si="13"/>
        <v>5</v>
      </c>
      <c r="AG2481" s="9"/>
      <c r="AH2481" s="9"/>
      <c r="AI2481" s="9"/>
    </row>
    <row r="2482" ht="15.0" customHeight="1">
      <c r="A2482" s="11">
        <v>2481.0</v>
      </c>
      <c r="B2482" s="12">
        <f t="shared" si="400"/>
        <v>40236</v>
      </c>
      <c r="C2482" s="13">
        <v>2010.0</v>
      </c>
      <c r="D2482" s="11" t="s">
        <v>32</v>
      </c>
      <c r="E2482" s="11">
        <v>48.0</v>
      </c>
      <c r="F2482" s="21" t="s">
        <v>1710</v>
      </c>
      <c r="G2482" s="15">
        <v>0.025810776620101485</v>
      </c>
      <c r="H2482" s="11" t="s">
        <v>45</v>
      </c>
      <c r="I2482" s="16">
        <v>41.552</v>
      </c>
      <c r="J2482" s="11" t="s">
        <v>360</v>
      </c>
      <c r="K2482" s="11" t="s">
        <v>65</v>
      </c>
      <c r="L2482" s="11" t="s">
        <v>48</v>
      </c>
      <c r="M2482" s="11" t="s">
        <v>49</v>
      </c>
      <c r="N2482" s="11" t="s">
        <v>85</v>
      </c>
      <c r="O2482" s="11" t="s">
        <v>1711</v>
      </c>
      <c r="P2482" s="11" t="s">
        <v>87</v>
      </c>
      <c r="Q2482" s="20">
        <v>40238.0</v>
      </c>
      <c r="R2482" s="17">
        <f t="shared" si="2"/>
        <v>155.1937987</v>
      </c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>
        <f t="shared" si="8"/>
        <v>4</v>
      </c>
      <c r="AF2482" s="19">
        <f t="shared" si="13"/>
        <v>5</v>
      </c>
      <c r="AG2482" s="9"/>
      <c r="AH2482" s="9"/>
      <c r="AI2482" s="9"/>
    </row>
    <row r="2483" ht="15.0" customHeight="1">
      <c r="A2483" s="11">
        <v>2482.0</v>
      </c>
      <c r="B2483" s="12">
        <f t="shared" si="400"/>
        <v>40236</v>
      </c>
      <c r="C2483" s="13">
        <v>2010.0</v>
      </c>
      <c r="D2483" s="11" t="s">
        <v>32</v>
      </c>
      <c r="E2483" s="11">
        <v>8.0</v>
      </c>
      <c r="F2483" s="21" t="s">
        <v>933</v>
      </c>
      <c r="G2483" s="15">
        <v>0.08494601751884293</v>
      </c>
      <c r="H2483" s="11" t="s">
        <v>24</v>
      </c>
      <c r="I2483" s="16">
        <v>2.0</v>
      </c>
      <c r="J2483" s="11" t="s">
        <v>360</v>
      </c>
      <c r="K2483" s="11" t="s">
        <v>65</v>
      </c>
      <c r="L2483" s="11" t="s">
        <v>48</v>
      </c>
      <c r="M2483" s="11" t="s">
        <v>66</v>
      </c>
      <c r="N2483" s="11" t="s">
        <v>80</v>
      </c>
      <c r="O2483" s="11" t="s">
        <v>1708</v>
      </c>
      <c r="P2483" s="11" t="s">
        <v>99</v>
      </c>
      <c r="Q2483" s="20">
        <v>40238.0</v>
      </c>
      <c r="R2483" s="17">
        <f t="shared" si="2"/>
        <v>38.15775107</v>
      </c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>
        <f t="shared" si="8"/>
        <v>4</v>
      </c>
      <c r="AF2483" s="19">
        <f t="shared" si="13"/>
        <v>5</v>
      </c>
      <c r="AG2483" s="9"/>
      <c r="AH2483" s="9"/>
      <c r="AI2483" s="9"/>
    </row>
    <row r="2484" ht="15.0" customHeight="1">
      <c r="A2484" s="11">
        <v>2483.0</v>
      </c>
      <c r="B2484" s="12">
        <f t="shared" si="400"/>
        <v>40236</v>
      </c>
      <c r="C2484" s="13">
        <v>2010.0</v>
      </c>
      <c r="D2484" s="11" t="s">
        <v>32</v>
      </c>
      <c r="E2484" s="11">
        <v>31.0</v>
      </c>
      <c r="F2484" s="21" t="s">
        <v>599</v>
      </c>
      <c r="G2484" s="15">
        <v>0.030664744136774294</v>
      </c>
      <c r="H2484" s="11" t="s">
        <v>33</v>
      </c>
      <c r="I2484" s="16">
        <v>11.192</v>
      </c>
      <c r="J2484" s="11" t="s">
        <v>360</v>
      </c>
      <c r="K2484" s="11" t="s">
        <v>65</v>
      </c>
      <c r="L2484" s="11" t="s">
        <v>48</v>
      </c>
      <c r="M2484" s="11" t="s">
        <v>49</v>
      </c>
      <c r="N2484" s="11" t="s">
        <v>73</v>
      </c>
      <c r="O2484" s="11" t="s">
        <v>601</v>
      </c>
      <c r="P2484" s="11" t="s">
        <v>75</v>
      </c>
      <c r="Q2484" s="20">
        <v>40238.0</v>
      </c>
      <c r="R2484" s="17">
        <f t="shared" si="2"/>
        <v>101.0124883</v>
      </c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>
        <f t="shared" si="8"/>
        <v>4</v>
      </c>
      <c r="AF2484" s="19">
        <f t="shared" si="13"/>
        <v>5</v>
      </c>
      <c r="AG2484" s="9"/>
      <c r="AH2484" s="9"/>
      <c r="AI2484" s="9"/>
    </row>
    <row r="2485" ht="15.0" customHeight="1">
      <c r="A2485" s="11">
        <v>2484.0</v>
      </c>
      <c r="B2485" s="12">
        <f t="shared" si="400"/>
        <v>40236</v>
      </c>
      <c r="C2485" s="13">
        <v>2010.0</v>
      </c>
      <c r="D2485" s="11" t="s">
        <v>44</v>
      </c>
      <c r="E2485" s="11">
        <v>8.0</v>
      </c>
      <c r="F2485" s="21" t="s">
        <v>254</v>
      </c>
      <c r="G2485" s="15">
        <v>0.017949200376293523</v>
      </c>
      <c r="H2485" s="11" t="s">
        <v>33</v>
      </c>
      <c r="I2485" s="16">
        <v>1.192</v>
      </c>
      <c r="J2485" s="11" t="s">
        <v>2221</v>
      </c>
      <c r="K2485" s="11" t="s">
        <v>35</v>
      </c>
      <c r="L2485" s="11" t="s">
        <v>36</v>
      </c>
      <c r="M2485" s="11" t="s">
        <v>28</v>
      </c>
      <c r="N2485" s="11" t="s">
        <v>42</v>
      </c>
      <c r="O2485" s="11" t="s">
        <v>556</v>
      </c>
      <c r="P2485" s="11" t="s">
        <v>38</v>
      </c>
      <c r="Q2485" s="20">
        <v>40238.0</v>
      </c>
      <c r="R2485" s="17">
        <f t="shared" si="2"/>
        <v>1.873752926</v>
      </c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>
        <f t="shared" si="8"/>
        <v>2</v>
      </c>
      <c r="AF2485" s="19">
        <f t="shared" si="13"/>
        <v>2</v>
      </c>
      <c r="AG2485" s="9"/>
      <c r="AH2485" s="9"/>
      <c r="AI2485" s="9"/>
    </row>
    <row r="2486" ht="15.0" customHeight="1">
      <c r="A2486" s="11">
        <v>2485.0</v>
      </c>
      <c r="B2486" s="12">
        <f t="shared" si="400"/>
        <v>40236</v>
      </c>
      <c r="C2486" s="13">
        <v>2010.0</v>
      </c>
      <c r="D2486" s="11" t="s">
        <v>44</v>
      </c>
      <c r="E2486" s="11">
        <v>9.0</v>
      </c>
      <c r="F2486" s="21" t="s">
        <v>328</v>
      </c>
      <c r="G2486" s="15">
        <v>0.039658152487036746</v>
      </c>
      <c r="H2486" s="11" t="s">
        <v>33</v>
      </c>
      <c r="I2486" s="16">
        <v>2.0</v>
      </c>
      <c r="J2486" s="11" t="s">
        <v>2221</v>
      </c>
      <c r="K2486" s="11" t="s">
        <v>35</v>
      </c>
      <c r="L2486" s="11" t="s">
        <v>36</v>
      </c>
      <c r="M2486" s="11" t="s">
        <v>66</v>
      </c>
      <c r="N2486" s="11" t="s">
        <v>80</v>
      </c>
      <c r="O2486" s="11" t="s">
        <v>81</v>
      </c>
      <c r="P2486" s="11" t="s">
        <v>38</v>
      </c>
      <c r="Q2486" s="20">
        <v>40238.0</v>
      </c>
      <c r="R2486" s="17">
        <f t="shared" si="2"/>
        <v>39.6621183</v>
      </c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>
        <f t="shared" si="8"/>
        <v>2</v>
      </c>
      <c r="AF2486" s="19">
        <f t="shared" si="13"/>
        <v>2</v>
      </c>
      <c r="AG2486" s="9"/>
      <c r="AH2486" s="9"/>
      <c r="AI2486" s="9"/>
    </row>
    <row r="2487" ht="15.0" customHeight="1">
      <c r="A2487" s="11">
        <v>2486.0</v>
      </c>
      <c r="B2487" s="12">
        <f t="shared" si="400"/>
        <v>40236</v>
      </c>
      <c r="C2487" s="13">
        <v>2010.0</v>
      </c>
      <c r="D2487" s="11" t="s">
        <v>44</v>
      </c>
      <c r="E2487" s="11">
        <v>2.0</v>
      </c>
      <c r="F2487" s="21" t="s">
        <v>629</v>
      </c>
      <c r="G2487" s="15">
        <v>0.08585365853658534</v>
      </c>
      <c r="H2487" s="11" t="s">
        <v>33</v>
      </c>
      <c r="I2487" s="16">
        <v>0.392</v>
      </c>
      <c r="J2487" s="11" t="s">
        <v>546</v>
      </c>
      <c r="K2487" s="11" t="s">
        <v>61</v>
      </c>
      <c r="L2487" s="11" t="s">
        <v>48</v>
      </c>
      <c r="M2487" s="11" t="s">
        <v>28</v>
      </c>
      <c r="N2487" s="11" t="s">
        <v>188</v>
      </c>
      <c r="O2487" s="11" t="s">
        <v>631</v>
      </c>
      <c r="P2487" s="11" t="s">
        <v>38</v>
      </c>
      <c r="Q2487" s="20">
        <v>40238.0</v>
      </c>
      <c r="R2487" s="17">
        <f t="shared" si="2"/>
        <v>1.287118049</v>
      </c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>
        <f t="shared" si="8"/>
        <v>4</v>
      </c>
      <c r="AF2487" s="19">
        <f t="shared" si="13"/>
        <v>4</v>
      </c>
      <c r="AG2487" s="9"/>
      <c r="AH2487" s="9"/>
      <c r="AI2487" s="9"/>
    </row>
    <row r="2488" ht="15.0" customHeight="1">
      <c r="A2488" s="11">
        <v>2487.0</v>
      </c>
      <c r="B2488" s="12">
        <f t="shared" si="400"/>
        <v>40236</v>
      </c>
      <c r="C2488" s="13">
        <v>2010.0</v>
      </c>
      <c r="D2488" s="11" t="s">
        <v>44</v>
      </c>
      <c r="E2488" s="11">
        <v>27.0</v>
      </c>
      <c r="F2488" s="21" t="s">
        <v>766</v>
      </c>
      <c r="G2488" s="15">
        <v>0.060029422581831506</v>
      </c>
      <c r="H2488" s="11" t="s">
        <v>45</v>
      </c>
      <c r="I2488" s="16">
        <v>43.792</v>
      </c>
      <c r="J2488" s="11" t="s">
        <v>546</v>
      </c>
      <c r="K2488" s="11" t="s">
        <v>61</v>
      </c>
      <c r="L2488" s="11" t="s">
        <v>48</v>
      </c>
      <c r="M2488" s="11" t="s">
        <v>49</v>
      </c>
      <c r="N2488" s="11" t="s">
        <v>156</v>
      </c>
      <c r="O2488" s="11" t="s">
        <v>767</v>
      </c>
      <c r="P2488" s="11" t="s">
        <v>87</v>
      </c>
      <c r="Q2488" s="20">
        <v>40239.0</v>
      </c>
      <c r="R2488" s="17">
        <f t="shared" si="2"/>
        <v>214.7907967</v>
      </c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>
        <f t="shared" si="8"/>
        <v>4</v>
      </c>
      <c r="AF2488" s="19">
        <f t="shared" si="13"/>
        <v>4</v>
      </c>
      <c r="AG2488" s="9"/>
      <c r="AH2488" s="9"/>
      <c r="AI2488" s="9"/>
    </row>
    <row r="2489" ht="15.0" customHeight="1">
      <c r="A2489" s="11">
        <v>2488.0</v>
      </c>
      <c r="B2489" s="12">
        <f t="shared" si="400"/>
        <v>40236</v>
      </c>
      <c r="C2489" s="13">
        <v>2010.0</v>
      </c>
      <c r="D2489" s="11" t="s">
        <v>44</v>
      </c>
      <c r="E2489" s="11">
        <v>15.0</v>
      </c>
      <c r="F2489" s="21" t="s">
        <v>377</v>
      </c>
      <c r="G2489" s="15">
        <v>0.07569747057350362</v>
      </c>
      <c r="H2489" s="11" t="s">
        <v>33</v>
      </c>
      <c r="I2489" s="16">
        <v>4.648</v>
      </c>
      <c r="J2489" s="11" t="s">
        <v>546</v>
      </c>
      <c r="K2489" s="11" t="s">
        <v>61</v>
      </c>
      <c r="L2489" s="11" t="s">
        <v>48</v>
      </c>
      <c r="M2489" s="11" t="s">
        <v>28</v>
      </c>
      <c r="N2489" s="11" t="s">
        <v>56</v>
      </c>
      <c r="O2489" s="11" t="s">
        <v>378</v>
      </c>
      <c r="P2489" s="11" t="s">
        <v>38</v>
      </c>
      <c r="Q2489" s="20">
        <v>40239.0</v>
      </c>
      <c r="R2489" s="17">
        <f t="shared" si="2"/>
        <v>55.87593651</v>
      </c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>
        <f t="shared" si="8"/>
        <v>4</v>
      </c>
      <c r="AF2489" s="19">
        <f t="shared" si="13"/>
        <v>4</v>
      </c>
      <c r="AG2489" s="9"/>
      <c r="AH2489" s="9"/>
      <c r="AI2489" s="9"/>
    </row>
    <row r="2490" ht="15.0" customHeight="1">
      <c r="A2490" s="11">
        <v>2489.0</v>
      </c>
      <c r="B2490" s="12">
        <f t="shared" si="400"/>
        <v>40236</v>
      </c>
      <c r="C2490" s="13">
        <v>2010.0</v>
      </c>
      <c r="D2490" s="11" t="s">
        <v>44</v>
      </c>
      <c r="E2490" s="11">
        <v>40.0</v>
      </c>
      <c r="F2490" s="21" t="s">
        <v>1818</v>
      </c>
      <c r="G2490" s="15">
        <v>0.06064901793339031</v>
      </c>
      <c r="H2490" s="11" t="s">
        <v>33</v>
      </c>
      <c r="I2490" s="16">
        <v>6.912000000000001</v>
      </c>
      <c r="J2490" s="11" t="s">
        <v>546</v>
      </c>
      <c r="K2490" s="11" t="s">
        <v>61</v>
      </c>
      <c r="L2490" s="11" t="s">
        <v>48</v>
      </c>
      <c r="M2490" s="11" t="s">
        <v>28</v>
      </c>
      <c r="N2490" s="11" t="s">
        <v>29</v>
      </c>
      <c r="O2490" s="11" t="s">
        <v>1819</v>
      </c>
      <c r="P2490" s="11" t="s">
        <v>38</v>
      </c>
      <c r="Q2490" s="20">
        <v>40239.0</v>
      </c>
      <c r="R2490" s="17">
        <f t="shared" si="2"/>
        <v>269.7008456</v>
      </c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>
        <f t="shared" si="8"/>
        <v>4</v>
      </c>
      <c r="AF2490" s="19">
        <f t="shared" si="13"/>
        <v>4</v>
      </c>
      <c r="AG2490" s="9"/>
      <c r="AH2490" s="9"/>
      <c r="AI2490" s="9"/>
    </row>
    <row r="2491" ht="15.0" customHeight="1">
      <c r="A2491" s="11">
        <v>2490.0</v>
      </c>
      <c r="B2491" s="12">
        <f t="shared" si="400"/>
        <v>40236</v>
      </c>
      <c r="C2491" s="13">
        <v>2010.0</v>
      </c>
      <c r="D2491" s="11" t="s">
        <v>39</v>
      </c>
      <c r="E2491" s="11">
        <v>35.0</v>
      </c>
      <c r="F2491" s="21" t="s">
        <v>1435</v>
      </c>
      <c r="G2491" s="15">
        <v>0.1278688524590163</v>
      </c>
      <c r="H2491" s="11" t="s">
        <v>33</v>
      </c>
      <c r="I2491" s="16">
        <v>0.5599999999999999</v>
      </c>
      <c r="J2491" s="11" t="s">
        <v>878</v>
      </c>
      <c r="K2491" s="11" t="s">
        <v>61</v>
      </c>
      <c r="L2491" s="11" t="s">
        <v>48</v>
      </c>
      <c r="M2491" s="11" t="s">
        <v>28</v>
      </c>
      <c r="N2491" s="11" t="s">
        <v>216</v>
      </c>
      <c r="O2491" s="11" t="s">
        <v>1436</v>
      </c>
      <c r="P2491" s="11" t="s">
        <v>58</v>
      </c>
      <c r="Q2491" s="20">
        <v>40239.0</v>
      </c>
      <c r="R2491" s="17">
        <f t="shared" si="2"/>
        <v>5.442098361</v>
      </c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>
        <f t="shared" si="8"/>
        <v>4</v>
      </c>
      <c r="AF2491" s="19">
        <f t="shared" si="13"/>
        <v>4</v>
      </c>
      <c r="AG2491" s="9"/>
      <c r="AH2491" s="9"/>
      <c r="AI2491" s="9"/>
    </row>
    <row r="2492" ht="15.0" customHeight="1">
      <c r="A2492" s="11">
        <v>2491.0</v>
      </c>
      <c r="B2492" s="12">
        <f t="shared" si="400"/>
        <v>40236</v>
      </c>
      <c r="C2492" s="13">
        <v>2010.0</v>
      </c>
      <c r="D2492" s="11" t="s">
        <v>23</v>
      </c>
      <c r="E2492" s="11">
        <v>31.0</v>
      </c>
      <c r="F2492" s="21" t="s">
        <v>562</v>
      </c>
      <c r="G2492" s="15">
        <v>0.057571377598229195</v>
      </c>
      <c r="H2492" s="11" t="s">
        <v>45</v>
      </c>
      <c r="I2492" s="16">
        <v>55.44</v>
      </c>
      <c r="J2492" s="11" t="s">
        <v>863</v>
      </c>
      <c r="K2492" s="11" t="s">
        <v>117</v>
      </c>
      <c r="L2492" s="11" t="s">
        <v>27</v>
      </c>
      <c r="M2492" s="11" t="s">
        <v>66</v>
      </c>
      <c r="N2492" s="11" t="s">
        <v>69</v>
      </c>
      <c r="O2492" s="11" t="s">
        <v>2222</v>
      </c>
      <c r="P2492" s="11" t="s">
        <v>52</v>
      </c>
      <c r="Q2492" s="20">
        <v>40239.0</v>
      </c>
      <c r="R2492" s="17">
        <f t="shared" si="2"/>
        <v>897.1543514</v>
      </c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>
        <f t="shared" si="8"/>
        <v>1</v>
      </c>
      <c r="AF2492" s="19" t="b">
        <f t="shared" si="13"/>
        <v>0</v>
      </c>
      <c r="AG2492" s="9"/>
      <c r="AH2492" s="9"/>
      <c r="AI2492" s="9"/>
    </row>
    <row r="2493" ht="15.0" customHeight="1">
      <c r="A2493" s="11">
        <v>2492.0</v>
      </c>
      <c r="B2493" s="12">
        <f t="shared" si="400"/>
        <v>40236</v>
      </c>
      <c r="C2493" s="13">
        <v>2010.0</v>
      </c>
      <c r="D2493" s="11" t="s">
        <v>102</v>
      </c>
      <c r="E2493" s="11">
        <v>30.0</v>
      </c>
      <c r="F2493" s="21" t="s">
        <v>952</v>
      </c>
      <c r="G2493" s="15">
        <v>0.08295241343153667</v>
      </c>
      <c r="H2493" s="11" t="s">
        <v>33</v>
      </c>
      <c r="I2493" s="16">
        <v>19.592</v>
      </c>
      <c r="J2493" s="11" t="s">
        <v>1054</v>
      </c>
      <c r="K2493" s="11" t="s">
        <v>61</v>
      </c>
      <c r="L2493" s="11" t="s">
        <v>48</v>
      </c>
      <c r="M2493" s="11" t="s">
        <v>66</v>
      </c>
      <c r="N2493" s="11" t="s">
        <v>170</v>
      </c>
      <c r="O2493" s="11" t="s">
        <v>2110</v>
      </c>
      <c r="P2493" s="11" t="s">
        <v>31</v>
      </c>
      <c r="Q2493" s="20">
        <v>40240.0</v>
      </c>
      <c r="R2493" s="17">
        <f t="shared" si="2"/>
        <v>1494.519788</v>
      </c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>
        <f t="shared" si="8"/>
        <v>4</v>
      </c>
      <c r="AF2493" s="19">
        <f t="shared" si="13"/>
        <v>4</v>
      </c>
      <c r="AG2493" s="9"/>
      <c r="AH2493" s="9"/>
      <c r="AI2493" s="9"/>
    </row>
    <row r="2494" ht="15.0" customHeight="1">
      <c r="A2494" s="11">
        <v>2493.0</v>
      </c>
      <c r="B2494" s="12">
        <f t="shared" si="400"/>
        <v>40236</v>
      </c>
      <c r="C2494" s="13">
        <v>2010.0</v>
      </c>
      <c r="D2494" s="11" t="s">
        <v>102</v>
      </c>
      <c r="E2494" s="11">
        <v>3.0</v>
      </c>
      <c r="F2494" s="21" t="s">
        <v>336</v>
      </c>
      <c r="G2494" s="15">
        <v>0.07758139534883718</v>
      </c>
      <c r="H2494" s="11" t="s">
        <v>24</v>
      </c>
      <c r="I2494" s="16">
        <v>2.4320000000000004</v>
      </c>
      <c r="J2494" s="11" t="s">
        <v>1054</v>
      </c>
      <c r="K2494" s="11" t="s">
        <v>61</v>
      </c>
      <c r="L2494" s="11" t="s">
        <v>48</v>
      </c>
      <c r="M2494" s="11" t="s">
        <v>28</v>
      </c>
      <c r="N2494" s="11" t="s">
        <v>56</v>
      </c>
      <c r="O2494" s="11" t="s">
        <v>2223</v>
      </c>
      <c r="P2494" s="11" t="s">
        <v>58</v>
      </c>
      <c r="Q2494" s="20">
        <v>40240.0</v>
      </c>
      <c r="R2494" s="17">
        <f t="shared" si="2"/>
        <v>1.538594233</v>
      </c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>
        <f t="shared" si="8"/>
        <v>4</v>
      </c>
      <c r="AF2494" s="19">
        <f t="shared" si="13"/>
        <v>4</v>
      </c>
      <c r="AG2494" s="9"/>
      <c r="AH2494" s="9"/>
      <c r="AI2494" s="9"/>
    </row>
    <row r="2495" ht="15.0" customHeight="1">
      <c r="A2495" s="11">
        <v>2494.0</v>
      </c>
      <c r="B2495" s="12">
        <f t="shared" si="400"/>
        <v>40236</v>
      </c>
      <c r="C2495" s="13">
        <v>2010.0</v>
      </c>
      <c r="D2495" s="11" t="s">
        <v>102</v>
      </c>
      <c r="E2495" s="11">
        <v>9.0</v>
      </c>
      <c r="F2495" s="21" t="s">
        <v>128</v>
      </c>
      <c r="G2495" s="15">
        <v>0.05846942148760316</v>
      </c>
      <c r="H2495" s="11" t="s">
        <v>24</v>
      </c>
      <c r="I2495" s="16">
        <v>6.152000000000001</v>
      </c>
      <c r="J2495" s="11" t="s">
        <v>1054</v>
      </c>
      <c r="K2495" s="11" t="s">
        <v>61</v>
      </c>
      <c r="L2495" s="11" t="s">
        <v>48</v>
      </c>
      <c r="M2495" s="11" t="s">
        <v>66</v>
      </c>
      <c r="N2495" s="11" t="s">
        <v>80</v>
      </c>
      <c r="O2495" s="11" t="s">
        <v>589</v>
      </c>
      <c r="P2495" s="11" t="s">
        <v>38</v>
      </c>
      <c r="Q2495" s="20">
        <v>40240.0</v>
      </c>
      <c r="R2495" s="17">
        <f t="shared" si="2"/>
        <v>66.61140537</v>
      </c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>
        <f t="shared" si="8"/>
        <v>4</v>
      </c>
      <c r="AF2495" s="19">
        <f t="shared" si="13"/>
        <v>4</v>
      </c>
      <c r="AG2495" s="9"/>
      <c r="AH2495" s="9"/>
      <c r="AI2495" s="9"/>
    </row>
    <row r="2496" ht="15.0" customHeight="1">
      <c r="A2496" s="11">
        <v>2495.0</v>
      </c>
      <c r="B2496" s="12">
        <f t="shared" si="400"/>
        <v>40236</v>
      </c>
      <c r="C2496" s="13">
        <v>2010.0</v>
      </c>
      <c r="D2496" s="11" t="s">
        <v>44</v>
      </c>
      <c r="E2496" s="11">
        <v>24.0</v>
      </c>
      <c r="F2496" s="21" t="s">
        <v>610</v>
      </c>
      <c r="G2496" s="15">
        <v>0.013863485752154018</v>
      </c>
      <c r="H2496" s="11" t="s">
        <v>33</v>
      </c>
      <c r="I2496" s="16">
        <v>4.816</v>
      </c>
      <c r="J2496" s="11" t="s">
        <v>2224</v>
      </c>
      <c r="K2496" s="11" t="s">
        <v>35</v>
      </c>
      <c r="L2496" s="11" t="s">
        <v>27</v>
      </c>
      <c r="M2496" s="11" t="s">
        <v>49</v>
      </c>
      <c r="N2496" s="11" t="s">
        <v>73</v>
      </c>
      <c r="O2496" s="11" t="s">
        <v>1925</v>
      </c>
      <c r="P2496" s="11" t="s">
        <v>99</v>
      </c>
      <c r="Q2496" s="20">
        <v>40240.0</v>
      </c>
      <c r="R2496" s="17">
        <f t="shared" si="2"/>
        <v>4.125995176</v>
      </c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>
        <f t="shared" si="8"/>
        <v>1</v>
      </c>
      <c r="AF2496" s="19">
        <f t="shared" si="13"/>
        <v>2</v>
      </c>
      <c r="AG2496" s="9"/>
      <c r="AH2496" s="9"/>
      <c r="AI2496" s="9"/>
    </row>
    <row r="2497" ht="15.0" customHeight="1">
      <c r="A2497" s="11">
        <v>2496.0</v>
      </c>
      <c r="B2497" s="12">
        <f t="shared" ref="B2497:B2498" si="401">DATE(2012,12,31)-1037</f>
        <v>40237</v>
      </c>
      <c r="C2497" s="13">
        <v>2010.0</v>
      </c>
      <c r="D2497" s="11" t="s">
        <v>44</v>
      </c>
      <c r="E2497" s="11">
        <v>33.0</v>
      </c>
      <c r="F2497" s="21" t="s">
        <v>768</v>
      </c>
      <c r="G2497" s="15">
        <v>0.030034500243589512</v>
      </c>
      <c r="H2497" s="11" t="s">
        <v>45</v>
      </c>
      <c r="I2497" s="16">
        <v>34.016000000000005</v>
      </c>
      <c r="J2497" s="11" t="s">
        <v>116</v>
      </c>
      <c r="K2497" s="11" t="s">
        <v>117</v>
      </c>
      <c r="L2497" s="11" t="s">
        <v>27</v>
      </c>
      <c r="M2497" s="11" t="s">
        <v>28</v>
      </c>
      <c r="N2497" s="11" t="s">
        <v>197</v>
      </c>
      <c r="O2497" s="11" t="s">
        <v>770</v>
      </c>
      <c r="P2497" s="11" t="s">
        <v>52</v>
      </c>
      <c r="Q2497" s="20">
        <v>40240.0</v>
      </c>
      <c r="R2497" s="17">
        <f t="shared" si="2"/>
        <v>293.011058</v>
      </c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>
        <f t="shared" si="8"/>
        <v>1</v>
      </c>
      <c r="AF2497" s="19" t="b">
        <f t="shared" si="13"/>
        <v>0</v>
      </c>
      <c r="AG2497" s="9"/>
      <c r="AH2497" s="9"/>
      <c r="AI2497" s="9"/>
    </row>
    <row r="2498" ht="15.0" customHeight="1">
      <c r="A2498" s="11">
        <v>2497.0</v>
      </c>
      <c r="B2498" s="12">
        <f t="shared" si="401"/>
        <v>40237</v>
      </c>
      <c r="C2498" s="13">
        <v>2010.0</v>
      </c>
      <c r="D2498" s="11" t="s">
        <v>44</v>
      </c>
      <c r="E2498" s="11">
        <v>14.0</v>
      </c>
      <c r="F2498" s="21" t="s">
        <v>130</v>
      </c>
      <c r="G2498" s="15">
        <v>0.05380378657487099</v>
      </c>
      <c r="H2498" s="11" t="s">
        <v>33</v>
      </c>
      <c r="I2498" s="16">
        <v>7.192</v>
      </c>
      <c r="J2498" s="11" t="s">
        <v>235</v>
      </c>
      <c r="K2498" s="11" t="s">
        <v>61</v>
      </c>
      <c r="L2498" s="11" t="s">
        <v>48</v>
      </c>
      <c r="M2498" s="11" t="s">
        <v>28</v>
      </c>
      <c r="N2498" s="11" t="s">
        <v>62</v>
      </c>
      <c r="O2498" s="11" t="s">
        <v>1590</v>
      </c>
      <c r="P2498" s="11" t="s">
        <v>99</v>
      </c>
      <c r="Q2498" s="20">
        <v>40240.0</v>
      </c>
      <c r="R2498" s="17">
        <f t="shared" si="2"/>
        <v>23.66247491</v>
      </c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>
        <f t="shared" si="8"/>
        <v>4</v>
      </c>
      <c r="AF2498" s="19">
        <f t="shared" si="13"/>
        <v>4</v>
      </c>
      <c r="AG2498" s="9"/>
      <c r="AH2498" s="9"/>
      <c r="AI2498" s="9"/>
    </row>
    <row r="2499" ht="15.0" customHeight="1">
      <c r="A2499" s="11">
        <v>2498.0</v>
      </c>
      <c r="B2499" s="12">
        <f t="shared" ref="B2499:B2503" si="402">DATE(2012,12,31)-1036</f>
        <v>40238</v>
      </c>
      <c r="C2499" s="13">
        <v>2010.0</v>
      </c>
      <c r="D2499" s="11" t="s">
        <v>23</v>
      </c>
      <c r="E2499" s="11">
        <v>7.0</v>
      </c>
      <c r="F2499" s="21" t="s">
        <v>422</v>
      </c>
      <c r="G2499" s="15">
        <v>0.04089532144059231</v>
      </c>
      <c r="H2499" s="11" t="s">
        <v>33</v>
      </c>
      <c r="I2499" s="16">
        <v>3.6</v>
      </c>
      <c r="J2499" s="11" t="s">
        <v>2169</v>
      </c>
      <c r="K2499" s="11" t="s">
        <v>26</v>
      </c>
      <c r="L2499" s="11" t="s">
        <v>48</v>
      </c>
      <c r="M2499" s="11" t="s">
        <v>28</v>
      </c>
      <c r="N2499" s="11" t="s">
        <v>197</v>
      </c>
      <c r="O2499" s="11" t="s">
        <v>2225</v>
      </c>
      <c r="P2499" s="11" t="s">
        <v>38</v>
      </c>
      <c r="Q2499" s="20">
        <v>40240.0</v>
      </c>
      <c r="R2499" s="17">
        <f t="shared" si="2"/>
        <v>23.30624369</v>
      </c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>
        <f t="shared" si="8"/>
        <v>4</v>
      </c>
      <c r="AF2499" s="19">
        <f t="shared" si="13"/>
        <v>1</v>
      </c>
      <c r="AG2499" s="9"/>
      <c r="AH2499" s="9"/>
      <c r="AI2499" s="9"/>
    </row>
    <row r="2500" ht="15.0" customHeight="1">
      <c r="A2500" s="11">
        <v>2499.0</v>
      </c>
      <c r="B2500" s="12">
        <f t="shared" si="402"/>
        <v>40238</v>
      </c>
      <c r="C2500" s="13">
        <v>2010.0</v>
      </c>
      <c r="D2500" s="11" t="s">
        <v>23</v>
      </c>
      <c r="E2500" s="11">
        <v>31.0</v>
      </c>
      <c r="F2500" s="21" t="s">
        <v>158</v>
      </c>
      <c r="G2500" s="15">
        <v>0.08983370786516853</v>
      </c>
      <c r="H2500" s="11" t="s">
        <v>33</v>
      </c>
      <c r="I2500" s="16">
        <v>4.112</v>
      </c>
      <c r="J2500" s="11" t="s">
        <v>2169</v>
      </c>
      <c r="K2500" s="11" t="s">
        <v>26</v>
      </c>
      <c r="L2500" s="11" t="s">
        <v>48</v>
      </c>
      <c r="M2500" s="11" t="s">
        <v>28</v>
      </c>
      <c r="N2500" s="11" t="s">
        <v>56</v>
      </c>
      <c r="O2500" s="11" t="s">
        <v>1424</v>
      </c>
      <c r="P2500" s="11" t="s">
        <v>38</v>
      </c>
      <c r="Q2500" s="20">
        <v>40240.0</v>
      </c>
      <c r="R2500" s="17">
        <f t="shared" si="2"/>
        <v>18.19240385</v>
      </c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>
        <f t="shared" si="8"/>
        <v>4</v>
      </c>
      <c r="AF2500" s="19">
        <f t="shared" si="13"/>
        <v>1</v>
      </c>
      <c r="AG2500" s="9"/>
      <c r="AH2500" s="9"/>
      <c r="AI2500" s="9"/>
    </row>
    <row r="2501" ht="15.0" customHeight="1">
      <c r="A2501" s="11">
        <v>2500.0</v>
      </c>
      <c r="B2501" s="12">
        <f t="shared" si="402"/>
        <v>40238</v>
      </c>
      <c r="C2501" s="13">
        <v>2010.0</v>
      </c>
      <c r="D2501" s="11" t="s">
        <v>102</v>
      </c>
      <c r="E2501" s="11">
        <v>8.0</v>
      </c>
      <c r="F2501" s="21" t="s">
        <v>350</v>
      </c>
      <c r="G2501" s="15">
        <v>0.05429873417721514</v>
      </c>
      <c r="H2501" s="11" t="s">
        <v>33</v>
      </c>
      <c r="I2501" s="16">
        <v>4.376</v>
      </c>
      <c r="J2501" s="11" t="s">
        <v>1772</v>
      </c>
      <c r="K2501" s="11" t="s">
        <v>65</v>
      </c>
      <c r="L2501" s="11" t="s">
        <v>48</v>
      </c>
      <c r="M2501" s="11" t="s">
        <v>28</v>
      </c>
      <c r="N2501" s="11" t="s">
        <v>56</v>
      </c>
      <c r="O2501" s="11" t="s">
        <v>2087</v>
      </c>
      <c r="P2501" s="11" t="s">
        <v>38</v>
      </c>
      <c r="Q2501" s="20">
        <v>40240.0</v>
      </c>
      <c r="R2501" s="17">
        <f t="shared" si="2"/>
        <v>10.14170037</v>
      </c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>
        <f t="shared" si="8"/>
        <v>4</v>
      </c>
      <c r="AF2501" s="19">
        <f t="shared" si="13"/>
        <v>5</v>
      </c>
      <c r="AG2501" s="9"/>
      <c r="AH2501" s="9"/>
      <c r="AI2501" s="9"/>
    </row>
    <row r="2502" ht="15.0" customHeight="1">
      <c r="A2502" s="11">
        <v>2501.0</v>
      </c>
      <c r="B2502" s="12">
        <f t="shared" si="402"/>
        <v>40238</v>
      </c>
      <c r="C2502" s="13">
        <v>2010.0</v>
      </c>
      <c r="D2502" s="11" t="s">
        <v>23</v>
      </c>
      <c r="E2502" s="11">
        <v>18.0</v>
      </c>
      <c r="F2502" s="21" t="s">
        <v>737</v>
      </c>
      <c r="G2502" s="15">
        <v>0.0315109981209241</v>
      </c>
      <c r="H2502" s="11" t="s">
        <v>33</v>
      </c>
      <c r="I2502" s="16">
        <v>3.192</v>
      </c>
      <c r="J2502" s="11" t="s">
        <v>1901</v>
      </c>
      <c r="K2502" s="11" t="s">
        <v>35</v>
      </c>
      <c r="L2502" s="11" t="s">
        <v>48</v>
      </c>
      <c r="M2502" s="11" t="s">
        <v>28</v>
      </c>
      <c r="N2502" s="11" t="s">
        <v>197</v>
      </c>
      <c r="O2502" s="11" t="s">
        <v>739</v>
      </c>
      <c r="P2502" s="11" t="s">
        <v>38</v>
      </c>
      <c r="Q2502" s="20">
        <v>40240.0</v>
      </c>
      <c r="R2502" s="17">
        <f t="shared" si="2"/>
        <v>27.60968447</v>
      </c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>
        <f t="shared" si="8"/>
        <v>4</v>
      </c>
      <c r="AF2502" s="19">
        <f t="shared" si="13"/>
        <v>2</v>
      </c>
      <c r="AG2502" s="9"/>
      <c r="AH2502" s="9"/>
      <c r="AI2502" s="9"/>
    </row>
    <row r="2503" ht="15.0" customHeight="1">
      <c r="A2503" s="11">
        <v>2502.0</v>
      </c>
      <c r="B2503" s="12">
        <f t="shared" si="402"/>
        <v>40238</v>
      </c>
      <c r="C2503" s="13">
        <v>2010.0</v>
      </c>
      <c r="D2503" s="11" t="s">
        <v>23</v>
      </c>
      <c r="E2503" s="11">
        <v>9.0</v>
      </c>
      <c r="F2503" s="21" t="s">
        <v>122</v>
      </c>
      <c r="G2503" s="15">
        <v>0.06271435570798634</v>
      </c>
      <c r="H2503" s="11" t="s">
        <v>33</v>
      </c>
      <c r="I2503" s="16">
        <v>3.2</v>
      </c>
      <c r="J2503" s="11" t="s">
        <v>1901</v>
      </c>
      <c r="K2503" s="11" t="s">
        <v>35</v>
      </c>
      <c r="L2503" s="11" t="s">
        <v>48</v>
      </c>
      <c r="M2503" s="11" t="s">
        <v>66</v>
      </c>
      <c r="N2503" s="11" t="s">
        <v>67</v>
      </c>
      <c r="O2503" s="11" t="s">
        <v>1485</v>
      </c>
      <c r="P2503" s="11" t="s">
        <v>38</v>
      </c>
      <c r="Q2503" s="20">
        <v>40240.0</v>
      </c>
      <c r="R2503" s="17">
        <f t="shared" si="2"/>
        <v>11.99725625</v>
      </c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>
        <f t="shared" si="8"/>
        <v>4</v>
      </c>
      <c r="AF2503" s="19">
        <f t="shared" si="13"/>
        <v>2</v>
      </c>
      <c r="AG2503" s="9"/>
      <c r="AH2503" s="9"/>
      <c r="AI2503" s="9"/>
    </row>
    <row r="2504" ht="15.0" customHeight="1">
      <c r="A2504" s="11">
        <v>2503.0</v>
      </c>
      <c r="B2504" s="12">
        <f t="shared" ref="B2504:B2513" si="403">DATE(2012,12,31)-1035</f>
        <v>40239</v>
      </c>
      <c r="C2504" s="13">
        <v>2010.0</v>
      </c>
      <c r="D2504" s="11" t="s">
        <v>102</v>
      </c>
      <c r="E2504" s="11">
        <v>32.0</v>
      </c>
      <c r="F2504" s="21" t="s">
        <v>700</v>
      </c>
      <c r="G2504" s="15">
        <v>0.0990591630591631</v>
      </c>
      <c r="H2504" s="11" t="s">
        <v>33</v>
      </c>
      <c r="I2504" s="16">
        <v>4.976</v>
      </c>
      <c r="J2504" s="11" t="s">
        <v>494</v>
      </c>
      <c r="K2504" s="11" t="s">
        <v>83</v>
      </c>
      <c r="L2504" s="11" t="s">
        <v>48</v>
      </c>
      <c r="M2504" s="11" t="s">
        <v>49</v>
      </c>
      <c r="N2504" s="11" t="s">
        <v>73</v>
      </c>
      <c r="O2504" s="11" t="s">
        <v>701</v>
      </c>
      <c r="P2504" s="11" t="s">
        <v>38</v>
      </c>
      <c r="Q2504" s="20">
        <v>40241.0</v>
      </c>
      <c r="R2504" s="17">
        <f t="shared" si="2"/>
        <v>30.92389329</v>
      </c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>
        <f t="shared" si="8"/>
        <v>4</v>
      </c>
      <c r="AF2504" s="19" t="b">
        <f t="shared" si="13"/>
        <v>0</v>
      </c>
      <c r="AG2504" s="9"/>
      <c r="AH2504" s="9"/>
      <c r="AI2504" s="9"/>
    </row>
    <row r="2505" ht="15.0" customHeight="1">
      <c r="A2505" s="11">
        <v>2504.0</v>
      </c>
      <c r="B2505" s="12">
        <f t="shared" si="403"/>
        <v>40239</v>
      </c>
      <c r="C2505" s="13">
        <v>2010.0</v>
      </c>
      <c r="D2505" s="11" t="s">
        <v>102</v>
      </c>
      <c r="E2505" s="11">
        <v>36.0</v>
      </c>
      <c r="F2505" s="21" t="s">
        <v>126</v>
      </c>
      <c r="G2505" s="15">
        <v>0.060525502318392536</v>
      </c>
      <c r="H2505" s="11" t="s">
        <v>33</v>
      </c>
      <c r="I2505" s="16">
        <v>5.952000000000001</v>
      </c>
      <c r="J2505" s="11" t="s">
        <v>494</v>
      </c>
      <c r="K2505" s="11" t="s">
        <v>83</v>
      </c>
      <c r="L2505" s="11" t="s">
        <v>48</v>
      </c>
      <c r="M2505" s="11" t="s">
        <v>28</v>
      </c>
      <c r="N2505" s="11" t="s">
        <v>56</v>
      </c>
      <c r="O2505" s="11" t="s">
        <v>1230</v>
      </c>
      <c r="P2505" s="11" t="s">
        <v>38</v>
      </c>
      <c r="Q2505" s="20">
        <v>40241.0</v>
      </c>
      <c r="R2505" s="17">
        <f t="shared" si="2"/>
        <v>11.0369464</v>
      </c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>
        <f t="shared" si="8"/>
        <v>4</v>
      </c>
      <c r="AF2505" s="19" t="b">
        <f t="shared" si="13"/>
        <v>0</v>
      </c>
      <c r="AG2505" s="9"/>
      <c r="AH2505" s="9"/>
      <c r="AI2505" s="9"/>
    </row>
    <row r="2506" ht="15.0" customHeight="1">
      <c r="A2506" s="11">
        <v>2505.0</v>
      </c>
      <c r="B2506" s="12">
        <f t="shared" si="403"/>
        <v>40239</v>
      </c>
      <c r="C2506" s="13">
        <v>2010.0</v>
      </c>
      <c r="D2506" s="11" t="s">
        <v>102</v>
      </c>
      <c r="E2506" s="11">
        <v>3.0</v>
      </c>
      <c r="F2506" s="21" t="s">
        <v>304</v>
      </c>
      <c r="G2506" s="15">
        <v>0.11143646408839795</v>
      </c>
      <c r="H2506" s="11" t="s">
        <v>33</v>
      </c>
      <c r="I2506" s="16">
        <v>7.632</v>
      </c>
      <c r="J2506" s="11" t="s">
        <v>2194</v>
      </c>
      <c r="K2506" s="11" t="s">
        <v>47</v>
      </c>
      <c r="L2506" s="11" t="s">
        <v>41</v>
      </c>
      <c r="M2506" s="11" t="s">
        <v>28</v>
      </c>
      <c r="N2506" s="11" t="s">
        <v>56</v>
      </c>
      <c r="O2506" s="11" t="s">
        <v>305</v>
      </c>
      <c r="P2506" s="11" t="s">
        <v>38</v>
      </c>
      <c r="Q2506" s="20">
        <v>40241.0</v>
      </c>
      <c r="R2506" s="17">
        <f t="shared" si="2"/>
        <v>7.168930608</v>
      </c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>
        <f t="shared" si="8"/>
        <v>3</v>
      </c>
      <c r="AF2506" s="19">
        <f t="shared" si="13"/>
        <v>3</v>
      </c>
      <c r="AG2506" s="9"/>
      <c r="AH2506" s="9"/>
      <c r="AI2506" s="9"/>
    </row>
    <row r="2507" ht="15.0" customHeight="1">
      <c r="A2507" s="11">
        <v>2506.0</v>
      </c>
      <c r="B2507" s="12">
        <f t="shared" si="403"/>
        <v>40239</v>
      </c>
      <c r="C2507" s="13">
        <v>2010.0</v>
      </c>
      <c r="D2507" s="11" t="s">
        <v>39</v>
      </c>
      <c r="E2507" s="11">
        <v>21.0</v>
      </c>
      <c r="F2507" s="21" t="s">
        <v>810</v>
      </c>
      <c r="G2507" s="15">
        <v>0.08824534161490694</v>
      </c>
      <c r="H2507" s="11" t="s">
        <v>33</v>
      </c>
      <c r="I2507" s="16">
        <v>5.968</v>
      </c>
      <c r="J2507" s="11" t="s">
        <v>578</v>
      </c>
      <c r="K2507" s="11" t="s">
        <v>65</v>
      </c>
      <c r="L2507" s="11" t="s">
        <v>27</v>
      </c>
      <c r="M2507" s="11" t="s">
        <v>28</v>
      </c>
      <c r="N2507" s="11" t="s">
        <v>29</v>
      </c>
      <c r="O2507" s="11" t="s">
        <v>1813</v>
      </c>
      <c r="P2507" s="11" t="s">
        <v>38</v>
      </c>
      <c r="Q2507" s="20">
        <v>40241.0</v>
      </c>
      <c r="R2507" s="17">
        <f t="shared" si="2"/>
        <v>20.72600689</v>
      </c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>
        <f t="shared" si="8"/>
        <v>1</v>
      </c>
      <c r="AF2507" s="19">
        <f t="shared" si="13"/>
        <v>5</v>
      </c>
      <c r="AG2507" s="9"/>
      <c r="AH2507" s="9"/>
      <c r="AI2507" s="9"/>
    </row>
    <row r="2508" ht="15.0" customHeight="1">
      <c r="A2508" s="11">
        <v>2507.0</v>
      </c>
      <c r="B2508" s="12">
        <f t="shared" si="403"/>
        <v>40239</v>
      </c>
      <c r="C2508" s="13">
        <v>2010.0</v>
      </c>
      <c r="D2508" s="11" t="s">
        <v>39</v>
      </c>
      <c r="E2508" s="11">
        <v>29.0</v>
      </c>
      <c r="F2508" s="21" t="s">
        <v>782</v>
      </c>
      <c r="G2508" s="15">
        <v>0.049821810406272336</v>
      </c>
      <c r="H2508" s="11" t="s">
        <v>33</v>
      </c>
      <c r="I2508" s="16">
        <v>2.0</v>
      </c>
      <c r="J2508" s="11" t="s">
        <v>936</v>
      </c>
      <c r="K2508" s="11" t="s">
        <v>61</v>
      </c>
      <c r="L2508" s="11" t="s">
        <v>27</v>
      </c>
      <c r="M2508" s="11" t="s">
        <v>66</v>
      </c>
      <c r="N2508" s="11" t="s">
        <v>80</v>
      </c>
      <c r="O2508" s="11" t="s">
        <v>2226</v>
      </c>
      <c r="P2508" s="11" t="s">
        <v>38</v>
      </c>
      <c r="Q2508" s="20">
        <v>40241.0</v>
      </c>
      <c r="R2508" s="17">
        <f t="shared" si="2"/>
        <v>66.41745545</v>
      </c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>
        <f t="shared" si="8"/>
        <v>1</v>
      </c>
      <c r="AF2508" s="19">
        <f t="shared" si="13"/>
        <v>4</v>
      </c>
      <c r="AG2508" s="9"/>
      <c r="AH2508" s="9"/>
      <c r="AI2508" s="9"/>
    </row>
    <row r="2509" ht="15.0" customHeight="1">
      <c r="A2509" s="11">
        <v>2508.0</v>
      </c>
      <c r="B2509" s="12">
        <f t="shared" si="403"/>
        <v>40239</v>
      </c>
      <c r="C2509" s="13">
        <v>2010.0</v>
      </c>
      <c r="D2509" s="11" t="s">
        <v>32</v>
      </c>
      <c r="E2509" s="11">
        <v>20.0</v>
      </c>
      <c r="F2509" s="21" t="s">
        <v>306</v>
      </c>
      <c r="G2509" s="15">
        <v>0.044857685009487745</v>
      </c>
      <c r="H2509" s="11" t="s">
        <v>33</v>
      </c>
      <c r="I2509" s="16">
        <v>4.688000000000001</v>
      </c>
      <c r="J2509" s="11" t="s">
        <v>786</v>
      </c>
      <c r="K2509" s="11" t="s">
        <v>35</v>
      </c>
      <c r="L2509" s="11" t="s">
        <v>36</v>
      </c>
      <c r="M2509" s="11" t="s">
        <v>28</v>
      </c>
      <c r="N2509" s="11" t="s">
        <v>56</v>
      </c>
      <c r="O2509" s="11" t="s">
        <v>2227</v>
      </c>
      <c r="P2509" s="11" t="s">
        <v>38</v>
      </c>
      <c r="Q2509" s="20">
        <v>40241.0</v>
      </c>
      <c r="R2509" s="17">
        <f t="shared" si="2"/>
        <v>18.06365146</v>
      </c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>
        <f t="shared" si="8"/>
        <v>2</v>
      </c>
      <c r="AF2509" s="19">
        <f t="shared" si="13"/>
        <v>2</v>
      </c>
      <c r="AG2509" s="9"/>
      <c r="AH2509" s="9"/>
      <c r="AI2509" s="9"/>
    </row>
    <row r="2510" ht="15.0" customHeight="1">
      <c r="A2510" s="11">
        <v>2509.0</v>
      </c>
      <c r="B2510" s="12">
        <f t="shared" si="403"/>
        <v>40239</v>
      </c>
      <c r="C2510" s="13">
        <v>2010.0</v>
      </c>
      <c r="D2510" s="11" t="s">
        <v>102</v>
      </c>
      <c r="E2510" s="11">
        <v>10.0</v>
      </c>
      <c r="F2510" s="21" t="s">
        <v>319</v>
      </c>
      <c r="G2510" s="15">
        <v>0.050434782608695626</v>
      </c>
      <c r="H2510" s="11" t="s">
        <v>33</v>
      </c>
      <c r="I2510" s="16">
        <v>0.392</v>
      </c>
      <c r="J2510" s="11" t="s">
        <v>1386</v>
      </c>
      <c r="K2510" s="11" t="s">
        <v>83</v>
      </c>
      <c r="L2510" s="11" t="s">
        <v>48</v>
      </c>
      <c r="M2510" s="11" t="s">
        <v>28</v>
      </c>
      <c r="N2510" s="11" t="s">
        <v>188</v>
      </c>
      <c r="O2510" s="11" t="s">
        <v>1190</v>
      </c>
      <c r="P2510" s="11" t="s">
        <v>38</v>
      </c>
      <c r="Q2510" s="20">
        <v>40241.0</v>
      </c>
      <c r="R2510" s="17">
        <f t="shared" si="2"/>
        <v>1.431944348</v>
      </c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>
        <f t="shared" si="8"/>
        <v>4</v>
      </c>
      <c r="AF2510" s="19" t="b">
        <f t="shared" si="13"/>
        <v>0</v>
      </c>
      <c r="AG2510" s="9"/>
      <c r="AH2510" s="9"/>
      <c r="AI2510" s="9"/>
    </row>
    <row r="2511" ht="15.0" customHeight="1">
      <c r="A2511" s="11">
        <v>2510.0</v>
      </c>
      <c r="B2511" s="12">
        <f t="shared" si="403"/>
        <v>40239</v>
      </c>
      <c r="C2511" s="13">
        <v>2010.0</v>
      </c>
      <c r="D2511" s="11" t="s">
        <v>102</v>
      </c>
      <c r="E2511" s="11">
        <v>35.0</v>
      </c>
      <c r="F2511" s="21" t="s">
        <v>1870</v>
      </c>
      <c r="G2511" s="15">
        <v>0.07559317718940932</v>
      </c>
      <c r="H2511" s="11" t="s">
        <v>33</v>
      </c>
      <c r="I2511" s="16">
        <v>6.928000000000001</v>
      </c>
      <c r="J2511" s="11" t="s">
        <v>1386</v>
      </c>
      <c r="K2511" s="11" t="s">
        <v>83</v>
      </c>
      <c r="L2511" s="11" t="s">
        <v>48</v>
      </c>
      <c r="M2511" s="11" t="s">
        <v>49</v>
      </c>
      <c r="N2511" s="11" t="s">
        <v>73</v>
      </c>
      <c r="O2511" s="11" t="s">
        <v>1871</v>
      </c>
      <c r="P2511" s="11" t="s">
        <v>75</v>
      </c>
      <c r="Q2511" s="20">
        <v>40241.0</v>
      </c>
      <c r="R2511" s="17">
        <f t="shared" si="2"/>
        <v>109.7936472</v>
      </c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>
        <f t="shared" si="8"/>
        <v>4</v>
      </c>
      <c r="AF2511" s="19" t="b">
        <f t="shared" si="13"/>
        <v>0</v>
      </c>
      <c r="AG2511" s="9"/>
      <c r="AH2511" s="9"/>
      <c r="AI2511" s="9"/>
    </row>
    <row r="2512" ht="15.0" customHeight="1">
      <c r="A2512" s="11">
        <v>2511.0</v>
      </c>
      <c r="B2512" s="12">
        <f t="shared" si="403"/>
        <v>40239</v>
      </c>
      <c r="C2512" s="13">
        <v>2010.0</v>
      </c>
      <c r="D2512" s="11" t="s">
        <v>102</v>
      </c>
      <c r="E2512" s="11">
        <v>13.0</v>
      </c>
      <c r="F2512" s="21" t="s">
        <v>1005</v>
      </c>
      <c r="G2512" s="15">
        <v>0.06452950558213714</v>
      </c>
      <c r="H2512" s="11" t="s">
        <v>33</v>
      </c>
      <c r="I2512" s="16">
        <v>1.6079999999999999</v>
      </c>
      <c r="J2512" s="11" t="s">
        <v>1386</v>
      </c>
      <c r="K2512" s="11" t="s">
        <v>83</v>
      </c>
      <c r="L2512" s="11" t="s">
        <v>48</v>
      </c>
      <c r="M2512" s="11" t="s">
        <v>28</v>
      </c>
      <c r="N2512" s="11" t="s">
        <v>56</v>
      </c>
      <c r="O2512" s="11" t="s">
        <v>1007</v>
      </c>
      <c r="P2512" s="11" t="s">
        <v>58</v>
      </c>
      <c r="Q2512" s="20">
        <v>40241.0</v>
      </c>
      <c r="R2512" s="17">
        <f t="shared" si="2"/>
        <v>7.569827241</v>
      </c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>
        <f t="shared" si="8"/>
        <v>4</v>
      </c>
      <c r="AF2512" s="19" t="b">
        <f t="shared" si="13"/>
        <v>0</v>
      </c>
      <c r="AG2512" s="9"/>
      <c r="AH2512" s="9"/>
      <c r="AI2512" s="9"/>
    </row>
    <row r="2513" ht="15.0" customHeight="1">
      <c r="A2513" s="11">
        <v>2512.0</v>
      </c>
      <c r="B2513" s="12">
        <f t="shared" si="403"/>
        <v>40239</v>
      </c>
      <c r="C2513" s="13">
        <v>2010.0</v>
      </c>
      <c r="D2513" s="11" t="s">
        <v>102</v>
      </c>
      <c r="E2513" s="11">
        <v>6.0</v>
      </c>
      <c r="F2513" s="21" t="s">
        <v>147</v>
      </c>
      <c r="G2513" s="15">
        <v>0.11950000000000005</v>
      </c>
      <c r="H2513" s="11" t="s">
        <v>24</v>
      </c>
      <c r="I2513" s="16">
        <v>3.8880000000000003</v>
      </c>
      <c r="J2513" s="11" t="s">
        <v>444</v>
      </c>
      <c r="K2513" s="11" t="s">
        <v>61</v>
      </c>
      <c r="L2513" s="11" t="s">
        <v>36</v>
      </c>
      <c r="M2513" s="11" t="s">
        <v>49</v>
      </c>
      <c r="N2513" s="11" t="s">
        <v>73</v>
      </c>
      <c r="O2513" s="11" t="s">
        <v>1119</v>
      </c>
      <c r="P2513" s="11" t="s">
        <v>38</v>
      </c>
      <c r="Q2513" s="20">
        <v>40241.0</v>
      </c>
      <c r="R2513" s="17">
        <f t="shared" si="2"/>
        <v>1.683516</v>
      </c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>
        <f t="shared" si="8"/>
        <v>2</v>
      </c>
      <c r="AF2513" s="19">
        <f t="shared" si="13"/>
        <v>4</v>
      </c>
      <c r="AG2513" s="9"/>
      <c r="AH2513" s="9"/>
      <c r="AI2513" s="9"/>
    </row>
    <row r="2514" ht="15.0" customHeight="1">
      <c r="A2514" s="11">
        <v>2513.0</v>
      </c>
      <c r="B2514" s="12">
        <f t="shared" ref="B2514:B2521" si="404">DATE(2012,12,31)-1034</f>
        <v>40240</v>
      </c>
      <c r="C2514" s="13">
        <v>2010.0</v>
      </c>
      <c r="D2514" s="11" t="s">
        <v>44</v>
      </c>
      <c r="E2514" s="11">
        <v>39.0</v>
      </c>
      <c r="F2514" s="21" t="s">
        <v>810</v>
      </c>
      <c r="G2514" s="15">
        <v>0.019168190127970695</v>
      </c>
      <c r="H2514" s="11" t="s">
        <v>33</v>
      </c>
      <c r="I2514" s="16">
        <v>4.112</v>
      </c>
      <c r="J2514" s="11" t="s">
        <v>340</v>
      </c>
      <c r="K2514" s="11" t="s">
        <v>26</v>
      </c>
      <c r="L2514" s="11" t="s">
        <v>27</v>
      </c>
      <c r="M2514" s="11" t="s">
        <v>28</v>
      </c>
      <c r="N2514" s="11" t="s">
        <v>42</v>
      </c>
      <c r="O2514" s="11" t="s">
        <v>1778</v>
      </c>
      <c r="P2514" s="11" t="s">
        <v>38</v>
      </c>
      <c r="Q2514" s="20">
        <v>40242.0</v>
      </c>
      <c r="R2514" s="17">
        <f t="shared" si="2"/>
        <v>8.227217221</v>
      </c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>
        <f t="shared" si="8"/>
        <v>1</v>
      </c>
      <c r="AF2514" s="19">
        <f t="shared" si="13"/>
        <v>1</v>
      </c>
      <c r="AG2514" s="9"/>
      <c r="AH2514" s="9"/>
      <c r="AI2514" s="9"/>
    </row>
    <row r="2515" ht="15.0" customHeight="1">
      <c r="A2515" s="11">
        <v>2514.0</v>
      </c>
      <c r="B2515" s="12">
        <f t="shared" si="404"/>
        <v>40240</v>
      </c>
      <c r="C2515" s="13">
        <v>2010.0</v>
      </c>
      <c r="D2515" s="11" t="s">
        <v>44</v>
      </c>
      <c r="E2515" s="11">
        <v>46.0</v>
      </c>
      <c r="F2515" s="21" t="s">
        <v>834</v>
      </c>
      <c r="G2515" s="15">
        <v>0.057222811887655226</v>
      </c>
      <c r="H2515" s="11" t="s">
        <v>45</v>
      </c>
      <c r="I2515" s="16">
        <v>34.016000000000005</v>
      </c>
      <c r="J2515" s="11" t="s">
        <v>340</v>
      </c>
      <c r="K2515" s="11" t="s">
        <v>26</v>
      </c>
      <c r="L2515" s="11" t="s">
        <v>27</v>
      </c>
      <c r="M2515" s="11" t="s">
        <v>49</v>
      </c>
      <c r="N2515" s="11" t="s">
        <v>85</v>
      </c>
      <c r="O2515" s="11" t="s">
        <v>1115</v>
      </c>
      <c r="P2515" s="11" t="s">
        <v>87</v>
      </c>
      <c r="Q2515" s="20">
        <v>40242.0</v>
      </c>
      <c r="R2515" s="17">
        <f t="shared" si="2"/>
        <v>1057.215254</v>
      </c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>
        <f t="shared" si="8"/>
        <v>1</v>
      </c>
      <c r="AF2515" s="19">
        <f t="shared" si="13"/>
        <v>1</v>
      </c>
      <c r="AG2515" s="9"/>
      <c r="AH2515" s="9"/>
      <c r="AI2515" s="9"/>
    </row>
    <row r="2516" ht="15.0" customHeight="1">
      <c r="A2516" s="11">
        <v>2515.0</v>
      </c>
      <c r="B2516" s="12">
        <f t="shared" si="404"/>
        <v>40240</v>
      </c>
      <c r="C2516" s="13">
        <v>2010.0</v>
      </c>
      <c r="D2516" s="11" t="s">
        <v>44</v>
      </c>
      <c r="E2516" s="11">
        <v>26.0</v>
      </c>
      <c r="F2516" s="21" t="s">
        <v>299</v>
      </c>
      <c r="G2516" s="15">
        <v>0.07703771013175824</v>
      </c>
      <c r="H2516" s="11" t="s">
        <v>33</v>
      </c>
      <c r="I2516" s="16">
        <v>2.9440000000000004</v>
      </c>
      <c r="J2516" s="11" t="s">
        <v>1621</v>
      </c>
      <c r="K2516" s="11" t="s">
        <v>35</v>
      </c>
      <c r="L2516" s="11" t="s">
        <v>36</v>
      </c>
      <c r="M2516" s="11" t="s">
        <v>49</v>
      </c>
      <c r="N2516" s="11" t="s">
        <v>73</v>
      </c>
      <c r="O2516" s="11" t="s">
        <v>1949</v>
      </c>
      <c r="P2516" s="11" t="s">
        <v>58</v>
      </c>
      <c r="Q2516" s="20">
        <v>40242.0</v>
      </c>
      <c r="R2516" s="17">
        <f t="shared" si="2"/>
        <v>15.64974859</v>
      </c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>
        <f t="shared" si="8"/>
        <v>2</v>
      </c>
      <c r="AF2516" s="19">
        <f t="shared" si="13"/>
        <v>2</v>
      </c>
      <c r="AG2516" s="9"/>
      <c r="AH2516" s="9"/>
      <c r="AI2516" s="9"/>
    </row>
    <row r="2517" ht="15.0" customHeight="1">
      <c r="A2517" s="11">
        <v>2516.0</v>
      </c>
      <c r="B2517" s="12">
        <f t="shared" si="404"/>
        <v>40240</v>
      </c>
      <c r="C2517" s="13">
        <v>2010.0</v>
      </c>
      <c r="D2517" s="11" t="s">
        <v>44</v>
      </c>
      <c r="E2517" s="11">
        <v>29.0</v>
      </c>
      <c r="F2517" s="21" t="s">
        <v>130</v>
      </c>
      <c r="G2517" s="15">
        <v>0.05351227632126524</v>
      </c>
      <c r="H2517" s="11" t="s">
        <v>33</v>
      </c>
      <c r="I2517" s="16">
        <v>13.664</v>
      </c>
      <c r="J2517" s="11" t="s">
        <v>1621</v>
      </c>
      <c r="K2517" s="11" t="s">
        <v>35</v>
      </c>
      <c r="L2517" s="11" t="s">
        <v>36</v>
      </c>
      <c r="M2517" s="11" t="s">
        <v>28</v>
      </c>
      <c r="N2517" s="11" t="s">
        <v>56</v>
      </c>
      <c r="O2517" s="11" t="s">
        <v>2106</v>
      </c>
      <c r="P2517" s="11" t="s">
        <v>38</v>
      </c>
      <c r="Q2517" s="20">
        <v>40242.0</v>
      </c>
      <c r="R2517" s="17">
        <f t="shared" si="2"/>
        <v>48.68354256</v>
      </c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>
        <f t="shared" si="8"/>
        <v>2</v>
      </c>
      <c r="AF2517" s="19">
        <f t="shared" si="13"/>
        <v>2</v>
      </c>
      <c r="AG2517" s="9"/>
      <c r="AH2517" s="9"/>
      <c r="AI2517" s="9"/>
    </row>
    <row r="2518" ht="15.0" customHeight="1">
      <c r="A2518" s="11">
        <v>2517.0</v>
      </c>
      <c r="B2518" s="12">
        <f t="shared" si="404"/>
        <v>40240</v>
      </c>
      <c r="C2518" s="13">
        <v>2010.0</v>
      </c>
      <c r="D2518" s="11" t="s">
        <v>102</v>
      </c>
      <c r="E2518" s="11">
        <v>2.0</v>
      </c>
      <c r="F2518" s="21" t="s">
        <v>210</v>
      </c>
      <c r="G2518" s="15">
        <v>0.08717948717948715</v>
      </c>
      <c r="H2518" s="11" t="s">
        <v>33</v>
      </c>
      <c r="I2518" s="16">
        <v>1.92</v>
      </c>
      <c r="J2518" s="11" t="s">
        <v>2185</v>
      </c>
      <c r="K2518" s="11" t="s">
        <v>26</v>
      </c>
      <c r="L2518" s="11" t="s">
        <v>36</v>
      </c>
      <c r="M2518" s="11" t="s">
        <v>28</v>
      </c>
      <c r="N2518" s="11" t="s">
        <v>62</v>
      </c>
      <c r="O2518" s="11" t="s">
        <v>212</v>
      </c>
      <c r="P2518" s="11" t="s">
        <v>58</v>
      </c>
      <c r="Q2518" s="20">
        <v>40243.0</v>
      </c>
      <c r="R2518" s="17">
        <f t="shared" si="2"/>
        <v>0.6207179487</v>
      </c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>
        <f t="shared" si="8"/>
        <v>2</v>
      </c>
      <c r="AF2518" s="19">
        <f t="shared" si="13"/>
        <v>1</v>
      </c>
      <c r="AG2518" s="9"/>
      <c r="AH2518" s="9"/>
      <c r="AI2518" s="9"/>
    </row>
    <row r="2519" ht="15.0" customHeight="1">
      <c r="A2519" s="11">
        <v>2518.0</v>
      </c>
      <c r="B2519" s="12">
        <f t="shared" si="404"/>
        <v>40240</v>
      </c>
      <c r="C2519" s="13">
        <v>2010.0</v>
      </c>
      <c r="D2519" s="11" t="s">
        <v>102</v>
      </c>
      <c r="E2519" s="11">
        <v>43.0</v>
      </c>
      <c r="F2519" s="21" t="s">
        <v>259</v>
      </c>
      <c r="G2519" s="15">
        <v>0.07270001873711825</v>
      </c>
      <c r="H2519" s="11" t="s">
        <v>24</v>
      </c>
      <c r="I2519" s="16">
        <v>9.0</v>
      </c>
      <c r="J2519" s="11" t="s">
        <v>793</v>
      </c>
      <c r="K2519" s="11" t="s">
        <v>65</v>
      </c>
      <c r="L2519" s="11" t="s">
        <v>41</v>
      </c>
      <c r="M2519" s="11" t="s">
        <v>28</v>
      </c>
      <c r="N2519" s="11" t="s">
        <v>56</v>
      </c>
      <c r="O2519" s="11" t="s">
        <v>777</v>
      </c>
      <c r="P2519" s="11" t="s">
        <v>38</v>
      </c>
      <c r="Q2519" s="20">
        <v>40243.0</v>
      </c>
      <c r="R2519" s="17">
        <f t="shared" si="2"/>
        <v>35.97923927</v>
      </c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>
        <f t="shared" si="8"/>
        <v>3</v>
      </c>
      <c r="AF2519" s="19">
        <f t="shared" si="13"/>
        <v>5</v>
      </c>
      <c r="AG2519" s="9"/>
      <c r="AH2519" s="9"/>
      <c r="AI2519" s="9"/>
    </row>
    <row r="2520" ht="15.0" customHeight="1">
      <c r="A2520" s="11">
        <v>2519.0</v>
      </c>
      <c r="B2520" s="12">
        <f t="shared" si="404"/>
        <v>40240</v>
      </c>
      <c r="C2520" s="13">
        <v>2010.0</v>
      </c>
      <c r="D2520" s="11" t="s">
        <v>102</v>
      </c>
      <c r="E2520" s="11">
        <v>23.0</v>
      </c>
      <c r="F2520" s="21" t="s">
        <v>199</v>
      </c>
      <c r="G2520" s="15">
        <v>0.05844673539518894</v>
      </c>
      <c r="H2520" s="11" t="s">
        <v>33</v>
      </c>
      <c r="I2520" s="16">
        <v>7.192</v>
      </c>
      <c r="J2520" s="11" t="s">
        <v>793</v>
      </c>
      <c r="K2520" s="11" t="s">
        <v>65</v>
      </c>
      <c r="L2520" s="11" t="s">
        <v>41</v>
      </c>
      <c r="M2520" s="11" t="s">
        <v>28</v>
      </c>
      <c r="N2520" s="11" t="s">
        <v>62</v>
      </c>
      <c r="O2520" s="11" t="s">
        <v>201</v>
      </c>
      <c r="P2520" s="11" t="s">
        <v>99</v>
      </c>
      <c r="Q2520" s="20">
        <v>40243.0</v>
      </c>
      <c r="R2520" s="17">
        <f t="shared" si="2"/>
        <v>16.01393792</v>
      </c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>
        <f t="shared" si="8"/>
        <v>3</v>
      </c>
      <c r="AF2520" s="19">
        <f t="shared" si="13"/>
        <v>5</v>
      </c>
      <c r="AG2520" s="9"/>
      <c r="AH2520" s="9"/>
      <c r="AI2520" s="9"/>
    </row>
    <row r="2521" ht="15.0" customHeight="1">
      <c r="A2521" s="11">
        <v>2520.0</v>
      </c>
      <c r="B2521" s="12">
        <f t="shared" si="404"/>
        <v>40240</v>
      </c>
      <c r="C2521" s="13">
        <v>2010.0</v>
      </c>
      <c r="D2521" s="11" t="s">
        <v>102</v>
      </c>
      <c r="E2521" s="11">
        <v>15.0</v>
      </c>
      <c r="F2521" s="21" t="s">
        <v>178</v>
      </c>
      <c r="G2521" s="15">
        <v>0.058866135760333595</v>
      </c>
      <c r="H2521" s="11" t="s">
        <v>33</v>
      </c>
      <c r="I2521" s="16">
        <v>4.208</v>
      </c>
      <c r="J2521" s="11" t="s">
        <v>2228</v>
      </c>
      <c r="K2521" s="11" t="s">
        <v>26</v>
      </c>
      <c r="L2521" s="11" t="s">
        <v>27</v>
      </c>
      <c r="M2521" s="11" t="s">
        <v>66</v>
      </c>
      <c r="N2521" s="11" t="s">
        <v>80</v>
      </c>
      <c r="O2521" s="11" t="s">
        <v>912</v>
      </c>
      <c r="P2521" s="11" t="s">
        <v>38</v>
      </c>
      <c r="Q2521" s="20">
        <v>40243.0</v>
      </c>
      <c r="R2521" s="17">
        <f t="shared" si="2"/>
        <v>58.4368839</v>
      </c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>
        <f t="shared" si="8"/>
        <v>1</v>
      </c>
      <c r="AF2521" s="19">
        <f t="shared" si="13"/>
        <v>1</v>
      </c>
      <c r="AG2521" s="9"/>
      <c r="AH2521" s="9"/>
      <c r="AI2521" s="9"/>
    </row>
    <row r="2522" ht="15.0" customHeight="1">
      <c r="A2522" s="11">
        <v>2521.0</v>
      </c>
      <c r="B2522" s="12">
        <f t="shared" ref="B2522:B2524" si="405">DATE(2012,12,31)-1033</f>
        <v>40241</v>
      </c>
      <c r="C2522" s="13">
        <v>2010.0</v>
      </c>
      <c r="D2522" s="11" t="s">
        <v>102</v>
      </c>
      <c r="E2522" s="11">
        <v>35.0</v>
      </c>
      <c r="F2522" s="21" t="s">
        <v>498</v>
      </c>
      <c r="G2522" s="15">
        <v>0.0431160536709712</v>
      </c>
      <c r="H2522" s="11" t="s">
        <v>45</v>
      </c>
      <c r="I2522" s="16">
        <v>59.48</v>
      </c>
      <c r="J2522" s="11" t="s">
        <v>2194</v>
      </c>
      <c r="K2522" s="11" t="s">
        <v>47</v>
      </c>
      <c r="L2522" s="11" t="s">
        <v>41</v>
      </c>
      <c r="M2522" s="11" t="s">
        <v>49</v>
      </c>
      <c r="N2522" s="11" t="s">
        <v>50</v>
      </c>
      <c r="O2522" s="11" t="s">
        <v>1959</v>
      </c>
      <c r="P2522" s="11" t="s">
        <v>52</v>
      </c>
      <c r="Q2522" s="20">
        <v>40243.0</v>
      </c>
      <c r="R2522" s="17">
        <f t="shared" si="2"/>
        <v>147.283577</v>
      </c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>
        <f t="shared" si="8"/>
        <v>3</v>
      </c>
      <c r="AF2522" s="19">
        <f t="shared" si="13"/>
        <v>3</v>
      </c>
      <c r="AG2522" s="9"/>
      <c r="AH2522" s="9"/>
      <c r="AI2522" s="9"/>
    </row>
    <row r="2523" ht="15.0" customHeight="1">
      <c r="A2523" s="11">
        <v>2522.0</v>
      </c>
      <c r="B2523" s="12">
        <f t="shared" si="405"/>
        <v>40241</v>
      </c>
      <c r="C2523" s="13">
        <v>2010.0</v>
      </c>
      <c r="D2523" s="11" t="s">
        <v>102</v>
      </c>
      <c r="E2523" s="11">
        <v>15.0</v>
      </c>
      <c r="F2523" s="21" t="s">
        <v>2004</v>
      </c>
      <c r="G2523" s="15">
        <v>0.09598208132322532</v>
      </c>
      <c r="H2523" s="11" t="s">
        <v>33</v>
      </c>
      <c r="I2523" s="16">
        <v>7.192</v>
      </c>
      <c r="J2523" s="11" t="s">
        <v>2194</v>
      </c>
      <c r="K2523" s="11" t="s">
        <v>47</v>
      </c>
      <c r="L2523" s="11" t="s">
        <v>41</v>
      </c>
      <c r="M2523" s="11" t="s">
        <v>28</v>
      </c>
      <c r="N2523" s="11" t="s">
        <v>62</v>
      </c>
      <c r="O2523" s="11" t="s">
        <v>2007</v>
      </c>
      <c r="P2523" s="11" t="s">
        <v>99</v>
      </c>
      <c r="Q2523" s="20">
        <v>40243.0</v>
      </c>
      <c r="R2523" s="17">
        <f t="shared" si="2"/>
        <v>50.36103021</v>
      </c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>
        <f t="shared" si="8"/>
        <v>3</v>
      </c>
      <c r="AF2523" s="19">
        <f t="shared" si="13"/>
        <v>3</v>
      </c>
      <c r="AG2523" s="9"/>
      <c r="AH2523" s="9"/>
      <c r="AI2523" s="9"/>
    </row>
    <row r="2524" ht="15.0" customHeight="1">
      <c r="A2524" s="11">
        <v>2523.0</v>
      </c>
      <c r="B2524" s="12">
        <f t="shared" si="405"/>
        <v>40241</v>
      </c>
      <c r="C2524" s="13">
        <v>2010.0</v>
      </c>
      <c r="D2524" s="11" t="s">
        <v>44</v>
      </c>
      <c r="E2524" s="11">
        <v>20.0</v>
      </c>
      <c r="F2524" s="21" t="s">
        <v>610</v>
      </c>
      <c r="G2524" s="15">
        <v>0.0832544378698224</v>
      </c>
      <c r="H2524" s="11" t="s">
        <v>33</v>
      </c>
      <c r="I2524" s="16">
        <v>3.8880000000000003</v>
      </c>
      <c r="J2524" s="11" t="s">
        <v>1801</v>
      </c>
      <c r="K2524" s="11" t="s">
        <v>26</v>
      </c>
      <c r="L2524" s="11" t="s">
        <v>48</v>
      </c>
      <c r="M2524" s="11" t="s">
        <v>28</v>
      </c>
      <c r="N2524" s="11" t="s">
        <v>56</v>
      </c>
      <c r="O2524" s="11" t="s">
        <v>976</v>
      </c>
      <c r="P2524" s="11" t="s">
        <v>38</v>
      </c>
      <c r="Q2524" s="20">
        <v>40244.0</v>
      </c>
      <c r="R2524" s="17">
        <f t="shared" si="2"/>
        <v>20.63777609</v>
      </c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>
        <f t="shared" si="8"/>
        <v>4</v>
      </c>
      <c r="AF2524" s="19">
        <f t="shared" si="13"/>
        <v>1</v>
      </c>
      <c r="AG2524" s="9"/>
      <c r="AH2524" s="9"/>
      <c r="AI2524" s="9"/>
    </row>
    <row r="2525" ht="15.0" customHeight="1">
      <c r="A2525" s="11">
        <v>2524.0</v>
      </c>
      <c r="B2525" s="12">
        <f t="shared" ref="B2525:B2530" si="406">DATE(2012,12,31)-1032</f>
        <v>40242</v>
      </c>
      <c r="C2525" s="13">
        <v>2010.0</v>
      </c>
      <c r="D2525" s="11" t="s">
        <v>23</v>
      </c>
      <c r="E2525" s="11">
        <v>15.0</v>
      </c>
      <c r="F2525" s="21" t="s">
        <v>130</v>
      </c>
      <c r="G2525" s="15">
        <v>0.06969359331476327</v>
      </c>
      <c r="H2525" s="11" t="s">
        <v>33</v>
      </c>
      <c r="I2525" s="16">
        <v>4.072</v>
      </c>
      <c r="J2525" s="11" t="s">
        <v>1353</v>
      </c>
      <c r="K2525" s="11" t="s">
        <v>26</v>
      </c>
      <c r="L2525" s="11" t="s">
        <v>36</v>
      </c>
      <c r="M2525" s="11" t="s">
        <v>28</v>
      </c>
      <c r="N2525" s="11" t="s">
        <v>56</v>
      </c>
      <c r="O2525" s="11" t="s">
        <v>150</v>
      </c>
      <c r="P2525" s="11" t="s">
        <v>38</v>
      </c>
      <c r="Q2525" s="20">
        <v>40244.0</v>
      </c>
      <c r="R2525" s="17">
        <f t="shared" si="2"/>
        <v>32.58677281</v>
      </c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>
        <f t="shared" si="8"/>
        <v>2</v>
      </c>
      <c r="AF2525" s="19">
        <f t="shared" si="13"/>
        <v>1</v>
      </c>
      <c r="AG2525" s="9"/>
      <c r="AH2525" s="9"/>
      <c r="AI2525" s="9"/>
    </row>
    <row r="2526" ht="15.0" customHeight="1">
      <c r="A2526" s="11">
        <v>2525.0</v>
      </c>
      <c r="B2526" s="12">
        <f t="shared" si="406"/>
        <v>40242</v>
      </c>
      <c r="C2526" s="13">
        <v>2010.0</v>
      </c>
      <c r="D2526" s="11" t="s">
        <v>32</v>
      </c>
      <c r="E2526" s="11">
        <v>32.0</v>
      </c>
      <c r="F2526" s="21" t="s">
        <v>277</v>
      </c>
      <c r="G2526" s="15">
        <v>0.08551236749116602</v>
      </c>
      <c r="H2526" s="11" t="s">
        <v>33</v>
      </c>
      <c r="I2526" s="16">
        <v>0.5599999999999999</v>
      </c>
      <c r="J2526" s="11" t="s">
        <v>120</v>
      </c>
      <c r="K2526" s="11" t="s">
        <v>35</v>
      </c>
      <c r="L2526" s="11" t="s">
        <v>48</v>
      </c>
      <c r="M2526" s="11" t="s">
        <v>49</v>
      </c>
      <c r="N2526" s="11" t="s">
        <v>73</v>
      </c>
      <c r="O2526" s="11" t="s">
        <v>1431</v>
      </c>
      <c r="P2526" s="11" t="s">
        <v>58</v>
      </c>
      <c r="Q2526" s="20">
        <v>40244.0</v>
      </c>
      <c r="R2526" s="17">
        <f t="shared" si="2"/>
        <v>4.426120141</v>
      </c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>
        <f t="shared" si="8"/>
        <v>4</v>
      </c>
      <c r="AF2526" s="19">
        <f t="shared" si="13"/>
        <v>2</v>
      </c>
      <c r="AG2526" s="9"/>
      <c r="AH2526" s="9"/>
      <c r="AI2526" s="9"/>
    </row>
    <row r="2527" ht="15.0" customHeight="1">
      <c r="A2527" s="11">
        <v>2526.0</v>
      </c>
      <c r="B2527" s="12">
        <f t="shared" si="406"/>
        <v>40242</v>
      </c>
      <c r="C2527" s="13">
        <v>2010.0</v>
      </c>
      <c r="D2527" s="11" t="s">
        <v>23</v>
      </c>
      <c r="E2527" s="11">
        <v>1.0</v>
      </c>
      <c r="F2527" s="21" t="s">
        <v>319</v>
      </c>
      <c r="G2527" s="15">
        <v>0.08571428571428578</v>
      </c>
      <c r="H2527" s="11" t="s">
        <v>24</v>
      </c>
      <c r="I2527" s="16">
        <v>0.4</v>
      </c>
      <c r="J2527" s="11" t="s">
        <v>1799</v>
      </c>
      <c r="K2527" s="11" t="s">
        <v>117</v>
      </c>
      <c r="L2527" s="11" t="s">
        <v>48</v>
      </c>
      <c r="M2527" s="11" t="s">
        <v>28</v>
      </c>
      <c r="N2527" s="11" t="s">
        <v>188</v>
      </c>
      <c r="O2527" s="11" t="s">
        <v>1497</v>
      </c>
      <c r="P2527" s="11" t="s">
        <v>38</v>
      </c>
      <c r="Q2527" s="20">
        <v>40244.0</v>
      </c>
      <c r="R2527" s="17">
        <f t="shared" si="2"/>
        <v>0.2742857143</v>
      </c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>
        <f t="shared" si="8"/>
        <v>4</v>
      </c>
      <c r="AF2527" s="19" t="b">
        <f t="shared" si="13"/>
        <v>0</v>
      </c>
      <c r="AG2527" s="9"/>
      <c r="AH2527" s="9"/>
      <c r="AI2527" s="9"/>
    </row>
    <row r="2528" ht="15.0" customHeight="1">
      <c r="A2528" s="11">
        <v>2527.0</v>
      </c>
      <c r="B2528" s="12">
        <f t="shared" si="406"/>
        <v>40242</v>
      </c>
      <c r="C2528" s="13">
        <v>2010.0</v>
      </c>
      <c r="D2528" s="11" t="s">
        <v>23</v>
      </c>
      <c r="E2528" s="11">
        <v>47.0</v>
      </c>
      <c r="F2528" s="21" t="s">
        <v>333</v>
      </c>
      <c r="G2528" s="15">
        <v>0.07884408602150556</v>
      </c>
      <c r="H2528" s="11" t="s">
        <v>33</v>
      </c>
      <c r="I2528" s="16">
        <v>0.768</v>
      </c>
      <c r="J2528" s="11" t="s">
        <v>1799</v>
      </c>
      <c r="K2528" s="11" t="s">
        <v>117</v>
      </c>
      <c r="L2528" s="11" t="s">
        <v>48</v>
      </c>
      <c r="M2528" s="11" t="s">
        <v>28</v>
      </c>
      <c r="N2528" s="11" t="s">
        <v>62</v>
      </c>
      <c r="O2528" s="11" t="s">
        <v>549</v>
      </c>
      <c r="P2528" s="11" t="s">
        <v>58</v>
      </c>
      <c r="Q2528" s="20">
        <v>40244.0</v>
      </c>
      <c r="R2528" s="17">
        <f t="shared" si="2"/>
        <v>10.80700118</v>
      </c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>
        <f t="shared" si="8"/>
        <v>4</v>
      </c>
      <c r="AF2528" s="19" t="b">
        <f t="shared" si="13"/>
        <v>0</v>
      </c>
      <c r="AG2528" s="9"/>
      <c r="AH2528" s="9"/>
      <c r="AI2528" s="9"/>
    </row>
    <row r="2529" ht="15.0" customHeight="1">
      <c r="A2529" s="11">
        <v>2528.0</v>
      </c>
      <c r="B2529" s="12">
        <f t="shared" si="406"/>
        <v>40242</v>
      </c>
      <c r="C2529" s="13">
        <v>2010.0</v>
      </c>
      <c r="D2529" s="11" t="s">
        <v>102</v>
      </c>
      <c r="E2529" s="11">
        <v>16.0</v>
      </c>
      <c r="F2529" s="21" t="s">
        <v>204</v>
      </c>
      <c r="G2529" s="15">
        <v>0.07807127882599574</v>
      </c>
      <c r="H2529" s="11" t="s">
        <v>33</v>
      </c>
      <c r="I2529" s="16">
        <v>0.776</v>
      </c>
      <c r="J2529" s="11" t="s">
        <v>2229</v>
      </c>
      <c r="K2529" s="11" t="s">
        <v>61</v>
      </c>
      <c r="L2529" s="11" t="s">
        <v>27</v>
      </c>
      <c r="M2529" s="11" t="s">
        <v>28</v>
      </c>
      <c r="N2529" s="11" t="s">
        <v>62</v>
      </c>
      <c r="O2529" s="11" t="s">
        <v>1511</v>
      </c>
      <c r="P2529" s="11" t="s">
        <v>58</v>
      </c>
      <c r="Q2529" s="20">
        <v>40244.0</v>
      </c>
      <c r="R2529" s="17">
        <f t="shared" si="2"/>
        <v>3.433262558</v>
      </c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>
        <f t="shared" si="8"/>
        <v>1</v>
      </c>
      <c r="AF2529" s="19">
        <f t="shared" si="13"/>
        <v>4</v>
      </c>
      <c r="AG2529" s="9"/>
      <c r="AH2529" s="9"/>
      <c r="AI2529" s="9"/>
    </row>
    <row r="2530" ht="15.0" customHeight="1">
      <c r="A2530" s="11">
        <v>2529.0</v>
      </c>
      <c r="B2530" s="12">
        <f t="shared" si="406"/>
        <v>40242</v>
      </c>
      <c r="C2530" s="13">
        <v>2010.0</v>
      </c>
      <c r="D2530" s="11" t="s">
        <v>102</v>
      </c>
      <c r="E2530" s="11">
        <v>27.0</v>
      </c>
      <c r="F2530" s="21" t="s">
        <v>287</v>
      </c>
      <c r="G2530" s="15">
        <v>0.08378114684660999</v>
      </c>
      <c r="H2530" s="11" t="s">
        <v>33</v>
      </c>
      <c r="I2530" s="16">
        <v>7.192</v>
      </c>
      <c r="J2530" s="11" t="s">
        <v>2229</v>
      </c>
      <c r="K2530" s="11" t="s">
        <v>61</v>
      </c>
      <c r="L2530" s="11" t="s">
        <v>27</v>
      </c>
      <c r="M2530" s="11" t="s">
        <v>66</v>
      </c>
      <c r="N2530" s="11" t="s">
        <v>80</v>
      </c>
      <c r="O2530" s="11" t="s">
        <v>1104</v>
      </c>
      <c r="P2530" s="11" t="s">
        <v>38</v>
      </c>
      <c r="Q2530" s="20">
        <v>40244.0</v>
      </c>
      <c r="R2530" s="17">
        <f t="shared" si="2"/>
        <v>262.7788968</v>
      </c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>
        <f t="shared" si="8"/>
        <v>1</v>
      </c>
      <c r="AF2530" s="19">
        <f t="shared" si="13"/>
        <v>4</v>
      </c>
      <c r="AG2530" s="9"/>
      <c r="AH2530" s="9"/>
      <c r="AI2530" s="9"/>
    </row>
    <row r="2531" ht="15.0" customHeight="1">
      <c r="A2531" s="11">
        <v>2530.0</v>
      </c>
      <c r="B2531" s="12">
        <f>DATE(2012,12,31)-1031</f>
        <v>40243</v>
      </c>
      <c r="C2531" s="13">
        <v>2010.0</v>
      </c>
      <c r="D2531" s="11" t="s">
        <v>39</v>
      </c>
      <c r="E2531" s="11">
        <v>2.0</v>
      </c>
      <c r="F2531" s="21" t="s">
        <v>126</v>
      </c>
      <c r="G2531" s="15">
        <v>0.13278106508875717</v>
      </c>
      <c r="H2531" s="11" t="s">
        <v>33</v>
      </c>
      <c r="I2531" s="16">
        <v>4.856000000000001</v>
      </c>
      <c r="J2531" s="11" t="s">
        <v>1240</v>
      </c>
      <c r="K2531" s="11" t="s">
        <v>35</v>
      </c>
      <c r="L2531" s="11" t="s">
        <v>41</v>
      </c>
      <c r="M2531" s="11" t="s">
        <v>28</v>
      </c>
      <c r="N2531" s="11" t="s">
        <v>56</v>
      </c>
      <c r="O2531" s="11" t="s">
        <v>1316</v>
      </c>
      <c r="P2531" s="11" t="s">
        <v>38</v>
      </c>
      <c r="Q2531" s="20">
        <v>40244.0</v>
      </c>
      <c r="R2531" s="17">
        <f t="shared" si="2"/>
        <v>1.94603929</v>
      </c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>
        <f t="shared" si="8"/>
        <v>3</v>
      </c>
      <c r="AF2531" s="19">
        <f t="shared" si="13"/>
        <v>2</v>
      </c>
      <c r="AG2531" s="9"/>
      <c r="AH2531" s="9"/>
      <c r="AI2531" s="9"/>
    </row>
    <row r="2532" ht="15.0" customHeight="1">
      <c r="A2532" s="11">
        <v>2531.0</v>
      </c>
      <c r="B2532" s="12">
        <f t="shared" ref="B2532:B2545" si="407">DATE(2012,12,31)-1030</f>
        <v>40244</v>
      </c>
      <c r="C2532" s="13">
        <v>2010.0</v>
      </c>
      <c r="D2532" s="11" t="s">
        <v>23</v>
      </c>
      <c r="E2532" s="11">
        <v>46.0</v>
      </c>
      <c r="F2532" s="21" t="s">
        <v>2230</v>
      </c>
      <c r="G2532" s="15">
        <v>0.03513407192336942</v>
      </c>
      <c r="H2532" s="11" t="s">
        <v>33</v>
      </c>
      <c r="I2532" s="16">
        <v>15.96</v>
      </c>
      <c r="J2532" s="11" t="s">
        <v>1257</v>
      </c>
      <c r="K2532" s="11" t="s">
        <v>35</v>
      </c>
      <c r="L2532" s="11" t="s">
        <v>48</v>
      </c>
      <c r="M2532" s="11" t="s">
        <v>28</v>
      </c>
      <c r="N2532" s="11" t="s">
        <v>197</v>
      </c>
      <c r="O2532" s="11" t="s">
        <v>2231</v>
      </c>
      <c r="P2532" s="11" t="s">
        <v>31</v>
      </c>
      <c r="Q2532" s="20">
        <v>40245.0</v>
      </c>
      <c r="R2532" s="17">
        <f t="shared" si="2"/>
        <v>124.5207723</v>
      </c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>
        <f t="shared" si="8"/>
        <v>4</v>
      </c>
      <c r="AF2532" s="19">
        <f t="shared" si="13"/>
        <v>2</v>
      </c>
      <c r="AG2532" s="9"/>
      <c r="AH2532" s="9"/>
      <c r="AI2532" s="9"/>
    </row>
    <row r="2533" ht="15.0" customHeight="1">
      <c r="A2533" s="11">
        <v>2532.0</v>
      </c>
      <c r="B2533" s="12">
        <f t="shared" si="407"/>
        <v>40244</v>
      </c>
      <c r="C2533" s="13">
        <v>2010.0</v>
      </c>
      <c r="D2533" s="11" t="s">
        <v>32</v>
      </c>
      <c r="E2533" s="11">
        <v>36.0</v>
      </c>
      <c r="F2533" s="21" t="s">
        <v>130</v>
      </c>
      <c r="G2533" s="15">
        <v>0.027006998306142664</v>
      </c>
      <c r="H2533" s="11" t="s">
        <v>33</v>
      </c>
      <c r="I2533" s="16">
        <v>5.2</v>
      </c>
      <c r="J2533" s="11" t="s">
        <v>334</v>
      </c>
      <c r="K2533" s="11" t="s">
        <v>35</v>
      </c>
      <c r="L2533" s="11" t="s">
        <v>48</v>
      </c>
      <c r="M2533" s="11" t="s">
        <v>66</v>
      </c>
      <c r="N2533" s="11" t="s">
        <v>67</v>
      </c>
      <c r="O2533" s="11" t="s">
        <v>1464</v>
      </c>
      <c r="P2533" s="11" t="s">
        <v>38</v>
      </c>
      <c r="Q2533" s="20">
        <v>40245.0</v>
      </c>
      <c r="R2533" s="17">
        <f t="shared" si="2"/>
        <v>30.18302131</v>
      </c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>
        <f t="shared" si="8"/>
        <v>4</v>
      </c>
      <c r="AF2533" s="19">
        <f t="shared" si="13"/>
        <v>2</v>
      </c>
      <c r="AG2533" s="9"/>
      <c r="AH2533" s="9"/>
      <c r="AI2533" s="9"/>
    </row>
    <row r="2534" ht="15.0" customHeight="1">
      <c r="A2534" s="11">
        <v>2533.0</v>
      </c>
      <c r="B2534" s="12">
        <f t="shared" si="407"/>
        <v>40244</v>
      </c>
      <c r="C2534" s="13">
        <v>2010.0</v>
      </c>
      <c r="D2534" s="11" t="s">
        <v>32</v>
      </c>
      <c r="E2534" s="11">
        <v>28.0</v>
      </c>
      <c r="F2534" s="21" t="s">
        <v>100</v>
      </c>
      <c r="G2534" s="15">
        <v>0.0661071024106132</v>
      </c>
      <c r="H2534" s="11" t="s">
        <v>33</v>
      </c>
      <c r="I2534" s="16">
        <v>7.192</v>
      </c>
      <c r="J2534" s="11" t="s">
        <v>334</v>
      </c>
      <c r="K2534" s="11" t="s">
        <v>35</v>
      </c>
      <c r="L2534" s="11" t="s">
        <v>48</v>
      </c>
      <c r="M2534" s="11" t="s">
        <v>66</v>
      </c>
      <c r="N2534" s="11" t="s">
        <v>80</v>
      </c>
      <c r="O2534" s="11" t="s">
        <v>614</v>
      </c>
      <c r="P2534" s="11" t="s">
        <v>38</v>
      </c>
      <c r="Q2534" s="20">
        <v>40245.0</v>
      </c>
      <c r="R2534" s="17">
        <f t="shared" si="2"/>
        <v>381.5961091</v>
      </c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>
        <f t="shared" si="8"/>
        <v>4</v>
      </c>
      <c r="AF2534" s="19">
        <f t="shared" si="13"/>
        <v>2</v>
      </c>
      <c r="AG2534" s="9"/>
      <c r="AH2534" s="9"/>
      <c r="AI2534" s="9"/>
    </row>
    <row r="2535" ht="15.0" customHeight="1">
      <c r="A2535" s="11">
        <v>2534.0</v>
      </c>
      <c r="B2535" s="12">
        <f t="shared" si="407"/>
        <v>40244</v>
      </c>
      <c r="C2535" s="13">
        <v>2010.0</v>
      </c>
      <c r="D2535" s="11" t="s">
        <v>23</v>
      </c>
      <c r="E2535" s="11">
        <v>8.0</v>
      </c>
      <c r="F2535" s="21" t="s">
        <v>1692</v>
      </c>
      <c r="G2535" s="15">
        <v>0.031577739529546865</v>
      </c>
      <c r="H2535" s="11" t="s">
        <v>33</v>
      </c>
      <c r="I2535" s="16">
        <v>2.3920000000000003</v>
      </c>
      <c r="J2535" s="11" t="s">
        <v>2232</v>
      </c>
      <c r="K2535" s="11" t="s">
        <v>35</v>
      </c>
      <c r="L2535" s="11" t="s">
        <v>27</v>
      </c>
      <c r="M2535" s="11" t="s">
        <v>28</v>
      </c>
      <c r="N2535" s="11" t="s">
        <v>42</v>
      </c>
      <c r="O2535" s="11" t="s">
        <v>1694</v>
      </c>
      <c r="P2535" s="11" t="s">
        <v>38</v>
      </c>
      <c r="Q2535" s="20">
        <v>40245.0</v>
      </c>
      <c r="R2535" s="17">
        <f t="shared" si="2"/>
        <v>10.66039224</v>
      </c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>
        <f t="shared" si="8"/>
        <v>1</v>
      </c>
      <c r="AF2535" s="19">
        <f t="shared" si="13"/>
        <v>2</v>
      </c>
      <c r="AG2535" s="9"/>
      <c r="AH2535" s="9"/>
      <c r="AI2535" s="9"/>
    </row>
    <row r="2536" ht="15.0" customHeight="1">
      <c r="A2536" s="11">
        <v>2535.0</v>
      </c>
      <c r="B2536" s="12">
        <f t="shared" si="407"/>
        <v>40244</v>
      </c>
      <c r="C2536" s="13">
        <v>2010.0</v>
      </c>
      <c r="D2536" s="11" t="s">
        <v>23</v>
      </c>
      <c r="E2536" s="11">
        <v>16.0</v>
      </c>
      <c r="F2536" s="21" t="s">
        <v>290</v>
      </c>
      <c r="G2536" s="15">
        <v>0.10620689655172408</v>
      </c>
      <c r="H2536" s="11" t="s">
        <v>33</v>
      </c>
      <c r="I2536" s="16">
        <v>5.376</v>
      </c>
      <c r="J2536" s="11" t="s">
        <v>2232</v>
      </c>
      <c r="K2536" s="11" t="s">
        <v>35</v>
      </c>
      <c r="L2536" s="11" t="s">
        <v>27</v>
      </c>
      <c r="M2536" s="11" t="s">
        <v>28</v>
      </c>
      <c r="N2536" s="11" t="s">
        <v>56</v>
      </c>
      <c r="O2536" s="11" t="s">
        <v>2233</v>
      </c>
      <c r="P2536" s="11" t="s">
        <v>38</v>
      </c>
      <c r="Q2536" s="20">
        <v>40245.0</v>
      </c>
      <c r="R2536" s="17">
        <f t="shared" si="2"/>
        <v>7.708071724</v>
      </c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>
        <f t="shared" si="8"/>
        <v>1</v>
      </c>
      <c r="AF2536" s="19">
        <f t="shared" si="13"/>
        <v>2</v>
      </c>
      <c r="AG2536" s="9"/>
      <c r="AH2536" s="9"/>
      <c r="AI2536" s="9"/>
    </row>
    <row r="2537" ht="15.0" customHeight="1">
      <c r="A2537" s="11">
        <v>2536.0</v>
      </c>
      <c r="B2537" s="12">
        <f t="shared" si="407"/>
        <v>40244</v>
      </c>
      <c r="C2537" s="13">
        <v>2010.0</v>
      </c>
      <c r="D2537" s="11" t="s">
        <v>23</v>
      </c>
      <c r="E2537" s="11">
        <v>45.0</v>
      </c>
      <c r="F2537" s="21" t="s">
        <v>290</v>
      </c>
      <c r="G2537" s="15">
        <v>0.10415548357242009</v>
      </c>
      <c r="H2537" s="11" t="s">
        <v>33</v>
      </c>
      <c r="I2537" s="16">
        <v>4.5920000000000005</v>
      </c>
      <c r="J2537" s="11" t="s">
        <v>2232</v>
      </c>
      <c r="K2537" s="11" t="s">
        <v>35</v>
      </c>
      <c r="L2537" s="11" t="s">
        <v>27</v>
      </c>
      <c r="M2537" s="11" t="s">
        <v>28</v>
      </c>
      <c r="N2537" s="11" t="s">
        <v>56</v>
      </c>
      <c r="O2537" s="11" t="s">
        <v>2234</v>
      </c>
      <c r="P2537" s="11" t="s">
        <v>38</v>
      </c>
      <c r="Q2537" s="20">
        <v>40245.0</v>
      </c>
      <c r="R2537" s="17">
        <f t="shared" si="2"/>
        <v>20.16366838</v>
      </c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>
        <f t="shared" si="8"/>
        <v>1</v>
      </c>
      <c r="AF2537" s="19">
        <f t="shared" si="13"/>
        <v>2</v>
      </c>
      <c r="AG2537" s="9"/>
      <c r="AH2537" s="9"/>
      <c r="AI2537" s="9"/>
    </row>
    <row r="2538" ht="15.0" customHeight="1">
      <c r="A2538" s="11">
        <v>2537.0</v>
      </c>
      <c r="B2538" s="12">
        <f t="shared" si="407"/>
        <v>40244</v>
      </c>
      <c r="C2538" s="13">
        <v>2010.0</v>
      </c>
      <c r="D2538" s="11" t="s">
        <v>23</v>
      </c>
      <c r="E2538" s="11">
        <v>37.0</v>
      </c>
      <c r="F2538" s="21" t="s">
        <v>668</v>
      </c>
      <c r="G2538" s="15">
        <v>0.07534332084893879</v>
      </c>
      <c r="H2538" s="11" t="s">
        <v>33</v>
      </c>
      <c r="I2538" s="16">
        <v>3.9600000000000004</v>
      </c>
      <c r="J2538" s="11" t="s">
        <v>602</v>
      </c>
      <c r="K2538" s="11" t="s">
        <v>26</v>
      </c>
      <c r="L2538" s="11" t="s">
        <v>48</v>
      </c>
      <c r="M2538" s="11" t="s">
        <v>49</v>
      </c>
      <c r="N2538" s="11" t="s">
        <v>73</v>
      </c>
      <c r="O2538" s="11" t="s">
        <v>1481</v>
      </c>
      <c r="P2538" s="11" t="s">
        <v>38</v>
      </c>
      <c r="Q2538" s="20">
        <v>40245.0</v>
      </c>
      <c r="R2538" s="17">
        <f t="shared" si="2"/>
        <v>22.32121223</v>
      </c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>
        <f t="shared" si="8"/>
        <v>4</v>
      </c>
      <c r="AF2538" s="19">
        <f t="shared" si="13"/>
        <v>1</v>
      </c>
      <c r="AG2538" s="9"/>
      <c r="AH2538" s="9"/>
      <c r="AI2538" s="9"/>
    </row>
    <row r="2539" ht="15.0" customHeight="1">
      <c r="A2539" s="11">
        <v>2538.0</v>
      </c>
      <c r="B2539" s="12">
        <f t="shared" si="407"/>
        <v>40244</v>
      </c>
      <c r="C2539" s="13">
        <v>2010.0</v>
      </c>
      <c r="D2539" s="11" t="s">
        <v>23</v>
      </c>
      <c r="E2539" s="11">
        <v>6.0</v>
      </c>
      <c r="F2539" s="21" t="s">
        <v>782</v>
      </c>
      <c r="G2539" s="15">
        <v>0.03424818527480129</v>
      </c>
      <c r="H2539" s="11" t="s">
        <v>33</v>
      </c>
      <c r="I2539" s="16">
        <v>3.9920000000000004</v>
      </c>
      <c r="J2539" s="11" t="s">
        <v>602</v>
      </c>
      <c r="K2539" s="11" t="s">
        <v>26</v>
      </c>
      <c r="L2539" s="11" t="s">
        <v>48</v>
      </c>
      <c r="M2539" s="11" t="s">
        <v>66</v>
      </c>
      <c r="N2539" s="11" t="s">
        <v>80</v>
      </c>
      <c r="O2539" s="11" t="s">
        <v>783</v>
      </c>
      <c r="P2539" s="11" t="s">
        <v>38</v>
      </c>
      <c r="Q2539" s="20">
        <v>40245.0</v>
      </c>
      <c r="R2539" s="17">
        <f t="shared" si="2"/>
        <v>9.56866898</v>
      </c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>
        <f t="shared" si="8"/>
        <v>4</v>
      </c>
      <c r="AF2539" s="19">
        <f t="shared" si="13"/>
        <v>1</v>
      </c>
      <c r="AG2539" s="9"/>
      <c r="AH2539" s="9"/>
      <c r="AI2539" s="9"/>
    </row>
    <row r="2540" ht="15.0" customHeight="1">
      <c r="A2540" s="11">
        <v>2539.0</v>
      </c>
      <c r="B2540" s="12">
        <f t="shared" si="407"/>
        <v>40244</v>
      </c>
      <c r="C2540" s="13">
        <v>2010.0</v>
      </c>
      <c r="D2540" s="11" t="s">
        <v>102</v>
      </c>
      <c r="E2540" s="11">
        <v>42.0</v>
      </c>
      <c r="F2540" s="21" t="s">
        <v>273</v>
      </c>
      <c r="G2540" s="15">
        <v>0.0840695222165661</v>
      </c>
      <c r="H2540" s="11" t="s">
        <v>33</v>
      </c>
      <c r="I2540" s="16">
        <v>3.192</v>
      </c>
      <c r="J2540" s="11" t="s">
        <v>1884</v>
      </c>
      <c r="K2540" s="11" t="s">
        <v>117</v>
      </c>
      <c r="L2540" s="11" t="s">
        <v>48</v>
      </c>
      <c r="M2540" s="11" t="s">
        <v>28</v>
      </c>
      <c r="N2540" s="11" t="s">
        <v>197</v>
      </c>
      <c r="O2540" s="11" t="s">
        <v>275</v>
      </c>
      <c r="P2540" s="11" t="s">
        <v>38</v>
      </c>
      <c r="Q2540" s="20">
        <v>40245.0</v>
      </c>
      <c r="R2540" s="17">
        <f t="shared" si="2"/>
        <v>211.7704539</v>
      </c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>
        <f t="shared" si="8"/>
        <v>4</v>
      </c>
      <c r="AF2540" s="19" t="b">
        <f t="shared" si="13"/>
        <v>0</v>
      </c>
      <c r="AG2540" s="9"/>
      <c r="AH2540" s="9"/>
      <c r="AI2540" s="9"/>
    </row>
    <row r="2541" ht="15.0" customHeight="1">
      <c r="A2541" s="11">
        <v>2540.0</v>
      </c>
      <c r="B2541" s="12">
        <f t="shared" si="407"/>
        <v>40244</v>
      </c>
      <c r="C2541" s="13">
        <v>2010.0</v>
      </c>
      <c r="D2541" s="11" t="s">
        <v>32</v>
      </c>
      <c r="E2541" s="11">
        <v>37.0</v>
      </c>
      <c r="F2541" s="21" t="s">
        <v>1791</v>
      </c>
      <c r="G2541" s="15">
        <v>0.038037411836859845</v>
      </c>
      <c r="H2541" s="11" t="s">
        <v>33</v>
      </c>
      <c r="I2541" s="16">
        <v>2.8960000000000004</v>
      </c>
      <c r="J2541" s="11" t="s">
        <v>571</v>
      </c>
      <c r="K2541" s="11" t="s">
        <v>65</v>
      </c>
      <c r="L2541" s="11" t="s">
        <v>27</v>
      </c>
      <c r="M2541" s="11" t="s">
        <v>66</v>
      </c>
      <c r="N2541" s="11" t="s">
        <v>67</v>
      </c>
      <c r="O2541" s="11" t="s">
        <v>2118</v>
      </c>
      <c r="P2541" s="11" t="s">
        <v>99</v>
      </c>
      <c r="Q2541" s="20">
        <v>40245.0</v>
      </c>
      <c r="R2541" s="17">
        <f t="shared" si="2"/>
        <v>11.93218394</v>
      </c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>
        <f t="shared" si="8"/>
        <v>1</v>
      </c>
      <c r="AF2541" s="19">
        <f t="shared" si="13"/>
        <v>5</v>
      </c>
      <c r="AG2541" s="9"/>
      <c r="AH2541" s="9"/>
      <c r="AI2541" s="9"/>
    </row>
    <row r="2542" ht="15.0" customHeight="1">
      <c r="A2542" s="11">
        <v>2541.0</v>
      </c>
      <c r="B2542" s="12">
        <f t="shared" si="407"/>
        <v>40244</v>
      </c>
      <c r="C2542" s="13">
        <v>2010.0</v>
      </c>
      <c r="D2542" s="11" t="s">
        <v>102</v>
      </c>
      <c r="E2542" s="11">
        <v>1.0</v>
      </c>
      <c r="F2542" s="21" t="s">
        <v>130</v>
      </c>
      <c r="G2542" s="15">
        <v>0.07158333333333333</v>
      </c>
      <c r="H2542" s="11" t="s">
        <v>33</v>
      </c>
      <c r="I2542" s="16">
        <v>13.664</v>
      </c>
      <c r="J2542" s="11" t="s">
        <v>1308</v>
      </c>
      <c r="K2542" s="11" t="s">
        <v>61</v>
      </c>
      <c r="L2542" s="11" t="s">
        <v>36</v>
      </c>
      <c r="M2542" s="11" t="s">
        <v>28</v>
      </c>
      <c r="N2542" s="11" t="s">
        <v>56</v>
      </c>
      <c r="O2542" s="11" t="s">
        <v>2106</v>
      </c>
      <c r="P2542" s="11" t="s">
        <v>38</v>
      </c>
      <c r="Q2542" s="20">
        <v>40246.0</v>
      </c>
      <c r="R2542" s="17">
        <f t="shared" si="2"/>
        <v>3.190039667</v>
      </c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>
        <f t="shared" si="8"/>
        <v>2</v>
      </c>
      <c r="AF2542" s="19">
        <f t="shared" si="13"/>
        <v>4</v>
      </c>
      <c r="AG2542" s="9"/>
      <c r="AH2542" s="9"/>
      <c r="AI2542" s="9"/>
    </row>
    <row r="2543" ht="15.0" customHeight="1">
      <c r="A2543" s="11">
        <v>2542.0</v>
      </c>
      <c r="B2543" s="12">
        <f t="shared" si="407"/>
        <v>40244</v>
      </c>
      <c r="C2543" s="13">
        <v>2010.0</v>
      </c>
      <c r="D2543" s="11" t="s">
        <v>102</v>
      </c>
      <c r="E2543" s="11">
        <v>20.0</v>
      </c>
      <c r="F2543" s="21" t="s">
        <v>2235</v>
      </c>
      <c r="G2543" s="15">
        <v>0.07528257624226904</v>
      </c>
      <c r="H2543" s="11" t="s">
        <v>24</v>
      </c>
      <c r="I2543" s="16">
        <v>3.2</v>
      </c>
      <c r="J2543" s="11" t="s">
        <v>1685</v>
      </c>
      <c r="K2543" s="11" t="s">
        <v>61</v>
      </c>
      <c r="L2543" s="11" t="s">
        <v>41</v>
      </c>
      <c r="M2543" s="11" t="s">
        <v>66</v>
      </c>
      <c r="N2543" s="11" t="s">
        <v>67</v>
      </c>
      <c r="O2543" s="11" t="s">
        <v>68</v>
      </c>
      <c r="P2543" s="11" t="s">
        <v>38</v>
      </c>
      <c r="Q2543" s="20">
        <v>40246.0</v>
      </c>
      <c r="R2543" s="17">
        <f t="shared" si="2"/>
        <v>65.28505012</v>
      </c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>
        <f t="shared" si="8"/>
        <v>3</v>
      </c>
      <c r="AF2543" s="19">
        <f t="shared" si="13"/>
        <v>4</v>
      </c>
      <c r="AG2543" s="9"/>
      <c r="AH2543" s="9"/>
      <c r="AI2543" s="9"/>
    </row>
    <row r="2544" ht="15.0" customHeight="1">
      <c r="A2544" s="11">
        <v>2543.0</v>
      </c>
      <c r="B2544" s="12">
        <f t="shared" si="407"/>
        <v>40244</v>
      </c>
      <c r="C2544" s="13">
        <v>2010.0</v>
      </c>
      <c r="D2544" s="11" t="s">
        <v>23</v>
      </c>
      <c r="E2544" s="11">
        <v>43.0</v>
      </c>
      <c r="F2544" s="21" t="s">
        <v>1757</v>
      </c>
      <c r="G2544" s="15">
        <v>0.02095912900717194</v>
      </c>
      <c r="H2544" s="11" t="s">
        <v>33</v>
      </c>
      <c r="I2544" s="16">
        <v>12.888</v>
      </c>
      <c r="J2544" s="11" t="s">
        <v>1357</v>
      </c>
      <c r="K2544" s="11" t="s">
        <v>35</v>
      </c>
      <c r="L2544" s="11" t="s">
        <v>27</v>
      </c>
      <c r="M2544" s="11" t="s">
        <v>28</v>
      </c>
      <c r="N2544" s="11" t="s">
        <v>42</v>
      </c>
      <c r="O2544" s="11" t="s">
        <v>1758</v>
      </c>
      <c r="P2544" s="11" t="s">
        <v>38</v>
      </c>
      <c r="Q2544" s="20">
        <v>40246.0</v>
      </c>
      <c r="R2544" s="17">
        <f t="shared" si="2"/>
        <v>47.49523073</v>
      </c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>
        <f t="shared" si="8"/>
        <v>1</v>
      </c>
      <c r="AF2544" s="19">
        <f t="shared" si="13"/>
        <v>2</v>
      </c>
      <c r="AG2544" s="9"/>
      <c r="AH2544" s="9"/>
      <c r="AI2544" s="9"/>
    </row>
    <row r="2545" ht="15.0" customHeight="1">
      <c r="A2545" s="11">
        <v>2544.0</v>
      </c>
      <c r="B2545" s="12">
        <f t="shared" si="407"/>
        <v>40244</v>
      </c>
      <c r="C2545" s="13">
        <v>2010.0</v>
      </c>
      <c r="D2545" s="11" t="s">
        <v>23</v>
      </c>
      <c r="E2545" s="11">
        <v>6.0</v>
      </c>
      <c r="F2545" s="21" t="s">
        <v>130</v>
      </c>
      <c r="G2545" s="15">
        <v>0.030770780856423336</v>
      </c>
      <c r="H2545" s="11" t="s">
        <v>24</v>
      </c>
      <c r="I2545" s="16">
        <v>6.992000000000001</v>
      </c>
      <c r="J2545" s="11" t="s">
        <v>1357</v>
      </c>
      <c r="K2545" s="11" t="s">
        <v>35</v>
      </c>
      <c r="L2545" s="11" t="s">
        <v>27</v>
      </c>
      <c r="M2545" s="11" t="s">
        <v>28</v>
      </c>
      <c r="N2545" s="11" t="s">
        <v>56</v>
      </c>
      <c r="O2545" s="11" t="s">
        <v>776</v>
      </c>
      <c r="P2545" s="11" t="s">
        <v>38</v>
      </c>
      <c r="Q2545" s="20">
        <v>40246.0</v>
      </c>
      <c r="R2545" s="17">
        <f t="shared" si="2"/>
        <v>5.920052071</v>
      </c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>
        <f t="shared" si="8"/>
        <v>1</v>
      </c>
      <c r="AF2545" s="19">
        <f t="shared" si="13"/>
        <v>2</v>
      </c>
      <c r="AG2545" s="9"/>
      <c r="AH2545" s="9"/>
      <c r="AI2545" s="9"/>
    </row>
    <row r="2546" ht="15.0" customHeight="1">
      <c r="A2546" s="11">
        <v>2545.0</v>
      </c>
      <c r="B2546" s="12">
        <f t="shared" ref="B2546:B2553" si="408">DATE(2012,12,31)-1029</f>
        <v>40245</v>
      </c>
      <c r="C2546" s="13">
        <v>2010.0</v>
      </c>
      <c r="D2546" s="11" t="s">
        <v>39</v>
      </c>
      <c r="E2546" s="11">
        <v>50.0</v>
      </c>
      <c r="F2546" s="21" t="s">
        <v>914</v>
      </c>
      <c r="G2546" s="15">
        <v>0.012674793550924095</v>
      </c>
      <c r="H2546" s="11" t="s">
        <v>33</v>
      </c>
      <c r="I2546" s="16">
        <v>10.384</v>
      </c>
      <c r="J2546" s="11" t="s">
        <v>1564</v>
      </c>
      <c r="K2546" s="11" t="s">
        <v>35</v>
      </c>
      <c r="L2546" s="11" t="s">
        <v>27</v>
      </c>
      <c r="M2546" s="11" t="s">
        <v>28</v>
      </c>
      <c r="N2546" s="11" t="s">
        <v>42</v>
      </c>
      <c r="O2546" s="11" t="s">
        <v>915</v>
      </c>
      <c r="P2546" s="11" t="s">
        <v>38</v>
      </c>
      <c r="Q2546" s="20">
        <v>40246.0</v>
      </c>
      <c r="R2546" s="17">
        <f t="shared" si="2"/>
        <v>15.91173303</v>
      </c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>
        <f t="shared" si="8"/>
        <v>1</v>
      </c>
      <c r="AF2546" s="19">
        <f t="shared" si="13"/>
        <v>2</v>
      </c>
      <c r="AG2546" s="9"/>
      <c r="AH2546" s="9"/>
      <c r="AI2546" s="9"/>
    </row>
    <row r="2547" ht="15.0" customHeight="1">
      <c r="A2547" s="11">
        <v>2546.0</v>
      </c>
      <c r="B2547" s="12">
        <f t="shared" si="408"/>
        <v>40245</v>
      </c>
      <c r="C2547" s="13">
        <v>2010.0</v>
      </c>
      <c r="D2547" s="11" t="s">
        <v>102</v>
      </c>
      <c r="E2547" s="11">
        <v>8.0</v>
      </c>
      <c r="F2547" s="21" t="s">
        <v>287</v>
      </c>
      <c r="G2547" s="15">
        <v>0.0350625776249163</v>
      </c>
      <c r="H2547" s="11" t="s">
        <v>33</v>
      </c>
      <c r="I2547" s="16">
        <v>2.0</v>
      </c>
      <c r="J2547" s="11" t="s">
        <v>1025</v>
      </c>
      <c r="K2547" s="11" t="s">
        <v>117</v>
      </c>
      <c r="L2547" s="11" t="s">
        <v>48</v>
      </c>
      <c r="M2547" s="11" t="s">
        <v>66</v>
      </c>
      <c r="N2547" s="11" t="s">
        <v>80</v>
      </c>
      <c r="O2547" s="11" t="s">
        <v>1812</v>
      </c>
      <c r="P2547" s="11" t="s">
        <v>38</v>
      </c>
      <c r="Q2547" s="20">
        <v>40247.0</v>
      </c>
      <c r="R2547" s="17">
        <f t="shared" si="2"/>
        <v>32.58014713</v>
      </c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>
        <f t="shared" si="8"/>
        <v>4</v>
      </c>
      <c r="AF2547" s="19" t="b">
        <f t="shared" si="13"/>
        <v>0</v>
      </c>
      <c r="AG2547" s="9"/>
      <c r="AH2547" s="9"/>
      <c r="AI2547" s="9"/>
    </row>
    <row r="2548" ht="15.0" customHeight="1">
      <c r="A2548" s="11">
        <v>2547.0</v>
      </c>
      <c r="B2548" s="12">
        <f t="shared" si="408"/>
        <v>40245</v>
      </c>
      <c r="C2548" s="13">
        <v>2010.0</v>
      </c>
      <c r="D2548" s="11" t="s">
        <v>44</v>
      </c>
      <c r="E2548" s="11">
        <v>2.0</v>
      </c>
      <c r="F2548" s="21" t="s">
        <v>700</v>
      </c>
      <c r="G2548" s="15">
        <v>0.05929961089494167</v>
      </c>
      <c r="H2548" s="11" t="s">
        <v>33</v>
      </c>
      <c r="I2548" s="16">
        <v>4.976</v>
      </c>
      <c r="J2548" s="11" t="s">
        <v>1460</v>
      </c>
      <c r="K2548" s="11" t="s">
        <v>35</v>
      </c>
      <c r="L2548" s="11" t="s">
        <v>36</v>
      </c>
      <c r="M2548" s="11" t="s">
        <v>49</v>
      </c>
      <c r="N2548" s="11" t="s">
        <v>73</v>
      </c>
      <c r="O2548" s="11" t="s">
        <v>701</v>
      </c>
      <c r="P2548" s="11" t="s">
        <v>38</v>
      </c>
      <c r="Q2548" s="20">
        <v>40247.0</v>
      </c>
      <c r="R2548" s="17">
        <f t="shared" si="2"/>
        <v>1.433627393</v>
      </c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>
        <f t="shared" si="8"/>
        <v>2</v>
      </c>
      <c r="AF2548" s="19">
        <f t="shared" si="13"/>
        <v>2</v>
      </c>
      <c r="AG2548" s="9"/>
      <c r="AH2548" s="9"/>
      <c r="AI2548" s="9"/>
    </row>
    <row r="2549" ht="15.0" customHeight="1">
      <c r="A2549" s="11">
        <v>2548.0</v>
      </c>
      <c r="B2549" s="12">
        <f t="shared" si="408"/>
        <v>40245</v>
      </c>
      <c r="C2549" s="13">
        <v>2010.0</v>
      </c>
      <c r="D2549" s="11" t="s">
        <v>102</v>
      </c>
      <c r="E2549" s="11">
        <v>37.0</v>
      </c>
      <c r="F2549" s="21" t="s">
        <v>137</v>
      </c>
      <c r="G2549" s="15">
        <v>0.06637094890023691</v>
      </c>
      <c r="H2549" s="11" t="s">
        <v>33</v>
      </c>
      <c r="I2549" s="16">
        <v>11.192</v>
      </c>
      <c r="J2549" s="11" t="s">
        <v>1484</v>
      </c>
      <c r="K2549" s="11" t="s">
        <v>83</v>
      </c>
      <c r="L2549" s="11" t="s">
        <v>48</v>
      </c>
      <c r="M2549" s="11" t="s">
        <v>66</v>
      </c>
      <c r="N2549" s="11" t="s">
        <v>69</v>
      </c>
      <c r="O2549" s="11" t="s">
        <v>468</v>
      </c>
      <c r="P2549" s="11" t="s">
        <v>75</v>
      </c>
      <c r="Q2549" s="20">
        <v>40247.0</v>
      </c>
      <c r="R2549" s="17">
        <f t="shared" si="2"/>
        <v>371.3117427</v>
      </c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>
        <f t="shared" si="8"/>
        <v>4</v>
      </c>
      <c r="AF2549" s="19" t="b">
        <f t="shared" si="13"/>
        <v>0</v>
      </c>
      <c r="AG2549" s="9"/>
      <c r="AH2549" s="9"/>
      <c r="AI2549" s="9"/>
    </row>
    <row r="2550" ht="15.0" customHeight="1">
      <c r="A2550" s="11">
        <v>2549.0</v>
      </c>
      <c r="B2550" s="12">
        <f t="shared" si="408"/>
        <v>40245</v>
      </c>
      <c r="C2550" s="13">
        <v>2010.0</v>
      </c>
      <c r="D2550" s="11" t="s">
        <v>102</v>
      </c>
      <c r="E2550" s="11">
        <v>20.0</v>
      </c>
      <c r="F2550" s="21" t="s">
        <v>122</v>
      </c>
      <c r="G2550" s="15">
        <v>0.08080654821321621</v>
      </c>
      <c r="H2550" s="11" t="s">
        <v>45</v>
      </c>
      <c r="I2550" s="16">
        <v>42.42400000000001</v>
      </c>
      <c r="J2550" s="11" t="s">
        <v>1484</v>
      </c>
      <c r="K2550" s="11" t="s">
        <v>83</v>
      </c>
      <c r="L2550" s="11" t="s">
        <v>48</v>
      </c>
      <c r="M2550" s="11" t="s">
        <v>28</v>
      </c>
      <c r="N2550" s="11" t="s">
        <v>29</v>
      </c>
      <c r="O2550" s="11" t="s">
        <v>725</v>
      </c>
      <c r="P2550" s="11" t="s">
        <v>52</v>
      </c>
      <c r="Q2550" s="20">
        <v>40247.0</v>
      </c>
      <c r="R2550" s="17">
        <f t="shared" si="2"/>
        <v>37.20527415</v>
      </c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>
        <f t="shared" si="8"/>
        <v>4</v>
      </c>
      <c r="AF2550" s="19" t="b">
        <f t="shared" si="13"/>
        <v>0</v>
      </c>
      <c r="AG2550" s="9"/>
      <c r="AH2550" s="9"/>
      <c r="AI2550" s="9"/>
    </row>
    <row r="2551" ht="15.0" customHeight="1">
      <c r="A2551" s="11">
        <v>2550.0</v>
      </c>
      <c r="B2551" s="12">
        <f t="shared" si="408"/>
        <v>40245</v>
      </c>
      <c r="C2551" s="13">
        <v>2010.0</v>
      </c>
      <c r="D2551" s="11" t="s">
        <v>102</v>
      </c>
      <c r="E2551" s="11">
        <v>35.0</v>
      </c>
      <c r="F2551" s="21" t="s">
        <v>869</v>
      </c>
      <c r="G2551" s="15">
        <v>0.09191895401153484</v>
      </c>
      <c r="H2551" s="11" t="s">
        <v>24</v>
      </c>
      <c r="I2551" s="16">
        <v>0.792</v>
      </c>
      <c r="J2551" s="11" t="s">
        <v>1484</v>
      </c>
      <c r="K2551" s="11" t="s">
        <v>83</v>
      </c>
      <c r="L2551" s="11" t="s">
        <v>48</v>
      </c>
      <c r="M2551" s="11" t="s">
        <v>66</v>
      </c>
      <c r="N2551" s="11" t="s">
        <v>80</v>
      </c>
      <c r="O2551" s="11" t="s">
        <v>870</v>
      </c>
      <c r="P2551" s="11" t="s">
        <v>58</v>
      </c>
      <c r="Q2551" s="20">
        <v>40247.0</v>
      </c>
      <c r="R2551" s="17">
        <f t="shared" si="2"/>
        <v>276.427135</v>
      </c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>
        <f t="shared" si="8"/>
        <v>4</v>
      </c>
      <c r="AF2551" s="19" t="b">
        <f t="shared" si="13"/>
        <v>0</v>
      </c>
      <c r="AG2551" s="9"/>
      <c r="AH2551" s="9"/>
      <c r="AI2551" s="9"/>
    </row>
    <row r="2552" ht="15.0" customHeight="1">
      <c r="A2552" s="11">
        <v>2551.0</v>
      </c>
      <c r="B2552" s="12">
        <f t="shared" si="408"/>
        <v>40245</v>
      </c>
      <c r="C2552" s="13">
        <v>2010.0</v>
      </c>
      <c r="D2552" s="11" t="s">
        <v>39</v>
      </c>
      <c r="E2552" s="11">
        <v>22.0</v>
      </c>
      <c r="F2552" s="21" t="s">
        <v>238</v>
      </c>
      <c r="G2552" s="15">
        <v>0.049629629629629635</v>
      </c>
      <c r="H2552" s="11" t="s">
        <v>33</v>
      </c>
      <c r="I2552" s="16">
        <v>2.904</v>
      </c>
      <c r="J2552" s="11" t="s">
        <v>2236</v>
      </c>
      <c r="K2552" s="11" t="s">
        <v>35</v>
      </c>
      <c r="L2552" s="11" t="s">
        <v>27</v>
      </c>
      <c r="M2552" s="11" t="s">
        <v>49</v>
      </c>
      <c r="N2552" s="11" t="s">
        <v>73</v>
      </c>
      <c r="O2552" s="11" t="s">
        <v>539</v>
      </c>
      <c r="P2552" s="11" t="s">
        <v>58</v>
      </c>
      <c r="Q2552" s="20">
        <v>40247.0</v>
      </c>
      <c r="R2552" s="17">
        <f t="shared" si="2"/>
        <v>5.603383704</v>
      </c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>
        <f t="shared" si="8"/>
        <v>1</v>
      </c>
      <c r="AF2552" s="19">
        <f t="shared" si="13"/>
        <v>2</v>
      </c>
      <c r="AG2552" s="9"/>
      <c r="AH2552" s="9"/>
      <c r="AI2552" s="9"/>
    </row>
    <row r="2553" ht="15.0" customHeight="1">
      <c r="A2553" s="11">
        <v>2552.0</v>
      </c>
      <c r="B2553" s="12">
        <f t="shared" si="408"/>
        <v>40245</v>
      </c>
      <c r="C2553" s="13">
        <v>2010.0</v>
      </c>
      <c r="D2553" s="11" t="s">
        <v>39</v>
      </c>
      <c r="E2553" s="11">
        <v>40.0</v>
      </c>
      <c r="F2553" s="21" t="s">
        <v>290</v>
      </c>
      <c r="G2553" s="15">
        <v>0.025430016863406412</v>
      </c>
      <c r="H2553" s="11" t="s">
        <v>33</v>
      </c>
      <c r="I2553" s="16">
        <v>5.376</v>
      </c>
      <c r="J2553" s="11" t="s">
        <v>2236</v>
      </c>
      <c r="K2553" s="11" t="s">
        <v>35</v>
      </c>
      <c r="L2553" s="11" t="s">
        <v>27</v>
      </c>
      <c r="M2553" s="11" t="s">
        <v>28</v>
      </c>
      <c r="N2553" s="11" t="s">
        <v>56</v>
      </c>
      <c r="O2553" s="11" t="s">
        <v>2233</v>
      </c>
      <c r="P2553" s="11" t="s">
        <v>38</v>
      </c>
      <c r="Q2553" s="20">
        <v>40247.0</v>
      </c>
      <c r="R2553" s="17">
        <f t="shared" si="2"/>
        <v>4.408954604</v>
      </c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>
        <f t="shared" si="8"/>
        <v>1</v>
      </c>
      <c r="AF2553" s="19">
        <f t="shared" si="13"/>
        <v>2</v>
      </c>
      <c r="AG2553" s="9"/>
      <c r="AH2553" s="9"/>
      <c r="AI2553" s="9"/>
    </row>
    <row r="2554" ht="15.0" customHeight="1">
      <c r="A2554" s="11">
        <v>2553.0</v>
      </c>
      <c r="B2554" s="12">
        <f t="shared" ref="B2554:B2565" si="409">DATE(2012,12,31)-1028</f>
        <v>40246</v>
      </c>
      <c r="C2554" s="13">
        <v>2010.0</v>
      </c>
      <c r="D2554" s="11" t="s">
        <v>23</v>
      </c>
      <c r="E2554" s="11">
        <v>23.0</v>
      </c>
      <c r="F2554" s="21" t="s">
        <v>573</v>
      </c>
      <c r="G2554" s="15">
        <v>0.055558204211362656</v>
      </c>
      <c r="H2554" s="11" t="s">
        <v>33</v>
      </c>
      <c r="I2554" s="16">
        <v>10.016</v>
      </c>
      <c r="J2554" s="11" t="s">
        <v>982</v>
      </c>
      <c r="K2554" s="11" t="s">
        <v>61</v>
      </c>
      <c r="L2554" s="11" t="s">
        <v>48</v>
      </c>
      <c r="M2554" s="11" t="s">
        <v>49</v>
      </c>
      <c r="N2554" s="11" t="s">
        <v>73</v>
      </c>
      <c r="O2554" s="11" t="s">
        <v>575</v>
      </c>
      <c r="P2554" s="11" t="s">
        <v>38</v>
      </c>
      <c r="Q2554" s="20">
        <v>40247.0</v>
      </c>
      <c r="R2554" s="17">
        <f t="shared" si="2"/>
        <v>13.20707407</v>
      </c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>
        <f t="shared" si="8"/>
        <v>4</v>
      </c>
      <c r="AF2554" s="19">
        <f t="shared" si="13"/>
        <v>4</v>
      </c>
      <c r="AG2554" s="9"/>
      <c r="AH2554" s="9"/>
      <c r="AI2554" s="9"/>
    </row>
    <row r="2555" ht="15.0" customHeight="1">
      <c r="A2555" s="11">
        <v>2554.0</v>
      </c>
      <c r="B2555" s="12">
        <f t="shared" si="409"/>
        <v>40246</v>
      </c>
      <c r="C2555" s="13">
        <v>2010.0</v>
      </c>
      <c r="D2555" s="11" t="s">
        <v>23</v>
      </c>
      <c r="E2555" s="11">
        <v>14.0</v>
      </c>
      <c r="F2555" s="21" t="s">
        <v>1156</v>
      </c>
      <c r="G2555" s="15">
        <v>0.020971967630884745</v>
      </c>
      <c r="H2555" s="11" t="s">
        <v>33</v>
      </c>
      <c r="I2555" s="16">
        <v>7.192</v>
      </c>
      <c r="J2555" s="11" t="s">
        <v>982</v>
      </c>
      <c r="K2555" s="11" t="s">
        <v>61</v>
      </c>
      <c r="L2555" s="11" t="s">
        <v>48</v>
      </c>
      <c r="M2555" s="11" t="s">
        <v>66</v>
      </c>
      <c r="N2555" s="11" t="s">
        <v>80</v>
      </c>
      <c r="O2555" s="11" t="s">
        <v>2237</v>
      </c>
      <c r="P2555" s="11" t="s">
        <v>38</v>
      </c>
      <c r="Q2555" s="20">
        <v>40247.0</v>
      </c>
      <c r="R2555" s="17">
        <f t="shared" si="2"/>
        <v>45.92424694</v>
      </c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>
        <f t="shared" si="8"/>
        <v>4</v>
      </c>
      <c r="AF2555" s="19">
        <f t="shared" si="13"/>
        <v>4</v>
      </c>
      <c r="AG2555" s="9"/>
      <c r="AH2555" s="9"/>
      <c r="AI2555" s="9"/>
    </row>
    <row r="2556" ht="15.0" customHeight="1">
      <c r="A2556" s="11">
        <v>2555.0</v>
      </c>
      <c r="B2556" s="12">
        <f t="shared" si="409"/>
        <v>40246</v>
      </c>
      <c r="C2556" s="13">
        <v>2010.0</v>
      </c>
      <c r="D2556" s="11" t="s">
        <v>44</v>
      </c>
      <c r="E2556" s="11">
        <v>42.0</v>
      </c>
      <c r="F2556" s="21" t="s">
        <v>2230</v>
      </c>
      <c r="G2556" s="15">
        <v>0.08391295735589574</v>
      </c>
      <c r="H2556" s="11" t="s">
        <v>33</v>
      </c>
      <c r="I2556" s="16">
        <v>15.96</v>
      </c>
      <c r="J2556" s="11" t="s">
        <v>1288</v>
      </c>
      <c r="K2556" s="11" t="s">
        <v>83</v>
      </c>
      <c r="L2556" s="11" t="s">
        <v>48</v>
      </c>
      <c r="M2556" s="11" t="s">
        <v>28</v>
      </c>
      <c r="N2556" s="11" t="s">
        <v>197</v>
      </c>
      <c r="O2556" s="11" t="s">
        <v>2231</v>
      </c>
      <c r="P2556" s="11" t="s">
        <v>31</v>
      </c>
      <c r="Q2556" s="20">
        <v>40247.0</v>
      </c>
      <c r="R2556" s="17">
        <f t="shared" si="2"/>
        <v>271.6564516</v>
      </c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>
        <f t="shared" si="8"/>
        <v>4</v>
      </c>
      <c r="AF2556" s="19" t="b">
        <f t="shared" si="13"/>
        <v>0</v>
      </c>
      <c r="AG2556" s="9"/>
      <c r="AH2556" s="9"/>
      <c r="AI2556" s="9"/>
    </row>
    <row r="2557" ht="15.0" customHeight="1">
      <c r="A2557" s="11">
        <v>2556.0</v>
      </c>
      <c r="B2557" s="12">
        <f t="shared" si="409"/>
        <v>40246</v>
      </c>
      <c r="C2557" s="13">
        <v>2010.0</v>
      </c>
      <c r="D2557" s="11" t="s">
        <v>39</v>
      </c>
      <c r="E2557" s="11">
        <v>3.0</v>
      </c>
      <c r="F2557" s="21" t="s">
        <v>158</v>
      </c>
      <c r="G2557" s="15">
        <v>0.12030188679245266</v>
      </c>
      <c r="H2557" s="11" t="s">
        <v>33</v>
      </c>
      <c r="I2557" s="16">
        <v>4.112</v>
      </c>
      <c r="J2557" s="11" t="s">
        <v>2217</v>
      </c>
      <c r="K2557" s="11" t="s">
        <v>83</v>
      </c>
      <c r="L2557" s="11" t="s">
        <v>36</v>
      </c>
      <c r="M2557" s="11" t="s">
        <v>28</v>
      </c>
      <c r="N2557" s="11" t="s">
        <v>56</v>
      </c>
      <c r="O2557" s="11" t="s">
        <v>1424</v>
      </c>
      <c r="P2557" s="11" t="s">
        <v>38</v>
      </c>
      <c r="Q2557" s="20">
        <v>40247.0</v>
      </c>
      <c r="R2557" s="17">
        <f t="shared" si="2"/>
        <v>2.804477585</v>
      </c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>
        <f t="shared" si="8"/>
        <v>2</v>
      </c>
      <c r="AF2557" s="19" t="b">
        <f t="shared" si="13"/>
        <v>0</v>
      </c>
      <c r="AG2557" s="9"/>
      <c r="AH2557" s="9"/>
      <c r="AI2557" s="9"/>
    </row>
    <row r="2558" ht="15.0" customHeight="1">
      <c r="A2558" s="11">
        <v>2557.0</v>
      </c>
      <c r="B2558" s="12">
        <f t="shared" si="409"/>
        <v>40246</v>
      </c>
      <c r="C2558" s="13">
        <v>2010.0</v>
      </c>
      <c r="D2558" s="11" t="s">
        <v>39</v>
      </c>
      <c r="E2558" s="11">
        <v>16.0</v>
      </c>
      <c r="F2558" s="21" t="s">
        <v>218</v>
      </c>
      <c r="G2558" s="15">
        <v>0.04655830388692575</v>
      </c>
      <c r="H2558" s="11" t="s">
        <v>24</v>
      </c>
      <c r="I2558" s="16">
        <v>2.112</v>
      </c>
      <c r="J2558" s="11" t="s">
        <v>2217</v>
      </c>
      <c r="K2558" s="11" t="s">
        <v>83</v>
      </c>
      <c r="L2558" s="11" t="s">
        <v>36</v>
      </c>
      <c r="M2558" s="11" t="s">
        <v>28</v>
      </c>
      <c r="N2558" s="11" t="s">
        <v>442</v>
      </c>
      <c r="O2558" s="11" t="s">
        <v>512</v>
      </c>
      <c r="P2558" s="11" t="s">
        <v>99</v>
      </c>
      <c r="Q2558" s="20">
        <v>40247.0</v>
      </c>
      <c r="R2558" s="17">
        <f t="shared" si="2"/>
        <v>6.281273894</v>
      </c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>
        <f t="shared" si="8"/>
        <v>2</v>
      </c>
      <c r="AF2558" s="19" t="b">
        <f t="shared" si="13"/>
        <v>0</v>
      </c>
      <c r="AG2558" s="9"/>
      <c r="AH2558" s="9"/>
      <c r="AI2558" s="9"/>
    </row>
    <row r="2559" ht="15.0" customHeight="1">
      <c r="A2559" s="11">
        <v>2558.0</v>
      </c>
      <c r="B2559" s="12">
        <f t="shared" si="409"/>
        <v>40246</v>
      </c>
      <c r="C2559" s="13">
        <v>2010.0</v>
      </c>
      <c r="D2559" s="11" t="s">
        <v>39</v>
      </c>
      <c r="E2559" s="11">
        <v>18.0</v>
      </c>
      <c r="F2559" s="21" t="s">
        <v>1399</v>
      </c>
      <c r="G2559" s="15">
        <v>0.016355526185362592</v>
      </c>
      <c r="H2559" s="11" t="s">
        <v>33</v>
      </c>
      <c r="I2559" s="16">
        <v>28.0</v>
      </c>
      <c r="J2559" s="11" t="s">
        <v>2217</v>
      </c>
      <c r="K2559" s="11" t="s">
        <v>83</v>
      </c>
      <c r="L2559" s="11" t="s">
        <v>36</v>
      </c>
      <c r="M2559" s="11" t="s">
        <v>28</v>
      </c>
      <c r="N2559" s="11" t="s">
        <v>29</v>
      </c>
      <c r="O2559" s="11" t="s">
        <v>1400</v>
      </c>
      <c r="P2559" s="11" t="s">
        <v>31</v>
      </c>
      <c r="Q2559" s="20">
        <v>40248.0</v>
      </c>
      <c r="R2559" s="17">
        <f t="shared" si="2"/>
        <v>19.47616058</v>
      </c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>
        <f t="shared" si="8"/>
        <v>2</v>
      </c>
      <c r="AF2559" s="19" t="b">
        <f t="shared" si="13"/>
        <v>0</v>
      </c>
      <c r="AG2559" s="9"/>
      <c r="AH2559" s="9"/>
      <c r="AI2559" s="9"/>
    </row>
    <row r="2560" ht="15.0" customHeight="1">
      <c r="A2560" s="11">
        <v>2559.0</v>
      </c>
      <c r="B2560" s="12">
        <f t="shared" si="409"/>
        <v>40246</v>
      </c>
      <c r="C2560" s="13">
        <v>2010.0</v>
      </c>
      <c r="D2560" s="11" t="s">
        <v>32</v>
      </c>
      <c r="E2560" s="11">
        <v>11.0</v>
      </c>
      <c r="F2560" s="21" t="s">
        <v>552</v>
      </c>
      <c r="G2560" s="15">
        <v>0.09713114754098351</v>
      </c>
      <c r="H2560" s="11" t="s">
        <v>33</v>
      </c>
      <c r="I2560" s="16">
        <v>8.92</v>
      </c>
      <c r="J2560" s="11" t="s">
        <v>2238</v>
      </c>
      <c r="K2560" s="11" t="s">
        <v>65</v>
      </c>
      <c r="L2560" s="11" t="s">
        <v>41</v>
      </c>
      <c r="M2560" s="11" t="s">
        <v>28</v>
      </c>
      <c r="N2560" s="11" t="s">
        <v>56</v>
      </c>
      <c r="O2560" s="11" t="s">
        <v>553</v>
      </c>
      <c r="P2560" s="11" t="s">
        <v>38</v>
      </c>
      <c r="Q2560" s="20">
        <v>40248.0</v>
      </c>
      <c r="R2560" s="17">
        <f t="shared" si="2"/>
        <v>8.559196721</v>
      </c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>
        <f t="shared" si="8"/>
        <v>3</v>
      </c>
      <c r="AF2560" s="19">
        <f t="shared" si="13"/>
        <v>5</v>
      </c>
      <c r="AG2560" s="9"/>
      <c r="AH2560" s="9"/>
      <c r="AI2560" s="9"/>
    </row>
    <row r="2561" ht="15.0" customHeight="1">
      <c r="A2561" s="11">
        <v>2560.0</v>
      </c>
      <c r="B2561" s="12">
        <f t="shared" si="409"/>
        <v>40246</v>
      </c>
      <c r="C2561" s="13">
        <v>2010.0</v>
      </c>
      <c r="D2561" s="11" t="s">
        <v>102</v>
      </c>
      <c r="E2561" s="11">
        <v>38.0</v>
      </c>
      <c r="F2561" s="21" t="s">
        <v>126</v>
      </c>
      <c r="G2561" s="15">
        <v>0.08673003802281364</v>
      </c>
      <c r="H2561" s="11" t="s">
        <v>33</v>
      </c>
      <c r="I2561" s="16">
        <v>5.952000000000001</v>
      </c>
      <c r="J2561" s="11" t="s">
        <v>1939</v>
      </c>
      <c r="K2561" s="11" t="s">
        <v>83</v>
      </c>
      <c r="L2561" s="11" t="s">
        <v>27</v>
      </c>
      <c r="M2561" s="11" t="s">
        <v>28</v>
      </c>
      <c r="N2561" s="11" t="s">
        <v>56</v>
      </c>
      <c r="O2561" s="11" t="s">
        <v>1230</v>
      </c>
      <c r="P2561" s="11" t="s">
        <v>38</v>
      </c>
      <c r="Q2561" s="20">
        <v>40248.0</v>
      </c>
      <c r="R2561" s="17">
        <f t="shared" si="2"/>
        <v>16.66535027</v>
      </c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>
        <f t="shared" si="8"/>
        <v>1</v>
      </c>
      <c r="AF2561" s="19" t="b">
        <f t="shared" si="13"/>
        <v>0</v>
      </c>
      <c r="AG2561" s="9"/>
      <c r="AH2561" s="9"/>
      <c r="AI2561" s="9"/>
    </row>
    <row r="2562" ht="15.0" customHeight="1">
      <c r="A2562" s="11">
        <v>2561.0</v>
      </c>
      <c r="B2562" s="12">
        <f t="shared" si="409"/>
        <v>40246</v>
      </c>
      <c r="C2562" s="13">
        <v>2010.0</v>
      </c>
      <c r="D2562" s="11" t="s">
        <v>102</v>
      </c>
      <c r="E2562" s="11">
        <v>22.0</v>
      </c>
      <c r="F2562" s="21" t="s">
        <v>2138</v>
      </c>
      <c r="G2562" s="15">
        <v>0.07183075671277475</v>
      </c>
      <c r="H2562" s="11" t="s">
        <v>33</v>
      </c>
      <c r="I2562" s="16">
        <v>3.7439999999999998</v>
      </c>
      <c r="J2562" s="11" t="s">
        <v>1939</v>
      </c>
      <c r="K2562" s="11" t="s">
        <v>83</v>
      </c>
      <c r="L2562" s="11" t="s">
        <v>27</v>
      </c>
      <c r="M2562" s="11" t="s">
        <v>28</v>
      </c>
      <c r="N2562" s="11" t="s">
        <v>442</v>
      </c>
      <c r="O2562" s="11" t="s">
        <v>2139</v>
      </c>
      <c r="P2562" s="11" t="s">
        <v>99</v>
      </c>
      <c r="Q2562" s="20">
        <v>40248.0</v>
      </c>
      <c r="R2562" s="17">
        <f t="shared" si="2"/>
        <v>16.38775616</v>
      </c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>
        <f t="shared" si="8"/>
        <v>1</v>
      </c>
      <c r="AF2562" s="19" t="b">
        <f t="shared" si="13"/>
        <v>0</v>
      </c>
      <c r="AG2562" s="9"/>
      <c r="AH2562" s="9"/>
      <c r="AI2562" s="9"/>
    </row>
    <row r="2563" ht="15.0" customHeight="1">
      <c r="A2563" s="11">
        <v>2562.0</v>
      </c>
      <c r="B2563" s="12">
        <f t="shared" si="409"/>
        <v>40246</v>
      </c>
      <c r="C2563" s="13">
        <v>2010.0</v>
      </c>
      <c r="D2563" s="11" t="s">
        <v>102</v>
      </c>
      <c r="E2563" s="11">
        <v>48.0</v>
      </c>
      <c r="F2563" s="21" t="s">
        <v>122</v>
      </c>
      <c r="G2563" s="15">
        <v>0.0781452575521072</v>
      </c>
      <c r="H2563" s="11" t="s">
        <v>33</v>
      </c>
      <c r="I2563" s="16">
        <v>0.792</v>
      </c>
      <c r="J2563" s="11" t="s">
        <v>1939</v>
      </c>
      <c r="K2563" s="11" t="s">
        <v>83</v>
      </c>
      <c r="L2563" s="11" t="s">
        <v>27</v>
      </c>
      <c r="M2563" s="11" t="s">
        <v>66</v>
      </c>
      <c r="N2563" s="11" t="s">
        <v>80</v>
      </c>
      <c r="O2563" s="11" t="s">
        <v>1854</v>
      </c>
      <c r="P2563" s="11" t="s">
        <v>58</v>
      </c>
      <c r="Q2563" s="20">
        <v>40248.0</v>
      </c>
      <c r="R2563" s="17">
        <f t="shared" si="2"/>
        <v>78.45721342</v>
      </c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>
        <f t="shared" si="8"/>
        <v>1</v>
      </c>
      <c r="AF2563" s="19" t="b">
        <f t="shared" si="13"/>
        <v>0</v>
      </c>
      <c r="AG2563" s="9"/>
      <c r="AH2563" s="9"/>
      <c r="AI2563" s="9"/>
    </row>
    <row r="2564" ht="15.0" customHeight="1">
      <c r="A2564" s="11">
        <v>2563.0</v>
      </c>
      <c r="B2564" s="12">
        <f t="shared" si="409"/>
        <v>40246</v>
      </c>
      <c r="C2564" s="13">
        <v>2010.0</v>
      </c>
      <c r="D2564" s="11" t="s">
        <v>102</v>
      </c>
      <c r="E2564" s="11">
        <v>28.0</v>
      </c>
      <c r="F2564" s="21" t="s">
        <v>103</v>
      </c>
      <c r="G2564" s="15">
        <v>0.11018711018711012</v>
      </c>
      <c r="H2564" s="11" t="s">
        <v>33</v>
      </c>
      <c r="I2564" s="16">
        <v>6.0</v>
      </c>
      <c r="J2564" s="11" t="s">
        <v>1069</v>
      </c>
      <c r="K2564" s="11" t="s">
        <v>83</v>
      </c>
      <c r="L2564" s="11" t="s">
        <v>41</v>
      </c>
      <c r="M2564" s="11" t="s">
        <v>28</v>
      </c>
      <c r="N2564" s="11" t="s">
        <v>56</v>
      </c>
      <c r="O2564" s="11" t="s">
        <v>1701</v>
      </c>
      <c r="P2564" s="11" t="s">
        <v>38</v>
      </c>
      <c r="Q2564" s="20">
        <v>40249.0</v>
      </c>
      <c r="R2564" s="17">
        <f t="shared" si="2"/>
        <v>18.86403326</v>
      </c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>
        <f t="shared" si="8"/>
        <v>3</v>
      </c>
      <c r="AF2564" s="19" t="b">
        <f t="shared" si="13"/>
        <v>0</v>
      </c>
      <c r="AG2564" s="9"/>
      <c r="AH2564" s="9"/>
      <c r="AI2564" s="9"/>
    </row>
    <row r="2565" ht="15.0" customHeight="1">
      <c r="A2565" s="11">
        <v>2564.0</v>
      </c>
      <c r="B2565" s="12">
        <f t="shared" si="409"/>
        <v>40246</v>
      </c>
      <c r="C2565" s="13">
        <v>2010.0</v>
      </c>
      <c r="D2565" s="11" t="s">
        <v>102</v>
      </c>
      <c r="E2565" s="11">
        <v>25.0</v>
      </c>
      <c r="F2565" s="21" t="s">
        <v>676</v>
      </c>
      <c r="G2565" s="15">
        <v>0.07984334203655352</v>
      </c>
      <c r="H2565" s="11" t="s">
        <v>33</v>
      </c>
      <c r="I2565" s="16">
        <v>0.968</v>
      </c>
      <c r="J2565" s="11" t="s">
        <v>1069</v>
      </c>
      <c r="K2565" s="11" t="s">
        <v>83</v>
      </c>
      <c r="L2565" s="11" t="s">
        <v>41</v>
      </c>
      <c r="M2565" s="11" t="s">
        <v>28</v>
      </c>
      <c r="N2565" s="11" t="s">
        <v>56</v>
      </c>
      <c r="O2565" s="11" t="s">
        <v>2239</v>
      </c>
      <c r="P2565" s="11" t="s">
        <v>58</v>
      </c>
      <c r="Q2565" s="20">
        <v>40249.0</v>
      </c>
      <c r="R2565" s="17">
        <f t="shared" si="2"/>
        <v>11.25535624</v>
      </c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>
        <f t="shared" si="8"/>
        <v>3</v>
      </c>
      <c r="AF2565" s="19" t="b">
        <f t="shared" si="13"/>
        <v>0</v>
      </c>
      <c r="AG2565" s="9"/>
      <c r="AH2565" s="9"/>
      <c r="AI2565" s="9"/>
    </row>
    <row r="2566" ht="15.0" customHeight="1">
      <c r="A2566" s="11">
        <v>2565.0</v>
      </c>
      <c r="B2566" s="12">
        <f t="shared" ref="B2566:B2567" si="410">DATE(2012,12,31)-1027</f>
        <v>40247</v>
      </c>
      <c r="C2566" s="13">
        <v>2010.0</v>
      </c>
      <c r="D2566" s="11" t="s">
        <v>23</v>
      </c>
      <c r="E2566" s="11">
        <v>49.0</v>
      </c>
      <c r="F2566" s="21" t="s">
        <v>336</v>
      </c>
      <c r="G2566" s="15">
        <v>0.015348677430436336</v>
      </c>
      <c r="H2566" s="11" t="s">
        <v>33</v>
      </c>
      <c r="I2566" s="16">
        <v>2.4320000000000004</v>
      </c>
      <c r="J2566" s="11" t="s">
        <v>1101</v>
      </c>
      <c r="K2566" s="11" t="s">
        <v>65</v>
      </c>
      <c r="L2566" s="11" t="s">
        <v>48</v>
      </c>
      <c r="M2566" s="11" t="s">
        <v>28</v>
      </c>
      <c r="N2566" s="11" t="s">
        <v>56</v>
      </c>
      <c r="O2566" s="11" t="s">
        <v>2223</v>
      </c>
      <c r="P2566" s="11" t="s">
        <v>58</v>
      </c>
      <c r="Q2566" s="20">
        <v>40249.0</v>
      </c>
      <c r="R2566" s="17">
        <f t="shared" si="2"/>
        <v>4.399422109</v>
      </c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>
        <f t="shared" si="8"/>
        <v>4</v>
      </c>
      <c r="AF2566" s="19">
        <f t="shared" si="13"/>
        <v>5</v>
      </c>
      <c r="AG2566" s="9"/>
      <c r="AH2566" s="9"/>
      <c r="AI2566" s="9"/>
    </row>
    <row r="2567" ht="15.0" customHeight="1">
      <c r="A2567" s="11">
        <v>2566.0</v>
      </c>
      <c r="B2567" s="12">
        <f t="shared" si="410"/>
        <v>40247</v>
      </c>
      <c r="C2567" s="13">
        <v>2010.0</v>
      </c>
      <c r="D2567" s="11" t="s">
        <v>102</v>
      </c>
      <c r="E2567" s="11">
        <v>19.0</v>
      </c>
      <c r="F2567" s="21" t="s">
        <v>1300</v>
      </c>
      <c r="G2567" s="15">
        <v>0.02753786872176454</v>
      </c>
      <c r="H2567" s="11" t="s">
        <v>33</v>
      </c>
      <c r="I2567" s="16">
        <v>8.440000000000001</v>
      </c>
      <c r="J2567" s="11" t="s">
        <v>120</v>
      </c>
      <c r="K2567" s="11" t="s">
        <v>35</v>
      </c>
      <c r="L2567" s="11" t="s">
        <v>48</v>
      </c>
      <c r="M2567" s="11" t="s">
        <v>49</v>
      </c>
      <c r="N2567" s="11" t="s">
        <v>50</v>
      </c>
      <c r="O2567" s="11" t="s">
        <v>92</v>
      </c>
      <c r="P2567" s="11" t="s">
        <v>52</v>
      </c>
      <c r="Q2567" s="20">
        <v>40250.0</v>
      </c>
      <c r="R2567" s="17">
        <f t="shared" si="2"/>
        <v>20.63798033</v>
      </c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>
        <f t="shared" si="8"/>
        <v>4</v>
      </c>
      <c r="AF2567" s="19">
        <f t="shared" si="13"/>
        <v>2</v>
      </c>
      <c r="AG2567" s="9"/>
      <c r="AH2567" s="9"/>
      <c r="AI2567" s="9"/>
    </row>
    <row r="2568" ht="15.0" customHeight="1">
      <c r="A2568" s="11">
        <v>2567.0</v>
      </c>
      <c r="B2568" s="12">
        <f>DATE(2012,12,31)-1026</f>
        <v>40248</v>
      </c>
      <c r="C2568" s="13">
        <v>2010.0</v>
      </c>
      <c r="D2568" s="11" t="s">
        <v>32</v>
      </c>
      <c r="E2568" s="11">
        <v>36.0</v>
      </c>
      <c r="F2568" s="21" t="s">
        <v>933</v>
      </c>
      <c r="G2568" s="15">
        <v>0.08423875983088602</v>
      </c>
      <c r="H2568" s="11" t="s">
        <v>33</v>
      </c>
      <c r="I2568" s="16">
        <v>2.0</v>
      </c>
      <c r="J2568" s="11" t="s">
        <v>867</v>
      </c>
      <c r="K2568" s="11" t="s">
        <v>65</v>
      </c>
      <c r="L2568" s="11" t="s">
        <v>36</v>
      </c>
      <c r="M2568" s="11" t="s">
        <v>66</v>
      </c>
      <c r="N2568" s="11" t="s">
        <v>80</v>
      </c>
      <c r="O2568" s="11" t="s">
        <v>1708</v>
      </c>
      <c r="P2568" s="11" t="s">
        <v>99</v>
      </c>
      <c r="Q2568" s="20">
        <v>40250.0</v>
      </c>
      <c r="R2568" s="17">
        <f t="shared" si="2"/>
        <v>169.6905578</v>
      </c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>
        <f t="shared" si="8"/>
        <v>2</v>
      </c>
      <c r="AF2568" s="19">
        <f t="shared" si="13"/>
        <v>5</v>
      </c>
      <c r="AG2568" s="9"/>
      <c r="AH2568" s="9"/>
      <c r="AI2568" s="9"/>
    </row>
    <row r="2569" ht="15.0" customHeight="1">
      <c r="A2569" s="11">
        <v>2568.0</v>
      </c>
      <c r="B2569" s="12">
        <f t="shared" ref="B2569:B2575" si="411">DATE(2012,12,31)-1025</f>
        <v>40249</v>
      </c>
      <c r="C2569" s="13">
        <v>2010.0</v>
      </c>
      <c r="D2569" s="11" t="s">
        <v>23</v>
      </c>
      <c r="E2569" s="11">
        <v>13.0</v>
      </c>
      <c r="F2569" s="21" t="s">
        <v>758</v>
      </c>
      <c r="G2569" s="15">
        <v>0.11444652908067532</v>
      </c>
      <c r="H2569" s="11" t="s">
        <v>24</v>
      </c>
      <c r="I2569" s="16">
        <v>0.4</v>
      </c>
      <c r="J2569" s="11" t="s">
        <v>353</v>
      </c>
      <c r="K2569" s="11" t="s">
        <v>714</v>
      </c>
      <c r="L2569" s="11" t="s">
        <v>41</v>
      </c>
      <c r="M2569" s="11" t="s">
        <v>28</v>
      </c>
      <c r="N2569" s="11" t="s">
        <v>188</v>
      </c>
      <c r="O2569" s="11" t="s">
        <v>2240</v>
      </c>
      <c r="P2569" s="11" t="s">
        <v>38</v>
      </c>
      <c r="Q2569" s="20">
        <v>40250.0</v>
      </c>
      <c r="R2569" s="17">
        <f t="shared" si="2"/>
        <v>5.401876173</v>
      </c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>
        <f t="shared" si="8"/>
        <v>3</v>
      </c>
      <c r="AF2569" s="19" t="b">
        <f t="shared" si="13"/>
        <v>0</v>
      </c>
      <c r="AG2569" s="9"/>
      <c r="AH2569" s="9"/>
      <c r="AI2569" s="9"/>
    </row>
    <row r="2570" ht="15.0" customHeight="1">
      <c r="A2570" s="11">
        <v>2569.0</v>
      </c>
      <c r="B2570" s="12">
        <f t="shared" si="411"/>
        <v>40249</v>
      </c>
      <c r="C2570" s="13">
        <v>2010.0</v>
      </c>
      <c r="D2570" s="11" t="s">
        <v>23</v>
      </c>
      <c r="E2570" s="11">
        <v>21.0</v>
      </c>
      <c r="F2570" s="21" t="s">
        <v>1166</v>
      </c>
      <c r="G2570" s="15">
        <v>0.050143540669856414</v>
      </c>
      <c r="H2570" s="11" t="s">
        <v>33</v>
      </c>
      <c r="I2570" s="16">
        <v>0.5599999999999999</v>
      </c>
      <c r="J2570" s="11" t="s">
        <v>353</v>
      </c>
      <c r="K2570" s="11" t="s">
        <v>714</v>
      </c>
      <c r="L2570" s="11" t="s">
        <v>41</v>
      </c>
      <c r="M2570" s="11" t="s">
        <v>28</v>
      </c>
      <c r="N2570" s="11" t="s">
        <v>216</v>
      </c>
      <c r="O2570" s="11" t="s">
        <v>1406</v>
      </c>
      <c r="P2570" s="11" t="s">
        <v>58</v>
      </c>
      <c r="Q2570" s="20">
        <v>40250.0</v>
      </c>
      <c r="R2570" s="17">
        <f t="shared" si="2"/>
        <v>4.977247847</v>
      </c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>
        <f t="shared" si="8"/>
        <v>3</v>
      </c>
      <c r="AF2570" s="19" t="b">
        <f t="shared" si="13"/>
        <v>0</v>
      </c>
      <c r="AG2570" s="9"/>
      <c r="AH2570" s="9"/>
      <c r="AI2570" s="9"/>
    </row>
    <row r="2571" ht="15.0" customHeight="1">
      <c r="A2571" s="11">
        <v>2570.0</v>
      </c>
      <c r="B2571" s="12">
        <f t="shared" si="411"/>
        <v>40249</v>
      </c>
      <c r="C2571" s="13">
        <v>2010.0</v>
      </c>
      <c r="D2571" s="11" t="s">
        <v>44</v>
      </c>
      <c r="E2571" s="11">
        <v>4.0</v>
      </c>
      <c r="F2571" s="21" t="s">
        <v>1891</v>
      </c>
      <c r="G2571" s="15">
        <v>0.03869158878504654</v>
      </c>
      <c r="H2571" s="11" t="s">
        <v>33</v>
      </c>
      <c r="I2571" s="16">
        <v>3.944</v>
      </c>
      <c r="J2571" s="11" t="s">
        <v>2241</v>
      </c>
      <c r="K2571" s="11" t="s">
        <v>83</v>
      </c>
      <c r="L2571" s="11" t="s">
        <v>41</v>
      </c>
      <c r="M2571" s="11" t="s">
        <v>49</v>
      </c>
      <c r="N2571" s="11" t="s">
        <v>73</v>
      </c>
      <c r="O2571" s="11" t="s">
        <v>1892</v>
      </c>
      <c r="P2571" s="11" t="s">
        <v>38</v>
      </c>
      <c r="Q2571" s="20">
        <v>40251.0</v>
      </c>
      <c r="R2571" s="17">
        <f t="shared" si="2"/>
        <v>1.591926729</v>
      </c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>
        <f t="shared" si="8"/>
        <v>3</v>
      </c>
      <c r="AF2571" s="19" t="b">
        <f t="shared" si="13"/>
        <v>0</v>
      </c>
      <c r="AG2571" s="9"/>
      <c r="AH2571" s="9"/>
      <c r="AI2571" s="9"/>
    </row>
    <row r="2572" ht="15.0" customHeight="1">
      <c r="A2572" s="11">
        <v>2571.0</v>
      </c>
      <c r="B2572" s="12">
        <f t="shared" si="411"/>
        <v>40249</v>
      </c>
      <c r="C2572" s="13">
        <v>2010.0</v>
      </c>
      <c r="D2572" s="11" t="s">
        <v>23</v>
      </c>
      <c r="E2572" s="11">
        <v>21.0</v>
      </c>
      <c r="F2572" s="21" t="s">
        <v>128</v>
      </c>
      <c r="G2572" s="15">
        <v>0.09215396205739323</v>
      </c>
      <c r="H2572" s="11" t="s">
        <v>33</v>
      </c>
      <c r="I2572" s="16">
        <v>7.192</v>
      </c>
      <c r="J2572" s="11" t="s">
        <v>1845</v>
      </c>
      <c r="K2572" s="11" t="s">
        <v>65</v>
      </c>
      <c r="L2572" s="11" t="s">
        <v>41</v>
      </c>
      <c r="M2572" s="11" t="s">
        <v>66</v>
      </c>
      <c r="N2572" s="11" t="s">
        <v>80</v>
      </c>
      <c r="O2572" s="11" t="s">
        <v>2242</v>
      </c>
      <c r="P2572" s="11" t="s">
        <v>38</v>
      </c>
      <c r="Q2572" s="20">
        <v>40251.0</v>
      </c>
      <c r="R2572" s="17">
        <f t="shared" si="2"/>
        <v>244.3086316</v>
      </c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>
        <f t="shared" si="8"/>
        <v>3</v>
      </c>
      <c r="AF2572" s="19">
        <f t="shared" si="13"/>
        <v>5</v>
      </c>
      <c r="AG2572" s="9"/>
      <c r="AH2572" s="9"/>
      <c r="AI2572" s="9"/>
    </row>
    <row r="2573" ht="15.0" customHeight="1">
      <c r="A2573" s="11">
        <v>2572.0</v>
      </c>
      <c r="B2573" s="12">
        <f t="shared" si="411"/>
        <v>40249</v>
      </c>
      <c r="C2573" s="13">
        <v>2010.0</v>
      </c>
      <c r="D2573" s="11" t="s">
        <v>23</v>
      </c>
      <c r="E2573" s="11">
        <v>12.0</v>
      </c>
      <c r="F2573" s="21" t="s">
        <v>128</v>
      </c>
      <c r="G2573" s="15">
        <v>0.03549210108852175</v>
      </c>
      <c r="H2573" s="11" t="s">
        <v>24</v>
      </c>
      <c r="I2573" s="16">
        <v>6.464</v>
      </c>
      <c r="J2573" s="11" t="s">
        <v>1845</v>
      </c>
      <c r="K2573" s="11" t="s">
        <v>65</v>
      </c>
      <c r="L2573" s="11" t="s">
        <v>41</v>
      </c>
      <c r="M2573" s="11" t="s">
        <v>66</v>
      </c>
      <c r="N2573" s="11" t="s">
        <v>80</v>
      </c>
      <c r="O2573" s="11" t="s">
        <v>2243</v>
      </c>
      <c r="P2573" s="11" t="s">
        <v>38</v>
      </c>
      <c r="Q2573" s="20">
        <v>40251.0</v>
      </c>
      <c r="R2573" s="17">
        <f t="shared" si="2"/>
        <v>53.85088727</v>
      </c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>
        <f t="shared" si="8"/>
        <v>3</v>
      </c>
      <c r="AF2573" s="19">
        <f t="shared" si="13"/>
        <v>5</v>
      </c>
      <c r="AG2573" s="9"/>
      <c r="AH2573" s="9"/>
      <c r="AI2573" s="9"/>
    </row>
    <row r="2574" ht="15.0" customHeight="1">
      <c r="A2574" s="11">
        <v>2573.0</v>
      </c>
      <c r="B2574" s="12">
        <f t="shared" si="411"/>
        <v>40249</v>
      </c>
      <c r="C2574" s="13">
        <v>2010.0</v>
      </c>
      <c r="D2574" s="11" t="s">
        <v>102</v>
      </c>
      <c r="E2574" s="11">
        <v>36.0</v>
      </c>
      <c r="F2574" s="21" t="s">
        <v>536</v>
      </c>
      <c r="G2574" s="15">
        <v>0.060226104830421255</v>
      </c>
      <c r="H2574" s="11" t="s">
        <v>45</v>
      </c>
      <c r="I2574" s="16">
        <v>56.160000000000004</v>
      </c>
      <c r="J2574" s="11" t="s">
        <v>2244</v>
      </c>
      <c r="K2574" s="11" t="s">
        <v>117</v>
      </c>
      <c r="L2574" s="11" t="s">
        <v>41</v>
      </c>
      <c r="M2574" s="11" t="s">
        <v>49</v>
      </c>
      <c r="N2574" s="11" t="s">
        <v>50</v>
      </c>
      <c r="O2574" s="11" t="s">
        <v>537</v>
      </c>
      <c r="P2574" s="11" t="s">
        <v>52</v>
      </c>
      <c r="Q2574" s="20">
        <v>40251.0</v>
      </c>
      <c r="R2574" s="17">
        <f t="shared" si="2"/>
        <v>269.8466763</v>
      </c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>
        <f t="shared" si="8"/>
        <v>3</v>
      </c>
      <c r="AF2574" s="19" t="b">
        <f t="shared" si="13"/>
        <v>0</v>
      </c>
      <c r="AG2574" s="9"/>
      <c r="AH2574" s="9"/>
      <c r="AI2574" s="9"/>
    </row>
    <row r="2575" ht="15.0" customHeight="1">
      <c r="A2575" s="11">
        <v>2574.0</v>
      </c>
      <c r="B2575" s="12">
        <f t="shared" si="411"/>
        <v>40249</v>
      </c>
      <c r="C2575" s="13">
        <v>2010.0</v>
      </c>
      <c r="D2575" s="11" t="s">
        <v>23</v>
      </c>
      <c r="E2575" s="11">
        <v>29.0</v>
      </c>
      <c r="F2575" s="21" t="s">
        <v>834</v>
      </c>
      <c r="G2575" s="15">
        <v>0.03934715802829222</v>
      </c>
      <c r="H2575" s="11" t="s">
        <v>45</v>
      </c>
      <c r="I2575" s="16">
        <v>34.016000000000005</v>
      </c>
      <c r="J2575" s="11" t="s">
        <v>145</v>
      </c>
      <c r="K2575" s="11" t="s">
        <v>83</v>
      </c>
      <c r="L2575" s="11" t="s">
        <v>41</v>
      </c>
      <c r="M2575" s="11" t="s">
        <v>49</v>
      </c>
      <c r="N2575" s="11" t="s">
        <v>85</v>
      </c>
      <c r="O2575" s="11" t="s">
        <v>1115</v>
      </c>
      <c r="P2575" s="11" t="s">
        <v>87</v>
      </c>
      <c r="Q2575" s="20">
        <v>40251.0</v>
      </c>
      <c r="R2575" s="17">
        <f t="shared" si="2"/>
        <v>458.7924269</v>
      </c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>
        <f t="shared" si="8"/>
        <v>3</v>
      </c>
      <c r="AF2575" s="19" t="b">
        <f t="shared" si="13"/>
        <v>0</v>
      </c>
      <c r="AG2575" s="9"/>
      <c r="AH2575" s="9"/>
      <c r="AI2575" s="9"/>
    </row>
    <row r="2576" ht="15.0" customHeight="1">
      <c r="A2576" s="11">
        <v>2575.0</v>
      </c>
      <c r="B2576" s="12">
        <f t="shared" ref="B2576:B2584" si="412">DATE(2012,12,31)-1024</f>
        <v>40250</v>
      </c>
      <c r="C2576" s="13">
        <v>2010.0</v>
      </c>
      <c r="D2576" s="11" t="s">
        <v>102</v>
      </c>
      <c r="E2576" s="11">
        <v>34.0</v>
      </c>
      <c r="F2576" s="21" t="s">
        <v>573</v>
      </c>
      <c r="G2576" s="15">
        <v>0.050978627671541016</v>
      </c>
      <c r="H2576" s="11" t="s">
        <v>33</v>
      </c>
      <c r="I2576" s="16">
        <v>0.8720000000000001</v>
      </c>
      <c r="J2576" s="11" t="s">
        <v>1288</v>
      </c>
      <c r="K2576" s="11" t="s">
        <v>83</v>
      </c>
      <c r="L2576" s="11" t="s">
        <v>48</v>
      </c>
      <c r="M2576" s="11" t="s">
        <v>28</v>
      </c>
      <c r="N2576" s="11" t="s">
        <v>62</v>
      </c>
      <c r="O2576" s="11" t="s">
        <v>1555</v>
      </c>
      <c r="P2576" s="11" t="s">
        <v>58</v>
      </c>
      <c r="Q2576" s="20">
        <v>40251.0</v>
      </c>
      <c r="R2576" s="17">
        <f t="shared" si="2"/>
        <v>17.20385944</v>
      </c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>
        <f t="shared" si="8"/>
        <v>4</v>
      </c>
      <c r="AF2576" s="19" t="b">
        <f t="shared" si="13"/>
        <v>0</v>
      </c>
      <c r="AG2576" s="9"/>
      <c r="AH2576" s="9"/>
      <c r="AI2576" s="9"/>
    </row>
    <row r="2577" ht="15.0" customHeight="1">
      <c r="A2577" s="11">
        <v>2576.0</v>
      </c>
      <c r="B2577" s="12">
        <f t="shared" si="412"/>
        <v>40250</v>
      </c>
      <c r="C2577" s="13">
        <v>2010.0</v>
      </c>
      <c r="D2577" s="11" t="s">
        <v>102</v>
      </c>
      <c r="E2577" s="11">
        <v>23.0</v>
      </c>
      <c r="F2577" s="21" t="s">
        <v>103</v>
      </c>
      <c r="G2577" s="15">
        <v>0.05970744680851057</v>
      </c>
      <c r="H2577" s="11" t="s">
        <v>33</v>
      </c>
      <c r="I2577" s="16">
        <v>5.720000000000001</v>
      </c>
      <c r="J2577" s="11" t="s">
        <v>1288</v>
      </c>
      <c r="K2577" s="11" t="s">
        <v>26</v>
      </c>
      <c r="L2577" s="11" t="s">
        <v>48</v>
      </c>
      <c r="M2577" s="11" t="s">
        <v>28</v>
      </c>
      <c r="N2577" s="11" t="s">
        <v>56</v>
      </c>
      <c r="O2577" s="11" t="s">
        <v>1312</v>
      </c>
      <c r="P2577" s="11" t="s">
        <v>38</v>
      </c>
      <c r="Q2577" s="20">
        <v>40251.0</v>
      </c>
      <c r="R2577" s="17">
        <f t="shared" si="2"/>
        <v>8.443827128</v>
      </c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>
        <f t="shared" si="8"/>
        <v>4</v>
      </c>
      <c r="AF2577" s="19">
        <f t="shared" si="13"/>
        <v>1</v>
      </c>
      <c r="AG2577" s="9"/>
      <c r="AH2577" s="9"/>
      <c r="AI2577" s="9"/>
    </row>
    <row r="2578" ht="15.0" customHeight="1">
      <c r="A2578" s="11">
        <v>2577.0</v>
      </c>
      <c r="B2578" s="12">
        <f t="shared" si="412"/>
        <v>40250</v>
      </c>
      <c r="C2578" s="13">
        <v>2010.0</v>
      </c>
      <c r="D2578" s="11" t="s">
        <v>102</v>
      </c>
      <c r="E2578" s="11">
        <v>16.0</v>
      </c>
      <c r="F2578" s="21" t="s">
        <v>2245</v>
      </c>
      <c r="G2578" s="15">
        <v>0.09385789104705348</v>
      </c>
      <c r="H2578" s="11" t="s">
        <v>45</v>
      </c>
      <c r="I2578" s="16">
        <v>22.904</v>
      </c>
      <c r="J2578" s="11" t="s">
        <v>1288</v>
      </c>
      <c r="K2578" s="11" t="s">
        <v>47</v>
      </c>
      <c r="L2578" s="11" t="s">
        <v>48</v>
      </c>
      <c r="M2578" s="11" t="s">
        <v>49</v>
      </c>
      <c r="N2578" s="11" t="s">
        <v>50</v>
      </c>
      <c r="O2578" s="11" t="s">
        <v>2246</v>
      </c>
      <c r="P2578" s="11" t="s">
        <v>52</v>
      </c>
      <c r="Q2578" s="20">
        <v>40251.0</v>
      </c>
      <c r="R2578" s="17">
        <f t="shared" si="2"/>
        <v>206.2343194</v>
      </c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>
        <f t="shared" si="8"/>
        <v>4</v>
      </c>
      <c r="AF2578" s="19">
        <f t="shared" si="13"/>
        <v>3</v>
      </c>
      <c r="AG2578" s="9"/>
      <c r="AH2578" s="9"/>
      <c r="AI2578" s="9"/>
    </row>
    <row r="2579" ht="15.0" customHeight="1">
      <c r="A2579" s="11">
        <v>2578.0</v>
      </c>
      <c r="B2579" s="12">
        <f t="shared" si="412"/>
        <v>40250</v>
      </c>
      <c r="C2579" s="13">
        <v>2010.0</v>
      </c>
      <c r="D2579" s="11" t="s">
        <v>39</v>
      </c>
      <c r="E2579" s="11">
        <v>28.0</v>
      </c>
      <c r="F2579" s="21" t="s">
        <v>498</v>
      </c>
      <c r="G2579" s="15">
        <v>0.07872656144610805</v>
      </c>
      <c r="H2579" s="11" t="s">
        <v>45</v>
      </c>
      <c r="I2579" s="16">
        <v>46.56</v>
      </c>
      <c r="J2579" s="11" t="s">
        <v>520</v>
      </c>
      <c r="K2579" s="11" t="s">
        <v>35</v>
      </c>
      <c r="L2579" s="11" t="s">
        <v>48</v>
      </c>
      <c r="M2579" s="11" t="s">
        <v>49</v>
      </c>
      <c r="N2579" s="11" t="s">
        <v>50</v>
      </c>
      <c r="O2579" s="11" t="s">
        <v>2247</v>
      </c>
      <c r="P2579" s="11" t="s">
        <v>52</v>
      </c>
      <c r="Q2579" s="20">
        <v>40252.0</v>
      </c>
      <c r="R2579" s="17">
        <f t="shared" si="2"/>
        <v>215.0620715</v>
      </c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>
        <f t="shared" si="8"/>
        <v>4</v>
      </c>
      <c r="AF2579" s="19">
        <f t="shared" si="13"/>
        <v>2</v>
      </c>
      <c r="AG2579" s="9"/>
      <c r="AH2579" s="9"/>
      <c r="AI2579" s="9"/>
    </row>
    <row r="2580" ht="15.0" customHeight="1">
      <c r="A2580" s="11">
        <v>2579.0</v>
      </c>
      <c r="B2580" s="12">
        <f t="shared" si="412"/>
        <v>40250</v>
      </c>
      <c r="C2580" s="13">
        <v>2010.0</v>
      </c>
      <c r="D2580" s="11" t="s">
        <v>39</v>
      </c>
      <c r="E2580" s="11">
        <v>31.0</v>
      </c>
      <c r="F2580" s="21" t="s">
        <v>280</v>
      </c>
      <c r="G2580" s="15">
        <v>0.0670846864851361</v>
      </c>
      <c r="H2580" s="11" t="s">
        <v>33</v>
      </c>
      <c r="I2580" s="16">
        <v>5.784000000000001</v>
      </c>
      <c r="J2580" s="11" t="s">
        <v>520</v>
      </c>
      <c r="K2580" s="11" t="s">
        <v>35</v>
      </c>
      <c r="L2580" s="11" t="s">
        <v>48</v>
      </c>
      <c r="M2580" s="11" t="s">
        <v>28</v>
      </c>
      <c r="N2580" s="11" t="s">
        <v>56</v>
      </c>
      <c r="O2580" s="11" t="s">
        <v>2248</v>
      </c>
      <c r="P2580" s="11" t="s">
        <v>38</v>
      </c>
      <c r="Q2580" s="20">
        <v>40252.0</v>
      </c>
      <c r="R2580" s="17">
        <f t="shared" si="2"/>
        <v>100.2100313</v>
      </c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>
        <f t="shared" si="8"/>
        <v>4</v>
      </c>
      <c r="AF2580" s="19">
        <f t="shared" si="13"/>
        <v>2</v>
      </c>
      <c r="AG2580" s="9"/>
      <c r="AH2580" s="9"/>
      <c r="AI2580" s="9"/>
    </row>
    <row r="2581" ht="15.0" customHeight="1">
      <c r="A2581" s="11">
        <v>2580.0</v>
      </c>
      <c r="B2581" s="12">
        <f t="shared" si="412"/>
        <v>40250</v>
      </c>
      <c r="C2581" s="13">
        <v>2010.0</v>
      </c>
      <c r="D2581" s="11" t="s">
        <v>39</v>
      </c>
      <c r="E2581" s="11">
        <v>8.0</v>
      </c>
      <c r="F2581" s="21" t="s">
        <v>287</v>
      </c>
      <c r="G2581" s="15">
        <v>0.05832777272267719</v>
      </c>
      <c r="H2581" s="11" t="s">
        <v>33</v>
      </c>
      <c r="I2581" s="16">
        <v>4.208</v>
      </c>
      <c r="J2581" s="11" t="s">
        <v>1972</v>
      </c>
      <c r="K2581" s="11" t="s">
        <v>61</v>
      </c>
      <c r="L2581" s="11" t="s">
        <v>27</v>
      </c>
      <c r="M2581" s="11" t="s">
        <v>66</v>
      </c>
      <c r="N2581" s="11" t="s">
        <v>80</v>
      </c>
      <c r="O2581" s="11" t="s">
        <v>1644</v>
      </c>
      <c r="P2581" s="11" t="s">
        <v>38</v>
      </c>
      <c r="Q2581" s="20">
        <v>40252.0</v>
      </c>
      <c r="R2581" s="17">
        <f t="shared" si="2"/>
        <v>54.32695414</v>
      </c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>
        <f t="shared" si="8"/>
        <v>1</v>
      </c>
      <c r="AF2581" s="19">
        <f t="shared" si="13"/>
        <v>4</v>
      </c>
      <c r="AG2581" s="9"/>
      <c r="AH2581" s="9"/>
      <c r="AI2581" s="9"/>
    </row>
    <row r="2582" ht="15.0" customHeight="1">
      <c r="A2582" s="11">
        <v>2581.0</v>
      </c>
      <c r="B2582" s="12">
        <f t="shared" si="412"/>
        <v>40250</v>
      </c>
      <c r="C2582" s="13">
        <v>2010.0</v>
      </c>
      <c r="D2582" s="11" t="s">
        <v>39</v>
      </c>
      <c r="E2582" s="11">
        <v>42.0</v>
      </c>
      <c r="F2582" s="21" t="s">
        <v>183</v>
      </c>
      <c r="G2582" s="15">
        <v>0.07784332555906145</v>
      </c>
      <c r="H2582" s="11" t="s">
        <v>33</v>
      </c>
      <c r="I2582" s="16">
        <v>4.36</v>
      </c>
      <c r="J2582" s="11" t="s">
        <v>800</v>
      </c>
      <c r="K2582" s="11" t="s">
        <v>65</v>
      </c>
      <c r="L2582" s="11" t="s">
        <v>41</v>
      </c>
      <c r="M2582" s="11" t="s">
        <v>28</v>
      </c>
      <c r="N2582" s="11" t="s">
        <v>62</v>
      </c>
      <c r="O2582" s="11" t="s">
        <v>1994</v>
      </c>
      <c r="P2582" s="11" t="s">
        <v>99</v>
      </c>
      <c r="Q2582" s="20">
        <v>40252.0</v>
      </c>
      <c r="R2582" s="17">
        <f t="shared" si="2"/>
        <v>52.32316971</v>
      </c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>
        <f t="shared" si="8"/>
        <v>3</v>
      </c>
      <c r="AF2582" s="19">
        <f t="shared" si="13"/>
        <v>5</v>
      </c>
      <c r="AG2582" s="9"/>
      <c r="AH2582" s="9"/>
      <c r="AI2582" s="9"/>
    </row>
    <row r="2583" ht="15.0" customHeight="1">
      <c r="A2583" s="11">
        <v>2582.0</v>
      </c>
      <c r="B2583" s="12">
        <f t="shared" si="412"/>
        <v>40250</v>
      </c>
      <c r="C2583" s="13">
        <v>2010.0</v>
      </c>
      <c r="D2583" s="11" t="s">
        <v>44</v>
      </c>
      <c r="E2583" s="11">
        <v>9.0</v>
      </c>
      <c r="F2583" s="21" t="s">
        <v>743</v>
      </c>
      <c r="G2583" s="15">
        <v>0.08094753328112778</v>
      </c>
      <c r="H2583" s="11" t="s">
        <v>45</v>
      </c>
      <c r="I2583" s="16">
        <v>11.352</v>
      </c>
      <c r="J2583" s="11" t="s">
        <v>882</v>
      </c>
      <c r="K2583" s="11" t="s">
        <v>65</v>
      </c>
      <c r="L2583" s="11" t="s">
        <v>48</v>
      </c>
      <c r="M2583" s="11" t="s">
        <v>49</v>
      </c>
      <c r="N2583" s="11" t="s">
        <v>50</v>
      </c>
      <c r="O2583" s="11" t="s">
        <v>2249</v>
      </c>
      <c r="P2583" s="11" t="s">
        <v>52</v>
      </c>
      <c r="Q2583" s="20">
        <v>40252.0</v>
      </c>
      <c r="R2583" s="17">
        <f t="shared" si="2"/>
        <v>38.00098139</v>
      </c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>
        <f t="shared" si="8"/>
        <v>4</v>
      </c>
      <c r="AF2583" s="19">
        <f t="shared" si="13"/>
        <v>5</v>
      </c>
      <c r="AG2583" s="9"/>
      <c r="AH2583" s="9"/>
      <c r="AI2583" s="9"/>
    </row>
    <row r="2584" ht="15.0" customHeight="1">
      <c r="A2584" s="11">
        <v>2583.0</v>
      </c>
      <c r="B2584" s="12">
        <f t="shared" si="412"/>
        <v>40250</v>
      </c>
      <c r="C2584" s="13">
        <v>2010.0</v>
      </c>
      <c r="D2584" s="11" t="s">
        <v>44</v>
      </c>
      <c r="E2584" s="11">
        <v>47.0</v>
      </c>
      <c r="F2584" s="21" t="s">
        <v>881</v>
      </c>
      <c r="G2584" s="15">
        <v>0.023606917375789245</v>
      </c>
      <c r="H2584" s="11" t="s">
        <v>33</v>
      </c>
      <c r="I2584" s="16">
        <v>3.2</v>
      </c>
      <c r="J2584" s="11" t="s">
        <v>882</v>
      </c>
      <c r="K2584" s="11" t="s">
        <v>65</v>
      </c>
      <c r="L2584" s="11" t="s">
        <v>48</v>
      </c>
      <c r="M2584" s="11" t="s">
        <v>49</v>
      </c>
      <c r="N2584" s="11" t="s">
        <v>73</v>
      </c>
      <c r="O2584" s="11" t="s">
        <v>883</v>
      </c>
      <c r="P2584" s="11" t="s">
        <v>58</v>
      </c>
      <c r="Q2584" s="20">
        <v>40253.0</v>
      </c>
      <c r="R2584" s="17">
        <f t="shared" si="2"/>
        <v>8.396980511</v>
      </c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>
        <f t="shared" si="8"/>
        <v>4</v>
      </c>
      <c r="AF2584" s="19">
        <f t="shared" si="13"/>
        <v>5</v>
      </c>
      <c r="AG2584" s="9"/>
      <c r="AH2584" s="9"/>
      <c r="AI2584" s="9"/>
    </row>
    <row r="2585" ht="15.0" customHeight="1">
      <c r="A2585" s="11">
        <v>2584.0</v>
      </c>
      <c r="B2585" s="12">
        <f t="shared" ref="B2585:B2588" si="413">DATE(2012,12,31)-1023</f>
        <v>40251</v>
      </c>
      <c r="C2585" s="13">
        <v>2010.0</v>
      </c>
      <c r="D2585" s="11" t="s">
        <v>102</v>
      </c>
      <c r="E2585" s="11">
        <v>41.0</v>
      </c>
      <c r="F2585" s="21" t="s">
        <v>762</v>
      </c>
      <c r="G2585" s="15">
        <v>0.08960947621691642</v>
      </c>
      <c r="H2585" s="11" t="s">
        <v>33</v>
      </c>
      <c r="I2585" s="16">
        <v>3.9840000000000004</v>
      </c>
      <c r="J2585" s="11" t="s">
        <v>370</v>
      </c>
      <c r="K2585" s="11" t="s">
        <v>65</v>
      </c>
      <c r="L2585" s="11" t="s">
        <v>41</v>
      </c>
      <c r="M2585" s="11" t="s">
        <v>28</v>
      </c>
      <c r="N2585" s="11" t="s">
        <v>197</v>
      </c>
      <c r="O2585" s="11" t="s">
        <v>1001</v>
      </c>
      <c r="P2585" s="11" t="s">
        <v>38</v>
      </c>
      <c r="Q2585" s="20">
        <v>40253.0</v>
      </c>
      <c r="R2585" s="17">
        <f t="shared" si="2"/>
        <v>44.0774676</v>
      </c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>
        <f t="shared" si="8"/>
        <v>3</v>
      </c>
      <c r="AF2585" s="19">
        <f t="shared" si="13"/>
        <v>5</v>
      </c>
      <c r="AG2585" s="9"/>
      <c r="AH2585" s="9"/>
      <c r="AI2585" s="9"/>
    </row>
    <row r="2586" ht="15.0" customHeight="1">
      <c r="A2586" s="11">
        <v>2585.0</v>
      </c>
      <c r="B2586" s="12">
        <f t="shared" si="413"/>
        <v>40251</v>
      </c>
      <c r="C2586" s="13">
        <v>2010.0</v>
      </c>
      <c r="D2586" s="11" t="s">
        <v>44</v>
      </c>
      <c r="E2586" s="11">
        <v>24.0</v>
      </c>
      <c r="F2586" s="21" t="s">
        <v>1521</v>
      </c>
      <c r="G2586" s="15">
        <v>0.03993927235265417</v>
      </c>
      <c r="H2586" s="11" t="s">
        <v>45</v>
      </c>
      <c r="I2586" s="16">
        <v>71.44</v>
      </c>
      <c r="J2586" s="11" t="s">
        <v>2250</v>
      </c>
      <c r="K2586" s="11" t="s">
        <v>61</v>
      </c>
      <c r="L2586" s="11" t="s">
        <v>27</v>
      </c>
      <c r="M2586" s="11" t="s">
        <v>49</v>
      </c>
      <c r="N2586" s="11" t="s">
        <v>85</v>
      </c>
      <c r="O2586" s="11" t="s">
        <v>1522</v>
      </c>
      <c r="P2586" s="11" t="s">
        <v>87</v>
      </c>
      <c r="Q2586" s="20">
        <v>40253.0</v>
      </c>
      <c r="R2586" s="17">
        <f t="shared" si="2"/>
        <v>70.7180732</v>
      </c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>
        <f t="shared" si="8"/>
        <v>1</v>
      </c>
      <c r="AF2586" s="19">
        <f t="shared" si="13"/>
        <v>4</v>
      </c>
      <c r="AG2586" s="9"/>
      <c r="AH2586" s="9"/>
      <c r="AI2586" s="9"/>
    </row>
    <row r="2587" ht="15.0" customHeight="1">
      <c r="A2587" s="11">
        <v>2586.0</v>
      </c>
      <c r="B2587" s="12">
        <f t="shared" si="413"/>
        <v>40251</v>
      </c>
      <c r="C2587" s="13">
        <v>2010.0</v>
      </c>
      <c r="D2587" s="11" t="s">
        <v>102</v>
      </c>
      <c r="E2587" s="11">
        <v>16.0</v>
      </c>
      <c r="F2587" s="21" t="s">
        <v>1970</v>
      </c>
      <c r="G2587" s="15">
        <v>0.0682155044638241</v>
      </c>
      <c r="H2587" s="11" t="s">
        <v>33</v>
      </c>
      <c r="I2587" s="16">
        <v>28.0</v>
      </c>
      <c r="J2587" s="11" t="s">
        <v>106</v>
      </c>
      <c r="K2587" s="11" t="s">
        <v>35</v>
      </c>
      <c r="L2587" s="11" t="s">
        <v>36</v>
      </c>
      <c r="M2587" s="11" t="s">
        <v>28</v>
      </c>
      <c r="N2587" s="11" t="s">
        <v>29</v>
      </c>
      <c r="O2587" s="11" t="s">
        <v>1971</v>
      </c>
      <c r="P2587" s="11" t="s">
        <v>31</v>
      </c>
      <c r="Q2587" s="20">
        <v>40253.0</v>
      </c>
      <c r="R2587" s="17">
        <f t="shared" si="2"/>
        <v>184.4001517</v>
      </c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>
        <f t="shared" si="8"/>
        <v>2</v>
      </c>
      <c r="AF2587" s="19">
        <f t="shared" si="13"/>
        <v>2</v>
      </c>
      <c r="AG2587" s="9"/>
      <c r="AH2587" s="9"/>
      <c r="AI2587" s="9"/>
    </row>
    <row r="2588" ht="15.0" customHeight="1">
      <c r="A2588" s="11">
        <v>2587.0</v>
      </c>
      <c r="B2588" s="12">
        <f t="shared" si="413"/>
        <v>40251</v>
      </c>
      <c r="C2588" s="13">
        <v>2010.0</v>
      </c>
      <c r="D2588" s="11" t="s">
        <v>102</v>
      </c>
      <c r="E2588" s="11">
        <v>20.0</v>
      </c>
      <c r="F2588" s="21" t="s">
        <v>122</v>
      </c>
      <c r="G2588" s="15">
        <v>0.0610044843049328</v>
      </c>
      <c r="H2588" s="11" t="s">
        <v>24</v>
      </c>
      <c r="I2588" s="16">
        <v>0.792</v>
      </c>
      <c r="J2588" s="11" t="s">
        <v>106</v>
      </c>
      <c r="K2588" s="11" t="s">
        <v>35</v>
      </c>
      <c r="L2588" s="11" t="s">
        <v>36</v>
      </c>
      <c r="M2588" s="11" t="s">
        <v>66</v>
      </c>
      <c r="N2588" s="11" t="s">
        <v>80</v>
      </c>
      <c r="O2588" s="11" t="s">
        <v>1721</v>
      </c>
      <c r="P2588" s="11" t="s">
        <v>99</v>
      </c>
      <c r="Q2588" s="20">
        <v>40253.0</v>
      </c>
      <c r="R2588" s="17">
        <f t="shared" si="2"/>
        <v>25.54818999</v>
      </c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>
        <f t="shared" si="8"/>
        <v>2</v>
      </c>
      <c r="AF2588" s="19">
        <f t="shared" si="13"/>
        <v>2</v>
      </c>
      <c r="AG2588" s="9"/>
      <c r="AH2588" s="9"/>
      <c r="AI2588" s="9"/>
    </row>
    <row r="2589" ht="15.0" customHeight="1">
      <c r="A2589" s="11">
        <v>2588.0</v>
      </c>
      <c r="B2589" s="12">
        <f t="shared" ref="B2589:B2593" si="414">DATE(2012,12,31)-1022</f>
        <v>40252</v>
      </c>
      <c r="C2589" s="13">
        <v>2010.0</v>
      </c>
      <c r="D2589" s="11" t="s">
        <v>39</v>
      </c>
      <c r="E2589" s="11">
        <v>11.0</v>
      </c>
      <c r="F2589" s="21" t="s">
        <v>394</v>
      </c>
      <c r="G2589" s="15">
        <v>0.036105924542840846</v>
      </c>
      <c r="H2589" s="11" t="s">
        <v>33</v>
      </c>
      <c r="I2589" s="16">
        <v>11.192</v>
      </c>
      <c r="J2589" s="11" t="s">
        <v>2251</v>
      </c>
      <c r="K2589" s="11" t="s">
        <v>35</v>
      </c>
      <c r="L2589" s="11" t="s">
        <v>36</v>
      </c>
      <c r="M2589" s="11" t="s">
        <v>66</v>
      </c>
      <c r="N2589" s="11" t="s">
        <v>69</v>
      </c>
      <c r="O2589" s="11" t="s">
        <v>2252</v>
      </c>
      <c r="P2589" s="11" t="s">
        <v>75</v>
      </c>
      <c r="Q2589" s="20">
        <v>40253.0</v>
      </c>
      <c r="R2589" s="17">
        <f t="shared" si="2"/>
        <v>56.36466996</v>
      </c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>
        <f t="shared" si="8"/>
        <v>2</v>
      </c>
      <c r="AF2589" s="19">
        <f t="shared" si="13"/>
        <v>2</v>
      </c>
      <c r="AG2589" s="9"/>
      <c r="AH2589" s="9"/>
      <c r="AI2589" s="9"/>
    </row>
    <row r="2590" ht="15.0" customHeight="1">
      <c r="A2590" s="11">
        <v>2589.0</v>
      </c>
      <c r="B2590" s="12">
        <f t="shared" si="414"/>
        <v>40252</v>
      </c>
      <c r="C2590" s="13">
        <v>2010.0</v>
      </c>
      <c r="D2590" s="11" t="s">
        <v>23</v>
      </c>
      <c r="E2590" s="11">
        <v>26.0</v>
      </c>
      <c r="F2590" s="21" t="s">
        <v>178</v>
      </c>
      <c r="G2590" s="15">
        <v>0.031076523994811905</v>
      </c>
      <c r="H2590" s="11" t="s">
        <v>33</v>
      </c>
      <c r="I2590" s="16">
        <v>4.792000000000001</v>
      </c>
      <c r="J2590" s="11" t="s">
        <v>1054</v>
      </c>
      <c r="K2590" s="11" t="s">
        <v>61</v>
      </c>
      <c r="L2590" s="11" t="s">
        <v>41</v>
      </c>
      <c r="M2590" s="11" t="s">
        <v>66</v>
      </c>
      <c r="N2590" s="11" t="s">
        <v>80</v>
      </c>
      <c r="O2590" s="11" t="s">
        <v>179</v>
      </c>
      <c r="P2590" s="11" t="s">
        <v>38</v>
      </c>
      <c r="Q2590" s="20">
        <v>40253.0</v>
      </c>
      <c r="R2590" s="17">
        <f t="shared" si="2"/>
        <v>53.39543492</v>
      </c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>
        <f t="shared" si="8"/>
        <v>3</v>
      </c>
      <c r="AF2590" s="19">
        <f t="shared" si="13"/>
        <v>4</v>
      </c>
      <c r="AG2590" s="9"/>
      <c r="AH2590" s="9"/>
      <c r="AI2590" s="9"/>
    </row>
    <row r="2591" ht="15.0" customHeight="1">
      <c r="A2591" s="11">
        <v>2590.0</v>
      </c>
      <c r="B2591" s="12">
        <f t="shared" si="414"/>
        <v>40252</v>
      </c>
      <c r="C2591" s="13">
        <v>2010.0</v>
      </c>
      <c r="D2591" s="11" t="s">
        <v>23</v>
      </c>
      <c r="E2591" s="11">
        <v>10.0</v>
      </c>
      <c r="F2591" s="21" t="s">
        <v>838</v>
      </c>
      <c r="G2591" s="15">
        <v>0.024233801192078526</v>
      </c>
      <c r="H2591" s="11" t="s">
        <v>33</v>
      </c>
      <c r="I2591" s="16">
        <v>15.991999999999999</v>
      </c>
      <c r="J2591" s="11" t="s">
        <v>1054</v>
      </c>
      <c r="K2591" s="11" t="s">
        <v>61</v>
      </c>
      <c r="L2591" s="11" t="s">
        <v>41</v>
      </c>
      <c r="M2591" s="11" t="s">
        <v>66</v>
      </c>
      <c r="N2591" s="11" t="s">
        <v>67</v>
      </c>
      <c r="O2591" s="11" t="s">
        <v>845</v>
      </c>
      <c r="P2591" s="11" t="s">
        <v>38</v>
      </c>
      <c r="Q2591" s="20">
        <v>40254.0</v>
      </c>
      <c r="R2591" s="17">
        <f t="shared" si="2"/>
        <v>24.59711434</v>
      </c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>
        <f t="shared" si="8"/>
        <v>3</v>
      </c>
      <c r="AF2591" s="19">
        <f t="shared" si="13"/>
        <v>4</v>
      </c>
      <c r="AG2591" s="9"/>
      <c r="AH2591" s="9"/>
      <c r="AI2591" s="9"/>
    </row>
    <row r="2592" ht="15.0" customHeight="1">
      <c r="A2592" s="11">
        <v>2591.0</v>
      </c>
      <c r="B2592" s="12">
        <f t="shared" si="414"/>
        <v>40252</v>
      </c>
      <c r="C2592" s="13">
        <v>2010.0</v>
      </c>
      <c r="D2592" s="11" t="s">
        <v>23</v>
      </c>
      <c r="E2592" s="11">
        <v>10.0</v>
      </c>
      <c r="F2592" s="21" t="s">
        <v>151</v>
      </c>
      <c r="G2592" s="15">
        <v>0.07916666666666665</v>
      </c>
      <c r="H2592" s="11" t="s">
        <v>33</v>
      </c>
      <c r="I2592" s="16">
        <v>3.3600000000000003</v>
      </c>
      <c r="J2592" s="11" t="s">
        <v>1054</v>
      </c>
      <c r="K2592" s="11" t="s">
        <v>61</v>
      </c>
      <c r="L2592" s="11" t="s">
        <v>41</v>
      </c>
      <c r="M2592" s="11" t="s">
        <v>28</v>
      </c>
      <c r="N2592" s="11" t="s">
        <v>62</v>
      </c>
      <c r="O2592" s="11" t="s">
        <v>1287</v>
      </c>
      <c r="P2592" s="11" t="s">
        <v>58</v>
      </c>
      <c r="Q2592" s="20">
        <v>40255.0</v>
      </c>
      <c r="R2592" s="17">
        <f t="shared" si="2"/>
        <v>2.799333333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>
        <f t="shared" si="8"/>
        <v>3</v>
      </c>
      <c r="AF2592" s="19">
        <f t="shared" si="13"/>
        <v>4</v>
      </c>
      <c r="AG2592" s="9"/>
      <c r="AH2592" s="9"/>
      <c r="AI2592" s="9"/>
    </row>
    <row r="2593" ht="15.0" customHeight="1">
      <c r="A2593" s="11">
        <v>2592.0</v>
      </c>
      <c r="B2593" s="12">
        <f t="shared" si="414"/>
        <v>40252</v>
      </c>
      <c r="C2593" s="13">
        <v>2010.0</v>
      </c>
      <c r="D2593" s="11" t="s">
        <v>44</v>
      </c>
      <c r="E2593" s="11">
        <v>36.0</v>
      </c>
      <c r="F2593" s="21" t="s">
        <v>1265</v>
      </c>
      <c r="G2593" s="15">
        <v>0.08488736386692523</v>
      </c>
      <c r="H2593" s="11" t="s">
        <v>24</v>
      </c>
      <c r="I2593" s="16">
        <v>5.0</v>
      </c>
      <c r="J2593" s="11" t="s">
        <v>94</v>
      </c>
      <c r="K2593" s="11" t="s">
        <v>26</v>
      </c>
      <c r="L2593" s="11" t="s">
        <v>48</v>
      </c>
      <c r="M2593" s="11" t="s">
        <v>28</v>
      </c>
      <c r="N2593" s="11" t="s">
        <v>29</v>
      </c>
      <c r="O2593" s="11" t="s">
        <v>2019</v>
      </c>
      <c r="P2593" s="11" t="s">
        <v>38</v>
      </c>
      <c r="Q2593" s="20">
        <v>40255.0</v>
      </c>
      <c r="R2593" s="17">
        <f t="shared" si="2"/>
        <v>52.069909</v>
      </c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>
        <f t="shared" si="8"/>
        <v>4</v>
      </c>
      <c r="AF2593" s="19">
        <f t="shared" si="13"/>
        <v>1</v>
      </c>
      <c r="AG2593" s="9"/>
      <c r="AH2593" s="9"/>
      <c r="AI2593" s="9"/>
    </row>
    <row r="2594" ht="15.0" customHeight="1">
      <c r="A2594" s="11">
        <v>2593.0</v>
      </c>
      <c r="B2594" s="12">
        <f t="shared" ref="B2594:B2596" si="415">DATE(2012,12,31)-1021</f>
        <v>40253</v>
      </c>
      <c r="C2594" s="13">
        <v>2010.0</v>
      </c>
      <c r="D2594" s="11" t="s">
        <v>32</v>
      </c>
      <c r="E2594" s="11">
        <v>16.0</v>
      </c>
      <c r="F2594" s="21" t="s">
        <v>270</v>
      </c>
      <c r="G2594" s="15">
        <v>0.017082352941176448</v>
      </c>
      <c r="H2594" s="11" t="s">
        <v>33</v>
      </c>
      <c r="I2594" s="16">
        <v>13.984000000000002</v>
      </c>
      <c r="J2594" s="11" t="s">
        <v>64</v>
      </c>
      <c r="K2594" s="11" t="s">
        <v>65</v>
      </c>
      <c r="L2594" s="11" t="s">
        <v>48</v>
      </c>
      <c r="M2594" s="11" t="s">
        <v>28</v>
      </c>
      <c r="N2594" s="11" t="s">
        <v>56</v>
      </c>
      <c r="O2594" s="11" t="s">
        <v>1172</v>
      </c>
      <c r="P2594" s="11" t="s">
        <v>38</v>
      </c>
      <c r="Q2594" s="20">
        <v>40255.0</v>
      </c>
      <c r="R2594" s="17">
        <f t="shared" si="2"/>
        <v>11.41757139</v>
      </c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>
        <f t="shared" si="8"/>
        <v>4</v>
      </c>
      <c r="AF2594" s="19">
        <f t="shared" si="13"/>
        <v>5</v>
      </c>
      <c r="AG2594" s="9"/>
      <c r="AH2594" s="9"/>
      <c r="AI2594" s="9"/>
    </row>
    <row r="2595" ht="15.0" customHeight="1">
      <c r="A2595" s="11">
        <v>2594.0</v>
      </c>
      <c r="B2595" s="12">
        <f t="shared" si="415"/>
        <v>40253</v>
      </c>
      <c r="C2595" s="13">
        <v>2010.0</v>
      </c>
      <c r="D2595" s="11" t="s">
        <v>44</v>
      </c>
      <c r="E2595" s="11">
        <v>12.0</v>
      </c>
      <c r="F2595" s="21" t="s">
        <v>178</v>
      </c>
      <c r="G2595" s="15">
        <v>0.02686181006493492</v>
      </c>
      <c r="H2595" s="11" t="s">
        <v>33</v>
      </c>
      <c r="I2595" s="16">
        <v>7.192</v>
      </c>
      <c r="J2595" s="11" t="s">
        <v>387</v>
      </c>
      <c r="K2595" s="11" t="s">
        <v>83</v>
      </c>
      <c r="L2595" s="11" t="s">
        <v>41</v>
      </c>
      <c r="M2595" s="11" t="s">
        <v>66</v>
      </c>
      <c r="N2595" s="11" t="s">
        <v>80</v>
      </c>
      <c r="O2595" s="11" t="s">
        <v>1213</v>
      </c>
      <c r="P2595" s="11" t="s">
        <v>38</v>
      </c>
      <c r="Q2595" s="20">
        <v>40255.0</v>
      </c>
      <c r="R2595" s="17">
        <f t="shared" si="2"/>
        <v>21.43550954</v>
      </c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>
        <f t="shared" si="8"/>
        <v>3</v>
      </c>
      <c r="AF2595" s="19" t="b">
        <f t="shared" si="13"/>
        <v>0</v>
      </c>
      <c r="AG2595" s="9"/>
      <c r="AH2595" s="9"/>
      <c r="AI2595" s="9"/>
    </row>
    <row r="2596" ht="15.0" customHeight="1">
      <c r="A2596" s="11">
        <v>2595.0</v>
      </c>
      <c r="B2596" s="12">
        <f t="shared" si="415"/>
        <v>40253</v>
      </c>
      <c r="C2596" s="13">
        <v>2010.0</v>
      </c>
      <c r="D2596" s="11" t="s">
        <v>102</v>
      </c>
      <c r="E2596" s="11">
        <v>46.0</v>
      </c>
      <c r="F2596" s="21" t="s">
        <v>1791</v>
      </c>
      <c r="G2596" s="15">
        <v>0.047741935483870894</v>
      </c>
      <c r="H2596" s="11" t="s">
        <v>33</v>
      </c>
      <c r="I2596" s="16">
        <v>6.216</v>
      </c>
      <c r="J2596" s="11" t="s">
        <v>2253</v>
      </c>
      <c r="K2596" s="11" t="s">
        <v>117</v>
      </c>
      <c r="L2596" s="11" t="s">
        <v>36</v>
      </c>
      <c r="M2596" s="11" t="s">
        <v>28</v>
      </c>
      <c r="N2596" s="11" t="s">
        <v>442</v>
      </c>
      <c r="O2596" s="11" t="s">
        <v>2254</v>
      </c>
      <c r="P2596" s="11" t="s">
        <v>99</v>
      </c>
      <c r="Q2596" s="20">
        <v>40256.0</v>
      </c>
      <c r="R2596" s="17">
        <f t="shared" si="2"/>
        <v>18.74424774</v>
      </c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>
        <f t="shared" si="8"/>
        <v>2</v>
      </c>
      <c r="AF2596" s="19" t="b">
        <f t="shared" si="13"/>
        <v>0</v>
      </c>
      <c r="AG2596" s="9"/>
      <c r="AH2596" s="9"/>
      <c r="AI2596" s="9"/>
    </row>
    <row r="2597" ht="15.0" customHeight="1">
      <c r="A2597" s="11">
        <v>2596.0</v>
      </c>
      <c r="B2597" s="12">
        <f t="shared" ref="B2597:B2599" si="416">DATE(2012,12,31)-1020</f>
        <v>40254</v>
      </c>
      <c r="C2597" s="13">
        <v>2010.0</v>
      </c>
      <c r="D2597" s="11" t="s">
        <v>44</v>
      </c>
      <c r="E2597" s="11">
        <v>7.0</v>
      </c>
      <c r="F2597" s="21" t="s">
        <v>158</v>
      </c>
      <c r="G2597" s="15">
        <v>0.11355992844364923</v>
      </c>
      <c r="H2597" s="11" t="s">
        <v>33</v>
      </c>
      <c r="I2597" s="16">
        <v>4.752000000000001</v>
      </c>
      <c r="J2597" s="11" t="s">
        <v>2026</v>
      </c>
      <c r="K2597" s="11" t="s">
        <v>65</v>
      </c>
      <c r="L2597" s="11" t="s">
        <v>48</v>
      </c>
      <c r="M2597" s="11" t="s">
        <v>28</v>
      </c>
      <c r="N2597" s="11" t="s">
        <v>56</v>
      </c>
      <c r="O2597" s="11" t="s">
        <v>2186</v>
      </c>
      <c r="P2597" s="11" t="s">
        <v>38</v>
      </c>
      <c r="Q2597" s="20">
        <v>40256.0</v>
      </c>
      <c r="R2597" s="17">
        <f t="shared" si="2"/>
        <v>5.627121574</v>
      </c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>
        <f t="shared" si="8"/>
        <v>4</v>
      </c>
      <c r="AF2597" s="19">
        <f t="shared" si="13"/>
        <v>5</v>
      </c>
      <c r="AG2597" s="9"/>
      <c r="AH2597" s="9"/>
      <c r="AI2597" s="9"/>
    </row>
    <row r="2598" ht="15.0" customHeight="1">
      <c r="A2598" s="11">
        <v>2597.0</v>
      </c>
      <c r="B2598" s="12">
        <f t="shared" si="416"/>
        <v>40254</v>
      </c>
      <c r="C2598" s="13">
        <v>2010.0</v>
      </c>
      <c r="D2598" s="11" t="s">
        <v>44</v>
      </c>
      <c r="E2598" s="11">
        <v>29.0</v>
      </c>
      <c r="F2598" s="21" t="s">
        <v>1379</v>
      </c>
      <c r="G2598" s="15">
        <v>0.07814948329728423</v>
      </c>
      <c r="H2598" s="11" t="s">
        <v>33</v>
      </c>
      <c r="I2598" s="16">
        <v>4.464</v>
      </c>
      <c r="J2598" s="11" t="s">
        <v>120</v>
      </c>
      <c r="K2598" s="11" t="s">
        <v>35</v>
      </c>
      <c r="L2598" s="11" t="s">
        <v>41</v>
      </c>
      <c r="M2598" s="11" t="s">
        <v>49</v>
      </c>
      <c r="N2598" s="11" t="s">
        <v>73</v>
      </c>
      <c r="O2598" s="11" t="s">
        <v>1255</v>
      </c>
      <c r="P2598" s="11" t="s">
        <v>52</v>
      </c>
      <c r="Q2598" s="20">
        <v>40257.0</v>
      </c>
      <c r="R2598" s="17">
        <f t="shared" si="2"/>
        <v>59.9534702</v>
      </c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>
        <f t="shared" si="8"/>
        <v>3</v>
      </c>
      <c r="AF2598" s="19">
        <f t="shared" si="13"/>
        <v>2</v>
      </c>
      <c r="AG2598" s="9"/>
      <c r="AH2598" s="9"/>
      <c r="AI2598" s="9"/>
    </row>
    <row r="2599" ht="15.0" customHeight="1">
      <c r="A2599" s="11">
        <v>2598.0</v>
      </c>
      <c r="B2599" s="12">
        <f t="shared" si="416"/>
        <v>40254</v>
      </c>
      <c r="C2599" s="13">
        <v>2010.0</v>
      </c>
      <c r="D2599" s="11" t="s">
        <v>39</v>
      </c>
      <c r="E2599" s="11">
        <v>32.0</v>
      </c>
      <c r="F2599" s="21" t="s">
        <v>103</v>
      </c>
      <c r="G2599" s="15">
        <v>0.1010613751730502</v>
      </c>
      <c r="H2599" s="11" t="s">
        <v>33</v>
      </c>
      <c r="I2599" s="16">
        <v>6.0</v>
      </c>
      <c r="J2599" s="11" t="s">
        <v>1685</v>
      </c>
      <c r="K2599" s="11" t="s">
        <v>61</v>
      </c>
      <c r="L2599" s="11" t="s">
        <v>41</v>
      </c>
      <c r="M2599" s="11" t="s">
        <v>28</v>
      </c>
      <c r="N2599" s="11" t="s">
        <v>56</v>
      </c>
      <c r="O2599" s="11" t="s">
        <v>1701</v>
      </c>
      <c r="P2599" s="11" t="s">
        <v>38</v>
      </c>
      <c r="Q2599" s="20">
        <v>40257.0</v>
      </c>
      <c r="R2599" s="17">
        <f t="shared" si="2"/>
        <v>19.68675588</v>
      </c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>
        <f t="shared" si="8"/>
        <v>3</v>
      </c>
      <c r="AF2599" s="19">
        <f t="shared" si="13"/>
        <v>4</v>
      </c>
      <c r="AG2599" s="9"/>
      <c r="AH2599" s="9"/>
      <c r="AI2599" s="9"/>
    </row>
    <row r="2600" ht="15.0" customHeight="1">
      <c r="A2600" s="11">
        <v>2599.0</v>
      </c>
      <c r="B2600" s="12">
        <f>DATE(2012,12,31)-1019</f>
        <v>40255</v>
      </c>
      <c r="C2600" s="13">
        <v>2010.0</v>
      </c>
      <c r="D2600" s="11" t="s">
        <v>23</v>
      </c>
      <c r="E2600" s="11">
        <v>19.0</v>
      </c>
      <c r="F2600" s="21" t="s">
        <v>428</v>
      </c>
      <c r="G2600" s="15">
        <v>0.019236833806370302</v>
      </c>
      <c r="H2600" s="11" t="s">
        <v>45</v>
      </c>
      <c r="I2600" s="16">
        <v>22.200000000000003</v>
      </c>
      <c r="J2600" s="11" t="s">
        <v>1377</v>
      </c>
      <c r="K2600" s="11" t="s">
        <v>47</v>
      </c>
      <c r="L2600" s="11" t="s">
        <v>48</v>
      </c>
      <c r="M2600" s="11" t="s">
        <v>49</v>
      </c>
      <c r="N2600" s="11" t="s">
        <v>85</v>
      </c>
      <c r="O2600" s="11" t="s">
        <v>1668</v>
      </c>
      <c r="P2600" s="11" t="s">
        <v>87</v>
      </c>
      <c r="Q2600" s="20">
        <v>40257.0</v>
      </c>
      <c r="R2600" s="17">
        <f t="shared" si="2"/>
        <v>5.982655314</v>
      </c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>
        <f t="shared" si="8"/>
        <v>4</v>
      </c>
      <c r="AF2600" s="19">
        <f t="shared" si="13"/>
        <v>3</v>
      </c>
      <c r="AG2600" s="9"/>
      <c r="AH2600" s="9"/>
      <c r="AI2600" s="9"/>
    </row>
    <row r="2601" ht="15.0" customHeight="1">
      <c r="A2601" s="11">
        <v>2600.0</v>
      </c>
      <c r="B2601" s="12">
        <f t="shared" ref="B2601:B2603" si="417">DATE(2012,12,31)-1018</f>
        <v>40256</v>
      </c>
      <c r="C2601" s="13">
        <v>2010.0</v>
      </c>
      <c r="D2601" s="11" t="s">
        <v>44</v>
      </c>
      <c r="E2601" s="11">
        <v>22.0</v>
      </c>
      <c r="F2601" s="21" t="s">
        <v>1523</v>
      </c>
      <c r="G2601" s="15">
        <v>0.023340206185566946</v>
      </c>
      <c r="H2601" s="11" t="s">
        <v>33</v>
      </c>
      <c r="I2601" s="16">
        <v>1.576</v>
      </c>
      <c r="J2601" s="11" t="s">
        <v>711</v>
      </c>
      <c r="K2601" s="11" t="s">
        <v>83</v>
      </c>
      <c r="L2601" s="11" t="s">
        <v>36</v>
      </c>
      <c r="M2601" s="11" t="s">
        <v>28</v>
      </c>
      <c r="N2601" s="11" t="s">
        <v>56</v>
      </c>
      <c r="O2601" s="11" t="s">
        <v>59</v>
      </c>
      <c r="P2601" s="11" t="s">
        <v>58</v>
      </c>
      <c r="Q2601" s="20">
        <v>40258.0</v>
      </c>
      <c r="R2601" s="17">
        <f t="shared" si="2"/>
        <v>7.739052206</v>
      </c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>
        <f t="shared" si="8"/>
        <v>2</v>
      </c>
      <c r="AF2601" s="19" t="b">
        <f t="shared" si="13"/>
        <v>0</v>
      </c>
      <c r="AG2601" s="9"/>
      <c r="AH2601" s="9"/>
      <c r="AI2601" s="9"/>
    </row>
    <row r="2602" ht="15.0" customHeight="1">
      <c r="A2602" s="11">
        <v>2601.0</v>
      </c>
      <c r="B2602" s="12">
        <f t="shared" si="417"/>
        <v>40256</v>
      </c>
      <c r="C2602" s="13">
        <v>2010.0</v>
      </c>
      <c r="D2602" s="11" t="s">
        <v>32</v>
      </c>
      <c r="E2602" s="11">
        <v>46.0</v>
      </c>
      <c r="F2602" s="21" t="s">
        <v>810</v>
      </c>
      <c r="G2602" s="15">
        <v>0.046536788348779994</v>
      </c>
      <c r="H2602" s="11" t="s">
        <v>33</v>
      </c>
      <c r="I2602" s="16">
        <v>2.696</v>
      </c>
      <c r="J2602" s="11" t="s">
        <v>2255</v>
      </c>
      <c r="K2602" s="11" t="s">
        <v>61</v>
      </c>
      <c r="L2602" s="11" t="s">
        <v>48</v>
      </c>
      <c r="M2602" s="11" t="s">
        <v>28</v>
      </c>
      <c r="N2602" s="11" t="s">
        <v>442</v>
      </c>
      <c r="O2602" s="11" t="s">
        <v>1111</v>
      </c>
      <c r="P2602" s="11" t="s">
        <v>99</v>
      </c>
      <c r="Q2602" s="20">
        <v>40258.0</v>
      </c>
      <c r="R2602" s="17">
        <f t="shared" si="2"/>
        <v>23.45900886</v>
      </c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>
        <f t="shared" si="8"/>
        <v>4</v>
      </c>
      <c r="AF2602" s="19">
        <f t="shared" si="13"/>
        <v>4</v>
      </c>
      <c r="AG2602" s="9"/>
      <c r="AH2602" s="9"/>
      <c r="AI2602" s="9"/>
    </row>
    <row r="2603" ht="15.0" customHeight="1">
      <c r="A2603" s="11">
        <v>2602.0</v>
      </c>
      <c r="B2603" s="12">
        <f t="shared" si="417"/>
        <v>40256</v>
      </c>
      <c r="C2603" s="13">
        <v>2010.0</v>
      </c>
      <c r="D2603" s="11" t="s">
        <v>44</v>
      </c>
      <c r="E2603" s="11">
        <v>46.0</v>
      </c>
      <c r="F2603" s="21" t="s">
        <v>178</v>
      </c>
      <c r="G2603" s="15">
        <v>0.09265967929767983</v>
      </c>
      <c r="H2603" s="11" t="s">
        <v>33</v>
      </c>
      <c r="I2603" s="16">
        <v>7.192</v>
      </c>
      <c r="J2603" s="11" t="s">
        <v>1210</v>
      </c>
      <c r="K2603" s="11" t="s">
        <v>47</v>
      </c>
      <c r="L2603" s="11" t="s">
        <v>48</v>
      </c>
      <c r="M2603" s="11" t="s">
        <v>66</v>
      </c>
      <c r="N2603" s="11" t="s">
        <v>80</v>
      </c>
      <c r="O2603" s="11" t="s">
        <v>1263</v>
      </c>
      <c r="P2603" s="11" t="s">
        <v>38</v>
      </c>
      <c r="Q2603" s="20">
        <v>40258.0</v>
      </c>
      <c r="R2603" s="17">
        <f t="shared" si="2"/>
        <v>281.5549602</v>
      </c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>
        <f t="shared" si="8"/>
        <v>4</v>
      </c>
      <c r="AF2603" s="19">
        <f t="shared" si="13"/>
        <v>3</v>
      </c>
      <c r="AG2603" s="9"/>
      <c r="AH2603" s="9"/>
      <c r="AI2603" s="9"/>
    </row>
    <row r="2604" ht="15.0" customHeight="1">
      <c r="A2604" s="11">
        <v>2603.0</v>
      </c>
      <c r="B2604" s="12">
        <f t="shared" ref="B2604:B2605" si="418">DATE(2012,12,31)-1017</f>
        <v>40257</v>
      </c>
      <c r="C2604" s="13">
        <v>2010.0</v>
      </c>
      <c r="D2604" s="11" t="s">
        <v>23</v>
      </c>
      <c r="E2604" s="11">
        <v>35.0</v>
      </c>
      <c r="F2604" s="21" t="s">
        <v>397</v>
      </c>
      <c r="G2604" s="15">
        <v>0.022954882625010983</v>
      </c>
      <c r="H2604" s="11" t="s">
        <v>33</v>
      </c>
      <c r="I2604" s="16">
        <v>10.096</v>
      </c>
      <c r="J2604" s="11" t="s">
        <v>307</v>
      </c>
      <c r="K2604" s="11" t="s">
        <v>61</v>
      </c>
      <c r="L2604" s="11" t="s">
        <v>48</v>
      </c>
      <c r="M2604" s="11" t="s">
        <v>28</v>
      </c>
      <c r="N2604" s="11" t="s">
        <v>42</v>
      </c>
      <c r="O2604" s="11" t="s">
        <v>1333</v>
      </c>
      <c r="P2604" s="11" t="s">
        <v>38</v>
      </c>
      <c r="Q2604" s="20">
        <v>40258.0</v>
      </c>
      <c r="R2604" s="17">
        <f t="shared" si="2"/>
        <v>25.70019477</v>
      </c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>
        <f t="shared" si="8"/>
        <v>4</v>
      </c>
      <c r="AF2604" s="19">
        <f t="shared" si="13"/>
        <v>4</v>
      </c>
      <c r="AG2604" s="9"/>
      <c r="AH2604" s="9"/>
      <c r="AI2604" s="9"/>
    </row>
    <row r="2605" ht="15.0" customHeight="1">
      <c r="A2605" s="11">
        <v>2604.0</v>
      </c>
      <c r="B2605" s="12">
        <f t="shared" si="418"/>
        <v>40257</v>
      </c>
      <c r="C2605" s="13">
        <v>2010.0</v>
      </c>
      <c r="D2605" s="11" t="s">
        <v>102</v>
      </c>
      <c r="E2605" s="11">
        <v>48.0</v>
      </c>
      <c r="F2605" s="21" t="s">
        <v>521</v>
      </c>
      <c r="G2605" s="15">
        <v>0.021119376681198582</v>
      </c>
      <c r="H2605" s="11" t="s">
        <v>45</v>
      </c>
      <c r="I2605" s="16">
        <v>55.712</v>
      </c>
      <c r="J2605" s="11" t="s">
        <v>626</v>
      </c>
      <c r="K2605" s="11" t="s">
        <v>61</v>
      </c>
      <c r="L2605" s="11" t="s">
        <v>27</v>
      </c>
      <c r="M2605" s="11" t="s">
        <v>49</v>
      </c>
      <c r="N2605" s="11" t="s">
        <v>85</v>
      </c>
      <c r="O2605" s="11" t="s">
        <v>522</v>
      </c>
      <c r="P2605" s="11" t="s">
        <v>87</v>
      </c>
      <c r="Q2605" s="20">
        <v>40259.0</v>
      </c>
      <c r="R2605" s="17">
        <f t="shared" si="2"/>
        <v>222.8793714</v>
      </c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>
        <f t="shared" si="8"/>
        <v>1</v>
      </c>
      <c r="AF2605" s="19">
        <f t="shared" si="13"/>
        <v>4</v>
      </c>
      <c r="AG2605" s="9"/>
      <c r="AH2605" s="9"/>
      <c r="AI2605" s="9"/>
    </row>
    <row r="2606" ht="15.0" customHeight="1">
      <c r="A2606" s="11">
        <v>2605.0</v>
      </c>
      <c r="B2606" s="12">
        <f t="shared" ref="B2606:B2613" si="419">DATE(2012,12,31)-1016</f>
        <v>40258</v>
      </c>
      <c r="C2606" s="13">
        <v>2010.0</v>
      </c>
      <c r="D2606" s="11" t="s">
        <v>39</v>
      </c>
      <c r="E2606" s="11">
        <v>16.0</v>
      </c>
      <c r="F2606" s="21" t="s">
        <v>490</v>
      </c>
      <c r="G2606" s="15">
        <v>0.08520668786542208</v>
      </c>
      <c r="H2606" s="11" t="s">
        <v>33</v>
      </c>
      <c r="I2606" s="16">
        <v>5.432</v>
      </c>
      <c r="J2606" s="11" t="s">
        <v>1731</v>
      </c>
      <c r="K2606" s="11" t="s">
        <v>35</v>
      </c>
      <c r="L2606" s="11" t="s">
        <v>48</v>
      </c>
      <c r="M2606" s="11" t="s">
        <v>28</v>
      </c>
      <c r="N2606" s="11" t="s">
        <v>56</v>
      </c>
      <c r="O2606" s="11" t="s">
        <v>761</v>
      </c>
      <c r="P2606" s="11" t="s">
        <v>38</v>
      </c>
      <c r="Q2606" s="20">
        <v>40259.0</v>
      </c>
      <c r="R2606" s="17">
        <f t="shared" si="2"/>
        <v>75.99005085</v>
      </c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>
        <f t="shared" si="8"/>
        <v>4</v>
      </c>
      <c r="AF2606" s="19">
        <f t="shared" si="13"/>
        <v>2</v>
      </c>
      <c r="AG2606" s="9"/>
      <c r="AH2606" s="9"/>
      <c r="AI2606" s="9"/>
    </row>
    <row r="2607" ht="15.0" customHeight="1">
      <c r="A2607" s="11">
        <v>2606.0</v>
      </c>
      <c r="B2607" s="12">
        <f t="shared" si="419"/>
        <v>40258</v>
      </c>
      <c r="C2607" s="13">
        <v>2010.0</v>
      </c>
      <c r="D2607" s="11" t="s">
        <v>102</v>
      </c>
      <c r="E2607" s="11">
        <v>15.0</v>
      </c>
      <c r="F2607" s="21" t="s">
        <v>119</v>
      </c>
      <c r="G2607" s="15">
        <v>0.10110787172011652</v>
      </c>
      <c r="H2607" s="11" t="s">
        <v>33</v>
      </c>
      <c r="I2607" s="16">
        <v>3.8320000000000003</v>
      </c>
      <c r="J2607" s="11" t="s">
        <v>2256</v>
      </c>
      <c r="K2607" s="11" t="s">
        <v>35</v>
      </c>
      <c r="L2607" s="11" t="s">
        <v>48</v>
      </c>
      <c r="M2607" s="11" t="s">
        <v>28</v>
      </c>
      <c r="N2607" s="11" t="s">
        <v>42</v>
      </c>
      <c r="O2607" s="11" t="s">
        <v>2257</v>
      </c>
      <c r="P2607" s="11" t="s">
        <v>38</v>
      </c>
      <c r="Q2607" s="20">
        <v>40259.0</v>
      </c>
      <c r="R2607" s="17">
        <f t="shared" si="2"/>
        <v>3.117357901</v>
      </c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>
        <f t="shared" si="8"/>
        <v>4</v>
      </c>
      <c r="AF2607" s="19">
        <f t="shared" si="13"/>
        <v>2</v>
      </c>
      <c r="AG2607" s="9"/>
      <c r="AH2607" s="9"/>
      <c r="AI2607" s="9"/>
    </row>
    <row r="2608" ht="15.0" customHeight="1">
      <c r="A2608" s="11">
        <v>2607.0</v>
      </c>
      <c r="B2608" s="12">
        <f t="shared" si="419"/>
        <v>40258</v>
      </c>
      <c r="C2608" s="13">
        <v>2010.0</v>
      </c>
      <c r="D2608" s="11" t="s">
        <v>39</v>
      </c>
      <c r="E2608" s="11">
        <v>12.0</v>
      </c>
      <c r="F2608" s="21" t="s">
        <v>273</v>
      </c>
      <c r="G2608" s="15">
        <v>0.06767561983471077</v>
      </c>
      <c r="H2608" s="11" t="s">
        <v>33</v>
      </c>
      <c r="I2608" s="16">
        <v>3.192</v>
      </c>
      <c r="J2608" s="11" t="s">
        <v>222</v>
      </c>
      <c r="K2608" s="11" t="s">
        <v>65</v>
      </c>
      <c r="L2608" s="11" t="s">
        <v>48</v>
      </c>
      <c r="M2608" s="11" t="s">
        <v>28</v>
      </c>
      <c r="N2608" s="11" t="s">
        <v>197</v>
      </c>
      <c r="O2608" s="11" t="s">
        <v>275</v>
      </c>
      <c r="P2608" s="11" t="s">
        <v>38</v>
      </c>
      <c r="Q2608" s="20">
        <v>40259.0</v>
      </c>
      <c r="R2608" s="17">
        <f t="shared" si="2"/>
        <v>48.86125612</v>
      </c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>
        <f t="shared" si="8"/>
        <v>4</v>
      </c>
      <c r="AF2608" s="19">
        <f t="shared" si="13"/>
        <v>5</v>
      </c>
      <c r="AG2608" s="9"/>
      <c r="AH2608" s="9"/>
      <c r="AI2608" s="9"/>
    </row>
    <row r="2609" ht="15.0" customHeight="1">
      <c r="A2609" s="11">
        <v>2608.0</v>
      </c>
      <c r="B2609" s="12">
        <f t="shared" si="419"/>
        <v>40258</v>
      </c>
      <c r="C2609" s="13">
        <v>2010.0</v>
      </c>
      <c r="D2609" s="11" t="s">
        <v>39</v>
      </c>
      <c r="E2609" s="11">
        <v>42.0</v>
      </c>
      <c r="F2609" s="21" t="s">
        <v>96</v>
      </c>
      <c r="G2609" s="15">
        <v>0.02645986353392863</v>
      </c>
      <c r="H2609" s="11" t="s">
        <v>33</v>
      </c>
      <c r="I2609" s="16">
        <v>1.592</v>
      </c>
      <c r="J2609" s="11" t="s">
        <v>222</v>
      </c>
      <c r="K2609" s="11" t="s">
        <v>65</v>
      </c>
      <c r="L2609" s="11" t="s">
        <v>48</v>
      </c>
      <c r="M2609" s="11" t="s">
        <v>66</v>
      </c>
      <c r="N2609" s="11" t="s">
        <v>67</v>
      </c>
      <c r="O2609" s="11" t="s">
        <v>98</v>
      </c>
      <c r="P2609" s="11" t="s">
        <v>99</v>
      </c>
      <c r="Q2609" s="20">
        <v>40259.0</v>
      </c>
      <c r="R2609" s="17">
        <f t="shared" si="2"/>
        <v>31.60344933</v>
      </c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>
        <f t="shared" si="8"/>
        <v>4</v>
      </c>
      <c r="AF2609" s="19">
        <f t="shared" si="13"/>
        <v>5</v>
      </c>
      <c r="AG2609" s="9"/>
      <c r="AH2609" s="9"/>
      <c r="AI2609" s="9"/>
    </row>
    <row r="2610" ht="15.0" customHeight="1">
      <c r="A2610" s="11">
        <v>2609.0</v>
      </c>
      <c r="B2610" s="12">
        <f t="shared" si="419"/>
        <v>40258</v>
      </c>
      <c r="C2610" s="13">
        <v>2010.0</v>
      </c>
      <c r="D2610" s="11" t="s">
        <v>32</v>
      </c>
      <c r="E2610" s="11">
        <v>18.0</v>
      </c>
      <c r="F2610" s="21" t="s">
        <v>1441</v>
      </c>
      <c r="G2610" s="15">
        <v>0.059041016753321775</v>
      </c>
      <c r="H2610" s="11" t="s">
        <v>33</v>
      </c>
      <c r="I2610" s="16">
        <v>4.4799999999999995</v>
      </c>
      <c r="J2610" s="11" t="s">
        <v>1021</v>
      </c>
      <c r="K2610" s="11" t="s">
        <v>61</v>
      </c>
      <c r="L2610" s="11" t="s">
        <v>27</v>
      </c>
      <c r="M2610" s="11" t="s">
        <v>28</v>
      </c>
      <c r="N2610" s="11" t="s">
        <v>42</v>
      </c>
      <c r="O2610" s="11" t="s">
        <v>1443</v>
      </c>
      <c r="P2610" s="11" t="s">
        <v>38</v>
      </c>
      <c r="Q2610" s="20">
        <v>40260.0</v>
      </c>
      <c r="R2610" s="17">
        <f t="shared" si="2"/>
        <v>9.616600809</v>
      </c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>
        <f t="shared" si="8"/>
        <v>1</v>
      </c>
      <c r="AF2610" s="19">
        <f t="shared" si="13"/>
        <v>4</v>
      </c>
      <c r="AG2610" s="9"/>
      <c r="AH2610" s="9"/>
      <c r="AI2610" s="9"/>
    </row>
    <row r="2611" ht="15.0" customHeight="1">
      <c r="A2611" s="11">
        <v>2610.0</v>
      </c>
      <c r="B2611" s="12">
        <f t="shared" si="419"/>
        <v>40258</v>
      </c>
      <c r="C2611" s="13">
        <v>2010.0</v>
      </c>
      <c r="D2611" s="11" t="s">
        <v>102</v>
      </c>
      <c r="E2611" s="11">
        <v>49.0</v>
      </c>
      <c r="F2611" s="21" t="s">
        <v>747</v>
      </c>
      <c r="G2611" s="15">
        <v>0.058582157904377916</v>
      </c>
      <c r="H2611" s="11" t="s">
        <v>33</v>
      </c>
      <c r="I2611" s="16">
        <v>4.32</v>
      </c>
      <c r="J2611" s="11" t="s">
        <v>1152</v>
      </c>
      <c r="K2611" s="11" t="s">
        <v>65</v>
      </c>
      <c r="L2611" s="11" t="s">
        <v>48</v>
      </c>
      <c r="M2611" s="11" t="s">
        <v>49</v>
      </c>
      <c r="N2611" s="11" t="s">
        <v>73</v>
      </c>
      <c r="O2611" s="11" t="s">
        <v>1011</v>
      </c>
      <c r="P2611" s="11" t="s">
        <v>99</v>
      </c>
      <c r="Q2611" s="20">
        <v>40260.0</v>
      </c>
      <c r="R2611" s="17">
        <f t="shared" si="2"/>
        <v>30.10654259</v>
      </c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>
        <f t="shared" si="8"/>
        <v>4</v>
      </c>
      <c r="AF2611" s="19">
        <f t="shared" si="13"/>
        <v>5</v>
      </c>
      <c r="AG2611" s="9"/>
      <c r="AH2611" s="9"/>
      <c r="AI2611" s="9"/>
    </row>
    <row r="2612" ht="15.0" customHeight="1">
      <c r="A2612" s="11">
        <v>2611.0</v>
      </c>
      <c r="B2612" s="12">
        <f t="shared" si="419"/>
        <v>40258</v>
      </c>
      <c r="C2612" s="13">
        <v>2010.0</v>
      </c>
      <c r="D2612" s="11" t="s">
        <v>102</v>
      </c>
      <c r="E2612" s="11">
        <v>28.0</v>
      </c>
      <c r="F2612" s="21" t="s">
        <v>1203</v>
      </c>
      <c r="G2612" s="15">
        <v>0.023344607290492467</v>
      </c>
      <c r="H2612" s="11" t="s">
        <v>33</v>
      </c>
      <c r="I2612" s="16">
        <v>7.888</v>
      </c>
      <c r="J2612" s="11" t="s">
        <v>1152</v>
      </c>
      <c r="K2612" s="11" t="s">
        <v>65</v>
      </c>
      <c r="L2612" s="11" t="s">
        <v>48</v>
      </c>
      <c r="M2612" s="11" t="s">
        <v>28</v>
      </c>
      <c r="N2612" s="11" t="s">
        <v>56</v>
      </c>
      <c r="O2612" s="11" t="s">
        <v>1204</v>
      </c>
      <c r="P2612" s="11" t="s">
        <v>38</v>
      </c>
      <c r="Q2612" s="20">
        <v>40260.0</v>
      </c>
      <c r="R2612" s="17">
        <f t="shared" si="2"/>
        <v>6.0669833</v>
      </c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>
        <f t="shared" si="8"/>
        <v>4</v>
      </c>
      <c r="AF2612" s="19">
        <f t="shared" si="13"/>
        <v>5</v>
      </c>
      <c r="AG2612" s="9"/>
      <c r="AH2612" s="9"/>
      <c r="AI2612" s="9"/>
    </row>
    <row r="2613" ht="15.0" customHeight="1">
      <c r="A2613" s="11">
        <v>2612.0</v>
      </c>
      <c r="B2613" s="12">
        <f t="shared" si="419"/>
        <v>40258</v>
      </c>
      <c r="C2613" s="13">
        <v>2010.0</v>
      </c>
      <c r="D2613" s="11" t="s">
        <v>102</v>
      </c>
      <c r="E2613" s="11">
        <v>41.0</v>
      </c>
      <c r="F2613" s="21" t="s">
        <v>158</v>
      </c>
      <c r="G2613" s="15">
        <v>0.03540628385698778</v>
      </c>
      <c r="H2613" s="11" t="s">
        <v>33</v>
      </c>
      <c r="I2613" s="16">
        <v>4.696000000000001</v>
      </c>
      <c r="J2613" s="11" t="s">
        <v>1152</v>
      </c>
      <c r="K2613" s="11" t="s">
        <v>65</v>
      </c>
      <c r="L2613" s="11" t="s">
        <v>48</v>
      </c>
      <c r="M2613" s="11" t="s">
        <v>28</v>
      </c>
      <c r="N2613" s="11" t="s">
        <v>56</v>
      </c>
      <c r="O2613" s="11" t="s">
        <v>2258</v>
      </c>
      <c r="P2613" s="11" t="s">
        <v>38</v>
      </c>
      <c r="Q2613" s="20">
        <v>40260.0</v>
      </c>
      <c r="R2613" s="17">
        <f t="shared" si="2"/>
        <v>9.456876793</v>
      </c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>
        <f t="shared" si="8"/>
        <v>4</v>
      </c>
      <c r="AF2613" s="19">
        <f t="shared" si="13"/>
        <v>5</v>
      </c>
      <c r="AG2613" s="9"/>
      <c r="AH2613" s="9"/>
      <c r="AI2613" s="9"/>
    </row>
    <row r="2614" ht="15.0" customHeight="1">
      <c r="A2614" s="11">
        <v>2613.0</v>
      </c>
      <c r="B2614" s="12">
        <f t="shared" ref="B2614:B2616" si="420">DATE(2012,12,31)-1015</f>
        <v>40259</v>
      </c>
      <c r="C2614" s="13">
        <v>2010.0</v>
      </c>
      <c r="D2614" s="11" t="s">
        <v>39</v>
      </c>
      <c r="E2614" s="11">
        <v>43.0</v>
      </c>
      <c r="F2614" s="21" t="s">
        <v>718</v>
      </c>
      <c r="G2614" s="15">
        <v>0.023089789303079408</v>
      </c>
      <c r="H2614" s="11" t="s">
        <v>33</v>
      </c>
      <c r="I2614" s="16">
        <v>6.184000000000001</v>
      </c>
      <c r="J2614" s="11" t="s">
        <v>1332</v>
      </c>
      <c r="K2614" s="11" t="s">
        <v>35</v>
      </c>
      <c r="L2614" s="11" t="s">
        <v>41</v>
      </c>
      <c r="M2614" s="11" t="s">
        <v>28</v>
      </c>
      <c r="N2614" s="11" t="s">
        <v>62</v>
      </c>
      <c r="O2614" s="11" t="s">
        <v>720</v>
      </c>
      <c r="P2614" s="11" t="s">
        <v>38</v>
      </c>
      <c r="Q2614" s="20">
        <v>40261.0</v>
      </c>
      <c r="R2614" s="17">
        <f t="shared" si="2"/>
        <v>34.79363406</v>
      </c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>
        <f t="shared" si="8"/>
        <v>3</v>
      </c>
      <c r="AF2614" s="19">
        <f t="shared" si="13"/>
        <v>2</v>
      </c>
      <c r="AG2614" s="9"/>
      <c r="AH2614" s="9"/>
      <c r="AI2614" s="9"/>
    </row>
    <row r="2615" ht="15.0" customHeight="1">
      <c r="A2615" s="11">
        <v>2614.0</v>
      </c>
      <c r="B2615" s="12">
        <f t="shared" si="420"/>
        <v>40259</v>
      </c>
      <c r="C2615" s="13">
        <v>2010.0</v>
      </c>
      <c r="D2615" s="11" t="s">
        <v>39</v>
      </c>
      <c r="E2615" s="11">
        <v>36.0</v>
      </c>
      <c r="F2615" s="21" t="s">
        <v>122</v>
      </c>
      <c r="G2615" s="15">
        <v>0.09448457306864391</v>
      </c>
      <c r="H2615" s="11" t="s">
        <v>33</v>
      </c>
      <c r="I2615" s="16">
        <v>4.792000000000001</v>
      </c>
      <c r="J2615" s="11" t="s">
        <v>897</v>
      </c>
      <c r="K2615" s="11" t="s">
        <v>26</v>
      </c>
      <c r="L2615" s="11" t="s">
        <v>41</v>
      </c>
      <c r="M2615" s="11" t="s">
        <v>66</v>
      </c>
      <c r="N2615" s="11" t="s">
        <v>67</v>
      </c>
      <c r="O2615" s="11" t="s">
        <v>1485</v>
      </c>
      <c r="P2615" s="11" t="s">
        <v>38</v>
      </c>
      <c r="Q2615" s="20">
        <v>40261.0</v>
      </c>
      <c r="R2615" s="17">
        <f t="shared" si="2"/>
        <v>71.54296285</v>
      </c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>
        <f t="shared" si="8"/>
        <v>3</v>
      </c>
      <c r="AF2615" s="19">
        <f t="shared" si="13"/>
        <v>1</v>
      </c>
      <c r="AG2615" s="9"/>
      <c r="AH2615" s="9"/>
      <c r="AI2615" s="9"/>
    </row>
    <row r="2616" ht="15.0" customHeight="1">
      <c r="A2616" s="11">
        <v>2615.0</v>
      </c>
      <c r="B2616" s="12">
        <f t="shared" si="420"/>
        <v>40259</v>
      </c>
      <c r="C2616" s="13">
        <v>2010.0</v>
      </c>
      <c r="D2616" s="11" t="s">
        <v>39</v>
      </c>
      <c r="E2616" s="11">
        <v>4.0</v>
      </c>
      <c r="F2616" s="21" t="s">
        <v>924</v>
      </c>
      <c r="G2616" s="15">
        <v>0.03002544529262086</v>
      </c>
      <c r="H2616" s="11" t="s">
        <v>33</v>
      </c>
      <c r="I2616" s="16">
        <v>1.72</v>
      </c>
      <c r="J2616" s="11" t="s">
        <v>897</v>
      </c>
      <c r="K2616" s="11" t="s">
        <v>26</v>
      </c>
      <c r="L2616" s="11" t="s">
        <v>41</v>
      </c>
      <c r="M2616" s="11" t="s">
        <v>28</v>
      </c>
      <c r="N2616" s="11" t="s">
        <v>56</v>
      </c>
      <c r="O2616" s="11" t="s">
        <v>57</v>
      </c>
      <c r="P2616" s="11" t="s">
        <v>58</v>
      </c>
      <c r="Q2616" s="20">
        <v>40261.0</v>
      </c>
      <c r="R2616" s="17">
        <f t="shared" si="2"/>
        <v>1.144569975</v>
      </c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>
        <f t="shared" si="8"/>
        <v>3</v>
      </c>
      <c r="AF2616" s="19">
        <f t="shared" si="13"/>
        <v>1</v>
      </c>
      <c r="AG2616" s="9"/>
      <c r="AH2616" s="9"/>
      <c r="AI2616" s="9"/>
    </row>
    <row r="2617" ht="15.0" customHeight="1">
      <c r="A2617" s="11">
        <v>2616.0</v>
      </c>
      <c r="B2617" s="12">
        <f>DATE(2012,12,31)-1014</f>
        <v>40260</v>
      </c>
      <c r="C2617" s="13">
        <v>2010.0</v>
      </c>
      <c r="D2617" s="11" t="s">
        <v>32</v>
      </c>
      <c r="E2617" s="11">
        <v>27.0</v>
      </c>
      <c r="F2617" s="21" t="s">
        <v>158</v>
      </c>
      <c r="G2617" s="15">
        <v>0.020306345733041513</v>
      </c>
      <c r="H2617" s="11" t="s">
        <v>33</v>
      </c>
      <c r="I2617" s="16">
        <v>6.288</v>
      </c>
      <c r="J2617" s="11" t="s">
        <v>1942</v>
      </c>
      <c r="K2617" s="11" t="s">
        <v>65</v>
      </c>
      <c r="L2617" s="11" t="s">
        <v>48</v>
      </c>
      <c r="M2617" s="11" t="s">
        <v>28</v>
      </c>
      <c r="N2617" s="11" t="s">
        <v>56</v>
      </c>
      <c r="O2617" s="11" t="s">
        <v>1285</v>
      </c>
      <c r="P2617" s="11" t="s">
        <v>38</v>
      </c>
      <c r="Q2617" s="20">
        <v>40261.0</v>
      </c>
      <c r="R2617" s="17">
        <f t="shared" si="2"/>
        <v>3.636622845</v>
      </c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>
        <f t="shared" si="8"/>
        <v>4</v>
      </c>
      <c r="AF2617" s="19">
        <f t="shared" si="13"/>
        <v>5</v>
      </c>
      <c r="AG2617" s="9"/>
      <c r="AH2617" s="9"/>
      <c r="AI2617" s="9"/>
    </row>
    <row r="2618" ht="15.0" customHeight="1">
      <c r="A2618" s="11">
        <v>2617.0</v>
      </c>
      <c r="B2618" s="12">
        <f t="shared" ref="B2618:B2622" si="421">DATE(2012,12,31)-1013</f>
        <v>40261</v>
      </c>
      <c r="C2618" s="13">
        <v>2010.0</v>
      </c>
      <c r="D2618" s="11" t="s">
        <v>23</v>
      </c>
      <c r="E2618" s="11">
        <v>14.0</v>
      </c>
      <c r="F2618" s="21" t="s">
        <v>122</v>
      </c>
      <c r="G2618" s="15">
        <v>0.09745896656534961</v>
      </c>
      <c r="H2618" s="11" t="s">
        <v>24</v>
      </c>
      <c r="I2618" s="16">
        <v>4.336</v>
      </c>
      <c r="J2618" s="11" t="s">
        <v>1877</v>
      </c>
      <c r="K2618" s="11" t="s">
        <v>26</v>
      </c>
      <c r="L2618" s="11" t="s">
        <v>48</v>
      </c>
      <c r="M2618" s="11" t="s">
        <v>28</v>
      </c>
      <c r="N2618" s="11" t="s">
        <v>29</v>
      </c>
      <c r="O2618" s="11" t="s">
        <v>2207</v>
      </c>
      <c r="P2618" s="11" t="s">
        <v>38</v>
      </c>
      <c r="Q2618" s="20">
        <v>40262.0</v>
      </c>
      <c r="R2618" s="17">
        <f t="shared" si="2"/>
        <v>28.9390757</v>
      </c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>
        <f t="shared" si="8"/>
        <v>4</v>
      </c>
      <c r="AF2618" s="19">
        <f t="shared" si="13"/>
        <v>1</v>
      </c>
      <c r="AG2618" s="9"/>
      <c r="AH2618" s="9"/>
      <c r="AI2618" s="9"/>
    </row>
    <row r="2619" ht="15.0" customHeight="1">
      <c r="A2619" s="11">
        <v>2618.0</v>
      </c>
      <c r="B2619" s="12">
        <f t="shared" si="421"/>
        <v>40261</v>
      </c>
      <c r="C2619" s="13">
        <v>2010.0</v>
      </c>
      <c r="D2619" s="11" t="s">
        <v>102</v>
      </c>
      <c r="E2619" s="11">
        <v>49.0</v>
      </c>
      <c r="F2619" s="21" t="s">
        <v>270</v>
      </c>
      <c r="G2619" s="15">
        <v>0.06833371851167097</v>
      </c>
      <c r="H2619" s="11" t="s">
        <v>33</v>
      </c>
      <c r="I2619" s="16">
        <v>11.56</v>
      </c>
      <c r="J2619" s="11" t="s">
        <v>1515</v>
      </c>
      <c r="K2619" s="11" t="s">
        <v>47</v>
      </c>
      <c r="L2619" s="11" t="s">
        <v>48</v>
      </c>
      <c r="M2619" s="11" t="s">
        <v>49</v>
      </c>
      <c r="N2619" s="11" t="s">
        <v>73</v>
      </c>
      <c r="O2619" s="11" t="s">
        <v>2259</v>
      </c>
      <c r="P2619" s="11" t="s">
        <v>31</v>
      </c>
      <c r="Q2619" s="20">
        <v>40262.0</v>
      </c>
      <c r="R2619" s="17">
        <f t="shared" si="2"/>
        <v>137.7375431</v>
      </c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>
        <f t="shared" si="8"/>
        <v>4</v>
      </c>
      <c r="AF2619" s="19">
        <f t="shared" si="13"/>
        <v>3</v>
      </c>
      <c r="AG2619" s="9"/>
      <c r="AH2619" s="9"/>
      <c r="AI2619" s="9"/>
    </row>
    <row r="2620" ht="15.0" customHeight="1">
      <c r="A2620" s="11">
        <v>2619.0</v>
      </c>
      <c r="B2620" s="12">
        <f t="shared" si="421"/>
        <v>40261</v>
      </c>
      <c r="C2620" s="13">
        <v>2010.0</v>
      </c>
      <c r="D2620" s="11" t="s">
        <v>44</v>
      </c>
      <c r="E2620" s="11">
        <v>32.0</v>
      </c>
      <c r="F2620" s="21" t="s">
        <v>2260</v>
      </c>
      <c r="G2620" s="15">
        <v>0.09138784473815394</v>
      </c>
      <c r="H2620" s="11" t="s">
        <v>33</v>
      </c>
      <c r="I2620" s="16">
        <v>7.992000000000001</v>
      </c>
      <c r="J2620" s="11" t="s">
        <v>279</v>
      </c>
      <c r="K2620" s="11" t="s">
        <v>47</v>
      </c>
      <c r="L2620" s="11" t="s">
        <v>41</v>
      </c>
      <c r="M2620" s="11" t="s">
        <v>28</v>
      </c>
      <c r="N2620" s="11" t="s">
        <v>29</v>
      </c>
      <c r="O2620" s="11" t="s">
        <v>2261</v>
      </c>
      <c r="P2620" s="11" t="s">
        <v>38</v>
      </c>
      <c r="Q2620" s="20">
        <v>40262.0</v>
      </c>
      <c r="R2620" s="17">
        <f t="shared" si="2"/>
        <v>616.3188938</v>
      </c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>
        <f t="shared" si="8"/>
        <v>3</v>
      </c>
      <c r="AF2620" s="19">
        <f t="shared" si="13"/>
        <v>3</v>
      </c>
      <c r="AG2620" s="9"/>
      <c r="AH2620" s="9"/>
      <c r="AI2620" s="9"/>
    </row>
    <row r="2621" ht="15.0" customHeight="1">
      <c r="A2621" s="11">
        <v>2620.0</v>
      </c>
      <c r="B2621" s="12">
        <f t="shared" si="421"/>
        <v>40261</v>
      </c>
      <c r="C2621" s="13">
        <v>2010.0</v>
      </c>
      <c r="D2621" s="11" t="s">
        <v>39</v>
      </c>
      <c r="E2621" s="11">
        <v>15.0</v>
      </c>
      <c r="F2621" s="21" t="s">
        <v>1158</v>
      </c>
      <c r="G2621" s="15">
        <v>0.07234482758620686</v>
      </c>
      <c r="H2621" s="11" t="s">
        <v>33</v>
      </c>
      <c r="I2621" s="16">
        <v>1.304</v>
      </c>
      <c r="J2621" s="11" t="s">
        <v>2262</v>
      </c>
      <c r="K2621" s="11" t="s">
        <v>26</v>
      </c>
      <c r="L2621" s="11" t="s">
        <v>27</v>
      </c>
      <c r="M2621" s="11" t="s">
        <v>28</v>
      </c>
      <c r="N2621" s="11" t="s">
        <v>216</v>
      </c>
      <c r="O2621" s="11" t="s">
        <v>1159</v>
      </c>
      <c r="P2621" s="11" t="s">
        <v>58</v>
      </c>
      <c r="Q2621" s="20">
        <v>40263.0</v>
      </c>
      <c r="R2621" s="17">
        <f t="shared" si="2"/>
        <v>3.892441103</v>
      </c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>
        <f t="shared" si="8"/>
        <v>1</v>
      </c>
      <c r="AF2621" s="19">
        <f t="shared" si="13"/>
        <v>1</v>
      </c>
      <c r="AG2621" s="9"/>
      <c r="AH2621" s="9"/>
      <c r="AI2621" s="9"/>
    </row>
    <row r="2622" ht="15.0" customHeight="1">
      <c r="A2622" s="11">
        <v>2621.0</v>
      </c>
      <c r="B2622" s="12">
        <f t="shared" si="421"/>
        <v>40261</v>
      </c>
      <c r="C2622" s="13">
        <v>2010.0</v>
      </c>
      <c r="D2622" s="11" t="s">
        <v>44</v>
      </c>
      <c r="E2622" s="11">
        <v>38.0</v>
      </c>
      <c r="F2622" s="21" t="s">
        <v>838</v>
      </c>
      <c r="G2622" s="15">
        <v>0.040306119880170105</v>
      </c>
      <c r="H2622" s="11" t="s">
        <v>33</v>
      </c>
      <c r="I2622" s="16">
        <v>15.991999999999999</v>
      </c>
      <c r="J2622" s="11" t="s">
        <v>2074</v>
      </c>
      <c r="K2622" s="11" t="s">
        <v>35</v>
      </c>
      <c r="L2622" s="11" t="s">
        <v>36</v>
      </c>
      <c r="M2622" s="11" t="s">
        <v>66</v>
      </c>
      <c r="N2622" s="11" t="s">
        <v>67</v>
      </c>
      <c r="O2622" s="11" t="s">
        <v>2263</v>
      </c>
      <c r="P2622" s="11" t="s">
        <v>38</v>
      </c>
      <c r="Q2622" s="20">
        <v>40263.0</v>
      </c>
      <c r="R2622" s="17">
        <f t="shared" si="2"/>
        <v>153.6546678</v>
      </c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>
        <f t="shared" si="8"/>
        <v>2</v>
      </c>
      <c r="AF2622" s="19">
        <f t="shared" si="13"/>
        <v>2</v>
      </c>
      <c r="AG2622" s="9"/>
      <c r="AH2622" s="9"/>
      <c r="AI2622" s="9"/>
    </row>
    <row r="2623" ht="15.0" customHeight="1">
      <c r="A2623" s="11">
        <v>2622.0</v>
      </c>
      <c r="B2623" s="12">
        <f t="shared" ref="B2623:B2628" si="422">DATE(2012,12,31)-1012</f>
        <v>40262</v>
      </c>
      <c r="C2623" s="13">
        <v>2010.0</v>
      </c>
      <c r="D2623" s="11" t="s">
        <v>39</v>
      </c>
      <c r="E2623" s="11">
        <v>22.0</v>
      </c>
      <c r="F2623" s="21" t="s">
        <v>805</v>
      </c>
      <c r="G2623" s="15">
        <v>0.021473721908854663</v>
      </c>
      <c r="H2623" s="11" t="s">
        <v>45</v>
      </c>
      <c r="I2623" s="16">
        <v>43.296</v>
      </c>
      <c r="J2623" s="11" t="s">
        <v>180</v>
      </c>
      <c r="K2623" s="11" t="s">
        <v>35</v>
      </c>
      <c r="L2623" s="11" t="s">
        <v>36</v>
      </c>
      <c r="M2623" s="11" t="s">
        <v>49</v>
      </c>
      <c r="N2623" s="11" t="s">
        <v>85</v>
      </c>
      <c r="O2623" s="11" t="s">
        <v>807</v>
      </c>
      <c r="P2623" s="11" t="s">
        <v>87</v>
      </c>
      <c r="Q2623" s="20">
        <v>40264.0</v>
      </c>
      <c r="R2623" s="17">
        <f t="shared" si="2"/>
        <v>140.8138455</v>
      </c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>
        <f t="shared" si="8"/>
        <v>2</v>
      </c>
      <c r="AF2623" s="19">
        <f t="shared" si="13"/>
        <v>2</v>
      </c>
      <c r="AG2623" s="9"/>
      <c r="AH2623" s="9"/>
      <c r="AI2623" s="9"/>
    </row>
    <row r="2624" ht="15.0" customHeight="1">
      <c r="A2624" s="11">
        <v>2623.0</v>
      </c>
      <c r="B2624" s="12">
        <f t="shared" si="422"/>
        <v>40262</v>
      </c>
      <c r="C2624" s="13">
        <v>2010.0</v>
      </c>
      <c r="D2624" s="11" t="s">
        <v>23</v>
      </c>
      <c r="E2624" s="11">
        <v>33.0</v>
      </c>
      <c r="F2624" s="21" t="s">
        <v>126</v>
      </c>
      <c r="G2624" s="15">
        <v>0.0509629629629629</v>
      </c>
      <c r="H2624" s="11" t="s">
        <v>33</v>
      </c>
      <c r="I2624" s="16">
        <v>4.856000000000001</v>
      </c>
      <c r="J2624" s="11" t="s">
        <v>1876</v>
      </c>
      <c r="K2624" s="11" t="s">
        <v>61</v>
      </c>
      <c r="L2624" s="11" t="s">
        <v>27</v>
      </c>
      <c r="M2624" s="11" t="s">
        <v>28</v>
      </c>
      <c r="N2624" s="11" t="s">
        <v>56</v>
      </c>
      <c r="O2624" s="11" t="s">
        <v>1316</v>
      </c>
      <c r="P2624" s="11" t="s">
        <v>38</v>
      </c>
      <c r="Q2624" s="20">
        <v>40264.0</v>
      </c>
      <c r="R2624" s="17">
        <f t="shared" si="2"/>
        <v>8.488187259</v>
      </c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>
        <f t="shared" si="8"/>
        <v>1</v>
      </c>
      <c r="AF2624" s="19">
        <f t="shared" si="13"/>
        <v>4</v>
      </c>
      <c r="AG2624" s="9"/>
      <c r="AH2624" s="9"/>
      <c r="AI2624" s="9"/>
    </row>
    <row r="2625" ht="15.0" customHeight="1">
      <c r="A2625" s="11">
        <v>2624.0</v>
      </c>
      <c r="B2625" s="12">
        <f t="shared" si="422"/>
        <v>40262</v>
      </c>
      <c r="C2625" s="13">
        <v>2010.0</v>
      </c>
      <c r="D2625" s="11" t="s">
        <v>44</v>
      </c>
      <c r="E2625" s="11">
        <v>16.0</v>
      </c>
      <c r="F2625" s="21" t="s">
        <v>328</v>
      </c>
      <c r="G2625" s="15">
        <v>0.04976212016390816</v>
      </c>
      <c r="H2625" s="11" t="s">
        <v>33</v>
      </c>
      <c r="I2625" s="16">
        <v>11.192</v>
      </c>
      <c r="J2625" s="11" t="s">
        <v>1560</v>
      </c>
      <c r="K2625" s="11" t="s">
        <v>26</v>
      </c>
      <c r="L2625" s="11" t="s">
        <v>27</v>
      </c>
      <c r="M2625" s="11" t="s">
        <v>49</v>
      </c>
      <c r="N2625" s="11" t="s">
        <v>73</v>
      </c>
      <c r="O2625" s="11" t="s">
        <v>330</v>
      </c>
      <c r="P2625" s="11" t="s">
        <v>75</v>
      </c>
      <c r="Q2625" s="20">
        <v>40264.0</v>
      </c>
      <c r="R2625" s="17">
        <f t="shared" si="2"/>
        <v>88.85484367</v>
      </c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>
        <f t="shared" si="8"/>
        <v>1</v>
      </c>
      <c r="AF2625" s="19">
        <f t="shared" si="13"/>
        <v>1</v>
      </c>
      <c r="AG2625" s="9"/>
      <c r="AH2625" s="9"/>
      <c r="AI2625" s="9"/>
    </row>
    <row r="2626" ht="15.0" customHeight="1">
      <c r="A2626" s="11">
        <v>2625.0</v>
      </c>
      <c r="B2626" s="12">
        <f t="shared" si="422"/>
        <v>40262</v>
      </c>
      <c r="C2626" s="13">
        <v>2010.0</v>
      </c>
      <c r="D2626" s="11" t="s">
        <v>44</v>
      </c>
      <c r="E2626" s="11">
        <v>48.0</v>
      </c>
      <c r="F2626" s="21" t="s">
        <v>319</v>
      </c>
      <c r="G2626" s="15">
        <v>0.1044135188866801</v>
      </c>
      <c r="H2626" s="11" t="s">
        <v>33</v>
      </c>
      <c r="I2626" s="16">
        <v>0.7440000000000001</v>
      </c>
      <c r="J2626" s="11" t="s">
        <v>1560</v>
      </c>
      <c r="K2626" s="11" t="s">
        <v>26</v>
      </c>
      <c r="L2626" s="11" t="s">
        <v>27</v>
      </c>
      <c r="M2626" s="11" t="s">
        <v>28</v>
      </c>
      <c r="N2626" s="11" t="s">
        <v>62</v>
      </c>
      <c r="O2626" s="11" t="s">
        <v>1427</v>
      </c>
      <c r="P2626" s="11" t="s">
        <v>58</v>
      </c>
      <c r="Q2626" s="20">
        <v>40264.0</v>
      </c>
      <c r="R2626" s="17">
        <f t="shared" si="2"/>
        <v>14.1108606</v>
      </c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>
        <f t="shared" si="8"/>
        <v>1</v>
      </c>
      <c r="AF2626" s="19">
        <f t="shared" si="13"/>
        <v>1</v>
      </c>
      <c r="AG2626" s="9"/>
      <c r="AH2626" s="9"/>
      <c r="AI2626" s="9"/>
    </row>
    <row r="2627" ht="15.0" customHeight="1">
      <c r="A2627" s="11">
        <v>2626.0</v>
      </c>
      <c r="B2627" s="12">
        <f t="shared" si="422"/>
        <v>40262</v>
      </c>
      <c r="C2627" s="13">
        <v>2010.0</v>
      </c>
      <c r="D2627" s="11" t="s">
        <v>44</v>
      </c>
      <c r="E2627" s="11">
        <v>31.0</v>
      </c>
      <c r="F2627" s="21" t="s">
        <v>178</v>
      </c>
      <c r="G2627" s="15">
        <v>0.07611897251013966</v>
      </c>
      <c r="H2627" s="11" t="s">
        <v>33</v>
      </c>
      <c r="I2627" s="16">
        <v>7.192</v>
      </c>
      <c r="J2627" s="11" t="s">
        <v>1560</v>
      </c>
      <c r="K2627" s="11" t="s">
        <v>26</v>
      </c>
      <c r="L2627" s="11" t="s">
        <v>27</v>
      </c>
      <c r="M2627" s="11" t="s">
        <v>66</v>
      </c>
      <c r="N2627" s="11" t="s">
        <v>80</v>
      </c>
      <c r="O2627" s="11" t="s">
        <v>1329</v>
      </c>
      <c r="P2627" s="11" t="s">
        <v>38</v>
      </c>
      <c r="Q2627" s="20">
        <v>40265.0</v>
      </c>
      <c r="R2627" s="17">
        <f t="shared" si="2"/>
        <v>156.0508966</v>
      </c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>
        <f t="shared" si="8"/>
        <v>1</v>
      </c>
      <c r="AF2627" s="19">
        <f t="shared" si="13"/>
        <v>1</v>
      </c>
      <c r="AG2627" s="9"/>
      <c r="AH2627" s="9"/>
      <c r="AI2627" s="9"/>
    </row>
    <row r="2628" ht="15.0" customHeight="1">
      <c r="A2628" s="11">
        <v>2627.0</v>
      </c>
      <c r="B2628" s="12">
        <f t="shared" si="422"/>
        <v>40262</v>
      </c>
      <c r="C2628" s="13">
        <v>2010.0</v>
      </c>
      <c r="D2628" s="11" t="s">
        <v>102</v>
      </c>
      <c r="E2628" s="11">
        <v>5.0</v>
      </c>
      <c r="F2628" s="21" t="s">
        <v>126</v>
      </c>
      <c r="G2628" s="15">
        <v>0.0773597359735974</v>
      </c>
      <c r="H2628" s="11" t="s">
        <v>33</v>
      </c>
      <c r="I2628" s="16">
        <v>3.4560000000000004</v>
      </c>
      <c r="J2628" s="11" t="s">
        <v>366</v>
      </c>
      <c r="K2628" s="11" t="s">
        <v>35</v>
      </c>
      <c r="L2628" s="11" t="s">
        <v>48</v>
      </c>
      <c r="M2628" s="11" t="s">
        <v>66</v>
      </c>
      <c r="N2628" s="11" t="s">
        <v>67</v>
      </c>
      <c r="O2628" s="11" t="s">
        <v>2181</v>
      </c>
      <c r="P2628" s="11" t="s">
        <v>99</v>
      </c>
      <c r="Q2628" s="20">
        <v>40265.0</v>
      </c>
      <c r="R2628" s="17">
        <f t="shared" si="2"/>
        <v>2.162668779</v>
      </c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>
        <f t="shared" si="8"/>
        <v>4</v>
      </c>
      <c r="AF2628" s="19">
        <f t="shared" si="13"/>
        <v>2</v>
      </c>
      <c r="AG2628" s="9"/>
      <c r="AH2628" s="9"/>
      <c r="AI2628" s="9"/>
    </row>
    <row r="2629" ht="15.0" customHeight="1">
      <c r="A2629" s="11">
        <v>2628.0</v>
      </c>
      <c r="B2629" s="12">
        <f t="shared" ref="B2629:B2631" si="423">DATE(2012,12,31)-1011</f>
        <v>40263</v>
      </c>
      <c r="C2629" s="13">
        <v>2010.0</v>
      </c>
      <c r="D2629" s="11" t="s">
        <v>102</v>
      </c>
      <c r="E2629" s="11">
        <v>22.0</v>
      </c>
      <c r="F2629" s="21" t="s">
        <v>425</v>
      </c>
      <c r="G2629" s="15">
        <v>0.05705894519131339</v>
      </c>
      <c r="H2629" s="11" t="s">
        <v>33</v>
      </c>
      <c r="I2629" s="16">
        <v>11.512</v>
      </c>
      <c r="J2629" s="11" t="s">
        <v>1490</v>
      </c>
      <c r="K2629" s="11" t="s">
        <v>61</v>
      </c>
      <c r="L2629" s="11" t="s">
        <v>48</v>
      </c>
      <c r="M2629" s="11" t="s">
        <v>49</v>
      </c>
      <c r="N2629" s="11" t="s">
        <v>73</v>
      </c>
      <c r="O2629" s="11" t="s">
        <v>427</v>
      </c>
      <c r="P2629" s="11" t="s">
        <v>38</v>
      </c>
      <c r="Q2629" s="20">
        <v>40265.0</v>
      </c>
      <c r="R2629" s="17">
        <f t="shared" si="2"/>
        <v>26.01385782</v>
      </c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>
        <f t="shared" si="8"/>
        <v>4</v>
      </c>
      <c r="AF2629" s="19">
        <f t="shared" si="13"/>
        <v>4</v>
      </c>
      <c r="AG2629" s="9"/>
      <c r="AH2629" s="9"/>
      <c r="AI2629" s="9"/>
    </row>
    <row r="2630" ht="15.0" customHeight="1">
      <c r="A2630" s="11">
        <v>2629.0</v>
      </c>
      <c r="B2630" s="12">
        <f t="shared" si="423"/>
        <v>40263</v>
      </c>
      <c r="C2630" s="13">
        <v>2010.0</v>
      </c>
      <c r="D2630" s="11" t="s">
        <v>102</v>
      </c>
      <c r="E2630" s="11">
        <v>30.0</v>
      </c>
      <c r="F2630" s="21" t="s">
        <v>178</v>
      </c>
      <c r="G2630" s="15">
        <v>0.06692815387516483</v>
      </c>
      <c r="H2630" s="11" t="s">
        <v>33</v>
      </c>
      <c r="I2630" s="16">
        <v>2.232</v>
      </c>
      <c r="J2630" s="11" t="s">
        <v>1490</v>
      </c>
      <c r="K2630" s="11" t="s">
        <v>61</v>
      </c>
      <c r="L2630" s="11" t="s">
        <v>48</v>
      </c>
      <c r="M2630" s="11" t="s">
        <v>66</v>
      </c>
      <c r="N2630" s="11" t="s">
        <v>80</v>
      </c>
      <c r="O2630" s="11" t="s">
        <v>2264</v>
      </c>
      <c r="P2630" s="11" t="s">
        <v>38</v>
      </c>
      <c r="Q2630" s="20">
        <v>40265.0</v>
      </c>
      <c r="R2630" s="17">
        <f t="shared" si="2"/>
        <v>132.4663439</v>
      </c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>
        <f t="shared" si="8"/>
        <v>4</v>
      </c>
      <c r="AF2630" s="19">
        <f t="shared" si="13"/>
        <v>4</v>
      </c>
      <c r="AG2630" s="9"/>
      <c r="AH2630" s="9"/>
      <c r="AI2630" s="9"/>
    </row>
    <row r="2631" ht="15.0" customHeight="1">
      <c r="A2631" s="11">
        <v>2630.0</v>
      </c>
      <c r="B2631" s="12">
        <f t="shared" si="423"/>
        <v>40263</v>
      </c>
      <c r="C2631" s="13">
        <v>2010.0</v>
      </c>
      <c r="D2631" s="11" t="s">
        <v>44</v>
      </c>
      <c r="E2631" s="11">
        <v>5.0</v>
      </c>
      <c r="F2631" s="21" t="s">
        <v>2210</v>
      </c>
      <c r="G2631" s="15">
        <v>0.1264454976303319</v>
      </c>
      <c r="H2631" s="11" t="s">
        <v>33</v>
      </c>
      <c r="I2631" s="16">
        <v>1.4320000000000002</v>
      </c>
      <c r="J2631" s="11" t="s">
        <v>145</v>
      </c>
      <c r="K2631" s="11" t="s">
        <v>83</v>
      </c>
      <c r="L2631" s="11" t="s">
        <v>41</v>
      </c>
      <c r="M2631" s="11" t="s">
        <v>28</v>
      </c>
      <c r="N2631" s="11" t="s">
        <v>197</v>
      </c>
      <c r="O2631" s="11" t="s">
        <v>2265</v>
      </c>
      <c r="P2631" s="11" t="s">
        <v>31</v>
      </c>
      <c r="Q2631" s="20">
        <v>40266.0</v>
      </c>
      <c r="R2631" s="17">
        <f t="shared" si="2"/>
        <v>2.330643412</v>
      </c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>
        <f t="shared" si="8"/>
        <v>3</v>
      </c>
      <c r="AF2631" s="19" t="b">
        <f t="shared" si="13"/>
        <v>0</v>
      </c>
      <c r="AG2631" s="9"/>
      <c r="AH2631" s="9"/>
      <c r="AI2631" s="9"/>
    </row>
    <row r="2632" ht="15.0" customHeight="1">
      <c r="A2632" s="11">
        <v>2631.0</v>
      </c>
      <c r="B2632" s="12">
        <f t="shared" ref="B2632:B2634" si="424">DATE(2012,12,31)-1010</f>
        <v>40264</v>
      </c>
      <c r="C2632" s="13">
        <v>2010.0</v>
      </c>
      <c r="D2632" s="11" t="s">
        <v>32</v>
      </c>
      <c r="E2632" s="11">
        <v>42.0</v>
      </c>
      <c r="F2632" s="21" t="s">
        <v>377</v>
      </c>
      <c r="G2632" s="15">
        <v>0.06871253466941056</v>
      </c>
      <c r="H2632" s="11" t="s">
        <v>33</v>
      </c>
      <c r="I2632" s="16">
        <v>28.0</v>
      </c>
      <c r="J2632" s="11" t="s">
        <v>2266</v>
      </c>
      <c r="K2632" s="11" t="s">
        <v>26</v>
      </c>
      <c r="L2632" s="11" t="s">
        <v>48</v>
      </c>
      <c r="M2632" s="11" t="s">
        <v>28</v>
      </c>
      <c r="N2632" s="11" t="s">
        <v>29</v>
      </c>
      <c r="O2632" s="11" t="s">
        <v>1749</v>
      </c>
      <c r="P2632" s="11" t="s">
        <v>31</v>
      </c>
      <c r="Q2632" s="20">
        <v>40266.0</v>
      </c>
      <c r="R2632" s="17">
        <f t="shared" si="2"/>
        <v>143.0457547</v>
      </c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>
        <f t="shared" si="8"/>
        <v>4</v>
      </c>
      <c r="AF2632" s="19">
        <f t="shared" si="13"/>
        <v>1</v>
      </c>
      <c r="AG2632" s="9"/>
      <c r="AH2632" s="9"/>
      <c r="AI2632" s="9"/>
    </row>
    <row r="2633" ht="15.0" customHeight="1">
      <c r="A2633" s="11">
        <v>2632.0</v>
      </c>
      <c r="B2633" s="12">
        <f t="shared" si="424"/>
        <v>40264</v>
      </c>
      <c r="C2633" s="13">
        <v>2010.0</v>
      </c>
      <c r="D2633" s="11" t="s">
        <v>23</v>
      </c>
      <c r="E2633" s="11">
        <v>29.0</v>
      </c>
      <c r="F2633" s="21" t="s">
        <v>158</v>
      </c>
      <c r="G2633" s="15">
        <v>0.028240081383519654</v>
      </c>
      <c r="H2633" s="11" t="s">
        <v>33</v>
      </c>
      <c r="I2633" s="16">
        <v>5.448</v>
      </c>
      <c r="J2633" s="11" t="s">
        <v>2267</v>
      </c>
      <c r="K2633" s="11" t="s">
        <v>65</v>
      </c>
      <c r="L2633" s="11" t="s">
        <v>48</v>
      </c>
      <c r="M2633" s="11" t="s">
        <v>28</v>
      </c>
      <c r="N2633" s="11" t="s">
        <v>56</v>
      </c>
      <c r="O2633" s="11" t="s">
        <v>1698</v>
      </c>
      <c r="P2633" s="11" t="s">
        <v>38</v>
      </c>
      <c r="Q2633" s="20">
        <v>40266.0</v>
      </c>
      <c r="R2633" s="17">
        <f t="shared" si="2"/>
        <v>5.395211068</v>
      </c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>
        <f t="shared" si="8"/>
        <v>4</v>
      </c>
      <c r="AF2633" s="19">
        <f t="shared" si="13"/>
        <v>5</v>
      </c>
      <c r="AG2633" s="9"/>
      <c r="AH2633" s="9"/>
      <c r="AI2633" s="9"/>
    </row>
    <row r="2634" ht="15.0" customHeight="1">
      <c r="A2634" s="11">
        <v>2633.0</v>
      </c>
      <c r="B2634" s="12">
        <f t="shared" si="424"/>
        <v>40264</v>
      </c>
      <c r="C2634" s="13">
        <v>2010.0</v>
      </c>
      <c r="D2634" s="11" t="s">
        <v>39</v>
      </c>
      <c r="E2634" s="11">
        <v>43.0</v>
      </c>
      <c r="F2634" s="21" t="s">
        <v>397</v>
      </c>
      <c r="G2634" s="15">
        <v>0.041110174255199576</v>
      </c>
      <c r="H2634" s="11" t="s">
        <v>33</v>
      </c>
      <c r="I2634" s="16">
        <v>1.592</v>
      </c>
      <c r="J2634" s="11" t="s">
        <v>942</v>
      </c>
      <c r="K2634" s="11" t="s">
        <v>61</v>
      </c>
      <c r="L2634" s="11" t="s">
        <v>48</v>
      </c>
      <c r="M2634" s="11" t="s">
        <v>66</v>
      </c>
      <c r="N2634" s="11" t="s">
        <v>67</v>
      </c>
      <c r="O2634" s="11" t="s">
        <v>502</v>
      </c>
      <c r="P2634" s="11" t="s">
        <v>99</v>
      </c>
      <c r="Q2634" s="20">
        <v>40266.0</v>
      </c>
      <c r="R2634" s="17">
        <f t="shared" si="2"/>
        <v>56.10272592</v>
      </c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>
        <f t="shared" si="8"/>
        <v>4</v>
      </c>
      <c r="AF2634" s="19">
        <f t="shared" si="13"/>
        <v>4</v>
      </c>
      <c r="AG2634" s="9"/>
      <c r="AH2634" s="9"/>
      <c r="AI2634" s="9"/>
    </row>
    <row r="2635" ht="15.0" customHeight="1">
      <c r="A2635" s="11">
        <v>2634.0</v>
      </c>
      <c r="B2635" s="12">
        <f t="shared" ref="B2635:B2640" si="425">DATE(2012,12,31)-1009</f>
        <v>40265</v>
      </c>
      <c r="C2635" s="13">
        <v>2010.0</v>
      </c>
      <c r="D2635" s="11" t="s">
        <v>23</v>
      </c>
      <c r="E2635" s="11">
        <v>2.0</v>
      </c>
      <c r="F2635" s="21" t="s">
        <v>2212</v>
      </c>
      <c r="G2635" s="15">
        <v>0.06663484486873512</v>
      </c>
      <c r="H2635" s="11" t="s">
        <v>33</v>
      </c>
      <c r="I2635" s="16">
        <v>3.416</v>
      </c>
      <c r="J2635" s="11" t="s">
        <v>205</v>
      </c>
      <c r="K2635" s="11" t="s">
        <v>83</v>
      </c>
      <c r="L2635" s="11" t="s">
        <v>36</v>
      </c>
      <c r="M2635" s="11" t="s">
        <v>28</v>
      </c>
      <c r="N2635" s="11" t="s">
        <v>62</v>
      </c>
      <c r="O2635" s="11" t="s">
        <v>2213</v>
      </c>
      <c r="P2635" s="11" t="s">
        <v>58</v>
      </c>
      <c r="Q2635" s="20">
        <v>40266.0</v>
      </c>
      <c r="R2635" s="17">
        <f t="shared" si="2"/>
        <v>5.211911026</v>
      </c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>
        <f t="shared" si="8"/>
        <v>2</v>
      </c>
      <c r="AF2635" s="19" t="b">
        <f t="shared" si="13"/>
        <v>0</v>
      </c>
      <c r="AG2635" s="9"/>
      <c r="AH2635" s="9"/>
      <c r="AI2635" s="9"/>
    </row>
    <row r="2636" ht="15.0" customHeight="1">
      <c r="A2636" s="11">
        <v>2635.0</v>
      </c>
      <c r="B2636" s="12">
        <f t="shared" si="425"/>
        <v>40265</v>
      </c>
      <c r="C2636" s="13">
        <v>2010.0</v>
      </c>
      <c r="D2636" s="11" t="s">
        <v>44</v>
      </c>
      <c r="E2636" s="11">
        <v>3.0</v>
      </c>
      <c r="F2636" s="21" t="s">
        <v>422</v>
      </c>
      <c r="G2636" s="15">
        <v>0.08024564994882286</v>
      </c>
      <c r="H2636" s="11" t="s">
        <v>45</v>
      </c>
      <c r="I2636" s="16">
        <v>26.880000000000003</v>
      </c>
      <c r="J2636" s="11" t="s">
        <v>665</v>
      </c>
      <c r="K2636" s="11" t="s">
        <v>65</v>
      </c>
      <c r="L2636" s="11" t="s">
        <v>36</v>
      </c>
      <c r="M2636" s="11" t="s">
        <v>66</v>
      </c>
      <c r="N2636" s="11" t="s">
        <v>69</v>
      </c>
      <c r="O2636" s="11" t="s">
        <v>526</v>
      </c>
      <c r="P2636" s="11" t="s">
        <v>52</v>
      </c>
      <c r="Q2636" s="20">
        <v>40267.0</v>
      </c>
      <c r="R2636" s="17">
        <f t="shared" si="2"/>
        <v>21.63262231</v>
      </c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>
        <f t="shared" si="8"/>
        <v>2</v>
      </c>
      <c r="AF2636" s="19">
        <f t="shared" si="13"/>
        <v>5</v>
      </c>
      <c r="AG2636" s="9"/>
      <c r="AH2636" s="9"/>
      <c r="AI2636" s="9"/>
    </row>
    <row r="2637" ht="15.0" customHeight="1">
      <c r="A2637" s="11">
        <v>2636.0</v>
      </c>
      <c r="B2637" s="12">
        <f t="shared" si="425"/>
        <v>40265</v>
      </c>
      <c r="C2637" s="13">
        <v>2010.0</v>
      </c>
      <c r="D2637" s="11" t="s">
        <v>44</v>
      </c>
      <c r="E2637" s="11">
        <v>47.0</v>
      </c>
      <c r="F2637" s="21" t="s">
        <v>1726</v>
      </c>
      <c r="G2637" s="15">
        <v>0.0756673923809345</v>
      </c>
      <c r="H2637" s="11" t="s">
        <v>33</v>
      </c>
      <c r="I2637" s="16">
        <v>55.2</v>
      </c>
      <c r="J2637" s="11" t="s">
        <v>665</v>
      </c>
      <c r="K2637" s="11" t="s">
        <v>65</v>
      </c>
      <c r="L2637" s="11" t="s">
        <v>36</v>
      </c>
      <c r="M2637" s="11" t="s">
        <v>49</v>
      </c>
      <c r="N2637" s="11" t="s">
        <v>85</v>
      </c>
      <c r="O2637" s="11" t="s">
        <v>1727</v>
      </c>
      <c r="P2637" s="11" t="s">
        <v>31</v>
      </c>
      <c r="Q2637" s="20">
        <v>40267.0</v>
      </c>
      <c r="R2637" s="17">
        <f t="shared" si="2"/>
        <v>748.5245456</v>
      </c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>
        <f t="shared" si="8"/>
        <v>2</v>
      </c>
      <c r="AF2637" s="19">
        <f t="shared" si="13"/>
        <v>5</v>
      </c>
      <c r="AG2637" s="9"/>
      <c r="AH2637" s="9"/>
      <c r="AI2637" s="9"/>
    </row>
    <row r="2638" ht="15.0" customHeight="1">
      <c r="A2638" s="11">
        <v>2637.0</v>
      </c>
      <c r="B2638" s="12">
        <f t="shared" si="425"/>
        <v>40265</v>
      </c>
      <c r="C2638" s="13">
        <v>2010.0</v>
      </c>
      <c r="D2638" s="11" t="s">
        <v>102</v>
      </c>
      <c r="E2638" s="11">
        <v>4.0</v>
      </c>
      <c r="F2638" s="21" t="s">
        <v>347</v>
      </c>
      <c r="G2638" s="15">
        <v>0.06893399650490654</v>
      </c>
      <c r="H2638" s="11" t="s">
        <v>45</v>
      </c>
      <c r="I2638" s="16">
        <v>72.84</v>
      </c>
      <c r="J2638" s="11" t="s">
        <v>1636</v>
      </c>
      <c r="K2638" s="11" t="s">
        <v>61</v>
      </c>
      <c r="L2638" s="11" t="s">
        <v>48</v>
      </c>
      <c r="M2638" s="11" t="s">
        <v>28</v>
      </c>
      <c r="N2638" s="11" t="s">
        <v>197</v>
      </c>
      <c r="O2638" s="11" t="s">
        <v>348</v>
      </c>
      <c r="P2638" s="11" t="s">
        <v>52</v>
      </c>
      <c r="Q2638" s="20">
        <v>40267.0</v>
      </c>
      <c r="R2638" s="17">
        <f t="shared" si="2"/>
        <v>95.49012932</v>
      </c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>
        <f t="shared" si="8"/>
        <v>4</v>
      </c>
      <c r="AF2638" s="19">
        <f t="shared" si="13"/>
        <v>4</v>
      </c>
      <c r="AG2638" s="9"/>
      <c r="AH2638" s="9"/>
      <c r="AI2638" s="9"/>
    </row>
    <row r="2639" ht="15.0" customHeight="1">
      <c r="A2639" s="11">
        <v>2638.0</v>
      </c>
      <c r="B2639" s="12">
        <f t="shared" si="425"/>
        <v>40265</v>
      </c>
      <c r="C2639" s="13">
        <v>2010.0</v>
      </c>
      <c r="D2639" s="11" t="s">
        <v>23</v>
      </c>
      <c r="E2639" s="11">
        <v>25.0</v>
      </c>
      <c r="F2639" s="21" t="s">
        <v>1158</v>
      </c>
      <c r="G2639" s="15">
        <v>0.03186512118018968</v>
      </c>
      <c r="H2639" s="11" t="s">
        <v>33</v>
      </c>
      <c r="I2639" s="16">
        <v>4.376</v>
      </c>
      <c r="J2639" s="11" t="s">
        <v>1065</v>
      </c>
      <c r="K2639" s="11" t="s">
        <v>65</v>
      </c>
      <c r="L2639" s="11" t="s">
        <v>27</v>
      </c>
      <c r="M2639" s="11" t="s">
        <v>28</v>
      </c>
      <c r="N2639" s="11" t="s">
        <v>42</v>
      </c>
      <c r="O2639" s="11" t="s">
        <v>1530</v>
      </c>
      <c r="P2639" s="11" t="s">
        <v>38</v>
      </c>
      <c r="Q2639" s="20">
        <v>40267.0</v>
      </c>
      <c r="R2639" s="17">
        <f t="shared" si="2"/>
        <v>2.927639874</v>
      </c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>
        <f t="shared" si="8"/>
        <v>1</v>
      </c>
      <c r="AF2639" s="19">
        <f t="shared" si="13"/>
        <v>5</v>
      </c>
      <c r="AG2639" s="9"/>
      <c r="AH2639" s="9"/>
      <c r="AI2639" s="9"/>
    </row>
    <row r="2640" ht="15.0" customHeight="1">
      <c r="A2640" s="11">
        <v>2639.0</v>
      </c>
      <c r="B2640" s="12">
        <f t="shared" si="425"/>
        <v>40265</v>
      </c>
      <c r="C2640" s="13">
        <v>2010.0</v>
      </c>
      <c r="D2640" s="11" t="s">
        <v>23</v>
      </c>
      <c r="E2640" s="11">
        <v>45.0</v>
      </c>
      <c r="F2640" s="21" t="s">
        <v>119</v>
      </c>
      <c r="G2640" s="15">
        <v>0.08004509582863595</v>
      </c>
      <c r="H2640" s="11" t="s">
        <v>33</v>
      </c>
      <c r="I2640" s="16">
        <v>0.6000000000000001</v>
      </c>
      <c r="J2640" s="11" t="s">
        <v>1065</v>
      </c>
      <c r="K2640" s="11" t="s">
        <v>65</v>
      </c>
      <c r="L2640" s="11" t="s">
        <v>27</v>
      </c>
      <c r="M2640" s="11" t="s">
        <v>28</v>
      </c>
      <c r="N2640" s="11" t="s">
        <v>216</v>
      </c>
      <c r="O2640" s="11" t="s">
        <v>339</v>
      </c>
      <c r="P2640" s="11" t="s">
        <v>58</v>
      </c>
      <c r="Q2640" s="20">
        <v>40267.0</v>
      </c>
      <c r="R2640" s="17">
        <f t="shared" si="2"/>
        <v>6.53167982</v>
      </c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>
        <f t="shared" si="8"/>
        <v>1</v>
      </c>
      <c r="AF2640" s="19">
        <f t="shared" si="13"/>
        <v>5</v>
      </c>
      <c r="AG2640" s="9"/>
      <c r="AH2640" s="9"/>
      <c r="AI2640" s="9"/>
    </row>
    <row r="2641" ht="15.0" customHeight="1">
      <c r="A2641" s="11">
        <v>2640.0</v>
      </c>
      <c r="B2641" s="12">
        <f t="shared" ref="B2641:B2645" si="426">DATE(2012,12,31)-1008</f>
        <v>40266</v>
      </c>
      <c r="C2641" s="13">
        <v>2010.0</v>
      </c>
      <c r="D2641" s="11" t="s">
        <v>32</v>
      </c>
      <c r="E2641" s="11">
        <v>22.0</v>
      </c>
      <c r="F2641" s="21" t="s">
        <v>425</v>
      </c>
      <c r="G2641" s="15">
        <v>0.03386466165413536</v>
      </c>
      <c r="H2641" s="11" t="s">
        <v>33</v>
      </c>
      <c r="I2641" s="16">
        <v>5.336</v>
      </c>
      <c r="J2641" s="11" t="s">
        <v>1829</v>
      </c>
      <c r="K2641" s="11" t="s">
        <v>83</v>
      </c>
      <c r="L2641" s="11" t="s">
        <v>36</v>
      </c>
      <c r="M2641" s="11" t="s">
        <v>49</v>
      </c>
      <c r="N2641" s="11" t="s">
        <v>73</v>
      </c>
      <c r="O2641" s="11" t="s">
        <v>2268</v>
      </c>
      <c r="P2641" s="11" t="s">
        <v>99</v>
      </c>
      <c r="Q2641" s="20">
        <v>40268.0</v>
      </c>
      <c r="R2641" s="17">
        <f t="shared" si="2"/>
        <v>15.23015747</v>
      </c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>
        <f t="shared" si="8"/>
        <v>2</v>
      </c>
      <c r="AF2641" s="19" t="b">
        <f t="shared" si="13"/>
        <v>0</v>
      </c>
      <c r="AG2641" s="9"/>
      <c r="AH2641" s="9"/>
      <c r="AI2641" s="9"/>
    </row>
    <row r="2642" ht="15.0" customHeight="1">
      <c r="A2642" s="11">
        <v>2641.0</v>
      </c>
      <c r="B2642" s="12">
        <f t="shared" si="426"/>
        <v>40266</v>
      </c>
      <c r="C2642" s="13">
        <v>2010.0</v>
      </c>
      <c r="D2642" s="11" t="s">
        <v>32</v>
      </c>
      <c r="E2642" s="11">
        <v>5.0</v>
      </c>
      <c r="F2642" s="21" t="s">
        <v>452</v>
      </c>
      <c r="G2642" s="15">
        <v>0.07514425694066414</v>
      </c>
      <c r="H2642" s="11" t="s">
        <v>33</v>
      </c>
      <c r="I2642" s="16">
        <v>0.792</v>
      </c>
      <c r="J2642" s="11" t="s">
        <v>248</v>
      </c>
      <c r="K2642" s="11" t="s">
        <v>117</v>
      </c>
      <c r="L2642" s="11" t="s">
        <v>48</v>
      </c>
      <c r="M2642" s="11" t="s">
        <v>28</v>
      </c>
      <c r="N2642" s="11" t="s">
        <v>197</v>
      </c>
      <c r="O2642" s="11" t="s">
        <v>454</v>
      </c>
      <c r="P2642" s="11" t="s">
        <v>38</v>
      </c>
      <c r="Q2642" s="20">
        <v>40269.0</v>
      </c>
      <c r="R2642" s="17">
        <f t="shared" si="2"/>
        <v>25.53341735</v>
      </c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>
        <f t="shared" si="8"/>
        <v>4</v>
      </c>
      <c r="AF2642" s="19" t="b">
        <f t="shared" si="13"/>
        <v>0</v>
      </c>
      <c r="AG2642" s="9"/>
      <c r="AH2642" s="9"/>
      <c r="AI2642" s="9"/>
    </row>
    <row r="2643" ht="15.0" customHeight="1">
      <c r="A2643" s="11">
        <v>2642.0</v>
      </c>
      <c r="B2643" s="12">
        <f t="shared" si="426"/>
        <v>40266</v>
      </c>
      <c r="C2643" s="13">
        <v>2010.0</v>
      </c>
      <c r="D2643" s="11" t="s">
        <v>32</v>
      </c>
      <c r="E2643" s="11">
        <v>31.0</v>
      </c>
      <c r="F2643" s="21" t="s">
        <v>1244</v>
      </c>
      <c r="G2643" s="15">
        <v>0.03900381854626498</v>
      </c>
      <c r="H2643" s="11" t="s">
        <v>33</v>
      </c>
      <c r="I2643" s="16">
        <v>19.592</v>
      </c>
      <c r="J2643" s="11" t="s">
        <v>248</v>
      </c>
      <c r="K2643" s="11" t="s">
        <v>117</v>
      </c>
      <c r="L2643" s="11" t="s">
        <v>48</v>
      </c>
      <c r="M2643" s="11" t="s">
        <v>49</v>
      </c>
      <c r="N2643" s="11" t="s">
        <v>50</v>
      </c>
      <c r="O2643" s="11" t="s">
        <v>1246</v>
      </c>
      <c r="P2643" s="11" t="s">
        <v>31</v>
      </c>
      <c r="Q2643" s="20">
        <v>40269.0</v>
      </c>
      <c r="R2643" s="17">
        <f t="shared" si="2"/>
        <v>334.722658</v>
      </c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>
        <f t="shared" si="8"/>
        <v>4</v>
      </c>
      <c r="AF2643" s="19" t="b">
        <f t="shared" si="13"/>
        <v>0</v>
      </c>
      <c r="AG2643" s="9"/>
      <c r="AH2643" s="9"/>
      <c r="AI2643" s="9"/>
    </row>
    <row r="2644" ht="15.0" customHeight="1">
      <c r="A2644" s="11">
        <v>2643.0</v>
      </c>
      <c r="B2644" s="12">
        <f t="shared" si="426"/>
        <v>40266</v>
      </c>
      <c r="C2644" s="13">
        <v>2010.0</v>
      </c>
      <c r="D2644" s="11" t="s">
        <v>23</v>
      </c>
      <c r="E2644" s="11">
        <v>34.0</v>
      </c>
      <c r="F2644" s="21" t="s">
        <v>135</v>
      </c>
      <c r="G2644" s="15">
        <v>0.017367521367521458</v>
      </c>
      <c r="H2644" s="11" t="s">
        <v>33</v>
      </c>
      <c r="I2644" s="16">
        <v>5.5360000000000005</v>
      </c>
      <c r="J2644" s="11" t="s">
        <v>1256</v>
      </c>
      <c r="K2644" s="11" t="s">
        <v>83</v>
      </c>
      <c r="L2644" s="11" t="s">
        <v>48</v>
      </c>
      <c r="M2644" s="11" t="s">
        <v>28</v>
      </c>
      <c r="N2644" s="11" t="s">
        <v>56</v>
      </c>
      <c r="O2644" s="11" t="s">
        <v>1296</v>
      </c>
      <c r="P2644" s="11" t="s">
        <v>38</v>
      </c>
      <c r="Q2644" s="20">
        <v>40269.0</v>
      </c>
      <c r="R2644" s="17">
        <f t="shared" si="2"/>
        <v>3.993418393</v>
      </c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>
        <f t="shared" si="8"/>
        <v>4</v>
      </c>
      <c r="AF2644" s="19" t="b">
        <f t="shared" si="13"/>
        <v>0</v>
      </c>
      <c r="AG2644" s="9"/>
      <c r="AH2644" s="9"/>
      <c r="AI2644" s="9"/>
    </row>
    <row r="2645" ht="15.0" customHeight="1">
      <c r="A2645" s="11">
        <v>2644.0</v>
      </c>
      <c r="B2645" s="12">
        <f t="shared" si="426"/>
        <v>40266</v>
      </c>
      <c r="C2645" s="13">
        <v>2010.0</v>
      </c>
      <c r="D2645" s="11" t="s">
        <v>23</v>
      </c>
      <c r="E2645" s="11">
        <v>47.0</v>
      </c>
      <c r="F2645" s="21" t="s">
        <v>2269</v>
      </c>
      <c r="G2645" s="15">
        <v>0.04228015030841587</v>
      </c>
      <c r="H2645" s="11" t="s">
        <v>45</v>
      </c>
      <c r="I2645" s="16">
        <v>48.0</v>
      </c>
      <c r="J2645" s="11" t="s">
        <v>1256</v>
      </c>
      <c r="K2645" s="11" t="s">
        <v>83</v>
      </c>
      <c r="L2645" s="11" t="s">
        <v>48</v>
      </c>
      <c r="M2645" s="11" t="s">
        <v>49</v>
      </c>
      <c r="N2645" s="11" t="s">
        <v>85</v>
      </c>
      <c r="O2645" s="11" t="s">
        <v>2270</v>
      </c>
      <c r="P2645" s="11" t="s">
        <v>52</v>
      </c>
      <c r="Q2645" s="20">
        <v>40269.0</v>
      </c>
      <c r="R2645" s="17">
        <f t="shared" si="2"/>
        <v>171.3360811</v>
      </c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>
        <f t="shared" si="8"/>
        <v>4</v>
      </c>
      <c r="AF2645" s="19" t="b">
        <f t="shared" si="13"/>
        <v>0</v>
      </c>
      <c r="AG2645" s="9"/>
      <c r="AH2645" s="9"/>
      <c r="AI2645" s="9"/>
    </row>
    <row r="2646" ht="15.0" customHeight="1">
      <c r="A2646" s="11">
        <v>2645.0</v>
      </c>
      <c r="B2646" s="12">
        <f t="shared" ref="B2646:B2654" si="427">DATE(2012,12,31)-1007</f>
        <v>40267</v>
      </c>
      <c r="C2646" s="13">
        <v>2010.0</v>
      </c>
      <c r="D2646" s="11" t="s">
        <v>44</v>
      </c>
      <c r="E2646" s="11">
        <v>29.0</v>
      </c>
      <c r="F2646" s="21" t="s">
        <v>254</v>
      </c>
      <c r="G2646" s="15">
        <v>0.08821185617103983</v>
      </c>
      <c r="H2646" s="11" t="s">
        <v>33</v>
      </c>
      <c r="I2646" s="16">
        <v>1.192</v>
      </c>
      <c r="J2646" s="11" t="s">
        <v>1414</v>
      </c>
      <c r="K2646" s="11" t="s">
        <v>35</v>
      </c>
      <c r="L2646" s="11" t="s">
        <v>27</v>
      </c>
      <c r="M2646" s="11" t="s">
        <v>28</v>
      </c>
      <c r="N2646" s="11" t="s">
        <v>42</v>
      </c>
      <c r="O2646" s="11" t="s">
        <v>556</v>
      </c>
      <c r="P2646" s="11" t="s">
        <v>38</v>
      </c>
      <c r="Q2646" s="20">
        <v>40269.0</v>
      </c>
      <c r="R2646" s="17">
        <f t="shared" si="2"/>
        <v>33.10520393</v>
      </c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>
        <f t="shared" si="8"/>
        <v>1</v>
      </c>
      <c r="AF2646" s="19">
        <f t="shared" si="13"/>
        <v>2</v>
      </c>
      <c r="AG2646" s="9"/>
      <c r="AH2646" s="9"/>
      <c r="AI2646" s="9"/>
    </row>
    <row r="2647" ht="15.0" customHeight="1">
      <c r="A2647" s="11">
        <v>2646.0</v>
      </c>
      <c r="B2647" s="12">
        <f t="shared" si="427"/>
        <v>40267</v>
      </c>
      <c r="C2647" s="13">
        <v>2010.0</v>
      </c>
      <c r="D2647" s="11" t="s">
        <v>44</v>
      </c>
      <c r="E2647" s="11">
        <v>32.0</v>
      </c>
      <c r="F2647" s="21" t="s">
        <v>983</v>
      </c>
      <c r="G2647" s="15">
        <v>0.017449039021549102</v>
      </c>
      <c r="H2647" s="11" t="s">
        <v>33</v>
      </c>
      <c r="I2647" s="16">
        <v>9.216</v>
      </c>
      <c r="J2647" s="11" t="s">
        <v>1414</v>
      </c>
      <c r="K2647" s="11" t="s">
        <v>35</v>
      </c>
      <c r="L2647" s="11" t="s">
        <v>27</v>
      </c>
      <c r="M2647" s="11" t="s">
        <v>28</v>
      </c>
      <c r="N2647" s="11" t="s">
        <v>29</v>
      </c>
      <c r="O2647" s="11" t="s">
        <v>984</v>
      </c>
      <c r="P2647" s="11" t="s">
        <v>38</v>
      </c>
      <c r="Q2647" s="20">
        <v>40269.0</v>
      </c>
      <c r="R2647" s="17">
        <f t="shared" si="2"/>
        <v>11.77489072</v>
      </c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>
        <f t="shared" si="8"/>
        <v>1</v>
      </c>
      <c r="AF2647" s="19">
        <f t="shared" si="13"/>
        <v>2</v>
      </c>
      <c r="AG2647" s="9"/>
      <c r="AH2647" s="9"/>
      <c r="AI2647" s="9"/>
    </row>
    <row r="2648" ht="15.0" customHeight="1">
      <c r="A2648" s="11">
        <v>2647.0</v>
      </c>
      <c r="B2648" s="12">
        <f t="shared" si="427"/>
        <v>40267</v>
      </c>
      <c r="C2648" s="13">
        <v>2010.0</v>
      </c>
      <c r="D2648" s="11" t="s">
        <v>44</v>
      </c>
      <c r="E2648" s="11">
        <v>40.0</v>
      </c>
      <c r="F2648" s="21" t="s">
        <v>284</v>
      </c>
      <c r="G2648" s="15">
        <v>0.04028368794326243</v>
      </c>
      <c r="H2648" s="11" t="s">
        <v>33</v>
      </c>
      <c r="I2648" s="16">
        <v>1.192</v>
      </c>
      <c r="J2648" s="11" t="s">
        <v>222</v>
      </c>
      <c r="K2648" s="11" t="s">
        <v>65</v>
      </c>
      <c r="L2648" s="11" t="s">
        <v>48</v>
      </c>
      <c r="M2648" s="11" t="s">
        <v>28</v>
      </c>
      <c r="N2648" s="11" t="s">
        <v>42</v>
      </c>
      <c r="O2648" s="11" t="s">
        <v>1344</v>
      </c>
      <c r="P2648" s="11" t="s">
        <v>38</v>
      </c>
      <c r="Q2648" s="20">
        <v>40270.0</v>
      </c>
      <c r="R2648" s="17">
        <f t="shared" si="2"/>
        <v>3.270713191</v>
      </c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>
        <f t="shared" si="8"/>
        <v>4</v>
      </c>
      <c r="AF2648" s="19">
        <f t="shared" si="13"/>
        <v>5</v>
      </c>
      <c r="AG2648" s="9"/>
      <c r="AH2648" s="9"/>
      <c r="AI2648" s="9"/>
    </row>
    <row r="2649" ht="15.0" customHeight="1">
      <c r="A2649" s="11">
        <v>2648.0</v>
      </c>
      <c r="B2649" s="12">
        <f t="shared" si="427"/>
        <v>40267</v>
      </c>
      <c r="C2649" s="13">
        <v>2010.0</v>
      </c>
      <c r="D2649" s="11" t="s">
        <v>44</v>
      </c>
      <c r="E2649" s="11">
        <v>32.0</v>
      </c>
      <c r="F2649" s="21" t="s">
        <v>469</v>
      </c>
      <c r="G2649" s="15">
        <v>0.09665878305740704</v>
      </c>
      <c r="H2649" s="11" t="s">
        <v>45</v>
      </c>
      <c r="I2649" s="16">
        <v>11.488</v>
      </c>
      <c r="J2649" s="11" t="s">
        <v>222</v>
      </c>
      <c r="K2649" s="11" t="s">
        <v>65</v>
      </c>
      <c r="L2649" s="11" t="s">
        <v>48</v>
      </c>
      <c r="M2649" s="11" t="s">
        <v>49</v>
      </c>
      <c r="N2649" s="11" t="s">
        <v>50</v>
      </c>
      <c r="O2649" s="11" t="s">
        <v>470</v>
      </c>
      <c r="P2649" s="11" t="s">
        <v>52</v>
      </c>
      <c r="Q2649" s="20">
        <v>40270.0</v>
      </c>
      <c r="R2649" s="17">
        <f t="shared" si="2"/>
        <v>81.2212155</v>
      </c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>
        <f t="shared" si="8"/>
        <v>4</v>
      </c>
      <c r="AF2649" s="19">
        <f t="shared" si="13"/>
        <v>5</v>
      </c>
      <c r="AG2649" s="9"/>
      <c r="AH2649" s="9"/>
      <c r="AI2649" s="9"/>
    </row>
    <row r="2650" ht="15.0" customHeight="1">
      <c r="A2650" s="11">
        <v>2649.0</v>
      </c>
      <c r="B2650" s="12">
        <f t="shared" si="427"/>
        <v>40267</v>
      </c>
      <c r="C2650" s="13">
        <v>2010.0</v>
      </c>
      <c r="D2650" s="11" t="s">
        <v>44</v>
      </c>
      <c r="E2650" s="11">
        <v>35.0</v>
      </c>
      <c r="F2650" s="21" t="s">
        <v>743</v>
      </c>
      <c r="G2650" s="15">
        <v>0.050597331073925014</v>
      </c>
      <c r="H2650" s="11" t="s">
        <v>45</v>
      </c>
      <c r="I2650" s="16">
        <v>11.352</v>
      </c>
      <c r="J2650" s="11" t="s">
        <v>1744</v>
      </c>
      <c r="K2650" s="11" t="s">
        <v>61</v>
      </c>
      <c r="L2650" s="11" t="s">
        <v>36</v>
      </c>
      <c r="M2650" s="11" t="s">
        <v>49</v>
      </c>
      <c r="N2650" s="11" t="s">
        <v>50</v>
      </c>
      <c r="O2650" s="11" t="s">
        <v>2249</v>
      </c>
      <c r="P2650" s="11" t="s">
        <v>52</v>
      </c>
      <c r="Q2650" s="20">
        <v>40270.0</v>
      </c>
      <c r="R2650" s="17">
        <f t="shared" si="2"/>
        <v>90.71352621</v>
      </c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>
        <f t="shared" si="8"/>
        <v>2</v>
      </c>
      <c r="AF2650" s="19">
        <f t="shared" si="13"/>
        <v>4</v>
      </c>
      <c r="AG2650" s="9"/>
      <c r="AH2650" s="9"/>
      <c r="AI2650" s="9"/>
    </row>
    <row r="2651" ht="15.0" customHeight="1">
      <c r="A2651" s="11">
        <v>2650.0</v>
      </c>
      <c r="B2651" s="12">
        <f t="shared" si="427"/>
        <v>40267</v>
      </c>
      <c r="C2651" s="13">
        <v>2010.0</v>
      </c>
      <c r="D2651" s="11" t="s">
        <v>44</v>
      </c>
      <c r="E2651" s="11">
        <v>48.0</v>
      </c>
      <c r="F2651" s="21" t="s">
        <v>530</v>
      </c>
      <c r="G2651" s="15">
        <v>0.03875033095048983</v>
      </c>
      <c r="H2651" s="11" t="s">
        <v>33</v>
      </c>
      <c r="I2651" s="16">
        <v>4.904</v>
      </c>
      <c r="J2651" s="11" t="s">
        <v>1008</v>
      </c>
      <c r="K2651" s="11" t="s">
        <v>65</v>
      </c>
      <c r="L2651" s="11" t="s">
        <v>48</v>
      </c>
      <c r="M2651" s="11" t="s">
        <v>66</v>
      </c>
      <c r="N2651" s="11" t="s">
        <v>67</v>
      </c>
      <c r="O2651" s="11" t="s">
        <v>531</v>
      </c>
      <c r="P2651" s="11" t="s">
        <v>38</v>
      </c>
      <c r="Q2651" s="20">
        <v>40271.0</v>
      </c>
      <c r="R2651" s="17">
        <f t="shared" si="2"/>
        <v>154.7573517</v>
      </c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>
        <f t="shared" si="8"/>
        <v>4</v>
      </c>
      <c r="AF2651" s="19">
        <f t="shared" si="13"/>
        <v>5</v>
      </c>
      <c r="AG2651" s="9"/>
      <c r="AH2651" s="9"/>
      <c r="AI2651" s="9"/>
    </row>
    <row r="2652" ht="15.0" customHeight="1">
      <c r="A2652" s="11">
        <v>2651.0</v>
      </c>
      <c r="B2652" s="12">
        <f t="shared" si="427"/>
        <v>40267</v>
      </c>
      <c r="C2652" s="13">
        <v>2010.0</v>
      </c>
      <c r="D2652" s="11" t="s">
        <v>44</v>
      </c>
      <c r="E2652" s="11">
        <v>32.0</v>
      </c>
      <c r="F2652" s="21" t="s">
        <v>1710</v>
      </c>
      <c r="G2652" s="15">
        <v>0.050749988200311354</v>
      </c>
      <c r="H2652" s="11" t="s">
        <v>45</v>
      </c>
      <c r="I2652" s="16">
        <v>41.552</v>
      </c>
      <c r="J2652" s="11" t="s">
        <v>1008</v>
      </c>
      <c r="K2652" s="11" t="s">
        <v>65</v>
      </c>
      <c r="L2652" s="11" t="s">
        <v>48</v>
      </c>
      <c r="M2652" s="11" t="s">
        <v>49</v>
      </c>
      <c r="N2652" s="11" t="s">
        <v>85</v>
      </c>
      <c r="O2652" s="11" t="s">
        <v>1711</v>
      </c>
      <c r="P2652" s="11" t="s">
        <v>87</v>
      </c>
      <c r="Q2652" s="20">
        <v>40271.0</v>
      </c>
      <c r="R2652" s="17">
        <f t="shared" si="2"/>
        <v>204.1343165</v>
      </c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>
        <f t="shared" si="8"/>
        <v>4</v>
      </c>
      <c r="AF2652" s="19">
        <f t="shared" si="13"/>
        <v>5</v>
      </c>
      <c r="AG2652" s="9"/>
      <c r="AH2652" s="9"/>
      <c r="AI2652" s="9"/>
    </row>
    <row r="2653" ht="15.0" customHeight="1">
      <c r="A2653" s="11">
        <v>2652.0</v>
      </c>
      <c r="B2653" s="12">
        <f t="shared" si="427"/>
        <v>40267</v>
      </c>
      <c r="C2653" s="13">
        <v>2010.0</v>
      </c>
      <c r="D2653" s="11" t="s">
        <v>44</v>
      </c>
      <c r="E2653" s="11">
        <v>18.0</v>
      </c>
      <c r="F2653" s="21" t="s">
        <v>1672</v>
      </c>
      <c r="G2653" s="15">
        <v>0.07672372573395823</v>
      </c>
      <c r="H2653" s="11" t="s">
        <v>45</v>
      </c>
      <c r="I2653" s="16">
        <v>88.16000000000001</v>
      </c>
      <c r="J2653" s="11" t="s">
        <v>2271</v>
      </c>
      <c r="K2653" s="11" t="s">
        <v>35</v>
      </c>
      <c r="L2653" s="11" t="s">
        <v>48</v>
      </c>
      <c r="M2653" s="11" t="s">
        <v>49</v>
      </c>
      <c r="N2653" s="11" t="s">
        <v>85</v>
      </c>
      <c r="O2653" s="11" t="s">
        <v>1673</v>
      </c>
      <c r="P2653" s="11" t="s">
        <v>87</v>
      </c>
      <c r="Q2653" s="20">
        <v>40271.0</v>
      </c>
      <c r="R2653" s="17">
        <f t="shared" si="2"/>
        <v>592.5956439</v>
      </c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>
        <f t="shared" si="8"/>
        <v>4</v>
      </c>
      <c r="AF2653" s="19">
        <f t="shared" si="13"/>
        <v>2</v>
      </c>
      <c r="AG2653" s="9"/>
      <c r="AH2653" s="9"/>
      <c r="AI2653" s="9"/>
    </row>
    <row r="2654" ht="15.0" customHeight="1">
      <c r="A2654" s="11">
        <v>2653.0</v>
      </c>
      <c r="B2654" s="12">
        <f t="shared" si="427"/>
        <v>40267</v>
      </c>
      <c r="C2654" s="13">
        <v>2010.0</v>
      </c>
      <c r="D2654" s="11" t="s">
        <v>44</v>
      </c>
      <c r="E2654" s="11">
        <v>33.0</v>
      </c>
      <c r="F2654" s="21" t="s">
        <v>1559</v>
      </c>
      <c r="G2654" s="15">
        <v>0.11773584905660381</v>
      </c>
      <c r="H2654" s="11" t="s">
        <v>33</v>
      </c>
      <c r="I2654" s="16">
        <v>0.5599999999999999</v>
      </c>
      <c r="J2654" s="11" t="s">
        <v>2271</v>
      </c>
      <c r="K2654" s="11" t="s">
        <v>35</v>
      </c>
      <c r="L2654" s="11" t="s">
        <v>48</v>
      </c>
      <c r="M2654" s="11" t="s">
        <v>28</v>
      </c>
      <c r="N2654" s="11" t="s">
        <v>216</v>
      </c>
      <c r="O2654" s="11" t="s">
        <v>1561</v>
      </c>
      <c r="P2654" s="11" t="s">
        <v>58</v>
      </c>
      <c r="Q2654" s="20">
        <v>40271.0</v>
      </c>
      <c r="R2654" s="17">
        <f t="shared" si="2"/>
        <v>5.505328302</v>
      </c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>
        <f t="shared" si="8"/>
        <v>4</v>
      </c>
      <c r="AF2654" s="19">
        <f t="shared" si="13"/>
        <v>2</v>
      </c>
      <c r="AG2654" s="9"/>
      <c r="AH2654" s="9"/>
      <c r="AI2654" s="9"/>
    </row>
    <row r="2655" ht="15.0" customHeight="1">
      <c r="A2655" s="11">
        <v>2654.0</v>
      </c>
      <c r="B2655" s="12">
        <f t="shared" ref="B2655:B2657" si="428">DATE(2012,12,31)-1006</f>
        <v>40268</v>
      </c>
      <c r="C2655" s="13">
        <v>2010.0</v>
      </c>
      <c r="D2655" s="11" t="s">
        <v>23</v>
      </c>
      <c r="E2655" s="11">
        <v>25.0</v>
      </c>
      <c r="F2655" s="21" t="s">
        <v>287</v>
      </c>
      <c r="G2655" s="15">
        <v>0.05193581647119477</v>
      </c>
      <c r="H2655" s="11" t="s">
        <v>45</v>
      </c>
      <c r="I2655" s="16">
        <v>44.912000000000006</v>
      </c>
      <c r="J2655" s="11" t="s">
        <v>253</v>
      </c>
      <c r="K2655" s="11" t="s">
        <v>61</v>
      </c>
      <c r="L2655" s="11" t="s">
        <v>36</v>
      </c>
      <c r="M2655" s="11" t="s">
        <v>66</v>
      </c>
      <c r="N2655" s="11" t="s">
        <v>69</v>
      </c>
      <c r="O2655" s="11" t="s">
        <v>289</v>
      </c>
      <c r="P2655" s="11" t="s">
        <v>52</v>
      </c>
      <c r="Q2655" s="20">
        <v>40271.0</v>
      </c>
      <c r="R2655" s="17">
        <f t="shared" si="2"/>
        <v>152.8165696</v>
      </c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>
        <f t="shared" si="8"/>
        <v>2</v>
      </c>
      <c r="AF2655" s="19">
        <f t="shared" si="13"/>
        <v>4</v>
      </c>
      <c r="AG2655" s="9"/>
      <c r="AH2655" s="9"/>
      <c r="AI2655" s="9"/>
    </row>
    <row r="2656" ht="15.0" customHeight="1">
      <c r="A2656" s="11">
        <v>2655.0</v>
      </c>
      <c r="B2656" s="12">
        <f t="shared" si="428"/>
        <v>40268</v>
      </c>
      <c r="C2656" s="13">
        <v>2010.0</v>
      </c>
      <c r="D2656" s="11" t="s">
        <v>39</v>
      </c>
      <c r="E2656" s="11">
        <v>44.0</v>
      </c>
      <c r="F2656" s="21" t="s">
        <v>1596</v>
      </c>
      <c r="G2656" s="15">
        <v>0.07535658001438252</v>
      </c>
      <c r="H2656" s="11" t="s">
        <v>33</v>
      </c>
      <c r="I2656" s="16">
        <v>19.592</v>
      </c>
      <c r="J2656" s="11" t="s">
        <v>796</v>
      </c>
      <c r="K2656" s="11" t="s">
        <v>117</v>
      </c>
      <c r="L2656" s="11" t="s">
        <v>48</v>
      </c>
      <c r="M2656" s="11" t="s">
        <v>49</v>
      </c>
      <c r="N2656" s="11" t="s">
        <v>73</v>
      </c>
      <c r="O2656" s="11" t="s">
        <v>1597</v>
      </c>
      <c r="P2656" s="11" t="s">
        <v>31</v>
      </c>
      <c r="Q2656" s="20">
        <v>40271.0</v>
      </c>
      <c r="R2656" s="17">
        <f t="shared" si="2"/>
        <v>455.3942815</v>
      </c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>
        <f t="shared" si="8"/>
        <v>4</v>
      </c>
      <c r="AF2656" s="19" t="b">
        <f t="shared" si="13"/>
        <v>0</v>
      </c>
      <c r="AG2656" s="9"/>
      <c r="AH2656" s="9"/>
      <c r="AI2656" s="9"/>
    </row>
    <row r="2657" ht="15.0" customHeight="1">
      <c r="A2657" s="11">
        <v>2656.0</v>
      </c>
      <c r="B2657" s="12">
        <f t="shared" si="428"/>
        <v>40268</v>
      </c>
      <c r="C2657" s="13">
        <v>2010.0</v>
      </c>
      <c r="D2657" s="11" t="s">
        <v>23</v>
      </c>
      <c r="E2657" s="11">
        <v>9.0</v>
      </c>
      <c r="F2657" s="21" t="s">
        <v>810</v>
      </c>
      <c r="G2657" s="15">
        <v>0.0508851224105461</v>
      </c>
      <c r="H2657" s="11" t="s">
        <v>33</v>
      </c>
      <c r="I2657" s="16">
        <v>2.696</v>
      </c>
      <c r="J2657" s="11" t="s">
        <v>94</v>
      </c>
      <c r="K2657" s="11" t="s">
        <v>26</v>
      </c>
      <c r="L2657" s="11" t="s">
        <v>48</v>
      </c>
      <c r="M2657" s="11" t="s">
        <v>28</v>
      </c>
      <c r="N2657" s="11" t="s">
        <v>442</v>
      </c>
      <c r="O2657" s="11" t="s">
        <v>1111</v>
      </c>
      <c r="P2657" s="11" t="s">
        <v>99</v>
      </c>
      <c r="Q2657" s="20">
        <v>40271.0</v>
      </c>
      <c r="R2657" s="17">
        <f t="shared" si="2"/>
        <v>5.129016798</v>
      </c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>
        <f t="shared" si="8"/>
        <v>4</v>
      </c>
      <c r="AF2657" s="19">
        <f t="shared" si="13"/>
        <v>1</v>
      </c>
      <c r="AG2657" s="9"/>
      <c r="AH2657" s="9"/>
      <c r="AI2657" s="9"/>
    </row>
    <row r="2658" ht="15.0" customHeight="1">
      <c r="A2658" s="11">
        <v>2657.0</v>
      </c>
      <c r="B2658" s="12">
        <f t="shared" ref="B2658:B2662" si="429">DATE(2012,12,31)-1005</f>
        <v>40269</v>
      </c>
      <c r="C2658" s="13">
        <v>2010.0</v>
      </c>
      <c r="D2658" s="11" t="s">
        <v>44</v>
      </c>
      <c r="E2658" s="11">
        <v>21.0</v>
      </c>
      <c r="F2658" s="21" t="s">
        <v>1486</v>
      </c>
      <c r="G2658" s="15">
        <v>0.07823627844712185</v>
      </c>
      <c r="H2658" s="11" t="s">
        <v>33</v>
      </c>
      <c r="I2658" s="16">
        <v>15.991999999999999</v>
      </c>
      <c r="J2658" s="11" t="s">
        <v>2062</v>
      </c>
      <c r="K2658" s="11" t="s">
        <v>117</v>
      </c>
      <c r="L2658" s="11" t="s">
        <v>41</v>
      </c>
      <c r="M2658" s="11" t="s">
        <v>49</v>
      </c>
      <c r="N2658" s="11" t="s">
        <v>73</v>
      </c>
      <c r="O2658" s="11" t="s">
        <v>1487</v>
      </c>
      <c r="P2658" s="11" t="s">
        <v>38</v>
      </c>
      <c r="Q2658" s="20">
        <v>40271.0</v>
      </c>
      <c r="R2658" s="17">
        <f t="shared" si="2"/>
        <v>86.19228207</v>
      </c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>
        <f t="shared" si="8"/>
        <v>3</v>
      </c>
      <c r="AF2658" s="19" t="b">
        <f t="shared" si="13"/>
        <v>0</v>
      </c>
      <c r="AG2658" s="9"/>
      <c r="AH2658" s="9"/>
      <c r="AI2658" s="9"/>
    </row>
    <row r="2659" ht="15.0" customHeight="1">
      <c r="A2659" s="11">
        <v>2658.0</v>
      </c>
      <c r="B2659" s="12">
        <f t="shared" si="429"/>
        <v>40269</v>
      </c>
      <c r="C2659" s="13">
        <v>2010.0</v>
      </c>
      <c r="D2659" s="11" t="s">
        <v>44</v>
      </c>
      <c r="E2659" s="11">
        <v>16.0</v>
      </c>
      <c r="F2659" s="21" t="s">
        <v>2272</v>
      </c>
      <c r="G2659" s="15">
        <v>0.09333333333333334</v>
      </c>
      <c r="H2659" s="11" t="s">
        <v>33</v>
      </c>
      <c r="I2659" s="16">
        <v>4.064</v>
      </c>
      <c r="J2659" s="11" t="s">
        <v>2062</v>
      </c>
      <c r="K2659" s="11" t="s">
        <v>117</v>
      </c>
      <c r="L2659" s="11" t="s">
        <v>41</v>
      </c>
      <c r="M2659" s="11" t="s">
        <v>28</v>
      </c>
      <c r="N2659" s="11" t="s">
        <v>29</v>
      </c>
      <c r="O2659" s="11" t="s">
        <v>2273</v>
      </c>
      <c r="P2659" s="11" t="s">
        <v>38</v>
      </c>
      <c r="Q2659" s="20">
        <v>40272.0</v>
      </c>
      <c r="R2659" s="17">
        <f t="shared" si="2"/>
        <v>82.81130667</v>
      </c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>
        <f t="shared" si="8"/>
        <v>3</v>
      </c>
      <c r="AF2659" s="19" t="b">
        <f t="shared" si="13"/>
        <v>0</v>
      </c>
      <c r="AG2659" s="9"/>
      <c r="AH2659" s="9"/>
      <c r="AI2659" s="9"/>
    </row>
    <row r="2660" ht="15.0" customHeight="1">
      <c r="A2660" s="11">
        <v>2659.0</v>
      </c>
      <c r="B2660" s="12">
        <f t="shared" si="429"/>
        <v>40269</v>
      </c>
      <c r="C2660" s="13">
        <v>2010.0</v>
      </c>
      <c r="D2660" s="11" t="s">
        <v>102</v>
      </c>
      <c r="E2660" s="11">
        <v>18.0</v>
      </c>
      <c r="F2660" s="21" t="s">
        <v>2057</v>
      </c>
      <c r="G2660" s="15">
        <v>0.04799005902454165</v>
      </c>
      <c r="H2660" s="11" t="s">
        <v>45</v>
      </c>
      <c r="I2660" s="16">
        <v>11.76</v>
      </c>
      <c r="J2660" s="11" t="s">
        <v>1179</v>
      </c>
      <c r="K2660" s="11" t="s">
        <v>61</v>
      </c>
      <c r="L2660" s="11" t="s">
        <v>41</v>
      </c>
      <c r="M2660" s="11" t="s">
        <v>66</v>
      </c>
      <c r="N2660" s="11" t="s">
        <v>69</v>
      </c>
      <c r="O2660" s="11" t="s">
        <v>2059</v>
      </c>
      <c r="P2660" s="11" t="s">
        <v>52</v>
      </c>
      <c r="Q2660" s="20">
        <v>40272.0</v>
      </c>
      <c r="R2660" s="17">
        <f t="shared" si="2"/>
        <v>441.199487</v>
      </c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>
        <f t="shared" si="8"/>
        <v>3</v>
      </c>
      <c r="AF2660" s="19">
        <f t="shared" si="13"/>
        <v>4</v>
      </c>
      <c r="AG2660" s="9"/>
      <c r="AH2660" s="9"/>
      <c r="AI2660" s="9"/>
    </row>
    <row r="2661" ht="15.0" customHeight="1">
      <c r="A2661" s="11">
        <v>2660.0</v>
      </c>
      <c r="B2661" s="12">
        <f t="shared" si="429"/>
        <v>40269</v>
      </c>
      <c r="C2661" s="13">
        <v>2010.0</v>
      </c>
      <c r="D2661" s="11" t="s">
        <v>32</v>
      </c>
      <c r="E2661" s="11">
        <v>22.0</v>
      </c>
      <c r="F2661" s="21" t="s">
        <v>1278</v>
      </c>
      <c r="G2661" s="15">
        <v>0.03525769449633944</v>
      </c>
      <c r="H2661" s="11" t="s">
        <v>45</v>
      </c>
      <c r="I2661" s="16">
        <v>25.983999999999998</v>
      </c>
      <c r="J2661" s="11" t="s">
        <v>446</v>
      </c>
      <c r="K2661" s="11" t="s">
        <v>61</v>
      </c>
      <c r="L2661" s="11" t="s">
        <v>27</v>
      </c>
      <c r="M2661" s="11" t="s">
        <v>49</v>
      </c>
      <c r="N2661" s="11" t="s">
        <v>85</v>
      </c>
      <c r="O2661" s="11" t="s">
        <v>1279</v>
      </c>
      <c r="P2661" s="11" t="s">
        <v>87</v>
      </c>
      <c r="Q2661" s="20">
        <v>40272.0</v>
      </c>
      <c r="R2661" s="17">
        <f t="shared" si="2"/>
        <v>177.3808969</v>
      </c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>
        <f t="shared" si="8"/>
        <v>1</v>
      </c>
      <c r="AF2661" s="19">
        <f t="shared" si="13"/>
        <v>4</v>
      </c>
      <c r="AG2661" s="9"/>
      <c r="AH2661" s="9"/>
      <c r="AI2661" s="9"/>
    </row>
    <row r="2662" ht="15.0" customHeight="1">
      <c r="A2662" s="11">
        <v>2661.0</v>
      </c>
      <c r="B2662" s="12">
        <f t="shared" si="429"/>
        <v>40269</v>
      </c>
      <c r="C2662" s="13">
        <v>2010.0</v>
      </c>
      <c r="D2662" s="11" t="s">
        <v>39</v>
      </c>
      <c r="E2662" s="11">
        <v>34.0</v>
      </c>
      <c r="F2662" s="21" t="s">
        <v>914</v>
      </c>
      <c r="G2662" s="15">
        <v>0.05908012856034578</v>
      </c>
      <c r="H2662" s="11" t="s">
        <v>33</v>
      </c>
      <c r="I2662" s="16">
        <v>2.3920000000000003</v>
      </c>
      <c r="J2662" s="11" t="s">
        <v>40</v>
      </c>
      <c r="K2662" s="11" t="s">
        <v>35</v>
      </c>
      <c r="L2662" s="11" t="s">
        <v>41</v>
      </c>
      <c r="M2662" s="11" t="s">
        <v>28</v>
      </c>
      <c r="N2662" s="11" t="s">
        <v>42</v>
      </c>
      <c r="O2662" s="11" t="s">
        <v>1626</v>
      </c>
      <c r="P2662" s="11" t="s">
        <v>38</v>
      </c>
      <c r="Q2662" s="20">
        <v>40272.0</v>
      </c>
      <c r="R2662" s="17">
        <f t="shared" si="2"/>
        <v>50.15855651</v>
      </c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>
        <f t="shared" si="8"/>
        <v>3</v>
      </c>
      <c r="AF2662" s="19">
        <f t="shared" si="13"/>
        <v>2</v>
      </c>
      <c r="AG2662" s="9"/>
      <c r="AH2662" s="9"/>
      <c r="AI2662" s="9"/>
    </row>
    <row r="2663" ht="15.0" customHeight="1">
      <c r="A2663" s="11">
        <v>2662.0</v>
      </c>
      <c r="B2663" s="12">
        <f t="shared" ref="B2663:B2664" si="430">DATE(2012,12,31)-1004</f>
        <v>40270</v>
      </c>
      <c r="C2663" s="13">
        <v>2010.0</v>
      </c>
      <c r="D2663" s="11" t="s">
        <v>44</v>
      </c>
      <c r="E2663" s="11">
        <v>3.0</v>
      </c>
      <c r="F2663" s="21" t="s">
        <v>2089</v>
      </c>
      <c r="G2663" s="15">
        <v>0.015353229190953688</v>
      </c>
      <c r="H2663" s="11" t="s">
        <v>45</v>
      </c>
      <c r="I2663" s="16">
        <v>36.56</v>
      </c>
      <c r="J2663" s="11" t="s">
        <v>60</v>
      </c>
      <c r="K2663" s="11" t="s">
        <v>61</v>
      </c>
      <c r="L2663" s="11" t="s">
        <v>27</v>
      </c>
      <c r="M2663" s="11" t="s">
        <v>49</v>
      </c>
      <c r="N2663" s="11" t="s">
        <v>85</v>
      </c>
      <c r="O2663" s="11" t="s">
        <v>2090</v>
      </c>
      <c r="P2663" s="11" t="s">
        <v>87</v>
      </c>
      <c r="Q2663" s="20">
        <v>40272.0</v>
      </c>
      <c r="R2663" s="17">
        <f t="shared" si="2"/>
        <v>25.93559594</v>
      </c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>
        <f t="shared" si="8"/>
        <v>1</v>
      </c>
      <c r="AF2663" s="19">
        <f t="shared" si="13"/>
        <v>4</v>
      </c>
      <c r="AG2663" s="9"/>
      <c r="AH2663" s="9"/>
      <c r="AI2663" s="9"/>
    </row>
    <row r="2664" ht="15.0" customHeight="1">
      <c r="A2664" s="11">
        <v>2663.0</v>
      </c>
      <c r="B2664" s="12">
        <f t="shared" si="430"/>
        <v>40270</v>
      </c>
      <c r="C2664" s="13">
        <v>2010.0</v>
      </c>
      <c r="D2664" s="11" t="s">
        <v>102</v>
      </c>
      <c r="E2664" s="11">
        <v>20.0</v>
      </c>
      <c r="F2664" s="21" t="s">
        <v>1868</v>
      </c>
      <c r="G2664" s="15">
        <v>0.06565684899485746</v>
      </c>
      <c r="H2664" s="11" t="s">
        <v>33</v>
      </c>
      <c r="I2664" s="16">
        <v>3.8560000000000003</v>
      </c>
      <c r="J2664" s="11" t="s">
        <v>1314</v>
      </c>
      <c r="K2664" s="11" t="s">
        <v>47</v>
      </c>
      <c r="L2664" s="11" t="s">
        <v>48</v>
      </c>
      <c r="M2664" s="11" t="s">
        <v>28</v>
      </c>
      <c r="N2664" s="11" t="s">
        <v>62</v>
      </c>
      <c r="O2664" s="11" t="s">
        <v>1869</v>
      </c>
      <c r="P2664" s="11" t="s">
        <v>58</v>
      </c>
      <c r="Q2664" s="20">
        <v>40273.0</v>
      </c>
      <c r="R2664" s="17">
        <f t="shared" si="2"/>
        <v>13.12191521</v>
      </c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>
        <f t="shared" si="8"/>
        <v>4</v>
      </c>
      <c r="AF2664" s="19">
        <f t="shared" si="13"/>
        <v>3</v>
      </c>
      <c r="AG2664" s="9"/>
      <c r="AH2664" s="9"/>
      <c r="AI2664" s="9"/>
    </row>
    <row r="2665" ht="15.0" customHeight="1">
      <c r="A2665" s="11">
        <v>2664.0</v>
      </c>
      <c r="B2665" s="12">
        <f t="shared" ref="B2665:B2670" si="431">DATE(2012,12,31)-1003</f>
        <v>40271</v>
      </c>
      <c r="C2665" s="13">
        <v>2010.0</v>
      </c>
      <c r="D2665" s="11" t="s">
        <v>32</v>
      </c>
      <c r="E2665" s="11">
        <v>8.0</v>
      </c>
      <c r="F2665" s="21" t="s">
        <v>2274</v>
      </c>
      <c r="G2665" s="15">
        <v>0.07435223564688263</v>
      </c>
      <c r="H2665" s="11" t="s">
        <v>33</v>
      </c>
      <c r="I2665" s="16">
        <v>0.792</v>
      </c>
      <c r="J2665" s="11" t="s">
        <v>97</v>
      </c>
      <c r="K2665" s="11" t="s">
        <v>61</v>
      </c>
      <c r="L2665" s="11" t="s">
        <v>41</v>
      </c>
      <c r="M2665" s="11" t="s">
        <v>28</v>
      </c>
      <c r="N2665" s="11" t="s">
        <v>197</v>
      </c>
      <c r="O2665" s="11" t="s">
        <v>2275</v>
      </c>
      <c r="P2665" s="11" t="s">
        <v>38</v>
      </c>
      <c r="Q2665" s="20">
        <v>40273.0</v>
      </c>
      <c r="R2665" s="17">
        <f t="shared" si="2"/>
        <v>78.03951172</v>
      </c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>
        <f t="shared" si="8"/>
        <v>3</v>
      </c>
      <c r="AF2665" s="19">
        <f t="shared" si="13"/>
        <v>4</v>
      </c>
      <c r="AG2665" s="9"/>
      <c r="AH2665" s="9"/>
      <c r="AI2665" s="9"/>
    </row>
    <row r="2666" ht="15.0" customHeight="1">
      <c r="A2666" s="11">
        <v>2665.0</v>
      </c>
      <c r="B2666" s="12">
        <f t="shared" si="431"/>
        <v>40271</v>
      </c>
      <c r="C2666" s="13">
        <v>2010.0</v>
      </c>
      <c r="D2666" s="11" t="s">
        <v>32</v>
      </c>
      <c r="E2666" s="11">
        <v>29.0</v>
      </c>
      <c r="F2666" s="21" t="s">
        <v>865</v>
      </c>
      <c r="G2666" s="15">
        <v>0.029684743167215977</v>
      </c>
      <c r="H2666" s="11" t="s">
        <v>24</v>
      </c>
      <c r="I2666" s="16">
        <v>3.3600000000000003</v>
      </c>
      <c r="J2666" s="11" t="s">
        <v>97</v>
      </c>
      <c r="K2666" s="11" t="s">
        <v>61</v>
      </c>
      <c r="L2666" s="11" t="s">
        <v>41</v>
      </c>
      <c r="M2666" s="11" t="s">
        <v>66</v>
      </c>
      <c r="N2666" s="11" t="s">
        <v>80</v>
      </c>
      <c r="O2666" s="11" t="s">
        <v>1519</v>
      </c>
      <c r="P2666" s="11" t="s">
        <v>38</v>
      </c>
      <c r="Q2666" s="20">
        <v>40273.0</v>
      </c>
      <c r="R2666" s="17">
        <f t="shared" si="2"/>
        <v>173.0460229</v>
      </c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>
        <f t="shared" si="8"/>
        <v>3</v>
      </c>
      <c r="AF2666" s="19">
        <f t="shared" si="13"/>
        <v>4</v>
      </c>
      <c r="AG2666" s="9"/>
      <c r="AH2666" s="9"/>
      <c r="AI2666" s="9"/>
    </row>
    <row r="2667" ht="15.0" customHeight="1">
      <c r="A2667" s="11">
        <v>2666.0</v>
      </c>
      <c r="B2667" s="12">
        <f t="shared" si="431"/>
        <v>40271</v>
      </c>
      <c r="C2667" s="13">
        <v>2010.0</v>
      </c>
      <c r="D2667" s="11" t="s">
        <v>32</v>
      </c>
      <c r="E2667" s="11">
        <v>31.0</v>
      </c>
      <c r="F2667" s="21" t="s">
        <v>1774</v>
      </c>
      <c r="G2667" s="15">
        <v>0.0840673998090133</v>
      </c>
      <c r="H2667" s="11" t="s">
        <v>33</v>
      </c>
      <c r="I2667" s="16">
        <v>15.991999999999999</v>
      </c>
      <c r="J2667" s="11" t="s">
        <v>1228</v>
      </c>
      <c r="K2667" s="11" t="s">
        <v>83</v>
      </c>
      <c r="L2667" s="11" t="s">
        <v>41</v>
      </c>
      <c r="M2667" s="11" t="s">
        <v>28</v>
      </c>
      <c r="N2667" s="11" t="s">
        <v>29</v>
      </c>
      <c r="O2667" s="11" t="s">
        <v>1775</v>
      </c>
      <c r="P2667" s="11" t="s">
        <v>38</v>
      </c>
      <c r="Q2667" s="20">
        <v>40273.0</v>
      </c>
      <c r="R2667" s="17">
        <f t="shared" si="2"/>
        <v>249.9653341</v>
      </c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>
        <f t="shared" si="8"/>
        <v>3</v>
      </c>
      <c r="AF2667" s="19" t="b">
        <f t="shared" si="13"/>
        <v>0</v>
      </c>
      <c r="AG2667" s="9"/>
      <c r="AH2667" s="9"/>
      <c r="AI2667" s="9"/>
    </row>
    <row r="2668" ht="15.0" customHeight="1">
      <c r="A2668" s="11">
        <v>2667.0</v>
      </c>
      <c r="B2668" s="12">
        <f t="shared" si="431"/>
        <v>40271</v>
      </c>
      <c r="C2668" s="13">
        <v>2010.0</v>
      </c>
      <c r="D2668" s="11" t="s">
        <v>39</v>
      </c>
      <c r="E2668" s="11">
        <v>1.0</v>
      </c>
      <c r="F2668" s="21" t="s">
        <v>937</v>
      </c>
      <c r="G2668" s="15">
        <v>0.06908047380632548</v>
      </c>
      <c r="H2668" s="11" t="s">
        <v>45</v>
      </c>
      <c r="I2668" s="16">
        <v>23.76</v>
      </c>
      <c r="J2668" s="11" t="s">
        <v>2276</v>
      </c>
      <c r="K2668" s="11" t="s">
        <v>65</v>
      </c>
      <c r="L2668" s="11" t="s">
        <v>36</v>
      </c>
      <c r="M2668" s="11" t="s">
        <v>66</v>
      </c>
      <c r="N2668" s="11" t="s">
        <v>69</v>
      </c>
      <c r="O2668" s="11" t="s">
        <v>938</v>
      </c>
      <c r="P2668" s="11" t="s">
        <v>52</v>
      </c>
      <c r="Q2668" s="20">
        <v>40274.0</v>
      </c>
      <c r="R2668" s="17">
        <f t="shared" si="2"/>
        <v>105.3242352</v>
      </c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>
        <f t="shared" si="8"/>
        <v>2</v>
      </c>
      <c r="AF2668" s="19">
        <f t="shared" si="13"/>
        <v>5</v>
      </c>
      <c r="AG2668" s="9"/>
      <c r="AH2668" s="9"/>
      <c r="AI2668" s="9"/>
    </row>
    <row r="2669" ht="15.0" customHeight="1">
      <c r="A2669" s="11">
        <v>2668.0</v>
      </c>
      <c r="B2669" s="12">
        <f t="shared" si="431"/>
        <v>40271</v>
      </c>
      <c r="C2669" s="13">
        <v>2010.0</v>
      </c>
      <c r="D2669" s="11" t="s">
        <v>44</v>
      </c>
      <c r="E2669" s="11">
        <v>33.0</v>
      </c>
      <c r="F2669" s="21" t="s">
        <v>1538</v>
      </c>
      <c r="G2669" s="15">
        <v>0.0843874422420867</v>
      </c>
      <c r="H2669" s="11" t="s">
        <v>33</v>
      </c>
      <c r="I2669" s="16">
        <v>11.584000000000001</v>
      </c>
      <c r="J2669" s="11" t="s">
        <v>1338</v>
      </c>
      <c r="K2669" s="11" t="s">
        <v>61</v>
      </c>
      <c r="L2669" s="11" t="s">
        <v>36</v>
      </c>
      <c r="M2669" s="11" t="s">
        <v>49</v>
      </c>
      <c r="N2669" s="11" t="s">
        <v>73</v>
      </c>
      <c r="O2669" s="11" t="s">
        <v>1539</v>
      </c>
      <c r="P2669" s="11" t="s">
        <v>38</v>
      </c>
      <c r="Q2669" s="20">
        <v>40274.0</v>
      </c>
      <c r="R2669" s="17">
        <f t="shared" si="2"/>
        <v>178.9253436</v>
      </c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>
        <f t="shared" si="8"/>
        <v>2</v>
      </c>
      <c r="AF2669" s="19">
        <f t="shared" si="13"/>
        <v>4</v>
      </c>
      <c r="AG2669" s="9"/>
      <c r="AH2669" s="9"/>
      <c r="AI2669" s="9"/>
    </row>
    <row r="2670" ht="15.0" customHeight="1">
      <c r="A2670" s="11">
        <v>2669.0</v>
      </c>
      <c r="B2670" s="12">
        <f t="shared" si="431"/>
        <v>40271</v>
      </c>
      <c r="C2670" s="13">
        <v>2010.0</v>
      </c>
      <c r="D2670" s="11" t="s">
        <v>44</v>
      </c>
      <c r="E2670" s="11">
        <v>46.0</v>
      </c>
      <c r="F2670" s="21" t="s">
        <v>137</v>
      </c>
      <c r="G2670" s="15">
        <v>0.031458956463941534</v>
      </c>
      <c r="H2670" s="11" t="s">
        <v>45</v>
      </c>
      <c r="I2670" s="16">
        <v>53.016</v>
      </c>
      <c r="J2670" s="11" t="s">
        <v>1338</v>
      </c>
      <c r="K2670" s="11" t="s">
        <v>61</v>
      </c>
      <c r="L2670" s="11" t="s">
        <v>36</v>
      </c>
      <c r="M2670" s="11" t="s">
        <v>49</v>
      </c>
      <c r="N2670" s="11" t="s">
        <v>156</v>
      </c>
      <c r="O2670" s="11" t="s">
        <v>1553</v>
      </c>
      <c r="P2670" s="11" t="s">
        <v>87</v>
      </c>
      <c r="Q2670" s="20">
        <v>40274.0</v>
      </c>
      <c r="R2670" s="17">
        <f t="shared" si="2"/>
        <v>220.0370284</v>
      </c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>
        <f t="shared" si="8"/>
        <v>2</v>
      </c>
      <c r="AF2670" s="19">
        <f t="shared" si="13"/>
        <v>4</v>
      </c>
      <c r="AG2670" s="9"/>
      <c r="AH2670" s="9"/>
      <c r="AI2670" s="9"/>
    </row>
    <row r="2671" ht="15.0" customHeight="1">
      <c r="A2671" s="11">
        <v>2670.0</v>
      </c>
      <c r="B2671" s="12">
        <f t="shared" ref="B2671:B2674" si="432">DATE(2012,12,31)-1002</f>
        <v>40272</v>
      </c>
      <c r="C2671" s="13">
        <v>2010.0</v>
      </c>
      <c r="D2671" s="11" t="s">
        <v>44</v>
      </c>
      <c r="E2671" s="11">
        <v>17.0</v>
      </c>
      <c r="F2671" s="21" t="s">
        <v>797</v>
      </c>
      <c r="G2671" s="15">
        <v>0.034949944382647494</v>
      </c>
      <c r="H2671" s="11" t="s">
        <v>33</v>
      </c>
      <c r="I2671" s="16">
        <v>1.816</v>
      </c>
      <c r="J2671" s="11" t="s">
        <v>1020</v>
      </c>
      <c r="K2671" s="11" t="s">
        <v>47</v>
      </c>
      <c r="L2671" s="11" t="s">
        <v>27</v>
      </c>
      <c r="M2671" s="11" t="s">
        <v>28</v>
      </c>
      <c r="N2671" s="11" t="s">
        <v>56</v>
      </c>
      <c r="O2671" s="11" t="s">
        <v>71</v>
      </c>
      <c r="P2671" s="11" t="s">
        <v>58</v>
      </c>
      <c r="Q2671" s="20">
        <v>40275.0</v>
      </c>
      <c r="R2671" s="17">
        <f t="shared" si="2"/>
        <v>6.064374549</v>
      </c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>
        <f t="shared" si="8"/>
        <v>1</v>
      </c>
      <c r="AF2671" s="19">
        <f t="shared" si="13"/>
        <v>3</v>
      </c>
      <c r="AG2671" s="9"/>
      <c r="AH2671" s="9"/>
      <c r="AI2671" s="9"/>
    </row>
    <row r="2672" ht="15.0" customHeight="1">
      <c r="A2672" s="11">
        <v>2671.0</v>
      </c>
      <c r="B2672" s="12">
        <f t="shared" si="432"/>
        <v>40272</v>
      </c>
      <c r="C2672" s="13">
        <v>2010.0</v>
      </c>
      <c r="D2672" s="11" t="s">
        <v>23</v>
      </c>
      <c r="E2672" s="11">
        <v>29.0</v>
      </c>
      <c r="F2672" s="21" t="s">
        <v>1743</v>
      </c>
      <c r="G2672" s="15">
        <v>0.09827538247566087</v>
      </c>
      <c r="H2672" s="11" t="s">
        <v>33</v>
      </c>
      <c r="I2672" s="16">
        <v>4.968</v>
      </c>
      <c r="J2672" s="11" t="s">
        <v>288</v>
      </c>
      <c r="K2672" s="11" t="s">
        <v>61</v>
      </c>
      <c r="L2672" s="11" t="s">
        <v>27</v>
      </c>
      <c r="M2672" s="11" t="s">
        <v>28</v>
      </c>
      <c r="N2672" s="11" t="s">
        <v>42</v>
      </c>
      <c r="O2672" s="11" t="s">
        <v>2277</v>
      </c>
      <c r="P2672" s="11" t="s">
        <v>38</v>
      </c>
      <c r="Q2672" s="20">
        <v>40275.0</v>
      </c>
      <c r="R2672" s="17">
        <f t="shared" si="2"/>
        <v>12.74317229</v>
      </c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>
        <f t="shared" si="8"/>
        <v>1</v>
      </c>
      <c r="AF2672" s="19">
        <f t="shared" si="13"/>
        <v>4</v>
      </c>
      <c r="AG2672" s="9"/>
      <c r="AH2672" s="9"/>
      <c r="AI2672" s="9"/>
    </row>
    <row r="2673" ht="15.0" customHeight="1">
      <c r="A2673" s="11">
        <v>2672.0</v>
      </c>
      <c r="B2673" s="12">
        <f t="shared" si="432"/>
        <v>40272</v>
      </c>
      <c r="C2673" s="13">
        <v>2010.0</v>
      </c>
      <c r="D2673" s="11" t="s">
        <v>23</v>
      </c>
      <c r="E2673" s="11">
        <v>49.0</v>
      </c>
      <c r="F2673" s="21" t="s">
        <v>2192</v>
      </c>
      <c r="G2673" s="15">
        <v>0.07559153826064237</v>
      </c>
      <c r="H2673" s="11" t="s">
        <v>33</v>
      </c>
      <c r="I2673" s="16">
        <v>5.5040000000000004</v>
      </c>
      <c r="J2673" s="11" t="s">
        <v>288</v>
      </c>
      <c r="K2673" s="11" t="s">
        <v>61</v>
      </c>
      <c r="L2673" s="11" t="s">
        <v>27</v>
      </c>
      <c r="M2673" s="11" t="s">
        <v>28</v>
      </c>
      <c r="N2673" s="11" t="s">
        <v>29</v>
      </c>
      <c r="O2673" s="11" t="s">
        <v>2193</v>
      </c>
      <c r="P2673" s="11" t="s">
        <v>38</v>
      </c>
      <c r="Q2673" s="20">
        <v>40275.0</v>
      </c>
      <c r="R2673" s="17">
        <f t="shared" si="2"/>
        <v>240.8047066</v>
      </c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>
        <f t="shared" si="8"/>
        <v>1</v>
      </c>
      <c r="AF2673" s="19">
        <f t="shared" si="13"/>
        <v>4</v>
      </c>
      <c r="AG2673" s="9"/>
      <c r="AH2673" s="9"/>
      <c r="AI2673" s="9"/>
    </row>
    <row r="2674" ht="15.0" customHeight="1">
      <c r="A2674" s="11">
        <v>2673.0</v>
      </c>
      <c r="B2674" s="12">
        <f t="shared" si="432"/>
        <v>40272</v>
      </c>
      <c r="C2674" s="13">
        <v>2010.0</v>
      </c>
      <c r="D2674" s="11" t="s">
        <v>23</v>
      </c>
      <c r="E2674" s="11">
        <v>20.0</v>
      </c>
      <c r="F2674" s="21" t="s">
        <v>1156</v>
      </c>
      <c r="G2674" s="15">
        <v>0.07511334714412547</v>
      </c>
      <c r="H2674" s="11" t="s">
        <v>33</v>
      </c>
      <c r="I2674" s="16">
        <v>7.192</v>
      </c>
      <c r="J2674" s="11" t="s">
        <v>288</v>
      </c>
      <c r="K2674" s="11" t="s">
        <v>61</v>
      </c>
      <c r="L2674" s="11" t="s">
        <v>27</v>
      </c>
      <c r="M2674" s="11" t="s">
        <v>66</v>
      </c>
      <c r="N2674" s="11" t="s">
        <v>80</v>
      </c>
      <c r="O2674" s="11" t="s">
        <v>1580</v>
      </c>
      <c r="P2674" s="11" t="s">
        <v>38</v>
      </c>
      <c r="Q2674" s="20">
        <v>40275.0</v>
      </c>
      <c r="R2674" s="17">
        <f t="shared" si="2"/>
        <v>234.7436316</v>
      </c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>
        <f t="shared" si="8"/>
        <v>1</v>
      </c>
      <c r="AF2674" s="19">
        <f t="shared" si="13"/>
        <v>4</v>
      </c>
      <c r="AG2674" s="9"/>
      <c r="AH2674" s="9"/>
      <c r="AI2674" s="9"/>
    </row>
    <row r="2675" ht="15.0" customHeight="1">
      <c r="A2675" s="11">
        <v>2674.0</v>
      </c>
      <c r="B2675" s="12">
        <f t="shared" ref="B2675:B2676" si="433">DATE(2012,12,31)-1001</f>
        <v>40273</v>
      </c>
      <c r="C2675" s="13">
        <v>2010.0</v>
      </c>
      <c r="D2675" s="11" t="s">
        <v>44</v>
      </c>
      <c r="E2675" s="11">
        <v>50.0</v>
      </c>
      <c r="F2675" s="21" t="s">
        <v>369</v>
      </c>
      <c r="G2675" s="15">
        <v>0.05958336004102295</v>
      </c>
      <c r="H2675" s="11" t="s">
        <v>45</v>
      </c>
      <c r="I2675" s="16">
        <v>29.288</v>
      </c>
      <c r="J2675" s="11" t="s">
        <v>1446</v>
      </c>
      <c r="K2675" s="11" t="s">
        <v>35</v>
      </c>
      <c r="L2675" s="11" t="s">
        <v>48</v>
      </c>
      <c r="M2675" s="11" t="s">
        <v>49</v>
      </c>
      <c r="N2675" s="11" t="s">
        <v>156</v>
      </c>
      <c r="O2675" s="11" t="s">
        <v>1885</v>
      </c>
      <c r="P2675" s="11" t="s">
        <v>87</v>
      </c>
      <c r="Q2675" s="20">
        <v>40276.0</v>
      </c>
      <c r="R2675" s="17">
        <f t="shared" si="2"/>
        <v>174.8347384</v>
      </c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>
        <f t="shared" si="8"/>
        <v>4</v>
      </c>
      <c r="AF2675" s="19">
        <f t="shared" si="13"/>
        <v>2</v>
      </c>
      <c r="AG2675" s="9"/>
      <c r="AH2675" s="9"/>
      <c r="AI2675" s="9"/>
    </row>
    <row r="2676" ht="15.0" customHeight="1">
      <c r="A2676" s="11">
        <v>2675.0</v>
      </c>
      <c r="B2676" s="12">
        <f t="shared" si="433"/>
        <v>40273</v>
      </c>
      <c r="C2676" s="13">
        <v>2010.0</v>
      </c>
      <c r="D2676" s="11" t="s">
        <v>44</v>
      </c>
      <c r="E2676" s="11">
        <v>15.0</v>
      </c>
      <c r="F2676" s="21" t="s">
        <v>1997</v>
      </c>
      <c r="G2676" s="15">
        <v>0.06547945205479459</v>
      </c>
      <c r="H2676" s="11" t="s">
        <v>33</v>
      </c>
      <c r="I2676" s="16">
        <v>5.016</v>
      </c>
      <c r="J2676" s="11" t="s">
        <v>1446</v>
      </c>
      <c r="K2676" s="11" t="s">
        <v>35</v>
      </c>
      <c r="L2676" s="11" t="s">
        <v>48</v>
      </c>
      <c r="M2676" s="11" t="s">
        <v>28</v>
      </c>
      <c r="N2676" s="11" t="s">
        <v>29</v>
      </c>
      <c r="O2676" s="11" t="s">
        <v>1998</v>
      </c>
      <c r="P2676" s="11" t="s">
        <v>75</v>
      </c>
      <c r="Q2676" s="20">
        <v>40276.0</v>
      </c>
      <c r="R2676" s="17">
        <f t="shared" si="2"/>
        <v>12.50762301</v>
      </c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>
        <f t="shared" si="8"/>
        <v>4</v>
      </c>
      <c r="AF2676" s="19">
        <f t="shared" si="13"/>
        <v>2</v>
      </c>
      <c r="AG2676" s="9"/>
      <c r="AH2676" s="9"/>
      <c r="AI2676" s="9"/>
    </row>
    <row r="2677" ht="15.0" customHeight="1">
      <c r="A2677" s="11">
        <v>2676.0</v>
      </c>
      <c r="B2677" s="12">
        <f t="shared" ref="B2677:B2679" si="434">DATE(2012,12,31)-1000</f>
        <v>40274</v>
      </c>
      <c r="C2677" s="13">
        <v>2010.0</v>
      </c>
      <c r="D2677" s="11" t="s">
        <v>102</v>
      </c>
      <c r="E2677" s="11">
        <v>33.0</v>
      </c>
      <c r="F2677" s="21" t="s">
        <v>2278</v>
      </c>
      <c r="G2677" s="15">
        <v>0.044185667752443016</v>
      </c>
      <c r="H2677" s="11" t="s">
        <v>33</v>
      </c>
      <c r="I2677" s="16">
        <v>7.4959999999999996</v>
      </c>
      <c r="J2677" s="11" t="s">
        <v>1253</v>
      </c>
      <c r="K2677" s="11" t="s">
        <v>35</v>
      </c>
      <c r="L2677" s="11" t="s">
        <v>48</v>
      </c>
      <c r="M2677" s="11" t="s">
        <v>28</v>
      </c>
      <c r="N2677" s="11" t="s">
        <v>29</v>
      </c>
      <c r="O2677" s="11" t="s">
        <v>2279</v>
      </c>
      <c r="P2677" s="11" t="s">
        <v>38</v>
      </c>
      <c r="Q2677" s="20">
        <v>40276.0</v>
      </c>
      <c r="R2677" s="17">
        <f t="shared" si="2"/>
        <v>20.74499427</v>
      </c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>
        <f t="shared" si="8"/>
        <v>4</v>
      </c>
      <c r="AF2677" s="19">
        <f t="shared" si="13"/>
        <v>2</v>
      </c>
      <c r="AG2677" s="9"/>
      <c r="AH2677" s="9"/>
      <c r="AI2677" s="9"/>
    </row>
    <row r="2678" ht="15.0" customHeight="1">
      <c r="A2678" s="11">
        <v>2677.0</v>
      </c>
      <c r="B2678" s="12">
        <f t="shared" si="434"/>
        <v>40274</v>
      </c>
      <c r="C2678" s="13">
        <v>2010.0</v>
      </c>
      <c r="D2678" s="11" t="s">
        <v>102</v>
      </c>
      <c r="E2678" s="11">
        <v>9.0</v>
      </c>
      <c r="F2678" s="21" t="s">
        <v>523</v>
      </c>
      <c r="G2678" s="15">
        <v>0.03833910034602066</v>
      </c>
      <c r="H2678" s="11" t="s">
        <v>33</v>
      </c>
      <c r="I2678" s="16">
        <v>0.792</v>
      </c>
      <c r="J2678" s="11" t="s">
        <v>897</v>
      </c>
      <c r="K2678" s="11" t="s">
        <v>26</v>
      </c>
      <c r="L2678" s="11" t="s">
        <v>41</v>
      </c>
      <c r="M2678" s="11" t="s">
        <v>28</v>
      </c>
      <c r="N2678" s="11" t="s">
        <v>188</v>
      </c>
      <c r="O2678" s="11" t="s">
        <v>1495</v>
      </c>
      <c r="P2678" s="11" t="s">
        <v>38</v>
      </c>
      <c r="Q2678" s="20">
        <v>40276.0</v>
      </c>
      <c r="R2678" s="17">
        <f t="shared" si="2"/>
        <v>1.065520277</v>
      </c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>
        <f t="shared" si="8"/>
        <v>3</v>
      </c>
      <c r="AF2678" s="19">
        <f t="shared" si="13"/>
        <v>1</v>
      </c>
      <c r="AG2678" s="9"/>
      <c r="AH2678" s="9"/>
      <c r="AI2678" s="9"/>
    </row>
    <row r="2679" ht="15.0" customHeight="1">
      <c r="A2679" s="11">
        <v>2678.0</v>
      </c>
      <c r="B2679" s="12">
        <f t="shared" si="434"/>
        <v>40274</v>
      </c>
      <c r="C2679" s="13">
        <v>2010.0</v>
      </c>
      <c r="D2679" s="11" t="s">
        <v>39</v>
      </c>
      <c r="E2679" s="11">
        <v>13.0</v>
      </c>
      <c r="F2679" s="21" t="s">
        <v>137</v>
      </c>
      <c r="G2679" s="15">
        <v>0.0928475604153266</v>
      </c>
      <c r="H2679" s="11" t="s">
        <v>45</v>
      </c>
      <c r="I2679" s="16">
        <v>12.808000000000002</v>
      </c>
      <c r="J2679" s="11" t="s">
        <v>2167</v>
      </c>
      <c r="K2679" s="11" t="s">
        <v>83</v>
      </c>
      <c r="L2679" s="11" t="s">
        <v>41</v>
      </c>
      <c r="M2679" s="11" t="s">
        <v>49</v>
      </c>
      <c r="N2679" s="11" t="s">
        <v>85</v>
      </c>
      <c r="O2679" s="11" t="s">
        <v>127</v>
      </c>
      <c r="P2679" s="11" t="s">
        <v>87</v>
      </c>
      <c r="Q2679" s="20">
        <v>40276.0</v>
      </c>
      <c r="R2679" s="17">
        <f t="shared" si="2"/>
        <v>183.3282508</v>
      </c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>
        <f t="shared" si="8"/>
        <v>3</v>
      </c>
      <c r="AF2679" s="19" t="b">
        <f t="shared" si="13"/>
        <v>0</v>
      </c>
      <c r="AG2679" s="9"/>
      <c r="AH2679" s="9"/>
      <c r="AI2679" s="9"/>
    </row>
    <row r="2680" ht="15.0" customHeight="1">
      <c r="A2680" s="11">
        <v>2679.0</v>
      </c>
      <c r="B2680" s="12">
        <f t="shared" ref="B2680:B2685" si="435">DATE(2012,12,31)-999</f>
        <v>40275</v>
      </c>
      <c r="C2680" s="13">
        <v>2010.0</v>
      </c>
      <c r="D2680" s="11" t="s">
        <v>39</v>
      </c>
      <c r="E2680" s="11">
        <v>9.0</v>
      </c>
      <c r="F2680" s="21" t="s">
        <v>158</v>
      </c>
      <c r="G2680" s="15">
        <v>0.08496350364963504</v>
      </c>
      <c r="H2680" s="11" t="s">
        <v>33</v>
      </c>
      <c r="I2680" s="16">
        <v>5.08</v>
      </c>
      <c r="J2680" s="11" t="s">
        <v>2280</v>
      </c>
      <c r="K2680" s="11" t="s">
        <v>47</v>
      </c>
      <c r="L2680" s="11" t="s">
        <v>27</v>
      </c>
      <c r="M2680" s="11" t="s">
        <v>28</v>
      </c>
      <c r="N2680" s="11" t="s">
        <v>56</v>
      </c>
      <c r="O2680" s="11" t="s">
        <v>931</v>
      </c>
      <c r="P2680" s="11" t="s">
        <v>38</v>
      </c>
      <c r="Q2680" s="20">
        <v>40277.0</v>
      </c>
      <c r="R2680" s="17">
        <f t="shared" si="2"/>
        <v>5.325512409</v>
      </c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>
        <f t="shared" si="8"/>
        <v>1</v>
      </c>
      <c r="AF2680" s="19">
        <f t="shared" si="13"/>
        <v>3</v>
      </c>
      <c r="AG2680" s="9"/>
      <c r="AH2680" s="9"/>
      <c r="AI2680" s="9"/>
    </row>
    <row r="2681" ht="15.0" customHeight="1">
      <c r="A2681" s="11">
        <v>2680.0</v>
      </c>
      <c r="B2681" s="12">
        <f t="shared" si="435"/>
        <v>40275</v>
      </c>
      <c r="C2681" s="13">
        <v>2010.0</v>
      </c>
      <c r="D2681" s="11" t="s">
        <v>32</v>
      </c>
      <c r="E2681" s="11">
        <v>13.0</v>
      </c>
      <c r="F2681" s="21" t="s">
        <v>158</v>
      </c>
      <c r="G2681" s="15">
        <v>0.08338430173292552</v>
      </c>
      <c r="H2681" s="11" t="s">
        <v>33</v>
      </c>
      <c r="I2681" s="16">
        <v>6.720000000000001</v>
      </c>
      <c r="J2681" s="11" t="s">
        <v>1747</v>
      </c>
      <c r="K2681" s="11" t="s">
        <v>61</v>
      </c>
      <c r="L2681" s="11" t="s">
        <v>36</v>
      </c>
      <c r="M2681" s="11" t="s">
        <v>28</v>
      </c>
      <c r="N2681" s="11" t="s">
        <v>56</v>
      </c>
      <c r="O2681" s="11" t="s">
        <v>1260</v>
      </c>
      <c r="P2681" s="11" t="s">
        <v>38</v>
      </c>
      <c r="Q2681" s="20">
        <v>40277.0</v>
      </c>
      <c r="R2681" s="17">
        <f t="shared" si="2"/>
        <v>7.497916412</v>
      </c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>
        <f t="shared" si="8"/>
        <v>2</v>
      </c>
      <c r="AF2681" s="19">
        <f t="shared" si="13"/>
        <v>4</v>
      </c>
      <c r="AG2681" s="9"/>
      <c r="AH2681" s="9"/>
      <c r="AI2681" s="9"/>
    </row>
    <row r="2682" ht="15.0" customHeight="1">
      <c r="A2682" s="11">
        <v>2681.0</v>
      </c>
      <c r="B2682" s="12">
        <f t="shared" si="435"/>
        <v>40275</v>
      </c>
      <c r="C2682" s="13">
        <v>2010.0</v>
      </c>
      <c r="D2682" s="11" t="s">
        <v>44</v>
      </c>
      <c r="E2682" s="11">
        <v>49.0</v>
      </c>
      <c r="F2682" s="21" t="s">
        <v>256</v>
      </c>
      <c r="G2682" s="15">
        <v>0.08744579858883898</v>
      </c>
      <c r="H2682" s="11" t="s">
        <v>33</v>
      </c>
      <c r="I2682" s="16">
        <v>5.736000000000001</v>
      </c>
      <c r="J2682" s="11" t="s">
        <v>751</v>
      </c>
      <c r="K2682" s="11" t="s">
        <v>61</v>
      </c>
      <c r="L2682" s="11" t="s">
        <v>41</v>
      </c>
      <c r="M2682" s="11" t="s">
        <v>28</v>
      </c>
      <c r="N2682" s="11" t="s">
        <v>42</v>
      </c>
      <c r="O2682" s="11" t="s">
        <v>1946</v>
      </c>
      <c r="P2682" s="11" t="s">
        <v>38</v>
      </c>
      <c r="Q2682" s="20">
        <v>40277.0</v>
      </c>
      <c r="R2682" s="17">
        <f t="shared" si="2"/>
        <v>62.20334458</v>
      </c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>
        <f t="shared" si="8"/>
        <v>3</v>
      </c>
      <c r="AF2682" s="19">
        <f t="shared" si="13"/>
        <v>4</v>
      </c>
      <c r="AG2682" s="9"/>
      <c r="AH2682" s="9"/>
      <c r="AI2682" s="9"/>
    </row>
    <row r="2683" ht="15.0" customHeight="1">
      <c r="A2683" s="11">
        <v>2682.0</v>
      </c>
      <c r="B2683" s="12">
        <f t="shared" si="435"/>
        <v>40275</v>
      </c>
      <c r="C2683" s="13">
        <v>2010.0</v>
      </c>
      <c r="D2683" s="11" t="s">
        <v>44</v>
      </c>
      <c r="E2683" s="11">
        <v>19.0</v>
      </c>
      <c r="F2683" s="21" t="s">
        <v>242</v>
      </c>
      <c r="G2683" s="15">
        <v>0.07911881254617499</v>
      </c>
      <c r="H2683" s="11" t="s">
        <v>45</v>
      </c>
      <c r="I2683" s="16">
        <v>24.0</v>
      </c>
      <c r="J2683" s="11" t="s">
        <v>751</v>
      </c>
      <c r="K2683" s="11" t="s">
        <v>61</v>
      </c>
      <c r="L2683" s="11" t="s">
        <v>41</v>
      </c>
      <c r="M2683" s="11" t="s">
        <v>49</v>
      </c>
      <c r="N2683" s="11" t="s">
        <v>50</v>
      </c>
      <c r="O2683" s="11" t="s">
        <v>1855</v>
      </c>
      <c r="P2683" s="11" t="s">
        <v>52</v>
      </c>
      <c r="Q2683" s="20">
        <v>40277.0</v>
      </c>
      <c r="R2683" s="17">
        <f t="shared" si="2"/>
        <v>108.4798039</v>
      </c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>
        <f t="shared" si="8"/>
        <v>3</v>
      </c>
      <c r="AF2683" s="19">
        <f t="shared" si="13"/>
        <v>4</v>
      </c>
      <c r="AG2683" s="9"/>
      <c r="AH2683" s="9"/>
      <c r="AI2683" s="9"/>
    </row>
    <row r="2684" ht="15.0" customHeight="1">
      <c r="A2684" s="11">
        <v>2683.0</v>
      </c>
      <c r="B2684" s="12">
        <f t="shared" si="435"/>
        <v>40275</v>
      </c>
      <c r="C2684" s="13">
        <v>2010.0</v>
      </c>
      <c r="D2684" s="11" t="s">
        <v>102</v>
      </c>
      <c r="E2684" s="11">
        <v>29.0</v>
      </c>
      <c r="F2684" s="21" t="s">
        <v>810</v>
      </c>
      <c r="G2684" s="15">
        <v>0.08302125215393441</v>
      </c>
      <c r="H2684" s="11" t="s">
        <v>33</v>
      </c>
      <c r="I2684" s="16">
        <v>3.192</v>
      </c>
      <c r="J2684" s="11" t="s">
        <v>1099</v>
      </c>
      <c r="K2684" s="11" t="s">
        <v>47</v>
      </c>
      <c r="L2684" s="11" t="s">
        <v>48</v>
      </c>
      <c r="M2684" s="11" t="s">
        <v>28</v>
      </c>
      <c r="N2684" s="11" t="s">
        <v>197</v>
      </c>
      <c r="O2684" s="11" t="s">
        <v>1322</v>
      </c>
      <c r="P2684" s="11" t="s">
        <v>38</v>
      </c>
      <c r="Q2684" s="20">
        <v>40277.0</v>
      </c>
      <c r="R2684" s="17">
        <f t="shared" si="2"/>
        <v>26.50802164</v>
      </c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>
        <f t="shared" si="8"/>
        <v>4</v>
      </c>
      <c r="AF2684" s="19">
        <f t="shared" si="13"/>
        <v>3</v>
      </c>
      <c r="AG2684" s="9"/>
      <c r="AH2684" s="9"/>
      <c r="AI2684" s="9"/>
    </row>
    <row r="2685" ht="15.0" customHeight="1">
      <c r="A2685" s="11">
        <v>2684.0</v>
      </c>
      <c r="B2685" s="12">
        <f t="shared" si="435"/>
        <v>40275</v>
      </c>
      <c r="C2685" s="13">
        <v>2010.0</v>
      </c>
      <c r="D2685" s="11" t="s">
        <v>44</v>
      </c>
      <c r="E2685" s="11">
        <v>39.0</v>
      </c>
      <c r="F2685" s="21" t="s">
        <v>122</v>
      </c>
      <c r="G2685" s="15">
        <v>0.014266038419717417</v>
      </c>
      <c r="H2685" s="11" t="s">
        <v>33</v>
      </c>
      <c r="I2685" s="16">
        <v>0.792</v>
      </c>
      <c r="J2685" s="11" t="s">
        <v>636</v>
      </c>
      <c r="K2685" s="11" t="s">
        <v>61</v>
      </c>
      <c r="L2685" s="11" t="s">
        <v>41</v>
      </c>
      <c r="M2685" s="11" t="s">
        <v>66</v>
      </c>
      <c r="N2685" s="11" t="s">
        <v>80</v>
      </c>
      <c r="O2685" s="11" t="s">
        <v>1321</v>
      </c>
      <c r="P2685" s="11" t="s">
        <v>58</v>
      </c>
      <c r="Q2685" s="20">
        <v>40278.0</v>
      </c>
      <c r="R2685" s="17">
        <f t="shared" si="2"/>
        <v>11.63954662</v>
      </c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>
        <f t="shared" si="8"/>
        <v>3</v>
      </c>
      <c r="AF2685" s="19">
        <f t="shared" si="13"/>
        <v>4</v>
      </c>
      <c r="AG2685" s="9"/>
      <c r="AH2685" s="9"/>
      <c r="AI2685" s="9"/>
    </row>
    <row r="2686" ht="15.0" customHeight="1">
      <c r="A2686" s="11">
        <v>2685.0</v>
      </c>
      <c r="B2686" s="12">
        <f t="shared" ref="B2686:B2689" si="436">DATE(2012,12,31)-998</f>
        <v>40276</v>
      </c>
      <c r="C2686" s="13">
        <v>2010.0</v>
      </c>
      <c r="D2686" s="11" t="s">
        <v>23</v>
      </c>
      <c r="E2686" s="11">
        <v>3.0</v>
      </c>
      <c r="F2686" s="21" t="s">
        <v>137</v>
      </c>
      <c r="G2686" s="15">
        <v>0.05366789065687461</v>
      </c>
      <c r="H2686" s="11" t="s">
        <v>33</v>
      </c>
      <c r="I2686" s="16">
        <v>11.192</v>
      </c>
      <c r="J2686" s="11" t="s">
        <v>1541</v>
      </c>
      <c r="K2686" s="11" t="s">
        <v>65</v>
      </c>
      <c r="L2686" s="11" t="s">
        <v>27</v>
      </c>
      <c r="M2686" s="11" t="s">
        <v>66</v>
      </c>
      <c r="N2686" s="11" t="s">
        <v>69</v>
      </c>
      <c r="O2686" s="11" t="s">
        <v>468</v>
      </c>
      <c r="P2686" s="11" t="s">
        <v>75</v>
      </c>
      <c r="Q2686" s="20">
        <v>40278.0</v>
      </c>
      <c r="R2686" s="17">
        <f t="shared" si="2"/>
        <v>24.89610513</v>
      </c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>
        <f t="shared" si="8"/>
        <v>1</v>
      </c>
      <c r="AF2686" s="19">
        <f t="shared" si="13"/>
        <v>5</v>
      </c>
      <c r="AG2686" s="9"/>
      <c r="AH2686" s="9"/>
      <c r="AI2686" s="9"/>
    </row>
    <row r="2687" ht="15.0" customHeight="1">
      <c r="A2687" s="11">
        <v>2686.0</v>
      </c>
      <c r="B2687" s="12">
        <f t="shared" si="436"/>
        <v>40276</v>
      </c>
      <c r="C2687" s="13">
        <v>2010.0</v>
      </c>
      <c r="D2687" s="11" t="s">
        <v>23</v>
      </c>
      <c r="E2687" s="11">
        <v>23.0</v>
      </c>
      <c r="F2687" s="21" t="s">
        <v>2210</v>
      </c>
      <c r="G2687" s="15">
        <v>0.11662904439428141</v>
      </c>
      <c r="H2687" s="11" t="s">
        <v>33</v>
      </c>
      <c r="I2687" s="16">
        <v>39.2</v>
      </c>
      <c r="J2687" s="11" t="s">
        <v>1210</v>
      </c>
      <c r="K2687" s="11" t="s">
        <v>47</v>
      </c>
      <c r="L2687" s="11" t="s">
        <v>36</v>
      </c>
      <c r="M2687" s="11" t="s">
        <v>28</v>
      </c>
      <c r="N2687" s="11" t="s">
        <v>197</v>
      </c>
      <c r="O2687" s="11" t="s">
        <v>2265</v>
      </c>
      <c r="P2687" s="11" t="s">
        <v>31</v>
      </c>
      <c r="Q2687" s="20">
        <v>40278.0</v>
      </c>
      <c r="R2687" s="17">
        <f t="shared" si="2"/>
        <v>13.69224981</v>
      </c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>
        <f t="shared" si="8"/>
        <v>2</v>
      </c>
      <c r="AF2687" s="19">
        <f t="shared" si="13"/>
        <v>3</v>
      </c>
      <c r="AG2687" s="9"/>
      <c r="AH2687" s="9"/>
      <c r="AI2687" s="9"/>
    </row>
    <row r="2688" ht="15.0" customHeight="1">
      <c r="A2688" s="11">
        <v>2687.0</v>
      </c>
      <c r="B2688" s="12">
        <f t="shared" si="436"/>
        <v>40276</v>
      </c>
      <c r="C2688" s="13">
        <v>2010.0</v>
      </c>
      <c r="D2688" s="11" t="s">
        <v>23</v>
      </c>
      <c r="E2688" s="11">
        <v>20.0</v>
      </c>
      <c r="F2688" s="21" t="s">
        <v>199</v>
      </c>
      <c r="G2688" s="15">
        <v>0.030662871085807206</v>
      </c>
      <c r="H2688" s="11" t="s">
        <v>33</v>
      </c>
      <c r="I2688" s="16">
        <v>6.36</v>
      </c>
      <c r="J2688" s="11" t="s">
        <v>1210</v>
      </c>
      <c r="K2688" s="11" t="s">
        <v>47</v>
      </c>
      <c r="L2688" s="11" t="s">
        <v>36</v>
      </c>
      <c r="M2688" s="11" t="s">
        <v>28</v>
      </c>
      <c r="N2688" s="11" t="s">
        <v>62</v>
      </c>
      <c r="O2688" s="11" t="s">
        <v>1924</v>
      </c>
      <c r="P2688" s="11" t="s">
        <v>99</v>
      </c>
      <c r="Q2688" s="20">
        <v>40278.0</v>
      </c>
      <c r="R2688" s="17">
        <f t="shared" si="2"/>
        <v>7.308801952</v>
      </c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>
        <f t="shared" si="8"/>
        <v>2</v>
      </c>
      <c r="AF2688" s="19">
        <f t="shared" si="13"/>
        <v>3</v>
      </c>
      <c r="AG2688" s="9"/>
      <c r="AH2688" s="9"/>
      <c r="AI2688" s="9"/>
    </row>
    <row r="2689" ht="15.0" customHeight="1">
      <c r="A2689" s="11">
        <v>2688.0</v>
      </c>
      <c r="B2689" s="12">
        <f t="shared" si="436"/>
        <v>40276</v>
      </c>
      <c r="C2689" s="13">
        <v>2010.0</v>
      </c>
      <c r="D2689" s="11" t="s">
        <v>23</v>
      </c>
      <c r="E2689" s="11">
        <v>20.0</v>
      </c>
      <c r="F2689" s="21" t="s">
        <v>254</v>
      </c>
      <c r="G2689" s="15">
        <v>0.0464421669106881</v>
      </c>
      <c r="H2689" s="11" t="s">
        <v>33</v>
      </c>
      <c r="I2689" s="16">
        <v>2.5120000000000005</v>
      </c>
      <c r="J2689" s="11" t="s">
        <v>1210</v>
      </c>
      <c r="K2689" s="11" t="s">
        <v>47</v>
      </c>
      <c r="L2689" s="11" t="s">
        <v>36</v>
      </c>
      <c r="M2689" s="11" t="s">
        <v>28</v>
      </c>
      <c r="N2689" s="11" t="s">
        <v>442</v>
      </c>
      <c r="O2689" s="11" t="s">
        <v>1613</v>
      </c>
      <c r="P2689" s="11" t="s">
        <v>99</v>
      </c>
      <c r="Q2689" s="20">
        <v>40279.0</v>
      </c>
      <c r="R2689" s="17">
        <f t="shared" si="2"/>
        <v>12.09874179</v>
      </c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>
        <f t="shared" si="8"/>
        <v>2</v>
      </c>
      <c r="AF2689" s="19">
        <f t="shared" si="13"/>
        <v>3</v>
      </c>
      <c r="AG2689" s="9"/>
      <c r="AH2689" s="9"/>
      <c r="AI2689" s="9"/>
    </row>
    <row r="2690" ht="15.0" customHeight="1">
      <c r="A2690" s="11">
        <v>2689.0</v>
      </c>
      <c r="B2690" s="12">
        <f t="shared" ref="B2690:B2692" si="437">DATE(2012,12,31)-997</f>
        <v>40277</v>
      </c>
      <c r="C2690" s="13">
        <v>2010.0</v>
      </c>
      <c r="D2690" s="11" t="s">
        <v>32</v>
      </c>
      <c r="E2690" s="11">
        <v>8.0</v>
      </c>
      <c r="F2690" s="21" t="s">
        <v>956</v>
      </c>
      <c r="G2690" s="15">
        <v>0.046358974358974354</v>
      </c>
      <c r="H2690" s="11" t="s">
        <v>33</v>
      </c>
      <c r="I2690" s="16">
        <v>1.192</v>
      </c>
      <c r="J2690" s="11" t="s">
        <v>174</v>
      </c>
      <c r="K2690" s="11" t="s">
        <v>35</v>
      </c>
      <c r="L2690" s="11" t="s">
        <v>41</v>
      </c>
      <c r="M2690" s="11" t="s">
        <v>28</v>
      </c>
      <c r="N2690" s="11" t="s">
        <v>42</v>
      </c>
      <c r="O2690" s="11" t="s">
        <v>957</v>
      </c>
      <c r="P2690" s="11" t="s">
        <v>38</v>
      </c>
      <c r="Q2690" s="20">
        <v>40279.0</v>
      </c>
      <c r="R2690" s="17">
        <f t="shared" si="2"/>
        <v>1.724182974</v>
      </c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>
        <f t="shared" si="8"/>
        <v>3</v>
      </c>
      <c r="AF2690" s="19">
        <f t="shared" si="13"/>
        <v>2</v>
      </c>
      <c r="AG2690" s="9"/>
      <c r="AH2690" s="9"/>
      <c r="AI2690" s="9"/>
    </row>
    <row r="2691" ht="15.0" customHeight="1">
      <c r="A2691" s="11">
        <v>2690.0</v>
      </c>
      <c r="B2691" s="12">
        <f t="shared" si="437"/>
        <v>40277</v>
      </c>
      <c r="C2691" s="13">
        <v>2010.0</v>
      </c>
      <c r="D2691" s="11" t="s">
        <v>32</v>
      </c>
      <c r="E2691" s="11">
        <v>15.0</v>
      </c>
      <c r="F2691" s="21" t="s">
        <v>122</v>
      </c>
      <c r="G2691" s="15">
        <v>0.014449670743179694</v>
      </c>
      <c r="H2691" s="11" t="s">
        <v>33</v>
      </c>
      <c r="I2691" s="16">
        <v>0.792</v>
      </c>
      <c r="J2691" s="11" t="s">
        <v>2281</v>
      </c>
      <c r="K2691" s="11" t="s">
        <v>65</v>
      </c>
      <c r="L2691" s="11" t="s">
        <v>41</v>
      </c>
      <c r="M2691" s="11" t="s">
        <v>66</v>
      </c>
      <c r="N2691" s="11" t="s">
        <v>80</v>
      </c>
      <c r="O2691" s="11" t="s">
        <v>1321</v>
      </c>
      <c r="P2691" s="11" t="s">
        <v>58</v>
      </c>
      <c r="Q2691" s="20">
        <v>40279.0</v>
      </c>
      <c r="R2691" s="17">
        <f t="shared" si="2"/>
        <v>4.541415917</v>
      </c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>
        <f t="shared" si="8"/>
        <v>3</v>
      </c>
      <c r="AF2691" s="19">
        <f t="shared" si="13"/>
        <v>5</v>
      </c>
      <c r="AG2691" s="9"/>
      <c r="AH2691" s="9"/>
      <c r="AI2691" s="9"/>
    </row>
    <row r="2692" ht="15.0" customHeight="1">
      <c r="A2692" s="11">
        <v>2691.0</v>
      </c>
      <c r="B2692" s="12">
        <f t="shared" si="437"/>
        <v>40277</v>
      </c>
      <c r="C2692" s="13">
        <v>2010.0</v>
      </c>
      <c r="D2692" s="11" t="s">
        <v>32</v>
      </c>
      <c r="E2692" s="11">
        <v>12.0</v>
      </c>
      <c r="F2692" s="21" t="s">
        <v>752</v>
      </c>
      <c r="G2692" s="15">
        <v>0.057535156127658436</v>
      </c>
      <c r="H2692" s="11" t="s">
        <v>33</v>
      </c>
      <c r="I2692" s="16">
        <v>19.592</v>
      </c>
      <c r="J2692" s="11" t="s">
        <v>1168</v>
      </c>
      <c r="K2692" s="11" t="s">
        <v>61</v>
      </c>
      <c r="L2692" s="11" t="s">
        <v>36</v>
      </c>
      <c r="M2692" s="11" t="s">
        <v>66</v>
      </c>
      <c r="N2692" s="11" t="s">
        <v>170</v>
      </c>
      <c r="O2692" s="11" t="s">
        <v>753</v>
      </c>
      <c r="P2692" s="11" t="s">
        <v>31</v>
      </c>
      <c r="Q2692" s="20">
        <v>40279.0</v>
      </c>
      <c r="R2692" s="17">
        <f t="shared" si="2"/>
        <v>346.2691234</v>
      </c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>
        <f t="shared" si="8"/>
        <v>2</v>
      </c>
      <c r="AF2692" s="19">
        <f t="shared" si="13"/>
        <v>4</v>
      </c>
      <c r="AG2692" s="9"/>
      <c r="AH2692" s="9"/>
      <c r="AI2692" s="9"/>
    </row>
    <row r="2693" ht="15.0" customHeight="1">
      <c r="A2693" s="11">
        <v>2692.0</v>
      </c>
      <c r="B2693" s="12">
        <f t="shared" ref="B2693:B2704" si="438">DATE(2012,12,31)-996</f>
        <v>40278</v>
      </c>
      <c r="C2693" s="13">
        <v>2010.0</v>
      </c>
      <c r="D2693" s="11" t="s">
        <v>44</v>
      </c>
      <c r="E2693" s="11">
        <v>32.0</v>
      </c>
      <c r="F2693" s="21" t="s">
        <v>158</v>
      </c>
      <c r="G2693" s="15">
        <v>0.018130841121495305</v>
      </c>
      <c r="H2693" s="11" t="s">
        <v>33</v>
      </c>
      <c r="I2693" s="16">
        <v>5.32</v>
      </c>
      <c r="J2693" s="11" t="s">
        <v>1472</v>
      </c>
      <c r="K2693" s="11" t="s">
        <v>83</v>
      </c>
      <c r="L2693" s="11" t="s">
        <v>48</v>
      </c>
      <c r="M2693" s="11" t="s">
        <v>28</v>
      </c>
      <c r="N2693" s="11" t="s">
        <v>56</v>
      </c>
      <c r="O2693" s="11" t="s">
        <v>2282</v>
      </c>
      <c r="P2693" s="11" t="s">
        <v>38</v>
      </c>
      <c r="Q2693" s="20">
        <v>40279.0</v>
      </c>
      <c r="R2693" s="17">
        <f t="shared" si="2"/>
        <v>3.809652336</v>
      </c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>
        <f t="shared" si="8"/>
        <v>4</v>
      </c>
      <c r="AF2693" s="19" t="b">
        <f t="shared" si="13"/>
        <v>0</v>
      </c>
      <c r="AG2693" s="9"/>
      <c r="AH2693" s="9"/>
      <c r="AI2693" s="9"/>
    </row>
    <row r="2694" ht="15.0" customHeight="1">
      <c r="A2694" s="11">
        <v>2693.0</v>
      </c>
      <c r="B2694" s="12">
        <f t="shared" si="438"/>
        <v>40278</v>
      </c>
      <c r="C2694" s="13">
        <v>2010.0</v>
      </c>
      <c r="D2694" s="11" t="s">
        <v>44</v>
      </c>
      <c r="E2694" s="11">
        <v>27.0</v>
      </c>
      <c r="F2694" s="21" t="s">
        <v>344</v>
      </c>
      <c r="G2694" s="15">
        <v>0.0901195219123506</v>
      </c>
      <c r="H2694" s="11" t="s">
        <v>33</v>
      </c>
      <c r="I2694" s="16">
        <v>3.608</v>
      </c>
      <c r="J2694" s="11" t="s">
        <v>1472</v>
      </c>
      <c r="K2694" s="11" t="s">
        <v>83</v>
      </c>
      <c r="L2694" s="11" t="s">
        <v>48</v>
      </c>
      <c r="M2694" s="11" t="s">
        <v>28</v>
      </c>
      <c r="N2694" s="11" t="s">
        <v>29</v>
      </c>
      <c r="O2694" s="11" t="s">
        <v>929</v>
      </c>
      <c r="P2694" s="11" t="s">
        <v>38</v>
      </c>
      <c r="Q2694" s="20">
        <v>40279.0</v>
      </c>
      <c r="R2694" s="17">
        <f t="shared" si="2"/>
        <v>32.93039426</v>
      </c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>
        <f t="shared" si="8"/>
        <v>4</v>
      </c>
      <c r="AF2694" s="19" t="b">
        <f t="shared" si="13"/>
        <v>0</v>
      </c>
      <c r="AG2694" s="9"/>
      <c r="AH2694" s="9"/>
      <c r="AI2694" s="9"/>
    </row>
    <row r="2695" ht="15.0" customHeight="1">
      <c r="A2695" s="11">
        <v>2694.0</v>
      </c>
      <c r="B2695" s="12">
        <f t="shared" si="438"/>
        <v>40278</v>
      </c>
      <c r="C2695" s="13">
        <v>2010.0</v>
      </c>
      <c r="D2695" s="11" t="s">
        <v>44</v>
      </c>
      <c r="E2695" s="11">
        <v>12.0</v>
      </c>
      <c r="F2695" s="21" t="s">
        <v>287</v>
      </c>
      <c r="G2695" s="15">
        <v>0.08405355736413733</v>
      </c>
      <c r="H2695" s="11" t="s">
        <v>33</v>
      </c>
      <c r="I2695" s="16">
        <v>4.736</v>
      </c>
      <c r="J2695" s="11" t="s">
        <v>1472</v>
      </c>
      <c r="K2695" s="11" t="s">
        <v>83</v>
      </c>
      <c r="L2695" s="11" t="s">
        <v>48</v>
      </c>
      <c r="M2695" s="11" t="s">
        <v>66</v>
      </c>
      <c r="N2695" s="11" t="s">
        <v>80</v>
      </c>
      <c r="O2695" s="11" t="s">
        <v>435</v>
      </c>
      <c r="P2695" s="11" t="s">
        <v>38</v>
      </c>
      <c r="Q2695" s="20">
        <v>40280.0</v>
      </c>
      <c r="R2695" s="17">
        <f t="shared" si="2"/>
        <v>117.2997652</v>
      </c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>
        <f t="shared" si="8"/>
        <v>4</v>
      </c>
      <c r="AF2695" s="19" t="b">
        <f t="shared" si="13"/>
        <v>0</v>
      </c>
      <c r="AG2695" s="9"/>
      <c r="AH2695" s="9"/>
      <c r="AI2695" s="9"/>
    </row>
    <row r="2696" ht="15.0" customHeight="1">
      <c r="A2696" s="11">
        <v>2695.0</v>
      </c>
      <c r="B2696" s="12">
        <f t="shared" si="438"/>
        <v>40278</v>
      </c>
      <c r="C2696" s="13">
        <v>2010.0</v>
      </c>
      <c r="D2696" s="11" t="s">
        <v>102</v>
      </c>
      <c r="E2696" s="11">
        <v>3.0</v>
      </c>
      <c r="F2696" s="21" t="s">
        <v>894</v>
      </c>
      <c r="G2696" s="15">
        <v>0.15250000000000014</v>
      </c>
      <c r="H2696" s="11" t="s">
        <v>33</v>
      </c>
      <c r="I2696" s="16">
        <v>5.016</v>
      </c>
      <c r="J2696" s="11" t="s">
        <v>2283</v>
      </c>
      <c r="K2696" s="11" t="s">
        <v>65</v>
      </c>
      <c r="L2696" s="11" t="s">
        <v>41</v>
      </c>
      <c r="M2696" s="11" t="s">
        <v>28</v>
      </c>
      <c r="N2696" s="11" t="s">
        <v>42</v>
      </c>
      <c r="O2696" s="11" t="s">
        <v>89</v>
      </c>
      <c r="P2696" s="11" t="s">
        <v>38</v>
      </c>
      <c r="Q2696" s="20">
        <v>40280.0</v>
      </c>
      <c r="R2696" s="17">
        <f t="shared" si="2"/>
        <v>2.27469</v>
      </c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>
        <f t="shared" si="8"/>
        <v>3</v>
      </c>
      <c r="AF2696" s="19">
        <f t="shared" si="13"/>
        <v>5</v>
      </c>
      <c r="AG2696" s="9"/>
      <c r="AH2696" s="9"/>
      <c r="AI2696" s="9"/>
    </row>
    <row r="2697" ht="15.0" customHeight="1">
      <c r="A2697" s="11">
        <v>2696.0</v>
      </c>
      <c r="B2697" s="12">
        <f t="shared" si="438"/>
        <v>40278</v>
      </c>
      <c r="C2697" s="13">
        <v>2010.0</v>
      </c>
      <c r="D2697" s="11" t="s">
        <v>102</v>
      </c>
      <c r="E2697" s="11">
        <v>28.0</v>
      </c>
      <c r="F2697" s="21" t="s">
        <v>1043</v>
      </c>
      <c r="G2697" s="15">
        <v>0.025912393860221976</v>
      </c>
      <c r="H2697" s="11" t="s">
        <v>33</v>
      </c>
      <c r="I2697" s="16">
        <v>8.232</v>
      </c>
      <c r="J2697" s="11" t="s">
        <v>2283</v>
      </c>
      <c r="K2697" s="11" t="s">
        <v>65</v>
      </c>
      <c r="L2697" s="11" t="s">
        <v>41</v>
      </c>
      <c r="M2697" s="11" t="s">
        <v>28</v>
      </c>
      <c r="N2697" s="11" t="s">
        <v>42</v>
      </c>
      <c r="O2697" s="11" t="s">
        <v>1991</v>
      </c>
      <c r="P2697" s="11" t="s">
        <v>38</v>
      </c>
      <c r="Q2697" s="20">
        <v>40280.0</v>
      </c>
      <c r="R2697" s="17">
        <f t="shared" si="2"/>
        <v>43.5284684</v>
      </c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>
        <f t="shared" si="8"/>
        <v>3</v>
      </c>
      <c r="AF2697" s="19">
        <f t="shared" si="13"/>
        <v>5</v>
      </c>
      <c r="AG2697" s="9"/>
      <c r="AH2697" s="9"/>
      <c r="AI2697" s="9"/>
    </row>
    <row r="2698" ht="15.0" customHeight="1">
      <c r="A2698" s="11">
        <v>2697.0</v>
      </c>
      <c r="B2698" s="12">
        <f t="shared" si="438"/>
        <v>40278</v>
      </c>
      <c r="C2698" s="13">
        <v>2010.0</v>
      </c>
      <c r="D2698" s="11" t="s">
        <v>102</v>
      </c>
      <c r="E2698" s="11">
        <v>18.0</v>
      </c>
      <c r="F2698" s="21" t="s">
        <v>610</v>
      </c>
      <c r="G2698" s="15">
        <v>0.04238239102287438</v>
      </c>
      <c r="H2698" s="11" t="s">
        <v>24</v>
      </c>
      <c r="I2698" s="16">
        <v>2.2800000000000002</v>
      </c>
      <c r="J2698" s="11" t="s">
        <v>2283</v>
      </c>
      <c r="K2698" s="11" t="s">
        <v>65</v>
      </c>
      <c r="L2698" s="11" t="s">
        <v>41</v>
      </c>
      <c r="M2698" s="11" t="s">
        <v>49</v>
      </c>
      <c r="N2698" s="11" t="s">
        <v>73</v>
      </c>
      <c r="O2698" s="11" t="s">
        <v>612</v>
      </c>
      <c r="P2698" s="11" t="s">
        <v>99</v>
      </c>
      <c r="Q2698" s="20">
        <v>40280.0</v>
      </c>
      <c r="R2698" s="17">
        <f t="shared" si="2"/>
        <v>9.40380492</v>
      </c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>
        <f t="shared" si="8"/>
        <v>3</v>
      </c>
      <c r="AF2698" s="19">
        <f t="shared" si="13"/>
        <v>5</v>
      </c>
      <c r="AG2698" s="9"/>
      <c r="AH2698" s="9"/>
      <c r="AI2698" s="9"/>
    </row>
    <row r="2699" ht="15.0" customHeight="1">
      <c r="A2699" s="11">
        <v>2698.0</v>
      </c>
      <c r="B2699" s="12">
        <f t="shared" si="438"/>
        <v>40278</v>
      </c>
      <c r="C2699" s="13">
        <v>2010.0</v>
      </c>
      <c r="D2699" s="11" t="s">
        <v>32</v>
      </c>
      <c r="E2699" s="11">
        <v>43.0</v>
      </c>
      <c r="F2699" s="21" t="s">
        <v>277</v>
      </c>
      <c r="G2699" s="15">
        <v>0.08662320730117347</v>
      </c>
      <c r="H2699" s="11" t="s">
        <v>24</v>
      </c>
      <c r="I2699" s="16">
        <v>1.2560000000000002</v>
      </c>
      <c r="J2699" s="11" t="s">
        <v>2280</v>
      </c>
      <c r="K2699" s="11" t="s">
        <v>47</v>
      </c>
      <c r="L2699" s="11" t="s">
        <v>27</v>
      </c>
      <c r="M2699" s="11" t="s">
        <v>28</v>
      </c>
      <c r="N2699" s="11" t="s">
        <v>62</v>
      </c>
      <c r="O2699" s="11" t="s">
        <v>355</v>
      </c>
      <c r="P2699" s="11" t="s">
        <v>58</v>
      </c>
      <c r="Q2699" s="20">
        <v>40280.0</v>
      </c>
      <c r="R2699" s="17">
        <f t="shared" si="2"/>
        <v>6.068475411</v>
      </c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>
        <f t="shared" si="8"/>
        <v>1</v>
      </c>
      <c r="AF2699" s="19">
        <f t="shared" si="13"/>
        <v>3</v>
      </c>
      <c r="AG2699" s="9"/>
      <c r="AH2699" s="9"/>
      <c r="AI2699" s="9"/>
    </row>
    <row r="2700" ht="15.0" customHeight="1">
      <c r="A2700" s="11">
        <v>2699.0</v>
      </c>
      <c r="B2700" s="12">
        <f t="shared" si="438"/>
        <v>40278</v>
      </c>
      <c r="C2700" s="13">
        <v>2010.0</v>
      </c>
      <c r="D2700" s="11" t="s">
        <v>23</v>
      </c>
      <c r="E2700" s="11">
        <v>8.0</v>
      </c>
      <c r="F2700" s="21" t="s">
        <v>1136</v>
      </c>
      <c r="G2700" s="15">
        <v>0.048924623115577985</v>
      </c>
      <c r="H2700" s="11" t="s">
        <v>33</v>
      </c>
      <c r="I2700" s="16">
        <v>6.064</v>
      </c>
      <c r="J2700" s="11" t="s">
        <v>1773</v>
      </c>
      <c r="K2700" s="11" t="s">
        <v>61</v>
      </c>
      <c r="L2700" s="11" t="s">
        <v>48</v>
      </c>
      <c r="M2700" s="11" t="s">
        <v>49</v>
      </c>
      <c r="N2700" s="11" t="s">
        <v>73</v>
      </c>
      <c r="O2700" s="11" t="s">
        <v>2284</v>
      </c>
      <c r="P2700" s="11" t="s">
        <v>38</v>
      </c>
      <c r="Q2700" s="20">
        <v>40280.0</v>
      </c>
      <c r="R2700" s="17">
        <f t="shared" si="2"/>
        <v>9.259669869</v>
      </c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>
        <f t="shared" si="8"/>
        <v>4</v>
      </c>
      <c r="AF2700" s="19">
        <f t="shared" si="13"/>
        <v>4</v>
      </c>
      <c r="AG2700" s="9"/>
      <c r="AH2700" s="9"/>
      <c r="AI2700" s="9"/>
    </row>
    <row r="2701" ht="15.0" customHeight="1">
      <c r="A2701" s="11">
        <v>2700.0</v>
      </c>
      <c r="B2701" s="12">
        <f t="shared" si="438"/>
        <v>40278</v>
      </c>
      <c r="C2701" s="13">
        <v>2010.0</v>
      </c>
      <c r="D2701" s="11" t="s">
        <v>44</v>
      </c>
      <c r="E2701" s="11">
        <v>40.0</v>
      </c>
      <c r="F2701" s="21" t="s">
        <v>700</v>
      </c>
      <c r="G2701" s="15">
        <v>0.09093823668081086</v>
      </c>
      <c r="H2701" s="11" t="s">
        <v>33</v>
      </c>
      <c r="I2701" s="16">
        <v>1.6239999999999999</v>
      </c>
      <c r="J2701" s="11" t="s">
        <v>2084</v>
      </c>
      <c r="K2701" s="11" t="s">
        <v>61</v>
      </c>
      <c r="L2701" s="11" t="s">
        <v>48</v>
      </c>
      <c r="M2701" s="11" t="s">
        <v>28</v>
      </c>
      <c r="N2701" s="11" t="s">
        <v>56</v>
      </c>
      <c r="O2701" s="11" t="s">
        <v>1751</v>
      </c>
      <c r="P2701" s="11" t="s">
        <v>58</v>
      </c>
      <c r="Q2701" s="20">
        <v>40280.0</v>
      </c>
      <c r="R2701" s="17">
        <f t="shared" si="2"/>
        <v>35.06796658</v>
      </c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>
        <f t="shared" si="8"/>
        <v>4</v>
      </c>
      <c r="AF2701" s="19">
        <f t="shared" si="13"/>
        <v>4</v>
      </c>
      <c r="AG2701" s="9"/>
      <c r="AH2701" s="9"/>
      <c r="AI2701" s="9"/>
    </row>
    <row r="2702" ht="15.0" customHeight="1">
      <c r="A2702" s="11">
        <v>2701.0</v>
      </c>
      <c r="B2702" s="12">
        <f t="shared" si="438"/>
        <v>40278</v>
      </c>
      <c r="C2702" s="13">
        <v>2010.0</v>
      </c>
      <c r="D2702" s="11" t="s">
        <v>44</v>
      </c>
      <c r="E2702" s="11">
        <v>15.0</v>
      </c>
      <c r="F2702" s="21" t="s">
        <v>705</v>
      </c>
      <c r="G2702" s="15">
        <v>0.051302876480541514</v>
      </c>
      <c r="H2702" s="11" t="s">
        <v>24</v>
      </c>
      <c r="I2702" s="16">
        <v>0.568</v>
      </c>
      <c r="J2702" s="11" t="s">
        <v>2084</v>
      </c>
      <c r="K2702" s="11" t="s">
        <v>61</v>
      </c>
      <c r="L2702" s="11" t="s">
        <v>48</v>
      </c>
      <c r="M2702" s="11" t="s">
        <v>28</v>
      </c>
      <c r="N2702" s="11" t="s">
        <v>216</v>
      </c>
      <c r="O2702" s="11" t="s">
        <v>2032</v>
      </c>
      <c r="P2702" s="11" t="s">
        <v>58</v>
      </c>
      <c r="Q2702" s="20">
        <v>40280.0</v>
      </c>
      <c r="R2702" s="17">
        <f t="shared" si="2"/>
        <v>2.876449679</v>
      </c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>
        <f t="shared" si="8"/>
        <v>4</v>
      </c>
      <c r="AF2702" s="19">
        <f t="shared" si="13"/>
        <v>4</v>
      </c>
      <c r="AG2702" s="9"/>
      <c r="AH2702" s="9"/>
      <c r="AI2702" s="9"/>
    </row>
    <row r="2703" ht="15.0" customHeight="1">
      <c r="A2703" s="11">
        <v>2702.0</v>
      </c>
      <c r="B2703" s="12">
        <f t="shared" si="438"/>
        <v>40278</v>
      </c>
      <c r="C2703" s="13">
        <v>2010.0</v>
      </c>
      <c r="D2703" s="11" t="s">
        <v>102</v>
      </c>
      <c r="E2703" s="11">
        <v>7.0</v>
      </c>
      <c r="F2703" s="21" t="s">
        <v>1178</v>
      </c>
      <c r="G2703" s="15">
        <v>0.05406207493508103</v>
      </c>
      <c r="H2703" s="11" t="s">
        <v>45</v>
      </c>
      <c r="I2703" s="16">
        <v>41.760000000000005</v>
      </c>
      <c r="J2703" s="11" t="s">
        <v>1014</v>
      </c>
      <c r="K2703" s="11" t="s">
        <v>61</v>
      </c>
      <c r="L2703" s="11" t="s">
        <v>36</v>
      </c>
      <c r="M2703" s="11" t="s">
        <v>49</v>
      </c>
      <c r="N2703" s="11" t="s">
        <v>85</v>
      </c>
      <c r="O2703" s="11" t="s">
        <v>86</v>
      </c>
      <c r="P2703" s="11" t="s">
        <v>87</v>
      </c>
      <c r="Q2703" s="20">
        <v>40280.0</v>
      </c>
      <c r="R2703" s="17">
        <f t="shared" si="2"/>
        <v>82.71281217</v>
      </c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>
        <f t="shared" si="8"/>
        <v>2</v>
      </c>
      <c r="AF2703" s="19">
        <f t="shared" si="13"/>
        <v>4</v>
      </c>
      <c r="AG2703" s="9"/>
      <c r="AH2703" s="9"/>
      <c r="AI2703" s="9"/>
    </row>
    <row r="2704" ht="15.0" customHeight="1">
      <c r="A2704" s="11">
        <v>2703.0</v>
      </c>
      <c r="B2704" s="12">
        <f t="shared" si="438"/>
        <v>40278</v>
      </c>
      <c r="C2704" s="13">
        <v>2010.0</v>
      </c>
      <c r="D2704" s="11" t="s">
        <v>44</v>
      </c>
      <c r="E2704" s="11">
        <v>46.0</v>
      </c>
      <c r="F2704" s="21" t="s">
        <v>112</v>
      </c>
      <c r="G2704" s="15">
        <v>0.06644081294068847</v>
      </c>
      <c r="H2704" s="11" t="s">
        <v>45</v>
      </c>
      <c r="I2704" s="16">
        <v>34.656</v>
      </c>
      <c r="J2704" s="11" t="s">
        <v>535</v>
      </c>
      <c r="K2704" s="11" t="s">
        <v>35</v>
      </c>
      <c r="L2704" s="11" t="s">
        <v>48</v>
      </c>
      <c r="M2704" s="11" t="s">
        <v>49</v>
      </c>
      <c r="N2704" s="11" t="s">
        <v>50</v>
      </c>
      <c r="O2704" s="11" t="s">
        <v>114</v>
      </c>
      <c r="P2704" s="11" t="s">
        <v>52</v>
      </c>
      <c r="Q2704" s="20">
        <v>40280.0</v>
      </c>
      <c r="R2704" s="17">
        <f t="shared" si="2"/>
        <v>747.7286295</v>
      </c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>
        <f t="shared" si="8"/>
        <v>4</v>
      </c>
      <c r="AF2704" s="19">
        <f t="shared" si="13"/>
        <v>2</v>
      </c>
      <c r="AG2704" s="9"/>
      <c r="AH2704" s="9"/>
      <c r="AI2704" s="9"/>
    </row>
    <row r="2705" ht="15.0" customHeight="1">
      <c r="A2705" s="11">
        <v>2704.0</v>
      </c>
      <c r="B2705" s="12">
        <f t="shared" ref="B2705:B2715" si="439">DATE(2012,12,31)-995</f>
        <v>40279</v>
      </c>
      <c r="C2705" s="13">
        <v>2010.0</v>
      </c>
      <c r="D2705" s="11" t="s">
        <v>102</v>
      </c>
      <c r="E2705" s="11">
        <v>13.0</v>
      </c>
      <c r="F2705" s="21" t="s">
        <v>158</v>
      </c>
      <c r="G2705" s="15">
        <v>0.03511450381679388</v>
      </c>
      <c r="H2705" s="11" t="s">
        <v>24</v>
      </c>
      <c r="I2705" s="16">
        <v>5.28</v>
      </c>
      <c r="J2705" s="11" t="s">
        <v>2285</v>
      </c>
      <c r="K2705" s="11" t="s">
        <v>65</v>
      </c>
      <c r="L2705" s="11" t="s">
        <v>41</v>
      </c>
      <c r="M2705" s="11" t="s">
        <v>28</v>
      </c>
      <c r="N2705" s="11" t="s">
        <v>56</v>
      </c>
      <c r="O2705" s="11" t="s">
        <v>543</v>
      </c>
      <c r="P2705" s="11" t="s">
        <v>38</v>
      </c>
      <c r="Q2705" s="20">
        <v>40280.0</v>
      </c>
      <c r="R2705" s="17">
        <f t="shared" si="2"/>
        <v>3.106931298</v>
      </c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>
        <f t="shared" si="8"/>
        <v>3</v>
      </c>
      <c r="AF2705" s="19">
        <f t="shared" si="13"/>
        <v>5</v>
      </c>
      <c r="AG2705" s="9"/>
      <c r="AH2705" s="9"/>
      <c r="AI2705" s="9"/>
    </row>
    <row r="2706" ht="15.0" customHeight="1">
      <c r="A2706" s="11">
        <v>2705.0</v>
      </c>
      <c r="B2706" s="12">
        <f t="shared" si="439"/>
        <v>40279</v>
      </c>
      <c r="C2706" s="13">
        <v>2010.0</v>
      </c>
      <c r="D2706" s="11" t="s">
        <v>32</v>
      </c>
      <c r="E2706" s="11">
        <v>9.0</v>
      </c>
      <c r="F2706" s="21" t="s">
        <v>259</v>
      </c>
      <c r="G2706" s="15">
        <v>0.022951420714940336</v>
      </c>
      <c r="H2706" s="11" t="s">
        <v>33</v>
      </c>
      <c r="I2706" s="16">
        <v>4.896000000000001</v>
      </c>
      <c r="J2706" s="11" t="s">
        <v>574</v>
      </c>
      <c r="K2706" s="11" t="s">
        <v>61</v>
      </c>
      <c r="L2706" s="11" t="s">
        <v>48</v>
      </c>
      <c r="M2706" s="11" t="s">
        <v>28</v>
      </c>
      <c r="N2706" s="11" t="s">
        <v>197</v>
      </c>
      <c r="O2706" s="11" t="s">
        <v>1029</v>
      </c>
      <c r="P2706" s="11" t="s">
        <v>75</v>
      </c>
      <c r="Q2706" s="20">
        <v>40280.0</v>
      </c>
      <c r="R2706" s="17">
        <f t="shared" si="2"/>
        <v>2.446529643</v>
      </c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>
        <f t="shared" si="8"/>
        <v>4</v>
      </c>
      <c r="AF2706" s="19">
        <f t="shared" si="13"/>
        <v>4</v>
      </c>
      <c r="AG2706" s="9"/>
      <c r="AH2706" s="9"/>
      <c r="AI2706" s="9"/>
    </row>
    <row r="2707" ht="15.0" customHeight="1">
      <c r="A2707" s="11">
        <v>2706.0</v>
      </c>
      <c r="B2707" s="12">
        <f t="shared" si="439"/>
        <v>40279</v>
      </c>
      <c r="C2707" s="13">
        <v>2010.0</v>
      </c>
      <c r="D2707" s="11" t="s">
        <v>32</v>
      </c>
      <c r="E2707" s="11">
        <v>11.0</v>
      </c>
      <c r="F2707" s="21" t="s">
        <v>894</v>
      </c>
      <c r="G2707" s="15">
        <v>0.13018947368421063</v>
      </c>
      <c r="H2707" s="11" t="s">
        <v>24</v>
      </c>
      <c r="I2707" s="16">
        <v>5.016</v>
      </c>
      <c r="J2707" s="11" t="s">
        <v>574</v>
      </c>
      <c r="K2707" s="11" t="s">
        <v>61</v>
      </c>
      <c r="L2707" s="11" t="s">
        <v>48</v>
      </c>
      <c r="M2707" s="11" t="s">
        <v>28</v>
      </c>
      <c r="N2707" s="11" t="s">
        <v>42</v>
      </c>
      <c r="O2707" s="11" t="s">
        <v>89</v>
      </c>
      <c r="P2707" s="11" t="s">
        <v>38</v>
      </c>
      <c r="Q2707" s="20">
        <v>40281.0</v>
      </c>
      <c r="R2707" s="17">
        <f t="shared" si="2"/>
        <v>5.378908295</v>
      </c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>
        <f t="shared" si="8"/>
        <v>4</v>
      </c>
      <c r="AF2707" s="19">
        <f t="shared" si="13"/>
        <v>4</v>
      </c>
      <c r="AG2707" s="9"/>
      <c r="AH2707" s="9"/>
      <c r="AI2707" s="9"/>
    </row>
    <row r="2708" ht="15.0" customHeight="1">
      <c r="A2708" s="11">
        <v>2707.0</v>
      </c>
      <c r="B2708" s="12">
        <f t="shared" si="439"/>
        <v>40279</v>
      </c>
      <c r="C2708" s="13">
        <v>2010.0</v>
      </c>
      <c r="D2708" s="11" t="s">
        <v>32</v>
      </c>
      <c r="E2708" s="11">
        <v>16.0</v>
      </c>
      <c r="F2708" s="21" t="s">
        <v>536</v>
      </c>
      <c r="G2708" s="15">
        <v>0.05483433805318001</v>
      </c>
      <c r="H2708" s="11" t="s">
        <v>45</v>
      </c>
      <c r="I2708" s="16">
        <v>56.160000000000004</v>
      </c>
      <c r="J2708" s="11" t="s">
        <v>574</v>
      </c>
      <c r="K2708" s="11" t="s">
        <v>61</v>
      </c>
      <c r="L2708" s="11" t="s">
        <v>48</v>
      </c>
      <c r="M2708" s="11" t="s">
        <v>49</v>
      </c>
      <c r="N2708" s="11" t="s">
        <v>50</v>
      </c>
      <c r="O2708" s="11" t="s">
        <v>537</v>
      </c>
      <c r="P2708" s="11" t="s">
        <v>52</v>
      </c>
      <c r="Q2708" s="20">
        <v>40281.0</v>
      </c>
      <c r="R2708" s="17">
        <f t="shared" si="2"/>
        <v>110.9057388</v>
      </c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>
        <f t="shared" si="8"/>
        <v>4</v>
      </c>
      <c r="AF2708" s="19">
        <f t="shared" si="13"/>
        <v>4</v>
      </c>
      <c r="AG2708" s="9"/>
      <c r="AH2708" s="9"/>
      <c r="AI2708" s="9"/>
    </row>
    <row r="2709" ht="15.0" customHeight="1">
      <c r="A2709" s="11">
        <v>2708.0</v>
      </c>
      <c r="B2709" s="12">
        <f t="shared" si="439"/>
        <v>40279</v>
      </c>
      <c r="C2709" s="13">
        <v>2010.0</v>
      </c>
      <c r="D2709" s="11" t="s">
        <v>32</v>
      </c>
      <c r="E2709" s="11">
        <v>29.0</v>
      </c>
      <c r="F2709" s="21" t="s">
        <v>950</v>
      </c>
      <c r="G2709" s="15">
        <v>0.028544891640866783</v>
      </c>
      <c r="H2709" s="11" t="s">
        <v>24</v>
      </c>
      <c r="I2709" s="16">
        <v>7.192</v>
      </c>
      <c r="J2709" s="11" t="s">
        <v>574</v>
      </c>
      <c r="K2709" s="11" t="s">
        <v>61</v>
      </c>
      <c r="L2709" s="11" t="s">
        <v>48</v>
      </c>
      <c r="M2709" s="11" t="s">
        <v>49</v>
      </c>
      <c r="N2709" s="11" t="s">
        <v>73</v>
      </c>
      <c r="O2709" s="11" t="s">
        <v>1793</v>
      </c>
      <c r="P2709" s="11" t="s">
        <v>99</v>
      </c>
      <c r="Q2709" s="20">
        <v>40281.0</v>
      </c>
      <c r="R2709" s="17">
        <f t="shared" si="2"/>
        <v>12.53954254</v>
      </c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>
        <f t="shared" si="8"/>
        <v>4</v>
      </c>
      <c r="AF2709" s="19">
        <f t="shared" si="13"/>
        <v>4</v>
      </c>
      <c r="AG2709" s="9"/>
      <c r="AH2709" s="9"/>
      <c r="AI2709" s="9"/>
    </row>
    <row r="2710" ht="15.0" customHeight="1">
      <c r="A2710" s="11">
        <v>2709.0</v>
      </c>
      <c r="B2710" s="12">
        <f t="shared" si="439"/>
        <v>40279</v>
      </c>
      <c r="C2710" s="13">
        <v>2010.0</v>
      </c>
      <c r="D2710" s="11" t="s">
        <v>44</v>
      </c>
      <c r="E2710" s="11">
        <v>40.0</v>
      </c>
      <c r="F2710" s="21" t="s">
        <v>629</v>
      </c>
      <c r="G2710" s="15">
        <v>0.011521298174442243</v>
      </c>
      <c r="H2710" s="11" t="s">
        <v>33</v>
      </c>
      <c r="I2710" s="16">
        <v>0.392</v>
      </c>
      <c r="J2710" s="11" t="s">
        <v>803</v>
      </c>
      <c r="K2710" s="11" t="s">
        <v>61</v>
      </c>
      <c r="L2710" s="11" t="s">
        <v>27</v>
      </c>
      <c r="M2710" s="11" t="s">
        <v>28</v>
      </c>
      <c r="N2710" s="11" t="s">
        <v>188</v>
      </c>
      <c r="O2710" s="11" t="s">
        <v>631</v>
      </c>
      <c r="P2710" s="11" t="s">
        <v>38</v>
      </c>
      <c r="Q2710" s="20">
        <v>40281.0</v>
      </c>
      <c r="R2710" s="17">
        <f t="shared" si="2"/>
        <v>3.368735416</v>
      </c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>
        <f t="shared" si="8"/>
        <v>1</v>
      </c>
      <c r="AF2710" s="19">
        <f t="shared" si="13"/>
        <v>4</v>
      </c>
      <c r="AG2710" s="9"/>
      <c r="AH2710" s="9"/>
      <c r="AI2710" s="9"/>
    </row>
    <row r="2711" ht="15.0" customHeight="1">
      <c r="A2711" s="11">
        <v>2710.0</v>
      </c>
      <c r="B2711" s="12">
        <f t="shared" si="439"/>
        <v>40279</v>
      </c>
      <c r="C2711" s="13">
        <v>2010.0</v>
      </c>
      <c r="D2711" s="11" t="s">
        <v>44</v>
      </c>
      <c r="E2711" s="11">
        <v>46.0</v>
      </c>
      <c r="F2711" s="21" t="s">
        <v>1551</v>
      </c>
      <c r="G2711" s="15">
        <v>0.06302415262837419</v>
      </c>
      <c r="H2711" s="11" t="s">
        <v>33</v>
      </c>
      <c r="I2711" s="16">
        <v>1.6480000000000001</v>
      </c>
      <c r="J2711" s="11" t="s">
        <v>803</v>
      </c>
      <c r="K2711" s="11" t="s">
        <v>61</v>
      </c>
      <c r="L2711" s="11" t="s">
        <v>27</v>
      </c>
      <c r="M2711" s="11" t="s">
        <v>28</v>
      </c>
      <c r="N2711" s="11" t="s">
        <v>56</v>
      </c>
      <c r="O2711" s="11" t="s">
        <v>1552</v>
      </c>
      <c r="P2711" s="11" t="s">
        <v>58</v>
      </c>
      <c r="Q2711" s="20">
        <v>40281.0</v>
      </c>
      <c r="R2711" s="17">
        <f t="shared" si="2"/>
        <v>29.09497401</v>
      </c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>
        <f t="shared" si="8"/>
        <v>1</v>
      </c>
      <c r="AF2711" s="19">
        <f t="shared" si="13"/>
        <v>4</v>
      </c>
      <c r="AG2711" s="9"/>
      <c r="AH2711" s="9"/>
      <c r="AI2711" s="9"/>
    </row>
    <row r="2712" ht="15.0" customHeight="1">
      <c r="A2712" s="11">
        <v>2711.0</v>
      </c>
      <c r="B2712" s="12">
        <f t="shared" si="439"/>
        <v>40279</v>
      </c>
      <c r="C2712" s="13">
        <v>2010.0</v>
      </c>
      <c r="D2712" s="11" t="s">
        <v>102</v>
      </c>
      <c r="E2712" s="11">
        <v>31.0</v>
      </c>
      <c r="F2712" s="21" t="s">
        <v>128</v>
      </c>
      <c r="G2712" s="15">
        <v>0.07508707173954182</v>
      </c>
      <c r="H2712" s="11" t="s">
        <v>33</v>
      </c>
      <c r="I2712" s="16">
        <v>6.152000000000001</v>
      </c>
      <c r="J2712" s="11" t="s">
        <v>2099</v>
      </c>
      <c r="K2712" s="11" t="s">
        <v>83</v>
      </c>
      <c r="L2712" s="11" t="s">
        <v>48</v>
      </c>
      <c r="M2712" s="11" t="s">
        <v>66</v>
      </c>
      <c r="N2712" s="11" t="s">
        <v>80</v>
      </c>
      <c r="O2712" s="11" t="s">
        <v>589</v>
      </c>
      <c r="P2712" s="11" t="s">
        <v>38</v>
      </c>
      <c r="Q2712" s="20">
        <v>40282.0</v>
      </c>
      <c r="R2712" s="17">
        <f t="shared" si="2"/>
        <v>293.519268</v>
      </c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>
        <f t="shared" si="8"/>
        <v>4</v>
      </c>
      <c r="AF2712" s="19" t="b">
        <f t="shared" si="13"/>
        <v>0</v>
      </c>
      <c r="AG2712" s="9"/>
      <c r="AH2712" s="9"/>
      <c r="AI2712" s="9"/>
    </row>
    <row r="2713" ht="15.0" customHeight="1">
      <c r="A2713" s="11">
        <v>2712.0</v>
      </c>
      <c r="B2713" s="12">
        <f t="shared" si="439"/>
        <v>40279</v>
      </c>
      <c r="C2713" s="13">
        <v>2010.0</v>
      </c>
      <c r="D2713" s="11" t="s">
        <v>32</v>
      </c>
      <c r="E2713" s="11">
        <v>8.0</v>
      </c>
      <c r="F2713" s="21" t="s">
        <v>151</v>
      </c>
      <c r="G2713" s="15">
        <v>0.08356687898089157</v>
      </c>
      <c r="H2713" s="11" t="s">
        <v>33</v>
      </c>
      <c r="I2713" s="16">
        <v>3.176</v>
      </c>
      <c r="J2713" s="11" t="s">
        <v>2136</v>
      </c>
      <c r="K2713" s="11" t="s">
        <v>61</v>
      </c>
      <c r="L2713" s="11" t="s">
        <v>27</v>
      </c>
      <c r="M2713" s="11" t="s">
        <v>28</v>
      </c>
      <c r="N2713" s="11" t="s">
        <v>62</v>
      </c>
      <c r="O2713" s="11" t="s">
        <v>209</v>
      </c>
      <c r="P2713" s="11" t="s">
        <v>58</v>
      </c>
      <c r="Q2713" s="20">
        <v>40282.0</v>
      </c>
      <c r="R2713" s="17">
        <f t="shared" si="2"/>
        <v>2.40472051</v>
      </c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>
        <f t="shared" si="8"/>
        <v>1</v>
      </c>
      <c r="AF2713" s="19">
        <f t="shared" si="13"/>
        <v>4</v>
      </c>
      <c r="AG2713" s="9"/>
      <c r="AH2713" s="9"/>
      <c r="AI2713" s="9"/>
    </row>
    <row r="2714" ht="15.0" customHeight="1">
      <c r="A2714" s="11">
        <v>2713.0</v>
      </c>
      <c r="B2714" s="12">
        <f t="shared" si="439"/>
        <v>40279</v>
      </c>
      <c r="C2714" s="13">
        <v>2010.0</v>
      </c>
      <c r="D2714" s="11" t="s">
        <v>32</v>
      </c>
      <c r="E2714" s="11">
        <v>25.0</v>
      </c>
      <c r="F2714" s="21" t="s">
        <v>933</v>
      </c>
      <c r="G2714" s="15">
        <v>0.09264782157676354</v>
      </c>
      <c r="H2714" s="11" t="s">
        <v>33</v>
      </c>
      <c r="I2714" s="16">
        <v>2.0</v>
      </c>
      <c r="J2714" s="11" t="s">
        <v>2136</v>
      </c>
      <c r="K2714" s="11" t="s">
        <v>61</v>
      </c>
      <c r="L2714" s="11" t="s">
        <v>27</v>
      </c>
      <c r="M2714" s="11" t="s">
        <v>66</v>
      </c>
      <c r="N2714" s="11" t="s">
        <v>80</v>
      </c>
      <c r="O2714" s="11" t="s">
        <v>1708</v>
      </c>
      <c r="P2714" s="11" t="s">
        <v>99</v>
      </c>
      <c r="Q2714" s="20">
        <v>40283.0</v>
      </c>
      <c r="R2714" s="17">
        <f t="shared" si="2"/>
        <v>129.6606263</v>
      </c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>
        <f t="shared" si="8"/>
        <v>1</v>
      </c>
      <c r="AF2714" s="19">
        <f t="shared" si="13"/>
        <v>4</v>
      </c>
      <c r="AG2714" s="9"/>
      <c r="AH2714" s="9"/>
      <c r="AI2714" s="9"/>
    </row>
    <row r="2715" ht="15.0" customHeight="1">
      <c r="A2715" s="11">
        <v>2714.0</v>
      </c>
      <c r="B2715" s="12">
        <f t="shared" si="439"/>
        <v>40279</v>
      </c>
      <c r="C2715" s="13">
        <v>2010.0</v>
      </c>
      <c r="D2715" s="11" t="s">
        <v>44</v>
      </c>
      <c r="E2715" s="11">
        <v>18.0</v>
      </c>
      <c r="F2715" s="21" t="s">
        <v>178</v>
      </c>
      <c r="G2715" s="15">
        <v>0.05007010834926701</v>
      </c>
      <c r="H2715" s="11" t="s">
        <v>33</v>
      </c>
      <c r="I2715" s="16">
        <v>6.152000000000001</v>
      </c>
      <c r="J2715" s="11" t="s">
        <v>370</v>
      </c>
      <c r="K2715" s="11" t="s">
        <v>65</v>
      </c>
      <c r="L2715" s="11" t="s">
        <v>48</v>
      </c>
      <c r="M2715" s="11" t="s">
        <v>66</v>
      </c>
      <c r="N2715" s="11" t="s">
        <v>80</v>
      </c>
      <c r="O2715" s="11" t="s">
        <v>2286</v>
      </c>
      <c r="P2715" s="11" t="s">
        <v>38</v>
      </c>
      <c r="Q2715" s="20">
        <v>40283.0</v>
      </c>
      <c r="R2715" s="17">
        <f t="shared" si="2"/>
        <v>59.70119383</v>
      </c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>
        <f t="shared" si="8"/>
        <v>4</v>
      </c>
      <c r="AF2715" s="19">
        <f t="shared" si="13"/>
        <v>5</v>
      </c>
      <c r="AG2715" s="9"/>
      <c r="AH2715" s="9"/>
      <c r="AI2715" s="9"/>
    </row>
    <row r="2716" ht="15.0" customHeight="1">
      <c r="A2716" s="11">
        <v>2715.0</v>
      </c>
      <c r="B2716" s="12">
        <f t="shared" ref="B2716:B2722" si="440">DATE(2012,12,31)-994</f>
        <v>40280</v>
      </c>
      <c r="C2716" s="13">
        <v>2010.0</v>
      </c>
      <c r="D2716" s="11" t="s">
        <v>32</v>
      </c>
      <c r="E2716" s="11">
        <v>39.0</v>
      </c>
      <c r="F2716" s="21" t="s">
        <v>1178</v>
      </c>
      <c r="G2716" s="15">
        <v>0.07522361558095662</v>
      </c>
      <c r="H2716" s="11" t="s">
        <v>45</v>
      </c>
      <c r="I2716" s="16">
        <v>41.760000000000005</v>
      </c>
      <c r="J2716" s="11" t="s">
        <v>600</v>
      </c>
      <c r="K2716" s="11" t="s">
        <v>35</v>
      </c>
      <c r="L2716" s="11" t="s">
        <v>41</v>
      </c>
      <c r="M2716" s="11" t="s">
        <v>49</v>
      </c>
      <c r="N2716" s="11" t="s">
        <v>85</v>
      </c>
      <c r="O2716" s="11" t="s">
        <v>86</v>
      </c>
      <c r="P2716" s="11" t="s">
        <v>87</v>
      </c>
      <c r="Q2716" s="20">
        <v>40283.0</v>
      </c>
      <c r="R2716" s="17">
        <f t="shared" si="2"/>
        <v>626.8504244</v>
      </c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>
        <f t="shared" si="8"/>
        <v>3</v>
      </c>
      <c r="AF2716" s="19">
        <f t="shared" si="13"/>
        <v>2</v>
      </c>
      <c r="AG2716" s="9"/>
      <c r="AH2716" s="9"/>
      <c r="AI2716" s="9"/>
    </row>
    <row r="2717" ht="15.0" customHeight="1">
      <c r="A2717" s="11">
        <v>2716.0</v>
      </c>
      <c r="B2717" s="12">
        <f t="shared" si="440"/>
        <v>40280</v>
      </c>
      <c r="C2717" s="13">
        <v>2010.0</v>
      </c>
      <c r="D2717" s="11" t="s">
        <v>44</v>
      </c>
      <c r="E2717" s="11">
        <v>15.0</v>
      </c>
      <c r="F2717" s="21" t="s">
        <v>405</v>
      </c>
      <c r="G2717" s="15">
        <v>0.08571069182389932</v>
      </c>
      <c r="H2717" s="11" t="s">
        <v>33</v>
      </c>
      <c r="I2717" s="16">
        <v>19.592</v>
      </c>
      <c r="J2717" s="11" t="s">
        <v>1884</v>
      </c>
      <c r="K2717" s="11" t="s">
        <v>117</v>
      </c>
      <c r="L2717" s="11" t="s">
        <v>48</v>
      </c>
      <c r="M2717" s="11" t="s">
        <v>49</v>
      </c>
      <c r="N2717" s="11" t="s">
        <v>73</v>
      </c>
      <c r="O2717" s="11" t="s">
        <v>406</v>
      </c>
      <c r="P2717" s="11" t="s">
        <v>31</v>
      </c>
      <c r="Q2717" s="20">
        <v>40283.0</v>
      </c>
      <c r="R2717" s="17">
        <f t="shared" si="2"/>
        <v>137.0592816</v>
      </c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>
        <f t="shared" si="8"/>
        <v>4</v>
      </c>
      <c r="AF2717" s="19" t="b">
        <f t="shared" si="13"/>
        <v>0</v>
      </c>
      <c r="AG2717" s="9"/>
      <c r="AH2717" s="9"/>
      <c r="AI2717" s="9"/>
    </row>
    <row r="2718" ht="15.0" customHeight="1">
      <c r="A2718" s="11">
        <v>2717.0</v>
      </c>
      <c r="B2718" s="12">
        <f t="shared" si="440"/>
        <v>40280</v>
      </c>
      <c r="C2718" s="13">
        <v>2010.0</v>
      </c>
      <c r="D2718" s="11" t="s">
        <v>44</v>
      </c>
      <c r="E2718" s="11">
        <v>9.0</v>
      </c>
      <c r="F2718" s="21" t="s">
        <v>2094</v>
      </c>
      <c r="G2718" s="15">
        <v>0.0435692541856926</v>
      </c>
      <c r="H2718" s="11" t="s">
        <v>33</v>
      </c>
      <c r="I2718" s="16">
        <v>8.6</v>
      </c>
      <c r="J2718" s="11" t="s">
        <v>398</v>
      </c>
      <c r="K2718" s="11" t="s">
        <v>35</v>
      </c>
      <c r="L2718" s="11" t="s">
        <v>27</v>
      </c>
      <c r="M2718" s="11" t="s">
        <v>28</v>
      </c>
      <c r="N2718" s="11" t="s">
        <v>56</v>
      </c>
      <c r="O2718" s="11" t="s">
        <v>2096</v>
      </c>
      <c r="P2718" s="11" t="s">
        <v>38</v>
      </c>
      <c r="Q2718" s="20">
        <v>40283.0</v>
      </c>
      <c r="R2718" s="17">
        <f t="shared" si="2"/>
        <v>21.90226408</v>
      </c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>
        <f t="shared" si="8"/>
        <v>1</v>
      </c>
      <c r="AF2718" s="19">
        <f t="shared" si="13"/>
        <v>2</v>
      </c>
      <c r="AG2718" s="9"/>
      <c r="AH2718" s="9"/>
      <c r="AI2718" s="9"/>
    </row>
    <row r="2719" ht="15.0" customHeight="1">
      <c r="A2719" s="11">
        <v>2718.0</v>
      </c>
      <c r="B2719" s="12">
        <f t="shared" si="440"/>
        <v>40280</v>
      </c>
      <c r="C2719" s="13">
        <v>2010.0</v>
      </c>
      <c r="D2719" s="11" t="s">
        <v>39</v>
      </c>
      <c r="E2719" s="11">
        <v>11.0</v>
      </c>
      <c r="F2719" s="21" t="s">
        <v>310</v>
      </c>
      <c r="G2719" s="15">
        <v>0.09411705118140157</v>
      </c>
      <c r="H2719" s="11" t="s">
        <v>45</v>
      </c>
      <c r="I2719" s="16">
        <v>47.160000000000004</v>
      </c>
      <c r="J2719" s="11" t="s">
        <v>1929</v>
      </c>
      <c r="K2719" s="11" t="s">
        <v>83</v>
      </c>
      <c r="L2719" s="11" t="s">
        <v>48</v>
      </c>
      <c r="M2719" s="11" t="s">
        <v>49</v>
      </c>
      <c r="N2719" s="11" t="s">
        <v>50</v>
      </c>
      <c r="O2719" s="11" t="s">
        <v>311</v>
      </c>
      <c r="P2719" s="11" t="s">
        <v>52</v>
      </c>
      <c r="Q2719" s="20">
        <v>40283.0</v>
      </c>
      <c r="R2719" s="17">
        <f t="shared" si="2"/>
        <v>336.6623391</v>
      </c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>
        <f t="shared" si="8"/>
        <v>4</v>
      </c>
      <c r="AF2719" s="19" t="b">
        <f t="shared" si="13"/>
        <v>0</v>
      </c>
      <c r="AG2719" s="9"/>
      <c r="AH2719" s="9"/>
      <c r="AI2719" s="9"/>
    </row>
    <row r="2720" ht="15.0" customHeight="1">
      <c r="A2720" s="11">
        <v>2719.0</v>
      </c>
      <c r="B2720" s="12">
        <f t="shared" si="440"/>
        <v>40280</v>
      </c>
      <c r="C2720" s="13">
        <v>2010.0</v>
      </c>
      <c r="D2720" s="11" t="s">
        <v>39</v>
      </c>
      <c r="E2720" s="11">
        <v>10.0</v>
      </c>
      <c r="F2720" s="21" t="s">
        <v>151</v>
      </c>
      <c r="G2720" s="15">
        <v>0.11395465994962219</v>
      </c>
      <c r="H2720" s="11" t="s">
        <v>33</v>
      </c>
      <c r="I2720" s="16">
        <v>3.176</v>
      </c>
      <c r="J2720" s="11" t="s">
        <v>1929</v>
      </c>
      <c r="K2720" s="11" t="s">
        <v>83</v>
      </c>
      <c r="L2720" s="11" t="s">
        <v>48</v>
      </c>
      <c r="M2720" s="11" t="s">
        <v>28</v>
      </c>
      <c r="N2720" s="11" t="s">
        <v>62</v>
      </c>
      <c r="O2720" s="11" t="s">
        <v>209</v>
      </c>
      <c r="P2720" s="11" t="s">
        <v>58</v>
      </c>
      <c r="Q2720" s="20">
        <v>40283.0</v>
      </c>
      <c r="R2720" s="17">
        <f t="shared" si="2"/>
        <v>4.008469118</v>
      </c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>
        <f t="shared" si="8"/>
        <v>4</v>
      </c>
      <c r="AF2720" s="19" t="b">
        <f t="shared" si="13"/>
        <v>0</v>
      </c>
      <c r="AG2720" s="9"/>
      <c r="AH2720" s="9"/>
      <c r="AI2720" s="9"/>
    </row>
    <row r="2721" ht="15.0" customHeight="1">
      <c r="A2721" s="11">
        <v>2720.0</v>
      </c>
      <c r="B2721" s="12">
        <f t="shared" si="440"/>
        <v>40280</v>
      </c>
      <c r="C2721" s="13">
        <v>2010.0</v>
      </c>
      <c r="D2721" s="11" t="s">
        <v>39</v>
      </c>
      <c r="E2721" s="11">
        <v>50.0</v>
      </c>
      <c r="F2721" s="21" t="s">
        <v>122</v>
      </c>
      <c r="G2721" s="15">
        <v>0.02780586751689347</v>
      </c>
      <c r="H2721" s="11" t="s">
        <v>33</v>
      </c>
      <c r="I2721" s="16">
        <v>1.0</v>
      </c>
      <c r="J2721" s="11" t="s">
        <v>1929</v>
      </c>
      <c r="K2721" s="11" t="s">
        <v>83</v>
      </c>
      <c r="L2721" s="11" t="s">
        <v>48</v>
      </c>
      <c r="M2721" s="11" t="s">
        <v>66</v>
      </c>
      <c r="N2721" s="11" t="s">
        <v>80</v>
      </c>
      <c r="O2721" s="11" t="s">
        <v>1992</v>
      </c>
      <c r="P2721" s="11" t="s">
        <v>99</v>
      </c>
      <c r="Q2721" s="20">
        <v>40283.0</v>
      </c>
      <c r="R2721" s="17">
        <f t="shared" si="2"/>
        <v>29.08493742</v>
      </c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>
        <f t="shared" si="8"/>
        <v>4</v>
      </c>
      <c r="AF2721" s="19" t="b">
        <f t="shared" si="13"/>
        <v>0</v>
      </c>
      <c r="AG2721" s="9"/>
      <c r="AH2721" s="9"/>
      <c r="AI2721" s="9"/>
    </row>
    <row r="2722" ht="15.0" customHeight="1">
      <c r="A2722" s="11">
        <v>2721.0</v>
      </c>
      <c r="B2722" s="12">
        <f t="shared" si="440"/>
        <v>40280</v>
      </c>
      <c r="C2722" s="13">
        <v>2010.0</v>
      </c>
      <c r="D2722" s="11" t="s">
        <v>44</v>
      </c>
      <c r="E2722" s="11">
        <v>17.0</v>
      </c>
      <c r="F2722" s="21" t="s">
        <v>158</v>
      </c>
      <c r="G2722" s="15">
        <v>0.09617021276595739</v>
      </c>
      <c r="H2722" s="11" t="s">
        <v>24</v>
      </c>
      <c r="I2722" s="16">
        <v>5.896000000000001</v>
      </c>
      <c r="J2722" s="11" t="s">
        <v>1972</v>
      </c>
      <c r="K2722" s="11" t="s">
        <v>61</v>
      </c>
      <c r="L2722" s="11" t="s">
        <v>27</v>
      </c>
      <c r="M2722" s="11" t="s">
        <v>28</v>
      </c>
      <c r="N2722" s="11" t="s">
        <v>56</v>
      </c>
      <c r="O2722" s="11" t="s">
        <v>860</v>
      </c>
      <c r="P2722" s="11" t="s">
        <v>38</v>
      </c>
      <c r="Q2722" s="20">
        <v>40284.0</v>
      </c>
      <c r="R2722" s="17">
        <f t="shared" si="2"/>
        <v>11.03033872</v>
      </c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>
        <f t="shared" si="8"/>
        <v>1</v>
      </c>
      <c r="AF2722" s="19">
        <f t="shared" si="13"/>
        <v>4</v>
      </c>
      <c r="AG2722" s="9"/>
      <c r="AH2722" s="9"/>
      <c r="AI2722" s="9"/>
    </row>
    <row r="2723" ht="15.0" customHeight="1">
      <c r="A2723" s="11">
        <v>2722.0</v>
      </c>
      <c r="B2723" s="12">
        <f t="shared" ref="B2723:B2735" si="441">DATE(2012,12,31)-991</f>
        <v>40283</v>
      </c>
      <c r="C2723" s="13">
        <v>2010.0</v>
      </c>
      <c r="D2723" s="11" t="s">
        <v>39</v>
      </c>
      <c r="E2723" s="11">
        <v>25.0</v>
      </c>
      <c r="F2723" s="21" t="s">
        <v>1015</v>
      </c>
      <c r="G2723" s="15">
        <v>0.10419723391461216</v>
      </c>
      <c r="H2723" s="11" t="s">
        <v>33</v>
      </c>
      <c r="I2723" s="16">
        <v>6.472</v>
      </c>
      <c r="J2723" s="11" t="s">
        <v>353</v>
      </c>
      <c r="K2723" s="11" t="s">
        <v>117</v>
      </c>
      <c r="L2723" s="11" t="s">
        <v>41</v>
      </c>
      <c r="M2723" s="11" t="s">
        <v>28</v>
      </c>
      <c r="N2723" s="11" t="s">
        <v>56</v>
      </c>
      <c r="O2723" s="11" t="s">
        <v>2137</v>
      </c>
      <c r="P2723" s="11" t="s">
        <v>38</v>
      </c>
      <c r="Q2723" s="20">
        <v>40284.0</v>
      </c>
      <c r="R2723" s="17">
        <f t="shared" si="2"/>
        <v>15.52247033</v>
      </c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>
        <f t="shared" si="8"/>
        <v>3</v>
      </c>
      <c r="AF2723" s="19" t="b">
        <f t="shared" si="13"/>
        <v>0</v>
      </c>
      <c r="AG2723" s="9"/>
      <c r="AH2723" s="9"/>
      <c r="AI2723" s="9"/>
    </row>
    <row r="2724" ht="15.0" customHeight="1">
      <c r="A2724" s="11">
        <v>2723.0</v>
      </c>
      <c r="B2724" s="12">
        <f t="shared" si="441"/>
        <v>40283</v>
      </c>
      <c r="C2724" s="13">
        <v>2010.0</v>
      </c>
      <c r="D2724" s="11" t="s">
        <v>39</v>
      </c>
      <c r="E2724" s="11">
        <v>20.0</v>
      </c>
      <c r="F2724" s="21" t="s">
        <v>632</v>
      </c>
      <c r="G2724" s="15">
        <v>0.08430602572782667</v>
      </c>
      <c r="H2724" s="11" t="s">
        <v>33</v>
      </c>
      <c r="I2724" s="16">
        <v>1.2480000000000002</v>
      </c>
      <c r="J2724" s="11" t="s">
        <v>353</v>
      </c>
      <c r="K2724" s="11" t="s">
        <v>117</v>
      </c>
      <c r="L2724" s="11" t="s">
        <v>41</v>
      </c>
      <c r="M2724" s="11" t="s">
        <v>28</v>
      </c>
      <c r="N2724" s="11" t="s">
        <v>62</v>
      </c>
      <c r="O2724" s="11" t="s">
        <v>633</v>
      </c>
      <c r="P2724" s="11" t="s">
        <v>58</v>
      </c>
      <c r="Q2724" s="20">
        <v>40284.0</v>
      </c>
      <c r="R2724" s="17">
        <f t="shared" si="2"/>
        <v>11.40222137</v>
      </c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>
        <f t="shared" si="8"/>
        <v>3</v>
      </c>
      <c r="AF2724" s="19" t="b">
        <f t="shared" si="13"/>
        <v>0</v>
      </c>
      <c r="AG2724" s="9"/>
      <c r="AH2724" s="9"/>
      <c r="AI2724" s="9"/>
    </row>
    <row r="2725" ht="15.0" customHeight="1">
      <c r="A2725" s="11">
        <v>2724.0</v>
      </c>
      <c r="B2725" s="12">
        <f t="shared" si="441"/>
        <v>40283</v>
      </c>
      <c r="C2725" s="13">
        <v>2010.0</v>
      </c>
      <c r="D2725" s="11" t="s">
        <v>32</v>
      </c>
      <c r="E2725" s="11">
        <v>12.0</v>
      </c>
      <c r="F2725" s="21" t="s">
        <v>1399</v>
      </c>
      <c r="G2725" s="15">
        <v>0.056501820744743365</v>
      </c>
      <c r="H2725" s="11" t="s">
        <v>33</v>
      </c>
      <c r="I2725" s="16">
        <v>28.0</v>
      </c>
      <c r="J2725" s="11" t="s">
        <v>857</v>
      </c>
      <c r="K2725" s="11" t="s">
        <v>35</v>
      </c>
      <c r="L2725" s="11" t="s">
        <v>36</v>
      </c>
      <c r="M2725" s="11" t="s">
        <v>28</v>
      </c>
      <c r="N2725" s="11" t="s">
        <v>29</v>
      </c>
      <c r="O2725" s="11" t="s">
        <v>1400</v>
      </c>
      <c r="P2725" s="11" t="s">
        <v>31</v>
      </c>
      <c r="Q2725" s="20">
        <v>40284.0</v>
      </c>
      <c r="R2725" s="17">
        <f t="shared" si="2"/>
        <v>45.38226242</v>
      </c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>
        <f t="shared" si="8"/>
        <v>2</v>
      </c>
      <c r="AF2725" s="19">
        <f t="shared" si="13"/>
        <v>2</v>
      </c>
      <c r="AG2725" s="9"/>
      <c r="AH2725" s="9"/>
      <c r="AI2725" s="9"/>
    </row>
    <row r="2726" ht="15.0" customHeight="1">
      <c r="A2726" s="11">
        <v>2725.0</v>
      </c>
      <c r="B2726" s="12">
        <f t="shared" si="441"/>
        <v>40283</v>
      </c>
      <c r="C2726" s="13">
        <v>2010.0</v>
      </c>
      <c r="D2726" s="11" t="s">
        <v>32</v>
      </c>
      <c r="E2726" s="11">
        <v>31.0</v>
      </c>
      <c r="F2726" s="21" t="s">
        <v>218</v>
      </c>
      <c r="G2726" s="15">
        <v>0.017841293719443294</v>
      </c>
      <c r="H2726" s="11" t="s">
        <v>33</v>
      </c>
      <c r="I2726" s="16">
        <v>3.8560000000000003</v>
      </c>
      <c r="J2726" s="11" t="s">
        <v>1747</v>
      </c>
      <c r="K2726" s="11" t="s">
        <v>61</v>
      </c>
      <c r="L2726" s="11" t="s">
        <v>36</v>
      </c>
      <c r="M2726" s="11" t="s">
        <v>28</v>
      </c>
      <c r="N2726" s="11" t="s">
        <v>56</v>
      </c>
      <c r="O2726" s="11" t="s">
        <v>560</v>
      </c>
      <c r="P2726" s="11" t="s">
        <v>38</v>
      </c>
      <c r="Q2726" s="20">
        <v>40285.0</v>
      </c>
      <c r="R2726" s="17">
        <f t="shared" si="2"/>
        <v>4.659360903</v>
      </c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>
        <f t="shared" si="8"/>
        <v>2</v>
      </c>
      <c r="AF2726" s="19">
        <f t="shared" si="13"/>
        <v>4</v>
      </c>
      <c r="AG2726" s="9"/>
      <c r="AH2726" s="9"/>
      <c r="AI2726" s="9"/>
    </row>
    <row r="2727" ht="15.0" customHeight="1">
      <c r="A2727" s="11">
        <v>2726.0</v>
      </c>
      <c r="B2727" s="12">
        <f t="shared" si="441"/>
        <v>40283</v>
      </c>
      <c r="C2727" s="13">
        <v>2010.0</v>
      </c>
      <c r="D2727" s="11" t="s">
        <v>32</v>
      </c>
      <c r="E2727" s="11">
        <v>18.0</v>
      </c>
      <c r="F2727" s="21" t="s">
        <v>1156</v>
      </c>
      <c r="G2727" s="15">
        <v>0.020781734015523173</v>
      </c>
      <c r="H2727" s="11" t="s">
        <v>24</v>
      </c>
      <c r="I2727" s="16">
        <v>7.192</v>
      </c>
      <c r="J2727" s="11" t="s">
        <v>1747</v>
      </c>
      <c r="K2727" s="11" t="s">
        <v>61</v>
      </c>
      <c r="L2727" s="11" t="s">
        <v>36</v>
      </c>
      <c r="M2727" s="11" t="s">
        <v>66</v>
      </c>
      <c r="N2727" s="11" t="s">
        <v>80</v>
      </c>
      <c r="O2727" s="11" t="s">
        <v>1580</v>
      </c>
      <c r="P2727" s="11" t="s">
        <v>38</v>
      </c>
      <c r="Q2727" s="20">
        <v>40285.0</v>
      </c>
      <c r="R2727" s="17">
        <f t="shared" si="2"/>
        <v>58.46716423</v>
      </c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>
        <f t="shared" si="8"/>
        <v>2</v>
      </c>
      <c r="AF2727" s="19">
        <f t="shared" si="13"/>
        <v>4</v>
      </c>
      <c r="AG2727" s="9"/>
      <c r="AH2727" s="9"/>
      <c r="AI2727" s="9"/>
    </row>
    <row r="2728" ht="15.0" customHeight="1">
      <c r="A2728" s="11">
        <v>2727.0</v>
      </c>
      <c r="B2728" s="12">
        <f t="shared" si="441"/>
        <v>40283</v>
      </c>
      <c r="C2728" s="13">
        <v>2010.0</v>
      </c>
      <c r="D2728" s="11" t="s">
        <v>32</v>
      </c>
      <c r="E2728" s="11">
        <v>14.0</v>
      </c>
      <c r="F2728" s="21" t="s">
        <v>869</v>
      </c>
      <c r="G2728" s="15">
        <v>0.0664866961445969</v>
      </c>
      <c r="H2728" s="11" t="s">
        <v>24</v>
      </c>
      <c r="I2728" s="16">
        <v>0.792</v>
      </c>
      <c r="J2728" s="11" t="s">
        <v>1747</v>
      </c>
      <c r="K2728" s="11" t="s">
        <v>61</v>
      </c>
      <c r="L2728" s="11" t="s">
        <v>36</v>
      </c>
      <c r="M2728" s="11" t="s">
        <v>66</v>
      </c>
      <c r="N2728" s="11" t="s">
        <v>80</v>
      </c>
      <c r="O2728" s="11" t="s">
        <v>1055</v>
      </c>
      <c r="P2728" s="11" t="s">
        <v>58</v>
      </c>
      <c r="Q2728" s="20">
        <v>40285.0</v>
      </c>
      <c r="R2728" s="17">
        <f t="shared" si="2"/>
        <v>80.00955825</v>
      </c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>
        <f t="shared" si="8"/>
        <v>2</v>
      </c>
      <c r="AF2728" s="19">
        <f t="shared" si="13"/>
        <v>4</v>
      </c>
      <c r="AG2728" s="9"/>
      <c r="AH2728" s="9"/>
      <c r="AI2728" s="9"/>
    </row>
    <row r="2729" ht="15.0" customHeight="1">
      <c r="A2729" s="11">
        <v>2728.0</v>
      </c>
      <c r="B2729" s="12">
        <f t="shared" si="441"/>
        <v>40283</v>
      </c>
      <c r="C2729" s="13">
        <v>2010.0</v>
      </c>
      <c r="D2729" s="11" t="s">
        <v>44</v>
      </c>
      <c r="E2729" s="11">
        <v>5.0</v>
      </c>
      <c r="F2729" s="21" t="s">
        <v>176</v>
      </c>
      <c r="G2729" s="15">
        <v>0.05570862239841436</v>
      </c>
      <c r="H2729" s="11" t="s">
        <v>33</v>
      </c>
      <c r="I2729" s="16">
        <v>11.616</v>
      </c>
      <c r="J2729" s="11" t="s">
        <v>546</v>
      </c>
      <c r="K2729" s="11" t="s">
        <v>61</v>
      </c>
      <c r="L2729" s="11" t="s">
        <v>36</v>
      </c>
      <c r="M2729" s="11" t="s">
        <v>66</v>
      </c>
      <c r="N2729" s="11" t="s">
        <v>67</v>
      </c>
      <c r="O2729" s="11" t="s">
        <v>177</v>
      </c>
      <c r="P2729" s="11" t="s">
        <v>38</v>
      </c>
      <c r="Q2729" s="20">
        <v>40285.0</v>
      </c>
      <c r="R2729" s="17">
        <f t="shared" si="2"/>
        <v>21.23144733</v>
      </c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>
        <f t="shared" si="8"/>
        <v>2</v>
      </c>
      <c r="AF2729" s="19">
        <f t="shared" si="13"/>
        <v>4</v>
      </c>
      <c r="AG2729" s="9"/>
      <c r="AH2729" s="9"/>
      <c r="AI2729" s="9"/>
    </row>
    <row r="2730" ht="15.0" customHeight="1">
      <c r="A2730" s="11">
        <v>2729.0</v>
      </c>
      <c r="B2730" s="12">
        <f t="shared" si="441"/>
        <v>40283</v>
      </c>
      <c r="C2730" s="13">
        <v>2010.0</v>
      </c>
      <c r="D2730" s="11" t="s">
        <v>102</v>
      </c>
      <c r="E2730" s="11">
        <v>32.0</v>
      </c>
      <c r="F2730" s="21" t="s">
        <v>231</v>
      </c>
      <c r="G2730" s="15">
        <v>0.0709047940580689</v>
      </c>
      <c r="H2730" s="11" t="s">
        <v>33</v>
      </c>
      <c r="I2730" s="16">
        <v>15.991999999999999</v>
      </c>
      <c r="J2730" s="11" t="s">
        <v>1442</v>
      </c>
      <c r="K2730" s="11" t="s">
        <v>35</v>
      </c>
      <c r="L2730" s="11" t="s">
        <v>41</v>
      </c>
      <c r="M2730" s="11" t="s">
        <v>49</v>
      </c>
      <c r="N2730" s="11" t="s">
        <v>73</v>
      </c>
      <c r="O2730" s="11" t="s">
        <v>1820</v>
      </c>
      <c r="P2730" s="11" t="s">
        <v>38</v>
      </c>
      <c r="Q2730" s="20">
        <v>40285.0</v>
      </c>
      <c r="R2730" s="17">
        <f t="shared" si="2"/>
        <v>78.05143006</v>
      </c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>
        <f t="shared" si="8"/>
        <v>3</v>
      </c>
      <c r="AF2730" s="19">
        <f t="shared" si="13"/>
        <v>2</v>
      </c>
      <c r="AG2730" s="9"/>
      <c r="AH2730" s="9"/>
      <c r="AI2730" s="9"/>
    </row>
    <row r="2731" ht="15.0" customHeight="1">
      <c r="A2731" s="11">
        <v>2730.0</v>
      </c>
      <c r="B2731" s="12">
        <f t="shared" si="441"/>
        <v>40283</v>
      </c>
      <c r="C2731" s="13">
        <v>2010.0</v>
      </c>
      <c r="D2731" s="11" t="s">
        <v>23</v>
      </c>
      <c r="E2731" s="11">
        <v>50.0</v>
      </c>
      <c r="F2731" s="21" t="s">
        <v>273</v>
      </c>
      <c r="G2731" s="15">
        <v>0.07554514060187464</v>
      </c>
      <c r="H2731" s="11" t="s">
        <v>33</v>
      </c>
      <c r="I2731" s="16">
        <v>3.192</v>
      </c>
      <c r="J2731" s="11" t="s">
        <v>1653</v>
      </c>
      <c r="K2731" s="11" t="s">
        <v>83</v>
      </c>
      <c r="L2731" s="11" t="s">
        <v>36</v>
      </c>
      <c r="M2731" s="11" t="s">
        <v>28</v>
      </c>
      <c r="N2731" s="11" t="s">
        <v>197</v>
      </c>
      <c r="O2731" s="11" t="s">
        <v>275</v>
      </c>
      <c r="P2731" s="11" t="s">
        <v>38</v>
      </c>
      <c r="Q2731" s="20">
        <v>40285.0</v>
      </c>
      <c r="R2731" s="17">
        <f t="shared" si="2"/>
        <v>226.4988362</v>
      </c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>
        <f t="shared" si="8"/>
        <v>2</v>
      </c>
      <c r="AF2731" s="19" t="b">
        <f t="shared" si="13"/>
        <v>0</v>
      </c>
      <c r="AG2731" s="9"/>
      <c r="AH2731" s="9"/>
      <c r="AI2731" s="9"/>
    </row>
    <row r="2732" ht="15.0" customHeight="1">
      <c r="A2732" s="11">
        <v>2731.0</v>
      </c>
      <c r="B2732" s="12">
        <f t="shared" si="441"/>
        <v>40283</v>
      </c>
      <c r="C2732" s="13">
        <v>2010.0</v>
      </c>
      <c r="D2732" s="11" t="s">
        <v>23</v>
      </c>
      <c r="E2732" s="11">
        <v>21.0</v>
      </c>
      <c r="F2732" s="21" t="s">
        <v>287</v>
      </c>
      <c r="G2732" s="15">
        <v>0.010842199301551133</v>
      </c>
      <c r="H2732" s="11" t="s">
        <v>33</v>
      </c>
      <c r="I2732" s="16">
        <v>2.0</v>
      </c>
      <c r="J2732" s="11" t="s">
        <v>1653</v>
      </c>
      <c r="K2732" s="11" t="s">
        <v>83</v>
      </c>
      <c r="L2732" s="11" t="s">
        <v>36</v>
      </c>
      <c r="M2732" s="11" t="s">
        <v>66</v>
      </c>
      <c r="N2732" s="11" t="s">
        <v>80</v>
      </c>
      <c r="O2732" s="11" t="s">
        <v>1812</v>
      </c>
      <c r="P2732" s="11" t="s">
        <v>38</v>
      </c>
      <c r="Q2732" s="20">
        <v>40285.0</v>
      </c>
      <c r="R2732" s="17">
        <f t="shared" si="2"/>
        <v>26.41051328</v>
      </c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>
        <f t="shared" si="8"/>
        <v>2</v>
      </c>
      <c r="AF2732" s="19" t="b">
        <f t="shared" si="13"/>
        <v>0</v>
      </c>
      <c r="AG2732" s="9"/>
      <c r="AH2732" s="9"/>
      <c r="AI2732" s="9"/>
    </row>
    <row r="2733" ht="15.0" customHeight="1">
      <c r="A2733" s="11">
        <v>2732.0</v>
      </c>
      <c r="B2733" s="12">
        <f t="shared" si="441"/>
        <v>40283</v>
      </c>
      <c r="C2733" s="13">
        <v>2010.0</v>
      </c>
      <c r="D2733" s="11" t="s">
        <v>102</v>
      </c>
      <c r="E2733" s="11">
        <v>40.0</v>
      </c>
      <c r="F2733" s="21" t="s">
        <v>158</v>
      </c>
      <c r="G2733" s="15">
        <v>0.08188571428571427</v>
      </c>
      <c r="H2733" s="11" t="s">
        <v>33</v>
      </c>
      <c r="I2733" s="16">
        <v>1.072</v>
      </c>
      <c r="J2733" s="11" t="s">
        <v>738</v>
      </c>
      <c r="K2733" s="11" t="s">
        <v>65</v>
      </c>
      <c r="L2733" s="11" t="s">
        <v>48</v>
      </c>
      <c r="M2733" s="11" t="s">
        <v>28</v>
      </c>
      <c r="N2733" s="11" t="s">
        <v>56</v>
      </c>
      <c r="O2733" s="11" t="s">
        <v>1604</v>
      </c>
      <c r="P2733" s="11" t="s">
        <v>58</v>
      </c>
      <c r="Q2733" s="20">
        <v>40285.0</v>
      </c>
      <c r="R2733" s="17">
        <f t="shared" si="2"/>
        <v>21.05052434</v>
      </c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>
        <f t="shared" si="8"/>
        <v>4</v>
      </c>
      <c r="AF2733" s="19">
        <f t="shared" si="13"/>
        <v>5</v>
      </c>
      <c r="AG2733" s="9"/>
      <c r="AH2733" s="9"/>
      <c r="AI2733" s="9"/>
    </row>
    <row r="2734" ht="15.0" customHeight="1">
      <c r="A2734" s="11">
        <v>2733.0</v>
      </c>
      <c r="B2734" s="12">
        <f t="shared" si="441"/>
        <v>40283</v>
      </c>
      <c r="C2734" s="13">
        <v>2010.0</v>
      </c>
      <c r="D2734" s="11" t="s">
        <v>102</v>
      </c>
      <c r="E2734" s="11">
        <v>8.0</v>
      </c>
      <c r="F2734" s="21" t="s">
        <v>2153</v>
      </c>
      <c r="G2734" s="15">
        <v>0.0979174368453481</v>
      </c>
      <c r="H2734" s="11" t="s">
        <v>33</v>
      </c>
      <c r="I2734" s="16">
        <v>7.216</v>
      </c>
      <c r="J2734" s="11" t="s">
        <v>738</v>
      </c>
      <c r="K2734" s="11" t="s">
        <v>65</v>
      </c>
      <c r="L2734" s="11" t="s">
        <v>48</v>
      </c>
      <c r="M2734" s="11" t="s">
        <v>66</v>
      </c>
      <c r="N2734" s="11" t="s">
        <v>67</v>
      </c>
      <c r="O2734" s="11" t="s">
        <v>2154</v>
      </c>
      <c r="P2734" s="11" t="s">
        <v>38</v>
      </c>
      <c r="Q2734" s="20">
        <v>40286.0</v>
      </c>
      <c r="R2734" s="17">
        <f t="shared" si="2"/>
        <v>28.67179219</v>
      </c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>
        <f t="shared" si="8"/>
        <v>4</v>
      </c>
      <c r="AF2734" s="19">
        <f t="shared" si="13"/>
        <v>5</v>
      </c>
      <c r="AG2734" s="9"/>
      <c r="AH2734" s="9"/>
      <c r="AI2734" s="9"/>
    </row>
    <row r="2735" ht="15.0" customHeight="1">
      <c r="A2735" s="11">
        <v>2734.0</v>
      </c>
      <c r="B2735" s="12">
        <f t="shared" si="441"/>
        <v>40283</v>
      </c>
      <c r="C2735" s="13">
        <v>2010.0</v>
      </c>
      <c r="D2735" s="11" t="s">
        <v>102</v>
      </c>
      <c r="E2735" s="11">
        <v>50.0</v>
      </c>
      <c r="F2735" s="21" t="s">
        <v>2287</v>
      </c>
      <c r="G2735" s="15">
        <v>0.05036156712659887</v>
      </c>
      <c r="H2735" s="11" t="s">
        <v>33</v>
      </c>
      <c r="I2735" s="16">
        <v>2.8960000000000004</v>
      </c>
      <c r="J2735" s="11" t="s">
        <v>1422</v>
      </c>
      <c r="K2735" s="11" t="s">
        <v>61</v>
      </c>
      <c r="L2735" s="11" t="s">
        <v>48</v>
      </c>
      <c r="M2735" s="11" t="s">
        <v>49</v>
      </c>
      <c r="N2735" s="11" t="s">
        <v>73</v>
      </c>
      <c r="O2735" s="11" t="s">
        <v>2288</v>
      </c>
      <c r="P2735" s="11" t="s">
        <v>58</v>
      </c>
      <c r="Q2735" s="20">
        <v>40286.0</v>
      </c>
      <c r="R2735" s="17">
        <f t="shared" si="2"/>
        <v>47.4857202</v>
      </c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>
        <f t="shared" si="8"/>
        <v>4</v>
      </c>
      <c r="AF2735" s="19">
        <f t="shared" si="13"/>
        <v>4</v>
      </c>
      <c r="AG2735" s="9"/>
      <c r="AH2735" s="9"/>
      <c r="AI2735" s="9"/>
    </row>
    <row r="2736" ht="15.0" customHeight="1">
      <c r="A2736" s="11">
        <v>2735.0</v>
      </c>
      <c r="B2736" s="12">
        <f t="shared" ref="B2736:B2743" si="442">DATE(2012,12,31)-990</f>
        <v>40284</v>
      </c>
      <c r="C2736" s="13">
        <v>2010.0</v>
      </c>
      <c r="D2736" s="11" t="s">
        <v>32</v>
      </c>
      <c r="E2736" s="11">
        <v>35.0</v>
      </c>
      <c r="F2736" s="21" t="s">
        <v>1526</v>
      </c>
      <c r="G2736" s="15">
        <v>0.07744262295081976</v>
      </c>
      <c r="H2736" s="11" t="s">
        <v>33</v>
      </c>
      <c r="I2736" s="16">
        <v>6.5360000000000005</v>
      </c>
      <c r="J2736" s="11" t="s">
        <v>940</v>
      </c>
      <c r="K2736" s="11" t="s">
        <v>26</v>
      </c>
      <c r="L2736" s="11" t="s">
        <v>41</v>
      </c>
      <c r="M2736" s="11" t="s">
        <v>28</v>
      </c>
      <c r="N2736" s="11" t="s">
        <v>197</v>
      </c>
      <c r="O2736" s="11" t="s">
        <v>1528</v>
      </c>
      <c r="P2736" s="11" t="s">
        <v>75</v>
      </c>
      <c r="Q2736" s="20">
        <v>40286.0</v>
      </c>
      <c r="R2736" s="17">
        <f t="shared" si="2"/>
        <v>47.93977154</v>
      </c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>
        <f t="shared" si="8"/>
        <v>3</v>
      </c>
      <c r="AF2736" s="19">
        <f t="shared" si="13"/>
        <v>1</v>
      </c>
      <c r="AG2736" s="9"/>
      <c r="AH2736" s="9"/>
      <c r="AI2736" s="9"/>
    </row>
    <row r="2737" ht="15.0" customHeight="1">
      <c r="A2737" s="11">
        <v>2736.0</v>
      </c>
      <c r="B2737" s="12">
        <f t="shared" si="442"/>
        <v>40284</v>
      </c>
      <c r="C2737" s="13">
        <v>2010.0</v>
      </c>
      <c r="D2737" s="11" t="s">
        <v>32</v>
      </c>
      <c r="E2737" s="11">
        <v>25.0</v>
      </c>
      <c r="F2737" s="21" t="s">
        <v>573</v>
      </c>
      <c r="G2737" s="15">
        <v>0.09166240409207159</v>
      </c>
      <c r="H2737" s="11" t="s">
        <v>33</v>
      </c>
      <c r="I2737" s="16">
        <v>1.1119999999999999</v>
      </c>
      <c r="J2737" s="11" t="s">
        <v>940</v>
      </c>
      <c r="K2737" s="11" t="s">
        <v>26</v>
      </c>
      <c r="L2737" s="11" t="s">
        <v>41</v>
      </c>
      <c r="M2737" s="11" t="s">
        <v>28</v>
      </c>
      <c r="N2737" s="11" t="s">
        <v>236</v>
      </c>
      <c r="O2737" s="11" t="s">
        <v>2289</v>
      </c>
      <c r="P2737" s="11" t="s">
        <v>38</v>
      </c>
      <c r="Q2737" s="20">
        <v>40286.0</v>
      </c>
      <c r="R2737" s="17">
        <f t="shared" si="2"/>
        <v>22.78837361</v>
      </c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>
        <f t="shared" si="8"/>
        <v>3</v>
      </c>
      <c r="AF2737" s="19">
        <f t="shared" si="13"/>
        <v>1</v>
      </c>
      <c r="AG2737" s="9"/>
      <c r="AH2737" s="9"/>
      <c r="AI2737" s="9"/>
    </row>
    <row r="2738" ht="15.0" customHeight="1">
      <c r="A2738" s="11">
        <v>2737.0</v>
      </c>
      <c r="B2738" s="12">
        <f t="shared" si="442"/>
        <v>40284</v>
      </c>
      <c r="C2738" s="13">
        <v>2010.0</v>
      </c>
      <c r="D2738" s="11" t="s">
        <v>44</v>
      </c>
      <c r="E2738" s="11">
        <v>47.0</v>
      </c>
      <c r="F2738" s="21" t="s">
        <v>1452</v>
      </c>
      <c r="G2738" s="15">
        <v>0.09150752842188321</v>
      </c>
      <c r="H2738" s="11" t="s">
        <v>45</v>
      </c>
      <c r="I2738" s="16">
        <v>39.2</v>
      </c>
      <c r="J2738" s="11" t="s">
        <v>300</v>
      </c>
      <c r="K2738" s="11" t="s">
        <v>35</v>
      </c>
      <c r="L2738" s="11" t="s">
        <v>36</v>
      </c>
      <c r="M2738" s="11" t="s">
        <v>66</v>
      </c>
      <c r="N2738" s="11" t="s">
        <v>170</v>
      </c>
      <c r="O2738" s="11" t="s">
        <v>1453</v>
      </c>
      <c r="P2738" s="11" t="s">
        <v>52</v>
      </c>
      <c r="Q2738" s="20">
        <v>40286.0</v>
      </c>
      <c r="R2738" s="17">
        <f t="shared" si="2"/>
        <v>1938.541236</v>
      </c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>
        <f t="shared" si="8"/>
        <v>2</v>
      </c>
      <c r="AF2738" s="19">
        <f t="shared" si="13"/>
        <v>2</v>
      </c>
      <c r="AG2738" s="9"/>
      <c r="AH2738" s="9"/>
      <c r="AI2738" s="9"/>
    </row>
    <row r="2739" ht="15.0" customHeight="1">
      <c r="A2739" s="11">
        <v>2738.0</v>
      </c>
      <c r="B2739" s="12">
        <f t="shared" si="442"/>
        <v>40284</v>
      </c>
      <c r="C2739" s="13">
        <v>2010.0</v>
      </c>
      <c r="D2739" s="11" t="s">
        <v>44</v>
      </c>
      <c r="E2739" s="11">
        <v>39.0</v>
      </c>
      <c r="F2739" s="21" t="s">
        <v>709</v>
      </c>
      <c r="G2739" s="15">
        <v>0.026511456817881338</v>
      </c>
      <c r="H2739" s="11" t="s">
        <v>33</v>
      </c>
      <c r="I2739" s="16">
        <v>4.920000000000001</v>
      </c>
      <c r="J2739" s="11" t="s">
        <v>300</v>
      </c>
      <c r="K2739" s="11" t="s">
        <v>35</v>
      </c>
      <c r="L2739" s="11" t="s">
        <v>36</v>
      </c>
      <c r="M2739" s="11" t="s">
        <v>49</v>
      </c>
      <c r="N2739" s="11" t="s">
        <v>73</v>
      </c>
      <c r="O2739" s="11" t="s">
        <v>710</v>
      </c>
      <c r="P2739" s="11" t="s">
        <v>99</v>
      </c>
      <c r="Q2739" s="20">
        <v>40286.0</v>
      </c>
      <c r="R2739" s="17">
        <f t="shared" si="2"/>
        <v>19.98221523</v>
      </c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>
        <f t="shared" si="8"/>
        <v>2</v>
      </c>
      <c r="AF2739" s="19">
        <f t="shared" si="13"/>
        <v>2</v>
      </c>
      <c r="AG2739" s="9"/>
      <c r="AH2739" s="9"/>
      <c r="AI2739" s="9"/>
    </row>
    <row r="2740" ht="15.0" customHeight="1">
      <c r="A2740" s="11">
        <v>2739.0</v>
      </c>
      <c r="B2740" s="12">
        <f t="shared" si="442"/>
        <v>40284</v>
      </c>
      <c r="C2740" s="13">
        <v>2010.0</v>
      </c>
      <c r="D2740" s="11" t="s">
        <v>32</v>
      </c>
      <c r="E2740" s="11">
        <v>15.0</v>
      </c>
      <c r="F2740" s="21" t="s">
        <v>473</v>
      </c>
      <c r="G2740" s="15">
        <v>0.03328639999999996</v>
      </c>
      <c r="H2740" s="11" t="s">
        <v>24</v>
      </c>
      <c r="I2740" s="16">
        <v>5.696000000000001</v>
      </c>
      <c r="J2740" s="11" t="s">
        <v>2156</v>
      </c>
      <c r="K2740" s="11" t="s">
        <v>65</v>
      </c>
      <c r="L2740" s="11" t="s">
        <v>27</v>
      </c>
      <c r="M2740" s="11" t="s">
        <v>66</v>
      </c>
      <c r="N2740" s="11" t="s">
        <v>67</v>
      </c>
      <c r="O2740" s="11" t="s">
        <v>475</v>
      </c>
      <c r="P2740" s="11" t="s">
        <v>38</v>
      </c>
      <c r="Q2740" s="20">
        <v>40287.0</v>
      </c>
      <c r="R2740" s="17">
        <f t="shared" si="2"/>
        <v>20.11150973</v>
      </c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>
        <f t="shared" si="8"/>
        <v>1</v>
      </c>
      <c r="AF2740" s="19">
        <f t="shared" si="13"/>
        <v>5</v>
      </c>
      <c r="AG2740" s="9"/>
      <c r="AH2740" s="9"/>
      <c r="AI2740" s="9"/>
    </row>
    <row r="2741" ht="15.0" customHeight="1">
      <c r="A2741" s="11">
        <v>2740.0</v>
      </c>
      <c r="B2741" s="12">
        <f t="shared" si="442"/>
        <v>40284</v>
      </c>
      <c r="C2741" s="13">
        <v>2010.0</v>
      </c>
      <c r="D2741" s="11" t="s">
        <v>32</v>
      </c>
      <c r="E2741" s="11">
        <v>31.0</v>
      </c>
      <c r="F2741" s="21" t="s">
        <v>126</v>
      </c>
      <c r="G2741" s="15">
        <v>0.04519122257053291</v>
      </c>
      <c r="H2741" s="11" t="s">
        <v>33</v>
      </c>
      <c r="I2741" s="16">
        <v>0.392</v>
      </c>
      <c r="J2741" s="11" t="s">
        <v>2156</v>
      </c>
      <c r="K2741" s="11" t="s">
        <v>65</v>
      </c>
      <c r="L2741" s="11" t="s">
        <v>27</v>
      </c>
      <c r="M2741" s="11" t="s">
        <v>28</v>
      </c>
      <c r="N2741" s="11" t="s">
        <v>188</v>
      </c>
      <c r="O2741" s="11" t="s">
        <v>1703</v>
      </c>
      <c r="P2741" s="11" t="s">
        <v>38</v>
      </c>
      <c r="Q2741" s="20">
        <v>40287.0</v>
      </c>
      <c r="R2741" s="17">
        <f t="shared" si="2"/>
        <v>6.882261668</v>
      </c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>
        <f t="shared" si="8"/>
        <v>1</v>
      </c>
      <c r="AF2741" s="19">
        <f t="shared" si="13"/>
        <v>5</v>
      </c>
      <c r="AG2741" s="9"/>
      <c r="AH2741" s="9"/>
      <c r="AI2741" s="9"/>
    </row>
    <row r="2742" ht="15.0" customHeight="1">
      <c r="A2742" s="11">
        <v>2741.0</v>
      </c>
      <c r="B2742" s="12">
        <f t="shared" si="442"/>
        <v>40284</v>
      </c>
      <c r="C2742" s="13">
        <v>2010.0</v>
      </c>
      <c r="D2742" s="11" t="s">
        <v>32</v>
      </c>
      <c r="E2742" s="11">
        <v>20.0</v>
      </c>
      <c r="F2742" s="21" t="s">
        <v>158</v>
      </c>
      <c r="G2742" s="15">
        <v>0.07918144611186906</v>
      </c>
      <c r="H2742" s="11" t="s">
        <v>33</v>
      </c>
      <c r="I2742" s="16">
        <v>6.992000000000001</v>
      </c>
      <c r="J2742" s="11" t="s">
        <v>2156</v>
      </c>
      <c r="K2742" s="11" t="s">
        <v>65</v>
      </c>
      <c r="L2742" s="11" t="s">
        <v>27</v>
      </c>
      <c r="M2742" s="11" t="s">
        <v>28</v>
      </c>
      <c r="N2742" s="11" t="s">
        <v>56</v>
      </c>
      <c r="O2742" s="11" t="s">
        <v>2047</v>
      </c>
      <c r="P2742" s="11" t="s">
        <v>38</v>
      </c>
      <c r="Q2742" s="20">
        <v>40287.0</v>
      </c>
      <c r="R2742" s="17">
        <f t="shared" si="2"/>
        <v>10.68886177</v>
      </c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>
        <f t="shared" si="8"/>
        <v>1</v>
      </c>
      <c r="AF2742" s="19">
        <f t="shared" si="13"/>
        <v>5</v>
      </c>
      <c r="AG2742" s="9"/>
      <c r="AH2742" s="9"/>
      <c r="AI2742" s="9"/>
    </row>
    <row r="2743" ht="15.0" customHeight="1">
      <c r="A2743" s="11">
        <v>2742.0</v>
      </c>
      <c r="B2743" s="12">
        <f t="shared" si="442"/>
        <v>40284</v>
      </c>
      <c r="C2743" s="13">
        <v>2010.0</v>
      </c>
      <c r="D2743" s="11" t="s">
        <v>39</v>
      </c>
      <c r="E2743" s="11">
        <v>24.0</v>
      </c>
      <c r="F2743" s="21" t="s">
        <v>336</v>
      </c>
      <c r="G2743" s="15">
        <v>0.09753768844221102</v>
      </c>
      <c r="H2743" s="11" t="s">
        <v>33</v>
      </c>
      <c r="I2743" s="16">
        <v>4.472</v>
      </c>
      <c r="J2743" s="11" t="s">
        <v>1110</v>
      </c>
      <c r="K2743" s="11" t="s">
        <v>61</v>
      </c>
      <c r="L2743" s="11" t="s">
        <v>41</v>
      </c>
      <c r="M2743" s="11" t="s">
        <v>28</v>
      </c>
      <c r="N2743" s="11" t="s">
        <v>42</v>
      </c>
      <c r="O2743" s="11" t="s">
        <v>2143</v>
      </c>
      <c r="P2743" s="11" t="s">
        <v>38</v>
      </c>
      <c r="Q2743" s="20">
        <v>40288.0</v>
      </c>
      <c r="R2743" s="17">
        <f t="shared" si="2"/>
        <v>14.01343477</v>
      </c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>
        <f t="shared" si="8"/>
        <v>3</v>
      </c>
      <c r="AF2743" s="19">
        <f t="shared" si="13"/>
        <v>4</v>
      </c>
      <c r="AG2743" s="9"/>
      <c r="AH2743" s="9"/>
      <c r="AI2743" s="9"/>
    </row>
    <row r="2744" ht="15.0" customHeight="1">
      <c r="A2744" s="11">
        <v>2743.0</v>
      </c>
      <c r="B2744" s="12">
        <f>DATE(2012,12,31)-989</f>
        <v>40285</v>
      </c>
      <c r="C2744" s="13">
        <v>2010.0</v>
      </c>
      <c r="D2744" s="11" t="s">
        <v>102</v>
      </c>
      <c r="E2744" s="11">
        <v>13.0</v>
      </c>
      <c r="F2744" s="21" t="s">
        <v>569</v>
      </c>
      <c r="G2744" s="15">
        <v>0.06611046000585988</v>
      </c>
      <c r="H2744" s="11" t="s">
        <v>33</v>
      </c>
      <c r="I2744" s="16">
        <v>3.192</v>
      </c>
      <c r="J2744" s="11" t="s">
        <v>2262</v>
      </c>
      <c r="K2744" s="11" t="s">
        <v>26</v>
      </c>
      <c r="L2744" s="11" t="s">
        <v>27</v>
      </c>
      <c r="M2744" s="11" t="s">
        <v>66</v>
      </c>
      <c r="N2744" s="11" t="s">
        <v>80</v>
      </c>
      <c r="O2744" s="11" t="s">
        <v>570</v>
      </c>
      <c r="P2744" s="11" t="s">
        <v>38</v>
      </c>
      <c r="Q2744" s="20">
        <v>40288.0</v>
      </c>
      <c r="R2744" s="17">
        <f t="shared" si="2"/>
        <v>168.5745331</v>
      </c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>
        <f t="shared" si="8"/>
        <v>1</v>
      </c>
      <c r="AF2744" s="19">
        <f t="shared" si="13"/>
        <v>1</v>
      </c>
      <c r="AG2744" s="9"/>
      <c r="AH2744" s="9"/>
      <c r="AI2744" s="9"/>
    </row>
    <row r="2745" ht="15.0" customHeight="1">
      <c r="A2745" s="11">
        <v>2744.0</v>
      </c>
      <c r="B2745" s="12">
        <f>DATE(2012,12,31)-988</f>
        <v>40286</v>
      </c>
      <c r="C2745" s="13">
        <v>2010.0</v>
      </c>
      <c r="D2745" s="11" t="s">
        <v>23</v>
      </c>
      <c r="E2745" s="11">
        <v>10.0</v>
      </c>
      <c r="F2745" s="21" t="s">
        <v>130</v>
      </c>
      <c r="G2745" s="15">
        <v>0.10246453407510435</v>
      </c>
      <c r="H2745" s="11" t="s">
        <v>33</v>
      </c>
      <c r="I2745" s="16">
        <v>13.664</v>
      </c>
      <c r="J2745" s="11" t="s">
        <v>507</v>
      </c>
      <c r="K2745" s="11" t="s">
        <v>61</v>
      </c>
      <c r="L2745" s="11" t="s">
        <v>48</v>
      </c>
      <c r="M2745" s="11" t="s">
        <v>28</v>
      </c>
      <c r="N2745" s="11" t="s">
        <v>56</v>
      </c>
      <c r="O2745" s="11" t="s">
        <v>2106</v>
      </c>
      <c r="P2745" s="11" t="s">
        <v>38</v>
      </c>
      <c r="Q2745" s="20">
        <v>40288.0</v>
      </c>
      <c r="R2745" s="17">
        <f t="shared" si="2"/>
        <v>33.06161642</v>
      </c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>
        <f t="shared" si="8"/>
        <v>4</v>
      </c>
      <c r="AF2745" s="19">
        <f t="shared" si="13"/>
        <v>4</v>
      </c>
      <c r="AG2745" s="9"/>
      <c r="AH2745" s="9"/>
      <c r="AI2745" s="9"/>
    </row>
    <row r="2746" ht="15.0" customHeight="1">
      <c r="A2746" s="11">
        <v>2745.0</v>
      </c>
      <c r="B2746" s="12">
        <f t="shared" ref="B2746:B2751" si="443">DATE(2012,12,31)-987</f>
        <v>40287</v>
      </c>
      <c r="C2746" s="13">
        <v>2010.0</v>
      </c>
      <c r="D2746" s="11" t="s">
        <v>102</v>
      </c>
      <c r="E2746" s="11">
        <v>4.0</v>
      </c>
      <c r="F2746" s="21" t="s">
        <v>419</v>
      </c>
      <c r="G2746" s="15">
        <v>0.08355795148247983</v>
      </c>
      <c r="H2746" s="11" t="s">
        <v>33</v>
      </c>
      <c r="I2746" s="16">
        <v>4.4</v>
      </c>
      <c r="J2746" s="11" t="s">
        <v>1516</v>
      </c>
      <c r="K2746" s="11" t="s">
        <v>65</v>
      </c>
      <c r="L2746" s="11" t="s">
        <v>48</v>
      </c>
      <c r="M2746" s="11" t="s">
        <v>66</v>
      </c>
      <c r="N2746" s="11" t="s">
        <v>67</v>
      </c>
      <c r="O2746" s="11" t="s">
        <v>420</v>
      </c>
      <c r="P2746" s="11" t="s">
        <v>38</v>
      </c>
      <c r="Q2746" s="20">
        <v>40288.0</v>
      </c>
      <c r="R2746" s="17">
        <f t="shared" si="2"/>
        <v>11.3638814</v>
      </c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>
        <f t="shared" si="8"/>
        <v>4</v>
      </c>
      <c r="AF2746" s="19">
        <f t="shared" si="13"/>
        <v>5</v>
      </c>
      <c r="AG2746" s="9"/>
      <c r="AH2746" s="9"/>
      <c r="AI2746" s="9"/>
    </row>
    <row r="2747" ht="15.0" customHeight="1">
      <c r="A2747" s="11">
        <v>2746.0</v>
      </c>
      <c r="B2747" s="12">
        <f t="shared" si="443"/>
        <v>40287</v>
      </c>
      <c r="C2747" s="13">
        <v>2010.0</v>
      </c>
      <c r="D2747" s="11" t="s">
        <v>44</v>
      </c>
      <c r="E2747" s="11">
        <v>26.0</v>
      </c>
      <c r="F2747" s="21" t="s">
        <v>766</v>
      </c>
      <c r="G2747" s="15">
        <v>0.013622524894128468</v>
      </c>
      <c r="H2747" s="11" t="s">
        <v>45</v>
      </c>
      <c r="I2747" s="16">
        <v>43.792</v>
      </c>
      <c r="J2747" s="11" t="s">
        <v>611</v>
      </c>
      <c r="K2747" s="11" t="s">
        <v>65</v>
      </c>
      <c r="L2747" s="11" t="s">
        <v>36</v>
      </c>
      <c r="M2747" s="11" t="s">
        <v>49</v>
      </c>
      <c r="N2747" s="11" t="s">
        <v>156</v>
      </c>
      <c r="O2747" s="11" t="s">
        <v>767</v>
      </c>
      <c r="P2747" s="11" t="s">
        <v>87</v>
      </c>
      <c r="Q2747" s="20">
        <v>40288.0</v>
      </c>
      <c r="R2747" s="17">
        <f t="shared" si="2"/>
        <v>46.95945883</v>
      </c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>
        <f t="shared" si="8"/>
        <v>2</v>
      </c>
      <c r="AF2747" s="19">
        <f t="shared" si="13"/>
        <v>5</v>
      </c>
      <c r="AG2747" s="9"/>
      <c r="AH2747" s="9"/>
      <c r="AI2747" s="9"/>
    </row>
    <row r="2748" ht="15.0" customHeight="1">
      <c r="A2748" s="11">
        <v>2747.0</v>
      </c>
      <c r="B2748" s="12">
        <f t="shared" si="443"/>
        <v>40287</v>
      </c>
      <c r="C2748" s="13">
        <v>2010.0</v>
      </c>
      <c r="D2748" s="11" t="s">
        <v>44</v>
      </c>
      <c r="E2748" s="11">
        <v>21.0</v>
      </c>
      <c r="F2748" s="21" t="s">
        <v>596</v>
      </c>
      <c r="G2748" s="15">
        <v>0.04347151804354316</v>
      </c>
      <c r="H2748" s="11" t="s">
        <v>24</v>
      </c>
      <c r="I2748" s="16">
        <v>3.6240000000000006</v>
      </c>
      <c r="J2748" s="11" t="s">
        <v>611</v>
      </c>
      <c r="K2748" s="11" t="s">
        <v>65</v>
      </c>
      <c r="L2748" s="11" t="s">
        <v>36</v>
      </c>
      <c r="M2748" s="11" t="s">
        <v>28</v>
      </c>
      <c r="N2748" s="11" t="s">
        <v>29</v>
      </c>
      <c r="O2748" s="11" t="s">
        <v>946</v>
      </c>
      <c r="P2748" s="11" t="s">
        <v>38</v>
      </c>
      <c r="Q2748" s="20">
        <v>40288.0</v>
      </c>
      <c r="R2748" s="17">
        <f t="shared" si="2"/>
        <v>13.94235915</v>
      </c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>
        <f t="shared" si="8"/>
        <v>2</v>
      </c>
      <c r="AF2748" s="19">
        <f t="shared" si="13"/>
        <v>5</v>
      </c>
      <c r="AG2748" s="9"/>
      <c r="AH2748" s="9"/>
      <c r="AI2748" s="9"/>
    </row>
    <row r="2749" ht="15.0" customHeight="1">
      <c r="A2749" s="11">
        <v>2748.0</v>
      </c>
      <c r="B2749" s="12">
        <f t="shared" si="443"/>
        <v>40287</v>
      </c>
      <c r="C2749" s="13">
        <v>2010.0</v>
      </c>
      <c r="D2749" s="11" t="s">
        <v>102</v>
      </c>
      <c r="E2749" s="11">
        <v>18.0</v>
      </c>
      <c r="F2749" s="21" t="s">
        <v>126</v>
      </c>
      <c r="G2749" s="15">
        <v>0.059447983014861934</v>
      </c>
      <c r="H2749" s="11" t="s">
        <v>33</v>
      </c>
      <c r="I2749" s="16">
        <v>0.4</v>
      </c>
      <c r="J2749" s="11" t="s">
        <v>1027</v>
      </c>
      <c r="K2749" s="11" t="s">
        <v>83</v>
      </c>
      <c r="L2749" s="11" t="s">
        <v>41</v>
      </c>
      <c r="M2749" s="11" t="s">
        <v>28</v>
      </c>
      <c r="N2749" s="11" t="s">
        <v>188</v>
      </c>
      <c r="O2749" s="11" t="s">
        <v>551</v>
      </c>
      <c r="P2749" s="11" t="s">
        <v>38</v>
      </c>
      <c r="Q2749" s="20">
        <v>40288.0</v>
      </c>
      <c r="R2749" s="17">
        <f t="shared" si="2"/>
        <v>5.267091295</v>
      </c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>
        <f t="shared" si="8"/>
        <v>3</v>
      </c>
      <c r="AF2749" s="19" t="b">
        <f t="shared" si="13"/>
        <v>0</v>
      </c>
      <c r="AG2749" s="9"/>
      <c r="AH2749" s="9"/>
      <c r="AI2749" s="9"/>
    </row>
    <row r="2750" ht="15.0" customHeight="1">
      <c r="A2750" s="11">
        <v>2749.0</v>
      </c>
      <c r="B2750" s="12">
        <f t="shared" si="443"/>
        <v>40287</v>
      </c>
      <c r="C2750" s="13">
        <v>2010.0</v>
      </c>
      <c r="D2750" s="11" t="s">
        <v>102</v>
      </c>
      <c r="E2750" s="11">
        <v>43.0</v>
      </c>
      <c r="F2750" s="21" t="s">
        <v>678</v>
      </c>
      <c r="G2750" s="15">
        <v>0.017730711043872877</v>
      </c>
      <c r="H2750" s="11" t="s">
        <v>33</v>
      </c>
      <c r="I2750" s="16">
        <v>1.7120000000000002</v>
      </c>
      <c r="J2750" s="11" t="s">
        <v>1027</v>
      </c>
      <c r="K2750" s="11" t="s">
        <v>83</v>
      </c>
      <c r="L2750" s="11" t="s">
        <v>41</v>
      </c>
      <c r="M2750" s="11" t="s">
        <v>28</v>
      </c>
      <c r="N2750" s="11" t="s">
        <v>56</v>
      </c>
      <c r="O2750" s="11" t="s">
        <v>680</v>
      </c>
      <c r="P2750" s="11" t="s">
        <v>58</v>
      </c>
      <c r="Q2750" s="20">
        <v>40288.0</v>
      </c>
      <c r="R2750" s="17">
        <f t="shared" si="2"/>
        <v>4.604878427</v>
      </c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>
        <f t="shared" si="8"/>
        <v>3</v>
      </c>
      <c r="AF2750" s="19" t="b">
        <f t="shared" si="13"/>
        <v>0</v>
      </c>
      <c r="AG2750" s="9"/>
      <c r="AH2750" s="9"/>
      <c r="AI2750" s="9"/>
    </row>
    <row r="2751" ht="15.0" customHeight="1">
      <c r="A2751" s="11">
        <v>2750.0</v>
      </c>
      <c r="B2751" s="12">
        <f t="shared" si="443"/>
        <v>40287</v>
      </c>
      <c r="C2751" s="13">
        <v>2010.0</v>
      </c>
      <c r="D2751" s="11" t="s">
        <v>102</v>
      </c>
      <c r="E2751" s="11">
        <v>20.0</v>
      </c>
      <c r="F2751" s="21" t="s">
        <v>126</v>
      </c>
      <c r="G2751" s="15">
        <v>0.08832886505808758</v>
      </c>
      <c r="H2751" s="11" t="s">
        <v>33</v>
      </c>
      <c r="I2751" s="16">
        <v>4.016</v>
      </c>
      <c r="J2751" s="11" t="s">
        <v>1027</v>
      </c>
      <c r="K2751" s="11" t="s">
        <v>83</v>
      </c>
      <c r="L2751" s="11" t="s">
        <v>41</v>
      </c>
      <c r="M2751" s="11" t="s">
        <v>28</v>
      </c>
      <c r="N2751" s="11" t="s">
        <v>56</v>
      </c>
      <c r="O2751" s="11" t="s">
        <v>1766</v>
      </c>
      <c r="P2751" s="11" t="s">
        <v>38</v>
      </c>
      <c r="Q2751" s="20">
        <v>40288.0</v>
      </c>
      <c r="R2751" s="17">
        <f t="shared" si="2"/>
        <v>9.010957498</v>
      </c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>
        <f t="shared" si="8"/>
        <v>3</v>
      </c>
      <c r="AF2751" s="19" t="b">
        <f t="shared" si="13"/>
        <v>0</v>
      </c>
      <c r="AG2751" s="9"/>
      <c r="AH2751" s="9"/>
      <c r="AI2751" s="9"/>
    </row>
    <row r="2752" ht="15.0" customHeight="1">
      <c r="A2752" s="11">
        <v>2751.0</v>
      </c>
      <c r="B2752" s="12">
        <f t="shared" ref="B2752:B2768" si="444">DATE(2012,12,31)-986</f>
        <v>40288</v>
      </c>
      <c r="C2752" s="13">
        <v>2010.0</v>
      </c>
      <c r="D2752" s="11" t="s">
        <v>39</v>
      </c>
      <c r="E2752" s="11">
        <v>41.0</v>
      </c>
      <c r="F2752" s="21" t="s">
        <v>782</v>
      </c>
      <c r="G2752" s="15">
        <v>0.012080888516345438</v>
      </c>
      <c r="H2752" s="11" t="s">
        <v>33</v>
      </c>
      <c r="I2752" s="16">
        <v>3.84</v>
      </c>
      <c r="J2752" s="11" t="s">
        <v>2142</v>
      </c>
      <c r="K2752" s="11" t="s">
        <v>35</v>
      </c>
      <c r="L2752" s="11" t="s">
        <v>36</v>
      </c>
      <c r="M2752" s="11" t="s">
        <v>49</v>
      </c>
      <c r="N2752" s="11" t="s">
        <v>73</v>
      </c>
      <c r="O2752" s="11" t="s">
        <v>1431</v>
      </c>
      <c r="P2752" s="11" t="s">
        <v>58</v>
      </c>
      <c r="Q2752" s="20">
        <v>40289.0</v>
      </c>
      <c r="R2752" s="17">
        <f t="shared" si="2"/>
        <v>22.78141471</v>
      </c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>
        <f t="shared" si="8"/>
        <v>2</v>
      </c>
      <c r="AF2752" s="19">
        <f t="shared" si="13"/>
        <v>2</v>
      </c>
      <c r="AG2752" s="9"/>
      <c r="AH2752" s="9"/>
      <c r="AI2752" s="9"/>
    </row>
    <row r="2753" ht="15.0" customHeight="1">
      <c r="A2753" s="11">
        <v>2752.0</v>
      </c>
      <c r="B2753" s="12">
        <f t="shared" si="444"/>
        <v>40288</v>
      </c>
      <c r="C2753" s="13">
        <v>2010.0</v>
      </c>
      <c r="D2753" s="11" t="s">
        <v>39</v>
      </c>
      <c r="E2753" s="11">
        <v>22.0</v>
      </c>
      <c r="F2753" s="21" t="s">
        <v>1091</v>
      </c>
      <c r="G2753" s="15">
        <v>0.07625722713864312</v>
      </c>
      <c r="H2753" s="11" t="s">
        <v>33</v>
      </c>
      <c r="I2753" s="16">
        <v>4.072</v>
      </c>
      <c r="J2753" s="11" t="s">
        <v>2142</v>
      </c>
      <c r="K2753" s="11" t="s">
        <v>35</v>
      </c>
      <c r="L2753" s="11" t="s">
        <v>36</v>
      </c>
      <c r="M2753" s="11" t="s">
        <v>28</v>
      </c>
      <c r="N2753" s="11" t="s">
        <v>56</v>
      </c>
      <c r="O2753" s="11" t="s">
        <v>1093</v>
      </c>
      <c r="P2753" s="11" t="s">
        <v>38</v>
      </c>
      <c r="Q2753" s="20">
        <v>40289.0</v>
      </c>
      <c r="R2753" s="17">
        <f t="shared" si="2"/>
        <v>59.69964792</v>
      </c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>
        <f t="shared" si="8"/>
        <v>2</v>
      </c>
      <c r="AF2753" s="19">
        <f t="shared" si="13"/>
        <v>2</v>
      </c>
      <c r="AG2753" s="9"/>
      <c r="AH2753" s="9"/>
      <c r="AI2753" s="9"/>
    </row>
    <row r="2754" ht="15.0" customHeight="1">
      <c r="A2754" s="11">
        <v>2753.0</v>
      </c>
      <c r="B2754" s="12">
        <f t="shared" si="444"/>
        <v>40288</v>
      </c>
      <c r="C2754" s="13">
        <v>2010.0</v>
      </c>
      <c r="D2754" s="11" t="s">
        <v>44</v>
      </c>
      <c r="E2754" s="11">
        <v>9.0</v>
      </c>
      <c r="F2754" s="21" t="s">
        <v>336</v>
      </c>
      <c r="G2754" s="15">
        <v>0.062222222222222276</v>
      </c>
      <c r="H2754" s="11" t="s">
        <v>33</v>
      </c>
      <c r="I2754" s="16">
        <v>1.816</v>
      </c>
      <c r="J2754" s="11" t="s">
        <v>1308</v>
      </c>
      <c r="K2754" s="11" t="s">
        <v>61</v>
      </c>
      <c r="L2754" s="11" t="s">
        <v>36</v>
      </c>
      <c r="M2754" s="11" t="s">
        <v>28</v>
      </c>
      <c r="N2754" s="11" t="s">
        <v>62</v>
      </c>
      <c r="O2754" s="11" t="s">
        <v>1391</v>
      </c>
      <c r="P2754" s="11" t="s">
        <v>58</v>
      </c>
      <c r="Q2754" s="20">
        <v>40289.0</v>
      </c>
      <c r="R2754" s="17">
        <f t="shared" si="2"/>
        <v>3.360995556</v>
      </c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>
        <f t="shared" si="8"/>
        <v>2</v>
      </c>
      <c r="AF2754" s="19">
        <f t="shared" si="13"/>
        <v>4</v>
      </c>
      <c r="AG2754" s="9"/>
      <c r="AH2754" s="9"/>
      <c r="AI2754" s="9"/>
    </row>
    <row r="2755" ht="15.0" customHeight="1">
      <c r="A2755" s="11">
        <v>2754.0</v>
      </c>
      <c r="B2755" s="12">
        <f t="shared" si="444"/>
        <v>40288</v>
      </c>
      <c r="C2755" s="13">
        <v>2010.0</v>
      </c>
      <c r="D2755" s="11" t="s">
        <v>102</v>
      </c>
      <c r="E2755" s="11">
        <v>44.0</v>
      </c>
      <c r="F2755" s="21" t="s">
        <v>2094</v>
      </c>
      <c r="G2755" s="15">
        <v>0.0926716071562244</v>
      </c>
      <c r="H2755" s="11" t="s">
        <v>33</v>
      </c>
      <c r="I2755" s="16">
        <v>8.6</v>
      </c>
      <c r="J2755" s="11" t="s">
        <v>1253</v>
      </c>
      <c r="K2755" s="11" t="s">
        <v>35</v>
      </c>
      <c r="L2755" s="11" t="s">
        <v>48</v>
      </c>
      <c r="M2755" s="11" t="s">
        <v>28</v>
      </c>
      <c r="N2755" s="11" t="s">
        <v>56</v>
      </c>
      <c r="O2755" s="11" t="s">
        <v>2096</v>
      </c>
      <c r="P2755" s="11" t="s">
        <v>38</v>
      </c>
      <c r="Q2755" s="20">
        <v>40289.0</v>
      </c>
      <c r="R2755" s="17">
        <f t="shared" si="2"/>
        <v>224.6545101</v>
      </c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>
        <f t="shared" si="8"/>
        <v>4</v>
      </c>
      <c r="AF2755" s="19">
        <f t="shared" si="13"/>
        <v>2</v>
      </c>
      <c r="AG2755" s="9"/>
      <c r="AH2755" s="9"/>
      <c r="AI2755" s="9"/>
    </row>
    <row r="2756" ht="15.0" customHeight="1">
      <c r="A2756" s="11">
        <v>2755.0</v>
      </c>
      <c r="B2756" s="12">
        <f t="shared" si="444"/>
        <v>40288</v>
      </c>
      <c r="C2756" s="13">
        <v>2010.0</v>
      </c>
      <c r="D2756" s="11" t="s">
        <v>102</v>
      </c>
      <c r="E2756" s="11">
        <v>46.0</v>
      </c>
      <c r="F2756" s="21" t="s">
        <v>762</v>
      </c>
      <c r="G2756" s="15">
        <v>0.0726558037964051</v>
      </c>
      <c r="H2756" s="11" t="s">
        <v>33</v>
      </c>
      <c r="I2756" s="16">
        <v>4.648</v>
      </c>
      <c r="J2756" s="11" t="s">
        <v>1253</v>
      </c>
      <c r="K2756" s="11" t="s">
        <v>35</v>
      </c>
      <c r="L2756" s="11" t="s">
        <v>48</v>
      </c>
      <c r="M2756" s="11" t="s">
        <v>28</v>
      </c>
      <c r="N2756" s="11" t="s">
        <v>62</v>
      </c>
      <c r="O2756" s="11" t="s">
        <v>955</v>
      </c>
      <c r="P2756" s="11" t="s">
        <v>99</v>
      </c>
      <c r="Q2756" s="20">
        <v>40289.0</v>
      </c>
      <c r="R2756" s="17">
        <f t="shared" si="2"/>
        <v>40.10949117</v>
      </c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>
        <f t="shared" si="8"/>
        <v>4</v>
      </c>
      <c r="AF2756" s="19">
        <f t="shared" si="13"/>
        <v>2</v>
      </c>
      <c r="AG2756" s="9"/>
      <c r="AH2756" s="9"/>
      <c r="AI2756" s="9"/>
    </row>
    <row r="2757" ht="15.0" customHeight="1">
      <c r="A2757" s="11">
        <v>2756.0</v>
      </c>
      <c r="B2757" s="12">
        <f t="shared" si="444"/>
        <v>40288</v>
      </c>
      <c r="C2757" s="13">
        <v>2010.0</v>
      </c>
      <c r="D2757" s="11" t="s">
        <v>44</v>
      </c>
      <c r="E2757" s="11">
        <v>49.0</v>
      </c>
      <c r="F2757" s="21" t="s">
        <v>943</v>
      </c>
      <c r="G2757" s="15">
        <v>0.029728430977830258</v>
      </c>
      <c r="H2757" s="11" t="s">
        <v>33</v>
      </c>
      <c r="I2757" s="16">
        <v>3.2</v>
      </c>
      <c r="J2757" s="11" t="s">
        <v>1581</v>
      </c>
      <c r="K2757" s="11" t="s">
        <v>61</v>
      </c>
      <c r="L2757" s="11" t="s">
        <v>48</v>
      </c>
      <c r="M2757" s="11" t="s">
        <v>66</v>
      </c>
      <c r="N2757" s="11" t="s">
        <v>67</v>
      </c>
      <c r="O2757" s="11" t="s">
        <v>944</v>
      </c>
      <c r="P2757" s="11" t="s">
        <v>38</v>
      </c>
      <c r="Q2757" s="20">
        <v>40290.0</v>
      </c>
      <c r="R2757" s="17">
        <f t="shared" si="2"/>
        <v>222.0951621</v>
      </c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>
        <f t="shared" si="8"/>
        <v>4</v>
      </c>
      <c r="AF2757" s="19">
        <f t="shared" si="13"/>
        <v>4</v>
      </c>
      <c r="AG2757" s="9"/>
      <c r="AH2757" s="9"/>
      <c r="AI2757" s="9"/>
    </row>
    <row r="2758" ht="15.0" customHeight="1">
      <c r="A2758" s="11">
        <v>2757.0</v>
      </c>
      <c r="B2758" s="12">
        <f t="shared" si="444"/>
        <v>40288</v>
      </c>
      <c r="C2758" s="13">
        <v>2010.0</v>
      </c>
      <c r="D2758" s="11" t="s">
        <v>44</v>
      </c>
      <c r="E2758" s="11">
        <v>28.0</v>
      </c>
      <c r="F2758" s="21" t="s">
        <v>914</v>
      </c>
      <c r="G2758" s="15">
        <v>0.01547322801621695</v>
      </c>
      <c r="H2758" s="11" t="s">
        <v>24</v>
      </c>
      <c r="I2758" s="16">
        <v>7.032</v>
      </c>
      <c r="J2758" s="11" t="s">
        <v>1581</v>
      </c>
      <c r="K2758" s="11" t="s">
        <v>61</v>
      </c>
      <c r="L2758" s="11" t="s">
        <v>48</v>
      </c>
      <c r="M2758" s="11" t="s">
        <v>28</v>
      </c>
      <c r="N2758" s="11" t="s">
        <v>29</v>
      </c>
      <c r="O2758" s="11" t="s">
        <v>1964</v>
      </c>
      <c r="P2758" s="11" t="s">
        <v>38</v>
      </c>
      <c r="Q2758" s="20">
        <v>40290.0</v>
      </c>
      <c r="R2758" s="17">
        <f t="shared" si="2"/>
        <v>10.89674231</v>
      </c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>
        <f t="shared" si="8"/>
        <v>4</v>
      </c>
      <c r="AF2758" s="19">
        <f t="shared" si="13"/>
        <v>4</v>
      </c>
      <c r="AG2758" s="9"/>
      <c r="AH2758" s="9"/>
      <c r="AI2758" s="9"/>
    </row>
    <row r="2759" ht="15.0" customHeight="1">
      <c r="A2759" s="11">
        <v>2758.0</v>
      </c>
      <c r="B2759" s="12">
        <f t="shared" si="444"/>
        <v>40288</v>
      </c>
      <c r="C2759" s="13">
        <v>2010.0</v>
      </c>
      <c r="D2759" s="11" t="s">
        <v>23</v>
      </c>
      <c r="E2759" s="11">
        <v>20.0</v>
      </c>
      <c r="F2759" s="21" t="s">
        <v>2290</v>
      </c>
      <c r="G2759" s="15">
        <v>0.08445036169174117</v>
      </c>
      <c r="H2759" s="11" t="s">
        <v>24</v>
      </c>
      <c r="I2759" s="16">
        <v>17.008000000000003</v>
      </c>
      <c r="J2759" s="11" t="s">
        <v>982</v>
      </c>
      <c r="K2759" s="11" t="s">
        <v>61</v>
      </c>
      <c r="L2759" s="11" t="s">
        <v>48</v>
      </c>
      <c r="M2759" s="11" t="s">
        <v>49</v>
      </c>
      <c r="N2759" s="11" t="s">
        <v>73</v>
      </c>
      <c r="O2759" s="11" t="s">
        <v>2291</v>
      </c>
      <c r="P2759" s="11" t="s">
        <v>31</v>
      </c>
      <c r="Q2759" s="20">
        <v>40290.0</v>
      </c>
      <c r="R2759" s="17">
        <f t="shared" si="2"/>
        <v>174.2217718</v>
      </c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>
        <f t="shared" si="8"/>
        <v>4</v>
      </c>
      <c r="AF2759" s="19">
        <f t="shared" si="13"/>
        <v>4</v>
      </c>
      <c r="AG2759" s="9"/>
      <c r="AH2759" s="9"/>
      <c r="AI2759" s="9"/>
    </row>
    <row r="2760" ht="15.0" customHeight="1">
      <c r="A2760" s="11">
        <v>2759.0</v>
      </c>
      <c r="B2760" s="12">
        <f t="shared" si="444"/>
        <v>40288</v>
      </c>
      <c r="C2760" s="13">
        <v>2010.0</v>
      </c>
      <c r="D2760" s="11" t="s">
        <v>44</v>
      </c>
      <c r="E2760" s="11">
        <v>28.0</v>
      </c>
      <c r="F2760" s="21" t="s">
        <v>372</v>
      </c>
      <c r="G2760" s="15">
        <v>0.014715572150230716</v>
      </c>
      <c r="H2760" s="11" t="s">
        <v>33</v>
      </c>
      <c r="I2760" s="16">
        <v>9.0</v>
      </c>
      <c r="J2760" s="11" t="s">
        <v>1921</v>
      </c>
      <c r="K2760" s="11" t="s">
        <v>35</v>
      </c>
      <c r="L2760" s="11" t="s">
        <v>27</v>
      </c>
      <c r="M2760" s="11" t="s">
        <v>28</v>
      </c>
      <c r="N2760" s="11" t="s">
        <v>29</v>
      </c>
      <c r="O2760" s="11" t="s">
        <v>1741</v>
      </c>
      <c r="P2760" s="11" t="s">
        <v>38</v>
      </c>
      <c r="Q2760" s="20">
        <v>40290.0</v>
      </c>
      <c r="R2760" s="17">
        <f t="shared" si="2"/>
        <v>6.601405667</v>
      </c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>
        <f t="shared" si="8"/>
        <v>1</v>
      </c>
      <c r="AF2760" s="19">
        <f t="shared" si="13"/>
        <v>2</v>
      </c>
      <c r="AG2760" s="9"/>
      <c r="AH2760" s="9"/>
      <c r="AI2760" s="9"/>
    </row>
    <row r="2761" ht="15.0" customHeight="1">
      <c r="A2761" s="11">
        <v>2760.0</v>
      </c>
      <c r="B2761" s="12">
        <f t="shared" si="444"/>
        <v>40288</v>
      </c>
      <c r="C2761" s="13">
        <v>2010.0</v>
      </c>
      <c r="D2761" s="11" t="s">
        <v>102</v>
      </c>
      <c r="E2761" s="11">
        <v>17.0</v>
      </c>
      <c r="F2761" s="21" t="s">
        <v>128</v>
      </c>
      <c r="G2761" s="15">
        <v>0.021038807059145407</v>
      </c>
      <c r="H2761" s="11" t="s">
        <v>33</v>
      </c>
      <c r="I2761" s="16">
        <v>6.464</v>
      </c>
      <c r="J2761" s="11" t="s">
        <v>1349</v>
      </c>
      <c r="K2761" s="11" t="s">
        <v>61</v>
      </c>
      <c r="L2761" s="11" t="s">
        <v>36</v>
      </c>
      <c r="M2761" s="11" t="s">
        <v>66</v>
      </c>
      <c r="N2761" s="11" t="s">
        <v>80</v>
      </c>
      <c r="O2761" s="11" t="s">
        <v>2243</v>
      </c>
      <c r="P2761" s="11" t="s">
        <v>38</v>
      </c>
      <c r="Q2761" s="20">
        <v>40290.0</v>
      </c>
      <c r="R2761" s="17">
        <f t="shared" si="2"/>
        <v>45.1653536</v>
      </c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>
        <f t="shared" si="8"/>
        <v>2</v>
      </c>
      <c r="AF2761" s="19">
        <f t="shared" si="13"/>
        <v>4</v>
      </c>
      <c r="AG2761" s="9"/>
      <c r="AH2761" s="9"/>
      <c r="AI2761" s="9"/>
    </row>
    <row r="2762" ht="15.0" customHeight="1">
      <c r="A2762" s="11">
        <v>2761.0</v>
      </c>
      <c r="B2762" s="12">
        <f t="shared" si="444"/>
        <v>40288</v>
      </c>
      <c r="C2762" s="13">
        <v>2010.0</v>
      </c>
      <c r="D2762" s="11" t="s">
        <v>102</v>
      </c>
      <c r="E2762" s="11">
        <v>46.0</v>
      </c>
      <c r="F2762" s="21" t="s">
        <v>562</v>
      </c>
      <c r="G2762" s="15">
        <v>0.010278220044031278</v>
      </c>
      <c r="H2762" s="11" t="s">
        <v>45</v>
      </c>
      <c r="I2762" s="16">
        <v>20.8</v>
      </c>
      <c r="J2762" s="11" t="s">
        <v>1349</v>
      </c>
      <c r="K2762" s="11" t="s">
        <v>61</v>
      </c>
      <c r="L2762" s="11" t="s">
        <v>36</v>
      </c>
      <c r="M2762" s="11" t="s">
        <v>49</v>
      </c>
      <c r="N2762" s="11" t="s">
        <v>50</v>
      </c>
      <c r="O2762" s="11" t="s">
        <v>1649</v>
      </c>
      <c r="P2762" s="11" t="s">
        <v>52</v>
      </c>
      <c r="Q2762" s="20">
        <v>40291.0</v>
      </c>
      <c r="R2762" s="17">
        <f t="shared" si="2"/>
        <v>237.0383663</v>
      </c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>
        <f t="shared" si="8"/>
        <v>2</v>
      </c>
      <c r="AF2762" s="19">
        <f t="shared" si="13"/>
        <v>4</v>
      </c>
      <c r="AG2762" s="9"/>
      <c r="AH2762" s="9"/>
      <c r="AI2762" s="9"/>
    </row>
    <row r="2763" ht="15.0" customHeight="1">
      <c r="A2763" s="11">
        <v>2762.0</v>
      </c>
      <c r="B2763" s="12">
        <f t="shared" si="444"/>
        <v>40288</v>
      </c>
      <c r="C2763" s="13">
        <v>2010.0</v>
      </c>
      <c r="D2763" s="11" t="s">
        <v>102</v>
      </c>
      <c r="E2763" s="11">
        <v>32.0</v>
      </c>
      <c r="F2763" s="21" t="s">
        <v>221</v>
      </c>
      <c r="G2763" s="15">
        <v>0.08477243809337376</v>
      </c>
      <c r="H2763" s="11" t="s">
        <v>33</v>
      </c>
      <c r="I2763" s="16">
        <v>3.8880000000000003</v>
      </c>
      <c r="J2763" s="11" t="s">
        <v>1349</v>
      </c>
      <c r="K2763" s="11" t="s">
        <v>61</v>
      </c>
      <c r="L2763" s="11" t="s">
        <v>36</v>
      </c>
      <c r="M2763" s="11" t="s">
        <v>28</v>
      </c>
      <c r="N2763" s="11" t="s">
        <v>56</v>
      </c>
      <c r="O2763" s="11" t="s">
        <v>2072</v>
      </c>
      <c r="P2763" s="11" t="s">
        <v>58</v>
      </c>
      <c r="Q2763" s="20">
        <v>40291.0</v>
      </c>
      <c r="R2763" s="17">
        <f t="shared" si="2"/>
        <v>79.26968959</v>
      </c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>
        <f t="shared" si="8"/>
        <v>2</v>
      </c>
      <c r="AF2763" s="19">
        <f t="shared" si="13"/>
        <v>4</v>
      </c>
      <c r="AG2763" s="9"/>
      <c r="AH2763" s="9"/>
      <c r="AI2763" s="9"/>
    </row>
    <row r="2764" ht="15.0" customHeight="1">
      <c r="A2764" s="11">
        <v>2763.0</v>
      </c>
      <c r="B2764" s="12">
        <f t="shared" si="444"/>
        <v>40288</v>
      </c>
      <c r="C2764" s="13">
        <v>2010.0</v>
      </c>
      <c r="D2764" s="11" t="s">
        <v>44</v>
      </c>
      <c r="E2764" s="11">
        <v>1.0</v>
      </c>
      <c r="F2764" s="21" t="s">
        <v>513</v>
      </c>
      <c r="G2764" s="15">
        <v>0.05033384694401635</v>
      </c>
      <c r="H2764" s="11" t="s">
        <v>45</v>
      </c>
      <c r="I2764" s="16">
        <v>24.0</v>
      </c>
      <c r="J2764" s="11" t="s">
        <v>288</v>
      </c>
      <c r="K2764" s="11" t="s">
        <v>61</v>
      </c>
      <c r="L2764" s="11" t="s">
        <v>27</v>
      </c>
      <c r="M2764" s="11" t="s">
        <v>49</v>
      </c>
      <c r="N2764" s="11" t="s">
        <v>50</v>
      </c>
      <c r="O2764" s="11" t="s">
        <v>515</v>
      </c>
      <c r="P2764" s="11" t="s">
        <v>52</v>
      </c>
      <c r="Q2764" s="20">
        <v>40291.0</v>
      </c>
      <c r="R2764" s="17">
        <f t="shared" si="2"/>
        <v>9.3067283</v>
      </c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>
        <f t="shared" si="8"/>
        <v>1</v>
      </c>
      <c r="AF2764" s="19">
        <f t="shared" si="13"/>
        <v>4</v>
      </c>
      <c r="AG2764" s="9"/>
      <c r="AH2764" s="9"/>
      <c r="AI2764" s="9"/>
    </row>
    <row r="2765" ht="15.0" customHeight="1">
      <c r="A2765" s="11">
        <v>2764.0</v>
      </c>
      <c r="B2765" s="12">
        <f t="shared" si="444"/>
        <v>40288</v>
      </c>
      <c r="C2765" s="13">
        <v>2010.0</v>
      </c>
      <c r="D2765" s="11" t="s">
        <v>44</v>
      </c>
      <c r="E2765" s="11">
        <v>2.0</v>
      </c>
      <c r="F2765" s="21" t="s">
        <v>2192</v>
      </c>
      <c r="G2765" s="15">
        <v>0.10097009966777407</v>
      </c>
      <c r="H2765" s="11" t="s">
        <v>33</v>
      </c>
      <c r="I2765" s="16">
        <v>5.5040000000000004</v>
      </c>
      <c r="J2765" s="11" t="s">
        <v>288</v>
      </c>
      <c r="K2765" s="11" t="s">
        <v>61</v>
      </c>
      <c r="L2765" s="11" t="s">
        <v>27</v>
      </c>
      <c r="M2765" s="11" t="s">
        <v>28</v>
      </c>
      <c r="N2765" s="11" t="s">
        <v>29</v>
      </c>
      <c r="O2765" s="11" t="s">
        <v>2193</v>
      </c>
      <c r="P2765" s="11" t="s">
        <v>38</v>
      </c>
      <c r="Q2765" s="20">
        <v>40292.0</v>
      </c>
      <c r="R2765" s="17">
        <f t="shared" si="2"/>
        <v>13.66165837</v>
      </c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>
        <f t="shared" si="8"/>
        <v>1</v>
      </c>
      <c r="AF2765" s="19">
        <f t="shared" si="13"/>
        <v>4</v>
      </c>
      <c r="AG2765" s="9"/>
      <c r="AH2765" s="9"/>
      <c r="AI2765" s="9"/>
    </row>
    <row r="2766" ht="15.0" customHeight="1">
      <c r="A2766" s="11">
        <v>2765.0</v>
      </c>
      <c r="B2766" s="12">
        <f t="shared" si="444"/>
        <v>40288</v>
      </c>
      <c r="C2766" s="13">
        <v>2010.0</v>
      </c>
      <c r="D2766" s="11" t="s">
        <v>44</v>
      </c>
      <c r="E2766" s="11">
        <v>24.0</v>
      </c>
      <c r="F2766" s="21" t="s">
        <v>654</v>
      </c>
      <c r="G2766" s="15">
        <v>0.04855450683107543</v>
      </c>
      <c r="H2766" s="11" t="s">
        <v>45</v>
      </c>
      <c r="I2766" s="16">
        <v>32.152</v>
      </c>
      <c r="J2766" s="11" t="s">
        <v>288</v>
      </c>
      <c r="K2766" s="11" t="s">
        <v>61</v>
      </c>
      <c r="L2766" s="11" t="s">
        <v>27</v>
      </c>
      <c r="M2766" s="11" t="s">
        <v>49</v>
      </c>
      <c r="N2766" s="11" t="s">
        <v>85</v>
      </c>
      <c r="O2766" s="11" t="s">
        <v>655</v>
      </c>
      <c r="P2766" s="11" t="s">
        <v>87</v>
      </c>
      <c r="Q2766" s="20">
        <v>40292.0</v>
      </c>
      <c r="R2766" s="17">
        <f t="shared" si="2"/>
        <v>407.3214272</v>
      </c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>
        <f t="shared" si="8"/>
        <v>1</v>
      </c>
      <c r="AF2766" s="19">
        <f t="shared" si="13"/>
        <v>4</v>
      </c>
      <c r="AG2766" s="9"/>
      <c r="AH2766" s="9"/>
      <c r="AI2766" s="9"/>
    </row>
    <row r="2767" ht="15.0" customHeight="1">
      <c r="A2767" s="11">
        <v>2766.0</v>
      </c>
      <c r="B2767" s="12">
        <f t="shared" si="444"/>
        <v>40288</v>
      </c>
      <c r="C2767" s="13">
        <v>2010.0</v>
      </c>
      <c r="D2767" s="11" t="s">
        <v>32</v>
      </c>
      <c r="E2767" s="11">
        <v>26.0</v>
      </c>
      <c r="F2767" s="21" t="s">
        <v>1050</v>
      </c>
      <c r="G2767" s="15">
        <v>0.0733051510881477</v>
      </c>
      <c r="H2767" s="11" t="s">
        <v>33</v>
      </c>
      <c r="I2767" s="16">
        <v>12.08</v>
      </c>
      <c r="J2767" s="11" t="s">
        <v>2292</v>
      </c>
      <c r="K2767" s="11" t="s">
        <v>35</v>
      </c>
      <c r="L2767" s="11" t="s">
        <v>48</v>
      </c>
      <c r="M2767" s="11" t="s">
        <v>28</v>
      </c>
      <c r="N2767" s="11" t="s">
        <v>42</v>
      </c>
      <c r="O2767" s="11" t="s">
        <v>1052</v>
      </c>
      <c r="P2767" s="11" t="s">
        <v>38</v>
      </c>
      <c r="Q2767" s="20">
        <v>40292.0</v>
      </c>
      <c r="R2767" s="17">
        <f t="shared" si="2"/>
        <v>43.38785283</v>
      </c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>
        <f t="shared" si="8"/>
        <v>4</v>
      </c>
      <c r="AF2767" s="19">
        <f t="shared" si="13"/>
        <v>2</v>
      </c>
      <c r="AG2767" s="9"/>
      <c r="AH2767" s="9"/>
      <c r="AI2767" s="9"/>
    </row>
    <row r="2768" ht="15.0" customHeight="1">
      <c r="A2768" s="11">
        <v>2767.0</v>
      </c>
      <c r="B2768" s="12">
        <f t="shared" si="444"/>
        <v>40288</v>
      </c>
      <c r="C2768" s="13">
        <v>2010.0</v>
      </c>
      <c r="D2768" s="11" t="s">
        <v>32</v>
      </c>
      <c r="E2768" s="11">
        <v>19.0</v>
      </c>
      <c r="F2768" s="21" t="s">
        <v>163</v>
      </c>
      <c r="G2768" s="15">
        <v>0.08662066375627846</v>
      </c>
      <c r="H2768" s="11" t="s">
        <v>45</v>
      </c>
      <c r="I2768" s="16">
        <v>28.672000000000004</v>
      </c>
      <c r="J2768" s="11" t="s">
        <v>2292</v>
      </c>
      <c r="K2768" s="11" t="s">
        <v>35</v>
      </c>
      <c r="L2768" s="11" t="s">
        <v>48</v>
      </c>
      <c r="M2768" s="11" t="s">
        <v>49</v>
      </c>
      <c r="N2768" s="11" t="s">
        <v>156</v>
      </c>
      <c r="O2768" s="11" t="s">
        <v>165</v>
      </c>
      <c r="P2768" s="11" t="s">
        <v>87</v>
      </c>
      <c r="Q2768" s="20">
        <v>40292.0</v>
      </c>
      <c r="R2768" s="17">
        <f t="shared" si="2"/>
        <v>168.5440622</v>
      </c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>
        <f t="shared" si="8"/>
        <v>4</v>
      </c>
      <c r="AF2768" s="19">
        <f t="shared" si="13"/>
        <v>2</v>
      </c>
      <c r="AG2768" s="9"/>
      <c r="AH2768" s="9"/>
      <c r="AI2768" s="9"/>
    </row>
    <row r="2769" ht="15.0" customHeight="1">
      <c r="A2769" s="11">
        <v>2768.0</v>
      </c>
      <c r="B2769" s="12">
        <f t="shared" ref="B2769:B2772" si="445">DATE(2012,12,31)-984</f>
        <v>40290</v>
      </c>
      <c r="C2769" s="13">
        <v>2010.0</v>
      </c>
      <c r="D2769" s="11" t="s">
        <v>23</v>
      </c>
      <c r="E2769" s="11">
        <v>46.0</v>
      </c>
      <c r="F2769" s="21" t="s">
        <v>151</v>
      </c>
      <c r="G2769" s="15">
        <v>0.13019132057862798</v>
      </c>
      <c r="H2769" s="11" t="s">
        <v>33</v>
      </c>
      <c r="I2769" s="16">
        <v>39.2</v>
      </c>
      <c r="J2769" s="11" t="s">
        <v>1837</v>
      </c>
      <c r="K2769" s="11" t="s">
        <v>35</v>
      </c>
      <c r="L2769" s="11" t="s">
        <v>48</v>
      </c>
      <c r="M2769" s="11" t="s">
        <v>28</v>
      </c>
      <c r="N2769" s="11" t="s">
        <v>197</v>
      </c>
      <c r="O2769" s="11" t="s">
        <v>830</v>
      </c>
      <c r="P2769" s="11" t="s">
        <v>31</v>
      </c>
      <c r="Q2769" s="20">
        <v>40292.0</v>
      </c>
      <c r="R2769" s="17">
        <f t="shared" si="2"/>
        <v>24.26766216</v>
      </c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>
        <f t="shared" si="8"/>
        <v>4</v>
      </c>
      <c r="AF2769" s="19">
        <f t="shared" si="13"/>
        <v>2</v>
      </c>
      <c r="AG2769" s="9"/>
      <c r="AH2769" s="9"/>
      <c r="AI2769" s="9"/>
    </row>
    <row r="2770" ht="15.0" customHeight="1">
      <c r="A2770" s="11">
        <v>2769.0</v>
      </c>
      <c r="B2770" s="12">
        <f t="shared" si="445"/>
        <v>40290</v>
      </c>
      <c r="C2770" s="13">
        <v>2010.0</v>
      </c>
      <c r="D2770" s="11" t="s">
        <v>102</v>
      </c>
      <c r="E2770" s="11">
        <v>38.0</v>
      </c>
      <c r="F2770" s="21" t="s">
        <v>638</v>
      </c>
      <c r="G2770" s="15">
        <v>0.09479235332893868</v>
      </c>
      <c r="H2770" s="11" t="s">
        <v>33</v>
      </c>
      <c r="I2770" s="16">
        <v>4.84</v>
      </c>
      <c r="J2770" s="11" t="s">
        <v>2293</v>
      </c>
      <c r="K2770" s="11" t="s">
        <v>65</v>
      </c>
      <c r="L2770" s="11" t="s">
        <v>27</v>
      </c>
      <c r="M2770" s="11" t="s">
        <v>28</v>
      </c>
      <c r="N2770" s="11" t="s">
        <v>42</v>
      </c>
      <c r="O2770" s="11" t="s">
        <v>640</v>
      </c>
      <c r="P2770" s="11" t="s">
        <v>38</v>
      </c>
      <c r="Q2770" s="20">
        <v>40292.0</v>
      </c>
      <c r="R2770" s="17">
        <f t="shared" si="2"/>
        <v>26.03377192</v>
      </c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>
        <f t="shared" si="8"/>
        <v>1</v>
      </c>
      <c r="AF2770" s="19">
        <f t="shared" si="13"/>
        <v>5</v>
      </c>
      <c r="AG2770" s="9"/>
      <c r="AH2770" s="9"/>
      <c r="AI2770" s="9"/>
    </row>
    <row r="2771" ht="15.0" customHeight="1">
      <c r="A2771" s="11">
        <v>2770.0</v>
      </c>
      <c r="B2771" s="12">
        <f t="shared" si="445"/>
        <v>40290</v>
      </c>
      <c r="C2771" s="13">
        <v>2010.0</v>
      </c>
      <c r="D2771" s="11" t="s">
        <v>44</v>
      </c>
      <c r="E2771" s="11">
        <v>11.0</v>
      </c>
      <c r="F2771" s="21" t="s">
        <v>425</v>
      </c>
      <c r="G2771" s="15">
        <v>0.036272765777213015</v>
      </c>
      <c r="H2771" s="11" t="s">
        <v>33</v>
      </c>
      <c r="I2771" s="16">
        <v>5.336</v>
      </c>
      <c r="J2771" s="11" t="s">
        <v>2294</v>
      </c>
      <c r="K2771" s="11" t="s">
        <v>35</v>
      </c>
      <c r="L2771" s="11" t="s">
        <v>48</v>
      </c>
      <c r="M2771" s="11" t="s">
        <v>49</v>
      </c>
      <c r="N2771" s="11" t="s">
        <v>73</v>
      </c>
      <c r="O2771" s="11" t="s">
        <v>2268</v>
      </c>
      <c r="P2771" s="11" t="s">
        <v>99</v>
      </c>
      <c r="Q2771" s="20">
        <v>40292.0</v>
      </c>
      <c r="R2771" s="17">
        <f t="shared" si="2"/>
        <v>8.253360034</v>
      </c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>
        <f t="shared" si="8"/>
        <v>4</v>
      </c>
      <c r="AF2771" s="19">
        <f t="shared" si="13"/>
        <v>2</v>
      </c>
      <c r="AG2771" s="9"/>
      <c r="AH2771" s="9"/>
      <c r="AI2771" s="9"/>
    </row>
    <row r="2772" ht="15.0" customHeight="1">
      <c r="A2772" s="11">
        <v>2771.0</v>
      </c>
      <c r="B2772" s="12">
        <f t="shared" si="445"/>
        <v>40290</v>
      </c>
      <c r="C2772" s="13">
        <v>2010.0</v>
      </c>
      <c r="D2772" s="11" t="s">
        <v>102</v>
      </c>
      <c r="E2772" s="11">
        <v>20.0</v>
      </c>
      <c r="F2772" s="21" t="s">
        <v>142</v>
      </c>
      <c r="G2772" s="15">
        <v>0.05918073550582388</v>
      </c>
      <c r="H2772" s="11" t="s">
        <v>33</v>
      </c>
      <c r="I2772" s="16">
        <v>0.8800000000000001</v>
      </c>
      <c r="J2772" s="11" t="s">
        <v>1753</v>
      </c>
      <c r="K2772" s="11" t="s">
        <v>65</v>
      </c>
      <c r="L2772" s="11" t="s">
        <v>48</v>
      </c>
      <c r="M2772" s="11" t="s">
        <v>66</v>
      </c>
      <c r="N2772" s="11" t="s">
        <v>80</v>
      </c>
      <c r="O2772" s="11" t="s">
        <v>143</v>
      </c>
      <c r="P2772" s="11" t="s">
        <v>38</v>
      </c>
      <c r="Q2772" s="20">
        <v>40293.0</v>
      </c>
      <c r="R2772" s="17">
        <f t="shared" si="2"/>
        <v>42.54384714</v>
      </c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>
        <f t="shared" si="8"/>
        <v>4</v>
      </c>
      <c r="AF2772" s="19">
        <f t="shared" si="13"/>
        <v>5</v>
      </c>
      <c r="AG2772" s="9"/>
      <c r="AH2772" s="9"/>
      <c r="AI2772" s="9"/>
    </row>
    <row r="2773" ht="15.0" customHeight="1">
      <c r="A2773" s="11">
        <v>2772.0</v>
      </c>
      <c r="B2773" s="12">
        <f>DATE(2012,12,31)-983</f>
        <v>40291</v>
      </c>
      <c r="C2773" s="13">
        <v>2010.0</v>
      </c>
      <c r="D2773" s="11" t="s">
        <v>23</v>
      </c>
      <c r="E2773" s="11">
        <v>24.0</v>
      </c>
      <c r="F2773" s="21" t="s">
        <v>666</v>
      </c>
      <c r="G2773" s="15">
        <v>0.06768920282542899</v>
      </c>
      <c r="H2773" s="11" t="s">
        <v>24</v>
      </c>
      <c r="I2773" s="16">
        <v>1.192</v>
      </c>
      <c r="J2773" s="11" t="s">
        <v>2295</v>
      </c>
      <c r="K2773" s="11" t="s">
        <v>26</v>
      </c>
      <c r="L2773" s="11" t="s">
        <v>41</v>
      </c>
      <c r="M2773" s="11" t="s">
        <v>28</v>
      </c>
      <c r="N2773" s="11" t="s">
        <v>42</v>
      </c>
      <c r="O2773" s="11" t="s">
        <v>667</v>
      </c>
      <c r="P2773" s="11" t="s">
        <v>38</v>
      </c>
      <c r="Q2773" s="20">
        <v>40293.0</v>
      </c>
      <c r="R2773" s="17">
        <f t="shared" si="2"/>
        <v>6.253940827</v>
      </c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>
        <f t="shared" si="8"/>
        <v>3</v>
      </c>
      <c r="AF2773" s="19">
        <f t="shared" si="13"/>
        <v>1</v>
      </c>
      <c r="AG2773" s="9"/>
      <c r="AH2773" s="9"/>
      <c r="AI2773" s="9"/>
    </row>
    <row r="2774" ht="15.0" customHeight="1">
      <c r="A2774" s="11">
        <v>2773.0</v>
      </c>
      <c r="B2774" s="12">
        <f t="shared" ref="B2774:B2775" si="446">DATE(2012,12,31)-982</f>
        <v>40292</v>
      </c>
      <c r="C2774" s="13">
        <v>2010.0</v>
      </c>
      <c r="D2774" s="11" t="s">
        <v>39</v>
      </c>
      <c r="E2774" s="11">
        <v>35.0</v>
      </c>
      <c r="F2774" s="21" t="s">
        <v>792</v>
      </c>
      <c r="G2774" s="15">
        <v>0.03072040253519754</v>
      </c>
      <c r="H2774" s="11" t="s">
        <v>45</v>
      </c>
      <c r="I2774" s="16">
        <v>28.712000000000003</v>
      </c>
      <c r="J2774" s="11" t="s">
        <v>382</v>
      </c>
      <c r="K2774" s="11" t="s">
        <v>65</v>
      </c>
      <c r="L2774" s="11" t="s">
        <v>48</v>
      </c>
      <c r="M2774" s="11" t="s">
        <v>49</v>
      </c>
      <c r="N2774" s="11" t="s">
        <v>156</v>
      </c>
      <c r="O2774" s="11" t="s">
        <v>794</v>
      </c>
      <c r="P2774" s="11" t="s">
        <v>87</v>
      </c>
      <c r="Q2774" s="20">
        <v>40294.0</v>
      </c>
      <c r="R2774" s="17">
        <f t="shared" si="2"/>
        <v>184.636132</v>
      </c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>
        <f t="shared" si="8"/>
        <v>4</v>
      </c>
      <c r="AF2774" s="19">
        <f t="shared" si="13"/>
        <v>5</v>
      </c>
      <c r="AG2774" s="9"/>
      <c r="AH2774" s="9"/>
      <c r="AI2774" s="9"/>
    </row>
    <row r="2775" ht="15.0" customHeight="1">
      <c r="A2775" s="11">
        <v>2774.0</v>
      </c>
      <c r="B2775" s="12">
        <f t="shared" si="446"/>
        <v>40292</v>
      </c>
      <c r="C2775" s="13">
        <v>2010.0</v>
      </c>
      <c r="D2775" s="11" t="s">
        <v>39</v>
      </c>
      <c r="E2775" s="11">
        <v>10.0</v>
      </c>
      <c r="F2775" s="21" t="s">
        <v>122</v>
      </c>
      <c r="G2775" s="15">
        <v>0.008625989753143808</v>
      </c>
      <c r="H2775" s="11" t="s">
        <v>33</v>
      </c>
      <c r="I2775" s="16">
        <v>3.848</v>
      </c>
      <c r="J2775" s="11" t="s">
        <v>382</v>
      </c>
      <c r="K2775" s="11" t="s">
        <v>65</v>
      </c>
      <c r="L2775" s="11" t="s">
        <v>48</v>
      </c>
      <c r="M2775" s="11" t="s">
        <v>66</v>
      </c>
      <c r="N2775" s="11" t="s">
        <v>80</v>
      </c>
      <c r="O2775" s="11" t="s">
        <v>899</v>
      </c>
      <c r="P2775" s="11" t="s">
        <v>75</v>
      </c>
      <c r="Q2775" s="20">
        <v>40294.0</v>
      </c>
      <c r="R2775" s="17">
        <f t="shared" si="2"/>
        <v>1.836024667</v>
      </c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>
        <f t="shared" si="8"/>
        <v>4</v>
      </c>
      <c r="AF2775" s="19">
        <f t="shared" si="13"/>
        <v>5</v>
      </c>
      <c r="AG2775" s="9"/>
      <c r="AH2775" s="9"/>
      <c r="AI2775" s="9"/>
    </row>
    <row r="2776" ht="15.0" customHeight="1">
      <c r="A2776" s="11">
        <v>2775.0</v>
      </c>
      <c r="B2776" s="12">
        <f t="shared" ref="B2776:B2780" si="447">DATE(2012,12,31)-981</f>
        <v>40293</v>
      </c>
      <c r="C2776" s="13">
        <v>2010.0</v>
      </c>
      <c r="D2776" s="11" t="s">
        <v>102</v>
      </c>
      <c r="E2776" s="11">
        <v>3.0</v>
      </c>
      <c r="F2776" s="21" t="s">
        <v>569</v>
      </c>
      <c r="G2776" s="15">
        <v>0.06858932206043525</v>
      </c>
      <c r="H2776" s="11" t="s">
        <v>33</v>
      </c>
      <c r="I2776" s="16">
        <v>7.192</v>
      </c>
      <c r="J2776" s="11" t="s">
        <v>1199</v>
      </c>
      <c r="K2776" s="11" t="s">
        <v>83</v>
      </c>
      <c r="L2776" s="11" t="s">
        <v>36</v>
      </c>
      <c r="M2776" s="11" t="s">
        <v>66</v>
      </c>
      <c r="N2776" s="11" t="s">
        <v>80</v>
      </c>
      <c r="O2776" s="11" t="s">
        <v>755</v>
      </c>
      <c r="P2776" s="11" t="s">
        <v>38</v>
      </c>
      <c r="Q2776" s="20">
        <v>40294.0</v>
      </c>
      <c r="R2776" s="17">
        <f t="shared" si="2"/>
        <v>40.80323898</v>
      </c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>
        <f t="shared" si="8"/>
        <v>2</v>
      </c>
      <c r="AF2776" s="19" t="b">
        <f t="shared" si="13"/>
        <v>0</v>
      </c>
      <c r="AG2776" s="9"/>
      <c r="AH2776" s="9"/>
      <c r="AI2776" s="9"/>
    </row>
    <row r="2777" ht="15.0" customHeight="1">
      <c r="A2777" s="11">
        <v>2776.0</v>
      </c>
      <c r="B2777" s="12">
        <f t="shared" si="447"/>
        <v>40293</v>
      </c>
      <c r="C2777" s="13">
        <v>2010.0</v>
      </c>
      <c r="D2777" s="11" t="s">
        <v>23</v>
      </c>
      <c r="E2777" s="11">
        <v>40.0</v>
      </c>
      <c r="F2777" s="21" t="s">
        <v>119</v>
      </c>
      <c r="G2777" s="15">
        <v>0.10234278668310724</v>
      </c>
      <c r="H2777" s="11" t="s">
        <v>33</v>
      </c>
      <c r="I2777" s="16">
        <v>0.8</v>
      </c>
      <c r="J2777" s="11" t="s">
        <v>738</v>
      </c>
      <c r="K2777" s="11" t="s">
        <v>65</v>
      </c>
      <c r="L2777" s="11" t="s">
        <v>48</v>
      </c>
      <c r="M2777" s="11" t="s">
        <v>28</v>
      </c>
      <c r="N2777" s="11" t="s">
        <v>62</v>
      </c>
      <c r="O2777" s="11" t="s">
        <v>2296</v>
      </c>
      <c r="P2777" s="11" t="s">
        <v>58</v>
      </c>
      <c r="Q2777" s="20">
        <v>40294.0</v>
      </c>
      <c r="R2777" s="17">
        <f t="shared" si="2"/>
        <v>7.450554871</v>
      </c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>
        <f t="shared" si="8"/>
        <v>4</v>
      </c>
      <c r="AF2777" s="19">
        <f t="shared" si="13"/>
        <v>5</v>
      </c>
      <c r="AG2777" s="9"/>
      <c r="AH2777" s="9"/>
      <c r="AI2777" s="9"/>
    </row>
    <row r="2778" ht="15.0" customHeight="1">
      <c r="A2778" s="11">
        <v>2777.0</v>
      </c>
      <c r="B2778" s="12">
        <f t="shared" si="447"/>
        <v>40293</v>
      </c>
      <c r="C2778" s="13">
        <v>2010.0</v>
      </c>
      <c r="D2778" s="11" t="s">
        <v>32</v>
      </c>
      <c r="E2778" s="11">
        <v>39.0</v>
      </c>
      <c r="F2778" s="21" t="s">
        <v>891</v>
      </c>
      <c r="G2778" s="15">
        <v>0.08282162474703679</v>
      </c>
      <c r="H2778" s="11" t="s">
        <v>33</v>
      </c>
      <c r="I2778" s="16">
        <v>1.352</v>
      </c>
      <c r="J2778" s="11" t="s">
        <v>973</v>
      </c>
      <c r="K2778" s="11" t="s">
        <v>61</v>
      </c>
      <c r="L2778" s="11" t="s">
        <v>36</v>
      </c>
      <c r="M2778" s="11" t="s">
        <v>28</v>
      </c>
      <c r="N2778" s="11" t="s">
        <v>56</v>
      </c>
      <c r="O2778" s="11" t="s">
        <v>1996</v>
      </c>
      <c r="P2778" s="11" t="s">
        <v>58</v>
      </c>
      <c r="Q2778" s="20">
        <v>40294.0</v>
      </c>
      <c r="R2778" s="17">
        <f t="shared" si="2"/>
        <v>26.27532609</v>
      </c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>
        <f t="shared" si="8"/>
        <v>2</v>
      </c>
      <c r="AF2778" s="19">
        <f t="shared" si="13"/>
        <v>4</v>
      </c>
      <c r="AG2778" s="9"/>
      <c r="AH2778" s="9"/>
      <c r="AI2778" s="9"/>
    </row>
    <row r="2779" ht="15.0" customHeight="1">
      <c r="A2779" s="11">
        <v>2778.0</v>
      </c>
      <c r="B2779" s="12">
        <f t="shared" si="447"/>
        <v>40293</v>
      </c>
      <c r="C2779" s="13">
        <v>2010.0</v>
      </c>
      <c r="D2779" s="11" t="s">
        <v>32</v>
      </c>
      <c r="E2779" s="11">
        <v>34.0</v>
      </c>
      <c r="F2779" s="21" t="s">
        <v>322</v>
      </c>
      <c r="G2779" s="15">
        <v>0.08534905367669884</v>
      </c>
      <c r="H2779" s="11" t="s">
        <v>24</v>
      </c>
      <c r="I2779" s="16">
        <v>2.3920000000000003</v>
      </c>
      <c r="J2779" s="11" t="s">
        <v>973</v>
      </c>
      <c r="K2779" s="11" t="s">
        <v>61</v>
      </c>
      <c r="L2779" s="11" t="s">
        <v>36</v>
      </c>
      <c r="M2779" s="11" t="s">
        <v>28</v>
      </c>
      <c r="N2779" s="11" t="s">
        <v>42</v>
      </c>
      <c r="O2779" s="11" t="s">
        <v>2146</v>
      </c>
      <c r="P2779" s="11" t="s">
        <v>38</v>
      </c>
      <c r="Q2779" s="20">
        <v>40295.0</v>
      </c>
      <c r="R2779" s="17">
        <f t="shared" si="2"/>
        <v>25.16021823</v>
      </c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>
        <f t="shared" si="8"/>
        <v>2</v>
      </c>
      <c r="AF2779" s="19">
        <f t="shared" si="13"/>
        <v>4</v>
      </c>
      <c r="AG2779" s="9"/>
      <c r="AH2779" s="9"/>
      <c r="AI2779" s="9"/>
    </row>
    <row r="2780" ht="15.0" customHeight="1">
      <c r="A2780" s="11">
        <v>2779.0</v>
      </c>
      <c r="B2780" s="12">
        <f t="shared" si="447"/>
        <v>40293</v>
      </c>
      <c r="C2780" s="13">
        <v>2010.0</v>
      </c>
      <c r="D2780" s="11" t="s">
        <v>32</v>
      </c>
      <c r="E2780" s="11">
        <v>45.0</v>
      </c>
      <c r="F2780" s="21" t="s">
        <v>325</v>
      </c>
      <c r="G2780" s="15">
        <v>0.06854791299235742</v>
      </c>
      <c r="H2780" s="11" t="s">
        <v>33</v>
      </c>
      <c r="I2780" s="16">
        <v>1.8800000000000001</v>
      </c>
      <c r="J2780" s="11" t="s">
        <v>973</v>
      </c>
      <c r="K2780" s="11" t="s">
        <v>61</v>
      </c>
      <c r="L2780" s="11" t="s">
        <v>36</v>
      </c>
      <c r="M2780" s="11" t="s">
        <v>28</v>
      </c>
      <c r="N2780" s="11" t="s">
        <v>62</v>
      </c>
      <c r="O2780" s="11" t="s">
        <v>1113</v>
      </c>
      <c r="P2780" s="11" t="s">
        <v>58</v>
      </c>
      <c r="Q2780" s="20">
        <v>40295.0</v>
      </c>
      <c r="R2780" s="17">
        <f t="shared" si="2"/>
        <v>21.72146267</v>
      </c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>
        <f t="shared" si="8"/>
        <v>2</v>
      </c>
      <c r="AF2780" s="19">
        <f t="shared" si="13"/>
        <v>4</v>
      </c>
      <c r="AG2780" s="9"/>
      <c r="AH2780" s="9"/>
      <c r="AI2780" s="9"/>
    </row>
    <row r="2781" ht="15.0" customHeight="1">
      <c r="A2781" s="11">
        <v>2780.0</v>
      </c>
      <c r="B2781" s="12">
        <f t="shared" ref="B2781:B2784" si="448">DATE(2012,12,31)-980</f>
        <v>40294</v>
      </c>
      <c r="C2781" s="13">
        <v>2010.0</v>
      </c>
      <c r="D2781" s="11" t="s">
        <v>32</v>
      </c>
      <c r="E2781" s="11">
        <v>43.0</v>
      </c>
      <c r="F2781" s="21" t="s">
        <v>1233</v>
      </c>
      <c r="G2781" s="15">
        <v>0.06571876240416134</v>
      </c>
      <c r="H2781" s="11" t="s">
        <v>33</v>
      </c>
      <c r="I2781" s="16">
        <v>9.096</v>
      </c>
      <c r="J2781" s="11" t="s">
        <v>681</v>
      </c>
      <c r="K2781" s="11" t="s">
        <v>61</v>
      </c>
      <c r="L2781" s="11" t="s">
        <v>41</v>
      </c>
      <c r="M2781" s="11" t="s">
        <v>28</v>
      </c>
      <c r="N2781" s="11" t="s">
        <v>29</v>
      </c>
      <c r="O2781" s="11" t="s">
        <v>1234</v>
      </c>
      <c r="P2781" s="11" t="s">
        <v>38</v>
      </c>
      <c r="Q2781" s="20">
        <v>40295.0</v>
      </c>
      <c r="R2781" s="17">
        <f t="shared" si="2"/>
        <v>1175.609818</v>
      </c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>
        <f t="shared" si="8"/>
        <v>3</v>
      </c>
      <c r="AF2781" s="19">
        <f t="shared" si="13"/>
        <v>4</v>
      </c>
      <c r="AG2781" s="9"/>
      <c r="AH2781" s="9"/>
      <c r="AI2781" s="9"/>
    </row>
    <row r="2782" ht="15.0" customHeight="1">
      <c r="A2782" s="11">
        <v>2781.0</v>
      </c>
      <c r="B2782" s="12">
        <f t="shared" si="448"/>
        <v>40294</v>
      </c>
      <c r="C2782" s="13">
        <v>2010.0</v>
      </c>
      <c r="D2782" s="11" t="s">
        <v>23</v>
      </c>
      <c r="E2782" s="11">
        <v>28.0</v>
      </c>
      <c r="F2782" s="21" t="s">
        <v>186</v>
      </c>
      <c r="G2782" s="15">
        <v>0.07246376811594214</v>
      </c>
      <c r="H2782" s="11" t="s">
        <v>33</v>
      </c>
      <c r="I2782" s="16">
        <v>0.4</v>
      </c>
      <c r="J2782" s="11" t="s">
        <v>763</v>
      </c>
      <c r="K2782" s="11" t="s">
        <v>65</v>
      </c>
      <c r="L2782" s="11" t="s">
        <v>27</v>
      </c>
      <c r="M2782" s="11" t="s">
        <v>28</v>
      </c>
      <c r="N2782" s="11" t="s">
        <v>188</v>
      </c>
      <c r="O2782" s="11" t="s">
        <v>1968</v>
      </c>
      <c r="P2782" s="11" t="s">
        <v>38</v>
      </c>
      <c r="Q2782" s="20">
        <v>40295.0</v>
      </c>
      <c r="R2782" s="17">
        <f t="shared" si="2"/>
        <v>8.347826087</v>
      </c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>
        <f t="shared" si="8"/>
        <v>1</v>
      </c>
      <c r="AF2782" s="19">
        <f t="shared" si="13"/>
        <v>5</v>
      </c>
      <c r="AG2782" s="9"/>
      <c r="AH2782" s="9"/>
      <c r="AI2782" s="9"/>
    </row>
    <row r="2783" ht="15.0" customHeight="1">
      <c r="A2783" s="11">
        <v>2782.0</v>
      </c>
      <c r="B2783" s="12">
        <f t="shared" si="448"/>
        <v>40294</v>
      </c>
      <c r="C2783" s="13">
        <v>2010.0</v>
      </c>
      <c r="D2783" s="11" t="s">
        <v>23</v>
      </c>
      <c r="E2783" s="11">
        <v>12.0</v>
      </c>
      <c r="F2783" s="21" t="s">
        <v>290</v>
      </c>
      <c r="G2783" s="15">
        <v>0.11886255924170606</v>
      </c>
      <c r="H2783" s="11" t="s">
        <v>33</v>
      </c>
      <c r="I2783" s="16">
        <v>5.376</v>
      </c>
      <c r="J2783" s="11" t="s">
        <v>763</v>
      </c>
      <c r="K2783" s="11" t="s">
        <v>65</v>
      </c>
      <c r="L2783" s="11" t="s">
        <v>27</v>
      </c>
      <c r="M2783" s="11" t="s">
        <v>28</v>
      </c>
      <c r="N2783" s="11" t="s">
        <v>56</v>
      </c>
      <c r="O2783" s="11" t="s">
        <v>2233</v>
      </c>
      <c r="P2783" s="11" t="s">
        <v>38</v>
      </c>
      <c r="Q2783" s="20">
        <v>40295.0</v>
      </c>
      <c r="R2783" s="17">
        <f t="shared" si="2"/>
        <v>6.629678104</v>
      </c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>
        <f t="shared" si="8"/>
        <v>1</v>
      </c>
      <c r="AF2783" s="19">
        <f t="shared" si="13"/>
        <v>5</v>
      </c>
      <c r="AG2783" s="9"/>
      <c r="AH2783" s="9"/>
      <c r="AI2783" s="9"/>
    </row>
    <row r="2784" ht="15.0" customHeight="1">
      <c r="A2784" s="11">
        <v>2783.0</v>
      </c>
      <c r="B2784" s="12">
        <f t="shared" si="448"/>
        <v>40294</v>
      </c>
      <c r="C2784" s="13">
        <v>2010.0</v>
      </c>
      <c r="D2784" s="11" t="s">
        <v>23</v>
      </c>
      <c r="E2784" s="11">
        <v>6.0</v>
      </c>
      <c r="F2784" s="21" t="s">
        <v>740</v>
      </c>
      <c r="G2784" s="15">
        <v>0.039435693450013375</v>
      </c>
      <c r="H2784" s="11" t="s">
        <v>33</v>
      </c>
      <c r="I2784" s="16">
        <v>5.744</v>
      </c>
      <c r="J2784" s="11" t="s">
        <v>2141</v>
      </c>
      <c r="K2784" s="11" t="s">
        <v>26</v>
      </c>
      <c r="L2784" s="11" t="s">
        <v>36</v>
      </c>
      <c r="M2784" s="11" t="s">
        <v>66</v>
      </c>
      <c r="N2784" s="11" t="s">
        <v>67</v>
      </c>
      <c r="O2784" s="11" t="s">
        <v>1147</v>
      </c>
      <c r="P2784" s="11" t="s">
        <v>38</v>
      </c>
      <c r="Q2784" s="20">
        <v>40296.0</v>
      </c>
      <c r="R2784" s="17">
        <f t="shared" si="2"/>
        <v>71.42371958</v>
      </c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>
        <f t="shared" si="8"/>
        <v>2</v>
      </c>
      <c r="AF2784" s="19">
        <f t="shared" si="13"/>
        <v>1</v>
      </c>
      <c r="AG2784" s="9"/>
      <c r="AH2784" s="9"/>
      <c r="AI2784" s="9"/>
    </row>
    <row r="2785" ht="15.0" customHeight="1">
      <c r="A2785" s="11">
        <v>2784.0</v>
      </c>
      <c r="B2785" s="12">
        <f t="shared" ref="B2785:B2788" si="449">DATE(2012,12,31)-979</f>
        <v>40295</v>
      </c>
      <c r="C2785" s="13">
        <v>2010.0</v>
      </c>
      <c r="D2785" s="11" t="s">
        <v>102</v>
      </c>
      <c r="E2785" s="11">
        <v>11.0</v>
      </c>
      <c r="F2785" s="21" t="s">
        <v>790</v>
      </c>
      <c r="G2785" s="15">
        <v>0.08556866952789709</v>
      </c>
      <c r="H2785" s="11" t="s">
        <v>33</v>
      </c>
      <c r="I2785" s="16">
        <v>3.2</v>
      </c>
      <c r="J2785" s="11" t="s">
        <v>849</v>
      </c>
      <c r="K2785" s="11" t="s">
        <v>65</v>
      </c>
      <c r="L2785" s="11" t="s">
        <v>48</v>
      </c>
      <c r="M2785" s="11" t="s">
        <v>66</v>
      </c>
      <c r="N2785" s="11" t="s">
        <v>67</v>
      </c>
      <c r="O2785" s="11" t="s">
        <v>791</v>
      </c>
      <c r="P2785" s="11" t="s">
        <v>38</v>
      </c>
      <c r="Q2785" s="20">
        <v>40296.0</v>
      </c>
      <c r="R2785" s="17">
        <f t="shared" si="2"/>
        <v>29.17035944</v>
      </c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>
        <f t="shared" si="8"/>
        <v>4</v>
      </c>
      <c r="AF2785" s="19">
        <f t="shared" si="13"/>
        <v>5</v>
      </c>
      <c r="AG2785" s="9"/>
      <c r="AH2785" s="9"/>
      <c r="AI2785" s="9"/>
    </row>
    <row r="2786" ht="15.0" customHeight="1">
      <c r="A2786" s="11">
        <v>2785.0</v>
      </c>
      <c r="B2786" s="12">
        <f t="shared" si="449"/>
        <v>40295</v>
      </c>
      <c r="C2786" s="13">
        <v>2010.0</v>
      </c>
      <c r="D2786" s="11" t="s">
        <v>102</v>
      </c>
      <c r="E2786" s="11">
        <v>10.0</v>
      </c>
      <c r="F2786" s="21" t="s">
        <v>306</v>
      </c>
      <c r="G2786" s="15">
        <v>0.09944272445820437</v>
      </c>
      <c r="H2786" s="11" t="s">
        <v>33</v>
      </c>
      <c r="I2786" s="16">
        <v>4.616</v>
      </c>
      <c r="J2786" s="11" t="s">
        <v>849</v>
      </c>
      <c r="K2786" s="11" t="s">
        <v>65</v>
      </c>
      <c r="L2786" s="11" t="s">
        <v>48</v>
      </c>
      <c r="M2786" s="11" t="s">
        <v>28</v>
      </c>
      <c r="N2786" s="11" t="s">
        <v>56</v>
      </c>
      <c r="O2786" s="11" t="s">
        <v>1169</v>
      </c>
      <c r="P2786" s="11" t="s">
        <v>38</v>
      </c>
      <c r="Q2786" s="20">
        <v>40296.0</v>
      </c>
      <c r="R2786" s="17">
        <f t="shared" si="2"/>
        <v>20.24812978</v>
      </c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>
        <f t="shared" si="8"/>
        <v>4</v>
      </c>
      <c r="AF2786" s="19">
        <f t="shared" si="13"/>
        <v>5</v>
      </c>
      <c r="AG2786" s="9"/>
      <c r="AH2786" s="9"/>
      <c r="AI2786" s="9"/>
    </row>
    <row r="2787" ht="15.0" customHeight="1">
      <c r="A2787" s="11">
        <v>2786.0</v>
      </c>
      <c r="B2787" s="12">
        <f t="shared" si="449"/>
        <v>40295</v>
      </c>
      <c r="C2787" s="13">
        <v>2010.0</v>
      </c>
      <c r="D2787" s="11" t="s">
        <v>102</v>
      </c>
      <c r="E2787" s="11">
        <v>18.0</v>
      </c>
      <c r="F2787" s="21" t="s">
        <v>1144</v>
      </c>
      <c r="G2787" s="15">
        <v>0.04831663225741477</v>
      </c>
      <c r="H2787" s="11" t="s">
        <v>33</v>
      </c>
      <c r="I2787" s="16">
        <v>15.991999999999999</v>
      </c>
      <c r="J2787" s="11" t="s">
        <v>849</v>
      </c>
      <c r="K2787" s="11" t="s">
        <v>65</v>
      </c>
      <c r="L2787" s="11" t="s">
        <v>48</v>
      </c>
      <c r="M2787" s="11" t="s">
        <v>28</v>
      </c>
      <c r="N2787" s="11" t="s">
        <v>29</v>
      </c>
      <c r="O2787" s="11" t="s">
        <v>1146</v>
      </c>
      <c r="P2787" s="11" t="s">
        <v>38</v>
      </c>
      <c r="Q2787" s="20">
        <v>40297.0</v>
      </c>
      <c r="R2787" s="17">
        <f t="shared" si="2"/>
        <v>365.26369</v>
      </c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>
        <f t="shared" si="8"/>
        <v>4</v>
      </c>
      <c r="AF2787" s="19">
        <f t="shared" si="13"/>
        <v>5</v>
      </c>
      <c r="AG2787" s="9"/>
      <c r="AH2787" s="9"/>
      <c r="AI2787" s="9"/>
    </row>
    <row r="2788" ht="15.0" customHeight="1">
      <c r="A2788" s="11">
        <v>2787.0</v>
      </c>
      <c r="B2788" s="12">
        <f t="shared" si="449"/>
        <v>40295</v>
      </c>
      <c r="C2788" s="13">
        <v>2010.0</v>
      </c>
      <c r="D2788" s="11" t="s">
        <v>23</v>
      </c>
      <c r="E2788" s="11">
        <v>16.0</v>
      </c>
      <c r="F2788" s="21" t="s">
        <v>1692</v>
      </c>
      <c r="G2788" s="15">
        <v>0.08413830656139394</v>
      </c>
      <c r="H2788" s="11" t="s">
        <v>33</v>
      </c>
      <c r="I2788" s="16">
        <v>2.3920000000000003</v>
      </c>
      <c r="J2788" s="11" t="s">
        <v>2297</v>
      </c>
      <c r="K2788" s="11" t="s">
        <v>47</v>
      </c>
      <c r="L2788" s="11" t="s">
        <v>41</v>
      </c>
      <c r="M2788" s="11" t="s">
        <v>28</v>
      </c>
      <c r="N2788" s="11" t="s">
        <v>42</v>
      </c>
      <c r="O2788" s="11" t="s">
        <v>1694</v>
      </c>
      <c r="P2788" s="11" t="s">
        <v>38</v>
      </c>
      <c r="Q2788" s="20">
        <v>40297.0</v>
      </c>
      <c r="R2788" s="17">
        <f t="shared" si="2"/>
        <v>56.60757955</v>
      </c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>
        <f t="shared" si="8"/>
        <v>3</v>
      </c>
      <c r="AF2788" s="19">
        <f t="shared" si="13"/>
        <v>3</v>
      </c>
      <c r="AG2788" s="9"/>
      <c r="AH2788" s="9"/>
      <c r="AI2788" s="9"/>
    </row>
    <row r="2789" ht="15.0" customHeight="1">
      <c r="A2789" s="11">
        <v>2788.0</v>
      </c>
      <c r="B2789" s="12">
        <f t="shared" ref="B2789:B2792" si="450">DATE(2012,12,31)-978</f>
        <v>40296</v>
      </c>
      <c r="C2789" s="13">
        <v>2010.0</v>
      </c>
      <c r="D2789" s="11" t="s">
        <v>44</v>
      </c>
      <c r="E2789" s="11">
        <v>24.0</v>
      </c>
      <c r="F2789" s="21" t="s">
        <v>1265</v>
      </c>
      <c r="G2789" s="15">
        <v>0.06872306645497848</v>
      </c>
      <c r="H2789" s="11" t="s">
        <v>33</v>
      </c>
      <c r="I2789" s="16">
        <v>5.0</v>
      </c>
      <c r="J2789" s="11" t="s">
        <v>1405</v>
      </c>
      <c r="K2789" s="11" t="s">
        <v>35</v>
      </c>
      <c r="L2789" s="11" t="s">
        <v>48</v>
      </c>
      <c r="M2789" s="11" t="s">
        <v>28</v>
      </c>
      <c r="N2789" s="11" t="s">
        <v>29</v>
      </c>
      <c r="O2789" s="11" t="s">
        <v>2019</v>
      </c>
      <c r="P2789" s="11" t="s">
        <v>38</v>
      </c>
      <c r="Q2789" s="20">
        <v>40298.0</v>
      </c>
      <c r="R2789" s="17">
        <f t="shared" si="2"/>
        <v>28.21769109</v>
      </c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>
        <f t="shared" si="8"/>
        <v>4</v>
      </c>
      <c r="AF2789" s="19">
        <f t="shared" si="13"/>
        <v>2</v>
      </c>
      <c r="AG2789" s="9"/>
      <c r="AH2789" s="9"/>
      <c r="AI2789" s="9"/>
    </row>
    <row r="2790" ht="15.0" customHeight="1">
      <c r="A2790" s="11">
        <v>2789.0</v>
      </c>
      <c r="B2790" s="12">
        <f t="shared" si="450"/>
        <v>40296</v>
      </c>
      <c r="C2790" s="13">
        <v>2010.0</v>
      </c>
      <c r="D2790" s="11" t="s">
        <v>44</v>
      </c>
      <c r="E2790" s="11">
        <v>30.0</v>
      </c>
      <c r="F2790" s="21" t="s">
        <v>394</v>
      </c>
      <c r="G2790" s="15">
        <v>0.04062757827821736</v>
      </c>
      <c r="H2790" s="11" t="s">
        <v>45</v>
      </c>
      <c r="I2790" s="16">
        <v>28.872000000000003</v>
      </c>
      <c r="J2790" s="11" t="s">
        <v>1256</v>
      </c>
      <c r="K2790" s="11" t="s">
        <v>83</v>
      </c>
      <c r="L2790" s="11" t="s">
        <v>48</v>
      </c>
      <c r="M2790" s="11" t="s">
        <v>49</v>
      </c>
      <c r="N2790" s="11" t="s">
        <v>156</v>
      </c>
      <c r="O2790" s="11" t="s">
        <v>1194</v>
      </c>
      <c r="P2790" s="11" t="s">
        <v>87</v>
      </c>
      <c r="Q2790" s="20">
        <v>40298.0</v>
      </c>
      <c r="R2790" s="17">
        <f t="shared" si="2"/>
        <v>172.9057728</v>
      </c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>
        <f t="shared" si="8"/>
        <v>4</v>
      </c>
      <c r="AF2790" s="19" t="b">
        <f t="shared" si="13"/>
        <v>0</v>
      </c>
      <c r="AG2790" s="9"/>
      <c r="AH2790" s="9"/>
      <c r="AI2790" s="9"/>
    </row>
    <row r="2791" ht="15.0" customHeight="1">
      <c r="A2791" s="11">
        <v>2790.0</v>
      </c>
      <c r="B2791" s="12">
        <f t="shared" si="450"/>
        <v>40296</v>
      </c>
      <c r="C2791" s="13">
        <v>2010.0</v>
      </c>
      <c r="D2791" s="11" t="s">
        <v>44</v>
      </c>
      <c r="E2791" s="11">
        <v>26.0</v>
      </c>
      <c r="F2791" s="21" t="s">
        <v>536</v>
      </c>
      <c r="G2791" s="15">
        <v>0.05238247894384059</v>
      </c>
      <c r="H2791" s="11" t="s">
        <v>45</v>
      </c>
      <c r="I2791" s="16">
        <v>56.160000000000004</v>
      </c>
      <c r="J2791" s="11" t="s">
        <v>1256</v>
      </c>
      <c r="K2791" s="11" t="s">
        <v>83</v>
      </c>
      <c r="L2791" s="11" t="s">
        <v>48</v>
      </c>
      <c r="M2791" s="11" t="s">
        <v>49</v>
      </c>
      <c r="N2791" s="11" t="s">
        <v>50</v>
      </c>
      <c r="O2791" s="11" t="s">
        <v>537</v>
      </c>
      <c r="P2791" s="11" t="s">
        <v>52</v>
      </c>
      <c r="Q2791" s="20">
        <v>40298.0</v>
      </c>
      <c r="R2791" s="17">
        <f t="shared" si="2"/>
        <v>170.3247732</v>
      </c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>
        <f t="shared" si="8"/>
        <v>4</v>
      </c>
      <c r="AF2791" s="19" t="b">
        <f t="shared" si="13"/>
        <v>0</v>
      </c>
      <c r="AG2791" s="9"/>
      <c r="AH2791" s="9"/>
      <c r="AI2791" s="9"/>
    </row>
    <row r="2792" ht="15.0" customHeight="1">
      <c r="A2792" s="11">
        <v>2791.0</v>
      </c>
      <c r="B2792" s="12">
        <f t="shared" si="450"/>
        <v>40296</v>
      </c>
      <c r="C2792" s="13">
        <v>2010.0</v>
      </c>
      <c r="D2792" s="11" t="s">
        <v>44</v>
      </c>
      <c r="E2792" s="11">
        <v>42.0</v>
      </c>
      <c r="F2792" s="21" t="s">
        <v>1881</v>
      </c>
      <c r="G2792" s="15">
        <v>0.06782094650070604</v>
      </c>
      <c r="H2792" s="11" t="s">
        <v>33</v>
      </c>
      <c r="I2792" s="16">
        <v>15.991999999999999</v>
      </c>
      <c r="J2792" s="11" t="s">
        <v>879</v>
      </c>
      <c r="K2792" s="11" t="s">
        <v>61</v>
      </c>
      <c r="L2792" s="11" t="s">
        <v>27</v>
      </c>
      <c r="M2792" s="11" t="s">
        <v>28</v>
      </c>
      <c r="N2792" s="11" t="s">
        <v>42</v>
      </c>
      <c r="O2792" s="11" t="s">
        <v>1882</v>
      </c>
      <c r="P2792" s="11" t="s">
        <v>38</v>
      </c>
      <c r="Q2792" s="20">
        <v>40298.0</v>
      </c>
      <c r="R2792" s="17">
        <f t="shared" si="2"/>
        <v>192.502432</v>
      </c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>
        <f t="shared" si="8"/>
        <v>1</v>
      </c>
      <c r="AF2792" s="19">
        <f t="shared" si="13"/>
        <v>4</v>
      </c>
      <c r="AG2792" s="9"/>
      <c r="AH2792" s="9"/>
      <c r="AI2792" s="9"/>
    </row>
    <row r="2793" ht="15.0" customHeight="1">
      <c r="A2793" s="11">
        <v>2792.0</v>
      </c>
      <c r="B2793" s="12">
        <f t="shared" ref="B2793:B2799" si="451">DATE(2012,12,31)-977</f>
        <v>40297</v>
      </c>
      <c r="C2793" s="13">
        <v>2010.0</v>
      </c>
      <c r="D2793" s="11" t="s">
        <v>23</v>
      </c>
      <c r="E2793" s="11">
        <v>12.0</v>
      </c>
      <c r="F2793" s="21" t="s">
        <v>700</v>
      </c>
      <c r="G2793" s="15">
        <v>0.09642105263157905</v>
      </c>
      <c r="H2793" s="11" t="s">
        <v>33</v>
      </c>
      <c r="I2793" s="16">
        <v>4.976</v>
      </c>
      <c r="J2793" s="11" t="s">
        <v>2298</v>
      </c>
      <c r="K2793" s="11" t="s">
        <v>117</v>
      </c>
      <c r="L2793" s="11" t="s">
        <v>48</v>
      </c>
      <c r="M2793" s="11" t="s">
        <v>49</v>
      </c>
      <c r="N2793" s="11" t="s">
        <v>73</v>
      </c>
      <c r="O2793" s="11" t="s">
        <v>701</v>
      </c>
      <c r="P2793" s="11" t="s">
        <v>38</v>
      </c>
      <c r="Q2793" s="20">
        <v>40298.0</v>
      </c>
      <c r="R2793" s="17">
        <f t="shared" si="2"/>
        <v>11.58749642</v>
      </c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>
        <f t="shared" si="8"/>
        <v>4</v>
      </c>
      <c r="AF2793" s="19" t="b">
        <f t="shared" si="13"/>
        <v>0</v>
      </c>
      <c r="AG2793" s="9"/>
      <c r="AH2793" s="9"/>
      <c r="AI2793" s="9"/>
    </row>
    <row r="2794" ht="15.0" customHeight="1">
      <c r="A2794" s="11">
        <v>2793.0</v>
      </c>
      <c r="B2794" s="12">
        <f t="shared" si="451"/>
        <v>40297</v>
      </c>
      <c r="C2794" s="13">
        <v>2010.0</v>
      </c>
      <c r="D2794" s="11" t="s">
        <v>102</v>
      </c>
      <c r="E2794" s="11">
        <v>11.0</v>
      </c>
      <c r="F2794" s="21" t="s">
        <v>950</v>
      </c>
      <c r="G2794" s="15">
        <v>0.04249999999999985</v>
      </c>
      <c r="H2794" s="11" t="s">
        <v>33</v>
      </c>
      <c r="I2794" s="16">
        <v>6.152000000000001</v>
      </c>
      <c r="J2794" s="11" t="s">
        <v>873</v>
      </c>
      <c r="K2794" s="11" t="s">
        <v>83</v>
      </c>
      <c r="L2794" s="11" t="s">
        <v>41</v>
      </c>
      <c r="M2794" s="11" t="s">
        <v>28</v>
      </c>
      <c r="N2794" s="11" t="s">
        <v>29</v>
      </c>
      <c r="O2794" s="11" t="s">
        <v>951</v>
      </c>
      <c r="P2794" s="11" t="s">
        <v>38</v>
      </c>
      <c r="Q2794" s="20">
        <v>40298.0</v>
      </c>
      <c r="R2794" s="17">
        <f t="shared" si="2"/>
        <v>7.22721</v>
      </c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>
        <f t="shared" si="8"/>
        <v>3</v>
      </c>
      <c r="AF2794" s="19" t="b">
        <f t="shared" si="13"/>
        <v>0</v>
      </c>
      <c r="AG2794" s="9"/>
      <c r="AH2794" s="9"/>
      <c r="AI2794" s="9"/>
    </row>
    <row r="2795" ht="15.0" customHeight="1">
      <c r="A2795" s="11">
        <v>2794.0</v>
      </c>
      <c r="B2795" s="12">
        <f t="shared" si="451"/>
        <v>40297</v>
      </c>
      <c r="C2795" s="13">
        <v>2010.0</v>
      </c>
      <c r="D2795" s="11" t="s">
        <v>102</v>
      </c>
      <c r="E2795" s="11">
        <v>5.0</v>
      </c>
      <c r="F2795" s="21" t="s">
        <v>1452</v>
      </c>
      <c r="G2795" s="15">
        <v>0.014298634738791624</v>
      </c>
      <c r="H2795" s="11" t="s">
        <v>45</v>
      </c>
      <c r="I2795" s="16">
        <v>39.2</v>
      </c>
      <c r="J2795" s="11" t="s">
        <v>873</v>
      </c>
      <c r="K2795" s="11" t="s">
        <v>83</v>
      </c>
      <c r="L2795" s="11" t="s">
        <v>41</v>
      </c>
      <c r="M2795" s="11" t="s">
        <v>66</v>
      </c>
      <c r="N2795" s="11" t="s">
        <v>170</v>
      </c>
      <c r="O2795" s="11" t="s">
        <v>1453</v>
      </c>
      <c r="P2795" s="11" t="s">
        <v>52</v>
      </c>
      <c r="Q2795" s="20">
        <v>40299.0</v>
      </c>
      <c r="R2795" s="17">
        <f t="shared" si="2"/>
        <v>32.72528533</v>
      </c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>
        <f t="shared" si="8"/>
        <v>3</v>
      </c>
      <c r="AF2795" s="19" t="b">
        <f t="shared" si="13"/>
        <v>0</v>
      </c>
      <c r="AG2795" s="9"/>
      <c r="AH2795" s="9"/>
      <c r="AI2795" s="9"/>
    </row>
    <row r="2796" ht="15.0" customHeight="1">
      <c r="A2796" s="11">
        <v>2795.0</v>
      </c>
      <c r="B2796" s="12">
        <f t="shared" si="451"/>
        <v>40297</v>
      </c>
      <c r="C2796" s="13">
        <v>2010.0</v>
      </c>
      <c r="D2796" s="11" t="s">
        <v>102</v>
      </c>
      <c r="E2796" s="11">
        <v>42.0</v>
      </c>
      <c r="F2796" s="21" t="s">
        <v>1254</v>
      </c>
      <c r="G2796" s="15">
        <v>0.04487924067286907</v>
      </c>
      <c r="H2796" s="11" t="s">
        <v>45</v>
      </c>
      <c r="I2796" s="16">
        <v>12.544</v>
      </c>
      <c r="J2796" s="11" t="s">
        <v>873</v>
      </c>
      <c r="K2796" s="11" t="s">
        <v>83</v>
      </c>
      <c r="L2796" s="11" t="s">
        <v>41</v>
      </c>
      <c r="M2796" s="11" t="s">
        <v>49</v>
      </c>
      <c r="N2796" s="11" t="s">
        <v>73</v>
      </c>
      <c r="O2796" s="11" t="s">
        <v>1255</v>
      </c>
      <c r="P2796" s="11" t="s">
        <v>52</v>
      </c>
      <c r="Q2796" s="20">
        <v>40299.0</v>
      </c>
      <c r="R2796" s="17">
        <f t="shared" si="2"/>
        <v>45.61274698</v>
      </c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>
        <f t="shared" si="8"/>
        <v>3</v>
      </c>
      <c r="AF2796" s="19" t="b">
        <f t="shared" si="13"/>
        <v>0</v>
      </c>
      <c r="AG2796" s="9"/>
      <c r="AH2796" s="9"/>
      <c r="AI2796" s="9"/>
    </row>
    <row r="2797" ht="15.0" customHeight="1">
      <c r="A2797" s="11">
        <v>2796.0</v>
      </c>
      <c r="B2797" s="12">
        <f t="shared" si="451"/>
        <v>40297</v>
      </c>
      <c r="C2797" s="13">
        <v>2010.0</v>
      </c>
      <c r="D2797" s="11" t="s">
        <v>32</v>
      </c>
      <c r="E2797" s="11">
        <v>45.0</v>
      </c>
      <c r="F2797" s="21" t="s">
        <v>284</v>
      </c>
      <c r="G2797" s="15">
        <v>0.0500833333333334</v>
      </c>
      <c r="H2797" s="11" t="s">
        <v>33</v>
      </c>
      <c r="I2797" s="16">
        <v>1.192</v>
      </c>
      <c r="J2797" s="11" t="s">
        <v>2000</v>
      </c>
      <c r="K2797" s="11" t="s">
        <v>35</v>
      </c>
      <c r="L2797" s="11" t="s">
        <v>36</v>
      </c>
      <c r="M2797" s="11" t="s">
        <v>28</v>
      </c>
      <c r="N2797" s="11" t="s">
        <v>42</v>
      </c>
      <c r="O2797" s="11" t="s">
        <v>2299</v>
      </c>
      <c r="P2797" s="11" t="s">
        <v>38</v>
      </c>
      <c r="Q2797" s="20">
        <v>40299.0</v>
      </c>
      <c r="R2797" s="17">
        <f t="shared" si="2"/>
        <v>4.567199333</v>
      </c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>
        <f t="shared" si="8"/>
        <v>2</v>
      </c>
      <c r="AF2797" s="19">
        <f t="shared" si="13"/>
        <v>2</v>
      </c>
      <c r="AG2797" s="9"/>
      <c r="AH2797" s="9"/>
      <c r="AI2797" s="9"/>
    </row>
    <row r="2798" ht="15.0" customHeight="1">
      <c r="A2798" s="11">
        <v>2797.0</v>
      </c>
      <c r="B2798" s="12">
        <f t="shared" si="451"/>
        <v>40297</v>
      </c>
      <c r="C2798" s="13">
        <v>2010.0</v>
      </c>
      <c r="D2798" s="11" t="s">
        <v>39</v>
      </c>
      <c r="E2798" s="11">
        <v>18.0</v>
      </c>
      <c r="F2798" s="21" t="s">
        <v>325</v>
      </c>
      <c r="G2798" s="15">
        <v>0.008260869565217446</v>
      </c>
      <c r="H2798" s="11" t="s">
        <v>33</v>
      </c>
      <c r="I2798" s="16">
        <v>1.736</v>
      </c>
      <c r="J2798" s="11" t="s">
        <v>1586</v>
      </c>
      <c r="K2798" s="11" t="s">
        <v>65</v>
      </c>
      <c r="L2798" s="11" t="s">
        <v>27</v>
      </c>
      <c r="M2798" s="11" t="s">
        <v>28</v>
      </c>
      <c r="N2798" s="11" t="s">
        <v>56</v>
      </c>
      <c r="O2798" s="11" t="s">
        <v>327</v>
      </c>
      <c r="P2798" s="11" t="s">
        <v>58</v>
      </c>
      <c r="Q2798" s="20">
        <v>40300.0</v>
      </c>
      <c r="R2798" s="17">
        <f t="shared" si="2"/>
        <v>1.055210435</v>
      </c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>
        <f t="shared" si="8"/>
        <v>1</v>
      </c>
      <c r="AF2798" s="19">
        <f t="shared" si="13"/>
        <v>5</v>
      </c>
      <c r="AG2798" s="9"/>
      <c r="AH2798" s="9"/>
      <c r="AI2798" s="9"/>
    </row>
    <row r="2799" ht="15.0" customHeight="1">
      <c r="A2799" s="11">
        <v>2798.0</v>
      </c>
      <c r="B2799" s="12">
        <f t="shared" si="451"/>
        <v>40297</v>
      </c>
      <c r="C2799" s="13">
        <v>2010.0</v>
      </c>
      <c r="D2799" s="11" t="s">
        <v>102</v>
      </c>
      <c r="E2799" s="11">
        <v>34.0</v>
      </c>
      <c r="F2799" s="21" t="s">
        <v>654</v>
      </c>
      <c r="G2799" s="15">
        <v>0.020297930988949345</v>
      </c>
      <c r="H2799" s="11" t="s">
        <v>45</v>
      </c>
      <c r="I2799" s="16">
        <v>32.152</v>
      </c>
      <c r="J2799" s="11" t="s">
        <v>1067</v>
      </c>
      <c r="K2799" s="11" t="s">
        <v>61</v>
      </c>
      <c r="L2799" s="11" t="s">
        <v>27</v>
      </c>
      <c r="M2799" s="11" t="s">
        <v>49</v>
      </c>
      <c r="N2799" s="11" t="s">
        <v>85</v>
      </c>
      <c r="O2799" s="11" t="s">
        <v>655</v>
      </c>
      <c r="P2799" s="11" t="s">
        <v>87</v>
      </c>
      <c r="Q2799" s="20">
        <v>40300.0</v>
      </c>
      <c r="R2799" s="17">
        <f t="shared" si="2"/>
        <v>240.9557645</v>
      </c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>
        <f t="shared" si="8"/>
        <v>1</v>
      </c>
      <c r="AF2799" s="19">
        <f t="shared" si="13"/>
        <v>4</v>
      </c>
      <c r="AG2799" s="9"/>
      <c r="AH2799" s="9"/>
      <c r="AI2799" s="9"/>
    </row>
    <row r="2800" ht="15.0" customHeight="1">
      <c r="A2800" s="11">
        <v>2799.0</v>
      </c>
      <c r="B2800" s="12">
        <f t="shared" ref="B2800:B2806" si="452">DATE(2012,12,31)-976</f>
        <v>40298</v>
      </c>
      <c r="C2800" s="13">
        <v>2010.0</v>
      </c>
      <c r="D2800" s="11" t="s">
        <v>23</v>
      </c>
      <c r="E2800" s="11">
        <v>44.0</v>
      </c>
      <c r="F2800" s="21" t="s">
        <v>1158</v>
      </c>
      <c r="G2800" s="15">
        <v>0.08294151708164438</v>
      </c>
      <c r="H2800" s="11" t="s">
        <v>24</v>
      </c>
      <c r="I2800" s="16">
        <v>4.376</v>
      </c>
      <c r="J2800" s="11" t="s">
        <v>357</v>
      </c>
      <c r="K2800" s="11" t="s">
        <v>65</v>
      </c>
      <c r="L2800" s="11" t="s">
        <v>48</v>
      </c>
      <c r="M2800" s="11" t="s">
        <v>28</v>
      </c>
      <c r="N2800" s="11" t="s">
        <v>42</v>
      </c>
      <c r="O2800" s="11" t="s">
        <v>1530</v>
      </c>
      <c r="P2800" s="11" t="s">
        <v>38</v>
      </c>
      <c r="Q2800" s="20">
        <v>40300.0</v>
      </c>
      <c r="R2800" s="17">
        <f t="shared" si="2"/>
        <v>13.13594571</v>
      </c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>
        <f t="shared" si="8"/>
        <v>4</v>
      </c>
      <c r="AF2800" s="19">
        <f t="shared" si="13"/>
        <v>5</v>
      </c>
      <c r="AG2800" s="9"/>
      <c r="AH2800" s="9"/>
      <c r="AI2800" s="9"/>
    </row>
    <row r="2801" ht="15.0" customHeight="1">
      <c r="A2801" s="11">
        <v>2800.0</v>
      </c>
      <c r="B2801" s="12">
        <f t="shared" si="452"/>
        <v>40298</v>
      </c>
      <c r="C2801" s="13">
        <v>2010.0</v>
      </c>
      <c r="D2801" s="11" t="s">
        <v>23</v>
      </c>
      <c r="E2801" s="11">
        <v>48.0</v>
      </c>
      <c r="F2801" s="21" t="s">
        <v>1227</v>
      </c>
      <c r="G2801" s="15">
        <v>0.10956805215973911</v>
      </c>
      <c r="H2801" s="11" t="s">
        <v>33</v>
      </c>
      <c r="I2801" s="16">
        <v>3.6560000000000006</v>
      </c>
      <c r="J2801" s="11" t="s">
        <v>357</v>
      </c>
      <c r="K2801" s="11" t="s">
        <v>65</v>
      </c>
      <c r="L2801" s="11" t="s">
        <v>48</v>
      </c>
      <c r="M2801" s="11" t="s">
        <v>49</v>
      </c>
      <c r="N2801" s="11" t="s">
        <v>73</v>
      </c>
      <c r="O2801" s="11" t="s">
        <v>1229</v>
      </c>
      <c r="P2801" s="11" t="s">
        <v>99</v>
      </c>
      <c r="Q2801" s="20">
        <v>40300.0</v>
      </c>
      <c r="R2801" s="17">
        <f t="shared" si="2"/>
        <v>11.97096711</v>
      </c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>
        <f t="shared" si="8"/>
        <v>4</v>
      </c>
      <c r="AF2801" s="19">
        <f t="shared" si="13"/>
        <v>5</v>
      </c>
      <c r="AG2801" s="9"/>
      <c r="AH2801" s="9"/>
      <c r="AI2801" s="9"/>
    </row>
    <row r="2802" ht="15.0" customHeight="1">
      <c r="A2802" s="11">
        <v>2801.0</v>
      </c>
      <c r="B2802" s="12">
        <f t="shared" si="452"/>
        <v>40298</v>
      </c>
      <c r="C2802" s="13">
        <v>2010.0</v>
      </c>
      <c r="D2802" s="11" t="s">
        <v>23</v>
      </c>
      <c r="E2802" s="11">
        <v>19.0</v>
      </c>
      <c r="F2802" s="21" t="s">
        <v>1710</v>
      </c>
      <c r="G2802" s="15">
        <v>0.01484721880888017</v>
      </c>
      <c r="H2802" s="11" t="s">
        <v>45</v>
      </c>
      <c r="I2802" s="16">
        <v>41.552</v>
      </c>
      <c r="J2802" s="11" t="s">
        <v>357</v>
      </c>
      <c r="K2802" s="11" t="s">
        <v>65</v>
      </c>
      <c r="L2802" s="11" t="s">
        <v>48</v>
      </c>
      <c r="M2802" s="11" t="s">
        <v>49</v>
      </c>
      <c r="N2802" s="11" t="s">
        <v>85</v>
      </c>
      <c r="O2802" s="11" t="s">
        <v>1711</v>
      </c>
      <c r="P2802" s="11" t="s">
        <v>87</v>
      </c>
      <c r="Q2802" s="20">
        <v>40300.0</v>
      </c>
      <c r="R2802" s="17">
        <f t="shared" si="2"/>
        <v>35.70981801</v>
      </c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>
        <f t="shared" si="8"/>
        <v>4</v>
      </c>
      <c r="AF2802" s="19">
        <f t="shared" si="13"/>
        <v>5</v>
      </c>
      <c r="AG2802" s="9"/>
      <c r="AH2802" s="9"/>
      <c r="AI2802" s="9"/>
    </row>
    <row r="2803" ht="15.0" customHeight="1">
      <c r="A2803" s="11">
        <v>2802.0</v>
      </c>
      <c r="B2803" s="12">
        <f t="shared" si="452"/>
        <v>40298</v>
      </c>
      <c r="C2803" s="13">
        <v>2010.0</v>
      </c>
      <c r="D2803" s="11" t="s">
        <v>44</v>
      </c>
      <c r="E2803" s="11">
        <v>3.0</v>
      </c>
      <c r="F2803" s="21" t="s">
        <v>273</v>
      </c>
      <c r="G2803" s="15">
        <v>0.025095948827292103</v>
      </c>
      <c r="H2803" s="11" t="s">
        <v>33</v>
      </c>
      <c r="I2803" s="16">
        <v>3.192</v>
      </c>
      <c r="J2803" s="11" t="s">
        <v>1082</v>
      </c>
      <c r="K2803" s="11" t="s">
        <v>65</v>
      </c>
      <c r="L2803" s="11" t="s">
        <v>48</v>
      </c>
      <c r="M2803" s="11" t="s">
        <v>28</v>
      </c>
      <c r="N2803" s="11" t="s">
        <v>197</v>
      </c>
      <c r="O2803" s="11" t="s">
        <v>275</v>
      </c>
      <c r="P2803" s="11" t="s">
        <v>38</v>
      </c>
      <c r="Q2803" s="20">
        <v>40300.0</v>
      </c>
      <c r="R2803" s="17">
        <f t="shared" si="2"/>
        <v>4.589848273</v>
      </c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>
        <f t="shared" si="8"/>
        <v>4</v>
      </c>
      <c r="AF2803" s="19">
        <f t="shared" si="13"/>
        <v>5</v>
      </c>
      <c r="AG2803" s="9"/>
      <c r="AH2803" s="9"/>
      <c r="AI2803" s="9"/>
    </row>
    <row r="2804" ht="15.0" customHeight="1">
      <c r="A2804" s="11">
        <v>2803.0</v>
      </c>
      <c r="B2804" s="12">
        <f t="shared" si="452"/>
        <v>40298</v>
      </c>
      <c r="C2804" s="13">
        <v>2010.0</v>
      </c>
      <c r="D2804" s="11" t="s">
        <v>44</v>
      </c>
      <c r="E2804" s="11">
        <v>22.0</v>
      </c>
      <c r="F2804" s="21" t="s">
        <v>1351</v>
      </c>
      <c r="G2804" s="15">
        <v>0.08324156247975657</v>
      </c>
      <c r="H2804" s="11" t="s">
        <v>33</v>
      </c>
      <c r="I2804" s="16">
        <v>9.0</v>
      </c>
      <c r="J2804" s="11" t="s">
        <v>1082</v>
      </c>
      <c r="K2804" s="11" t="s">
        <v>65</v>
      </c>
      <c r="L2804" s="11" t="s">
        <v>48</v>
      </c>
      <c r="M2804" s="11" t="s">
        <v>66</v>
      </c>
      <c r="N2804" s="11" t="s">
        <v>67</v>
      </c>
      <c r="O2804" s="11" t="s">
        <v>1352</v>
      </c>
      <c r="P2804" s="11" t="s">
        <v>38</v>
      </c>
      <c r="Q2804" s="20">
        <v>40300.0</v>
      </c>
      <c r="R2804" s="17">
        <f t="shared" si="2"/>
        <v>471.2138369</v>
      </c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>
        <f t="shared" si="8"/>
        <v>4</v>
      </c>
      <c r="AF2804" s="19">
        <f t="shared" si="13"/>
        <v>5</v>
      </c>
      <c r="AG2804" s="9"/>
      <c r="AH2804" s="9"/>
      <c r="AI2804" s="9"/>
    </row>
    <row r="2805" ht="15.0" customHeight="1">
      <c r="A2805" s="11">
        <v>2804.0</v>
      </c>
      <c r="B2805" s="12">
        <f t="shared" si="452"/>
        <v>40298</v>
      </c>
      <c r="C2805" s="13">
        <v>2010.0</v>
      </c>
      <c r="D2805" s="11" t="s">
        <v>44</v>
      </c>
      <c r="E2805" s="11">
        <v>46.0</v>
      </c>
      <c r="F2805" s="21" t="s">
        <v>142</v>
      </c>
      <c r="G2805" s="15">
        <v>0.012939001848428864</v>
      </c>
      <c r="H2805" s="11" t="s">
        <v>33</v>
      </c>
      <c r="I2805" s="16">
        <v>4.0</v>
      </c>
      <c r="J2805" s="11" t="s">
        <v>1082</v>
      </c>
      <c r="K2805" s="11" t="s">
        <v>65</v>
      </c>
      <c r="L2805" s="11" t="s">
        <v>48</v>
      </c>
      <c r="M2805" s="11" t="s">
        <v>66</v>
      </c>
      <c r="N2805" s="11" t="s">
        <v>80</v>
      </c>
      <c r="O2805" s="11" t="s">
        <v>1859</v>
      </c>
      <c r="P2805" s="11" t="s">
        <v>58</v>
      </c>
      <c r="Q2805" s="20">
        <v>40300.0</v>
      </c>
      <c r="R2805" s="17">
        <f t="shared" si="2"/>
        <v>21.41922366</v>
      </c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>
        <f t="shared" si="8"/>
        <v>4</v>
      </c>
      <c r="AF2805" s="19">
        <f t="shared" si="13"/>
        <v>5</v>
      </c>
      <c r="AG2805" s="9"/>
      <c r="AH2805" s="9"/>
      <c r="AI2805" s="9"/>
    </row>
    <row r="2806" ht="15.0" customHeight="1">
      <c r="A2806" s="11">
        <v>2805.0</v>
      </c>
      <c r="B2806" s="12">
        <f t="shared" si="452"/>
        <v>40298</v>
      </c>
      <c r="C2806" s="13">
        <v>2010.0</v>
      </c>
      <c r="D2806" s="11" t="s">
        <v>32</v>
      </c>
      <c r="E2806" s="11">
        <v>17.0</v>
      </c>
      <c r="F2806" s="21" t="s">
        <v>352</v>
      </c>
      <c r="G2806" s="15">
        <v>0.05550097190316313</v>
      </c>
      <c r="H2806" s="11" t="s">
        <v>33</v>
      </c>
      <c r="I2806" s="16">
        <v>15.991999999999999</v>
      </c>
      <c r="J2806" s="11" t="s">
        <v>1629</v>
      </c>
      <c r="K2806" s="11" t="s">
        <v>65</v>
      </c>
      <c r="L2806" s="11" t="s">
        <v>41</v>
      </c>
      <c r="M2806" s="11" t="s">
        <v>28</v>
      </c>
      <c r="N2806" s="11" t="s">
        <v>188</v>
      </c>
      <c r="O2806" s="11" t="s">
        <v>354</v>
      </c>
      <c r="P2806" s="11" t="s">
        <v>38</v>
      </c>
      <c r="Q2806" s="20">
        <v>40300.0</v>
      </c>
      <c r="R2806" s="17">
        <f t="shared" si="2"/>
        <v>29.66482547</v>
      </c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>
        <f t="shared" si="8"/>
        <v>3</v>
      </c>
      <c r="AF2806" s="19">
        <f t="shared" si="13"/>
        <v>5</v>
      </c>
      <c r="AG2806" s="9"/>
      <c r="AH2806" s="9"/>
      <c r="AI2806" s="9"/>
    </row>
    <row r="2807" ht="15.0" customHeight="1">
      <c r="A2807" s="11">
        <v>2806.0</v>
      </c>
      <c r="B2807" s="12">
        <f t="shared" ref="B2807:B2810" si="453">DATE(2012,12,31)-975</f>
        <v>40299</v>
      </c>
      <c r="C2807" s="13">
        <v>2010.0</v>
      </c>
      <c r="D2807" s="11" t="s">
        <v>23</v>
      </c>
      <c r="E2807" s="11">
        <v>43.0</v>
      </c>
      <c r="F2807" s="21" t="s">
        <v>1551</v>
      </c>
      <c r="G2807" s="15">
        <v>0.07582012847965743</v>
      </c>
      <c r="H2807" s="11" t="s">
        <v>33</v>
      </c>
      <c r="I2807" s="16">
        <v>1.592</v>
      </c>
      <c r="J2807" s="11" t="s">
        <v>960</v>
      </c>
      <c r="K2807" s="11" t="s">
        <v>65</v>
      </c>
      <c r="L2807" s="11" t="s">
        <v>36</v>
      </c>
      <c r="M2807" s="11" t="s">
        <v>66</v>
      </c>
      <c r="N2807" s="11" t="s">
        <v>67</v>
      </c>
      <c r="O2807" s="11" t="s">
        <v>1598</v>
      </c>
      <c r="P2807" s="11" t="s">
        <v>99</v>
      </c>
      <c r="Q2807" s="20">
        <v>40301.0</v>
      </c>
      <c r="R2807" s="17">
        <f t="shared" si="2"/>
        <v>32.72336089</v>
      </c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>
        <f t="shared" si="8"/>
        <v>2</v>
      </c>
      <c r="AF2807" s="19">
        <f t="shared" si="13"/>
        <v>5</v>
      </c>
      <c r="AG2807" s="9"/>
      <c r="AH2807" s="9"/>
      <c r="AI2807" s="9"/>
    </row>
    <row r="2808" ht="15.0" customHeight="1">
      <c r="A2808" s="11">
        <v>2807.0</v>
      </c>
      <c r="B2808" s="12">
        <f t="shared" si="453"/>
        <v>40299</v>
      </c>
      <c r="C2808" s="13">
        <v>2010.0</v>
      </c>
      <c r="D2808" s="11" t="s">
        <v>23</v>
      </c>
      <c r="E2808" s="11">
        <v>30.0</v>
      </c>
      <c r="F2808" s="21" t="s">
        <v>128</v>
      </c>
      <c r="G2808" s="15">
        <v>0.010992366412213682</v>
      </c>
      <c r="H2808" s="11" t="s">
        <v>33</v>
      </c>
      <c r="I2808" s="16">
        <v>6.152000000000001</v>
      </c>
      <c r="J2808" s="11" t="s">
        <v>960</v>
      </c>
      <c r="K2808" s="11" t="s">
        <v>65</v>
      </c>
      <c r="L2808" s="11" t="s">
        <v>36</v>
      </c>
      <c r="M2808" s="11" t="s">
        <v>66</v>
      </c>
      <c r="N2808" s="11" t="s">
        <v>80</v>
      </c>
      <c r="O2808" s="11" t="s">
        <v>589</v>
      </c>
      <c r="P2808" s="11" t="s">
        <v>38</v>
      </c>
      <c r="Q2808" s="20">
        <v>40301.0</v>
      </c>
      <c r="R2808" s="17">
        <f t="shared" si="2"/>
        <v>41.58579298</v>
      </c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>
        <f t="shared" si="8"/>
        <v>2</v>
      </c>
      <c r="AF2808" s="19">
        <f t="shared" si="13"/>
        <v>5</v>
      </c>
      <c r="AG2808" s="9"/>
      <c r="AH2808" s="9"/>
      <c r="AI2808" s="9"/>
    </row>
    <row r="2809" ht="15.0" customHeight="1">
      <c r="A2809" s="11">
        <v>2808.0</v>
      </c>
      <c r="B2809" s="12">
        <f t="shared" si="453"/>
        <v>40299</v>
      </c>
      <c r="C2809" s="13">
        <v>2010.0</v>
      </c>
      <c r="D2809" s="11" t="s">
        <v>39</v>
      </c>
      <c r="E2809" s="11">
        <v>29.0</v>
      </c>
      <c r="F2809" s="21" t="s">
        <v>328</v>
      </c>
      <c r="G2809" s="15">
        <v>0.030443074146488083</v>
      </c>
      <c r="H2809" s="11" t="s">
        <v>33</v>
      </c>
      <c r="I2809" s="16">
        <v>7.192</v>
      </c>
      <c r="J2809" s="11" t="s">
        <v>40</v>
      </c>
      <c r="K2809" s="11" t="s">
        <v>35</v>
      </c>
      <c r="L2809" s="11" t="s">
        <v>41</v>
      </c>
      <c r="M2809" s="11" t="s">
        <v>66</v>
      </c>
      <c r="N2809" s="11" t="s">
        <v>80</v>
      </c>
      <c r="O2809" s="11" t="s">
        <v>1651</v>
      </c>
      <c r="P2809" s="11" t="s">
        <v>38</v>
      </c>
      <c r="Q2809" s="20">
        <v>40301.0</v>
      </c>
      <c r="R2809" s="17">
        <f t="shared" si="2"/>
        <v>98.12691735</v>
      </c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>
        <f t="shared" si="8"/>
        <v>3</v>
      </c>
      <c r="AF2809" s="19">
        <f t="shared" si="13"/>
        <v>2</v>
      </c>
      <c r="AG2809" s="9"/>
      <c r="AH2809" s="9"/>
      <c r="AI2809" s="9"/>
    </row>
    <row r="2810" ht="15.0" customHeight="1">
      <c r="A2810" s="11">
        <v>2809.0</v>
      </c>
      <c r="B2810" s="12">
        <f t="shared" si="453"/>
        <v>40299</v>
      </c>
      <c r="C2810" s="13">
        <v>2010.0</v>
      </c>
      <c r="D2810" s="11" t="s">
        <v>32</v>
      </c>
      <c r="E2810" s="11">
        <v>18.0</v>
      </c>
      <c r="F2810" s="21" t="s">
        <v>1927</v>
      </c>
      <c r="G2810" s="15">
        <v>0.09529726834493826</v>
      </c>
      <c r="H2810" s="11" t="s">
        <v>33</v>
      </c>
      <c r="I2810" s="16">
        <v>3.016</v>
      </c>
      <c r="J2810" s="11" t="s">
        <v>1168</v>
      </c>
      <c r="K2810" s="11" t="s">
        <v>61</v>
      </c>
      <c r="L2810" s="11" t="s">
        <v>36</v>
      </c>
      <c r="M2810" s="11" t="s">
        <v>49</v>
      </c>
      <c r="N2810" s="11" t="s">
        <v>73</v>
      </c>
      <c r="O2810" s="11" t="s">
        <v>1928</v>
      </c>
      <c r="P2810" s="11" t="s">
        <v>99</v>
      </c>
      <c r="Q2810" s="20">
        <v>40301.0</v>
      </c>
      <c r="R2810" s="17">
        <f t="shared" si="2"/>
        <v>32.192942</v>
      </c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>
        <f t="shared" si="8"/>
        <v>2</v>
      </c>
      <c r="AF2810" s="19">
        <f t="shared" si="13"/>
        <v>4</v>
      </c>
      <c r="AG2810" s="9"/>
      <c r="AH2810" s="9"/>
      <c r="AI2810" s="9"/>
    </row>
    <row r="2811" ht="15.0" customHeight="1">
      <c r="A2811" s="11">
        <v>2810.0</v>
      </c>
      <c r="B2811" s="12">
        <f t="shared" ref="B2811:B2814" si="454">DATE(2012,12,31)-974</f>
        <v>40300</v>
      </c>
      <c r="C2811" s="13">
        <v>2010.0</v>
      </c>
      <c r="D2811" s="11" t="s">
        <v>23</v>
      </c>
      <c r="E2811" s="11">
        <v>44.0</v>
      </c>
      <c r="F2811" s="21" t="s">
        <v>389</v>
      </c>
      <c r="G2811" s="15">
        <v>0.06806466868683325</v>
      </c>
      <c r="H2811" s="11" t="s">
        <v>45</v>
      </c>
      <c r="I2811" s="16">
        <v>44.912000000000006</v>
      </c>
      <c r="J2811" s="11" t="s">
        <v>1209</v>
      </c>
      <c r="K2811" s="11" t="s">
        <v>65</v>
      </c>
      <c r="L2811" s="11" t="s">
        <v>27</v>
      </c>
      <c r="M2811" s="11" t="s">
        <v>66</v>
      </c>
      <c r="N2811" s="11" t="s">
        <v>69</v>
      </c>
      <c r="O2811" s="11" t="s">
        <v>390</v>
      </c>
      <c r="P2811" s="11" t="s">
        <v>87</v>
      </c>
      <c r="Q2811" s="20">
        <v>40301.0</v>
      </c>
      <c r="R2811" s="17">
        <f t="shared" si="2"/>
        <v>362.1388865</v>
      </c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>
        <f t="shared" si="8"/>
        <v>1</v>
      </c>
      <c r="AF2811" s="19">
        <f t="shared" si="13"/>
        <v>5</v>
      </c>
      <c r="AG2811" s="9"/>
      <c r="AH2811" s="9"/>
      <c r="AI2811" s="9"/>
    </row>
    <row r="2812" ht="15.0" customHeight="1">
      <c r="A2812" s="11">
        <v>2811.0</v>
      </c>
      <c r="B2812" s="12">
        <f t="shared" si="454"/>
        <v>40300</v>
      </c>
      <c r="C2812" s="13">
        <v>2010.0</v>
      </c>
      <c r="D2812" s="11" t="s">
        <v>32</v>
      </c>
      <c r="E2812" s="11">
        <v>38.0</v>
      </c>
      <c r="F2812" s="21" t="s">
        <v>422</v>
      </c>
      <c r="G2812" s="15">
        <v>0.05067629597894605</v>
      </c>
      <c r="H2812" s="11" t="s">
        <v>33</v>
      </c>
      <c r="I2812" s="16">
        <v>28.0</v>
      </c>
      <c r="J2812" s="11" t="s">
        <v>1231</v>
      </c>
      <c r="K2812" s="11" t="s">
        <v>65</v>
      </c>
      <c r="L2812" s="11" t="s">
        <v>48</v>
      </c>
      <c r="M2812" s="11" t="s">
        <v>28</v>
      </c>
      <c r="N2812" s="11" t="s">
        <v>29</v>
      </c>
      <c r="O2812" s="11" t="s">
        <v>1571</v>
      </c>
      <c r="P2812" s="11" t="s">
        <v>31</v>
      </c>
      <c r="Q2812" s="20">
        <v>40301.0</v>
      </c>
      <c r="R2812" s="17">
        <f t="shared" si="2"/>
        <v>157.2080054</v>
      </c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>
        <f t="shared" si="8"/>
        <v>4</v>
      </c>
      <c r="AF2812" s="19">
        <f t="shared" si="13"/>
        <v>5</v>
      </c>
      <c r="AG2812" s="9"/>
      <c r="AH2812" s="9"/>
      <c r="AI2812" s="9"/>
    </row>
    <row r="2813" ht="15.0" customHeight="1">
      <c r="A2813" s="11">
        <v>2812.0</v>
      </c>
      <c r="B2813" s="12">
        <f t="shared" si="454"/>
        <v>40300</v>
      </c>
      <c r="C2813" s="13">
        <v>2010.0</v>
      </c>
      <c r="D2813" s="11" t="s">
        <v>32</v>
      </c>
      <c r="E2813" s="11">
        <v>11.0</v>
      </c>
      <c r="F2813" s="21" t="s">
        <v>1369</v>
      </c>
      <c r="G2813" s="15">
        <v>0.08244680851063833</v>
      </c>
      <c r="H2813" s="11" t="s">
        <v>24</v>
      </c>
      <c r="I2813" s="16">
        <v>0.4</v>
      </c>
      <c r="J2813" s="11" t="s">
        <v>1231</v>
      </c>
      <c r="K2813" s="11" t="s">
        <v>65</v>
      </c>
      <c r="L2813" s="11" t="s">
        <v>48</v>
      </c>
      <c r="M2813" s="11" t="s">
        <v>28</v>
      </c>
      <c r="N2813" s="11" t="s">
        <v>188</v>
      </c>
      <c r="O2813" s="11" t="s">
        <v>1575</v>
      </c>
      <c r="P2813" s="11" t="s">
        <v>38</v>
      </c>
      <c r="Q2813" s="20">
        <v>40302.0</v>
      </c>
      <c r="R2813" s="17">
        <f t="shared" si="2"/>
        <v>2.844414894</v>
      </c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>
        <f t="shared" si="8"/>
        <v>4</v>
      </c>
      <c r="AF2813" s="19">
        <f t="shared" si="13"/>
        <v>5</v>
      </c>
      <c r="AG2813" s="9"/>
      <c r="AH2813" s="9"/>
      <c r="AI2813" s="9"/>
    </row>
    <row r="2814" ht="15.0" customHeight="1">
      <c r="A2814" s="11">
        <v>2813.0</v>
      </c>
      <c r="B2814" s="12">
        <f t="shared" si="454"/>
        <v>40300</v>
      </c>
      <c r="C2814" s="13">
        <v>2010.0</v>
      </c>
      <c r="D2814" s="11" t="s">
        <v>32</v>
      </c>
      <c r="E2814" s="11">
        <v>31.0</v>
      </c>
      <c r="F2814" s="21" t="s">
        <v>743</v>
      </c>
      <c r="G2814" s="15">
        <v>0.03226458764770373</v>
      </c>
      <c r="H2814" s="11" t="s">
        <v>33</v>
      </c>
      <c r="I2814" s="16">
        <v>10.928</v>
      </c>
      <c r="J2814" s="11" t="s">
        <v>494</v>
      </c>
      <c r="K2814" s="11" t="s">
        <v>83</v>
      </c>
      <c r="L2814" s="11" t="s">
        <v>48</v>
      </c>
      <c r="M2814" s="11" t="s">
        <v>28</v>
      </c>
      <c r="N2814" s="11" t="s">
        <v>197</v>
      </c>
      <c r="O2814" s="11" t="s">
        <v>1638</v>
      </c>
      <c r="P2814" s="11" t="s">
        <v>38</v>
      </c>
      <c r="Q2814" s="20">
        <v>40302.0</v>
      </c>
      <c r="R2814" s="17">
        <f t="shared" si="2"/>
        <v>51.26288026</v>
      </c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>
        <f t="shared" si="8"/>
        <v>4</v>
      </c>
      <c r="AF2814" s="19" t="b">
        <f t="shared" si="13"/>
        <v>0</v>
      </c>
      <c r="AG2814" s="9"/>
      <c r="AH2814" s="9"/>
      <c r="AI2814" s="9"/>
    </row>
    <row r="2815" ht="15.0" customHeight="1">
      <c r="A2815" s="11">
        <v>2814.0</v>
      </c>
      <c r="B2815" s="12">
        <f t="shared" ref="B2815:B2819" si="455">DATE(2012,12,31)-973</f>
        <v>40301</v>
      </c>
      <c r="C2815" s="13">
        <v>2010.0</v>
      </c>
      <c r="D2815" s="11" t="s">
        <v>39</v>
      </c>
      <c r="E2815" s="11">
        <v>3.0</v>
      </c>
      <c r="F2815" s="21" t="s">
        <v>2013</v>
      </c>
      <c r="G2815" s="15">
        <v>0.06887393767705359</v>
      </c>
      <c r="H2815" s="11" t="s">
        <v>45</v>
      </c>
      <c r="I2815" s="16">
        <v>48.0</v>
      </c>
      <c r="J2815" s="11" t="s">
        <v>1533</v>
      </c>
      <c r="K2815" s="11" t="s">
        <v>61</v>
      </c>
      <c r="L2815" s="11" t="s">
        <v>41</v>
      </c>
      <c r="M2815" s="11" t="s">
        <v>49</v>
      </c>
      <c r="N2815" s="11" t="s">
        <v>85</v>
      </c>
      <c r="O2815" s="11" t="s">
        <v>2014</v>
      </c>
      <c r="P2815" s="11" t="s">
        <v>52</v>
      </c>
      <c r="Q2815" s="20">
        <v>40302.0</v>
      </c>
      <c r="R2815" s="17">
        <f t="shared" si="2"/>
        <v>36.22080382</v>
      </c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>
        <f t="shared" si="8"/>
        <v>3</v>
      </c>
      <c r="AF2815" s="19">
        <f t="shared" si="13"/>
        <v>4</v>
      </c>
      <c r="AG2815" s="9"/>
      <c r="AH2815" s="9"/>
      <c r="AI2815" s="9"/>
    </row>
    <row r="2816" ht="15.0" customHeight="1">
      <c r="A2816" s="11">
        <v>2815.0</v>
      </c>
      <c r="B2816" s="12">
        <f t="shared" si="455"/>
        <v>40301</v>
      </c>
      <c r="C2816" s="13">
        <v>2010.0</v>
      </c>
      <c r="D2816" s="11" t="s">
        <v>39</v>
      </c>
      <c r="E2816" s="11">
        <v>29.0</v>
      </c>
      <c r="F2816" s="21" t="s">
        <v>142</v>
      </c>
      <c r="G2816" s="15">
        <v>0.012601857115785655</v>
      </c>
      <c r="H2816" s="11" t="s">
        <v>33</v>
      </c>
      <c r="I2816" s="16">
        <v>1.0</v>
      </c>
      <c r="J2816" s="11" t="s">
        <v>1533</v>
      </c>
      <c r="K2816" s="11" t="s">
        <v>61</v>
      </c>
      <c r="L2816" s="11" t="s">
        <v>41</v>
      </c>
      <c r="M2816" s="11" t="s">
        <v>66</v>
      </c>
      <c r="N2816" s="11" t="s">
        <v>80</v>
      </c>
      <c r="O2816" s="11" t="s">
        <v>2300</v>
      </c>
      <c r="P2816" s="11" t="s">
        <v>99</v>
      </c>
      <c r="Q2816" s="20">
        <v>40302.0</v>
      </c>
      <c r="R2816" s="17">
        <f t="shared" si="2"/>
        <v>13.1323953</v>
      </c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>
        <f t="shared" si="8"/>
        <v>3</v>
      </c>
      <c r="AF2816" s="19">
        <f t="shared" si="13"/>
        <v>4</v>
      </c>
      <c r="AG2816" s="9"/>
      <c r="AH2816" s="9"/>
      <c r="AI2816" s="9"/>
    </row>
    <row r="2817" ht="15.0" customHeight="1">
      <c r="A2817" s="11">
        <v>2816.0</v>
      </c>
      <c r="B2817" s="12">
        <f t="shared" si="455"/>
        <v>40301</v>
      </c>
      <c r="C2817" s="13">
        <v>2010.0</v>
      </c>
      <c r="D2817" s="11" t="s">
        <v>39</v>
      </c>
      <c r="E2817" s="11">
        <v>24.0</v>
      </c>
      <c r="F2817" s="21" t="s">
        <v>558</v>
      </c>
      <c r="G2817" s="15">
        <v>0.013362697866483097</v>
      </c>
      <c r="H2817" s="11" t="s">
        <v>33</v>
      </c>
      <c r="I2817" s="16">
        <v>1.592</v>
      </c>
      <c r="J2817" s="11" t="s">
        <v>2301</v>
      </c>
      <c r="K2817" s="11" t="s">
        <v>83</v>
      </c>
      <c r="L2817" s="11" t="s">
        <v>27</v>
      </c>
      <c r="M2817" s="11" t="s">
        <v>66</v>
      </c>
      <c r="N2817" s="11" t="s">
        <v>67</v>
      </c>
      <c r="O2817" s="11" t="s">
        <v>559</v>
      </c>
      <c r="P2817" s="11" t="s">
        <v>99</v>
      </c>
      <c r="Q2817" s="20">
        <v>40303.0</v>
      </c>
      <c r="R2817" s="17">
        <f t="shared" si="2"/>
        <v>9.578274929</v>
      </c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>
        <f t="shared" si="8"/>
        <v>1</v>
      </c>
      <c r="AF2817" s="19" t="b">
        <f t="shared" si="13"/>
        <v>0</v>
      </c>
      <c r="AG2817" s="9"/>
      <c r="AH2817" s="9"/>
      <c r="AI2817" s="9"/>
    </row>
    <row r="2818" ht="15.0" customHeight="1">
      <c r="A2818" s="11">
        <v>2817.0</v>
      </c>
      <c r="B2818" s="12">
        <f t="shared" si="455"/>
        <v>40301</v>
      </c>
      <c r="C2818" s="13">
        <v>2010.0</v>
      </c>
      <c r="D2818" s="11" t="s">
        <v>32</v>
      </c>
      <c r="E2818" s="11">
        <v>50.0</v>
      </c>
      <c r="F2818" s="21" t="s">
        <v>926</v>
      </c>
      <c r="G2818" s="15">
        <v>0.07837767117313554</v>
      </c>
      <c r="H2818" s="11" t="s">
        <v>33</v>
      </c>
      <c r="I2818" s="16">
        <v>3.9840000000000004</v>
      </c>
      <c r="J2818" s="11" t="s">
        <v>2043</v>
      </c>
      <c r="K2818" s="11" t="s">
        <v>83</v>
      </c>
      <c r="L2818" s="11" t="s">
        <v>48</v>
      </c>
      <c r="M2818" s="11" t="s">
        <v>49</v>
      </c>
      <c r="N2818" s="11" t="s">
        <v>73</v>
      </c>
      <c r="O2818" s="11" t="s">
        <v>927</v>
      </c>
      <c r="P2818" s="11" t="s">
        <v>99</v>
      </c>
      <c r="Q2818" s="20">
        <v>40303.0</v>
      </c>
      <c r="R2818" s="17">
        <f t="shared" si="2"/>
        <v>49.69018948</v>
      </c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>
        <f t="shared" si="8"/>
        <v>4</v>
      </c>
      <c r="AF2818" s="19" t="b">
        <f t="shared" si="13"/>
        <v>0</v>
      </c>
      <c r="AG2818" s="9"/>
      <c r="AH2818" s="9"/>
      <c r="AI2818" s="9"/>
    </row>
    <row r="2819" ht="15.0" customHeight="1">
      <c r="A2819" s="11">
        <v>2818.0</v>
      </c>
      <c r="B2819" s="12">
        <f t="shared" si="455"/>
        <v>40301</v>
      </c>
      <c r="C2819" s="13">
        <v>2010.0</v>
      </c>
      <c r="D2819" s="11" t="s">
        <v>32</v>
      </c>
      <c r="E2819" s="11">
        <v>18.0</v>
      </c>
      <c r="F2819" s="21" t="s">
        <v>302</v>
      </c>
      <c r="G2819" s="15">
        <v>0.0750795986622073</v>
      </c>
      <c r="H2819" s="11" t="s">
        <v>45</v>
      </c>
      <c r="I2819" s="16">
        <v>21.224000000000004</v>
      </c>
      <c r="J2819" s="11" t="s">
        <v>2043</v>
      </c>
      <c r="K2819" s="11" t="s">
        <v>83</v>
      </c>
      <c r="L2819" s="11" t="s">
        <v>48</v>
      </c>
      <c r="M2819" s="11" t="s">
        <v>66</v>
      </c>
      <c r="N2819" s="11" t="s">
        <v>69</v>
      </c>
      <c r="O2819" s="11" t="s">
        <v>303</v>
      </c>
      <c r="P2819" s="11" t="s">
        <v>52</v>
      </c>
      <c r="Q2819" s="20">
        <v>40303.0</v>
      </c>
      <c r="R2819" s="17">
        <f t="shared" si="2"/>
        <v>415.2670621</v>
      </c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>
        <f t="shared" si="8"/>
        <v>4</v>
      </c>
      <c r="AF2819" s="19" t="b">
        <f t="shared" si="13"/>
        <v>0</v>
      </c>
      <c r="AG2819" s="9"/>
      <c r="AH2819" s="9"/>
      <c r="AI2819" s="9"/>
    </row>
    <row r="2820" ht="15.0" customHeight="1">
      <c r="A2820" s="11">
        <v>2819.0</v>
      </c>
      <c r="B2820" s="12">
        <f t="shared" ref="B2820:B2823" si="456">DATE(2012,12,31)-972</f>
        <v>40302</v>
      </c>
      <c r="C2820" s="13">
        <v>2010.0</v>
      </c>
      <c r="D2820" s="11" t="s">
        <v>39</v>
      </c>
      <c r="E2820" s="11">
        <v>41.0</v>
      </c>
      <c r="F2820" s="21" t="s">
        <v>204</v>
      </c>
      <c r="G2820" s="15">
        <v>0.030398613518197656</v>
      </c>
      <c r="H2820" s="11" t="s">
        <v>33</v>
      </c>
      <c r="I2820" s="16">
        <v>1.192</v>
      </c>
      <c r="J2820" s="11" t="s">
        <v>832</v>
      </c>
      <c r="K2820" s="11" t="s">
        <v>65</v>
      </c>
      <c r="L2820" s="11" t="s">
        <v>48</v>
      </c>
      <c r="M2820" s="11" t="s">
        <v>28</v>
      </c>
      <c r="N2820" s="11" t="s">
        <v>42</v>
      </c>
      <c r="O2820" s="11" t="s">
        <v>1141</v>
      </c>
      <c r="P2820" s="11" t="s">
        <v>38</v>
      </c>
      <c r="Q2820" s="20">
        <v>40303.0</v>
      </c>
      <c r="R2820" s="17">
        <f t="shared" si="2"/>
        <v>3.401361664</v>
      </c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>
        <f t="shared" si="8"/>
        <v>4</v>
      </c>
      <c r="AF2820" s="19">
        <f t="shared" si="13"/>
        <v>5</v>
      </c>
      <c r="AG2820" s="9"/>
      <c r="AH2820" s="9"/>
      <c r="AI2820" s="9"/>
    </row>
    <row r="2821" ht="15.0" customHeight="1">
      <c r="A2821" s="11">
        <v>2820.0</v>
      </c>
      <c r="B2821" s="12">
        <f t="shared" si="456"/>
        <v>40302</v>
      </c>
      <c r="C2821" s="13">
        <v>2010.0</v>
      </c>
      <c r="D2821" s="11" t="s">
        <v>39</v>
      </c>
      <c r="E2821" s="11">
        <v>32.0</v>
      </c>
      <c r="F2821" s="21" t="s">
        <v>158</v>
      </c>
      <c r="G2821" s="15">
        <v>0.08495270851246772</v>
      </c>
      <c r="H2821" s="11" t="s">
        <v>33</v>
      </c>
      <c r="I2821" s="16">
        <v>8.040000000000001</v>
      </c>
      <c r="J2821" s="11" t="s">
        <v>578</v>
      </c>
      <c r="K2821" s="11" t="s">
        <v>65</v>
      </c>
      <c r="L2821" s="11" t="s">
        <v>27</v>
      </c>
      <c r="M2821" s="11" t="s">
        <v>28</v>
      </c>
      <c r="N2821" s="11" t="s">
        <v>56</v>
      </c>
      <c r="O2821" s="11" t="s">
        <v>646</v>
      </c>
      <c r="P2821" s="11" t="s">
        <v>38</v>
      </c>
      <c r="Q2821" s="20">
        <v>40303.0</v>
      </c>
      <c r="R2821" s="17">
        <f t="shared" si="2"/>
        <v>18.08133448</v>
      </c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>
        <f t="shared" si="8"/>
        <v>1</v>
      </c>
      <c r="AF2821" s="19">
        <f t="shared" si="13"/>
        <v>5</v>
      </c>
      <c r="AG2821" s="9"/>
      <c r="AH2821" s="9"/>
      <c r="AI2821" s="9"/>
    </row>
    <row r="2822" ht="15.0" customHeight="1">
      <c r="A2822" s="11">
        <v>2821.0</v>
      </c>
      <c r="B2822" s="12">
        <f t="shared" si="456"/>
        <v>40302</v>
      </c>
      <c r="C2822" s="13">
        <v>2010.0</v>
      </c>
      <c r="D2822" s="11" t="s">
        <v>44</v>
      </c>
      <c r="E2822" s="11">
        <v>41.0</v>
      </c>
      <c r="F2822" s="21" t="s">
        <v>126</v>
      </c>
      <c r="G2822" s="15">
        <v>0.059918144611186844</v>
      </c>
      <c r="H2822" s="11" t="s">
        <v>24</v>
      </c>
      <c r="I2822" s="16">
        <v>5.824000000000001</v>
      </c>
      <c r="J2822" s="11" t="s">
        <v>271</v>
      </c>
      <c r="K2822" s="11" t="s">
        <v>61</v>
      </c>
      <c r="L2822" s="11" t="s">
        <v>48</v>
      </c>
      <c r="M2822" s="11" t="s">
        <v>28</v>
      </c>
      <c r="N2822" s="11" t="s">
        <v>56</v>
      </c>
      <c r="O2822" s="11" t="s">
        <v>2302</v>
      </c>
      <c r="P2822" s="11" t="s">
        <v>38</v>
      </c>
      <c r="Q2822" s="20">
        <v>40303.0</v>
      </c>
      <c r="R2822" s="17">
        <f t="shared" si="2"/>
        <v>12.38651853</v>
      </c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>
        <f t="shared" si="8"/>
        <v>4</v>
      </c>
      <c r="AF2822" s="19">
        <f t="shared" si="13"/>
        <v>4</v>
      </c>
      <c r="AG2822" s="9"/>
      <c r="AH2822" s="9"/>
      <c r="AI2822" s="9"/>
    </row>
    <row r="2823" ht="15.0" customHeight="1">
      <c r="A2823" s="11">
        <v>2822.0</v>
      </c>
      <c r="B2823" s="12">
        <f t="shared" si="456"/>
        <v>40302</v>
      </c>
      <c r="C2823" s="13">
        <v>2010.0</v>
      </c>
      <c r="D2823" s="11" t="s">
        <v>23</v>
      </c>
      <c r="E2823" s="11">
        <v>4.0</v>
      </c>
      <c r="F2823" s="21" t="s">
        <v>259</v>
      </c>
      <c r="G2823" s="15">
        <v>0.08148148148148143</v>
      </c>
      <c r="H2823" s="11" t="s">
        <v>33</v>
      </c>
      <c r="I2823" s="16">
        <v>6.88</v>
      </c>
      <c r="J2823" s="11" t="s">
        <v>1960</v>
      </c>
      <c r="K2823" s="11" t="s">
        <v>65</v>
      </c>
      <c r="L2823" s="11" t="s">
        <v>36</v>
      </c>
      <c r="M2823" s="11" t="s">
        <v>28</v>
      </c>
      <c r="N2823" s="11" t="s">
        <v>29</v>
      </c>
      <c r="O2823" s="11" t="s">
        <v>1680</v>
      </c>
      <c r="P2823" s="11" t="s">
        <v>38</v>
      </c>
      <c r="Q2823" s="20">
        <v>40304.0</v>
      </c>
      <c r="R2823" s="17">
        <f t="shared" si="2"/>
        <v>4.243555556</v>
      </c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>
        <f t="shared" si="8"/>
        <v>2</v>
      </c>
      <c r="AF2823" s="19">
        <f t="shared" si="13"/>
        <v>5</v>
      </c>
      <c r="AG2823" s="9"/>
      <c r="AH2823" s="9"/>
      <c r="AI2823" s="9"/>
    </row>
    <row r="2824" ht="15.0" customHeight="1">
      <c r="A2824" s="11">
        <v>2823.0</v>
      </c>
      <c r="B2824" s="12">
        <f t="shared" ref="B2824:B2830" si="457">DATE(2012,12,31)-971</f>
        <v>40303</v>
      </c>
      <c r="C2824" s="13">
        <v>2010.0</v>
      </c>
      <c r="D2824" s="11" t="s">
        <v>102</v>
      </c>
      <c r="E2824" s="11">
        <v>14.0</v>
      </c>
      <c r="F2824" s="21" t="s">
        <v>1074</v>
      </c>
      <c r="G2824" s="15">
        <v>0.08099547511312229</v>
      </c>
      <c r="H2824" s="11" t="s">
        <v>33</v>
      </c>
      <c r="I2824" s="16">
        <v>4.24</v>
      </c>
      <c r="J2824" s="11" t="s">
        <v>897</v>
      </c>
      <c r="K2824" s="11" t="s">
        <v>26</v>
      </c>
      <c r="L2824" s="11" t="s">
        <v>36</v>
      </c>
      <c r="M2824" s="11" t="s">
        <v>28</v>
      </c>
      <c r="N2824" s="11" t="s">
        <v>236</v>
      </c>
      <c r="O2824" s="11" t="s">
        <v>1075</v>
      </c>
      <c r="P2824" s="11" t="s">
        <v>38</v>
      </c>
      <c r="Q2824" s="20">
        <v>40304.0</v>
      </c>
      <c r="R2824" s="17">
        <f t="shared" si="2"/>
        <v>6.580072398</v>
      </c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>
        <f t="shared" si="8"/>
        <v>2</v>
      </c>
      <c r="AF2824" s="19">
        <f t="shared" si="13"/>
        <v>1</v>
      </c>
      <c r="AG2824" s="9"/>
      <c r="AH2824" s="9"/>
      <c r="AI2824" s="9"/>
    </row>
    <row r="2825" ht="15.0" customHeight="1">
      <c r="A2825" s="11">
        <v>2824.0</v>
      </c>
      <c r="B2825" s="12">
        <f t="shared" si="457"/>
        <v>40303</v>
      </c>
      <c r="C2825" s="13">
        <v>2010.0</v>
      </c>
      <c r="D2825" s="11" t="s">
        <v>32</v>
      </c>
      <c r="E2825" s="11">
        <v>37.0</v>
      </c>
      <c r="F2825" s="21" t="s">
        <v>394</v>
      </c>
      <c r="G2825" s="15">
        <v>0.06722918149466184</v>
      </c>
      <c r="H2825" s="11" t="s">
        <v>45</v>
      </c>
      <c r="I2825" s="16">
        <v>28.872000000000003</v>
      </c>
      <c r="J2825" s="11" t="s">
        <v>1415</v>
      </c>
      <c r="K2825" s="11" t="s">
        <v>65</v>
      </c>
      <c r="L2825" s="11" t="s">
        <v>36</v>
      </c>
      <c r="M2825" s="11" t="s">
        <v>49</v>
      </c>
      <c r="N2825" s="11" t="s">
        <v>156</v>
      </c>
      <c r="O2825" s="11" t="s">
        <v>1194</v>
      </c>
      <c r="P2825" s="11" t="s">
        <v>87</v>
      </c>
      <c r="Q2825" s="20">
        <v>40304.0</v>
      </c>
      <c r="R2825" s="17">
        <f t="shared" si="2"/>
        <v>352.4269328</v>
      </c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>
        <f t="shared" si="8"/>
        <v>2</v>
      </c>
      <c r="AF2825" s="19">
        <f t="shared" si="13"/>
        <v>5</v>
      </c>
      <c r="AG2825" s="9"/>
      <c r="AH2825" s="9"/>
      <c r="AI2825" s="9"/>
    </row>
    <row r="2826" ht="15.0" customHeight="1">
      <c r="A2826" s="11">
        <v>2825.0</v>
      </c>
      <c r="B2826" s="12">
        <f t="shared" si="457"/>
        <v>40303</v>
      </c>
      <c r="C2826" s="13">
        <v>2010.0</v>
      </c>
      <c r="D2826" s="11" t="s">
        <v>39</v>
      </c>
      <c r="E2826" s="11">
        <v>44.0</v>
      </c>
      <c r="F2826" s="21" t="s">
        <v>391</v>
      </c>
      <c r="G2826" s="15">
        <v>0.08309415954908528</v>
      </c>
      <c r="H2826" s="11" t="s">
        <v>33</v>
      </c>
      <c r="I2826" s="16">
        <v>2.8000000000000003</v>
      </c>
      <c r="J2826" s="11" t="s">
        <v>2098</v>
      </c>
      <c r="K2826" s="11" t="s">
        <v>83</v>
      </c>
      <c r="L2826" s="11" t="s">
        <v>48</v>
      </c>
      <c r="M2826" s="11" t="s">
        <v>28</v>
      </c>
      <c r="N2826" s="11" t="s">
        <v>197</v>
      </c>
      <c r="O2826" s="11" t="s">
        <v>393</v>
      </c>
      <c r="P2826" s="11" t="s">
        <v>38</v>
      </c>
      <c r="Q2826" s="20">
        <v>40304.0</v>
      </c>
      <c r="R2826" s="17">
        <f t="shared" si="2"/>
        <v>220.3324735</v>
      </c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>
        <f t="shared" si="8"/>
        <v>4</v>
      </c>
      <c r="AF2826" s="19" t="b">
        <f t="shared" si="13"/>
        <v>0</v>
      </c>
      <c r="AG2826" s="9"/>
      <c r="AH2826" s="9"/>
      <c r="AI2826" s="9"/>
    </row>
    <row r="2827" ht="15.0" customHeight="1">
      <c r="A2827" s="11">
        <v>2826.0</v>
      </c>
      <c r="B2827" s="12">
        <f t="shared" si="457"/>
        <v>40303</v>
      </c>
      <c r="C2827" s="13">
        <v>2010.0</v>
      </c>
      <c r="D2827" s="11" t="s">
        <v>39</v>
      </c>
      <c r="E2827" s="11">
        <v>21.0</v>
      </c>
      <c r="F2827" s="21" t="s">
        <v>450</v>
      </c>
      <c r="G2827" s="15">
        <v>0.06690590499789807</v>
      </c>
      <c r="H2827" s="11" t="s">
        <v>33</v>
      </c>
      <c r="I2827" s="16">
        <v>19.592</v>
      </c>
      <c r="J2827" s="11" t="s">
        <v>2098</v>
      </c>
      <c r="K2827" s="11" t="s">
        <v>83</v>
      </c>
      <c r="L2827" s="11" t="s">
        <v>48</v>
      </c>
      <c r="M2827" s="11" t="s">
        <v>66</v>
      </c>
      <c r="N2827" s="11" t="s">
        <v>170</v>
      </c>
      <c r="O2827" s="11" t="s">
        <v>451</v>
      </c>
      <c r="P2827" s="11" t="s">
        <v>31</v>
      </c>
      <c r="Q2827" s="20">
        <v>40304.0</v>
      </c>
      <c r="R2827" s="17">
        <f t="shared" si="2"/>
        <v>282.1751191</v>
      </c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>
        <f t="shared" si="8"/>
        <v>4</v>
      </c>
      <c r="AF2827" s="19" t="b">
        <f t="shared" si="13"/>
        <v>0</v>
      </c>
      <c r="AG2827" s="9"/>
      <c r="AH2827" s="9"/>
      <c r="AI2827" s="9"/>
    </row>
    <row r="2828" ht="15.0" customHeight="1">
      <c r="A2828" s="11">
        <v>2827.0</v>
      </c>
      <c r="B2828" s="12">
        <f t="shared" si="457"/>
        <v>40303</v>
      </c>
      <c r="C2828" s="13">
        <v>2010.0</v>
      </c>
      <c r="D2828" s="11" t="s">
        <v>23</v>
      </c>
      <c r="E2828" s="11">
        <v>41.0</v>
      </c>
      <c r="F2828" s="21" t="s">
        <v>610</v>
      </c>
      <c r="G2828" s="15">
        <v>0.08230252406028703</v>
      </c>
      <c r="H2828" s="11" t="s">
        <v>33</v>
      </c>
      <c r="I2828" s="16">
        <v>5.176</v>
      </c>
      <c r="J2828" s="11" t="s">
        <v>2303</v>
      </c>
      <c r="K2828" s="11" t="s">
        <v>83</v>
      </c>
      <c r="L2828" s="11" t="s">
        <v>27</v>
      </c>
      <c r="M2828" s="11" t="s">
        <v>28</v>
      </c>
      <c r="N2828" s="11" t="s">
        <v>56</v>
      </c>
      <c r="O2828" s="11" t="s">
        <v>2006</v>
      </c>
      <c r="P2828" s="11" t="s">
        <v>38</v>
      </c>
      <c r="Q2828" s="20">
        <v>40305.0</v>
      </c>
      <c r="R2828" s="17">
        <f t="shared" si="2"/>
        <v>41.5937204</v>
      </c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>
        <f t="shared" si="8"/>
        <v>1</v>
      </c>
      <c r="AF2828" s="19" t="b">
        <f t="shared" si="13"/>
        <v>0</v>
      </c>
      <c r="AG2828" s="9"/>
      <c r="AH2828" s="9"/>
      <c r="AI2828" s="9"/>
    </row>
    <row r="2829" ht="15.0" customHeight="1">
      <c r="A2829" s="11">
        <v>2828.0</v>
      </c>
      <c r="B2829" s="12">
        <f t="shared" si="457"/>
        <v>40303</v>
      </c>
      <c r="C2829" s="13">
        <v>2010.0</v>
      </c>
      <c r="D2829" s="11" t="s">
        <v>44</v>
      </c>
      <c r="E2829" s="11">
        <v>46.0</v>
      </c>
      <c r="F2829" s="21" t="s">
        <v>130</v>
      </c>
      <c r="G2829" s="15">
        <v>0.0434613592491514</v>
      </c>
      <c r="H2829" s="11" t="s">
        <v>24</v>
      </c>
      <c r="I2829" s="16">
        <v>15.608000000000002</v>
      </c>
      <c r="J2829" s="11" t="s">
        <v>2304</v>
      </c>
      <c r="K2829" s="11" t="s">
        <v>26</v>
      </c>
      <c r="L2829" s="11" t="s">
        <v>48</v>
      </c>
      <c r="M2829" s="11" t="s">
        <v>28</v>
      </c>
      <c r="N2829" s="11" t="s">
        <v>236</v>
      </c>
      <c r="O2829" s="11" t="s">
        <v>1241</v>
      </c>
      <c r="P2829" s="11" t="s">
        <v>38</v>
      </c>
      <c r="Q2829" s="20">
        <v>40305.0</v>
      </c>
      <c r="R2829" s="17">
        <f t="shared" si="2"/>
        <v>62.45432093</v>
      </c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>
        <f t="shared" si="8"/>
        <v>4</v>
      </c>
      <c r="AF2829" s="19">
        <f t="shared" si="13"/>
        <v>1</v>
      </c>
      <c r="AG2829" s="9"/>
      <c r="AH2829" s="9"/>
      <c r="AI2829" s="9"/>
    </row>
    <row r="2830" ht="15.0" customHeight="1">
      <c r="A2830" s="11">
        <v>2829.0</v>
      </c>
      <c r="B2830" s="12">
        <f t="shared" si="457"/>
        <v>40303</v>
      </c>
      <c r="C2830" s="13">
        <v>2010.0</v>
      </c>
      <c r="D2830" s="11" t="s">
        <v>32</v>
      </c>
      <c r="E2830" s="11">
        <v>48.0</v>
      </c>
      <c r="F2830" s="21" t="s">
        <v>461</v>
      </c>
      <c r="G2830" s="15">
        <v>0.021784209235434216</v>
      </c>
      <c r="H2830" s="11" t="s">
        <v>45</v>
      </c>
      <c r="I2830" s="16">
        <v>24.0</v>
      </c>
      <c r="J2830" s="11" t="s">
        <v>1507</v>
      </c>
      <c r="K2830" s="11" t="s">
        <v>61</v>
      </c>
      <c r="L2830" s="11" t="s">
        <v>36</v>
      </c>
      <c r="M2830" s="11" t="s">
        <v>49</v>
      </c>
      <c r="N2830" s="11" t="s">
        <v>50</v>
      </c>
      <c r="O2830" s="11" t="s">
        <v>2206</v>
      </c>
      <c r="P2830" s="11" t="s">
        <v>52</v>
      </c>
      <c r="Q2830" s="20">
        <v>40305.0</v>
      </c>
      <c r="R2830" s="17">
        <f t="shared" si="2"/>
        <v>95.57168276</v>
      </c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>
        <f t="shared" si="8"/>
        <v>2</v>
      </c>
      <c r="AF2830" s="19">
        <f t="shared" si="13"/>
        <v>4</v>
      </c>
      <c r="AG2830" s="9"/>
      <c r="AH2830" s="9"/>
      <c r="AI2830" s="9"/>
    </row>
    <row r="2831" ht="15.0" customHeight="1">
      <c r="A2831" s="11">
        <v>2830.0</v>
      </c>
      <c r="B2831" s="12">
        <f t="shared" ref="B2831:B2839" si="458">DATE(2012,12,31)-970</f>
        <v>40304</v>
      </c>
      <c r="C2831" s="13">
        <v>2010.0</v>
      </c>
      <c r="D2831" s="11" t="s">
        <v>102</v>
      </c>
      <c r="E2831" s="11">
        <v>14.0</v>
      </c>
      <c r="F2831" s="21" t="s">
        <v>948</v>
      </c>
      <c r="G2831" s="15">
        <v>0.10002656042496676</v>
      </c>
      <c r="H2831" s="11" t="s">
        <v>33</v>
      </c>
      <c r="I2831" s="16">
        <v>0.568</v>
      </c>
      <c r="J2831" s="11" t="s">
        <v>1390</v>
      </c>
      <c r="K2831" s="11" t="s">
        <v>26</v>
      </c>
      <c r="L2831" s="11" t="s">
        <v>48</v>
      </c>
      <c r="M2831" s="11" t="s">
        <v>28</v>
      </c>
      <c r="N2831" s="11" t="s">
        <v>62</v>
      </c>
      <c r="O2831" s="11" t="s">
        <v>949</v>
      </c>
      <c r="P2831" s="11" t="s">
        <v>58</v>
      </c>
      <c r="Q2831" s="20">
        <v>40305.0</v>
      </c>
      <c r="R2831" s="17">
        <f t="shared" si="2"/>
        <v>6.778599947</v>
      </c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>
        <f t="shared" si="8"/>
        <v>4</v>
      </c>
      <c r="AF2831" s="19">
        <f t="shared" si="13"/>
        <v>1</v>
      </c>
      <c r="AG2831" s="9"/>
      <c r="AH2831" s="9"/>
      <c r="AI2831" s="9"/>
    </row>
    <row r="2832" ht="15.0" customHeight="1">
      <c r="A2832" s="11">
        <v>2831.0</v>
      </c>
      <c r="B2832" s="12">
        <f t="shared" si="458"/>
        <v>40304</v>
      </c>
      <c r="C2832" s="13">
        <v>2010.0</v>
      </c>
      <c r="D2832" s="11" t="s">
        <v>102</v>
      </c>
      <c r="E2832" s="11">
        <v>44.0</v>
      </c>
      <c r="F2832" s="21" t="s">
        <v>2004</v>
      </c>
      <c r="G2832" s="15">
        <v>0.05090728064716863</v>
      </c>
      <c r="H2832" s="11" t="s">
        <v>33</v>
      </c>
      <c r="I2832" s="16">
        <v>7.192</v>
      </c>
      <c r="J2832" s="11" t="s">
        <v>1390</v>
      </c>
      <c r="K2832" s="11" t="s">
        <v>26</v>
      </c>
      <c r="L2832" s="11" t="s">
        <v>48</v>
      </c>
      <c r="M2832" s="11" t="s">
        <v>28</v>
      </c>
      <c r="N2832" s="11" t="s">
        <v>62</v>
      </c>
      <c r="O2832" s="11" t="s">
        <v>2007</v>
      </c>
      <c r="P2832" s="11" t="s">
        <v>99</v>
      </c>
      <c r="Q2832" s="20">
        <v>40305.0</v>
      </c>
      <c r="R2832" s="17">
        <f t="shared" si="2"/>
        <v>77.64337718</v>
      </c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>
        <f t="shared" si="8"/>
        <v>4</v>
      </c>
      <c r="AF2832" s="19">
        <f t="shared" si="13"/>
        <v>1</v>
      </c>
      <c r="AG2832" s="9"/>
      <c r="AH2832" s="9"/>
      <c r="AI2832" s="9"/>
    </row>
    <row r="2833" ht="15.0" customHeight="1">
      <c r="A2833" s="11">
        <v>2832.0</v>
      </c>
      <c r="B2833" s="12">
        <f t="shared" si="458"/>
        <v>40304</v>
      </c>
      <c r="C2833" s="13">
        <v>2010.0</v>
      </c>
      <c r="D2833" s="11" t="s">
        <v>102</v>
      </c>
      <c r="E2833" s="11">
        <v>20.0</v>
      </c>
      <c r="F2833" s="21" t="s">
        <v>431</v>
      </c>
      <c r="G2833" s="15">
        <v>0.07553986647225845</v>
      </c>
      <c r="H2833" s="11" t="s">
        <v>33</v>
      </c>
      <c r="I2833" s="16">
        <v>15.991999999999999</v>
      </c>
      <c r="J2833" s="11" t="s">
        <v>1472</v>
      </c>
      <c r="K2833" s="11" t="s">
        <v>83</v>
      </c>
      <c r="L2833" s="11" t="s">
        <v>48</v>
      </c>
      <c r="M2833" s="11" t="s">
        <v>66</v>
      </c>
      <c r="N2833" s="11" t="s">
        <v>67</v>
      </c>
      <c r="O2833" s="11" t="s">
        <v>432</v>
      </c>
      <c r="P2833" s="11" t="s">
        <v>38</v>
      </c>
      <c r="Q2833" s="20">
        <v>40305.0</v>
      </c>
      <c r="R2833" s="17">
        <f t="shared" si="2"/>
        <v>273.0004731</v>
      </c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>
        <f t="shared" si="8"/>
        <v>4</v>
      </c>
      <c r="AF2833" s="19" t="b">
        <f t="shared" si="13"/>
        <v>0</v>
      </c>
      <c r="AG2833" s="9"/>
      <c r="AH2833" s="9"/>
      <c r="AI2833" s="9"/>
    </row>
    <row r="2834" ht="15.0" customHeight="1">
      <c r="A2834" s="11">
        <v>2833.0</v>
      </c>
      <c r="B2834" s="12">
        <f t="shared" si="458"/>
        <v>40304</v>
      </c>
      <c r="C2834" s="13">
        <v>2010.0</v>
      </c>
      <c r="D2834" s="11" t="s">
        <v>32</v>
      </c>
      <c r="E2834" s="11">
        <v>9.0</v>
      </c>
      <c r="F2834" s="21" t="s">
        <v>415</v>
      </c>
      <c r="G2834" s="15">
        <v>0.04126829268292683</v>
      </c>
      <c r="H2834" s="11" t="s">
        <v>33</v>
      </c>
      <c r="I2834" s="16">
        <v>4.208</v>
      </c>
      <c r="J2834" s="11" t="s">
        <v>1862</v>
      </c>
      <c r="K2834" s="11" t="s">
        <v>61</v>
      </c>
      <c r="L2834" s="11" t="s">
        <v>36</v>
      </c>
      <c r="M2834" s="11" t="s">
        <v>28</v>
      </c>
      <c r="N2834" s="11" t="s">
        <v>42</v>
      </c>
      <c r="O2834" s="11" t="s">
        <v>971</v>
      </c>
      <c r="P2834" s="11" t="s">
        <v>38</v>
      </c>
      <c r="Q2834" s="20">
        <v>40306.0</v>
      </c>
      <c r="R2834" s="17">
        <f t="shared" si="2"/>
        <v>1.622174049</v>
      </c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>
        <f t="shared" si="8"/>
        <v>2</v>
      </c>
      <c r="AF2834" s="19">
        <f t="shared" si="13"/>
        <v>4</v>
      </c>
      <c r="AG2834" s="9"/>
      <c r="AH2834" s="9"/>
      <c r="AI2834" s="9"/>
    </row>
    <row r="2835" ht="15.0" customHeight="1">
      <c r="A2835" s="11">
        <v>2834.0</v>
      </c>
      <c r="B2835" s="12">
        <f t="shared" si="458"/>
        <v>40304</v>
      </c>
      <c r="C2835" s="13">
        <v>2010.0</v>
      </c>
      <c r="D2835" s="11" t="s">
        <v>39</v>
      </c>
      <c r="E2835" s="11">
        <v>41.0</v>
      </c>
      <c r="F2835" s="21" t="s">
        <v>422</v>
      </c>
      <c r="G2835" s="15">
        <v>0.09350719765771129</v>
      </c>
      <c r="H2835" s="11" t="s">
        <v>45</v>
      </c>
      <c r="I2835" s="16">
        <v>26.880000000000003</v>
      </c>
      <c r="J2835" s="11" t="s">
        <v>504</v>
      </c>
      <c r="K2835" s="11" t="s">
        <v>117</v>
      </c>
      <c r="L2835" s="11" t="s">
        <v>27</v>
      </c>
      <c r="M2835" s="11" t="s">
        <v>66</v>
      </c>
      <c r="N2835" s="11" t="s">
        <v>69</v>
      </c>
      <c r="O2835" s="11" t="s">
        <v>526</v>
      </c>
      <c r="P2835" s="11" t="s">
        <v>52</v>
      </c>
      <c r="Q2835" s="20">
        <v>40306.0</v>
      </c>
      <c r="R2835" s="17">
        <f t="shared" si="2"/>
        <v>312.6674974</v>
      </c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>
        <f t="shared" si="8"/>
        <v>1</v>
      </c>
      <c r="AF2835" s="19" t="b">
        <f t="shared" si="13"/>
        <v>0</v>
      </c>
      <c r="AG2835" s="9"/>
      <c r="AH2835" s="9"/>
      <c r="AI2835" s="9"/>
    </row>
    <row r="2836" ht="15.0" customHeight="1">
      <c r="A2836" s="11">
        <v>2835.0</v>
      </c>
      <c r="B2836" s="12">
        <f t="shared" si="458"/>
        <v>40304</v>
      </c>
      <c r="C2836" s="13">
        <v>2010.0</v>
      </c>
      <c r="D2836" s="11" t="s">
        <v>44</v>
      </c>
      <c r="E2836" s="11">
        <v>5.0</v>
      </c>
      <c r="F2836" s="21" t="s">
        <v>702</v>
      </c>
      <c r="G2836" s="15">
        <v>0.14675585284280931</v>
      </c>
      <c r="H2836" s="11" t="s">
        <v>33</v>
      </c>
      <c r="I2836" s="16">
        <v>5.5120000000000005</v>
      </c>
      <c r="J2836" s="11" t="s">
        <v>1685</v>
      </c>
      <c r="K2836" s="11" t="s">
        <v>61</v>
      </c>
      <c r="L2836" s="11" t="s">
        <v>41</v>
      </c>
      <c r="M2836" s="11" t="s">
        <v>28</v>
      </c>
      <c r="N2836" s="11" t="s">
        <v>197</v>
      </c>
      <c r="O2836" s="11" t="s">
        <v>704</v>
      </c>
      <c r="P2836" s="11" t="s">
        <v>38</v>
      </c>
      <c r="Q2836" s="20">
        <v>40306.0</v>
      </c>
      <c r="R2836" s="17">
        <f t="shared" si="2"/>
        <v>3.744035318</v>
      </c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>
        <f t="shared" si="8"/>
        <v>3</v>
      </c>
      <c r="AF2836" s="19">
        <f t="shared" si="13"/>
        <v>4</v>
      </c>
      <c r="AG2836" s="9"/>
      <c r="AH2836" s="9"/>
      <c r="AI2836" s="9"/>
    </row>
    <row r="2837" ht="15.0" customHeight="1">
      <c r="A2837" s="11">
        <v>2836.0</v>
      </c>
      <c r="B2837" s="12">
        <f t="shared" si="458"/>
        <v>40304</v>
      </c>
      <c r="C2837" s="13">
        <v>2010.0</v>
      </c>
      <c r="D2837" s="11" t="s">
        <v>44</v>
      </c>
      <c r="E2837" s="11">
        <v>11.0</v>
      </c>
      <c r="F2837" s="21" t="s">
        <v>428</v>
      </c>
      <c r="G2837" s="15">
        <v>0.06371474188398088</v>
      </c>
      <c r="H2837" s="11" t="s">
        <v>33</v>
      </c>
      <c r="I2837" s="16">
        <v>8.728</v>
      </c>
      <c r="J2837" s="11" t="s">
        <v>1685</v>
      </c>
      <c r="K2837" s="11" t="s">
        <v>61</v>
      </c>
      <c r="L2837" s="11" t="s">
        <v>41</v>
      </c>
      <c r="M2837" s="11" t="s">
        <v>28</v>
      </c>
      <c r="N2837" s="11" t="s">
        <v>42</v>
      </c>
      <c r="O2837" s="11" t="s">
        <v>1642</v>
      </c>
      <c r="P2837" s="11" t="s">
        <v>38</v>
      </c>
      <c r="Q2837" s="20">
        <v>40306.0</v>
      </c>
      <c r="R2837" s="17">
        <f t="shared" si="2"/>
        <v>11.20920711</v>
      </c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>
        <f t="shared" si="8"/>
        <v>3</v>
      </c>
      <c r="AF2837" s="19">
        <f t="shared" si="13"/>
        <v>4</v>
      </c>
      <c r="AG2837" s="9"/>
      <c r="AH2837" s="9"/>
      <c r="AI2837" s="9"/>
    </row>
    <row r="2838" ht="15.0" customHeight="1">
      <c r="A2838" s="11">
        <v>2837.0</v>
      </c>
      <c r="B2838" s="12">
        <f t="shared" si="458"/>
        <v>40304</v>
      </c>
      <c r="C2838" s="13">
        <v>2010.0</v>
      </c>
      <c r="D2838" s="11" t="s">
        <v>44</v>
      </c>
      <c r="E2838" s="11">
        <v>21.0</v>
      </c>
      <c r="F2838" s="21" t="s">
        <v>158</v>
      </c>
      <c r="G2838" s="15">
        <v>0.10799742433998706</v>
      </c>
      <c r="H2838" s="11" t="s">
        <v>33</v>
      </c>
      <c r="I2838" s="16">
        <v>4.128</v>
      </c>
      <c r="J2838" s="11" t="s">
        <v>1433</v>
      </c>
      <c r="K2838" s="11" t="s">
        <v>61</v>
      </c>
      <c r="L2838" s="11" t="s">
        <v>27</v>
      </c>
      <c r="M2838" s="11" t="s">
        <v>28</v>
      </c>
      <c r="N2838" s="11" t="s">
        <v>56</v>
      </c>
      <c r="O2838" s="11" t="s">
        <v>1759</v>
      </c>
      <c r="P2838" s="11" t="s">
        <v>38</v>
      </c>
      <c r="Q2838" s="20">
        <v>40306.0</v>
      </c>
      <c r="R2838" s="17">
        <f t="shared" si="2"/>
        <v>14.9606672</v>
      </c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>
        <f t="shared" si="8"/>
        <v>1</v>
      </c>
      <c r="AF2838" s="19">
        <f t="shared" si="13"/>
        <v>4</v>
      </c>
      <c r="AG2838" s="9"/>
      <c r="AH2838" s="9"/>
      <c r="AI2838" s="9"/>
    </row>
    <row r="2839" ht="15.0" customHeight="1">
      <c r="A2839" s="11">
        <v>2838.0</v>
      </c>
      <c r="B2839" s="12">
        <f t="shared" si="458"/>
        <v>40304</v>
      </c>
      <c r="C2839" s="13">
        <v>2010.0</v>
      </c>
      <c r="D2839" s="11" t="s">
        <v>44</v>
      </c>
      <c r="E2839" s="11">
        <v>44.0</v>
      </c>
      <c r="F2839" s="21" t="s">
        <v>1932</v>
      </c>
      <c r="G2839" s="15">
        <v>0.09272142041324895</v>
      </c>
      <c r="H2839" s="11" t="s">
        <v>33</v>
      </c>
      <c r="I2839" s="16">
        <v>28.0</v>
      </c>
      <c r="J2839" s="11" t="s">
        <v>1433</v>
      </c>
      <c r="K2839" s="11" t="s">
        <v>61</v>
      </c>
      <c r="L2839" s="11" t="s">
        <v>27</v>
      </c>
      <c r="M2839" s="11" t="s">
        <v>28</v>
      </c>
      <c r="N2839" s="11" t="s">
        <v>29</v>
      </c>
      <c r="O2839" s="11" t="s">
        <v>1933</v>
      </c>
      <c r="P2839" s="11" t="s">
        <v>31</v>
      </c>
      <c r="Q2839" s="20">
        <v>40306.0</v>
      </c>
      <c r="R2839" s="17">
        <f t="shared" si="2"/>
        <v>324.0799086</v>
      </c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>
        <f t="shared" si="8"/>
        <v>1</v>
      </c>
      <c r="AF2839" s="19">
        <f t="shared" si="13"/>
        <v>4</v>
      </c>
      <c r="AG2839" s="9"/>
      <c r="AH2839" s="9"/>
      <c r="AI2839" s="9"/>
    </row>
    <row r="2840" ht="15.0" customHeight="1">
      <c r="A2840" s="11">
        <v>2839.0</v>
      </c>
      <c r="B2840" s="12">
        <f t="shared" ref="B2840:B2848" si="459">DATE(2012,12,31)-969</f>
        <v>40305</v>
      </c>
      <c r="C2840" s="13">
        <v>2010.0</v>
      </c>
      <c r="D2840" s="11" t="s">
        <v>102</v>
      </c>
      <c r="E2840" s="11">
        <v>12.0</v>
      </c>
      <c r="F2840" s="21" t="s">
        <v>433</v>
      </c>
      <c r="G2840" s="15">
        <v>0.07216044350236403</v>
      </c>
      <c r="H2840" s="11" t="s">
        <v>33</v>
      </c>
      <c r="I2840" s="16">
        <v>31.688000000000002</v>
      </c>
      <c r="J2840" s="11" t="s">
        <v>928</v>
      </c>
      <c r="K2840" s="11" t="s">
        <v>61</v>
      </c>
      <c r="L2840" s="11" t="s">
        <v>27</v>
      </c>
      <c r="M2840" s="11" t="s">
        <v>49</v>
      </c>
      <c r="N2840" s="11" t="s">
        <v>73</v>
      </c>
      <c r="O2840" s="11" t="s">
        <v>434</v>
      </c>
      <c r="P2840" s="11" t="s">
        <v>75</v>
      </c>
      <c r="Q2840" s="20">
        <v>40306.0</v>
      </c>
      <c r="R2840" s="17">
        <f t="shared" si="2"/>
        <v>82.12493482</v>
      </c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>
        <f t="shared" si="8"/>
        <v>1</v>
      </c>
      <c r="AF2840" s="19">
        <f t="shared" si="13"/>
        <v>4</v>
      </c>
      <c r="AG2840" s="9"/>
      <c r="AH2840" s="9"/>
      <c r="AI2840" s="9"/>
    </row>
    <row r="2841" ht="15.0" customHeight="1">
      <c r="A2841" s="11">
        <v>2840.0</v>
      </c>
      <c r="B2841" s="12">
        <f t="shared" si="459"/>
        <v>40305</v>
      </c>
      <c r="C2841" s="13">
        <v>2010.0</v>
      </c>
      <c r="D2841" s="11" t="s">
        <v>102</v>
      </c>
      <c r="E2841" s="11">
        <v>3.0</v>
      </c>
      <c r="F2841" s="21" t="s">
        <v>290</v>
      </c>
      <c r="G2841" s="15">
        <v>0.11448275862068956</v>
      </c>
      <c r="H2841" s="11" t="s">
        <v>33</v>
      </c>
      <c r="I2841" s="16">
        <v>5.376</v>
      </c>
      <c r="J2841" s="11" t="s">
        <v>928</v>
      </c>
      <c r="K2841" s="11" t="s">
        <v>61</v>
      </c>
      <c r="L2841" s="11" t="s">
        <v>27</v>
      </c>
      <c r="M2841" s="11" t="s">
        <v>28</v>
      </c>
      <c r="N2841" s="11" t="s">
        <v>56</v>
      </c>
      <c r="O2841" s="11" t="s">
        <v>2233</v>
      </c>
      <c r="P2841" s="11" t="s">
        <v>38</v>
      </c>
      <c r="Q2841" s="20">
        <v>40307.0</v>
      </c>
      <c r="R2841" s="17">
        <f t="shared" si="2"/>
        <v>2.057942069</v>
      </c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>
        <f t="shared" si="8"/>
        <v>1</v>
      </c>
      <c r="AF2841" s="19">
        <f t="shared" si="13"/>
        <v>4</v>
      </c>
      <c r="AG2841" s="9"/>
      <c r="AH2841" s="9"/>
      <c r="AI2841" s="9"/>
    </row>
    <row r="2842" ht="15.0" customHeight="1">
      <c r="A2842" s="11">
        <v>2841.0</v>
      </c>
      <c r="B2842" s="12">
        <f t="shared" si="459"/>
        <v>40305</v>
      </c>
      <c r="C2842" s="13">
        <v>2010.0</v>
      </c>
      <c r="D2842" s="11" t="s">
        <v>102</v>
      </c>
      <c r="E2842" s="11">
        <v>28.0</v>
      </c>
      <c r="F2842" s="21" t="s">
        <v>2151</v>
      </c>
      <c r="G2842" s="15">
        <v>0.022207047920985233</v>
      </c>
      <c r="H2842" s="11" t="s">
        <v>33</v>
      </c>
      <c r="I2842" s="16">
        <v>10.576</v>
      </c>
      <c r="J2842" s="11" t="s">
        <v>1409</v>
      </c>
      <c r="K2842" s="11" t="s">
        <v>26</v>
      </c>
      <c r="L2842" s="11" t="s">
        <v>27</v>
      </c>
      <c r="M2842" s="11" t="s">
        <v>28</v>
      </c>
      <c r="N2842" s="11" t="s">
        <v>197</v>
      </c>
      <c r="O2842" s="11" t="s">
        <v>2152</v>
      </c>
      <c r="P2842" s="11" t="s">
        <v>38</v>
      </c>
      <c r="Q2842" s="20">
        <v>40307.0</v>
      </c>
      <c r="R2842" s="17">
        <f t="shared" si="2"/>
        <v>35.61513049</v>
      </c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>
        <f t="shared" si="8"/>
        <v>1</v>
      </c>
      <c r="AF2842" s="19">
        <f t="shared" si="13"/>
        <v>1</v>
      </c>
      <c r="AG2842" s="9"/>
      <c r="AH2842" s="9"/>
      <c r="AI2842" s="9"/>
    </row>
    <row r="2843" ht="15.0" customHeight="1">
      <c r="A2843" s="11">
        <v>2842.0</v>
      </c>
      <c r="B2843" s="12">
        <f t="shared" si="459"/>
        <v>40305</v>
      </c>
      <c r="C2843" s="13">
        <v>2010.0</v>
      </c>
      <c r="D2843" s="11" t="s">
        <v>39</v>
      </c>
      <c r="E2843" s="11">
        <v>19.0</v>
      </c>
      <c r="F2843" s="21" t="s">
        <v>1465</v>
      </c>
      <c r="G2843" s="15">
        <v>0.010393396557780196</v>
      </c>
      <c r="H2843" s="11" t="s">
        <v>33</v>
      </c>
      <c r="I2843" s="16">
        <v>0.792</v>
      </c>
      <c r="J2843" s="11" t="s">
        <v>1017</v>
      </c>
      <c r="K2843" s="11" t="s">
        <v>117</v>
      </c>
      <c r="L2843" s="11" t="s">
        <v>48</v>
      </c>
      <c r="M2843" s="11" t="s">
        <v>28</v>
      </c>
      <c r="N2843" s="11" t="s">
        <v>197</v>
      </c>
      <c r="O2843" s="11" t="s">
        <v>1467</v>
      </c>
      <c r="P2843" s="11" t="s">
        <v>38</v>
      </c>
      <c r="Q2843" s="20">
        <v>40307.0</v>
      </c>
      <c r="R2843" s="17">
        <f t="shared" si="2"/>
        <v>35.13895128</v>
      </c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>
        <f t="shared" si="8"/>
        <v>4</v>
      </c>
      <c r="AF2843" s="19" t="b">
        <f t="shared" si="13"/>
        <v>0</v>
      </c>
      <c r="AG2843" s="9"/>
      <c r="AH2843" s="9"/>
      <c r="AI2843" s="9"/>
    </row>
    <row r="2844" ht="15.0" customHeight="1">
      <c r="A2844" s="11">
        <v>2843.0</v>
      </c>
      <c r="B2844" s="12">
        <f t="shared" si="459"/>
        <v>40305</v>
      </c>
      <c r="C2844" s="13">
        <v>2010.0</v>
      </c>
      <c r="D2844" s="11" t="s">
        <v>39</v>
      </c>
      <c r="E2844" s="11">
        <v>47.0</v>
      </c>
      <c r="F2844" s="21" t="s">
        <v>290</v>
      </c>
      <c r="G2844" s="15">
        <v>0.03856380397865104</v>
      </c>
      <c r="H2844" s="11" t="s">
        <v>33</v>
      </c>
      <c r="I2844" s="16">
        <v>0.752</v>
      </c>
      <c r="J2844" s="11" t="s">
        <v>2305</v>
      </c>
      <c r="K2844" s="11" t="s">
        <v>35</v>
      </c>
      <c r="L2844" s="11" t="s">
        <v>48</v>
      </c>
      <c r="M2844" s="11" t="s">
        <v>28</v>
      </c>
      <c r="N2844" s="11" t="s">
        <v>62</v>
      </c>
      <c r="O2844" s="11" t="s">
        <v>291</v>
      </c>
      <c r="P2844" s="11" t="s">
        <v>58</v>
      </c>
      <c r="Q2844" s="20">
        <v>40307.0</v>
      </c>
      <c r="R2844" s="17">
        <f t="shared" si="2"/>
        <v>7.641494886</v>
      </c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>
        <f t="shared" si="8"/>
        <v>4</v>
      </c>
      <c r="AF2844" s="19">
        <f t="shared" si="13"/>
        <v>2</v>
      </c>
      <c r="AG2844" s="9"/>
      <c r="AH2844" s="9"/>
      <c r="AI2844" s="9"/>
    </row>
    <row r="2845" ht="15.0" customHeight="1">
      <c r="A2845" s="11">
        <v>2844.0</v>
      </c>
      <c r="B2845" s="12">
        <f t="shared" si="459"/>
        <v>40305</v>
      </c>
      <c r="C2845" s="13">
        <v>2010.0</v>
      </c>
      <c r="D2845" s="11" t="s">
        <v>32</v>
      </c>
      <c r="E2845" s="11">
        <v>37.0</v>
      </c>
      <c r="F2845" s="21" t="s">
        <v>1538</v>
      </c>
      <c r="G2845" s="15">
        <v>0.035568399034384746</v>
      </c>
      <c r="H2845" s="11" t="s">
        <v>33</v>
      </c>
      <c r="I2845" s="16">
        <v>11.584000000000001</v>
      </c>
      <c r="J2845" s="11" t="s">
        <v>1499</v>
      </c>
      <c r="K2845" s="11" t="s">
        <v>117</v>
      </c>
      <c r="L2845" s="11" t="s">
        <v>27</v>
      </c>
      <c r="M2845" s="11" t="s">
        <v>49</v>
      </c>
      <c r="N2845" s="11" t="s">
        <v>73</v>
      </c>
      <c r="O2845" s="11" t="s">
        <v>1539</v>
      </c>
      <c r="P2845" s="11" t="s">
        <v>38</v>
      </c>
      <c r="Q2845" s="20">
        <v>40308.0</v>
      </c>
      <c r="R2845" s="17">
        <f t="shared" si="2"/>
        <v>84.50639017</v>
      </c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>
        <f t="shared" si="8"/>
        <v>1</v>
      </c>
      <c r="AF2845" s="19" t="b">
        <f t="shared" si="13"/>
        <v>0</v>
      </c>
      <c r="AG2845" s="9"/>
      <c r="AH2845" s="9"/>
      <c r="AI2845" s="9"/>
    </row>
    <row r="2846" ht="15.0" customHeight="1">
      <c r="A2846" s="11">
        <v>2845.0</v>
      </c>
      <c r="B2846" s="12">
        <f t="shared" si="459"/>
        <v>40305</v>
      </c>
      <c r="C2846" s="13">
        <v>2010.0</v>
      </c>
      <c r="D2846" s="11" t="s">
        <v>32</v>
      </c>
      <c r="E2846" s="11">
        <v>28.0</v>
      </c>
      <c r="F2846" s="21" t="s">
        <v>394</v>
      </c>
      <c r="G2846" s="15">
        <v>0.011223352410466573</v>
      </c>
      <c r="H2846" s="11" t="s">
        <v>33</v>
      </c>
      <c r="I2846" s="16">
        <v>11.192</v>
      </c>
      <c r="J2846" s="11" t="s">
        <v>1499</v>
      </c>
      <c r="K2846" s="11" t="s">
        <v>117</v>
      </c>
      <c r="L2846" s="11" t="s">
        <v>27</v>
      </c>
      <c r="M2846" s="11" t="s">
        <v>66</v>
      </c>
      <c r="N2846" s="11" t="s">
        <v>69</v>
      </c>
      <c r="O2846" s="11" t="s">
        <v>2252</v>
      </c>
      <c r="P2846" s="11" t="s">
        <v>75</v>
      </c>
      <c r="Q2846" s="20">
        <v>40308.0</v>
      </c>
      <c r="R2846" s="17">
        <f t="shared" si="2"/>
        <v>44.40398169</v>
      </c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>
        <f t="shared" si="8"/>
        <v>1</v>
      </c>
      <c r="AF2846" s="19" t="b">
        <f t="shared" si="13"/>
        <v>0</v>
      </c>
      <c r="AG2846" s="9"/>
      <c r="AH2846" s="9"/>
      <c r="AI2846" s="9"/>
    </row>
    <row r="2847" ht="15.0" customHeight="1">
      <c r="A2847" s="11">
        <v>2846.0</v>
      </c>
      <c r="B2847" s="12">
        <f t="shared" si="459"/>
        <v>40305</v>
      </c>
      <c r="C2847" s="13">
        <v>2010.0</v>
      </c>
      <c r="D2847" s="11" t="s">
        <v>102</v>
      </c>
      <c r="E2847" s="11">
        <v>17.0</v>
      </c>
      <c r="F2847" s="21" t="s">
        <v>2306</v>
      </c>
      <c r="G2847" s="15">
        <v>0.07766521948866388</v>
      </c>
      <c r="H2847" s="11" t="s">
        <v>33</v>
      </c>
      <c r="I2847" s="16">
        <v>4.2</v>
      </c>
      <c r="J2847" s="11" t="s">
        <v>113</v>
      </c>
      <c r="K2847" s="11" t="s">
        <v>61</v>
      </c>
      <c r="L2847" s="11" t="s">
        <v>48</v>
      </c>
      <c r="M2847" s="11" t="s">
        <v>28</v>
      </c>
      <c r="N2847" s="11" t="s">
        <v>236</v>
      </c>
      <c r="O2847" s="11" t="s">
        <v>2307</v>
      </c>
      <c r="P2847" s="11" t="s">
        <v>38</v>
      </c>
      <c r="Q2847" s="20">
        <v>40308.0</v>
      </c>
      <c r="R2847" s="17">
        <f t="shared" si="2"/>
        <v>14.84958997</v>
      </c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>
        <f t="shared" si="8"/>
        <v>4</v>
      </c>
      <c r="AF2847" s="19">
        <f t="shared" si="13"/>
        <v>4</v>
      </c>
      <c r="AG2847" s="9"/>
      <c r="AH2847" s="9"/>
      <c r="AI2847" s="9"/>
    </row>
    <row r="2848" ht="15.0" customHeight="1">
      <c r="A2848" s="11">
        <v>2847.0</v>
      </c>
      <c r="B2848" s="12">
        <f t="shared" si="459"/>
        <v>40305</v>
      </c>
      <c r="C2848" s="13">
        <v>2010.0</v>
      </c>
      <c r="D2848" s="11" t="s">
        <v>39</v>
      </c>
      <c r="E2848" s="11">
        <v>24.0</v>
      </c>
      <c r="F2848" s="21" t="s">
        <v>144</v>
      </c>
      <c r="G2848" s="15">
        <v>0.07315436241610725</v>
      </c>
      <c r="H2848" s="11" t="s">
        <v>33</v>
      </c>
      <c r="I2848" s="16">
        <v>4.84</v>
      </c>
      <c r="J2848" s="11" t="s">
        <v>116</v>
      </c>
      <c r="K2848" s="11" t="s">
        <v>117</v>
      </c>
      <c r="L2848" s="11" t="s">
        <v>48</v>
      </c>
      <c r="M2848" s="11" t="s">
        <v>28</v>
      </c>
      <c r="N2848" s="11" t="s">
        <v>42</v>
      </c>
      <c r="O2848" s="11" t="s">
        <v>542</v>
      </c>
      <c r="P2848" s="11" t="s">
        <v>38</v>
      </c>
      <c r="Q2848" s="20">
        <v>40308.0</v>
      </c>
      <c r="R2848" s="17">
        <f t="shared" si="2"/>
        <v>4.04104698</v>
      </c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>
        <f t="shared" si="8"/>
        <v>4</v>
      </c>
      <c r="AF2848" s="19" t="b">
        <f t="shared" si="13"/>
        <v>0</v>
      </c>
      <c r="AG2848" s="9"/>
      <c r="AH2848" s="9"/>
      <c r="AI2848" s="9"/>
    </row>
    <row r="2849" ht="15.0" customHeight="1">
      <c r="A2849" s="11">
        <v>2848.0</v>
      </c>
      <c r="B2849" s="12">
        <f t="shared" ref="B2849:B2850" si="460">DATE(2012,12,31)-968</f>
        <v>40306</v>
      </c>
      <c r="C2849" s="13">
        <v>2010.0</v>
      </c>
      <c r="D2849" s="11" t="s">
        <v>102</v>
      </c>
      <c r="E2849" s="11">
        <v>1.0</v>
      </c>
      <c r="F2849" s="21" t="s">
        <v>1144</v>
      </c>
      <c r="G2849" s="15">
        <v>0.018958286358511746</v>
      </c>
      <c r="H2849" s="11" t="s">
        <v>33</v>
      </c>
      <c r="I2849" s="16">
        <v>15.991999999999999</v>
      </c>
      <c r="J2849" s="11" t="s">
        <v>1217</v>
      </c>
      <c r="K2849" s="11" t="s">
        <v>26</v>
      </c>
      <c r="L2849" s="11" t="s">
        <v>36</v>
      </c>
      <c r="M2849" s="11" t="s">
        <v>28</v>
      </c>
      <c r="N2849" s="11" t="s">
        <v>29</v>
      </c>
      <c r="O2849" s="11" t="s">
        <v>1146</v>
      </c>
      <c r="P2849" s="11" t="s">
        <v>38</v>
      </c>
      <c r="Q2849" s="20">
        <v>40308.0</v>
      </c>
      <c r="R2849" s="17">
        <f t="shared" si="2"/>
        <v>8.248598728</v>
      </c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>
        <f t="shared" si="8"/>
        <v>2</v>
      </c>
      <c r="AF2849" s="19">
        <f t="shared" si="13"/>
        <v>1</v>
      </c>
      <c r="AG2849" s="9"/>
      <c r="AH2849" s="9"/>
      <c r="AI2849" s="9"/>
    </row>
    <row r="2850" ht="15.0" customHeight="1">
      <c r="A2850" s="11">
        <v>2849.0</v>
      </c>
      <c r="B2850" s="12">
        <f t="shared" si="460"/>
        <v>40306</v>
      </c>
      <c r="C2850" s="13">
        <v>2010.0</v>
      </c>
      <c r="D2850" s="11" t="s">
        <v>44</v>
      </c>
      <c r="E2850" s="11">
        <v>32.0</v>
      </c>
      <c r="F2850" s="21" t="s">
        <v>676</v>
      </c>
      <c r="G2850" s="15">
        <v>0.10470705064548173</v>
      </c>
      <c r="H2850" s="11" t="s">
        <v>33</v>
      </c>
      <c r="I2850" s="16">
        <v>1.1119999999999999</v>
      </c>
      <c r="J2850" s="11" t="s">
        <v>892</v>
      </c>
      <c r="K2850" s="11" t="s">
        <v>35</v>
      </c>
      <c r="L2850" s="11" t="s">
        <v>27</v>
      </c>
      <c r="M2850" s="11" t="s">
        <v>28</v>
      </c>
      <c r="N2850" s="11" t="s">
        <v>236</v>
      </c>
      <c r="O2850" s="11" t="s">
        <v>677</v>
      </c>
      <c r="P2850" s="11" t="s">
        <v>38</v>
      </c>
      <c r="Q2850" s="20">
        <v>40309.0</v>
      </c>
      <c r="R2850" s="17">
        <f t="shared" si="2"/>
        <v>18.87993772</v>
      </c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>
        <f t="shared" si="8"/>
        <v>1</v>
      </c>
      <c r="AF2850" s="19">
        <f t="shared" si="13"/>
        <v>2</v>
      </c>
      <c r="AG2850" s="9"/>
      <c r="AH2850" s="9"/>
      <c r="AI2850" s="9"/>
    </row>
    <row r="2851" ht="15.0" customHeight="1">
      <c r="A2851" s="11">
        <v>2850.0</v>
      </c>
      <c r="B2851" s="12">
        <f t="shared" ref="B2851:B2854" si="461">DATE(2012,12,31)-967</f>
        <v>40307</v>
      </c>
      <c r="C2851" s="13">
        <v>2010.0</v>
      </c>
      <c r="D2851" s="11" t="s">
        <v>23</v>
      </c>
      <c r="E2851" s="11">
        <v>10.0</v>
      </c>
      <c r="F2851" s="21" t="s">
        <v>1084</v>
      </c>
      <c r="G2851" s="15">
        <v>0.09505030181086527</v>
      </c>
      <c r="H2851" s="11" t="s">
        <v>33</v>
      </c>
      <c r="I2851" s="16">
        <v>0.976</v>
      </c>
      <c r="J2851" s="11" t="s">
        <v>1444</v>
      </c>
      <c r="K2851" s="11" t="s">
        <v>61</v>
      </c>
      <c r="L2851" s="11" t="s">
        <v>36</v>
      </c>
      <c r="M2851" s="11" t="s">
        <v>28</v>
      </c>
      <c r="N2851" s="11" t="s">
        <v>56</v>
      </c>
      <c r="O2851" s="11" t="s">
        <v>2308</v>
      </c>
      <c r="P2851" s="11" t="s">
        <v>58</v>
      </c>
      <c r="Q2851" s="20">
        <v>40309.0</v>
      </c>
      <c r="R2851" s="17">
        <f t="shared" si="2"/>
        <v>4.274982374</v>
      </c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>
        <f t="shared" si="8"/>
        <v>2</v>
      </c>
      <c r="AF2851" s="19">
        <f t="shared" si="13"/>
        <v>4</v>
      </c>
      <c r="AG2851" s="9"/>
      <c r="AH2851" s="9"/>
      <c r="AI2851" s="9"/>
    </row>
    <row r="2852" ht="15.0" customHeight="1">
      <c r="A2852" s="11">
        <v>2851.0</v>
      </c>
      <c r="B2852" s="12">
        <f t="shared" si="461"/>
        <v>40307</v>
      </c>
      <c r="C2852" s="13">
        <v>2010.0</v>
      </c>
      <c r="D2852" s="11" t="s">
        <v>23</v>
      </c>
      <c r="E2852" s="11">
        <v>10.0</v>
      </c>
      <c r="F2852" s="21" t="s">
        <v>486</v>
      </c>
      <c r="G2852" s="15">
        <v>0.09501754385964907</v>
      </c>
      <c r="H2852" s="11" t="s">
        <v>33</v>
      </c>
      <c r="I2852" s="16">
        <v>0.584</v>
      </c>
      <c r="J2852" s="11" t="s">
        <v>353</v>
      </c>
      <c r="K2852" s="11" t="s">
        <v>117</v>
      </c>
      <c r="L2852" s="11" t="s">
        <v>36</v>
      </c>
      <c r="M2852" s="11" t="s">
        <v>28</v>
      </c>
      <c r="N2852" s="11" t="s">
        <v>62</v>
      </c>
      <c r="O2852" s="11" t="s">
        <v>2309</v>
      </c>
      <c r="P2852" s="11" t="s">
        <v>58</v>
      </c>
      <c r="Q2852" s="20">
        <v>40309.0</v>
      </c>
      <c r="R2852" s="17">
        <f t="shared" si="2"/>
        <v>4.901384982</v>
      </c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>
        <f t="shared" si="8"/>
        <v>2</v>
      </c>
      <c r="AF2852" s="19" t="b">
        <f t="shared" si="13"/>
        <v>0</v>
      </c>
      <c r="AG2852" s="9"/>
      <c r="AH2852" s="9"/>
      <c r="AI2852" s="9"/>
    </row>
    <row r="2853" ht="15.0" customHeight="1">
      <c r="A2853" s="11">
        <v>2852.0</v>
      </c>
      <c r="B2853" s="12">
        <f t="shared" si="461"/>
        <v>40307</v>
      </c>
      <c r="C2853" s="13">
        <v>2010.0</v>
      </c>
      <c r="D2853" s="11" t="s">
        <v>23</v>
      </c>
      <c r="E2853" s="11">
        <v>1.0</v>
      </c>
      <c r="F2853" s="21" t="s">
        <v>758</v>
      </c>
      <c r="G2853" s="15">
        <v>0.10461538461538454</v>
      </c>
      <c r="H2853" s="11" t="s">
        <v>33</v>
      </c>
      <c r="I2853" s="16">
        <v>1.056</v>
      </c>
      <c r="J2853" s="11" t="s">
        <v>353</v>
      </c>
      <c r="K2853" s="11" t="s">
        <v>117</v>
      </c>
      <c r="L2853" s="11" t="s">
        <v>36</v>
      </c>
      <c r="M2853" s="11" t="s">
        <v>28</v>
      </c>
      <c r="N2853" s="11" t="s">
        <v>442</v>
      </c>
      <c r="O2853" s="11" t="s">
        <v>1304</v>
      </c>
      <c r="P2853" s="11" t="s">
        <v>58</v>
      </c>
      <c r="Q2853" s="20">
        <v>40309.0</v>
      </c>
      <c r="R2853" s="17">
        <f t="shared" si="2"/>
        <v>0.4870892308</v>
      </c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>
        <f t="shared" si="8"/>
        <v>2</v>
      </c>
      <c r="AF2853" s="19" t="b">
        <f t="shared" si="13"/>
        <v>0</v>
      </c>
      <c r="AG2853" s="9"/>
      <c r="AH2853" s="9"/>
      <c r="AI2853" s="9"/>
    </row>
    <row r="2854" ht="15.0" customHeight="1">
      <c r="A2854" s="11">
        <v>2853.0</v>
      </c>
      <c r="B2854" s="12">
        <f t="shared" si="461"/>
        <v>40307</v>
      </c>
      <c r="C2854" s="13">
        <v>2010.0</v>
      </c>
      <c r="D2854" s="11" t="s">
        <v>102</v>
      </c>
      <c r="E2854" s="11">
        <v>19.0</v>
      </c>
      <c r="F2854" s="21" t="s">
        <v>119</v>
      </c>
      <c r="G2854" s="15">
        <v>0.11075376884422096</v>
      </c>
      <c r="H2854" s="11" t="s">
        <v>33</v>
      </c>
      <c r="I2854" s="16">
        <v>1.192</v>
      </c>
      <c r="J2854" s="11" t="s">
        <v>608</v>
      </c>
      <c r="K2854" s="11" t="s">
        <v>35</v>
      </c>
      <c r="L2854" s="11" t="s">
        <v>27</v>
      </c>
      <c r="M2854" s="11" t="s">
        <v>28</v>
      </c>
      <c r="N2854" s="11" t="s">
        <v>42</v>
      </c>
      <c r="O2854" s="11" t="s">
        <v>1129</v>
      </c>
      <c r="P2854" s="11" t="s">
        <v>38</v>
      </c>
      <c r="Q2854" s="20">
        <v>40309.0</v>
      </c>
      <c r="R2854" s="17">
        <f t="shared" si="2"/>
        <v>3.919797387</v>
      </c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>
        <f t="shared" si="8"/>
        <v>1</v>
      </c>
      <c r="AF2854" s="19">
        <f t="shared" si="13"/>
        <v>2</v>
      </c>
      <c r="AG2854" s="9"/>
      <c r="AH2854" s="9"/>
      <c r="AI2854" s="9"/>
    </row>
    <row r="2855" ht="15.0" customHeight="1">
      <c r="A2855" s="11">
        <v>2854.0</v>
      </c>
      <c r="B2855" s="12">
        <f t="shared" ref="B2855:B2860" si="462">DATE(2012,12,31)-966</f>
        <v>40308</v>
      </c>
      <c r="C2855" s="13">
        <v>2010.0</v>
      </c>
      <c r="D2855" s="11" t="s">
        <v>39</v>
      </c>
      <c r="E2855" s="11">
        <v>38.0</v>
      </c>
      <c r="F2855" s="21" t="s">
        <v>914</v>
      </c>
      <c r="G2855" s="15">
        <v>0.04095440299261959</v>
      </c>
      <c r="H2855" s="11" t="s">
        <v>33</v>
      </c>
      <c r="I2855" s="16">
        <v>2.3920000000000003</v>
      </c>
      <c r="J2855" s="11" t="s">
        <v>1681</v>
      </c>
      <c r="K2855" s="11" t="s">
        <v>61</v>
      </c>
      <c r="L2855" s="11" t="s">
        <v>41</v>
      </c>
      <c r="M2855" s="11" t="s">
        <v>28</v>
      </c>
      <c r="N2855" s="11" t="s">
        <v>42</v>
      </c>
      <c r="O2855" s="11" t="s">
        <v>1626</v>
      </c>
      <c r="P2855" s="11" t="s">
        <v>38</v>
      </c>
      <c r="Q2855" s="20">
        <v>40309.0</v>
      </c>
      <c r="R2855" s="17">
        <f t="shared" si="2"/>
        <v>38.84901904</v>
      </c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>
        <f t="shared" si="8"/>
        <v>3</v>
      </c>
      <c r="AF2855" s="19">
        <f t="shared" si="13"/>
        <v>4</v>
      </c>
      <c r="AG2855" s="9"/>
      <c r="AH2855" s="9"/>
      <c r="AI2855" s="9"/>
    </row>
    <row r="2856" ht="15.0" customHeight="1">
      <c r="A2856" s="11">
        <v>2855.0</v>
      </c>
      <c r="B2856" s="12">
        <f t="shared" si="462"/>
        <v>40308</v>
      </c>
      <c r="C2856" s="13">
        <v>2010.0</v>
      </c>
      <c r="D2856" s="11" t="s">
        <v>32</v>
      </c>
      <c r="E2856" s="11">
        <v>39.0</v>
      </c>
      <c r="F2856" s="21" t="s">
        <v>694</v>
      </c>
      <c r="G2856" s="15">
        <v>0.031304238302160135</v>
      </c>
      <c r="H2856" s="11" t="s">
        <v>33</v>
      </c>
      <c r="I2856" s="16">
        <v>1.592</v>
      </c>
      <c r="J2856" s="11" t="s">
        <v>78</v>
      </c>
      <c r="K2856" s="11" t="s">
        <v>35</v>
      </c>
      <c r="L2856" s="11" t="s">
        <v>48</v>
      </c>
      <c r="M2856" s="11" t="s">
        <v>66</v>
      </c>
      <c r="N2856" s="11" t="s">
        <v>67</v>
      </c>
      <c r="O2856" s="11" t="s">
        <v>695</v>
      </c>
      <c r="P2856" s="11" t="s">
        <v>99</v>
      </c>
      <c r="Q2856" s="20">
        <v>40310.0</v>
      </c>
      <c r="R2856" s="17">
        <f t="shared" si="2"/>
        <v>48.15192892</v>
      </c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>
        <f t="shared" si="8"/>
        <v>4</v>
      </c>
      <c r="AF2856" s="19">
        <f t="shared" si="13"/>
        <v>2</v>
      </c>
      <c r="AG2856" s="9"/>
      <c r="AH2856" s="9"/>
      <c r="AI2856" s="9"/>
    </row>
    <row r="2857" ht="15.0" customHeight="1">
      <c r="A2857" s="11">
        <v>2856.0</v>
      </c>
      <c r="B2857" s="12">
        <f t="shared" si="462"/>
        <v>40308</v>
      </c>
      <c r="C2857" s="13">
        <v>2010.0</v>
      </c>
      <c r="D2857" s="11" t="s">
        <v>32</v>
      </c>
      <c r="E2857" s="11">
        <v>39.0</v>
      </c>
      <c r="F2857" s="21" t="s">
        <v>705</v>
      </c>
      <c r="G2857" s="15">
        <v>0.06149292149292138</v>
      </c>
      <c r="H2857" s="11" t="s">
        <v>33</v>
      </c>
      <c r="I2857" s="16">
        <v>1.544</v>
      </c>
      <c r="J2857" s="11" t="s">
        <v>78</v>
      </c>
      <c r="K2857" s="11" t="s">
        <v>35</v>
      </c>
      <c r="L2857" s="11" t="s">
        <v>48</v>
      </c>
      <c r="M2857" s="11" t="s">
        <v>28</v>
      </c>
      <c r="N2857" s="11" t="s">
        <v>56</v>
      </c>
      <c r="O2857" s="11" t="s">
        <v>90</v>
      </c>
      <c r="P2857" s="11" t="s">
        <v>58</v>
      </c>
      <c r="Q2857" s="20">
        <v>40310.0</v>
      </c>
      <c r="R2857" s="17">
        <f t="shared" si="2"/>
        <v>8.968373642</v>
      </c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>
        <f t="shared" si="8"/>
        <v>4</v>
      </c>
      <c r="AF2857" s="19">
        <f t="shared" si="13"/>
        <v>2</v>
      </c>
      <c r="AG2857" s="9"/>
      <c r="AH2857" s="9"/>
      <c r="AI2857" s="9"/>
    </row>
    <row r="2858" ht="15.0" customHeight="1">
      <c r="A2858" s="11">
        <v>2857.0</v>
      </c>
      <c r="B2858" s="12">
        <f t="shared" si="462"/>
        <v>40308</v>
      </c>
      <c r="C2858" s="13">
        <v>2010.0</v>
      </c>
      <c r="D2858" s="11" t="s">
        <v>32</v>
      </c>
      <c r="E2858" s="11">
        <v>33.0</v>
      </c>
      <c r="F2858" s="21" t="s">
        <v>2310</v>
      </c>
      <c r="G2858" s="15">
        <v>0.03570245812207171</v>
      </c>
      <c r="H2858" s="11" t="s">
        <v>45</v>
      </c>
      <c r="I2858" s="16">
        <v>37.272000000000006</v>
      </c>
      <c r="J2858" s="11" t="s">
        <v>2311</v>
      </c>
      <c r="K2858" s="11" t="s">
        <v>61</v>
      </c>
      <c r="L2858" s="11" t="s">
        <v>27</v>
      </c>
      <c r="M2858" s="11" t="s">
        <v>49</v>
      </c>
      <c r="N2858" s="11" t="s">
        <v>85</v>
      </c>
      <c r="O2858" s="11" t="s">
        <v>2312</v>
      </c>
      <c r="P2858" s="11" t="s">
        <v>87</v>
      </c>
      <c r="Q2858" s="20">
        <v>40310.0</v>
      </c>
      <c r="R2858" s="17">
        <f t="shared" si="2"/>
        <v>53.64194366</v>
      </c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>
        <f t="shared" si="8"/>
        <v>1</v>
      </c>
      <c r="AF2858" s="19">
        <f t="shared" si="13"/>
        <v>4</v>
      </c>
      <c r="AG2858" s="9"/>
      <c r="AH2858" s="9"/>
      <c r="AI2858" s="9"/>
    </row>
    <row r="2859" ht="15.0" customHeight="1">
      <c r="A2859" s="11">
        <v>2858.0</v>
      </c>
      <c r="B2859" s="12">
        <f t="shared" si="462"/>
        <v>40308</v>
      </c>
      <c r="C2859" s="13">
        <v>2010.0</v>
      </c>
      <c r="D2859" s="11" t="s">
        <v>39</v>
      </c>
      <c r="E2859" s="11">
        <v>32.0</v>
      </c>
      <c r="F2859" s="21" t="s">
        <v>1369</v>
      </c>
      <c r="G2859" s="15">
        <v>0.0429063097514339</v>
      </c>
      <c r="H2859" s="11" t="s">
        <v>33</v>
      </c>
      <c r="I2859" s="16">
        <v>0.9119999999999999</v>
      </c>
      <c r="J2859" s="11" t="s">
        <v>293</v>
      </c>
      <c r="K2859" s="11" t="s">
        <v>65</v>
      </c>
      <c r="L2859" s="11" t="s">
        <v>36</v>
      </c>
      <c r="M2859" s="11" t="s">
        <v>28</v>
      </c>
      <c r="N2859" s="11" t="s">
        <v>56</v>
      </c>
      <c r="O2859" s="11" t="s">
        <v>2313</v>
      </c>
      <c r="P2859" s="11" t="s">
        <v>58</v>
      </c>
      <c r="Q2859" s="20">
        <v>40310.0</v>
      </c>
      <c r="R2859" s="17">
        <f t="shared" si="2"/>
        <v>4.295436482</v>
      </c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>
        <f t="shared" si="8"/>
        <v>2</v>
      </c>
      <c r="AF2859" s="19">
        <f t="shared" si="13"/>
        <v>5</v>
      </c>
      <c r="AG2859" s="9"/>
      <c r="AH2859" s="9"/>
      <c r="AI2859" s="9"/>
    </row>
    <row r="2860" ht="15.0" customHeight="1">
      <c r="A2860" s="11">
        <v>2859.0</v>
      </c>
      <c r="B2860" s="12">
        <f t="shared" si="462"/>
        <v>40308</v>
      </c>
      <c r="C2860" s="13">
        <v>2010.0</v>
      </c>
      <c r="D2860" s="11" t="s">
        <v>23</v>
      </c>
      <c r="E2860" s="11">
        <v>50.0</v>
      </c>
      <c r="F2860" s="21" t="s">
        <v>218</v>
      </c>
      <c r="G2860" s="15">
        <v>0.024705606380483185</v>
      </c>
      <c r="H2860" s="11" t="s">
        <v>33</v>
      </c>
      <c r="I2860" s="16">
        <v>0.768</v>
      </c>
      <c r="J2860" s="11" t="s">
        <v>1068</v>
      </c>
      <c r="K2860" s="11" t="s">
        <v>35</v>
      </c>
      <c r="L2860" s="11" t="s">
        <v>36</v>
      </c>
      <c r="M2860" s="11" t="s">
        <v>49</v>
      </c>
      <c r="N2860" s="11" t="s">
        <v>73</v>
      </c>
      <c r="O2860" s="11" t="s">
        <v>220</v>
      </c>
      <c r="P2860" s="11" t="s">
        <v>58</v>
      </c>
      <c r="Q2860" s="20">
        <v>40310.0</v>
      </c>
      <c r="R2860" s="17">
        <f t="shared" si="2"/>
        <v>10.27180055</v>
      </c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>
        <f t="shared" si="8"/>
        <v>2</v>
      </c>
      <c r="AF2860" s="19">
        <f t="shared" si="13"/>
        <v>2</v>
      </c>
      <c r="AG2860" s="9"/>
      <c r="AH2860" s="9"/>
      <c r="AI2860" s="9"/>
    </row>
    <row r="2861" ht="15.0" customHeight="1">
      <c r="A2861" s="11">
        <v>2860.0</v>
      </c>
      <c r="B2861" s="12">
        <f t="shared" ref="B2861:B2873" si="463">DATE(2012,12,31)-965</f>
        <v>40309</v>
      </c>
      <c r="C2861" s="13">
        <v>2010.0</v>
      </c>
      <c r="D2861" s="11" t="s">
        <v>32</v>
      </c>
      <c r="E2861" s="11">
        <v>16.0</v>
      </c>
      <c r="F2861" s="21" t="s">
        <v>234</v>
      </c>
      <c r="G2861" s="15">
        <v>0.09244090673126829</v>
      </c>
      <c r="H2861" s="11" t="s">
        <v>33</v>
      </c>
      <c r="I2861" s="16">
        <v>15.991999999999999</v>
      </c>
      <c r="J2861" s="11" t="s">
        <v>1373</v>
      </c>
      <c r="K2861" s="11" t="s">
        <v>47</v>
      </c>
      <c r="L2861" s="11" t="s">
        <v>27</v>
      </c>
      <c r="M2861" s="11" t="s">
        <v>28</v>
      </c>
      <c r="N2861" s="11" t="s">
        <v>236</v>
      </c>
      <c r="O2861" s="11" t="s">
        <v>237</v>
      </c>
      <c r="P2861" s="11" t="s">
        <v>38</v>
      </c>
      <c r="Q2861" s="20">
        <v>40310.0</v>
      </c>
      <c r="R2861" s="17">
        <f t="shared" si="2"/>
        <v>242.4162943</v>
      </c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>
        <f t="shared" si="8"/>
        <v>1</v>
      </c>
      <c r="AF2861" s="19">
        <f t="shared" si="13"/>
        <v>3</v>
      </c>
      <c r="AG2861" s="9"/>
      <c r="AH2861" s="9"/>
      <c r="AI2861" s="9"/>
    </row>
    <row r="2862" ht="15.0" customHeight="1">
      <c r="A2862" s="11">
        <v>2861.0</v>
      </c>
      <c r="B2862" s="12">
        <f t="shared" si="463"/>
        <v>40309</v>
      </c>
      <c r="C2862" s="13">
        <v>2010.0</v>
      </c>
      <c r="D2862" s="11" t="s">
        <v>32</v>
      </c>
      <c r="E2862" s="11">
        <v>49.0</v>
      </c>
      <c r="F2862" s="21" t="s">
        <v>726</v>
      </c>
      <c r="G2862" s="15">
        <v>0.06502549965541013</v>
      </c>
      <c r="H2862" s="11" t="s">
        <v>33</v>
      </c>
      <c r="I2862" s="16">
        <v>7.024</v>
      </c>
      <c r="J2862" s="11" t="s">
        <v>1373</v>
      </c>
      <c r="K2862" s="11" t="s">
        <v>47</v>
      </c>
      <c r="L2862" s="11" t="s">
        <v>27</v>
      </c>
      <c r="M2862" s="11" t="s">
        <v>49</v>
      </c>
      <c r="N2862" s="11" t="s">
        <v>73</v>
      </c>
      <c r="O2862" s="11" t="s">
        <v>728</v>
      </c>
      <c r="P2862" s="11" t="s">
        <v>38</v>
      </c>
      <c r="Q2862" s="20">
        <v>40310.0</v>
      </c>
      <c r="R2862" s="17">
        <f t="shared" si="2"/>
        <v>44.10835703</v>
      </c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>
        <f t="shared" si="8"/>
        <v>1</v>
      </c>
      <c r="AF2862" s="19">
        <f t="shared" si="13"/>
        <v>3</v>
      </c>
      <c r="AG2862" s="9"/>
      <c r="AH2862" s="9"/>
      <c r="AI2862" s="9"/>
    </row>
    <row r="2863" ht="15.0" customHeight="1">
      <c r="A2863" s="11">
        <v>2862.0</v>
      </c>
      <c r="B2863" s="12">
        <f t="shared" si="463"/>
        <v>40309</v>
      </c>
      <c r="C2863" s="13">
        <v>2010.0</v>
      </c>
      <c r="D2863" s="11" t="s">
        <v>32</v>
      </c>
      <c r="E2863" s="11">
        <v>16.0</v>
      </c>
      <c r="F2863" s="21" t="s">
        <v>122</v>
      </c>
      <c r="G2863" s="15">
        <v>0.05325842696629224</v>
      </c>
      <c r="H2863" s="11" t="s">
        <v>33</v>
      </c>
      <c r="I2863" s="16">
        <v>2.64</v>
      </c>
      <c r="J2863" s="11" t="s">
        <v>1373</v>
      </c>
      <c r="K2863" s="11" t="s">
        <v>47</v>
      </c>
      <c r="L2863" s="11" t="s">
        <v>27</v>
      </c>
      <c r="M2863" s="11" t="s">
        <v>66</v>
      </c>
      <c r="N2863" s="11" t="s">
        <v>80</v>
      </c>
      <c r="O2863" s="11" t="s">
        <v>848</v>
      </c>
      <c r="P2863" s="11" t="s">
        <v>99</v>
      </c>
      <c r="Q2863" s="20">
        <v>40311.0</v>
      </c>
      <c r="R2863" s="17">
        <f t="shared" si="2"/>
        <v>17.95022022</v>
      </c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>
        <f t="shared" si="8"/>
        <v>1</v>
      </c>
      <c r="AF2863" s="19">
        <f t="shared" si="13"/>
        <v>3</v>
      </c>
      <c r="AG2863" s="9"/>
      <c r="AH2863" s="9"/>
      <c r="AI2863" s="9"/>
    </row>
    <row r="2864" ht="15.0" customHeight="1">
      <c r="A2864" s="11">
        <v>2863.0</v>
      </c>
      <c r="B2864" s="12">
        <f t="shared" si="463"/>
        <v>40309</v>
      </c>
      <c r="C2864" s="13">
        <v>2010.0</v>
      </c>
      <c r="D2864" s="11" t="s">
        <v>32</v>
      </c>
      <c r="E2864" s="11">
        <v>50.0</v>
      </c>
      <c r="F2864" s="21" t="s">
        <v>869</v>
      </c>
      <c r="G2864" s="15">
        <v>0.03027212419332999</v>
      </c>
      <c r="H2864" s="11" t="s">
        <v>33</v>
      </c>
      <c r="I2864" s="16">
        <v>2.64</v>
      </c>
      <c r="J2864" s="11" t="s">
        <v>1373</v>
      </c>
      <c r="K2864" s="11" t="s">
        <v>47</v>
      </c>
      <c r="L2864" s="11" t="s">
        <v>27</v>
      </c>
      <c r="M2864" s="11" t="s">
        <v>66</v>
      </c>
      <c r="N2864" s="11" t="s">
        <v>80</v>
      </c>
      <c r="O2864" s="11" t="s">
        <v>1608</v>
      </c>
      <c r="P2864" s="11" t="s">
        <v>99</v>
      </c>
      <c r="Q2864" s="20">
        <v>40311.0</v>
      </c>
      <c r="R2864" s="17">
        <f t="shared" si="2"/>
        <v>130.0986918</v>
      </c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>
        <f t="shared" si="8"/>
        <v>1</v>
      </c>
      <c r="AF2864" s="19">
        <f t="shared" si="13"/>
        <v>3</v>
      </c>
      <c r="AG2864" s="9"/>
      <c r="AH2864" s="9"/>
      <c r="AI2864" s="9"/>
    </row>
    <row r="2865" ht="15.0" customHeight="1">
      <c r="A2865" s="11">
        <v>2864.0</v>
      </c>
      <c r="B2865" s="12">
        <f t="shared" si="463"/>
        <v>40309</v>
      </c>
      <c r="C2865" s="13">
        <v>2010.0</v>
      </c>
      <c r="D2865" s="11" t="s">
        <v>102</v>
      </c>
      <c r="E2865" s="11">
        <v>37.0</v>
      </c>
      <c r="F2865" s="21" t="s">
        <v>261</v>
      </c>
      <c r="G2865" s="15">
        <v>0.0574052480245671</v>
      </c>
      <c r="H2865" s="11" t="s">
        <v>45</v>
      </c>
      <c r="I2865" s="16">
        <v>31.200000000000003</v>
      </c>
      <c r="J2865" s="11" t="s">
        <v>1715</v>
      </c>
      <c r="K2865" s="11" t="s">
        <v>26</v>
      </c>
      <c r="L2865" s="11" t="s">
        <v>41</v>
      </c>
      <c r="M2865" s="11" t="s">
        <v>49</v>
      </c>
      <c r="N2865" s="11" t="s">
        <v>50</v>
      </c>
      <c r="O2865" s="11" t="s">
        <v>263</v>
      </c>
      <c r="P2865" s="11" t="s">
        <v>52</v>
      </c>
      <c r="Q2865" s="20">
        <v>40311.0</v>
      </c>
      <c r="R2865" s="17">
        <f t="shared" si="2"/>
        <v>747.1006004</v>
      </c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>
        <f t="shared" si="8"/>
        <v>3</v>
      </c>
      <c r="AF2865" s="19">
        <f t="shared" si="13"/>
        <v>1</v>
      </c>
      <c r="AG2865" s="9"/>
      <c r="AH2865" s="9"/>
      <c r="AI2865" s="9"/>
    </row>
    <row r="2866" ht="15.0" customHeight="1">
      <c r="A2866" s="11">
        <v>2865.0</v>
      </c>
      <c r="B2866" s="12">
        <f t="shared" si="463"/>
        <v>40309</v>
      </c>
      <c r="C2866" s="13">
        <v>2010.0</v>
      </c>
      <c r="D2866" s="11" t="s">
        <v>23</v>
      </c>
      <c r="E2866" s="11">
        <v>34.0</v>
      </c>
      <c r="F2866" s="21" t="s">
        <v>344</v>
      </c>
      <c r="G2866" s="15">
        <v>0.02397623594313603</v>
      </c>
      <c r="H2866" s="11" t="s">
        <v>33</v>
      </c>
      <c r="I2866" s="16">
        <v>4.4</v>
      </c>
      <c r="J2866" s="11" t="s">
        <v>1712</v>
      </c>
      <c r="K2866" s="11" t="s">
        <v>35</v>
      </c>
      <c r="L2866" s="11" t="s">
        <v>41</v>
      </c>
      <c r="M2866" s="11" t="s">
        <v>28</v>
      </c>
      <c r="N2866" s="11" t="s">
        <v>29</v>
      </c>
      <c r="O2866" s="11" t="s">
        <v>346</v>
      </c>
      <c r="P2866" s="11" t="s">
        <v>38</v>
      </c>
      <c r="Q2866" s="20">
        <v>40311.0</v>
      </c>
      <c r="R2866" s="17">
        <f t="shared" si="2"/>
        <v>11.02906853</v>
      </c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>
        <f t="shared" si="8"/>
        <v>3</v>
      </c>
      <c r="AF2866" s="19">
        <f t="shared" si="13"/>
        <v>2</v>
      </c>
      <c r="AG2866" s="9"/>
      <c r="AH2866" s="9"/>
      <c r="AI2866" s="9"/>
    </row>
    <row r="2867" ht="15.0" customHeight="1">
      <c r="A2867" s="11">
        <v>2866.0</v>
      </c>
      <c r="B2867" s="12">
        <f t="shared" si="463"/>
        <v>40309</v>
      </c>
      <c r="C2867" s="13">
        <v>2010.0</v>
      </c>
      <c r="D2867" s="11" t="s">
        <v>23</v>
      </c>
      <c r="E2867" s="11">
        <v>16.0</v>
      </c>
      <c r="F2867" s="21" t="s">
        <v>178</v>
      </c>
      <c r="G2867" s="15">
        <v>0.07601607548488538</v>
      </c>
      <c r="H2867" s="11" t="s">
        <v>33</v>
      </c>
      <c r="I2867" s="16">
        <v>3.192</v>
      </c>
      <c r="J2867" s="11" t="s">
        <v>1712</v>
      </c>
      <c r="K2867" s="11" t="s">
        <v>35</v>
      </c>
      <c r="L2867" s="11" t="s">
        <v>41</v>
      </c>
      <c r="M2867" s="11" t="s">
        <v>66</v>
      </c>
      <c r="N2867" s="11" t="s">
        <v>80</v>
      </c>
      <c r="O2867" s="11" t="s">
        <v>587</v>
      </c>
      <c r="P2867" s="11" t="s">
        <v>38</v>
      </c>
      <c r="Q2867" s="20">
        <v>40311.0</v>
      </c>
      <c r="R2867" s="17">
        <f t="shared" si="2"/>
        <v>80.3939933</v>
      </c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>
        <f t="shared" si="8"/>
        <v>3</v>
      </c>
      <c r="AF2867" s="19">
        <f t="shared" si="13"/>
        <v>2</v>
      </c>
      <c r="AG2867" s="9"/>
      <c r="AH2867" s="9"/>
      <c r="AI2867" s="9"/>
    </row>
    <row r="2868" ht="15.0" customHeight="1">
      <c r="A2868" s="11">
        <v>2867.0</v>
      </c>
      <c r="B2868" s="12">
        <f t="shared" si="463"/>
        <v>40309</v>
      </c>
      <c r="C2868" s="13">
        <v>2010.0</v>
      </c>
      <c r="D2868" s="11" t="s">
        <v>23</v>
      </c>
      <c r="E2868" s="11">
        <v>6.0</v>
      </c>
      <c r="F2868" s="21" t="s">
        <v>130</v>
      </c>
      <c r="G2868" s="15">
        <v>0.08233028406355332</v>
      </c>
      <c r="H2868" s="11" t="s">
        <v>33</v>
      </c>
      <c r="I2868" s="16">
        <v>5.2</v>
      </c>
      <c r="J2868" s="11" t="s">
        <v>1712</v>
      </c>
      <c r="K2868" s="11" t="s">
        <v>35</v>
      </c>
      <c r="L2868" s="11" t="s">
        <v>41</v>
      </c>
      <c r="M2868" s="11" t="s">
        <v>66</v>
      </c>
      <c r="N2868" s="11" t="s">
        <v>67</v>
      </c>
      <c r="O2868" s="11" t="s">
        <v>1305</v>
      </c>
      <c r="P2868" s="11" t="s">
        <v>38</v>
      </c>
      <c r="Q2868" s="20">
        <v>40311.0</v>
      </c>
      <c r="R2868" s="17">
        <f t="shared" si="2"/>
        <v>15.69215214</v>
      </c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>
        <f t="shared" si="8"/>
        <v>3</v>
      </c>
      <c r="AF2868" s="19">
        <f t="shared" si="13"/>
        <v>2</v>
      </c>
      <c r="AG2868" s="9"/>
      <c r="AH2868" s="9"/>
      <c r="AI2868" s="9"/>
    </row>
    <row r="2869" ht="15.0" customHeight="1">
      <c r="A2869" s="11">
        <v>2868.0</v>
      </c>
      <c r="B2869" s="12">
        <f t="shared" si="463"/>
        <v>40309</v>
      </c>
      <c r="C2869" s="13">
        <v>2010.0</v>
      </c>
      <c r="D2869" s="11" t="s">
        <v>23</v>
      </c>
      <c r="E2869" s="11">
        <v>21.0</v>
      </c>
      <c r="F2869" s="21" t="s">
        <v>1091</v>
      </c>
      <c r="G2869" s="15">
        <v>0.010634794156706559</v>
      </c>
      <c r="H2869" s="11" t="s">
        <v>33</v>
      </c>
      <c r="I2869" s="16">
        <v>1.592</v>
      </c>
      <c r="J2869" s="11" t="s">
        <v>1712</v>
      </c>
      <c r="K2869" s="11" t="s">
        <v>35</v>
      </c>
      <c r="L2869" s="11" t="s">
        <v>41</v>
      </c>
      <c r="M2869" s="11" t="s">
        <v>66</v>
      </c>
      <c r="N2869" s="11" t="s">
        <v>67</v>
      </c>
      <c r="O2869" s="11" t="s">
        <v>1200</v>
      </c>
      <c r="P2869" s="11" t="s">
        <v>99</v>
      </c>
      <c r="Q2869" s="20">
        <v>40311.0</v>
      </c>
      <c r="R2869" s="17">
        <f t="shared" si="2"/>
        <v>7.922836568</v>
      </c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>
        <f t="shared" si="8"/>
        <v>3</v>
      </c>
      <c r="AF2869" s="19">
        <f t="shared" si="13"/>
        <v>2</v>
      </c>
      <c r="AG2869" s="9"/>
      <c r="AH2869" s="9"/>
      <c r="AI2869" s="9"/>
    </row>
    <row r="2870" ht="15.0" customHeight="1">
      <c r="A2870" s="11">
        <v>2869.0</v>
      </c>
      <c r="B2870" s="12">
        <f t="shared" si="463"/>
        <v>40309</v>
      </c>
      <c r="C2870" s="13">
        <v>2010.0</v>
      </c>
      <c r="D2870" s="11" t="s">
        <v>102</v>
      </c>
      <c r="E2870" s="11">
        <v>5.0</v>
      </c>
      <c r="F2870" s="21" t="s">
        <v>493</v>
      </c>
      <c r="G2870" s="15">
        <v>0.035775347767883096</v>
      </c>
      <c r="H2870" s="11" t="s">
        <v>33</v>
      </c>
      <c r="I2870" s="16">
        <v>15.991999999999999</v>
      </c>
      <c r="J2870" s="11" t="s">
        <v>2314</v>
      </c>
      <c r="K2870" s="11" t="s">
        <v>61</v>
      </c>
      <c r="L2870" s="11" t="s">
        <v>41</v>
      </c>
      <c r="M2870" s="11" t="s">
        <v>28</v>
      </c>
      <c r="N2870" s="11" t="s">
        <v>42</v>
      </c>
      <c r="O2870" s="11" t="s">
        <v>495</v>
      </c>
      <c r="P2870" s="11" t="s">
        <v>38</v>
      </c>
      <c r="Q2870" s="20">
        <v>40311.0</v>
      </c>
      <c r="R2870" s="17">
        <f t="shared" si="2"/>
        <v>75.86133874</v>
      </c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>
        <f t="shared" si="8"/>
        <v>3</v>
      </c>
      <c r="AF2870" s="19">
        <f t="shared" si="13"/>
        <v>4</v>
      </c>
      <c r="AG2870" s="9"/>
      <c r="AH2870" s="9"/>
      <c r="AI2870" s="9"/>
    </row>
    <row r="2871" ht="15.0" customHeight="1">
      <c r="A2871" s="11">
        <v>2870.0</v>
      </c>
      <c r="B2871" s="12">
        <f t="shared" si="463"/>
        <v>40309</v>
      </c>
      <c r="C2871" s="13">
        <v>2010.0</v>
      </c>
      <c r="D2871" s="11" t="s">
        <v>102</v>
      </c>
      <c r="E2871" s="11">
        <v>44.0</v>
      </c>
      <c r="F2871" s="21" t="s">
        <v>158</v>
      </c>
      <c r="G2871" s="15">
        <v>0.03744510978043902</v>
      </c>
      <c r="H2871" s="11" t="s">
        <v>33</v>
      </c>
      <c r="I2871" s="16">
        <v>7.744</v>
      </c>
      <c r="J2871" s="11" t="s">
        <v>2314</v>
      </c>
      <c r="K2871" s="11" t="s">
        <v>61</v>
      </c>
      <c r="L2871" s="11" t="s">
        <v>41</v>
      </c>
      <c r="M2871" s="11" t="s">
        <v>28</v>
      </c>
      <c r="N2871" s="11" t="s">
        <v>56</v>
      </c>
      <c r="O2871" s="11" t="s">
        <v>635</v>
      </c>
      <c r="P2871" s="11" t="s">
        <v>38</v>
      </c>
      <c r="Q2871" s="20">
        <v>40311.0</v>
      </c>
      <c r="R2871" s="17">
        <f t="shared" si="2"/>
        <v>10.83451784</v>
      </c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>
        <f t="shared" si="8"/>
        <v>3</v>
      </c>
      <c r="AF2871" s="19">
        <f t="shared" si="13"/>
        <v>4</v>
      </c>
      <c r="AG2871" s="9"/>
      <c r="AH2871" s="9"/>
      <c r="AI2871" s="9"/>
    </row>
    <row r="2872" ht="15.0" customHeight="1">
      <c r="A2872" s="11">
        <v>2871.0</v>
      </c>
      <c r="B2872" s="12">
        <f t="shared" si="463"/>
        <v>40309</v>
      </c>
      <c r="C2872" s="13">
        <v>2010.0</v>
      </c>
      <c r="D2872" s="11" t="s">
        <v>102</v>
      </c>
      <c r="E2872" s="11">
        <v>48.0</v>
      </c>
      <c r="F2872" s="21" t="s">
        <v>1047</v>
      </c>
      <c r="G2872" s="15">
        <v>0.06812262156448198</v>
      </c>
      <c r="H2872" s="11" t="s">
        <v>33</v>
      </c>
      <c r="I2872" s="16">
        <v>11.112000000000002</v>
      </c>
      <c r="J2872" s="11" t="s">
        <v>2314</v>
      </c>
      <c r="K2872" s="11" t="s">
        <v>61</v>
      </c>
      <c r="L2872" s="11" t="s">
        <v>41</v>
      </c>
      <c r="M2872" s="11" t="s">
        <v>28</v>
      </c>
      <c r="N2872" s="11" t="s">
        <v>62</v>
      </c>
      <c r="O2872" s="11" t="s">
        <v>1049</v>
      </c>
      <c r="P2872" s="11" t="s">
        <v>58</v>
      </c>
      <c r="Q2872" s="20">
        <v>40311.0</v>
      </c>
      <c r="R2872" s="17">
        <f t="shared" si="2"/>
        <v>120.1078116</v>
      </c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>
        <f t="shared" si="8"/>
        <v>3</v>
      </c>
      <c r="AF2872" s="19">
        <f t="shared" si="13"/>
        <v>4</v>
      </c>
      <c r="AG2872" s="9"/>
      <c r="AH2872" s="9"/>
      <c r="AI2872" s="9"/>
    </row>
    <row r="2873" ht="15.0" customHeight="1">
      <c r="A2873" s="11">
        <v>2872.0</v>
      </c>
      <c r="B2873" s="12">
        <f t="shared" si="463"/>
        <v>40309</v>
      </c>
      <c r="C2873" s="13">
        <v>2010.0</v>
      </c>
      <c r="D2873" s="11" t="s">
        <v>102</v>
      </c>
      <c r="E2873" s="11">
        <v>23.0</v>
      </c>
      <c r="F2873" s="21" t="s">
        <v>158</v>
      </c>
      <c r="G2873" s="15">
        <v>0.08352231604342572</v>
      </c>
      <c r="H2873" s="11" t="s">
        <v>33</v>
      </c>
      <c r="I2873" s="16">
        <v>4.752000000000001</v>
      </c>
      <c r="J2873" s="11" t="s">
        <v>1798</v>
      </c>
      <c r="K2873" s="11" t="s">
        <v>83</v>
      </c>
      <c r="L2873" s="11" t="s">
        <v>48</v>
      </c>
      <c r="M2873" s="11" t="s">
        <v>28</v>
      </c>
      <c r="N2873" s="11" t="s">
        <v>56</v>
      </c>
      <c r="O2873" s="11" t="s">
        <v>2186</v>
      </c>
      <c r="P2873" s="11" t="s">
        <v>38</v>
      </c>
      <c r="Q2873" s="20">
        <v>40311.0</v>
      </c>
      <c r="R2873" s="17">
        <f t="shared" si="2"/>
        <v>12.69138297</v>
      </c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>
        <f t="shared" si="8"/>
        <v>4</v>
      </c>
      <c r="AF2873" s="19" t="b">
        <f t="shared" si="13"/>
        <v>0</v>
      </c>
      <c r="AG2873" s="9"/>
      <c r="AH2873" s="9"/>
      <c r="AI2873" s="9"/>
    </row>
    <row r="2874" ht="15.0" customHeight="1">
      <c r="A2874" s="11">
        <v>2873.0</v>
      </c>
      <c r="B2874" s="12">
        <f t="shared" ref="B2874:B2881" si="464">DATE(2012,12,31)-964</f>
        <v>40310</v>
      </c>
      <c r="C2874" s="13">
        <v>2010.0</v>
      </c>
      <c r="D2874" s="11" t="s">
        <v>32</v>
      </c>
      <c r="E2874" s="11">
        <v>9.0</v>
      </c>
      <c r="F2874" s="21" t="s">
        <v>130</v>
      </c>
      <c r="G2874" s="15">
        <v>0.006298769771529104</v>
      </c>
      <c r="H2874" s="11" t="s">
        <v>33</v>
      </c>
      <c r="I2874" s="16">
        <v>4.608</v>
      </c>
      <c r="J2874" s="11" t="s">
        <v>2098</v>
      </c>
      <c r="K2874" s="11" t="s">
        <v>83</v>
      </c>
      <c r="L2874" s="11" t="s">
        <v>48</v>
      </c>
      <c r="M2874" s="11" t="s">
        <v>28</v>
      </c>
      <c r="N2874" s="11" t="s">
        <v>56</v>
      </c>
      <c r="O2874" s="11" t="s">
        <v>132</v>
      </c>
      <c r="P2874" s="11" t="s">
        <v>38</v>
      </c>
      <c r="Q2874" s="20">
        <v>40311.0</v>
      </c>
      <c r="R2874" s="17">
        <f t="shared" si="2"/>
        <v>1.780712605</v>
      </c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>
        <f t="shared" si="8"/>
        <v>4</v>
      </c>
      <c r="AF2874" s="19" t="b">
        <f t="shared" si="13"/>
        <v>0</v>
      </c>
      <c r="AG2874" s="9"/>
      <c r="AH2874" s="9"/>
      <c r="AI2874" s="9"/>
    </row>
    <row r="2875" ht="15.0" customHeight="1">
      <c r="A2875" s="11">
        <v>2874.0</v>
      </c>
      <c r="B2875" s="12">
        <f t="shared" si="464"/>
        <v>40310</v>
      </c>
      <c r="C2875" s="13">
        <v>2010.0</v>
      </c>
      <c r="D2875" s="11" t="s">
        <v>32</v>
      </c>
      <c r="E2875" s="11">
        <v>34.0</v>
      </c>
      <c r="F2875" s="21" t="s">
        <v>306</v>
      </c>
      <c r="G2875" s="15">
        <v>0.04466247379454945</v>
      </c>
      <c r="H2875" s="11" t="s">
        <v>33</v>
      </c>
      <c r="I2875" s="16">
        <v>6.944</v>
      </c>
      <c r="J2875" s="11" t="s">
        <v>2098</v>
      </c>
      <c r="K2875" s="11" t="s">
        <v>83</v>
      </c>
      <c r="L2875" s="11" t="s">
        <v>48</v>
      </c>
      <c r="M2875" s="11" t="s">
        <v>28</v>
      </c>
      <c r="N2875" s="11" t="s">
        <v>56</v>
      </c>
      <c r="O2875" s="11" t="s">
        <v>401</v>
      </c>
      <c r="P2875" s="11" t="s">
        <v>38</v>
      </c>
      <c r="Q2875" s="20">
        <v>40311.0</v>
      </c>
      <c r="R2875" s="17">
        <f t="shared" si="2"/>
        <v>30.52876599</v>
      </c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>
        <f t="shared" si="8"/>
        <v>4</v>
      </c>
      <c r="AF2875" s="19" t="b">
        <f t="shared" si="13"/>
        <v>0</v>
      </c>
      <c r="AG2875" s="9"/>
      <c r="AH2875" s="9"/>
      <c r="AI2875" s="9"/>
    </row>
    <row r="2876" ht="15.0" customHeight="1">
      <c r="A2876" s="11">
        <v>2875.0</v>
      </c>
      <c r="B2876" s="12">
        <f t="shared" si="464"/>
        <v>40310</v>
      </c>
      <c r="C2876" s="13">
        <v>2010.0</v>
      </c>
      <c r="D2876" s="11" t="s">
        <v>44</v>
      </c>
      <c r="E2876" s="11">
        <v>43.0</v>
      </c>
      <c r="F2876" s="21" t="s">
        <v>270</v>
      </c>
      <c r="G2876" s="15">
        <v>0.07661765475380658</v>
      </c>
      <c r="H2876" s="11" t="s">
        <v>33</v>
      </c>
      <c r="I2876" s="16">
        <v>5.976</v>
      </c>
      <c r="J2876" s="11" t="s">
        <v>1137</v>
      </c>
      <c r="K2876" s="11" t="s">
        <v>83</v>
      </c>
      <c r="L2876" s="11" t="s">
        <v>41</v>
      </c>
      <c r="M2876" s="11" t="s">
        <v>28</v>
      </c>
      <c r="N2876" s="11" t="s">
        <v>42</v>
      </c>
      <c r="O2876" s="11" t="s">
        <v>750</v>
      </c>
      <c r="P2876" s="11" t="s">
        <v>38</v>
      </c>
      <c r="Q2876" s="20">
        <v>40312.0</v>
      </c>
      <c r="R2876" s="17">
        <f t="shared" si="2"/>
        <v>135.2053365</v>
      </c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>
        <f t="shared" si="8"/>
        <v>3</v>
      </c>
      <c r="AF2876" s="19" t="b">
        <f t="shared" si="13"/>
        <v>0</v>
      </c>
      <c r="AG2876" s="9"/>
      <c r="AH2876" s="9"/>
      <c r="AI2876" s="9"/>
    </row>
    <row r="2877" ht="15.0" customHeight="1">
      <c r="A2877" s="11">
        <v>2876.0</v>
      </c>
      <c r="B2877" s="12">
        <f t="shared" si="464"/>
        <v>40310</v>
      </c>
      <c r="C2877" s="13">
        <v>2010.0</v>
      </c>
      <c r="D2877" s="11" t="s">
        <v>44</v>
      </c>
      <c r="E2877" s="11">
        <v>21.0</v>
      </c>
      <c r="F2877" s="21" t="s">
        <v>242</v>
      </c>
      <c r="G2877" s="15">
        <v>0.05197916012805208</v>
      </c>
      <c r="H2877" s="11" t="s">
        <v>45</v>
      </c>
      <c r="I2877" s="16">
        <v>21.392</v>
      </c>
      <c r="J2877" s="11" t="s">
        <v>1137</v>
      </c>
      <c r="K2877" s="11" t="s">
        <v>83</v>
      </c>
      <c r="L2877" s="11" t="s">
        <v>41</v>
      </c>
      <c r="M2877" s="11" t="s">
        <v>49</v>
      </c>
      <c r="N2877" s="11" t="s">
        <v>156</v>
      </c>
      <c r="O2877" s="11" t="s">
        <v>1909</v>
      </c>
      <c r="P2877" s="11" t="s">
        <v>87</v>
      </c>
      <c r="Q2877" s="20">
        <v>40312.0</v>
      </c>
      <c r="R2877" s="17">
        <f t="shared" si="2"/>
        <v>78.50370971</v>
      </c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>
        <f t="shared" si="8"/>
        <v>3</v>
      </c>
      <c r="AF2877" s="19" t="b">
        <f t="shared" si="13"/>
        <v>0</v>
      </c>
      <c r="AG2877" s="9"/>
      <c r="AH2877" s="9"/>
      <c r="AI2877" s="9"/>
    </row>
    <row r="2878" ht="15.0" customHeight="1">
      <c r="A2878" s="11">
        <v>2877.0</v>
      </c>
      <c r="B2878" s="12">
        <f t="shared" si="464"/>
        <v>40310</v>
      </c>
      <c r="C2878" s="13">
        <v>2010.0</v>
      </c>
      <c r="D2878" s="11" t="s">
        <v>44</v>
      </c>
      <c r="E2878" s="11">
        <v>36.0</v>
      </c>
      <c r="F2878" s="21" t="s">
        <v>1692</v>
      </c>
      <c r="G2878" s="15">
        <v>0.03973050276488911</v>
      </c>
      <c r="H2878" s="11" t="s">
        <v>33</v>
      </c>
      <c r="I2878" s="16">
        <v>2.3920000000000003</v>
      </c>
      <c r="J2878" s="11" t="s">
        <v>2315</v>
      </c>
      <c r="K2878" s="11" t="s">
        <v>26</v>
      </c>
      <c r="L2878" s="11" t="s">
        <v>36</v>
      </c>
      <c r="M2878" s="11" t="s">
        <v>28</v>
      </c>
      <c r="N2878" s="11" t="s">
        <v>42</v>
      </c>
      <c r="O2878" s="11" t="s">
        <v>1694</v>
      </c>
      <c r="P2878" s="11" t="s">
        <v>38</v>
      </c>
      <c r="Q2878" s="20">
        <v>40312.0</v>
      </c>
      <c r="R2878" s="17">
        <f t="shared" si="2"/>
        <v>60.02452573</v>
      </c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>
        <f t="shared" si="8"/>
        <v>2</v>
      </c>
      <c r="AF2878" s="19">
        <f t="shared" si="13"/>
        <v>1</v>
      </c>
      <c r="AG2878" s="9"/>
      <c r="AH2878" s="9"/>
      <c r="AI2878" s="9"/>
    </row>
    <row r="2879" ht="15.0" customHeight="1">
      <c r="A2879" s="11">
        <v>2878.0</v>
      </c>
      <c r="B2879" s="12">
        <f t="shared" si="464"/>
        <v>40310</v>
      </c>
      <c r="C2879" s="13">
        <v>2010.0</v>
      </c>
      <c r="D2879" s="11" t="s">
        <v>44</v>
      </c>
      <c r="E2879" s="11">
        <v>38.0</v>
      </c>
      <c r="F2879" s="21" t="s">
        <v>242</v>
      </c>
      <c r="G2879" s="15">
        <v>0.0343881395922103</v>
      </c>
      <c r="H2879" s="11" t="s">
        <v>45</v>
      </c>
      <c r="I2879" s="16">
        <v>47.848000000000006</v>
      </c>
      <c r="J2879" s="11" t="s">
        <v>2315</v>
      </c>
      <c r="K2879" s="11" t="s">
        <v>26</v>
      </c>
      <c r="L2879" s="11" t="s">
        <v>36</v>
      </c>
      <c r="M2879" s="11" t="s">
        <v>49</v>
      </c>
      <c r="N2879" s="11" t="s">
        <v>50</v>
      </c>
      <c r="O2879" s="11" t="s">
        <v>2218</v>
      </c>
      <c r="P2879" s="11" t="s">
        <v>52</v>
      </c>
      <c r="Q2879" s="20">
        <v>40312.0</v>
      </c>
      <c r="R2879" s="17">
        <f t="shared" si="2"/>
        <v>94.29392939</v>
      </c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>
        <f t="shared" si="8"/>
        <v>2</v>
      </c>
      <c r="AF2879" s="19">
        <f t="shared" si="13"/>
        <v>1</v>
      </c>
      <c r="AG2879" s="9"/>
      <c r="AH2879" s="9"/>
      <c r="AI2879" s="9"/>
    </row>
    <row r="2880" ht="15.0" customHeight="1">
      <c r="A2880" s="11">
        <v>2879.0</v>
      </c>
      <c r="B2880" s="12">
        <f t="shared" si="464"/>
        <v>40310</v>
      </c>
      <c r="C2880" s="13">
        <v>2010.0</v>
      </c>
      <c r="D2880" s="11" t="s">
        <v>102</v>
      </c>
      <c r="E2880" s="11">
        <v>25.0</v>
      </c>
      <c r="F2880" s="21" t="s">
        <v>2094</v>
      </c>
      <c r="G2880" s="15">
        <v>0.09329044117647067</v>
      </c>
      <c r="H2880" s="11" t="s">
        <v>33</v>
      </c>
      <c r="I2880" s="16">
        <v>8.6</v>
      </c>
      <c r="J2880" s="11" t="s">
        <v>2262</v>
      </c>
      <c r="K2880" s="11" t="s">
        <v>26</v>
      </c>
      <c r="L2880" s="11" t="s">
        <v>27</v>
      </c>
      <c r="M2880" s="11" t="s">
        <v>28</v>
      </c>
      <c r="N2880" s="11" t="s">
        <v>56</v>
      </c>
      <c r="O2880" s="11" t="s">
        <v>2096</v>
      </c>
      <c r="P2880" s="11" t="s">
        <v>38</v>
      </c>
      <c r="Q2880" s="20">
        <v>40312.0</v>
      </c>
      <c r="R2880" s="17">
        <f t="shared" si="2"/>
        <v>128.8434283</v>
      </c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>
        <f t="shared" si="8"/>
        <v>1</v>
      </c>
      <c r="AF2880" s="19">
        <f t="shared" si="13"/>
        <v>1</v>
      </c>
      <c r="AG2880" s="9"/>
      <c r="AH2880" s="9"/>
      <c r="AI2880" s="9"/>
    </row>
    <row r="2881" ht="15.0" customHeight="1">
      <c r="A2881" s="11">
        <v>2880.0</v>
      </c>
      <c r="B2881" s="12">
        <f t="shared" si="464"/>
        <v>40310</v>
      </c>
      <c r="C2881" s="13">
        <v>2010.0</v>
      </c>
      <c r="D2881" s="11" t="s">
        <v>102</v>
      </c>
      <c r="E2881" s="11">
        <v>50.0</v>
      </c>
      <c r="F2881" s="21" t="s">
        <v>290</v>
      </c>
      <c r="G2881" s="15">
        <v>0.07860884499785312</v>
      </c>
      <c r="H2881" s="11" t="s">
        <v>24</v>
      </c>
      <c r="I2881" s="16">
        <v>4.5920000000000005</v>
      </c>
      <c r="J2881" s="11" t="s">
        <v>1036</v>
      </c>
      <c r="K2881" s="11" t="s">
        <v>65</v>
      </c>
      <c r="L2881" s="11" t="s">
        <v>36</v>
      </c>
      <c r="M2881" s="11" t="s">
        <v>28</v>
      </c>
      <c r="N2881" s="11" t="s">
        <v>56</v>
      </c>
      <c r="O2881" s="11" t="s">
        <v>2234</v>
      </c>
      <c r="P2881" s="11" t="s">
        <v>38</v>
      </c>
      <c r="Q2881" s="20">
        <v>40313.0</v>
      </c>
      <c r="R2881" s="17">
        <f t="shared" si="2"/>
        <v>16.86882927</v>
      </c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>
        <f t="shared" si="8"/>
        <v>2</v>
      </c>
      <c r="AF2881" s="19">
        <f t="shared" si="13"/>
        <v>5</v>
      </c>
      <c r="AG2881" s="9"/>
      <c r="AH2881" s="9"/>
      <c r="AI2881" s="9"/>
    </row>
    <row r="2882" ht="15.0" customHeight="1">
      <c r="A2882" s="11">
        <v>2881.0</v>
      </c>
      <c r="B2882" s="12">
        <f t="shared" ref="B2882:B2887" si="465">DATE(2012,12,31)-963</f>
        <v>40311</v>
      </c>
      <c r="C2882" s="13">
        <v>2010.0</v>
      </c>
      <c r="D2882" s="11" t="s">
        <v>23</v>
      </c>
      <c r="E2882" s="11">
        <v>46.0</v>
      </c>
      <c r="F2882" s="21" t="s">
        <v>486</v>
      </c>
      <c r="G2882" s="15">
        <v>0.06638563622170172</v>
      </c>
      <c r="H2882" s="11" t="s">
        <v>33</v>
      </c>
      <c r="I2882" s="16">
        <v>4.5920000000000005</v>
      </c>
      <c r="J2882" s="11" t="s">
        <v>648</v>
      </c>
      <c r="K2882" s="11" t="s">
        <v>35</v>
      </c>
      <c r="L2882" s="11" t="s">
        <v>27</v>
      </c>
      <c r="M2882" s="11" t="s">
        <v>28</v>
      </c>
      <c r="N2882" s="11" t="s">
        <v>42</v>
      </c>
      <c r="O2882" s="11" t="s">
        <v>487</v>
      </c>
      <c r="P2882" s="11" t="s">
        <v>38</v>
      </c>
      <c r="Q2882" s="20">
        <v>40313.0</v>
      </c>
      <c r="R2882" s="17">
        <f t="shared" si="2"/>
        <v>15.8789131</v>
      </c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>
        <f t="shared" si="8"/>
        <v>1</v>
      </c>
      <c r="AF2882" s="19">
        <f t="shared" si="13"/>
        <v>2</v>
      </c>
      <c r="AG2882" s="9"/>
      <c r="AH2882" s="9"/>
      <c r="AI2882" s="9"/>
    </row>
    <row r="2883" ht="15.0" customHeight="1">
      <c r="A2883" s="11">
        <v>2882.0</v>
      </c>
      <c r="B2883" s="12">
        <f t="shared" si="465"/>
        <v>40311</v>
      </c>
      <c r="C2883" s="13">
        <v>2010.0</v>
      </c>
      <c r="D2883" s="11" t="s">
        <v>23</v>
      </c>
      <c r="E2883" s="11">
        <v>14.0</v>
      </c>
      <c r="F2883" s="21" t="s">
        <v>869</v>
      </c>
      <c r="G2883" s="15">
        <v>0.058038296209456636</v>
      </c>
      <c r="H2883" s="11" t="s">
        <v>33</v>
      </c>
      <c r="I2883" s="16">
        <v>2.64</v>
      </c>
      <c r="J2883" s="11" t="s">
        <v>648</v>
      </c>
      <c r="K2883" s="11" t="s">
        <v>35</v>
      </c>
      <c r="L2883" s="11" t="s">
        <v>27</v>
      </c>
      <c r="M2883" s="11" t="s">
        <v>66</v>
      </c>
      <c r="N2883" s="11" t="s">
        <v>80</v>
      </c>
      <c r="O2883" s="11" t="s">
        <v>1608</v>
      </c>
      <c r="P2883" s="11" t="s">
        <v>99</v>
      </c>
      <c r="Q2883" s="20">
        <v>40313.0</v>
      </c>
      <c r="R2883" s="17">
        <f t="shared" si="2"/>
        <v>69.95007612</v>
      </c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>
        <f t="shared" si="8"/>
        <v>1</v>
      </c>
      <c r="AF2883" s="19">
        <f t="shared" si="13"/>
        <v>2</v>
      </c>
      <c r="AG2883" s="9"/>
      <c r="AH2883" s="9"/>
      <c r="AI2883" s="9"/>
    </row>
    <row r="2884" ht="15.0" customHeight="1">
      <c r="A2884" s="11">
        <v>2883.0</v>
      </c>
      <c r="B2884" s="12">
        <f t="shared" si="465"/>
        <v>40311</v>
      </c>
      <c r="C2884" s="13">
        <v>2010.0</v>
      </c>
      <c r="D2884" s="11" t="s">
        <v>102</v>
      </c>
      <c r="E2884" s="11">
        <v>16.0</v>
      </c>
      <c r="F2884" s="21" t="s">
        <v>128</v>
      </c>
      <c r="G2884" s="15">
        <v>0.07524982825738492</v>
      </c>
      <c r="H2884" s="11" t="s">
        <v>33</v>
      </c>
      <c r="I2884" s="16">
        <v>4.792000000000001</v>
      </c>
      <c r="J2884" s="11" t="s">
        <v>887</v>
      </c>
      <c r="K2884" s="11" t="s">
        <v>61</v>
      </c>
      <c r="L2884" s="11" t="s">
        <v>36</v>
      </c>
      <c r="M2884" s="11" t="s">
        <v>66</v>
      </c>
      <c r="N2884" s="11" t="s">
        <v>80</v>
      </c>
      <c r="O2884" s="11" t="s">
        <v>2316</v>
      </c>
      <c r="P2884" s="11" t="s">
        <v>38</v>
      </c>
      <c r="Q2884" s="20">
        <v>40313.0</v>
      </c>
      <c r="R2884" s="17">
        <f t="shared" si="2"/>
        <v>151.9438512</v>
      </c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>
        <f t="shared" si="8"/>
        <v>2</v>
      </c>
      <c r="AF2884" s="19">
        <f t="shared" si="13"/>
        <v>4</v>
      </c>
      <c r="AG2884" s="9"/>
      <c r="AH2884" s="9"/>
      <c r="AI2884" s="9"/>
    </row>
    <row r="2885" ht="15.0" customHeight="1">
      <c r="A2885" s="11">
        <v>2884.0</v>
      </c>
      <c r="B2885" s="12">
        <f t="shared" si="465"/>
        <v>40311</v>
      </c>
      <c r="C2885" s="13">
        <v>2010.0</v>
      </c>
      <c r="D2885" s="11" t="s">
        <v>44</v>
      </c>
      <c r="E2885" s="11">
        <v>25.0</v>
      </c>
      <c r="F2885" s="21" t="s">
        <v>302</v>
      </c>
      <c r="G2885" s="15">
        <v>0.03924729567307677</v>
      </c>
      <c r="H2885" s="11" t="s">
        <v>45</v>
      </c>
      <c r="I2885" s="16">
        <v>21.224000000000004</v>
      </c>
      <c r="J2885" s="11" t="s">
        <v>581</v>
      </c>
      <c r="K2885" s="11" t="s">
        <v>47</v>
      </c>
      <c r="L2885" s="11" t="s">
        <v>36</v>
      </c>
      <c r="M2885" s="11" t="s">
        <v>66</v>
      </c>
      <c r="N2885" s="11" t="s">
        <v>69</v>
      </c>
      <c r="O2885" s="11" t="s">
        <v>303</v>
      </c>
      <c r="P2885" s="11" t="s">
        <v>52</v>
      </c>
      <c r="Q2885" s="20">
        <v>40313.0</v>
      </c>
      <c r="R2885" s="17">
        <f t="shared" si="2"/>
        <v>301.1729147</v>
      </c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>
        <f t="shared" si="8"/>
        <v>2</v>
      </c>
      <c r="AF2885" s="19">
        <f t="shared" si="13"/>
        <v>3</v>
      </c>
      <c r="AG2885" s="9"/>
      <c r="AH2885" s="9"/>
      <c r="AI2885" s="9"/>
    </row>
    <row r="2886" ht="15.0" customHeight="1">
      <c r="A2886" s="11">
        <v>2885.0</v>
      </c>
      <c r="B2886" s="12">
        <f t="shared" si="465"/>
        <v>40311</v>
      </c>
      <c r="C2886" s="13">
        <v>2010.0</v>
      </c>
      <c r="D2886" s="11" t="s">
        <v>44</v>
      </c>
      <c r="E2886" s="11">
        <v>40.0</v>
      </c>
      <c r="F2886" s="21" t="s">
        <v>130</v>
      </c>
      <c r="G2886" s="15">
        <v>0.005202993153956423</v>
      </c>
      <c r="H2886" s="11" t="s">
        <v>33</v>
      </c>
      <c r="I2886" s="16">
        <v>13.664</v>
      </c>
      <c r="J2886" s="11" t="s">
        <v>581</v>
      </c>
      <c r="K2886" s="11" t="s">
        <v>47</v>
      </c>
      <c r="L2886" s="11" t="s">
        <v>36</v>
      </c>
      <c r="M2886" s="11" t="s">
        <v>28</v>
      </c>
      <c r="N2886" s="11" t="s">
        <v>56</v>
      </c>
      <c r="O2886" s="11" t="s">
        <v>2106</v>
      </c>
      <c r="P2886" s="11" t="s">
        <v>38</v>
      </c>
      <c r="Q2886" s="20">
        <v>40313.0</v>
      </c>
      <c r="R2886" s="17">
        <f t="shared" si="2"/>
        <v>6.501993237</v>
      </c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>
        <f t="shared" si="8"/>
        <v>2</v>
      </c>
      <c r="AF2886" s="19">
        <f t="shared" si="13"/>
        <v>3</v>
      </c>
      <c r="AG2886" s="9"/>
      <c r="AH2886" s="9"/>
      <c r="AI2886" s="9"/>
    </row>
    <row r="2887" ht="15.0" customHeight="1">
      <c r="A2887" s="11">
        <v>2886.0</v>
      </c>
      <c r="B2887" s="12">
        <f t="shared" si="465"/>
        <v>40311</v>
      </c>
      <c r="C2887" s="13">
        <v>2010.0</v>
      </c>
      <c r="D2887" s="11" t="s">
        <v>44</v>
      </c>
      <c r="E2887" s="11">
        <v>35.0</v>
      </c>
      <c r="F2887" s="21" t="s">
        <v>1265</v>
      </c>
      <c r="G2887" s="15">
        <v>0.08161988034974685</v>
      </c>
      <c r="H2887" s="11" t="s">
        <v>24</v>
      </c>
      <c r="I2887" s="16">
        <v>7.192</v>
      </c>
      <c r="J2887" s="11" t="s">
        <v>960</v>
      </c>
      <c r="K2887" s="11" t="s">
        <v>65</v>
      </c>
      <c r="L2887" s="11" t="s">
        <v>36</v>
      </c>
      <c r="M2887" s="11" t="s">
        <v>28</v>
      </c>
      <c r="N2887" s="11" t="s">
        <v>62</v>
      </c>
      <c r="O2887" s="11" t="s">
        <v>2317</v>
      </c>
      <c r="P2887" s="11" t="s">
        <v>99</v>
      </c>
      <c r="Q2887" s="20">
        <v>40313.0</v>
      </c>
      <c r="R2887" s="17">
        <f t="shared" si="2"/>
        <v>48.86516941</v>
      </c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>
        <f t="shared" si="8"/>
        <v>2</v>
      </c>
      <c r="AF2887" s="19">
        <f t="shared" si="13"/>
        <v>5</v>
      </c>
      <c r="AG2887" s="9"/>
      <c r="AH2887" s="9"/>
      <c r="AI2887" s="9"/>
    </row>
    <row r="2888" ht="15.0" customHeight="1">
      <c r="A2888" s="11">
        <v>2887.0</v>
      </c>
      <c r="B2888" s="12">
        <f t="shared" ref="B2888:B2898" si="466">DATE(2012,12,31)-962</f>
        <v>40312</v>
      </c>
      <c r="C2888" s="13">
        <v>2010.0</v>
      </c>
      <c r="D2888" s="11" t="s">
        <v>102</v>
      </c>
      <c r="E2888" s="11">
        <v>24.0</v>
      </c>
      <c r="F2888" s="21" t="s">
        <v>126</v>
      </c>
      <c r="G2888" s="15">
        <v>0.012552301255230007</v>
      </c>
      <c r="H2888" s="11" t="s">
        <v>24</v>
      </c>
      <c r="I2888" s="16">
        <v>0.4</v>
      </c>
      <c r="J2888" s="11" t="s">
        <v>138</v>
      </c>
      <c r="K2888" s="11" t="s">
        <v>61</v>
      </c>
      <c r="L2888" s="11" t="s">
        <v>41</v>
      </c>
      <c r="M2888" s="11" t="s">
        <v>28</v>
      </c>
      <c r="N2888" s="11" t="s">
        <v>188</v>
      </c>
      <c r="O2888" s="11" t="s">
        <v>1993</v>
      </c>
      <c r="P2888" s="11" t="s">
        <v>38</v>
      </c>
      <c r="Q2888" s="20">
        <v>40313.0</v>
      </c>
      <c r="R2888" s="17">
        <f t="shared" si="2"/>
        <v>1.481171548</v>
      </c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>
        <f t="shared" si="8"/>
        <v>3</v>
      </c>
      <c r="AF2888" s="19">
        <f t="shared" si="13"/>
        <v>4</v>
      </c>
      <c r="AG2888" s="9"/>
      <c r="AH2888" s="9"/>
      <c r="AI2888" s="9"/>
    </row>
    <row r="2889" ht="15.0" customHeight="1">
      <c r="A2889" s="11">
        <v>2888.0</v>
      </c>
      <c r="B2889" s="12">
        <f t="shared" si="466"/>
        <v>40312</v>
      </c>
      <c r="C2889" s="13">
        <v>2010.0</v>
      </c>
      <c r="D2889" s="11" t="s">
        <v>23</v>
      </c>
      <c r="E2889" s="11">
        <v>33.0</v>
      </c>
      <c r="F2889" s="21" t="s">
        <v>112</v>
      </c>
      <c r="G2889" s="15">
        <v>0.09217596388180732</v>
      </c>
      <c r="H2889" s="11" t="s">
        <v>45</v>
      </c>
      <c r="I2889" s="16">
        <v>34.656</v>
      </c>
      <c r="J2889" s="11" t="s">
        <v>1027</v>
      </c>
      <c r="K2889" s="11" t="s">
        <v>83</v>
      </c>
      <c r="L2889" s="11" t="s">
        <v>41</v>
      </c>
      <c r="M2889" s="11" t="s">
        <v>49</v>
      </c>
      <c r="N2889" s="11" t="s">
        <v>50</v>
      </c>
      <c r="O2889" s="11" t="s">
        <v>114</v>
      </c>
      <c r="P2889" s="11" t="s">
        <v>52</v>
      </c>
      <c r="Q2889" s="20">
        <v>40313.0</v>
      </c>
      <c r="R2889" s="17">
        <f t="shared" si="2"/>
        <v>745.0911307</v>
      </c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>
        <f t="shared" si="8"/>
        <v>3</v>
      </c>
      <c r="AF2889" s="19" t="b">
        <f t="shared" si="13"/>
        <v>0</v>
      </c>
      <c r="AG2889" s="9"/>
      <c r="AH2889" s="9"/>
      <c r="AI2889" s="9"/>
    </row>
    <row r="2890" ht="15.0" customHeight="1">
      <c r="A2890" s="11">
        <v>2889.0</v>
      </c>
      <c r="B2890" s="12">
        <f t="shared" si="466"/>
        <v>40312</v>
      </c>
      <c r="C2890" s="13">
        <v>2010.0</v>
      </c>
      <c r="D2890" s="11" t="s">
        <v>23</v>
      </c>
      <c r="E2890" s="11">
        <v>36.0</v>
      </c>
      <c r="F2890" s="21" t="s">
        <v>1498</v>
      </c>
      <c r="G2890" s="15">
        <v>0.04326003126628444</v>
      </c>
      <c r="H2890" s="11" t="s">
        <v>33</v>
      </c>
      <c r="I2890" s="16">
        <v>7.192</v>
      </c>
      <c r="J2890" s="11" t="s">
        <v>1027</v>
      </c>
      <c r="K2890" s="11" t="s">
        <v>83</v>
      </c>
      <c r="L2890" s="11" t="s">
        <v>41</v>
      </c>
      <c r="M2890" s="11" t="s">
        <v>49</v>
      </c>
      <c r="N2890" s="11" t="s">
        <v>73</v>
      </c>
      <c r="O2890" s="11" t="s">
        <v>1500</v>
      </c>
      <c r="P2890" s="11" t="s">
        <v>99</v>
      </c>
      <c r="Q2890" s="20">
        <v>40314.0</v>
      </c>
      <c r="R2890" s="17">
        <f t="shared" si="2"/>
        <v>39.71236262</v>
      </c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>
        <f t="shared" si="8"/>
        <v>3</v>
      </c>
      <c r="AF2890" s="19" t="b">
        <f t="shared" si="13"/>
        <v>0</v>
      </c>
      <c r="AG2890" s="9"/>
      <c r="AH2890" s="9"/>
      <c r="AI2890" s="9"/>
    </row>
    <row r="2891" ht="15.0" customHeight="1">
      <c r="A2891" s="11">
        <v>2890.0</v>
      </c>
      <c r="B2891" s="12">
        <f t="shared" si="466"/>
        <v>40312</v>
      </c>
      <c r="C2891" s="13">
        <v>2010.0</v>
      </c>
      <c r="D2891" s="11" t="s">
        <v>32</v>
      </c>
      <c r="E2891" s="11">
        <v>41.0</v>
      </c>
      <c r="F2891" s="21" t="s">
        <v>119</v>
      </c>
      <c r="G2891" s="15">
        <v>0.11683352735739233</v>
      </c>
      <c r="H2891" s="11" t="s">
        <v>33</v>
      </c>
      <c r="I2891" s="16">
        <v>2.064</v>
      </c>
      <c r="J2891" s="11" t="s">
        <v>1292</v>
      </c>
      <c r="K2891" s="11" t="s">
        <v>61</v>
      </c>
      <c r="L2891" s="11" t="s">
        <v>27</v>
      </c>
      <c r="M2891" s="11" t="s">
        <v>28</v>
      </c>
      <c r="N2891" s="11" t="s">
        <v>216</v>
      </c>
      <c r="O2891" s="11" t="s">
        <v>1619</v>
      </c>
      <c r="P2891" s="11" t="s">
        <v>58</v>
      </c>
      <c r="Q2891" s="20">
        <v>40314.0</v>
      </c>
      <c r="R2891" s="17">
        <f t="shared" si="2"/>
        <v>8.863458719</v>
      </c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>
        <f t="shared" si="8"/>
        <v>1</v>
      </c>
      <c r="AF2891" s="19">
        <f t="shared" si="13"/>
        <v>4</v>
      </c>
      <c r="AG2891" s="9"/>
      <c r="AH2891" s="9"/>
      <c r="AI2891" s="9"/>
    </row>
    <row r="2892" ht="15.0" customHeight="1">
      <c r="A2892" s="11">
        <v>2891.0</v>
      </c>
      <c r="B2892" s="12">
        <f t="shared" si="466"/>
        <v>40312</v>
      </c>
      <c r="C2892" s="13">
        <v>2010.0</v>
      </c>
      <c r="D2892" s="11" t="s">
        <v>32</v>
      </c>
      <c r="E2892" s="11">
        <v>33.0</v>
      </c>
      <c r="F2892" s="21" t="s">
        <v>128</v>
      </c>
      <c r="G2892" s="15">
        <v>0.03955599658458919</v>
      </c>
      <c r="H2892" s="11" t="s">
        <v>33</v>
      </c>
      <c r="I2892" s="16">
        <v>7.192</v>
      </c>
      <c r="J2892" s="11" t="s">
        <v>1292</v>
      </c>
      <c r="K2892" s="11" t="s">
        <v>61</v>
      </c>
      <c r="L2892" s="11" t="s">
        <v>27</v>
      </c>
      <c r="M2892" s="11" t="s">
        <v>66</v>
      </c>
      <c r="N2892" s="11" t="s">
        <v>80</v>
      </c>
      <c r="O2892" s="11" t="s">
        <v>2242</v>
      </c>
      <c r="P2892" s="11" t="s">
        <v>38</v>
      </c>
      <c r="Q2892" s="20">
        <v>40314.0</v>
      </c>
      <c r="R2892" s="17">
        <f t="shared" si="2"/>
        <v>164.6277857</v>
      </c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>
        <f t="shared" si="8"/>
        <v>1</v>
      </c>
      <c r="AF2892" s="19">
        <f t="shared" si="13"/>
        <v>4</v>
      </c>
      <c r="AG2892" s="9"/>
      <c r="AH2892" s="9"/>
      <c r="AI2892" s="9"/>
    </row>
    <row r="2893" ht="15.0" customHeight="1">
      <c r="A2893" s="11">
        <v>2892.0</v>
      </c>
      <c r="B2893" s="12">
        <f t="shared" si="466"/>
        <v>40312</v>
      </c>
      <c r="C2893" s="13">
        <v>2010.0</v>
      </c>
      <c r="D2893" s="11" t="s">
        <v>102</v>
      </c>
      <c r="E2893" s="11">
        <v>36.0</v>
      </c>
      <c r="F2893" s="21" t="s">
        <v>1195</v>
      </c>
      <c r="G2893" s="15">
        <v>0.06617187499999996</v>
      </c>
      <c r="H2893" s="11" t="s">
        <v>33</v>
      </c>
      <c r="I2893" s="16">
        <v>4.048</v>
      </c>
      <c r="J2893" s="11" t="s">
        <v>1249</v>
      </c>
      <c r="K2893" s="11" t="s">
        <v>83</v>
      </c>
      <c r="L2893" s="11" t="s">
        <v>41</v>
      </c>
      <c r="M2893" s="11" t="s">
        <v>28</v>
      </c>
      <c r="N2893" s="11" t="s">
        <v>56</v>
      </c>
      <c r="O2893" s="11" t="s">
        <v>2203</v>
      </c>
      <c r="P2893" s="11" t="s">
        <v>38</v>
      </c>
      <c r="Q2893" s="20">
        <v>40314.0</v>
      </c>
      <c r="R2893" s="17">
        <f t="shared" si="2"/>
        <v>12.65523875</v>
      </c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>
        <f t="shared" si="8"/>
        <v>3</v>
      </c>
      <c r="AF2893" s="19" t="b">
        <f t="shared" si="13"/>
        <v>0</v>
      </c>
      <c r="AG2893" s="9"/>
      <c r="AH2893" s="9"/>
      <c r="AI2893" s="9"/>
    </row>
    <row r="2894" ht="15.0" customHeight="1">
      <c r="A2894" s="11">
        <v>2893.0</v>
      </c>
      <c r="B2894" s="12">
        <f t="shared" si="466"/>
        <v>40312</v>
      </c>
      <c r="C2894" s="13">
        <v>2010.0</v>
      </c>
      <c r="D2894" s="11" t="s">
        <v>102</v>
      </c>
      <c r="E2894" s="11">
        <v>24.0</v>
      </c>
      <c r="F2894" s="21" t="s">
        <v>2153</v>
      </c>
      <c r="G2894" s="15">
        <v>0.08618085668958216</v>
      </c>
      <c r="H2894" s="11" t="s">
        <v>33</v>
      </c>
      <c r="I2894" s="16">
        <v>7.216</v>
      </c>
      <c r="J2894" s="11" t="s">
        <v>1249</v>
      </c>
      <c r="K2894" s="11" t="s">
        <v>83</v>
      </c>
      <c r="L2894" s="11" t="s">
        <v>41</v>
      </c>
      <c r="M2894" s="11" t="s">
        <v>66</v>
      </c>
      <c r="N2894" s="11" t="s">
        <v>67</v>
      </c>
      <c r="O2894" s="11" t="s">
        <v>2154</v>
      </c>
      <c r="P2894" s="11" t="s">
        <v>38</v>
      </c>
      <c r="Q2894" s="20">
        <v>40314.0</v>
      </c>
      <c r="R2894" s="17">
        <f t="shared" si="2"/>
        <v>74.46163907</v>
      </c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>
        <f t="shared" si="8"/>
        <v>3</v>
      </c>
      <c r="AF2894" s="19" t="b">
        <f t="shared" si="13"/>
        <v>0</v>
      </c>
      <c r="AG2894" s="9"/>
      <c r="AH2894" s="9"/>
      <c r="AI2894" s="9"/>
    </row>
    <row r="2895" ht="15.0" customHeight="1">
      <c r="A2895" s="11">
        <v>2894.0</v>
      </c>
      <c r="B2895" s="12">
        <f t="shared" si="466"/>
        <v>40312</v>
      </c>
      <c r="C2895" s="13">
        <v>2010.0</v>
      </c>
      <c r="D2895" s="11" t="s">
        <v>102</v>
      </c>
      <c r="E2895" s="11">
        <v>36.0</v>
      </c>
      <c r="F2895" s="21" t="s">
        <v>1544</v>
      </c>
      <c r="G2895" s="15">
        <v>0.03922888978386353</v>
      </c>
      <c r="H2895" s="11" t="s">
        <v>24</v>
      </c>
      <c r="I2895" s="16">
        <v>7.192</v>
      </c>
      <c r="J2895" s="11" t="s">
        <v>659</v>
      </c>
      <c r="K2895" s="11" t="s">
        <v>26</v>
      </c>
      <c r="L2895" s="11" t="s">
        <v>48</v>
      </c>
      <c r="M2895" s="11" t="s">
        <v>49</v>
      </c>
      <c r="N2895" s="11" t="s">
        <v>73</v>
      </c>
      <c r="O2895" s="11" t="s">
        <v>1545</v>
      </c>
      <c r="P2895" s="11" t="s">
        <v>99</v>
      </c>
      <c r="Q2895" s="20">
        <v>40314.0</v>
      </c>
      <c r="R2895" s="17">
        <f t="shared" si="2"/>
        <v>140.3763454</v>
      </c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>
        <f t="shared" si="8"/>
        <v>4</v>
      </c>
      <c r="AF2895" s="19">
        <f t="shared" si="13"/>
        <v>1</v>
      </c>
      <c r="AG2895" s="9"/>
      <c r="AH2895" s="9"/>
      <c r="AI2895" s="9"/>
    </row>
    <row r="2896" ht="15.0" customHeight="1">
      <c r="A2896" s="11">
        <v>2895.0</v>
      </c>
      <c r="B2896" s="12">
        <f t="shared" si="466"/>
        <v>40312</v>
      </c>
      <c r="C2896" s="13">
        <v>2010.0</v>
      </c>
      <c r="D2896" s="11" t="s">
        <v>102</v>
      </c>
      <c r="E2896" s="11">
        <v>39.0</v>
      </c>
      <c r="F2896" s="21" t="s">
        <v>948</v>
      </c>
      <c r="G2896" s="15">
        <v>0.028115942028985447</v>
      </c>
      <c r="H2896" s="11" t="s">
        <v>33</v>
      </c>
      <c r="I2896" s="16">
        <v>0.568</v>
      </c>
      <c r="J2896" s="11" t="s">
        <v>2318</v>
      </c>
      <c r="K2896" s="11" t="s">
        <v>35</v>
      </c>
      <c r="L2896" s="11" t="s">
        <v>27</v>
      </c>
      <c r="M2896" s="11" t="s">
        <v>28</v>
      </c>
      <c r="N2896" s="11" t="s">
        <v>62</v>
      </c>
      <c r="O2896" s="11" t="s">
        <v>949</v>
      </c>
      <c r="P2896" s="11" t="s">
        <v>58</v>
      </c>
      <c r="Q2896" s="20">
        <v>40314.0</v>
      </c>
      <c r="R2896" s="17">
        <f t="shared" si="2"/>
        <v>5.279274203</v>
      </c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>
        <f t="shared" si="8"/>
        <v>1</v>
      </c>
      <c r="AF2896" s="19">
        <f t="shared" si="13"/>
        <v>2</v>
      </c>
      <c r="AG2896" s="9"/>
      <c r="AH2896" s="9"/>
      <c r="AI2896" s="9"/>
    </row>
    <row r="2897" ht="15.0" customHeight="1">
      <c r="A2897" s="11">
        <v>2896.0</v>
      </c>
      <c r="B2897" s="12">
        <f t="shared" si="466"/>
        <v>40312</v>
      </c>
      <c r="C2897" s="13">
        <v>2010.0</v>
      </c>
      <c r="D2897" s="11" t="s">
        <v>23</v>
      </c>
      <c r="E2897" s="11">
        <v>17.0</v>
      </c>
      <c r="F2897" s="21" t="s">
        <v>1596</v>
      </c>
      <c r="G2897" s="15">
        <v>0.026013888593769793</v>
      </c>
      <c r="H2897" s="11" t="s">
        <v>24</v>
      </c>
      <c r="I2897" s="16">
        <v>19.592</v>
      </c>
      <c r="J2897" s="11" t="s">
        <v>2319</v>
      </c>
      <c r="K2897" s="11" t="s">
        <v>61</v>
      </c>
      <c r="L2897" s="11" t="s">
        <v>48</v>
      </c>
      <c r="M2897" s="11" t="s">
        <v>49</v>
      </c>
      <c r="N2897" s="11" t="s">
        <v>73</v>
      </c>
      <c r="O2897" s="11" t="s">
        <v>1597</v>
      </c>
      <c r="P2897" s="11" t="s">
        <v>31</v>
      </c>
      <c r="Q2897" s="20">
        <v>40314.0</v>
      </c>
      <c r="R2897" s="17">
        <f t="shared" si="2"/>
        <v>61.05178703</v>
      </c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>
        <f t="shared" si="8"/>
        <v>4</v>
      </c>
      <c r="AF2897" s="19">
        <f t="shared" si="13"/>
        <v>4</v>
      </c>
      <c r="AG2897" s="9"/>
      <c r="AH2897" s="9"/>
      <c r="AI2897" s="9"/>
    </row>
    <row r="2898" ht="15.0" customHeight="1">
      <c r="A2898" s="11">
        <v>2897.0</v>
      </c>
      <c r="B2898" s="12">
        <f t="shared" si="466"/>
        <v>40312</v>
      </c>
      <c r="C2898" s="13">
        <v>2010.0</v>
      </c>
      <c r="D2898" s="11" t="s">
        <v>23</v>
      </c>
      <c r="E2898" s="11">
        <v>49.0</v>
      </c>
      <c r="F2898" s="21" t="s">
        <v>130</v>
      </c>
      <c r="G2898" s="15">
        <v>0.03519250861165008</v>
      </c>
      <c r="H2898" s="11" t="s">
        <v>33</v>
      </c>
      <c r="I2898" s="16">
        <v>3.136</v>
      </c>
      <c r="J2898" s="11" t="s">
        <v>2319</v>
      </c>
      <c r="K2898" s="11" t="s">
        <v>61</v>
      </c>
      <c r="L2898" s="11" t="s">
        <v>48</v>
      </c>
      <c r="M2898" s="11" t="s">
        <v>49</v>
      </c>
      <c r="N2898" s="11" t="s">
        <v>73</v>
      </c>
      <c r="O2898" s="11" t="s">
        <v>877</v>
      </c>
      <c r="P2898" s="11" t="s">
        <v>99</v>
      </c>
      <c r="Q2898" s="20">
        <v>40314.0</v>
      </c>
      <c r="R2898" s="17">
        <f t="shared" si="2"/>
        <v>53.395341</v>
      </c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>
        <f t="shared" si="8"/>
        <v>4</v>
      </c>
      <c r="AF2898" s="19">
        <f t="shared" si="13"/>
        <v>4</v>
      </c>
      <c r="AG2898" s="9"/>
      <c r="AH2898" s="9"/>
      <c r="AI2898" s="9"/>
    </row>
    <row r="2899" ht="15.0" customHeight="1">
      <c r="A2899" s="11">
        <v>2898.0</v>
      </c>
      <c r="B2899" s="12">
        <f t="shared" ref="B2899:B2905" si="467">DATE(2012,12,31)-961</f>
        <v>40313</v>
      </c>
      <c r="C2899" s="13">
        <v>2010.0</v>
      </c>
      <c r="D2899" s="11" t="s">
        <v>102</v>
      </c>
      <c r="E2899" s="11">
        <v>29.0</v>
      </c>
      <c r="F2899" s="21" t="s">
        <v>610</v>
      </c>
      <c r="G2899" s="15">
        <v>0.06589643507676313</v>
      </c>
      <c r="H2899" s="11" t="s">
        <v>33</v>
      </c>
      <c r="I2899" s="16">
        <v>5.176</v>
      </c>
      <c r="J2899" s="11" t="s">
        <v>202</v>
      </c>
      <c r="K2899" s="11" t="s">
        <v>35</v>
      </c>
      <c r="L2899" s="11" t="s">
        <v>41</v>
      </c>
      <c r="M2899" s="11" t="s">
        <v>28</v>
      </c>
      <c r="N2899" s="11" t="s">
        <v>56</v>
      </c>
      <c r="O2899" s="11" t="s">
        <v>2006</v>
      </c>
      <c r="P2899" s="11" t="s">
        <v>38</v>
      </c>
      <c r="Q2899" s="20">
        <v>40314.0</v>
      </c>
      <c r="R2899" s="17">
        <f t="shared" si="2"/>
        <v>23.65523868</v>
      </c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>
        <f t="shared" si="8"/>
        <v>3</v>
      </c>
      <c r="AF2899" s="19">
        <f t="shared" si="13"/>
        <v>2</v>
      </c>
      <c r="AG2899" s="9"/>
      <c r="AH2899" s="9"/>
      <c r="AI2899" s="9"/>
    </row>
    <row r="2900" ht="15.0" customHeight="1">
      <c r="A2900" s="11">
        <v>2899.0</v>
      </c>
      <c r="B2900" s="12">
        <f t="shared" si="467"/>
        <v>40313</v>
      </c>
      <c r="C2900" s="13">
        <v>2010.0</v>
      </c>
      <c r="D2900" s="11" t="s">
        <v>102</v>
      </c>
      <c r="E2900" s="11">
        <v>8.0</v>
      </c>
      <c r="F2900" s="21" t="s">
        <v>319</v>
      </c>
      <c r="G2900" s="15">
        <v>0.09758754863813227</v>
      </c>
      <c r="H2900" s="11" t="s">
        <v>33</v>
      </c>
      <c r="I2900" s="16">
        <v>0.792</v>
      </c>
      <c r="J2900" s="11" t="s">
        <v>626</v>
      </c>
      <c r="K2900" s="11" t="s">
        <v>61</v>
      </c>
      <c r="L2900" s="11" t="s">
        <v>27</v>
      </c>
      <c r="M2900" s="11" t="s">
        <v>28</v>
      </c>
      <c r="N2900" s="11" t="s">
        <v>188</v>
      </c>
      <c r="O2900" s="11" t="s">
        <v>2320</v>
      </c>
      <c r="P2900" s="11" t="s">
        <v>38</v>
      </c>
      <c r="Q2900" s="20">
        <v>40315.0</v>
      </c>
      <c r="R2900" s="17">
        <f t="shared" si="2"/>
        <v>2.263250428</v>
      </c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>
        <f t="shared" si="8"/>
        <v>1</v>
      </c>
      <c r="AF2900" s="19">
        <f t="shared" si="13"/>
        <v>4</v>
      </c>
      <c r="AG2900" s="9"/>
      <c r="AH2900" s="9"/>
      <c r="AI2900" s="9"/>
    </row>
    <row r="2901" ht="15.0" customHeight="1">
      <c r="A2901" s="11">
        <v>2900.0</v>
      </c>
      <c r="B2901" s="12">
        <f t="shared" si="467"/>
        <v>40313</v>
      </c>
      <c r="C2901" s="13">
        <v>2010.0</v>
      </c>
      <c r="D2901" s="11" t="s">
        <v>102</v>
      </c>
      <c r="E2901" s="11">
        <v>16.0</v>
      </c>
      <c r="F2901" s="21" t="s">
        <v>1665</v>
      </c>
      <c r="G2901" s="15">
        <v>0.08344879698876435</v>
      </c>
      <c r="H2901" s="11" t="s">
        <v>45</v>
      </c>
      <c r="I2901" s="16">
        <v>44.24</v>
      </c>
      <c r="J2901" s="11" t="s">
        <v>626</v>
      </c>
      <c r="K2901" s="11" t="s">
        <v>61</v>
      </c>
      <c r="L2901" s="11" t="s">
        <v>27</v>
      </c>
      <c r="M2901" s="11" t="s">
        <v>66</v>
      </c>
      <c r="N2901" s="11" t="s">
        <v>69</v>
      </c>
      <c r="O2901" s="11" t="s">
        <v>1666</v>
      </c>
      <c r="P2901" s="11" t="s">
        <v>52</v>
      </c>
      <c r="Q2901" s="20">
        <v>40315.0</v>
      </c>
      <c r="R2901" s="17">
        <f t="shared" si="2"/>
        <v>1083.051895</v>
      </c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>
        <f t="shared" si="8"/>
        <v>1</v>
      </c>
      <c r="AF2901" s="19">
        <f t="shared" si="13"/>
        <v>4</v>
      </c>
      <c r="AG2901" s="9"/>
      <c r="AH2901" s="9"/>
      <c r="AI2901" s="9"/>
    </row>
    <row r="2902" ht="15.0" customHeight="1">
      <c r="A2902" s="11">
        <v>2901.0</v>
      </c>
      <c r="B2902" s="12">
        <f t="shared" si="467"/>
        <v>40313</v>
      </c>
      <c r="C2902" s="13">
        <v>2010.0</v>
      </c>
      <c r="D2902" s="11" t="s">
        <v>102</v>
      </c>
      <c r="E2902" s="11">
        <v>47.0</v>
      </c>
      <c r="F2902" s="21" t="s">
        <v>158</v>
      </c>
      <c r="G2902" s="15">
        <v>0.10561403508771931</v>
      </c>
      <c r="H2902" s="11" t="s">
        <v>33</v>
      </c>
      <c r="I2902" s="16">
        <v>5.08</v>
      </c>
      <c r="J2902" s="11" t="s">
        <v>626</v>
      </c>
      <c r="K2902" s="11" t="s">
        <v>61</v>
      </c>
      <c r="L2902" s="11" t="s">
        <v>27</v>
      </c>
      <c r="M2902" s="11" t="s">
        <v>28</v>
      </c>
      <c r="N2902" s="11" t="s">
        <v>56</v>
      </c>
      <c r="O2902" s="11" t="s">
        <v>931</v>
      </c>
      <c r="P2902" s="11" t="s">
        <v>38</v>
      </c>
      <c r="Q2902" s="20">
        <v>40315.0</v>
      </c>
      <c r="R2902" s="17">
        <f t="shared" si="2"/>
        <v>32.30522105</v>
      </c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>
        <f t="shared" si="8"/>
        <v>1</v>
      </c>
      <c r="AF2902" s="19">
        <f t="shared" si="13"/>
        <v>4</v>
      </c>
      <c r="AG2902" s="9"/>
      <c r="AH2902" s="9"/>
      <c r="AI2902" s="9"/>
    </row>
    <row r="2903" ht="15.0" customHeight="1">
      <c r="A2903" s="11">
        <v>2902.0</v>
      </c>
      <c r="B2903" s="12">
        <f t="shared" si="467"/>
        <v>40313</v>
      </c>
      <c r="C2903" s="13">
        <v>2010.0</v>
      </c>
      <c r="D2903" s="11" t="s">
        <v>32</v>
      </c>
      <c r="E2903" s="11">
        <v>46.0</v>
      </c>
      <c r="F2903" s="21" t="s">
        <v>122</v>
      </c>
      <c r="G2903" s="15">
        <v>0.007949705941999625</v>
      </c>
      <c r="H2903" s="11" t="s">
        <v>33</v>
      </c>
      <c r="I2903" s="16">
        <v>16.96</v>
      </c>
      <c r="J2903" s="11" t="s">
        <v>1939</v>
      </c>
      <c r="K2903" s="11" t="s">
        <v>83</v>
      </c>
      <c r="L2903" s="11" t="s">
        <v>41</v>
      </c>
      <c r="M2903" s="11" t="s">
        <v>49</v>
      </c>
      <c r="N2903" s="11" t="s">
        <v>73</v>
      </c>
      <c r="O2903" s="11" t="s">
        <v>74</v>
      </c>
      <c r="P2903" s="11" t="s">
        <v>75</v>
      </c>
      <c r="Q2903" s="20">
        <v>40315.0</v>
      </c>
      <c r="R2903" s="17">
        <f t="shared" si="2"/>
        <v>7.777674305</v>
      </c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>
        <f t="shared" si="8"/>
        <v>3</v>
      </c>
      <c r="AF2903" s="19" t="b">
        <f t="shared" si="13"/>
        <v>0</v>
      </c>
      <c r="AG2903" s="9"/>
      <c r="AH2903" s="9"/>
      <c r="AI2903" s="9"/>
    </row>
    <row r="2904" ht="15.0" customHeight="1">
      <c r="A2904" s="11">
        <v>2903.0</v>
      </c>
      <c r="B2904" s="12">
        <f t="shared" si="467"/>
        <v>40313</v>
      </c>
      <c r="C2904" s="13">
        <v>2010.0</v>
      </c>
      <c r="D2904" s="11" t="s">
        <v>32</v>
      </c>
      <c r="E2904" s="11">
        <v>33.0</v>
      </c>
      <c r="F2904" s="21" t="s">
        <v>700</v>
      </c>
      <c r="G2904" s="15">
        <v>0.07407967432393121</v>
      </c>
      <c r="H2904" s="11" t="s">
        <v>33</v>
      </c>
      <c r="I2904" s="16">
        <v>1.6239999999999999</v>
      </c>
      <c r="J2904" s="11" t="s">
        <v>1939</v>
      </c>
      <c r="K2904" s="11" t="s">
        <v>83</v>
      </c>
      <c r="L2904" s="11" t="s">
        <v>41</v>
      </c>
      <c r="M2904" s="11" t="s">
        <v>28</v>
      </c>
      <c r="N2904" s="11" t="s">
        <v>56</v>
      </c>
      <c r="O2904" s="11" t="s">
        <v>1751</v>
      </c>
      <c r="P2904" s="11" t="s">
        <v>58</v>
      </c>
      <c r="Q2904" s="20">
        <v>40315.0</v>
      </c>
      <c r="R2904" s="17">
        <f t="shared" si="2"/>
        <v>23.58874622</v>
      </c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>
        <f t="shared" si="8"/>
        <v>3</v>
      </c>
      <c r="AF2904" s="19" t="b">
        <f t="shared" si="13"/>
        <v>0</v>
      </c>
      <c r="AG2904" s="9"/>
      <c r="AH2904" s="9"/>
      <c r="AI2904" s="9"/>
    </row>
    <row r="2905" ht="15.0" customHeight="1">
      <c r="A2905" s="11">
        <v>2904.0</v>
      </c>
      <c r="B2905" s="12">
        <f t="shared" si="467"/>
        <v>40313</v>
      </c>
      <c r="C2905" s="13">
        <v>2010.0</v>
      </c>
      <c r="D2905" s="11" t="s">
        <v>23</v>
      </c>
      <c r="E2905" s="11">
        <v>17.0</v>
      </c>
      <c r="F2905" s="21" t="s">
        <v>151</v>
      </c>
      <c r="G2905" s="15">
        <v>0.05806451612903217</v>
      </c>
      <c r="H2905" s="11" t="s">
        <v>33</v>
      </c>
      <c r="I2905" s="16">
        <v>1.08</v>
      </c>
      <c r="J2905" s="11" t="s">
        <v>1145</v>
      </c>
      <c r="K2905" s="11" t="s">
        <v>65</v>
      </c>
      <c r="L2905" s="11" t="s">
        <v>48</v>
      </c>
      <c r="M2905" s="11" t="s">
        <v>28</v>
      </c>
      <c r="N2905" s="11" t="s">
        <v>216</v>
      </c>
      <c r="O2905" s="11" t="s">
        <v>217</v>
      </c>
      <c r="P2905" s="11" t="s">
        <v>58</v>
      </c>
      <c r="Q2905" s="20">
        <v>40315.0</v>
      </c>
      <c r="R2905" s="17">
        <f t="shared" si="2"/>
        <v>3.221419355</v>
      </c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>
        <f t="shared" si="8"/>
        <v>4</v>
      </c>
      <c r="AF2905" s="19">
        <f t="shared" si="13"/>
        <v>5</v>
      </c>
      <c r="AG2905" s="9"/>
      <c r="AH2905" s="9"/>
      <c r="AI2905" s="9"/>
    </row>
    <row r="2906" ht="15.0" customHeight="1">
      <c r="A2906" s="11">
        <v>2905.0</v>
      </c>
      <c r="B2906" s="12">
        <f t="shared" ref="B2906:B2907" si="468">DATE(2012,12,31)-960</f>
        <v>40314</v>
      </c>
      <c r="C2906" s="13">
        <v>2010.0</v>
      </c>
      <c r="D2906" s="11" t="s">
        <v>23</v>
      </c>
      <c r="E2906" s="11">
        <v>7.0</v>
      </c>
      <c r="F2906" s="21" t="s">
        <v>413</v>
      </c>
      <c r="G2906" s="15">
        <v>0.04068601583113461</v>
      </c>
      <c r="H2906" s="11" t="s">
        <v>33</v>
      </c>
      <c r="I2906" s="16">
        <v>4.816</v>
      </c>
      <c r="J2906" s="11" t="s">
        <v>2321</v>
      </c>
      <c r="K2906" s="11" t="s">
        <v>35</v>
      </c>
      <c r="L2906" s="11" t="s">
        <v>48</v>
      </c>
      <c r="M2906" s="11" t="s">
        <v>49</v>
      </c>
      <c r="N2906" s="11" t="s">
        <v>73</v>
      </c>
      <c r="O2906" s="11" t="s">
        <v>1102</v>
      </c>
      <c r="P2906" s="11" t="s">
        <v>75</v>
      </c>
      <c r="Q2906" s="20">
        <v>40315.0</v>
      </c>
      <c r="R2906" s="17">
        <f t="shared" si="2"/>
        <v>2.958524327</v>
      </c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>
        <f t="shared" si="8"/>
        <v>4</v>
      </c>
      <c r="AF2906" s="19">
        <f t="shared" si="13"/>
        <v>2</v>
      </c>
      <c r="AG2906" s="9"/>
      <c r="AH2906" s="9"/>
      <c r="AI2906" s="9"/>
    </row>
    <row r="2907" ht="15.0" customHeight="1">
      <c r="A2907" s="11">
        <v>2906.0</v>
      </c>
      <c r="B2907" s="12">
        <f t="shared" si="468"/>
        <v>40314</v>
      </c>
      <c r="C2907" s="13">
        <v>2010.0</v>
      </c>
      <c r="D2907" s="11" t="s">
        <v>23</v>
      </c>
      <c r="E2907" s="11">
        <v>38.0</v>
      </c>
      <c r="F2907" s="21" t="s">
        <v>103</v>
      </c>
      <c r="G2907" s="15">
        <v>0.07283800243605358</v>
      </c>
      <c r="H2907" s="11" t="s">
        <v>33</v>
      </c>
      <c r="I2907" s="16">
        <v>4.16</v>
      </c>
      <c r="J2907" s="11" t="s">
        <v>2321</v>
      </c>
      <c r="K2907" s="11" t="s">
        <v>35</v>
      </c>
      <c r="L2907" s="11" t="s">
        <v>48</v>
      </c>
      <c r="M2907" s="11" t="s">
        <v>28</v>
      </c>
      <c r="N2907" s="11" t="s">
        <v>56</v>
      </c>
      <c r="O2907" s="11" t="s">
        <v>2322</v>
      </c>
      <c r="P2907" s="11" t="s">
        <v>38</v>
      </c>
      <c r="Q2907" s="20">
        <v>40316.0</v>
      </c>
      <c r="R2907" s="17">
        <f t="shared" si="2"/>
        <v>16.63328624</v>
      </c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>
        <f t="shared" si="8"/>
        <v>4</v>
      </c>
      <c r="AF2907" s="19">
        <f t="shared" si="13"/>
        <v>2</v>
      </c>
      <c r="AG2907" s="9"/>
      <c r="AH2907" s="9"/>
      <c r="AI2907" s="9"/>
    </row>
    <row r="2908" ht="15.0" customHeight="1">
      <c r="A2908" s="11">
        <v>2907.0</v>
      </c>
      <c r="B2908" s="12">
        <f t="shared" ref="B2908:B2914" si="469">DATE(2012,12,31)-959</f>
        <v>40315</v>
      </c>
      <c r="C2908" s="13">
        <v>2010.0</v>
      </c>
      <c r="D2908" s="11" t="s">
        <v>23</v>
      </c>
      <c r="E2908" s="11">
        <v>47.0</v>
      </c>
      <c r="F2908" s="21" t="s">
        <v>270</v>
      </c>
      <c r="G2908" s="15">
        <v>0.0590597873793036</v>
      </c>
      <c r="H2908" s="11" t="s">
        <v>33</v>
      </c>
      <c r="I2908" s="16">
        <v>7.192</v>
      </c>
      <c r="J2908" s="11" t="s">
        <v>1014</v>
      </c>
      <c r="K2908" s="11" t="s">
        <v>61</v>
      </c>
      <c r="L2908" s="11" t="s">
        <v>36</v>
      </c>
      <c r="M2908" s="11" t="s">
        <v>28</v>
      </c>
      <c r="N2908" s="11" t="s">
        <v>62</v>
      </c>
      <c r="O2908" s="11" t="s">
        <v>1847</v>
      </c>
      <c r="P2908" s="11" t="s">
        <v>99</v>
      </c>
      <c r="Q2908" s="20">
        <v>40317.0</v>
      </c>
      <c r="R2908" s="17">
        <f t="shared" si="2"/>
        <v>113.9553873</v>
      </c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>
        <f t="shared" si="8"/>
        <v>2</v>
      </c>
      <c r="AF2908" s="19">
        <f t="shared" si="13"/>
        <v>4</v>
      </c>
      <c r="AG2908" s="9"/>
      <c r="AH2908" s="9"/>
      <c r="AI2908" s="9"/>
    </row>
    <row r="2909" ht="15.0" customHeight="1">
      <c r="A2909" s="11">
        <v>2908.0</v>
      </c>
      <c r="B2909" s="12">
        <f t="shared" si="469"/>
        <v>40315</v>
      </c>
      <c r="C2909" s="13">
        <v>2010.0</v>
      </c>
      <c r="D2909" s="11" t="s">
        <v>23</v>
      </c>
      <c r="E2909" s="11">
        <v>5.0</v>
      </c>
      <c r="F2909" s="21" t="s">
        <v>1635</v>
      </c>
      <c r="G2909" s="15">
        <v>0.06875543951261967</v>
      </c>
      <c r="H2909" s="11" t="s">
        <v>33</v>
      </c>
      <c r="I2909" s="16">
        <v>28.0</v>
      </c>
      <c r="J2909" s="11" t="s">
        <v>1014</v>
      </c>
      <c r="K2909" s="11" t="s">
        <v>61</v>
      </c>
      <c r="L2909" s="11" t="s">
        <v>36</v>
      </c>
      <c r="M2909" s="11" t="s">
        <v>28</v>
      </c>
      <c r="N2909" s="11" t="s">
        <v>29</v>
      </c>
      <c r="O2909" s="11" t="s">
        <v>1637</v>
      </c>
      <c r="P2909" s="11" t="s">
        <v>31</v>
      </c>
      <c r="Q2909" s="20">
        <v>40317.0</v>
      </c>
      <c r="R2909" s="17">
        <f t="shared" si="2"/>
        <v>36.78416014</v>
      </c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>
        <f t="shared" si="8"/>
        <v>2</v>
      </c>
      <c r="AF2909" s="19">
        <f t="shared" si="13"/>
        <v>4</v>
      </c>
      <c r="AG2909" s="9"/>
      <c r="AH2909" s="9"/>
      <c r="AI2909" s="9"/>
    </row>
    <row r="2910" ht="15.0" customHeight="1">
      <c r="A2910" s="11">
        <v>2909.0</v>
      </c>
      <c r="B2910" s="12">
        <f t="shared" si="469"/>
        <v>40315</v>
      </c>
      <c r="C2910" s="13">
        <v>2010.0</v>
      </c>
      <c r="D2910" s="11" t="s">
        <v>23</v>
      </c>
      <c r="E2910" s="11">
        <v>40.0</v>
      </c>
      <c r="F2910" s="21" t="s">
        <v>933</v>
      </c>
      <c r="G2910" s="15">
        <v>0.011576528808766268</v>
      </c>
      <c r="H2910" s="11" t="s">
        <v>33</v>
      </c>
      <c r="I2910" s="16">
        <v>1.0</v>
      </c>
      <c r="J2910" s="11" t="s">
        <v>1014</v>
      </c>
      <c r="K2910" s="11" t="s">
        <v>61</v>
      </c>
      <c r="L2910" s="11" t="s">
        <v>36</v>
      </c>
      <c r="M2910" s="11" t="s">
        <v>66</v>
      </c>
      <c r="N2910" s="11" t="s">
        <v>80</v>
      </c>
      <c r="O2910" s="11" t="s">
        <v>1407</v>
      </c>
      <c r="P2910" s="11" t="s">
        <v>99</v>
      </c>
      <c r="Q2910" s="20">
        <v>40317.0</v>
      </c>
      <c r="R2910" s="17">
        <f t="shared" si="2"/>
        <v>25.89669495</v>
      </c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>
        <f t="shared" si="8"/>
        <v>2</v>
      </c>
      <c r="AF2910" s="19">
        <f t="shared" si="13"/>
        <v>4</v>
      </c>
      <c r="AG2910" s="9"/>
      <c r="AH2910" s="9"/>
      <c r="AI2910" s="9"/>
    </row>
    <row r="2911" ht="15.0" customHeight="1">
      <c r="A2911" s="11">
        <v>2910.0</v>
      </c>
      <c r="B2911" s="12">
        <f t="shared" si="469"/>
        <v>40315</v>
      </c>
      <c r="C2911" s="13">
        <v>2010.0</v>
      </c>
      <c r="D2911" s="11" t="s">
        <v>44</v>
      </c>
      <c r="E2911" s="11">
        <v>30.0</v>
      </c>
      <c r="F2911" s="21" t="s">
        <v>621</v>
      </c>
      <c r="G2911" s="15">
        <v>0.010833262529282692</v>
      </c>
      <c r="H2911" s="11" t="s">
        <v>45</v>
      </c>
      <c r="I2911" s="16">
        <v>22.448</v>
      </c>
      <c r="J2911" s="11" t="s">
        <v>1816</v>
      </c>
      <c r="K2911" s="11" t="s">
        <v>47</v>
      </c>
      <c r="L2911" s="11" t="s">
        <v>41</v>
      </c>
      <c r="M2911" s="11" t="s">
        <v>66</v>
      </c>
      <c r="N2911" s="11" t="s">
        <v>69</v>
      </c>
      <c r="O2911" s="11" t="s">
        <v>916</v>
      </c>
      <c r="P2911" s="11" t="s">
        <v>52</v>
      </c>
      <c r="Q2911" s="20">
        <v>40317.0</v>
      </c>
      <c r="R2911" s="17">
        <f t="shared" si="2"/>
        <v>88.28510965</v>
      </c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>
        <f t="shared" si="8"/>
        <v>3</v>
      </c>
      <c r="AF2911" s="19">
        <f t="shared" si="13"/>
        <v>3</v>
      </c>
      <c r="AG2911" s="9"/>
      <c r="AH2911" s="9"/>
      <c r="AI2911" s="9"/>
    </row>
    <row r="2912" ht="15.0" customHeight="1">
      <c r="A2912" s="11">
        <v>2911.0</v>
      </c>
      <c r="B2912" s="12">
        <f t="shared" si="469"/>
        <v>40315</v>
      </c>
      <c r="C2912" s="13">
        <v>2010.0</v>
      </c>
      <c r="D2912" s="11" t="s">
        <v>39</v>
      </c>
      <c r="E2912" s="11">
        <v>37.0</v>
      </c>
      <c r="F2912" s="21" t="s">
        <v>344</v>
      </c>
      <c r="G2912" s="15">
        <v>0.01749360613810741</v>
      </c>
      <c r="H2912" s="11" t="s">
        <v>33</v>
      </c>
      <c r="I2912" s="16">
        <v>3.608</v>
      </c>
      <c r="J2912" s="11" t="s">
        <v>1054</v>
      </c>
      <c r="K2912" s="11" t="s">
        <v>61</v>
      </c>
      <c r="L2912" s="11" t="s">
        <v>48</v>
      </c>
      <c r="M2912" s="11" t="s">
        <v>28</v>
      </c>
      <c r="N2912" s="11" t="s">
        <v>29</v>
      </c>
      <c r="O2912" s="11" t="s">
        <v>929</v>
      </c>
      <c r="P2912" s="11" t="s">
        <v>38</v>
      </c>
      <c r="Q2912" s="20">
        <v>40317.0</v>
      </c>
      <c r="R2912" s="17">
        <f t="shared" si="2"/>
        <v>8.736446854</v>
      </c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>
        <f t="shared" si="8"/>
        <v>4</v>
      </c>
      <c r="AF2912" s="19">
        <f t="shared" si="13"/>
        <v>4</v>
      </c>
      <c r="AG2912" s="9"/>
      <c r="AH2912" s="9"/>
      <c r="AI2912" s="9"/>
    </row>
    <row r="2913" ht="15.0" customHeight="1">
      <c r="A2913" s="11">
        <v>2912.0</v>
      </c>
      <c r="B2913" s="12">
        <f t="shared" si="469"/>
        <v>40315</v>
      </c>
      <c r="C2913" s="13">
        <v>2010.0</v>
      </c>
      <c r="D2913" s="11" t="s">
        <v>44</v>
      </c>
      <c r="E2913" s="11">
        <v>39.0</v>
      </c>
      <c r="F2913" s="21" t="s">
        <v>2323</v>
      </c>
      <c r="G2913" s="15">
        <v>0.05561586638830901</v>
      </c>
      <c r="H2913" s="11" t="s">
        <v>33</v>
      </c>
      <c r="I2913" s="16">
        <v>1.544</v>
      </c>
      <c r="J2913" s="11" t="s">
        <v>2324</v>
      </c>
      <c r="K2913" s="11" t="s">
        <v>61</v>
      </c>
      <c r="L2913" s="11" t="s">
        <v>41</v>
      </c>
      <c r="M2913" s="11" t="s">
        <v>28</v>
      </c>
      <c r="N2913" s="11" t="s">
        <v>62</v>
      </c>
      <c r="O2913" s="11" t="s">
        <v>2325</v>
      </c>
      <c r="P2913" s="11" t="s">
        <v>58</v>
      </c>
      <c r="Q2913" s="20">
        <v>40318.0</v>
      </c>
      <c r="R2913" s="17">
        <f t="shared" si="2"/>
        <v>10.06335733</v>
      </c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>
        <f t="shared" si="8"/>
        <v>3</v>
      </c>
      <c r="AF2913" s="19">
        <f t="shared" si="13"/>
        <v>4</v>
      </c>
      <c r="AG2913" s="9"/>
      <c r="AH2913" s="9"/>
      <c r="AI2913" s="9"/>
    </row>
    <row r="2914" ht="15.0" customHeight="1">
      <c r="A2914" s="11">
        <v>2913.0</v>
      </c>
      <c r="B2914" s="12">
        <f t="shared" si="469"/>
        <v>40315</v>
      </c>
      <c r="C2914" s="13">
        <v>2010.0</v>
      </c>
      <c r="D2914" s="11" t="s">
        <v>44</v>
      </c>
      <c r="E2914" s="11">
        <v>48.0</v>
      </c>
      <c r="F2914" s="21" t="s">
        <v>178</v>
      </c>
      <c r="G2914" s="15">
        <v>0.011770573566084715</v>
      </c>
      <c r="H2914" s="11" t="s">
        <v>33</v>
      </c>
      <c r="I2914" s="16">
        <v>7.040000000000001</v>
      </c>
      <c r="J2914" s="11" t="s">
        <v>2324</v>
      </c>
      <c r="K2914" s="11" t="s">
        <v>61</v>
      </c>
      <c r="L2914" s="11" t="s">
        <v>41</v>
      </c>
      <c r="M2914" s="11" t="s">
        <v>66</v>
      </c>
      <c r="N2914" s="11" t="s">
        <v>80</v>
      </c>
      <c r="O2914" s="11" t="s">
        <v>812</v>
      </c>
      <c r="P2914" s="11" t="s">
        <v>38</v>
      </c>
      <c r="Q2914" s="20">
        <v>40318.0</v>
      </c>
      <c r="R2914" s="17">
        <f t="shared" si="2"/>
        <v>37.31554314</v>
      </c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>
        <f t="shared" si="8"/>
        <v>3</v>
      </c>
      <c r="AF2914" s="19">
        <f t="shared" si="13"/>
        <v>4</v>
      </c>
      <c r="AG2914" s="9"/>
      <c r="AH2914" s="9"/>
      <c r="AI2914" s="9"/>
    </row>
    <row r="2915" ht="15.0" customHeight="1">
      <c r="A2915" s="11">
        <v>2914.0</v>
      </c>
      <c r="B2915" s="12">
        <f t="shared" ref="B2915:B2916" si="470">DATE(2012,12,31)-958</f>
        <v>40316</v>
      </c>
      <c r="C2915" s="13">
        <v>2010.0</v>
      </c>
      <c r="D2915" s="11" t="s">
        <v>32</v>
      </c>
      <c r="E2915" s="11">
        <v>2.0</v>
      </c>
      <c r="F2915" s="21" t="s">
        <v>93</v>
      </c>
      <c r="G2915" s="15">
        <v>0.057109826589595555</v>
      </c>
      <c r="H2915" s="11" t="s">
        <v>24</v>
      </c>
      <c r="I2915" s="16">
        <v>1.1119999999999999</v>
      </c>
      <c r="J2915" s="11" t="s">
        <v>248</v>
      </c>
      <c r="K2915" s="11" t="s">
        <v>117</v>
      </c>
      <c r="L2915" s="11" t="s">
        <v>48</v>
      </c>
      <c r="M2915" s="11" t="s">
        <v>28</v>
      </c>
      <c r="N2915" s="11" t="s">
        <v>236</v>
      </c>
      <c r="O2915" s="11" t="s">
        <v>833</v>
      </c>
      <c r="P2915" s="11" t="s">
        <v>38</v>
      </c>
      <c r="Q2915" s="20">
        <v>40318.0</v>
      </c>
      <c r="R2915" s="17">
        <f t="shared" si="2"/>
        <v>0.9315754913</v>
      </c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>
        <f t="shared" si="8"/>
        <v>4</v>
      </c>
      <c r="AF2915" s="19" t="b">
        <f t="shared" si="13"/>
        <v>0</v>
      </c>
      <c r="AG2915" s="9"/>
      <c r="AH2915" s="9"/>
      <c r="AI2915" s="9"/>
    </row>
    <row r="2916" ht="15.0" customHeight="1">
      <c r="A2916" s="11">
        <v>2915.0</v>
      </c>
      <c r="B2916" s="12">
        <f t="shared" si="470"/>
        <v>40316</v>
      </c>
      <c r="C2916" s="13">
        <v>2010.0</v>
      </c>
      <c r="D2916" s="11" t="s">
        <v>44</v>
      </c>
      <c r="E2916" s="11">
        <v>38.0</v>
      </c>
      <c r="F2916" s="21" t="s">
        <v>1791</v>
      </c>
      <c r="G2916" s="15">
        <v>0.009240233774223373</v>
      </c>
      <c r="H2916" s="11" t="s">
        <v>33</v>
      </c>
      <c r="I2916" s="16">
        <v>2.8960000000000004</v>
      </c>
      <c r="J2916" s="11" t="s">
        <v>329</v>
      </c>
      <c r="K2916" s="11" t="s">
        <v>26</v>
      </c>
      <c r="L2916" s="11" t="s">
        <v>41</v>
      </c>
      <c r="M2916" s="11" t="s">
        <v>66</v>
      </c>
      <c r="N2916" s="11" t="s">
        <v>67</v>
      </c>
      <c r="O2916" s="11" t="s">
        <v>2118</v>
      </c>
      <c r="P2916" s="11" t="s">
        <v>99</v>
      </c>
      <c r="Q2916" s="20">
        <v>40318.0</v>
      </c>
      <c r="R2916" s="17">
        <f t="shared" si="2"/>
        <v>2.976242338</v>
      </c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>
        <f t="shared" si="8"/>
        <v>3</v>
      </c>
      <c r="AF2916" s="19">
        <f t="shared" si="13"/>
        <v>1</v>
      </c>
      <c r="AG2916" s="9"/>
      <c r="AH2916" s="9"/>
      <c r="AI2916" s="9"/>
    </row>
    <row r="2917" ht="15.0" customHeight="1">
      <c r="A2917" s="11">
        <v>2916.0</v>
      </c>
      <c r="B2917" s="12">
        <f t="shared" ref="B2917:B2923" si="471">DATE(2012,12,31)-957</f>
        <v>40317</v>
      </c>
      <c r="C2917" s="13">
        <v>2010.0</v>
      </c>
      <c r="D2917" s="11" t="s">
        <v>32</v>
      </c>
      <c r="E2917" s="11">
        <v>46.0</v>
      </c>
      <c r="F2917" s="21" t="s">
        <v>1158</v>
      </c>
      <c r="G2917" s="15">
        <v>0.03331764705882345</v>
      </c>
      <c r="H2917" s="11" t="s">
        <v>33</v>
      </c>
      <c r="I2917" s="16">
        <v>3.3360000000000003</v>
      </c>
      <c r="J2917" s="11" t="s">
        <v>2180</v>
      </c>
      <c r="K2917" s="11" t="s">
        <v>61</v>
      </c>
      <c r="L2917" s="11" t="s">
        <v>36</v>
      </c>
      <c r="M2917" s="11" t="s">
        <v>28</v>
      </c>
      <c r="N2917" s="11" t="s">
        <v>62</v>
      </c>
      <c r="O2917" s="11" t="s">
        <v>1532</v>
      </c>
      <c r="P2917" s="11" t="s">
        <v>99</v>
      </c>
      <c r="Q2917" s="20">
        <v>40318.0</v>
      </c>
      <c r="R2917" s="17">
        <f t="shared" si="2"/>
        <v>5.475288847</v>
      </c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>
        <f t="shared" si="8"/>
        <v>2</v>
      </c>
      <c r="AF2917" s="19">
        <f t="shared" si="13"/>
        <v>4</v>
      </c>
      <c r="AG2917" s="9"/>
      <c r="AH2917" s="9"/>
      <c r="AI2917" s="9"/>
    </row>
    <row r="2918" ht="15.0" customHeight="1">
      <c r="A2918" s="11">
        <v>2917.0</v>
      </c>
      <c r="B2918" s="12">
        <f t="shared" si="471"/>
        <v>40317</v>
      </c>
      <c r="C2918" s="13">
        <v>2010.0</v>
      </c>
      <c r="D2918" s="11" t="s">
        <v>32</v>
      </c>
      <c r="E2918" s="11">
        <v>42.0</v>
      </c>
      <c r="F2918" s="21" t="s">
        <v>731</v>
      </c>
      <c r="G2918" s="15">
        <v>0.06838136435377332</v>
      </c>
      <c r="H2918" s="11" t="s">
        <v>33</v>
      </c>
      <c r="I2918" s="16">
        <v>10.32</v>
      </c>
      <c r="J2918" s="11" t="s">
        <v>2180</v>
      </c>
      <c r="K2918" s="11" t="s">
        <v>61</v>
      </c>
      <c r="L2918" s="11" t="s">
        <v>36</v>
      </c>
      <c r="M2918" s="11" t="s">
        <v>28</v>
      </c>
      <c r="N2918" s="11" t="s">
        <v>29</v>
      </c>
      <c r="O2918" s="11" t="s">
        <v>733</v>
      </c>
      <c r="P2918" s="11" t="s">
        <v>38</v>
      </c>
      <c r="Q2918" s="20">
        <v>40318.0</v>
      </c>
      <c r="R2918" s="17">
        <f t="shared" si="2"/>
        <v>108.980748</v>
      </c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>
        <f t="shared" si="8"/>
        <v>2</v>
      </c>
      <c r="AF2918" s="19">
        <f t="shared" si="13"/>
        <v>4</v>
      </c>
      <c r="AG2918" s="9"/>
      <c r="AH2918" s="9"/>
      <c r="AI2918" s="9"/>
    </row>
    <row r="2919" ht="15.0" customHeight="1">
      <c r="A2919" s="11">
        <v>2918.0</v>
      </c>
      <c r="B2919" s="12">
        <f t="shared" si="471"/>
        <v>40317</v>
      </c>
      <c r="C2919" s="13">
        <v>2010.0</v>
      </c>
      <c r="D2919" s="11" t="s">
        <v>32</v>
      </c>
      <c r="E2919" s="11">
        <v>35.0</v>
      </c>
      <c r="F2919" s="21" t="s">
        <v>1710</v>
      </c>
      <c r="G2919" s="15">
        <v>0.02260250822734149</v>
      </c>
      <c r="H2919" s="11" t="s">
        <v>45</v>
      </c>
      <c r="I2919" s="16">
        <v>41.552</v>
      </c>
      <c r="J2919" s="11" t="s">
        <v>2180</v>
      </c>
      <c r="K2919" s="11" t="s">
        <v>61</v>
      </c>
      <c r="L2919" s="11" t="s">
        <v>36</v>
      </c>
      <c r="M2919" s="11" t="s">
        <v>49</v>
      </c>
      <c r="N2919" s="11" t="s">
        <v>85</v>
      </c>
      <c r="O2919" s="11" t="s">
        <v>1711</v>
      </c>
      <c r="P2919" s="11" t="s">
        <v>87</v>
      </c>
      <c r="Q2919" s="20">
        <v>40318.0</v>
      </c>
      <c r="R2919" s="17">
        <f t="shared" si="2"/>
        <v>99.35050024</v>
      </c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>
        <f t="shared" si="8"/>
        <v>2</v>
      </c>
      <c r="AF2919" s="19">
        <f t="shared" si="13"/>
        <v>4</v>
      </c>
      <c r="AG2919" s="9"/>
      <c r="AH2919" s="9"/>
      <c r="AI2919" s="9"/>
    </row>
    <row r="2920" ht="15.0" customHeight="1">
      <c r="A2920" s="11">
        <v>2919.0</v>
      </c>
      <c r="B2920" s="12">
        <f t="shared" si="471"/>
        <v>40317</v>
      </c>
      <c r="C2920" s="13">
        <v>2010.0</v>
      </c>
      <c r="D2920" s="11" t="s">
        <v>32</v>
      </c>
      <c r="E2920" s="11">
        <v>48.0</v>
      </c>
      <c r="F2920" s="21" t="s">
        <v>956</v>
      </c>
      <c r="G2920" s="15">
        <v>0.04822462203023752</v>
      </c>
      <c r="H2920" s="11" t="s">
        <v>33</v>
      </c>
      <c r="I2920" s="16">
        <v>4.336</v>
      </c>
      <c r="J2920" s="11" t="s">
        <v>1025</v>
      </c>
      <c r="K2920" s="11" t="s">
        <v>117</v>
      </c>
      <c r="L2920" s="11" t="s">
        <v>48</v>
      </c>
      <c r="M2920" s="11" t="s">
        <v>28</v>
      </c>
      <c r="N2920" s="11" t="s">
        <v>42</v>
      </c>
      <c r="O2920" s="11" t="s">
        <v>1189</v>
      </c>
      <c r="P2920" s="11" t="s">
        <v>38</v>
      </c>
      <c r="Q2920" s="20">
        <v>40318.0</v>
      </c>
      <c r="R2920" s="17">
        <f t="shared" si="2"/>
        <v>10.62562032</v>
      </c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>
        <f t="shared" si="8"/>
        <v>4</v>
      </c>
      <c r="AF2920" s="19" t="b">
        <f t="shared" si="13"/>
        <v>0</v>
      </c>
      <c r="AG2920" s="9"/>
      <c r="AH2920" s="9"/>
      <c r="AI2920" s="9"/>
    </row>
    <row r="2921" ht="15.0" customHeight="1">
      <c r="A2921" s="11">
        <v>2920.0</v>
      </c>
      <c r="B2921" s="12">
        <f t="shared" si="471"/>
        <v>40317</v>
      </c>
      <c r="C2921" s="13">
        <v>2010.0</v>
      </c>
      <c r="D2921" s="11" t="s">
        <v>32</v>
      </c>
      <c r="E2921" s="11">
        <v>34.0</v>
      </c>
      <c r="F2921" s="21" t="s">
        <v>707</v>
      </c>
      <c r="G2921" s="15">
        <v>0.07209445585215611</v>
      </c>
      <c r="H2921" s="11" t="s">
        <v>33</v>
      </c>
      <c r="I2921" s="16">
        <v>1.1119999999999999</v>
      </c>
      <c r="J2921" s="11" t="s">
        <v>1025</v>
      </c>
      <c r="K2921" s="11" t="s">
        <v>117</v>
      </c>
      <c r="L2921" s="11" t="s">
        <v>48</v>
      </c>
      <c r="M2921" s="11" t="s">
        <v>28</v>
      </c>
      <c r="N2921" s="11" t="s">
        <v>236</v>
      </c>
      <c r="O2921" s="11" t="s">
        <v>2326</v>
      </c>
      <c r="P2921" s="11" t="s">
        <v>38</v>
      </c>
      <c r="Q2921" s="20">
        <v>40319.0</v>
      </c>
      <c r="R2921" s="17">
        <f t="shared" si="2"/>
        <v>26.06301092</v>
      </c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>
        <f t="shared" si="8"/>
        <v>4</v>
      </c>
      <c r="AF2921" s="19" t="b">
        <f t="shared" si="13"/>
        <v>0</v>
      </c>
      <c r="AG2921" s="9"/>
      <c r="AH2921" s="9"/>
      <c r="AI2921" s="9"/>
    </row>
    <row r="2922" ht="15.0" customHeight="1">
      <c r="A2922" s="11">
        <v>2921.0</v>
      </c>
      <c r="B2922" s="12">
        <f t="shared" si="471"/>
        <v>40317</v>
      </c>
      <c r="C2922" s="13">
        <v>2010.0</v>
      </c>
      <c r="D2922" s="11" t="s">
        <v>32</v>
      </c>
      <c r="E2922" s="11">
        <v>34.0</v>
      </c>
      <c r="F2922" s="21" t="s">
        <v>715</v>
      </c>
      <c r="G2922" s="15">
        <v>0.010181669835964045</v>
      </c>
      <c r="H2922" s="11" t="s">
        <v>45</v>
      </c>
      <c r="I2922" s="16">
        <v>11.76</v>
      </c>
      <c r="J2922" s="11" t="s">
        <v>1025</v>
      </c>
      <c r="K2922" s="11" t="s">
        <v>117</v>
      </c>
      <c r="L2922" s="11" t="s">
        <v>48</v>
      </c>
      <c r="M2922" s="11" t="s">
        <v>66</v>
      </c>
      <c r="N2922" s="11" t="s">
        <v>69</v>
      </c>
      <c r="O2922" s="11" t="s">
        <v>717</v>
      </c>
      <c r="P2922" s="11" t="s">
        <v>52</v>
      </c>
      <c r="Q2922" s="20">
        <v>40319.0</v>
      </c>
      <c r="R2922" s="17">
        <f t="shared" si="2"/>
        <v>153.1644884</v>
      </c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>
        <f t="shared" si="8"/>
        <v>4</v>
      </c>
      <c r="AF2922" s="19" t="b">
        <f t="shared" si="13"/>
        <v>0</v>
      </c>
      <c r="AG2922" s="9"/>
      <c r="AH2922" s="9"/>
      <c r="AI2922" s="9"/>
    </row>
    <row r="2923" ht="15.0" customHeight="1">
      <c r="A2923" s="11">
        <v>2922.0</v>
      </c>
      <c r="B2923" s="12">
        <f t="shared" si="471"/>
        <v>40317</v>
      </c>
      <c r="C2923" s="13">
        <v>2010.0</v>
      </c>
      <c r="D2923" s="11" t="s">
        <v>39</v>
      </c>
      <c r="E2923" s="11">
        <v>41.0</v>
      </c>
      <c r="F2923" s="21" t="s">
        <v>128</v>
      </c>
      <c r="G2923" s="15">
        <v>0.03923866934583606</v>
      </c>
      <c r="H2923" s="11" t="s">
        <v>33</v>
      </c>
      <c r="I2923" s="16">
        <v>2.0</v>
      </c>
      <c r="J2923" s="11" t="s">
        <v>1112</v>
      </c>
      <c r="K2923" s="11" t="s">
        <v>35</v>
      </c>
      <c r="L2923" s="11" t="s">
        <v>27</v>
      </c>
      <c r="M2923" s="11" t="s">
        <v>66</v>
      </c>
      <c r="N2923" s="11" t="s">
        <v>80</v>
      </c>
      <c r="O2923" s="11" t="s">
        <v>862</v>
      </c>
      <c r="P2923" s="11" t="s">
        <v>38</v>
      </c>
      <c r="Q2923" s="20">
        <v>40319.0</v>
      </c>
      <c r="R2923" s="17">
        <f t="shared" si="2"/>
        <v>202.6245646</v>
      </c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>
        <f t="shared" si="8"/>
        <v>1</v>
      </c>
      <c r="AF2923" s="19">
        <f t="shared" si="13"/>
        <v>2</v>
      </c>
      <c r="AG2923" s="9"/>
      <c r="AH2923" s="9"/>
      <c r="AI2923" s="9"/>
    </row>
    <row r="2924" ht="15.0" customHeight="1">
      <c r="A2924" s="11">
        <v>2923.0</v>
      </c>
      <c r="B2924" s="12">
        <f t="shared" ref="B2924:B2932" si="472">DATE(2012,12,31)-956</f>
        <v>40318</v>
      </c>
      <c r="C2924" s="13">
        <v>2010.0</v>
      </c>
      <c r="D2924" s="11" t="s">
        <v>32</v>
      </c>
      <c r="E2924" s="11">
        <v>31.0</v>
      </c>
      <c r="F2924" s="21" t="s">
        <v>126</v>
      </c>
      <c r="G2924" s="15">
        <v>0.04990642545227698</v>
      </c>
      <c r="H2924" s="11" t="s">
        <v>33</v>
      </c>
      <c r="I2924" s="16">
        <v>0.4</v>
      </c>
      <c r="J2924" s="11" t="s">
        <v>1209</v>
      </c>
      <c r="K2924" s="11" t="s">
        <v>65</v>
      </c>
      <c r="L2924" s="11" t="s">
        <v>48</v>
      </c>
      <c r="M2924" s="11" t="s">
        <v>28</v>
      </c>
      <c r="N2924" s="11" t="s">
        <v>188</v>
      </c>
      <c r="O2924" s="11" t="s">
        <v>410</v>
      </c>
      <c r="P2924" s="11" t="s">
        <v>38</v>
      </c>
      <c r="Q2924" s="20">
        <v>40319.0</v>
      </c>
      <c r="R2924" s="17">
        <f t="shared" si="2"/>
        <v>7.600748596</v>
      </c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>
        <f t="shared" si="8"/>
        <v>4</v>
      </c>
      <c r="AF2924" s="19">
        <f t="shared" si="13"/>
        <v>5</v>
      </c>
      <c r="AG2924" s="9"/>
      <c r="AH2924" s="9"/>
      <c r="AI2924" s="9"/>
    </row>
    <row r="2925" ht="15.0" customHeight="1">
      <c r="A2925" s="11">
        <v>2924.0</v>
      </c>
      <c r="B2925" s="12">
        <f t="shared" si="472"/>
        <v>40318</v>
      </c>
      <c r="C2925" s="13">
        <v>2010.0</v>
      </c>
      <c r="D2925" s="11" t="s">
        <v>44</v>
      </c>
      <c r="E2925" s="11">
        <v>14.0</v>
      </c>
      <c r="F2925" s="21" t="s">
        <v>280</v>
      </c>
      <c r="G2925" s="15">
        <v>0.02237992211163993</v>
      </c>
      <c r="H2925" s="11" t="s">
        <v>24</v>
      </c>
      <c r="I2925" s="16">
        <v>5.784000000000001</v>
      </c>
      <c r="J2925" s="11" t="s">
        <v>1851</v>
      </c>
      <c r="K2925" s="11" t="s">
        <v>26</v>
      </c>
      <c r="L2925" s="11" t="s">
        <v>48</v>
      </c>
      <c r="M2925" s="11" t="s">
        <v>28</v>
      </c>
      <c r="N2925" s="11" t="s">
        <v>56</v>
      </c>
      <c r="O2925" s="11" t="s">
        <v>2248</v>
      </c>
      <c r="P2925" s="11" t="s">
        <v>38</v>
      </c>
      <c r="Q2925" s="20">
        <v>40319.0</v>
      </c>
      <c r="R2925" s="17">
        <f t="shared" si="2"/>
        <v>15.16875313</v>
      </c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>
        <f t="shared" si="8"/>
        <v>4</v>
      </c>
      <c r="AF2925" s="19">
        <f t="shared" si="13"/>
        <v>1</v>
      </c>
      <c r="AG2925" s="9"/>
      <c r="AH2925" s="9"/>
      <c r="AI2925" s="9"/>
    </row>
    <row r="2926" ht="15.0" customHeight="1">
      <c r="A2926" s="11">
        <v>2925.0</v>
      </c>
      <c r="B2926" s="12">
        <f t="shared" si="472"/>
        <v>40318</v>
      </c>
      <c r="C2926" s="13">
        <v>2010.0</v>
      </c>
      <c r="D2926" s="11" t="s">
        <v>23</v>
      </c>
      <c r="E2926" s="11">
        <v>36.0</v>
      </c>
      <c r="F2926" s="21" t="s">
        <v>2327</v>
      </c>
      <c r="G2926" s="15">
        <v>0.03732099581405596</v>
      </c>
      <c r="H2926" s="11" t="s">
        <v>33</v>
      </c>
      <c r="I2926" s="16">
        <v>4.960000000000001</v>
      </c>
      <c r="J2926" s="11" t="s">
        <v>555</v>
      </c>
      <c r="K2926" s="11" t="s">
        <v>65</v>
      </c>
      <c r="L2926" s="11" t="s">
        <v>41</v>
      </c>
      <c r="M2926" s="11" t="s">
        <v>49</v>
      </c>
      <c r="N2926" s="11" t="s">
        <v>73</v>
      </c>
      <c r="O2926" s="11" t="s">
        <v>2328</v>
      </c>
      <c r="P2926" s="11" t="s">
        <v>58</v>
      </c>
      <c r="Q2926" s="20">
        <v>40319.0</v>
      </c>
      <c r="R2926" s="17">
        <f t="shared" si="2"/>
        <v>16.30778233</v>
      </c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>
        <f t="shared" si="8"/>
        <v>3</v>
      </c>
      <c r="AF2926" s="19">
        <f t="shared" si="13"/>
        <v>5</v>
      </c>
      <c r="AG2926" s="9"/>
      <c r="AH2926" s="9"/>
      <c r="AI2926" s="9"/>
    </row>
    <row r="2927" ht="15.0" customHeight="1">
      <c r="A2927" s="11">
        <v>2926.0</v>
      </c>
      <c r="B2927" s="12">
        <f t="shared" si="472"/>
        <v>40318</v>
      </c>
      <c r="C2927" s="13">
        <v>2010.0</v>
      </c>
      <c r="D2927" s="11" t="s">
        <v>44</v>
      </c>
      <c r="E2927" s="11">
        <v>10.0</v>
      </c>
      <c r="F2927" s="21" t="s">
        <v>1878</v>
      </c>
      <c r="G2927" s="15">
        <v>0.1091891891891893</v>
      </c>
      <c r="H2927" s="11" t="s">
        <v>33</v>
      </c>
      <c r="I2927" s="16">
        <v>4.216</v>
      </c>
      <c r="J2927" s="11" t="s">
        <v>878</v>
      </c>
      <c r="K2927" s="11" t="s">
        <v>61</v>
      </c>
      <c r="L2927" s="11" t="s">
        <v>48</v>
      </c>
      <c r="M2927" s="11" t="s">
        <v>28</v>
      </c>
      <c r="N2927" s="11" t="s">
        <v>42</v>
      </c>
      <c r="O2927" s="11" t="s">
        <v>1879</v>
      </c>
      <c r="P2927" s="11" t="s">
        <v>38</v>
      </c>
      <c r="Q2927" s="20">
        <v>40319.0</v>
      </c>
      <c r="R2927" s="17">
        <f t="shared" si="2"/>
        <v>7.557638919</v>
      </c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>
        <f t="shared" si="8"/>
        <v>4</v>
      </c>
      <c r="AF2927" s="19">
        <f t="shared" si="13"/>
        <v>4</v>
      </c>
      <c r="AG2927" s="9"/>
      <c r="AH2927" s="9"/>
      <c r="AI2927" s="9"/>
    </row>
    <row r="2928" ht="15.0" customHeight="1">
      <c r="A2928" s="11">
        <v>2927.0</v>
      </c>
      <c r="B2928" s="12">
        <f t="shared" si="472"/>
        <v>40318</v>
      </c>
      <c r="C2928" s="13">
        <v>2010.0</v>
      </c>
      <c r="D2928" s="11" t="s">
        <v>23</v>
      </c>
      <c r="E2928" s="11">
        <v>20.0</v>
      </c>
      <c r="F2928" s="21" t="s">
        <v>325</v>
      </c>
      <c r="G2928" s="15">
        <v>0.0371195652173913</v>
      </c>
      <c r="H2928" s="11" t="s">
        <v>33</v>
      </c>
      <c r="I2928" s="16">
        <v>1.736</v>
      </c>
      <c r="J2928" s="11" t="s">
        <v>2294</v>
      </c>
      <c r="K2928" s="11" t="s">
        <v>35</v>
      </c>
      <c r="L2928" s="11" t="s">
        <v>48</v>
      </c>
      <c r="M2928" s="11" t="s">
        <v>28</v>
      </c>
      <c r="N2928" s="11" t="s">
        <v>56</v>
      </c>
      <c r="O2928" s="11" t="s">
        <v>327</v>
      </c>
      <c r="P2928" s="11" t="s">
        <v>58</v>
      </c>
      <c r="Q2928" s="20">
        <v>40320.0</v>
      </c>
      <c r="R2928" s="17">
        <f t="shared" si="2"/>
        <v>5.261178696</v>
      </c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>
        <f t="shared" si="8"/>
        <v>4</v>
      </c>
      <c r="AF2928" s="19">
        <f t="shared" si="13"/>
        <v>2</v>
      </c>
      <c r="AG2928" s="9"/>
      <c r="AH2928" s="9"/>
      <c r="AI2928" s="9"/>
    </row>
    <row r="2929" ht="15.0" customHeight="1">
      <c r="A2929" s="11">
        <v>2928.0</v>
      </c>
      <c r="B2929" s="12">
        <f t="shared" si="472"/>
        <v>40318</v>
      </c>
      <c r="C2929" s="13">
        <v>2010.0</v>
      </c>
      <c r="D2929" s="11" t="s">
        <v>23</v>
      </c>
      <c r="E2929" s="11">
        <v>39.0</v>
      </c>
      <c r="F2929" s="21" t="s">
        <v>264</v>
      </c>
      <c r="G2929" s="15">
        <v>0.05637752318603399</v>
      </c>
      <c r="H2929" s="11" t="s">
        <v>33</v>
      </c>
      <c r="I2929" s="16">
        <v>6.632</v>
      </c>
      <c r="J2929" s="11" t="s">
        <v>2294</v>
      </c>
      <c r="K2929" s="11" t="s">
        <v>35</v>
      </c>
      <c r="L2929" s="11" t="s">
        <v>48</v>
      </c>
      <c r="M2929" s="11" t="s">
        <v>28</v>
      </c>
      <c r="N2929" s="11" t="s">
        <v>236</v>
      </c>
      <c r="O2929" s="11" t="s">
        <v>265</v>
      </c>
      <c r="P2929" s="11" t="s">
        <v>38</v>
      </c>
      <c r="Q2929" s="20">
        <v>40320.0</v>
      </c>
      <c r="R2929" s="17">
        <f t="shared" si="2"/>
        <v>19.50278935</v>
      </c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>
        <f t="shared" si="8"/>
        <v>4</v>
      </c>
      <c r="AF2929" s="19">
        <f t="shared" si="13"/>
        <v>2</v>
      </c>
      <c r="AG2929" s="9"/>
      <c r="AH2929" s="9"/>
      <c r="AI2929" s="9"/>
    </row>
    <row r="2930" ht="15.0" customHeight="1">
      <c r="A2930" s="11">
        <v>2929.0</v>
      </c>
      <c r="B2930" s="12">
        <f t="shared" si="472"/>
        <v>40318</v>
      </c>
      <c r="C2930" s="13">
        <v>2010.0</v>
      </c>
      <c r="D2930" s="11" t="s">
        <v>39</v>
      </c>
      <c r="E2930" s="11">
        <v>36.0</v>
      </c>
      <c r="F2930" s="21" t="s">
        <v>316</v>
      </c>
      <c r="G2930" s="15">
        <v>0.08394785847299814</v>
      </c>
      <c r="H2930" s="11" t="s">
        <v>33</v>
      </c>
      <c r="I2930" s="16">
        <v>7.152</v>
      </c>
      <c r="J2930" s="11" t="s">
        <v>1652</v>
      </c>
      <c r="K2930" s="11" t="s">
        <v>117</v>
      </c>
      <c r="L2930" s="11" t="s">
        <v>48</v>
      </c>
      <c r="M2930" s="11" t="s">
        <v>28</v>
      </c>
      <c r="N2930" s="11" t="s">
        <v>42</v>
      </c>
      <c r="O2930" s="11" t="s">
        <v>1126</v>
      </c>
      <c r="P2930" s="11" t="s">
        <v>38</v>
      </c>
      <c r="Q2930" s="20">
        <v>40320.0</v>
      </c>
      <c r="R2930" s="17">
        <f t="shared" si="2"/>
        <v>24.77737832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>
        <f t="shared" si="8"/>
        <v>4</v>
      </c>
      <c r="AF2930" s="19" t="b">
        <f t="shared" si="13"/>
        <v>0</v>
      </c>
      <c r="AG2930" s="9"/>
      <c r="AH2930" s="9"/>
      <c r="AI2930" s="9"/>
    </row>
    <row r="2931" ht="15.0" customHeight="1">
      <c r="A2931" s="11">
        <v>2930.0</v>
      </c>
      <c r="B2931" s="12">
        <f t="shared" si="472"/>
        <v>40318</v>
      </c>
      <c r="C2931" s="13">
        <v>2010.0</v>
      </c>
      <c r="D2931" s="11" t="s">
        <v>39</v>
      </c>
      <c r="E2931" s="11">
        <v>18.0</v>
      </c>
      <c r="F2931" s="21" t="s">
        <v>1227</v>
      </c>
      <c r="G2931" s="15">
        <v>0.06775862068965514</v>
      </c>
      <c r="H2931" s="11" t="s">
        <v>33</v>
      </c>
      <c r="I2931" s="16">
        <v>3.6560000000000006</v>
      </c>
      <c r="J2931" s="11" t="s">
        <v>1652</v>
      </c>
      <c r="K2931" s="11" t="s">
        <v>117</v>
      </c>
      <c r="L2931" s="11" t="s">
        <v>48</v>
      </c>
      <c r="M2931" s="11" t="s">
        <v>49</v>
      </c>
      <c r="N2931" s="11" t="s">
        <v>73</v>
      </c>
      <c r="O2931" s="11" t="s">
        <v>1229</v>
      </c>
      <c r="P2931" s="11" t="s">
        <v>99</v>
      </c>
      <c r="Q2931" s="20">
        <v>40320.0</v>
      </c>
      <c r="R2931" s="17">
        <f t="shared" si="2"/>
        <v>2.930966897</v>
      </c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>
        <f t="shared" si="8"/>
        <v>4</v>
      </c>
      <c r="AF2931" s="19" t="b">
        <f t="shared" si="13"/>
        <v>0</v>
      </c>
      <c r="AG2931" s="9"/>
      <c r="AH2931" s="9"/>
      <c r="AI2931" s="9"/>
    </row>
    <row r="2932" ht="15.0" customHeight="1">
      <c r="A2932" s="11">
        <v>2931.0</v>
      </c>
      <c r="B2932" s="12">
        <f t="shared" si="472"/>
        <v>40318</v>
      </c>
      <c r="C2932" s="13">
        <v>2010.0</v>
      </c>
      <c r="D2932" s="11" t="s">
        <v>32</v>
      </c>
      <c r="E2932" s="11">
        <v>32.0</v>
      </c>
      <c r="F2932" s="21" t="s">
        <v>924</v>
      </c>
      <c r="G2932" s="15">
        <v>0.031349206349206224</v>
      </c>
      <c r="H2932" s="11" t="s">
        <v>33</v>
      </c>
      <c r="I2932" s="16">
        <v>1.72</v>
      </c>
      <c r="J2932" s="11" t="s">
        <v>2329</v>
      </c>
      <c r="K2932" s="11" t="s">
        <v>35</v>
      </c>
      <c r="L2932" s="11" t="s">
        <v>27</v>
      </c>
      <c r="M2932" s="11" t="s">
        <v>28</v>
      </c>
      <c r="N2932" s="11" t="s">
        <v>56</v>
      </c>
      <c r="O2932" s="11" t="s">
        <v>57</v>
      </c>
      <c r="P2932" s="11" t="s">
        <v>58</v>
      </c>
      <c r="Q2932" s="20">
        <v>40320.0</v>
      </c>
      <c r="R2932" s="17">
        <f t="shared" si="2"/>
        <v>9.182809524</v>
      </c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>
        <f t="shared" si="8"/>
        <v>1</v>
      </c>
      <c r="AF2932" s="19">
        <f t="shared" si="13"/>
        <v>2</v>
      </c>
      <c r="AG2932" s="9"/>
      <c r="AH2932" s="9"/>
      <c r="AI2932" s="9"/>
    </row>
    <row r="2933" ht="15.0" customHeight="1">
      <c r="A2933" s="11">
        <v>2932.0</v>
      </c>
      <c r="B2933" s="12">
        <f t="shared" ref="B2933:B2942" si="473">DATE(2012,12,31)-955</f>
        <v>40319</v>
      </c>
      <c r="C2933" s="13">
        <v>2010.0</v>
      </c>
      <c r="D2933" s="11" t="s">
        <v>102</v>
      </c>
      <c r="E2933" s="11">
        <v>46.0</v>
      </c>
      <c r="F2933" s="21" t="s">
        <v>1441</v>
      </c>
      <c r="G2933" s="15">
        <v>0.08171415750504815</v>
      </c>
      <c r="H2933" s="11" t="s">
        <v>33</v>
      </c>
      <c r="I2933" s="16">
        <v>4.4799999999999995</v>
      </c>
      <c r="J2933" s="11" t="s">
        <v>603</v>
      </c>
      <c r="K2933" s="11" t="s">
        <v>61</v>
      </c>
      <c r="L2933" s="11" t="s">
        <v>48</v>
      </c>
      <c r="M2933" s="11" t="s">
        <v>28</v>
      </c>
      <c r="N2933" s="11" t="s">
        <v>42</v>
      </c>
      <c r="O2933" s="11" t="s">
        <v>1443</v>
      </c>
      <c r="P2933" s="11" t="s">
        <v>38</v>
      </c>
      <c r="Q2933" s="20">
        <v>40320.0</v>
      </c>
      <c r="R2933" s="17">
        <f t="shared" si="2"/>
        <v>33.44397038</v>
      </c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>
        <f t="shared" si="8"/>
        <v>4</v>
      </c>
      <c r="AF2933" s="19">
        <f t="shared" si="13"/>
        <v>4</v>
      </c>
      <c r="AG2933" s="9"/>
      <c r="AH2933" s="9"/>
      <c r="AI2933" s="9"/>
    </row>
    <row r="2934" ht="15.0" customHeight="1">
      <c r="A2934" s="11">
        <v>2933.0</v>
      </c>
      <c r="B2934" s="12">
        <f t="shared" si="473"/>
        <v>40319</v>
      </c>
      <c r="C2934" s="13">
        <v>2010.0</v>
      </c>
      <c r="D2934" s="11" t="s">
        <v>102</v>
      </c>
      <c r="E2934" s="11">
        <v>44.0</v>
      </c>
      <c r="F2934" s="21" t="s">
        <v>210</v>
      </c>
      <c r="G2934" s="15">
        <v>0.08671439936356397</v>
      </c>
      <c r="H2934" s="11" t="s">
        <v>33</v>
      </c>
      <c r="I2934" s="16">
        <v>0.4</v>
      </c>
      <c r="J2934" s="11" t="s">
        <v>603</v>
      </c>
      <c r="K2934" s="11" t="s">
        <v>61</v>
      </c>
      <c r="L2934" s="11" t="s">
        <v>48</v>
      </c>
      <c r="M2934" s="11" t="s">
        <v>28</v>
      </c>
      <c r="N2934" s="11" t="s">
        <v>188</v>
      </c>
      <c r="O2934" s="11" t="s">
        <v>918</v>
      </c>
      <c r="P2934" s="11" t="s">
        <v>38</v>
      </c>
      <c r="Q2934" s="20">
        <v>40320.0</v>
      </c>
      <c r="R2934" s="17">
        <f t="shared" si="2"/>
        <v>9.954813047</v>
      </c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>
        <f t="shared" si="8"/>
        <v>4</v>
      </c>
      <c r="AF2934" s="19">
        <f t="shared" si="13"/>
        <v>4</v>
      </c>
      <c r="AG2934" s="9"/>
      <c r="AH2934" s="9"/>
      <c r="AI2934" s="9"/>
    </row>
    <row r="2935" ht="15.0" customHeight="1">
      <c r="A2935" s="11">
        <v>2934.0</v>
      </c>
      <c r="B2935" s="12">
        <f t="shared" si="473"/>
        <v>40319</v>
      </c>
      <c r="C2935" s="13">
        <v>2010.0</v>
      </c>
      <c r="D2935" s="11" t="s">
        <v>102</v>
      </c>
      <c r="E2935" s="11">
        <v>5.0</v>
      </c>
      <c r="F2935" s="21" t="s">
        <v>126</v>
      </c>
      <c r="G2935" s="15">
        <v>0.0883870967741935</v>
      </c>
      <c r="H2935" s="11" t="s">
        <v>33</v>
      </c>
      <c r="I2935" s="16">
        <v>3.7600000000000002</v>
      </c>
      <c r="J2935" s="11" t="s">
        <v>603</v>
      </c>
      <c r="K2935" s="11" t="s">
        <v>61</v>
      </c>
      <c r="L2935" s="11" t="s">
        <v>48</v>
      </c>
      <c r="M2935" s="11" t="s">
        <v>28</v>
      </c>
      <c r="N2935" s="11" t="s">
        <v>56</v>
      </c>
      <c r="O2935" s="11" t="s">
        <v>1730</v>
      </c>
      <c r="P2935" s="11" t="s">
        <v>38</v>
      </c>
      <c r="Q2935" s="20">
        <v>40320.0</v>
      </c>
      <c r="R2935" s="17">
        <f t="shared" si="2"/>
        <v>2.497819355</v>
      </c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>
        <f t="shared" si="8"/>
        <v>4</v>
      </c>
      <c r="AF2935" s="19">
        <f t="shared" si="13"/>
        <v>4</v>
      </c>
      <c r="AG2935" s="9"/>
      <c r="AH2935" s="9"/>
      <c r="AI2935" s="9"/>
    </row>
    <row r="2936" ht="15.0" customHeight="1">
      <c r="A2936" s="11">
        <v>2935.0</v>
      </c>
      <c r="B2936" s="12">
        <f t="shared" si="473"/>
        <v>40319</v>
      </c>
      <c r="C2936" s="13">
        <v>2010.0</v>
      </c>
      <c r="D2936" s="11" t="s">
        <v>39</v>
      </c>
      <c r="E2936" s="11">
        <v>5.0</v>
      </c>
      <c r="F2936" s="21" t="s">
        <v>752</v>
      </c>
      <c r="G2936" s="15">
        <v>0.04049211548716386</v>
      </c>
      <c r="H2936" s="11" t="s">
        <v>33</v>
      </c>
      <c r="I2936" s="16">
        <v>19.592</v>
      </c>
      <c r="J2936" s="11" t="s">
        <v>2099</v>
      </c>
      <c r="K2936" s="11" t="s">
        <v>83</v>
      </c>
      <c r="L2936" s="11" t="s">
        <v>48</v>
      </c>
      <c r="M2936" s="11" t="s">
        <v>66</v>
      </c>
      <c r="N2936" s="11" t="s">
        <v>170</v>
      </c>
      <c r="O2936" s="11" t="s">
        <v>753</v>
      </c>
      <c r="P2936" s="11" t="s">
        <v>31</v>
      </c>
      <c r="Q2936" s="20">
        <v>40321.0</v>
      </c>
      <c r="R2936" s="17">
        <f t="shared" si="2"/>
        <v>102.0033642</v>
      </c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>
        <f t="shared" si="8"/>
        <v>4</v>
      </c>
      <c r="AF2936" s="19" t="b">
        <f t="shared" si="13"/>
        <v>0</v>
      </c>
      <c r="AG2936" s="9"/>
      <c r="AH2936" s="9"/>
      <c r="AI2936" s="9"/>
    </row>
    <row r="2937" ht="15.0" customHeight="1">
      <c r="A2937" s="11">
        <v>2936.0</v>
      </c>
      <c r="B2937" s="12">
        <f t="shared" si="473"/>
        <v>40319</v>
      </c>
      <c r="C2937" s="13">
        <v>2010.0</v>
      </c>
      <c r="D2937" s="11" t="s">
        <v>23</v>
      </c>
      <c r="E2937" s="11">
        <v>12.0</v>
      </c>
      <c r="F2937" s="21" t="s">
        <v>552</v>
      </c>
      <c r="G2937" s="15">
        <v>0.09056065239551464</v>
      </c>
      <c r="H2937" s="11" t="s">
        <v>33</v>
      </c>
      <c r="I2937" s="16">
        <v>2.8160000000000003</v>
      </c>
      <c r="J2937" s="11" t="s">
        <v>1985</v>
      </c>
      <c r="K2937" s="11" t="s">
        <v>35</v>
      </c>
      <c r="L2937" s="11" t="s">
        <v>48</v>
      </c>
      <c r="M2937" s="11" t="s">
        <v>66</v>
      </c>
      <c r="N2937" s="11" t="s">
        <v>67</v>
      </c>
      <c r="O2937" s="11" t="s">
        <v>1445</v>
      </c>
      <c r="P2937" s="11" t="s">
        <v>99</v>
      </c>
      <c r="Q2937" s="20">
        <v>40321.0</v>
      </c>
      <c r="R2937" s="17">
        <f t="shared" si="2"/>
        <v>8.079459164</v>
      </c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>
        <f t="shared" si="8"/>
        <v>4</v>
      </c>
      <c r="AF2937" s="19">
        <f t="shared" si="13"/>
        <v>2</v>
      </c>
      <c r="AG2937" s="9"/>
      <c r="AH2937" s="9"/>
      <c r="AI2937" s="9"/>
    </row>
    <row r="2938" ht="15.0" customHeight="1">
      <c r="A2938" s="11">
        <v>2937.0</v>
      </c>
      <c r="B2938" s="12">
        <f t="shared" si="473"/>
        <v>40319</v>
      </c>
      <c r="C2938" s="13">
        <v>2010.0</v>
      </c>
      <c r="D2938" s="11" t="s">
        <v>23</v>
      </c>
      <c r="E2938" s="11">
        <v>50.0</v>
      </c>
      <c r="F2938" s="21" t="s">
        <v>629</v>
      </c>
      <c r="G2938" s="15">
        <v>0.023478032096816717</v>
      </c>
      <c r="H2938" s="11" t="s">
        <v>33</v>
      </c>
      <c r="I2938" s="16">
        <v>6.176</v>
      </c>
      <c r="J2938" s="11" t="s">
        <v>879</v>
      </c>
      <c r="K2938" s="11" t="s">
        <v>61</v>
      </c>
      <c r="L2938" s="11" t="s">
        <v>27</v>
      </c>
      <c r="M2938" s="11" t="s">
        <v>28</v>
      </c>
      <c r="N2938" s="11" t="s">
        <v>42</v>
      </c>
      <c r="O2938" s="11" t="s">
        <v>1822</v>
      </c>
      <c r="P2938" s="11" t="s">
        <v>38</v>
      </c>
      <c r="Q2938" s="20">
        <v>40321.0</v>
      </c>
      <c r="R2938" s="17">
        <f t="shared" si="2"/>
        <v>8.714482042</v>
      </c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>
        <f t="shared" si="8"/>
        <v>1</v>
      </c>
      <c r="AF2938" s="19">
        <f t="shared" si="13"/>
        <v>4</v>
      </c>
      <c r="AG2938" s="9"/>
      <c r="AH2938" s="9"/>
      <c r="AI2938" s="9"/>
    </row>
    <row r="2939" ht="15.0" customHeight="1">
      <c r="A2939" s="11">
        <v>2938.0</v>
      </c>
      <c r="B2939" s="12">
        <f t="shared" si="473"/>
        <v>40319</v>
      </c>
      <c r="C2939" s="13">
        <v>2010.0</v>
      </c>
      <c r="D2939" s="11" t="s">
        <v>23</v>
      </c>
      <c r="E2939" s="11">
        <v>43.0</v>
      </c>
      <c r="F2939" s="21" t="s">
        <v>2330</v>
      </c>
      <c r="G2939" s="15">
        <v>0.04834400731930459</v>
      </c>
      <c r="H2939" s="11" t="s">
        <v>33</v>
      </c>
      <c r="I2939" s="16">
        <v>0.8160000000000001</v>
      </c>
      <c r="J2939" s="11" t="s">
        <v>879</v>
      </c>
      <c r="K2939" s="11" t="s">
        <v>61</v>
      </c>
      <c r="L2939" s="11" t="s">
        <v>27</v>
      </c>
      <c r="M2939" s="11" t="s">
        <v>28</v>
      </c>
      <c r="N2939" s="11" t="s">
        <v>216</v>
      </c>
      <c r="O2939" s="11" t="s">
        <v>2331</v>
      </c>
      <c r="P2939" s="11" t="s">
        <v>58</v>
      </c>
      <c r="Q2939" s="20">
        <v>40321.0</v>
      </c>
      <c r="R2939" s="17">
        <f t="shared" si="2"/>
        <v>5.028550265</v>
      </c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>
        <f t="shared" si="8"/>
        <v>1</v>
      </c>
      <c r="AF2939" s="19">
        <f t="shared" si="13"/>
        <v>4</v>
      </c>
      <c r="AG2939" s="9"/>
      <c r="AH2939" s="9"/>
      <c r="AI2939" s="9"/>
    </row>
    <row r="2940" ht="15.0" customHeight="1">
      <c r="A2940" s="11">
        <v>2939.0</v>
      </c>
      <c r="B2940" s="12">
        <f t="shared" si="473"/>
        <v>40319</v>
      </c>
      <c r="C2940" s="13">
        <v>2010.0</v>
      </c>
      <c r="D2940" s="11" t="s">
        <v>23</v>
      </c>
      <c r="E2940" s="11">
        <v>35.0</v>
      </c>
      <c r="F2940" s="21" t="s">
        <v>369</v>
      </c>
      <c r="G2940" s="15">
        <v>0.027544578204199803</v>
      </c>
      <c r="H2940" s="11" t="s">
        <v>45</v>
      </c>
      <c r="I2940" s="16">
        <v>29.288</v>
      </c>
      <c r="J2940" s="11" t="s">
        <v>953</v>
      </c>
      <c r="K2940" s="11" t="s">
        <v>65</v>
      </c>
      <c r="L2940" s="11" t="s">
        <v>48</v>
      </c>
      <c r="M2940" s="11" t="s">
        <v>49</v>
      </c>
      <c r="N2940" s="11" t="s">
        <v>156</v>
      </c>
      <c r="O2940" s="11" t="s">
        <v>1885</v>
      </c>
      <c r="P2940" s="11" t="s">
        <v>87</v>
      </c>
      <c r="Q2940" s="20">
        <v>40321.0</v>
      </c>
      <c r="R2940" s="17">
        <f t="shared" si="2"/>
        <v>56.81862538</v>
      </c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>
        <f t="shared" si="8"/>
        <v>4</v>
      </c>
      <c r="AF2940" s="19">
        <f t="shared" si="13"/>
        <v>5</v>
      </c>
      <c r="AG2940" s="9"/>
      <c r="AH2940" s="9"/>
      <c r="AI2940" s="9"/>
    </row>
    <row r="2941" ht="15.0" customHeight="1">
      <c r="A2941" s="11">
        <v>2940.0</v>
      </c>
      <c r="B2941" s="12">
        <f t="shared" si="473"/>
        <v>40319</v>
      </c>
      <c r="C2941" s="13">
        <v>2010.0</v>
      </c>
      <c r="D2941" s="11" t="s">
        <v>23</v>
      </c>
      <c r="E2941" s="11">
        <v>20.0</v>
      </c>
      <c r="F2941" s="21" t="s">
        <v>2332</v>
      </c>
      <c r="G2941" s="15">
        <v>0.05218191687710929</v>
      </c>
      <c r="H2941" s="11" t="s">
        <v>33</v>
      </c>
      <c r="I2941" s="16">
        <v>4.4</v>
      </c>
      <c r="J2941" s="11" t="s">
        <v>953</v>
      </c>
      <c r="K2941" s="11" t="s">
        <v>65</v>
      </c>
      <c r="L2941" s="11" t="s">
        <v>48</v>
      </c>
      <c r="M2941" s="11" t="s">
        <v>66</v>
      </c>
      <c r="N2941" s="11" t="s">
        <v>67</v>
      </c>
      <c r="O2941" s="11" t="s">
        <v>2333</v>
      </c>
      <c r="P2941" s="11" t="s">
        <v>38</v>
      </c>
      <c r="Q2941" s="20">
        <v>40321.0</v>
      </c>
      <c r="R2941" s="17">
        <f t="shared" si="2"/>
        <v>31.43438673</v>
      </c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>
        <f t="shared" si="8"/>
        <v>4</v>
      </c>
      <c r="AF2941" s="19">
        <f t="shared" si="13"/>
        <v>5</v>
      </c>
      <c r="AG2941" s="9"/>
      <c r="AH2941" s="9"/>
      <c r="AI2941" s="9"/>
    </row>
    <row r="2942" ht="15.0" customHeight="1">
      <c r="A2942" s="11">
        <v>2941.0</v>
      </c>
      <c r="B2942" s="12">
        <f t="shared" si="473"/>
        <v>40319</v>
      </c>
      <c r="C2942" s="13">
        <v>2010.0</v>
      </c>
      <c r="D2942" s="11" t="s">
        <v>23</v>
      </c>
      <c r="E2942" s="11">
        <v>2.0</v>
      </c>
      <c r="F2942" s="21" t="s">
        <v>2122</v>
      </c>
      <c r="G2942" s="15">
        <v>0.06815533980582524</v>
      </c>
      <c r="H2942" s="11" t="s">
        <v>33</v>
      </c>
      <c r="I2942" s="16">
        <v>6.192</v>
      </c>
      <c r="J2942" s="11" t="s">
        <v>953</v>
      </c>
      <c r="K2942" s="11" t="s">
        <v>65</v>
      </c>
      <c r="L2942" s="11" t="s">
        <v>48</v>
      </c>
      <c r="M2942" s="11" t="s">
        <v>49</v>
      </c>
      <c r="N2942" s="11" t="s">
        <v>73</v>
      </c>
      <c r="O2942" s="11" t="s">
        <v>2123</v>
      </c>
      <c r="P2942" s="11" t="s">
        <v>38</v>
      </c>
      <c r="Q2942" s="20">
        <v>40321.0</v>
      </c>
      <c r="R2942" s="17">
        <f t="shared" si="2"/>
        <v>2.616619806</v>
      </c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>
        <f t="shared" si="8"/>
        <v>4</v>
      </c>
      <c r="AF2942" s="19">
        <f t="shared" si="13"/>
        <v>5</v>
      </c>
      <c r="AG2942" s="9"/>
      <c r="AH2942" s="9"/>
      <c r="AI2942" s="9"/>
    </row>
    <row r="2943" ht="15.0" customHeight="1">
      <c r="A2943" s="11">
        <v>2942.0</v>
      </c>
      <c r="B2943" s="12">
        <f t="shared" ref="B2943:B2944" si="474">DATE(2012,12,31)-954</f>
        <v>40320</v>
      </c>
      <c r="C2943" s="13">
        <v>2010.0</v>
      </c>
      <c r="D2943" s="11" t="s">
        <v>102</v>
      </c>
      <c r="E2943" s="11">
        <v>45.0</v>
      </c>
      <c r="F2943" s="21" t="s">
        <v>336</v>
      </c>
      <c r="G2943" s="15">
        <v>0.0424981844589686</v>
      </c>
      <c r="H2943" s="11" t="s">
        <v>24</v>
      </c>
      <c r="I2943" s="16">
        <v>2.696</v>
      </c>
      <c r="J2943" s="11" t="s">
        <v>1756</v>
      </c>
      <c r="K2943" s="11" t="s">
        <v>117</v>
      </c>
      <c r="L2943" s="11" t="s">
        <v>48</v>
      </c>
      <c r="M2943" s="11" t="s">
        <v>28</v>
      </c>
      <c r="N2943" s="11" t="s">
        <v>216</v>
      </c>
      <c r="O2943" s="11" t="s">
        <v>557</v>
      </c>
      <c r="P2943" s="11" t="s">
        <v>58</v>
      </c>
      <c r="Q2943" s="20">
        <v>40321.0</v>
      </c>
      <c r="R2943" s="17">
        <f t="shared" si="2"/>
        <v>11.20660125</v>
      </c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>
        <f t="shared" si="8"/>
        <v>4</v>
      </c>
      <c r="AF2943" s="19" t="b">
        <f t="shared" si="13"/>
        <v>0</v>
      </c>
      <c r="AG2943" s="9"/>
      <c r="AH2943" s="9"/>
      <c r="AI2943" s="9"/>
    </row>
    <row r="2944" ht="15.0" customHeight="1">
      <c r="A2944" s="11">
        <v>2943.0</v>
      </c>
      <c r="B2944" s="12">
        <f t="shared" si="474"/>
        <v>40320</v>
      </c>
      <c r="C2944" s="13">
        <v>2010.0</v>
      </c>
      <c r="D2944" s="11" t="s">
        <v>102</v>
      </c>
      <c r="E2944" s="11">
        <v>4.0</v>
      </c>
      <c r="F2944" s="21" t="s">
        <v>1184</v>
      </c>
      <c r="G2944" s="15">
        <v>0.058330804248862035</v>
      </c>
      <c r="H2944" s="11" t="s">
        <v>33</v>
      </c>
      <c r="I2944" s="16">
        <v>5.312</v>
      </c>
      <c r="J2944" s="11" t="s">
        <v>1756</v>
      </c>
      <c r="K2944" s="11" t="s">
        <v>117</v>
      </c>
      <c r="L2944" s="11" t="s">
        <v>48</v>
      </c>
      <c r="M2944" s="11" t="s">
        <v>28</v>
      </c>
      <c r="N2944" s="11" t="s">
        <v>29</v>
      </c>
      <c r="O2944" s="11" t="s">
        <v>1186</v>
      </c>
      <c r="P2944" s="11" t="s">
        <v>38</v>
      </c>
      <c r="Q2944" s="20">
        <v>40322.0</v>
      </c>
      <c r="R2944" s="17">
        <f t="shared" si="2"/>
        <v>7.239552777</v>
      </c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>
        <f t="shared" si="8"/>
        <v>4</v>
      </c>
      <c r="AF2944" s="19" t="b">
        <f t="shared" si="13"/>
        <v>0</v>
      </c>
      <c r="AG2944" s="9"/>
      <c r="AH2944" s="9"/>
      <c r="AI2944" s="9"/>
    </row>
    <row r="2945" ht="15.0" customHeight="1">
      <c r="A2945" s="11">
        <v>2944.0</v>
      </c>
      <c r="B2945" s="12">
        <f t="shared" ref="B2945:B2955" si="475">DATE(2012,12,31)-953</f>
        <v>40321</v>
      </c>
      <c r="C2945" s="13">
        <v>2010.0</v>
      </c>
      <c r="D2945" s="11" t="s">
        <v>39</v>
      </c>
      <c r="E2945" s="11">
        <v>8.0</v>
      </c>
      <c r="F2945" s="21" t="s">
        <v>128</v>
      </c>
      <c r="G2945" s="15">
        <v>0.09305195385853524</v>
      </c>
      <c r="H2945" s="11" t="s">
        <v>24</v>
      </c>
      <c r="I2945" s="16">
        <v>7.040000000000001</v>
      </c>
      <c r="J2945" s="11" t="s">
        <v>1935</v>
      </c>
      <c r="K2945" s="11" t="s">
        <v>35</v>
      </c>
      <c r="L2945" s="11" t="s">
        <v>36</v>
      </c>
      <c r="M2945" s="11" t="s">
        <v>66</v>
      </c>
      <c r="N2945" s="11" t="s">
        <v>80</v>
      </c>
      <c r="O2945" s="11" t="s">
        <v>765</v>
      </c>
      <c r="P2945" s="11" t="s">
        <v>38</v>
      </c>
      <c r="Q2945" s="20">
        <v>40322.0</v>
      </c>
      <c r="R2945" s="17">
        <f t="shared" si="2"/>
        <v>94.37701368</v>
      </c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>
        <f t="shared" si="8"/>
        <v>2</v>
      </c>
      <c r="AF2945" s="19">
        <f t="shared" si="13"/>
        <v>2</v>
      </c>
      <c r="AG2945" s="9"/>
      <c r="AH2945" s="9"/>
      <c r="AI2945" s="9"/>
    </row>
    <row r="2946" ht="15.0" customHeight="1">
      <c r="A2946" s="11">
        <v>2945.0</v>
      </c>
      <c r="B2946" s="12">
        <f t="shared" si="475"/>
        <v>40321</v>
      </c>
      <c r="C2946" s="13">
        <v>2010.0</v>
      </c>
      <c r="D2946" s="11" t="s">
        <v>44</v>
      </c>
      <c r="E2946" s="11">
        <v>14.0</v>
      </c>
      <c r="F2946" s="21" t="s">
        <v>238</v>
      </c>
      <c r="G2946" s="15">
        <v>0.043254593175853104</v>
      </c>
      <c r="H2946" s="11" t="s">
        <v>33</v>
      </c>
      <c r="I2946" s="16">
        <v>2.904</v>
      </c>
      <c r="J2946" s="11" t="s">
        <v>934</v>
      </c>
      <c r="K2946" s="11" t="s">
        <v>61</v>
      </c>
      <c r="L2946" s="11" t="s">
        <v>41</v>
      </c>
      <c r="M2946" s="11" t="s">
        <v>49</v>
      </c>
      <c r="N2946" s="11" t="s">
        <v>73</v>
      </c>
      <c r="O2946" s="11" t="s">
        <v>539</v>
      </c>
      <c r="P2946" s="11" t="s">
        <v>58</v>
      </c>
      <c r="Q2946" s="20">
        <v>40322.0</v>
      </c>
      <c r="R2946" s="17">
        <f t="shared" si="2"/>
        <v>3.153432861</v>
      </c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>
        <f t="shared" si="8"/>
        <v>3</v>
      </c>
      <c r="AF2946" s="19">
        <f t="shared" si="13"/>
        <v>4</v>
      </c>
      <c r="AG2946" s="9"/>
      <c r="AH2946" s="9"/>
      <c r="AI2946" s="9"/>
    </row>
    <row r="2947" ht="15.0" customHeight="1">
      <c r="A2947" s="11">
        <v>2946.0</v>
      </c>
      <c r="B2947" s="12">
        <f t="shared" si="475"/>
        <v>40321</v>
      </c>
      <c r="C2947" s="13">
        <v>2010.0</v>
      </c>
      <c r="D2947" s="11" t="s">
        <v>44</v>
      </c>
      <c r="E2947" s="11">
        <v>22.0</v>
      </c>
      <c r="F2947" s="21" t="s">
        <v>490</v>
      </c>
      <c r="G2947" s="15">
        <v>0.025878707325022475</v>
      </c>
      <c r="H2947" s="11" t="s">
        <v>33</v>
      </c>
      <c r="I2947" s="16">
        <v>5.432</v>
      </c>
      <c r="J2947" s="11" t="s">
        <v>934</v>
      </c>
      <c r="K2947" s="11" t="s">
        <v>61</v>
      </c>
      <c r="L2947" s="11" t="s">
        <v>41</v>
      </c>
      <c r="M2947" s="11" t="s">
        <v>28</v>
      </c>
      <c r="N2947" s="11" t="s">
        <v>56</v>
      </c>
      <c r="O2947" s="11" t="s">
        <v>761</v>
      </c>
      <c r="P2947" s="11" t="s">
        <v>38</v>
      </c>
      <c r="Q2947" s="20">
        <v>40322.0</v>
      </c>
      <c r="R2947" s="17">
        <f t="shared" si="2"/>
        <v>31.68154163</v>
      </c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>
        <f t="shared" si="8"/>
        <v>3</v>
      </c>
      <c r="AF2947" s="19">
        <f t="shared" si="13"/>
        <v>4</v>
      </c>
      <c r="AG2947" s="9"/>
      <c r="AH2947" s="9"/>
      <c r="AI2947" s="9"/>
    </row>
    <row r="2948" ht="15.0" customHeight="1">
      <c r="A2948" s="11">
        <v>2947.0</v>
      </c>
      <c r="B2948" s="12">
        <f t="shared" si="475"/>
        <v>40321</v>
      </c>
      <c r="C2948" s="13">
        <v>2010.0</v>
      </c>
      <c r="D2948" s="11" t="s">
        <v>23</v>
      </c>
      <c r="E2948" s="11">
        <v>19.0</v>
      </c>
      <c r="F2948" s="21" t="s">
        <v>1692</v>
      </c>
      <c r="G2948" s="15">
        <v>0.030721048798251858</v>
      </c>
      <c r="H2948" s="11" t="s">
        <v>33</v>
      </c>
      <c r="I2948" s="16">
        <v>2.3920000000000003</v>
      </c>
      <c r="J2948" s="11" t="s">
        <v>2215</v>
      </c>
      <c r="K2948" s="11" t="s">
        <v>83</v>
      </c>
      <c r="L2948" s="11" t="s">
        <v>41</v>
      </c>
      <c r="M2948" s="11" t="s">
        <v>28</v>
      </c>
      <c r="N2948" s="11" t="s">
        <v>42</v>
      </c>
      <c r="O2948" s="11" t="s">
        <v>1694</v>
      </c>
      <c r="P2948" s="11" t="s">
        <v>38</v>
      </c>
      <c r="Q2948" s="20">
        <v>40322.0</v>
      </c>
      <c r="R2948" s="17">
        <f t="shared" si="2"/>
        <v>24.5305117</v>
      </c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>
        <f t="shared" si="8"/>
        <v>3</v>
      </c>
      <c r="AF2948" s="19" t="b">
        <f t="shared" si="13"/>
        <v>0</v>
      </c>
      <c r="AG2948" s="9"/>
      <c r="AH2948" s="9"/>
      <c r="AI2948" s="9"/>
    </row>
    <row r="2949" ht="15.0" customHeight="1">
      <c r="A2949" s="11">
        <v>2948.0</v>
      </c>
      <c r="B2949" s="12">
        <f t="shared" si="475"/>
        <v>40321</v>
      </c>
      <c r="C2949" s="13">
        <v>2010.0</v>
      </c>
      <c r="D2949" s="11" t="s">
        <v>23</v>
      </c>
      <c r="E2949" s="11">
        <v>31.0</v>
      </c>
      <c r="F2949" s="21" t="s">
        <v>1166</v>
      </c>
      <c r="G2949" s="15">
        <v>0.08973977695167273</v>
      </c>
      <c r="H2949" s="11" t="s">
        <v>33</v>
      </c>
      <c r="I2949" s="16">
        <v>1.2160000000000002</v>
      </c>
      <c r="J2949" s="11" t="s">
        <v>2215</v>
      </c>
      <c r="K2949" s="11" t="s">
        <v>83</v>
      </c>
      <c r="L2949" s="11" t="s">
        <v>41</v>
      </c>
      <c r="M2949" s="11" t="s">
        <v>28</v>
      </c>
      <c r="N2949" s="11" t="s">
        <v>56</v>
      </c>
      <c r="O2949" s="11" t="s">
        <v>2334</v>
      </c>
      <c r="P2949" s="11" t="s">
        <v>58</v>
      </c>
      <c r="Q2949" s="20">
        <v>40323.0</v>
      </c>
      <c r="R2949" s="17">
        <f t="shared" si="2"/>
        <v>13.18420907</v>
      </c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>
        <f t="shared" si="8"/>
        <v>3</v>
      </c>
      <c r="AF2949" s="19" t="b">
        <f t="shared" si="13"/>
        <v>0</v>
      </c>
      <c r="AG2949" s="9"/>
      <c r="AH2949" s="9"/>
      <c r="AI2949" s="9"/>
    </row>
    <row r="2950" ht="15.0" customHeight="1">
      <c r="A2950" s="11">
        <v>2949.0</v>
      </c>
      <c r="B2950" s="12">
        <f t="shared" si="475"/>
        <v>40321</v>
      </c>
      <c r="C2950" s="13">
        <v>2010.0</v>
      </c>
      <c r="D2950" s="11" t="s">
        <v>32</v>
      </c>
      <c r="E2950" s="11">
        <v>33.0</v>
      </c>
      <c r="F2950" s="21" t="s">
        <v>705</v>
      </c>
      <c r="G2950" s="15">
        <v>0.09527326440177246</v>
      </c>
      <c r="H2950" s="11" t="s">
        <v>33</v>
      </c>
      <c r="I2950" s="16">
        <v>0.4</v>
      </c>
      <c r="J2950" s="11" t="s">
        <v>793</v>
      </c>
      <c r="K2950" s="11" t="s">
        <v>65</v>
      </c>
      <c r="L2950" s="11" t="s">
        <v>41</v>
      </c>
      <c r="M2950" s="11" t="s">
        <v>28</v>
      </c>
      <c r="N2950" s="11" t="s">
        <v>188</v>
      </c>
      <c r="O2950" s="11" t="s">
        <v>706</v>
      </c>
      <c r="P2950" s="11" t="s">
        <v>38</v>
      </c>
      <c r="Q2950" s="20">
        <v>40323.0</v>
      </c>
      <c r="R2950" s="17">
        <f t="shared" si="2"/>
        <v>11.67097489</v>
      </c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>
        <f t="shared" si="8"/>
        <v>3</v>
      </c>
      <c r="AF2950" s="19">
        <f t="shared" si="13"/>
        <v>5</v>
      </c>
      <c r="AG2950" s="9"/>
      <c r="AH2950" s="9"/>
      <c r="AI2950" s="9"/>
    </row>
    <row r="2951" ht="15.0" customHeight="1">
      <c r="A2951" s="11">
        <v>2950.0</v>
      </c>
      <c r="B2951" s="12">
        <f t="shared" si="475"/>
        <v>40321</v>
      </c>
      <c r="C2951" s="13">
        <v>2010.0</v>
      </c>
      <c r="D2951" s="11" t="s">
        <v>32</v>
      </c>
      <c r="E2951" s="11">
        <v>27.0</v>
      </c>
      <c r="F2951" s="21" t="s">
        <v>178</v>
      </c>
      <c r="G2951" s="15">
        <v>0.02145961369622473</v>
      </c>
      <c r="H2951" s="11" t="s">
        <v>33</v>
      </c>
      <c r="I2951" s="16">
        <v>3.9920000000000004</v>
      </c>
      <c r="J2951" s="11" t="s">
        <v>793</v>
      </c>
      <c r="K2951" s="11" t="s">
        <v>65</v>
      </c>
      <c r="L2951" s="11" t="s">
        <v>41</v>
      </c>
      <c r="M2951" s="11" t="s">
        <v>66</v>
      </c>
      <c r="N2951" s="11" t="s">
        <v>80</v>
      </c>
      <c r="O2951" s="11" t="s">
        <v>1512</v>
      </c>
      <c r="P2951" s="11" t="s">
        <v>38</v>
      </c>
      <c r="Q2951" s="20">
        <v>40323.0</v>
      </c>
      <c r="R2951" s="17">
        <f t="shared" si="2"/>
        <v>38.26875743</v>
      </c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>
        <f t="shared" si="8"/>
        <v>3</v>
      </c>
      <c r="AF2951" s="19">
        <f t="shared" si="13"/>
        <v>5</v>
      </c>
      <c r="AG2951" s="9"/>
      <c r="AH2951" s="9"/>
      <c r="AI2951" s="9"/>
    </row>
    <row r="2952" ht="15.0" customHeight="1">
      <c r="A2952" s="11">
        <v>2951.0</v>
      </c>
      <c r="B2952" s="12">
        <f t="shared" si="475"/>
        <v>40321</v>
      </c>
      <c r="C2952" s="13">
        <v>2010.0</v>
      </c>
      <c r="D2952" s="11" t="s">
        <v>32</v>
      </c>
      <c r="E2952" s="11">
        <v>31.0</v>
      </c>
      <c r="F2952" s="21" t="s">
        <v>1760</v>
      </c>
      <c r="G2952" s="15">
        <v>0.057953091684434944</v>
      </c>
      <c r="H2952" s="11" t="s">
        <v>33</v>
      </c>
      <c r="I2952" s="16">
        <v>1.592</v>
      </c>
      <c r="J2952" s="11" t="s">
        <v>793</v>
      </c>
      <c r="K2952" s="11" t="s">
        <v>65</v>
      </c>
      <c r="L2952" s="11" t="s">
        <v>41</v>
      </c>
      <c r="M2952" s="11" t="s">
        <v>66</v>
      </c>
      <c r="N2952" s="11" t="s">
        <v>67</v>
      </c>
      <c r="O2952" s="11" t="s">
        <v>1762</v>
      </c>
      <c r="P2952" s="11" t="s">
        <v>99</v>
      </c>
      <c r="Q2952" s="20">
        <v>40323.0</v>
      </c>
      <c r="R2952" s="17">
        <f t="shared" si="2"/>
        <v>15.36290098</v>
      </c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>
        <f t="shared" si="8"/>
        <v>3</v>
      </c>
      <c r="AF2952" s="19">
        <f t="shared" si="13"/>
        <v>5</v>
      </c>
      <c r="AG2952" s="9"/>
      <c r="AH2952" s="9"/>
      <c r="AI2952" s="9"/>
    </row>
    <row r="2953" ht="15.0" customHeight="1">
      <c r="A2953" s="11">
        <v>2952.0</v>
      </c>
      <c r="B2953" s="12">
        <f t="shared" si="475"/>
        <v>40321</v>
      </c>
      <c r="C2953" s="13">
        <v>2010.0</v>
      </c>
      <c r="D2953" s="11" t="s">
        <v>32</v>
      </c>
      <c r="E2953" s="11">
        <v>16.0</v>
      </c>
      <c r="F2953" s="21" t="s">
        <v>144</v>
      </c>
      <c r="G2953" s="15">
        <v>0.07502702702702693</v>
      </c>
      <c r="H2953" s="11" t="s">
        <v>33</v>
      </c>
      <c r="I2953" s="16">
        <v>0.6240000000000001</v>
      </c>
      <c r="J2953" s="11" t="s">
        <v>793</v>
      </c>
      <c r="K2953" s="11" t="s">
        <v>65</v>
      </c>
      <c r="L2953" s="11" t="s">
        <v>41</v>
      </c>
      <c r="M2953" s="11" t="s">
        <v>28</v>
      </c>
      <c r="N2953" s="11" t="s">
        <v>216</v>
      </c>
      <c r="O2953" s="11" t="s">
        <v>341</v>
      </c>
      <c r="P2953" s="11" t="s">
        <v>58</v>
      </c>
      <c r="Q2953" s="20">
        <v>40323.0</v>
      </c>
      <c r="R2953" s="17">
        <f t="shared" si="2"/>
        <v>2.567724973</v>
      </c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>
        <f t="shared" si="8"/>
        <v>3</v>
      </c>
      <c r="AF2953" s="19">
        <f t="shared" si="13"/>
        <v>5</v>
      </c>
      <c r="AG2953" s="9"/>
      <c r="AH2953" s="9"/>
      <c r="AI2953" s="9"/>
    </row>
    <row r="2954" ht="15.0" customHeight="1">
      <c r="A2954" s="11">
        <v>2953.0</v>
      </c>
      <c r="B2954" s="12">
        <f t="shared" si="475"/>
        <v>40321</v>
      </c>
      <c r="C2954" s="13">
        <v>2010.0</v>
      </c>
      <c r="D2954" s="11" t="s">
        <v>32</v>
      </c>
      <c r="E2954" s="11">
        <v>33.0</v>
      </c>
      <c r="F2954" s="21" t="s">
        <v>610</v>
      </c>
      <c r="G2954" s="15">
        <v>0.028595947556615108</v>
      </c>
      <c r="H2954" s="11" t="s">
        <v>33</v>
      </c>
      <c r="I2954" s="16">
        <v>4.904</v>
      </c>
      <c r="J2954" s="11" t="s">
        <v>793</v>
      </c>
      <c r="K2954" s="11" t="s">
        <v>65</v>
      </c>
      <c r="L2954" s="11" t="s">
        <v>41</v>
      </c>
      <c r="M2954" s="11" t="s">
        <v>28</v>
      </c>
      <c r="N2954" s="11" t="s">
        <v>29</v>
      </c>
      <c r="O2954" s="11" t="s">
        <v>1969</v>
      </c>
      <c r="P2954" s="11" t="s">
        <v>38</v>
      </c>
      <c r="Q2954" s="20">
        <v>40323.0</v>
      </c>
      <c r="R2954" s="17">
        <f t="shared" si="2"/>
        <v>11.65296301</v>
      </c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>
        <f t="shared" si="8"/>
        <v>3</v>
      </c>
      <c r="AF2954" s="19">
        <f t="shared" si="13"/>
        <v>5</v>
      </c>
      <c r="AG2954" s="9"/>
      <c r="AH2954" s="9"/>
      <c r="AI2954" s="9"/>
    </row>
    <row r="2955" ht="15.0" customHeight="1">
      <c r="A2955" s="11">
        <v>2954.0</v>
      </c>
      <c r="B2955" s="12">
        <f t="shared" si="475"/>
        <v>40321</v>
      </c>
      <c r="C2955" s="13">
        <v>2010.0</v>
      </c>
      <c r="D2955" s="11" t="s">
        <v>32</v>
      </c>
      <c r="E2955" s="11">
        <v>3.0</v>
      </c>
      <c r="F2955" s="21" t="s">
        <v>1952</v>
      </c>
      <c r="G2955" s="15">
        <v>0.06171894093686349</v>
      </c>
      <c r="H2955" s="11" t="s">
        <v>33</v>
      </c>
      <c r="I2955" s="16">
        <v>19.592</v>
      </c>
      <c r="J2955" s="11" t="s">
        <v>1185</v>
      </c>
      <c r="K2955" s="11" t="s">
        <v>83</v>
      </c>
      <c r="L2955" s="11" t="s">
        <v>48</v>
      </c>
      <c r="M2955" s="11" t="s">
        <v>28</v>
      </c>
      <c r="N2955" s="11" t="s">
        <v>197</v>
      </c>
      <c r="O2955" s="11" t="s">
        <v>1953</v>
      </c>
      <c r="P2955" s="11" t="s">
        <v>31</v>
      </c>
      <c r="Q2955" s="20">
        <v>40323.0</v>
      </c>
      <c r="R2955" s="17">
        <f t="shared" si="2"/>
        <v>56.86733843</v>
      </c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>
        <f t="shared" si="8"/>
        <v>4</v>
      </c>
      <c r="AF2955" s="19" t="b">
        <f t="shared" si="13"/>
        <v>0</v>
      </c>
      <c r="AG2955" s="9"/>
      <c r="AH2955" s="9"/>
      <c r="AI2955" s="9"/>
    </row>
    <row r="2956" ht="15.0" customHeight="1">
      <c r="A2956" s="11">
        <v>2955.0</v>
      </c>
      <c r="B2956" s="12">
        <f t="shared" ref="B2956:B2961" si="476">DATE(2012,12,31)-952</f>
        <v>40322</v>
      </c>
      <c r="C2956" s="13">
        <v>2010.0</v>
      </c>
      <c r="D2956" s="11" t="s">
        <v>44</v>
      </c>
      <c r="E2956" s="11">
        <v>6.0</v>
      </c>
      <c r="F2956" s="21" t="s">
        <v>256</v>
      </c>
      <c r="G2956" s="15">
        <v>0.08246089676746612</v>
      </c>
      <c r="H2956" s="11" t="s">
        <v>33</v>
      </c>
      <c r="I2956" s="16">
        <v>1.592</v>
      </c>
      <c r="J2956" s="11" t="s">
        <v>697</v>
      </c>
      <c r="K2956" s="11" t="s">
        <v>61</v>
      </c>
      <c r="L2956" s="11" t="s">
        <v>48</v>
      </c>
      <c r="M2956" s="11" t="s">
        <v>66</v>
      </c>
      <c r="N2956" s="11" t="s">
        <v>67</v>
      </c>
      <c r="O2956" s="11" t="s">
        <v>2335</v>
      </c>
      <c r="P2956" s="11" t="s">
        <v>99</v>
      </c>
      <c r="Q2956" s="20">
        <v>40324.0</v>
      </c>
      <c r="R2956" s="17">
        <f t="shared" si="2"/>
        <v>7.255899228</v>
      </c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>
        <f t="shared" si="8"/>
        <v>4</v>
      </c>
      <c r="AF2956" s="19">
        <f t="shared" si="13"/>
        <v>4</v>
      </c>
      <c r="AG2956" s="9"/>
      <c r="AH2956" s="9"/>
      <c r="AI2956" s="9"/>
    </row>
    <row r="2957" ht="15.0" customHeight="1">
      <c r="A2957" s="11">
        <v>2956.0</v>
      </c>
      <c r="B2957" s="12">
        <f t="shared" si="476"/>
        <v>40322</v>
      </c>
      <c r="C2957" s="13">
        <v>2010.0</v>
      </c>
      <c r="D2957" s="11" t="s">
        <v>23</v>
      </c>
      <c r="E2957" s="11">
        <v>30.0</v>
      </c>
      <c r="F2957" s="21" t="s">
        <v>758</v>
      </c>
      <c r="G2957" s="15">
        <v>0.11192182410423453</v>
      </c>
      <c r="H2957" s="11" t="s">
        <v>33</v>
      </c>
      <c r="I2957" s="16">
        <v>1.056</v>
      </c>
      <c r="J2957" s="11" t="s">
        <v>334</v>
      </c>
      <c r="K2957" s="11" t="s">
        <v>35</v>
      </c>
      <c r="L2957" s="11" t="s">
        <v>48</v>
      </c>
      <c r="M2957" s="11" t="s">
        <v>28</v>
      </c>
      <c r="N2957" s="11" t="s">
        <v>442</v>
      </c>
      <c r="O2957" s="11" t="s">
        <v>1304</v>
      </c>
      <c r="P2957" s="11" t="s">
        <v>58</v>
      </c>
      <c r="Q2957" s="20">
        <v>40324.0</v>
      </c>
      <c r="R2957" s="17">
        <f t="shared" si="2"/>
        <v>12.20574645</v>
      </c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>
        <f t="shared" si="8"/>
        <v>4</v>
      </c>
      <c r="AF2957" s="19">
        <f t="shared" si="13"/>
        <v>2</v>
      </c>
      <c r="AG2957" s="9"/>
      <c r="AH2957" s="9"/>
      <c r="AI2957" s="9"/>
    </row>
    <row r="2958" ht="15.0" customHeight="1">
      <c r="A2958" s="11">
        <v>2957.0</v>
      </c>
      <c r="B2958" s="12">
        <f t="shared" si="476"/>
        <v>40322</v>
      </c>
      <c r="C2958" s="13">
        <v>2010.0</v>
      </c>
      <c r="D2958" s="11" t="s">
        <v>39</v>
      </c>
      <c r="E2958" s="11">
        <v>25.0</v>
      </c>
      <c r="F2958" s="21" t="s">
        <v>834</v>
      </c>
      <c r="G2958" s="15">
        <v>0.07512129652611153</v>
      </c>
      <c r="H2958" s="11" t="s">
        <v>45</v>
      </c>
      <c r="I2958" s="16">
        <v>38.608000000000004</v>
      </c>
      <c r="J2958" s="11" t="s">
        <v>1377</v>
      </c>
      <c r="K2958" s="11" t="s">
        <v>47</v>
      </c>
      <c r="L2958" s="11" t="s">
        <v>48</v>
      </c>
      <c r="M2958" s="11" t="s">
        <v>66</v>
      </c>
      <c r="N2958" s="11" t="s">
        <v>69</v>
      </c>
      <c r="O2958" s="11" t="s">
        <v>835</v>
      </c>
      <c r="P2958" s="11" t="s">
        <v>87</v>
      </c>
      <c r="Q2958" s="20">
        <v>40324.0</v>
      </c>
      <c r="R2958" s="17">
        <f t="shared" si="2"/>
        <v>755.8034774</v>
      </c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>
        <f t="shared" si="8"/>
        <v>4</v>
      </c>
      <c r="AF2958" s="19">
        <f t="shared" si="13"/>
        <v>3</v>
      </c>
      <c r="AG2958" s="9"/>
      <c r="AH2958" s="9"/>
      <c r="AI2958" s="9"/>
    </row>
    <row r="2959" ht="15.0" customHeight="1">
      <c r="A2959" s="11">
        <v>2958.0</v>
      </c>
      <c r="B2959" s="12">
        <f t="shared" si="476"/>
        <v>40322</v>
      </c>
      <c r="C2959" s="13">
        <v>2010.0</v>
      </c>
      <c r="D2959" s="11" t="s">
        <v>44</v>
      </c>
      <c r="E2959" s="11">
        <v>50.0</v>
      </c>
      <c r="F2959" s="21" t="s">
        <v>1662</v>
      </c>
      <c r="G2959" s="15">
        <v>0.03516449278441022</v>
      </c>
      <c r="H2959" s="11" t="s">
        <v>33</v>
      </c>
      <c r="I2959" s="16">
        <v>5.416</v>
      </c>
      <c r="J2959" s="11" t="s">
        <v>1252</v>
      </c>
      <c r="K2959" s="11" t="s">
        <v>35</v>
      </c>
      <c r="L2959" s="11" t="s">
        <v>27</v>
      </c>
      <c r="M2959" s="11" t="s">
        <v>49</v>
      </c>
      <c r="N2959" s="11" t="s">
        <v>73</v>
      </c>
      <c r="O2959" s="11" t="s">
        <v>1663</v>
      </c>
      <c r="P2959" s="11" t="s">
        <v>38</v>
      </c>
      <c r="Q2959" s="20">
        <v>40324.0</v>
      </c>
      <c r="R2959" s="17">
        <f t="shared" si="2"/>
        <v>82.65118647</v>
      </c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>
        <f t="shared" si="8"/>
        <v>1</v>
      </c>
      <c r="AF2959" s="19">
        <f t="shared" si="13"/>
        <v>2</v>
      </c>
      <c r="AG2959" s="9"/>
      <c r="AH2959" s="9"/>
      <c r="AI2959" s="9"/>
    </row>
    <row r="2960" ht="15.0" customHeight="1">
      <c r="A2960" s="11">
        <v>2959.0</v>
      </c>
      <c r="B2960" s="12">
        <f t="shared" si="476"/>
        <v>40322</v>
      </c>
      <c r="C2960" s="13">
        <v>2010.0</v>
      </c>
      <c r="D2960" s="11" t="s">
        <v>44</v>
      </c>
      <c r="E2960" s="11">
        <v>7.0</v>
      </c>
      <c r="F2960" s="21" t="s">
        <v>229</v>
      </c>
      <c r="G2960" s="15">
        <v>0.0860235969387756</v>
      </c>
      <c r="H2960" s="11" t="s">
        <v>33</v>
      </c>
      <c r="I2960" s="16">
        <v>15.991999999999999</v>
      </c>
      <c r="J2960" s="11" t="s">
        <v>1252</v>
      </c>
      <c r="K2960" s="11" t="s">
        <v>35</v>
      </c>
      <c r="L2960" s="11" t="s">
        <v>27</v>
      </c>
      <c r="M2960" s="11" t="s">
        <v>28</v>
      </c>
      <c r="N2960" s="11" t="s">
        <v>29</v>
      </c>
      <c r="O2960" s="11" t="s">
        <v>230</v>
      </c>
      <c r="P2960" s="11" t="s">
        <v>38</v>
      </c>
      <c r="Q2960" s="20">
        <v>40324.0</v>
      </c>
      <c r="R2960" s="17">
        <f t="shared" si="2"/>
        <v>98.6253657</v>
      </c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>
        <f t="shared" si="8"/>
        <v>1</v>
      </c>
      <c r="AF2960" s="19">
        <f t="shared" si="13"/>
        <v>2</v>
      </c>
      <c r="AG2960" s="9"/>
      <c r="AH2960" s="9"/>
      <c r="AI2960" s="9"/>
    </row>
    <row r="2961" ht="15.0" customHeight="1">
      <c r="A2961" s="11">
        <v>2960.0</v>
      </c>
      <c r="B2961" s="12">
        <f t="shared" si="476"/>
        <v>40322</v>
      </c>
      <c r="C2961" s="13">
        <v>2010.0</v>
      </c>
      <c r="D2961" s="11" t="s">
        <v>32</v>
      </c>
      <c r="E2961" s="11">
        <v>20.0</v>
      </c>
      <c r="F2961" s="21" t="s">
        <v>1074</v>
      </c>
      <c r="G2961" s="15">
        <v>0.10329670329670337</v>
      </c>
      <c r="H2961" s="11" t="s">
        <v>24</v>
      </c>
      <c r="I2961" s="16">
        <v>4.24</v>
      </c>
      <c r="J2961" s="11" t="s">
        <v>968</v>
      </c>
      <c r="K2961" s="11" t="s">
        <v>47</v>
      </c>
      <c r="L2961" s="11" t="s">
        <v>36</v>
      </c>
      <c r="M2961" s="11" t="s">
        <v>28</v>
      </c>
      <c r="N2961" s="11" t="s">
        <v>236</v>
      </c>
      <c r="O2961" s="11" t="s">
        <v>1075</v>
      </c>
      <c r="P2961" s="11" t="s">
        <v>38</v>
      </c>
      <c r="Q2961" s="20">
        <v>40324.0</v>
      </c>
      <c r="R2961" s="17">
        <f t="shared" si="2"/>
        <v>11.80061538</v>
      </c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>
        <f t="shared" si="8"/>
        <v>2</v>
      </c>
      <c r="AF2961" s="19">
        <f t="shared" si="13"/>
        <v>3</v>
      </c>
      <c r="AG2961" s="9"/>
      <c r="AH2961" s="9"/>
      <c r="AI2961" s="9"/>
    </row>
    <row r="2962" ht="15.0" customHeight="1">
      <c r="A2962" s="11">
        <v>2961.0</v>
      </c>
      <c r="B2962" s="12">
        <f t="shared" ref="B2962:B2973" si="477">DATE(2012,12,31)-951</f>
        <v>40323</v>
      </c>
      <c r="C2962" s="13">
        <v>2010.0</v>
      </c>
      <c r="D2962" s="11" t="s">
        <v>39</v>
      </c>
      <c r="E2962" s="11">
        <v>34.0</v>
      </c>
      <c r="F2962" s="21" t="s">
        <v>218</v>
      </c>
      <c r="G2962" s="15">
        <v>0.06912188728702473</v>
      </c>
      <c r="H2962" s="11" t="s">
        <v>33</v>
      </c>
      <c r="I2962" s="16">
        <v>1.904</v>
      </c>
      <c r="J2962" s="11" t="s">
        <v>2336</v>
      </c>
      <c r="K2962" s="11" t="s">
        <v>26</v>
      </c>
      <c r="L2962" s="11" t="s">
        <v>27</v>
      </c>
      <c r="M2962" s="11" t="s">
        <v>66</v>
      </c>
      <c r="N2962" s="11" t="s">
        <v>67</v>
      </c>
      <c r="O2962" s="11" t="s">
        <v>773</v>
      </c>
      <c r="P2962" s="11" t="s">
        <v>99</v>
      </c>
      <c r="Q2962" s="20">
        <v>40324.0</v>
      </c>
      <c r="R2962" s="17">
        <f t="shared" si="2"/>
        <v>19.63780467</v>
      </c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>
        <f t="shared" si="8"/>
        <v>1</v>
      </c>
      <c r="AF2962" s="19">
        <f t="shared" si="13"/>
        <v>1</v>
      </c>
      <c r="AG2962" s="9"/>
      <c r="AH2962" s="9"/>
      <c r="AI2962" s="9"/>
    </row>
    <row r="2963" ht="15.0" customHeight="1">
      <c r="A2963" s="11">
        <v>2962.0</v>
      </c>
      <c r="B2963" s="12">
        <f t="shared" si="477"/>
        <v>40323</v>
      </c>
      <c r="C2963" s="13">
        <v>2010.0</v>
      </c>
      <c r="D2963" s="11" t="s">
        <v>39</v>
      </c>
      <c r="E2963" s="11">
        <v>12.0</v>
      </c>
      <c r="F2963" s="21" t="s">
        <v>527</v>
      </c>
      <c r="G2963" s="15">
        <v>0.04100353356890454</v>
      </c>
      <c r="H2963" s="11" t="s">
        <v>33</v>
      </c>
      <c r="I2963" s="16">
        <v>1.592</v>
      </c>
      <c r="J2963" s="11" t="s">
        <v>2336</v>
      </c>
      <c r="K2963" s="11" t="s">
        <v>26</v>
      </c>
      <c r="L2963" s="11" t="s">
        <v>27</v>
      </c>
      <c r="M2963" s="11" t="s">
        <v>66</v>
      </c>
      <c r="N2963" s="11" t="s">
        <v>67</v>
      </c>
      <c r="O2963" s="11" t="s">
        <v>529</v>
      </c>
      <c r="P2963" s="11" t="s">
        <v>99</v>
      </c>
      <c r="Q2963" s="20">
        <v>40324.0</v>
      </c>
      <c r="R2963" s="17">
        <f t="shared" si="2"/>
        <v>22.25638999</v>
      </c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>
        <f t="shared" si="8"/>
        <v>1</v>
      </c>
      <c r="AF2963" s="19">
        <f t="shared" si="13"/>
        <v>1</v>
      </c>
      <c r="AG2963" s="9"/>
      <c r="AH2963" s="9"/>
      <c r="AI2963" s="9"/>
    </row>
    <row r="2964" ht="15.0" customHeight="1">
      <c r="A2964" s="11">
        <v>2963.0</v>
      </c>
      <c r="B2964" s="12">
        <f t="shared" si="477"/>
        <v>40323</v>
      </c>
      <c r="C2964" s="13">
        <v>2010.0</v>
      </c>
      <c r="D2964" s="11" t="s">
        <v>39</v>
      </c>
      <c r="E2964" s="11">
        <v>3.0</v>
      </c>
      <c r="F2964" s="21" t="s">
        <v>135</v>
      </c>
      <c r="G2964" s="15">
        <v>0.10473498233215556</v>
      </c>
      <c r="H2964" s="11" t="s">
        <v>33</v>
      </c>
      <c r="I2964" s="16">
        <v>5.5360000000000005</v>
      </c>
      <c r="J2964" s="11" t="s">
        <v>2336</v>
      </c>
      <c r="K2964" s="11" t="s">
        <v>26</v>
      </c>
      <c r="L2964" s="11" t="s">
        <v>27</v>
      </c>
      <c r="M2964" s="11" t="s">
        <v>28</v>
      </c>
      <c r="N2964" s="11" t="s">
        <v>56</v>
      </c>
      <c r="O2964" s="11" t="s">
        <v>1296</v>
      </c>
      <c r="P2964" s="11" t="s">
        <v>38</v>
      </c>
      <c r="Q2964" s="20">
        <v>40325.0</v>
      </c>
      <c r="R2964" s="17">
        <f t="shared" si="2"/>
        <v>2.653565512</v>
      </c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>
        <f t="shared" si="8"/>
        <v>1</v>
      </c>
      <c r="AF2964" s="19">
        <f t="shared" si="13"/>
        <v>1</v>
      </c>
      <c r="AG2964" s="9"/>
      <c r="AH2964" s="9"/>
      <c r="AI2964" s="9"/>
    </row>
    <row r="2965" ht="15.0" customHeight="1">
      <c r="A2965" s="11">
        <v>2964.0</v>
      </c>
      <c r="B2965" s="12">
        <f t="shared" si="477"/>
        <v>40323</v>
      </c>
      <c r="C2965" s="13">
        <v>2010.0</v>
      </c>
      <c r="D2965" s="11" t="s">
        <v>39</v>
      </c>
      <c r="E2965" s="11">
        <v>34.0</v>
      </c>
      <c r="F2965" s="21" t="s">
        <v>788</v>
      </c>
      <c r="G2965" s="15">
        <v>0.02026848274507221</v>
      </c>
      <c r="H2965" s="11" t="s">
        <v>33</v>
      </c>
      <c r="I2965" s="16">
        <v>3.9920000000000004</v>
      </c>
      <c r="J2965" s="11" t="s">
        <v>2336</v>
      </c>
      <c r="K2965" s="11" t="s">
        <v>26</v>
      </c>
      <c r="L2965" s="11" t="s">
        <v>27</v>
      </c>
      <c r="M2965" s="11" t="s">
        <v>66</v>
      </c>
      <c r="N2965" s="11" t="s">
        <v>80</v>
      </c>
      <c r="O2965" s="11" t="s">
        <v>789</v>
      </c>
      <c r="P2965" s="11" t="s">
        <v>38</v>
      </c>
      <c r="Q2965" s="20">
        <v>40325.0</v>
      </c>
      <c r="R2965" s="17">
        <f t="shared" si="2"/>
        <v>121.2985997</v>
      </c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>
        <f t="shared" si="8"/>
        <v>1</v>
      </c>
      <c r="AF2965" s="19">
        <f t="shared" si="13"/>
        <v>1</v>
      </c>
      <c r="AG2965" s="9"/>
      <c r="AH2965" s="9"/>
      <c r="AI2965" s="9"/>
    </row>
    <row r="2966" ht="15.0" customHeight="1">
      <c r="A2966" s="11">
        <v>2965.0</v>
      </c>
      <c r="B2966" s="12">
        <f t="shared" si="477"/>
        <v>40323</v>
      </c>
      <c r="C2966" s="13">
        <v>2010.0</v>
      </c>
      <c r="D2966" s="11" t="s">
        <v>23</v>
      </c>
      <c r="E2966" s="11">
        <v>5.0</v>
      </c>
      <c r="F2966" s="21" t="s">
        <v>799</v>
      </c>
      <c r="G2966" s="15">
        <v>0.08993347558679564</v>
      </c>
      <c r="H2966" s="11" t="s">
        <v>45</v>
      </c>
      <c r="I2966" s="16">
        <v>45.6</v>
      </c>
      <c r="J2966" s="11" t="s">
        <v>525</v>
      </c>
      <c r="K2966" s="11" t="s">
        <v>65</v>
      </c>
      <c r="L2966" s="11" t="s">
        <v>48</v>
      </c>
      <c r="M2966" s="11" t="s">
        <v>49</v>
      </c>
      <c r="N2966" s="11" t="s">
        <v>50</v>
      </c>
      <c r="O2966" s="11" t="s">
        <v>801</v>
      </c>
      <c r="P2966" s="11" t="s">
        <v>52</v>
      </c>
      <c r="Q2966" s="20">
        <v>40325.0</v>
      </c>
      <c r="R2966" s="17">
        <f t="shared" si="2"/>
        <v>130.4125329</v>
      </c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>
        <f t="shared" si="8"/>
        <v>4</v>
      </c>
      <c r="AF2966" s="19">
        <f t="shared" si="13"/>
        <v>5</v>
      </c>
      <c r="AG2966" s="9"/>
      <c r="AH2966" s="9"/>
      <c r="AI2966" s="9"/>
    </row>
    <row r="2967" ht="15.0" customHeight="1">
      <c r="A2967" s="11">
        <v>2966.0</v>
      </c>
      <c r="B2967" s="12">
        <f t="shared" si="477"/>
        <v>40323</v>
      </c>
      <c r="C2967" s="13">
        <v>2010.0</v>
      </c>
      <c r="D2967" s="11" t="s">
        <v>23</v>
      </c>
      <c r="E2967" s="11">
        <v>24.0</v>
      </c>
      <c r="F2967" s="21" t="s">
        <v>350</v>
      </c>
      <c r="G2967" s="15">
        <v>0.024067677123722153</v>
      </c>
      <c r="H2967" s="11" t="s">
        <v>33</v>
      </c>
      <c r="I2967" s="16">
        <v>6.5440000000000005</v>
      </c>
      <c r="J2967" s="11" t="s">
        <v>1324</v>
      </c>
      <c r="K2967" s="11" t="s">
        <v>61</v>
      </c>
      <c r="L2967" s="11" t="s">
        <v>48</v>
      </c>
      <c r="M2967" s="11" t="s">
        <v>28</v>
      </c>
      <c r="N2967" s="11" t="s">
        <v>56</v>
      </c>
      <c r="O2967" s="11" t="s">
        <v>351</v>
      </c>
      <c r="P2967" s="11" t="s">
        <v>38</v>
      </c>
      <c r="Q2967" s="20">
        <v>40325.0</v>
      </c>
      <c r="R2967" s="17">
        <f t="shared" si="2"/>
        <v>13.3273318</v>
      </c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>
        <f t="shared" si="8"/>
        <v>4</v>
      </c>
      <c r="AF2967" s="19">
        <f t="shared" si="13"/>
        <v>4</v>
      </c>
      <c r="AG2967" s="9"/>
      <c r="AH2967" s="9"/>
      <c r="AI2967" s="9"/>
    </row>
    <row r="2968" ht="15.0" customHeight="1">
      <c r="A2968" s="11">
        <v>2967.0</v>
      </c>
      <c r="B2968" s="12">
        <f t="shared" si="477"/>
        <v>40323</v>
      </c>
      <c r="C2968" s="13">
        <v>2010.0</v>
      </c>
      <c r="D2968" s="11" t="s">
        <v>23</v>
      </c>
      <c r="E2968" s="11">
        <v>47.0</v>
      </c>
      <c r="F2968" s="21" t="s">
        <v>336</v>
      </c>
      <c r="G2968" s="15">
        <v>0.07236351305527308</v>
      </c>
      <c r="H2968" s="11" t="s">
        <v>33</v>
      </c>
      <c r="I2968" s="16">
        <v>0.96</v>
      </c>
      <c r="J2968" s="11" t="s">
        <v>1324</v>
      </c>
      <c r="K2968" s="11" t="s">
        <v>61</v>
      </c>
      <c r="L2968" s="11" t="s">
        <v>48</v>
      </c>
      <c r="M2968" s="11" t="s">
        <v>28</v>
      </c>
      <c r="N2968" s="11" t="s">
        <v>62</v>
      </c>
      <c r="O2968" s="11" t="s">
        <v>1540</v>
      </c>
      <c r="P2968" s="11" t="s">
        <v>58</v>
      </c>
      <c r="Q2968" s="20">
        <v>40325.0</v>
      </c>
      <c r="R2968" s="17">
        <f t="shared" si="2"/>
        <v>19.79576263</v>
      </c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>
        <f t="shared" si="8"/>
        <v>4</v>
      </c>
      <c r="AF2968" s="19">
        <f t="shared" si="13"/>
        <v>4</v>
      </c>
      <c r="AG2968" s="9"/>
      <c r="AH2968" s="9"/>
      <c r="AI2968" s="9"/>
    </row>
    <row r="2969" ht="15.0" customHeight="1">
      <c r="A2969" s="11">
        <v>2968.0</v>
      </c>
      <c r="B2969" s="12">
        <f t="shared" si="477"/>
        <v>40323</v>
      </c>
      <c r="C2969" s="13">
        <v>2010.0</v>
      </c>
      <c r="D2969" s="11" t="s">
        <v>102</v>
      </c>
      <c r="E2969" s="11">
        <v>14.0</v>
      </c>
      <c r="F2969" s="21" t="s">
        <v>1782</v>
      </c>
      <c r="G2969" s="15">
        <v>0.041832620647525874</v>
      </c>
      <c r="H2969" s="11" t="s">
        <v>33</v>
      </c>
      <c r="I2969" s="16">
        <v>2.904</v>
      </c>
      <c r="J2969" s="11" t="s">
        <v>1648</v>
      </c>
      <c r="K2969" s="11" t="s">
        <v>35</v>
      </c>
      <c r="L2969" s="11" t="s">
        <v>27</v>
      </c>
      <c r="M2969" s="11" t="s">
        <v>49</v>
      </c>
      <c r="N2969" s="11" t="s">
        <v>73</v>
      </c>
      <c r="O2969" s="11" t="s">
        <v>1783</v>
      </c>
      <c r="P2969" s="11" t="s">
        <v>99</v>
      </c>
      <c r="Q2969" s="20">
        <v>40325.0</v>
      </c>
      <c r="R2969" s="17">
        <f t="shared" si="2"/>
        <v>13.12306043</v>
      </c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>
        <f t="shared" si="8"/>
        <v>1</v>
      </c>
      <c r="AF2969" s="19">
        <f t="shared" si="13"/>
        <v>2</v>
      </c>
      <c r="AG2969" s="9"/>
      <c r="AH2969" s="9"/>
      <c r="AI2969" s="9"/>
    </row>
    <row r="2970" ht="15.0" customHeight="1">
      <c r="A2970" s="11">
        <v>2969.0</v>
      </c>
      <c r="B2970" s="12">
        <f t="shared" si="477"/>
        <v>40323</v>
      </c>
      <c r="C2970" s="13">
        <v>2010.0</v>
      </c>
      <c r="D2970" s="11" t="s">
        <v>102</v>
      </c>
      <c r="E2970" s="11">
        <v>42.0</v>
      </c>
      <c r="F2970" s="21" t="s">
        <v>469</v>
      </c>
      <c r="G2970" s="15">
        <v>0.03452661162831539</v>
      </c>
      <c r="H2970" s="11" t="s">
        <v>45</v>
      </c>
      <c r="I2970" s="16">
        <v>11.488</v>
      </c>
      <c r="J2970" s="11" t="s">
        <v>1648</v>
      </c>
      <c r="K2970" s="11" t="s">
        <v>35</v>
      </c>
      <c r="L2970" s="11" t="s">
        <v>27</v>
      </c>
      <c r="M2970" s="11" t="s">
        <v>49</v>
      </c>
      <c r="N2970" s="11" t="s">
        <v>50</v>
      </c>
      <c r="O2970" s="11" t="s">
        <v>470</v>
      </c>
      <c r="P2970" s="11" t="s">
        <v>52</v>
      </c>
      <c r="Q2970" s="20">
        <v>40325.0</v>
      </c>
      <c r="R2970" s="17">
        <f t="shared" si="2"/>
        <v>37.95468984</v>
      </c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>
        <f t="shared" si="8"/>
        <v>1</v>
      </c>
      <c r="AF2970" s="19">
        <f t="shared" si="13"/>
        <v>2</v>
      </c>
      <c r="AG2970" s="9"/>
      <c r="AH2970" s="9"/>
      <c r="AI2970" s="9"/>
    </row>
    <row r="2971" ht="15.0" customHeight="1">
      <c r="A2971" s="11">
        <v>2970.0</v>
      </c>
      <c r="B2971" s="12">
        <f t="shared" si="477"/>
        <v>40323</v>
      </c>
      <c r="C2971" s="13">
        <v>2010.0</v>
      </c>
      <c r="D2971" s="11" t="s">
        <v>32</v>
      </c>
      <c r="E2971" s="11">
        <v>30.0</v>
      </c>
      <c r="F2971" s="21" t="s">
        <v>290</v>
      </c>
      <c r="G2971" s="15">
        <v>0.09845303867403314</v>
      </c>
      <c r="H2971" s="11" t="s">
        <v>33</v>
      </c>
      <c r="I2971" s="16">
        <v>4.544</v>
      </c>
      <c r="J2971" s="11" t="s">
        <v>1664</v>
      </c>
      <c r="K2971" s="11" t="s">
        <v>35</v>
      </c>
      <c r="L2971" s="11" t="s">
        <v>48</v>
      </c>
      <c r="M2971" s="11" t="s">
        <v>28</v>
      </c>
      <c r="N2971" s="11" t="s">
        <v>56</v>
      </c>
      <c r="O2971" s="11" t="s">
        <v>2070</v>
      </c>
      <c r="P2971" s="11" t="s">
        <v>38</v>
      </c>
      <c r="Q2971" s="20">
        <v>40325.0</v>
      </c>
      <c r="R2971" s="17">
        <f t="shared" si="2"/>
        <v>12.85245348</v>
      </c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>
        <f t="shared" si="8"/>
        <v>4</v>
      </c>
      <c r="AF2971" s="19">
        <f t="shared" si="13"/>
        <v>2</v>
      </c>
      <c r="AG2971" s="9"/>
      <c r="AH2971" s="9"/>
      <c r="AI2971" s="9"/>
    </row>
    <row r="2972" ht="15.0" customHeight="1">
      <c r="A2972" s="11">
        <v>2971.0</v>
      </c>
      <c r="B2972" s="12">
        <f t="shared" si="477"/>
        <v>40323</v>
      </c>
      <c r="C2972" s="13">
        <v>2010.0</v>
      </c>
      <c r="D2972" s="11" t="s">
        <v>32</v>
      </c>
      <c r="E2972" s="11">
        <v>2.0</v>
      </c>
      <c r="F2972" s="21" t="s">
        <v>122</v>
      </c>
      <c r="G2972" s="15">
        <v>0.0362130177514794</v>
      </c>
      <c r="H2972" s="11" t="s">
        <v>33</v>
      </c>
      <c r="I2972" s="16">
        <v>7.064</v>
      </c>
      <c r="J2972" s="11" t="s">
        <v>910</v>
      </c>
      <c r="K2972" s="11" t="s">
        <v>117</v>
      </c>
      <c r="L2972" s="11" t="s">
        <v>48</v>
      </c>
      <c r="M2972" s="11" t="s">
        <v>28</v>
      </c>
      <c r="N2972" s="11" t="s">
        <v>42</v>
      </c>
      <c r="O2972" s="11" t="s">
        <v>175</v>
      </c>
      <c r="P2972" s="11" t="s">
        <v>38</v>
      </c>
      <c r="Q2972" s="20">
        <v>40325.0</v>
      </c>
      <c r="R2972" s="17">
        <f t="shared" si="2"/>
        <v>1.769512899</v>
      </c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>
        <f t="shared" si="8"/>
        <v>4</v>
      </c>
      <c r="AF2972" s="19" t="b">
        <f t="shared" si="13"/>
        <v>0</v>
      </c>
      <c r="AG2972" s="9"/>
      <c r="AH2972" s="9"/>
      <c r="AI2972" s="9"/>
    </row>
    <row r="2973" ht="15.0" customHeight="1">
      <c r="A2973" s="11">
        <v>2972.0</v>
      </c>
      <c r="B2973" s="12">
        <f t="shared" si="477"/>
        <v>40323</v>
      </c>
      <c r="C2973" s="13">
        <v>2010.0</v>
      </c>
      <c r="D2973" s="11" t="s">
        <v>32</v>
      </c>
      <c r="E2973" s="11">
        <v>20.0</v>
      </c>
      <c r="F2973" s="21" t="s">
        <v>1746</v>
      </c>
      <c r="G2973" s="15">
        <v>0.01559593647159814</v>
      </c>
      <c r="H2973" s="11" t="s">
        <v>45</v>
      </c>
      <c r="I2973" s="16">
        <v>48.0</v>
      </c>
      <c r="J2973" s="11" t="s">
        <v>910</v>
      </c>
      <c r="K2973" s="11" t="s">
        <v>117</v>
      </c>
      <c r="L2973" s="11" t="s">
        <v>48</v>
      </c>
      <c r="M2973" s="11" t="s">
        <v>49</v>
      </c>
      <c r="N2973" s="11" t="s">
        <v>85</v>
      </c>
      <c r="O2973" s="11" t="s">
        <v>2337</v>
      </c>
      <c r="P2973" s="11" t="s">
        <v>52</v>
      </c>
      <c r="Q2973" s="20">
        <v>40325.0</v>
      </c>
      <c r="R2973" s="17">
        <f t="shared" si="2"/>
        <v>32.19001288</v>
      </c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>
        <f t="shared" si="8"/>
        <v>4</v>
      </c>
      <c r="AF2973" s="19" t="b">
        <f t="shared" si="13"/>
        <v>0</v>
      </c>
      <c r="AG2973" s="9"/>
      <c r="AH2973" s="9"/>
      <c r="AI2973" s="9"/>
    </row>
    <row r="2974" ht="15.0" customHeight="1">
      <c r="A2974" s="11">
        <v>2973.0</v>
      </c>
      <c r="B2974" s="12">
        <f t="shared" ref="B2974:B2980" si="478">DATE(2012,12,31)-950</f>
        <v>40324</v>
      </c>
      <c r="C2974" s="13">
        <v>2010.0</v>
      </c>
      <c r="D2974" s="11" t="s">
        <v>23</v>
      </c>
      <c r="E2974" s="11">
        <v>33.0</v>
      </c>
      <c r="F2974" s="21" t="s">
        <v>1078</v>
      </c>
      <c r="G2974" s="15">
        <v>0.04312624113475177</v>
      </c>
      <c r="H2974" s="11" t="s">
        <v>33</v>
      </c>
      <c r="I2974" s="16">
        <v>15.991999999999999</v>
      </c>
      <c r="J2974" s="11" t="s">
        <v>510</v>
      </c>
      <c r="K2974" s="11" t="s">
        <v>35</v>
      </c>
      <c r="L2974" s="11" t="s">
        <v>27</v>
      </c>
      <c r="M2974" s="11" t="s">
        <v>66</v>
      </c>
      <c r="N2974" s="11" t="s">
        <v>67</v>
      </c>
      <c r="O2974" s="11" t="s">
        <v>1079</v>
      </c>
      <c r="P2974" s="11" t="s">
        <v>38</v>
      </c>
      <c r="Q2974" s="20">
        <v>40325.0</v>
      </c>
      <c r="R2974" s="17">
        <f t="shared" si="2"/>
        <v>58.18557953</v>
      </c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>
        <f t="shared" si="8"/>
        <v>1</v>
      </c>
      <c r="AF2974" s="19">
        <f t="shared" si="13"/>
        <v>2</v>
      </c>
      <c r="AG2974" s="9"/>
      <c r="AH2974" s="9"/>
      <c r="AI2974" s="9"/>
    </row>
    <row r="2975" ht="15.0" customHeight="1">
      <c r="A2975" s="11">
        <v>2974.0</v>
      </c>
      <c r="B2975" s="12">
        <f t="shared" si="478"/>
        <v>40324</v>
      </c>
      <c r="C2975" s="13">
        <v>2010.0</v>
      </c>
      <c r="D2975" s="11" t="s">
        <v>23</v>
      </c>
      <c r="E2975" s="11">
        <v>6.0</v>
      </c>
      <c r="F2975" s="21" t="s">
        <v>1307</v>
      </c>
      <c r="G2975" s="15">
        <v>0.09272827891532928</v>
      </c>
      <c r="H2975" s="11" t="s">
        <v>24</v>
      </c>
      <c r="I2975" s="16">
        <v>5.5440000000000005</v>
      </c>
      <c r="J2975" s="11" t="s">
        <v>510</v>
      </c>
      <c r="K2975" s="11" t="s">
        <v>35</v>
      </c>
      <c r="L2975" s="11" t="s">
        <v>27</v>
      </c>
      <c r="M2975" s="11" t="s">
        <v>49</v>
      </c>
      <c r="N2975" s="11" t="s">
        <v>73</v>
      </c>
      <c r="O2975" s="11" t="s">
        <v>1309</v>
      </c>
      <c r="P2975" s="11" t="s">
        <v>38</v>
      </c>
      <c r="Q2975" s="20">
        <v>40325.0</v>
      </c>
      <c r="R2975" s="17">
        <f t="shared" si="2"/>
        <v>15.20224496</v>
      </c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>
        <f t="shared" si="8"/>
        <v>1</v>
      </c>
      <c r="AF2975" s="19">
        <f t="shared" si="13"/>
        <v>2</v>
      </c>
      <c r="AG2975" s="9"/>
      <c r="AH2975" s="9"/>
      <c r="AI2975" s="9"/>
    </row>
    <row r="2976" ht="15.0" customHeight="1">
      <c r="A2976" s="11">
        <v>2975.0</v>
      </c>
      <c r="B2976" s="12">
        <f t="shared" si="478"/>
        <v>40324</v>
      </c>
      <c r="C2976" s="13">
        <v>2010.0</v>
      </c>
      <c r="D2976" s="11" t="s">
        <v>39</v>
      </c>
      <c r="E2976" s="11">
        <v>7.0</v>
      </c>
      <c r="F2976" s="21" t="s">
        <v>1261</v>
      </c>
      <c r="G2976" s="15">
        <v>0.07187053783912434</v>
      </c>
      <c r="H2976" s="11" t="s">
        <v>33</v>
      </c>
      <c r="I2976" s="16">
        <v>3.2</v>
      </c>
      <c r="J2976" s="11" t="s">
        <v>945</v>
      </c>
      <c r="K2976" s="11" t="s">
        <v>65</v>
      </c>
      <c r="L2976" s="11" t="s">
        <v>41</v>
      </c>
      <c r="M2976" s="11" t="s">
        <v>66</v>
      </c>
      <c r="N2976" s="11" t="s">
        <v>67</v>
      </c>
      <c r="O2976" s="11" t="s">
        <v>1262</v>
      </c>
      <c r="P2976" s="11" t="s">
        <v>38</v>
      </c>
      <c r="Q2976" s="20">
        <v>40326.0</v>
      </c>
      <c r="R2976" s="17">
        <f t="shared" si="2"/>
        <v>14.01475488</v>
      </c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>
        <f t="shared" si="8"/>
        <v>3</v>
      </c>
      <c r="AF2976" s="19">
        <f t="shared" si="13"/>
        <v>5</v>
      </c>
      <c r="AG2976" s="9"/>
      <c r="AH2976" s="9"/>
      <c r="AI2976" s="9"/>
    </row>
    <row r="2977" ht="15.0" customHeight="1">
      <c r="A2977" s="11">
        <v>2976.0</v>
      </c>
      <c r="B2977" s="12">
        <f t="shared" si="478"/>
        <v>40324</v>
      </c>
      <c r="C2977" s="13">
        <v>2010.0</v>
      </c>
      <c r="D2977" s="11" t="s">
        <v>32</v>
      </c>
      <c r="E2977" s="11">
        <v>43.0</v>
      </c>
      <c r="F2977" s="21" t="s">
        <v>486</v>
      </c>
      <c r="G2977" s="15">
        <v>0.045650107991360746</v>
      </c>
      <c r="H2977" s="11" t="s">
        <v>33</v>
      </c>
      <c r="I2977" s="16">
        <v>1.6320000000000001</v>
      </c>
      <c r="J2977" s="11" t="s">
        <v>282</v>
      </c>
      <c r="K2977" s="11" t="s">
        <v>65</v>
      </c>
      <c r="L2977" s="11" t="s">
        <v>41</v>
      </c>
      <c r="M2977" s="11" t="s">
        <v>28</v>
      </c>
      <c r="N2977" s="11" t="s">
        <v>56</v>
      </c>
      <c r="O2977" s="11" t="s">
        <v>1340</v>
      </c>
      <c r="P2977" s="11" t="s">
        <v>58</v>
      </c>
      <c r="Q2977" s="20">
        <v>40326.0</v>
      </c>
      <c r="R2977" s="17">
        <f t="shared" si="2"/>
        <v>10.08556966</v>
      </c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>
        <f t="shared" si="8"/>
        <v>3</v>
      </c>
      <c r="AF2977" s="19">
        <f t="shared" si="13"/>
        <v>5</v>
      </c>
      <c r="AG2977" s="9"/>
      <c r="AH2977" s="9"/>
      <c r="AI2977" s="9"/>
    </row>
    <row r="2978" ht="15.0" customHeight="1">
      <c r="A2978" s="11">
        <v>2977.0</v>
      </c>
      <c r="B2978" s="12">
        <f t="shared" si="478"/>
        <v>40324</v>
      </c>
      <c r="C2978" s="13">
        <v>2010.0</v>
      </c>
      <c r="D2978" s="11" t="s">
        <v>32</v>
      </c>
      <c r="E2978" s="11">
        <v>49.0</v>
      </c>
      <c r="F2978" s="21" t="s">
        <v>245</v>
      </c>
      <c r="G2978" s="15">
        <v>0.073920260374288</v>
      </c>
      <c r="H2978" s="11" t="s">
        <v>33</v>
      </c>
      <c r="I2978" s="16">
        <v>5.5760000000000005</v>
      </c>
      <c r="J2978" s="11" t="s">
        <v>1715</v>
      </c>
      <c r="K2978" s="11" t="s">
        <v>26</v>
      </c>
      <c r="L2978" s="11" t="s">
        <v>41</v>
      </c>
      <c r="M2978" s="11" t="s">
        <v>28</v>
      </c>
      <c r="N2978" s="11" t="s">
        <v>236</v>
      </c>
      <c r="O2978" s="11" t="s">
        <v>376</v>
      </c>
      <c r="P2978" s="11" t="s">
        <v>38</v>
      </c>
      <c r="Q2978" s="20">
        <v>40326.0</v>
      </c>
      <c r="R2978" s="17">
        <f t="shared" si="2"/>
        <v>42.06624609</v>
      </c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>
        <f t="shared" si="8"/>
        <v>3</v>
      </c>
      <c r="AF2978" s="19">
        <f t="shared" si="13"/>
        <v>1</v>
      </c>
      <c r="AG2978" s="9"/>
      <c r="AH2978" s="9"/>
      <c r="AI2978" s="9"/>
    </row>
    <row r="2979" ht="15.0" customHeight="1">
      <c r="A2979" s="11">
        <v>2978.0</v>
      </c>
      <c r="B2979" s="12">
        <f t="shared" si="478"/>
        <v>40324</v>
      </c>
      <c r="C2979" s="13">
        <v>2010.0</v>
      </c>
      <c r="D2979" s="11" t="s">
        <v>32</v>
      </c>
      <c r="E2979" s="11">
        <v>19.0</v>
      </c>
      <c r="F2979" s="21" t="s">
        <v>1396</v>
      </c>
      <c r="G2979" s="15">
        <v>0.006261682242990765</v>
      </c>
      <c r="H2979" s="11" t="s">
        <v>33</v>
      </c>
      <c r="I2979" s="16">
        <v>7.024</v>
      </c>
      <c r="J2979" s="11" t="s">
        <v>1715</v>
      </c>
      <c r="K2979" s="11" t="s">
        <v>26</v>
      </c>
      <c r="L2979" s="11" t="s">
        <v>41</v>
      </c>
      <c r="M2979" s="11" t="s">
        <v>28</v>
      </c>
      <c r="N2979" s="11" t="s">
        <v>29</v>
      </c>
      <c r="O2979" s="11" t="s">
        <v>1397</v>
      </c>
      <c r="P2979" s="11" t="s">
        <v>38</v>
      </c>
      <c r="Q2979" s="20">
        <v>40326.0</v>
      </c>
      <c r="R2979" s="17">
        <f t="shared" si="2"/>
        <v>1.864253084</v>
      </c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>
        <f t="shared" si="8"/>
        <v>3</v>
      </c>
      <c r="AF2979" s="19">
        <f t="shared" si="13"/>
        <v>1</v>
      </c>
      <c r="AG2979" s="9"/>
      <c r="AH2979" s="9"/>
      <c r="AI2979" s="9"/>
    </row>
    <row r="2980" ht="15.0" customHeight="1">
      <c r="A2980" s="11">
        <v>2979.0</v>
      </c>
      <c r="B2980" s="12">
        <f t="shared" si="478"/>
        <v>40324</v>
      </c>
      <c r="C2980" s="13">
        <v>2010.0</v>
      </c>
      <c r="D2980" s="11" t="s">
        <v>32</v>
      </c>
      <c r="E2980" s="11">
        <v>43.0</v>
      </c>
      <c r="F2980" s="21" t="s">
        <v>1032</v>
      </c>
      <c r="G2980" s="15">
        <v>0.01038442896864878</v>
      </c>
      <c r="H2980" s="11" t="s">
        <v>33</v>
      </c>
      <c r="I2980" s="16">
        <v>0.792</v>
      </c>
      <c r="J2980" s="11" t="s">
        <v>1543</v>
      </c>
      <c r="K2980" s="11" t="s">
        <v>61</v>
      </c>
      <c r="L2980" s="11" t="s">
        <v>27</v>
      </c>
      <c r="M2980" s="11" t="s">
        <v>28</v>
      </c>
      <c r="N2980" s="11" t="s">
        <v>197</v>
      </c>
      <c r="O2980" s="11" t="s">
        <v>1033</v>
      </c>
      <c r="P2980" s="11" t="s">
        <v>38</v>
      </c>
      <c r="Q2980" s="20">
        <v>40326.0</v>
      </c>
      <c r="R2980" s="17">
        <f t="shared" si="2"/>
        <v>40.28527067</v>
      </c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>
        <f t="shared" si="8"/>
        <v>1</v>
      </c>
      <c r="AF2980" s="19">
        <f t="shared" si="13"/>
        <v>4</v>
      </c>
      <c r="AG2980" s="9"/>
      <c r="AH2980" s="9"/>
      <c r="AI2980" s="9"/>
    </row>
    <row r="2981" ht="15.0" customHeight="1">
      <c r="A2981" s="11">
        <v>2980.0</v>
      </c>
      <c r="B2981" s="12">
        <f t="shared" ref="B2981:B2984" si="479">DATE(2012,12,31)-949</f>
        <v>40325</v>
      </c>
      <c r="C2981" s="13">
        <v>2010.0</v>
      </c>
      <c r="D2981" s="11" t="s">
        <v>44</v>
      </c>
      <c r="E2981" s="11">
        <v>47.0</v>
      </c>
      <c r="F2981" s="21" t="s">
        <v>314</v>
      </c>
      <c r="G2981" s="15">
        <v>0.07430533874492684</v>
      </c>
      <c r="H2981" s="11" t="s">
        <v>24</v>
      </c>
      <c r="I2981" s="16">
        <v>0.4</v>
      </c>
      <c r="J2981" s="11" t="s">
        <v>1423</v>
      </c>
      <c r="K2981" s="11" t="s">
        <v>61</v>
      </c>
      <c r="L2981" s="11" t="s">
        <v>48</v>
      </c>
      <c r="M2981" s="11" t="s">
        <v>28</v>
      </c>
      <c r="N2981" s="11" t="s">
        <v>188</v>
      </c>
      <c r="O2981" s="11" t="s">
        <v>516</v>
      </c>
      <c r="P2981" s="11" t="s">
        <v>38</v>
      </c>
      <c r="Q2981" s="20">
        <v>40326.0</v>
      </c>
      <c r="R2981" s="17">
        <f t="shared" si="2"/>
        <v>22.03153294</v>
      </c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>
        <f t="shared" si="8"/>
        <v>4</v>
      </c>
      <c r="AF2981" s="19">
        <f t="shared" si="13"/>
        <v>4</v>
      </c>
      <c r="AG2981" s="9"/>
      <c r="AH2981" s="9"/>
      <c r="AI2981" s="9"/>
    </row>
    <row r="2982" ht="15.0" customHeight="1">
      <c r="A2982" s="11">
        <v>2981.0</v>
      </c>
      <c r="B2982" s="12">
        <f t="shared" si="479"/>
        <v>40325</v>
      </c>
      <c r="C2982" s="13">
        <v>2010.0</v>
      </c>
      <c r="D2982" s="11" t="s">
        <v>39</v>
      </c>
      <c r="E2982" s="11">
        <v>14.0</v>
      </c>
      <c r="F2982" s="21" t="s">
        <v>154</v>
      </c>
      <c r="G2982" s="15">
        <v>0.06617439428601636</v>
      </c>
      <c r="H2982" s="11" t="s">
        <v>45</v>
      </c>
      <c r="I2982" s="16">
        <v>35.64</v>
      </c>
      <c r="J2982" s="11" t="s">
        <v>1476</v>
      </c>
      <c r="K2982" s="11" t="s">
        <v>65</v>
      </c>
      <c r="L2982" s="11" t="s">
        <v>48</v>
      </c>
      <c r="M2982" s="11" t="s">
        <v>49</v>
      </c>
      <c r="N2982" s="11" t="s">
        <v>156</v>
      </c>
      <c r="O2982" s="11" t="s">
        <v>157</v>
      </c>
      <c r="P2982" s="11" t="s">
        <v>87</v>
      </c>
      <c r="Q2982" s="20">
        <v>40326.0</v>
      </c>
      <c r="R2982" s="17">
        <f t="shared" si="2"/>
        <v>818.4607904</v>
      </c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>
        <f t="shared" si="8"/>
        <v>4</v>
      </c>
      <c r="AF2982" s="19">
        <f t="shared" si="13"/>
        <v>5</v>
      </c>
      <c r="AG2982" s="9"/>
      <c r="AH2982" s="9"/>
      <c r="AI2982" s="9"/>
    </row>
    <row r="2983" ht="15.0" customHeight="1">
      <c r="A2983" s="11">
        <v>2982.0</v>
      </c>
      <c r="B2983" s="12">
        <f t="shared" si="479"/>
        <v>40325</v>
      </c>
      <c r="C2983" s="13">
        <v>2010.0</v>
      </c>
      <c r="D2983" s="11" t="s">
        <v>39</v>
      </c>
      <c r="E2983" s="11">
        <v>14.0</v>
      </c>
      <c r="F2983" s="21" t="s">
        <v>344</v>
      </c>
      <c r="G2983" s="15">
        <v>0.010310559006211131</v>
      </c>
      <c r="H2983" s="11" t="s">
        <v>33</v>
      </c>
      <c r="I2983" s="16">
        <v>3.608</v>
      </c>
      <c r="J2983" s="11" t="s">
        <v>1476</v>
      </c>
      <c r="K2983" s="11" t="s">
        <v>65</v>
      </c>
      <c r="L2983" s="11" t="s">
        <v>48</v>
      </c>
      <c r="M2983" s="11" t="s">
        <v>28</v>
      </c>
      <c r="N2983" s="11" t="s">
        <v>29</v>
      </c>
      <c r="O2983" s="11" t="s">
        <v>929</v>
      </c>
      <c r="P2983" s="11" t="s">
        <v>38</v>
      </c>
      <c r="Q2983" s="20">
        <v>40326.0</v>
      </c>
      <c r="R2983" s="17">
        <f t="shared" si="2"/>
        <v>1.971461366</v>
      </c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>
        <f t="shared" si="8"/>
        <v>4</v>
      </c>
      <c r="AF2983" s="19">
        <f t="shared" si="13"/>
        <v>5</v>
      </c>
      <c r="AG2983" s="9"/>
      <c r="AH2983" s="9"/>
      <c r="AI2983" s="9"/>
    </row>
    <row r="2984" ht="15.0" customHeight="1">
      <c r="A2984" s="11">
        <v>2983.0</v>
      </c>
      <c r="B2984" s="12">
        <f t="shared" si="479"/>
        <v>40325</v>
      </c>
      <c r="C2984" s="13">
        <v>2010.0</v>
      </c>
      <c r="D2984" s="11" t="s">
        <v>39</v>
      </c>
      <c r="E2984" s="11">
        <v>47.0</v>
      </c>
      <c r="F2984" s="21" t="s">
        <v>319</v>
      </c>
      <c r="G2984" s="15">
        <v>0.062360248447204975</v>
      </c>
      <c r="H2984" s="11" t="s">
        <v>33</v>
      </c>
      <c r="I2984" s="16">
        <v>4.264</v>
      </c>
      <c r="J2984" s="11" t="s">
        <v>1137</v>
      </c>
      <c r="K2984" s="11" t="s">
        <v>83</v>
      </c>
      <c r="L2984" s="11" t="s">
        <v>41</v>
      </c>
      <c r="M2984" s="11" t="s">
        <v>28</v>
      </c>
      <c r="N2984" s="11" t="s">
        <v>188</v>
      </c>
      <c r="O2984" s="11" t="s">
        <v>2338</v>
      </c>
      <c r="P2984" s="11" t="s">
        <v>38</v>
      </c>
      <c r="Q2984" s="20">
        <v>40327.0</v>
      </c>
      <c r="R2984" s="17">
        <f t="shared" si="2"/>
        <v>8.472512795</v>
      </c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>
        <f t="shared" si="8"/>
        <v>3</v>
      </c>
      <c r="AF2984" s="19" t="b">
        <f t="shared" si="13"/>
        <v>0</v>
      </c>
      <c r="AG2984" s="9"/>
      <c r="AH2984" s="9"/>
      <c r="AI2984" s="9"/>
    </row>
    <row r="2985" ht="15.0" customHeight="1">
      <c r="A2985" s="11">
        <v>2984.0</v>
      </c>
      <c r="B2985" s="12">
        <f t="shared" ref="B2985:B2990" si="480">DATE(2012,12,31)-948</f>
        <v>40326</v>
      </c>
      <c r="C2985" s="13">
        <v>2010.0</v>
      </c>
      <c r="D2985" s="11" t="s">
        <v>23</v>
      </c>
      <c r="E2985" s="11">
        <v>30.0</v>
      </c>
      <c r="F2985" s="21" t="s">
        <v>1760</v>
      </c>
      <c r="G2985" s="15">
        <v>0.0665987631866133</v>
      </c>
      <c r="H2985" s="11" t="s">
        <v>33</v>
      </c>
      <c r="I2985" s="16">
        <v>1.592</v>
      </c>
      <c r="J2985" s="11" t="s">
        <v>1979</v>
      </c>
      <c r="K2985" s="11" t="s">
        <v>61</v>
      </c>
      <c r="L2985" s="11" t="s">
        <v>48</v>
      </c>
      <c r="M2985" s="11" t="s">
        <v>66</v>
      </c>
      <c r="N2985" s="11" t="s">
        <v>67</v>
      </c>
      <c r="O2985" s="11" t="s">
        <v>1762</v>
      </c>
      <c r="P2985" s="11" t="s">
        <v>99</v>
      </c>
      <c r="Q2985" s="20">
        <v>40327.0</v>
      </c>
      <c r="R2985" s="17">
        <f t="shared" si="2"/>
        <v>17.08870984</v>
      </c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>
        <f t="shared" si="8"/>
        <v>4</v>
      </c>
      <c r="AF2985" s="19">
        <f t="shared" si="13"/>
        <v>4</v>
      </c>
      <c r="AG2985" s="9"/>
      <c r="AH2985" s="9"/>
      <c r="AI2985" s="9"/>
    </row>
    <row r="2986" ht="15.0" customHeight="1">
      <c r="A2986" s="11">
        <v>2985.0</v>
      </c>
      <c r="B2986" s="12">
        <f t="shared" si="480"/>
        <v>40326</v>
      </c>
      <c r="C2986" s="13">
        <v>2010.0</v>
      </c>
      <c r="D2986" s="11" t="s">
        <v>23</v>
      </c>
      <c r="E2986" s="11">
        <v>38.0</v>
      </c>
      <c r="F2986" s="21" t="s">
        <v>397</v>
      </c>
      <c r="G2986" s="15">
        <v>0.0126937873455022</v>
      </c>
      <c r="H2986" s="11" t="s">
        <v>33</v>
      </c>
      <c r="I2986" s="16">
        <v>1.592</v>
      </c>
      <c r="J2986" s="11" t="s">
        <v>55</v>
      </c>
      <c r="K2986" s="11" t="s">
        <v>26</v>
      </c>
      <c r="L2986" s="11" t="s">
        <v>41</v>
      </c>
      <c r="M2986" s="11" t="s">
        <v>66</v>
      </c>
      <c r="N2986" s="11" t="s">
        <v>67</v>
      </c>
      <c r="O2986" s="11" t="s">
        <v>502</v>
      </c>
      <c r="P2986" s="11" t="s">
        <v>99</v>
      </c>
      <c r="Q2986" s="20">
        <v>40327.0</v>
      </c>
      <c r="R2986" s="17">
        <f t="shared" si="2"/>
        <v>15.31114475</v>
      </c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>
        <f t="shared" si="8"/>
        <v>3</v>
      </c>
      <c r="AF2986" s="19">
        <f t="shared" si="13"/>
        <v>1</v>
      </c>
      <c r="AG2986" s="9"/>
      <c r="AH2986" s="9"/>
      <c r="AI2986" s="9"/>
    </row>
    <row r="2987" ht="15.0" customHeight="1">
      <c r="A2987" s="11">
        <v>2986.0</v>
      </c>
      <c r="B2987" s="12">
        <f t="shared" si="480"/>
        <v>40326</v>
      </c>
      <c r="C2987" s="13">
        <v>2010.0</v>
      </c>
      <c r="D2987" s="11" t="s">
        <v>102</v>
      </c>
      <c r="E2987" s="11">
        <v>48.0</v>
      </c>
      <c r="F2987" s="21" t="s">
        <v>270</v>
      </c>
      <c r="G2987" s="15">
        <v>0.022630952380952505</v>
      </c>
      <c r="H2987" s="11" t="s">
        <v>33</v>
      </c>
      <c r="I2987" s="16">
        <v>7.176000000000001</v>
      </c>
      <c r="J2987" s="11" t="s">
        <v>1061</v>
      </c>
      <c r="K2987" s="11" t="s">
        <v>26</v>
      </c>
      <c r="L2987" s="11" t="s">
        <v>36</v>
      </c>
      <c r="M2987" s="11" t="s">
        <v>66</v>
      </c>
      <c r="N2987" s="11" t="s">
        <v>69</v>
      </c>
      <c r="O2987" s="11" t="s">
        <v>2339</v>
      </c>
      <c r="P2987" s="11" t="s">
        <v>38</v>
      </c>
      <c r="Q2987" s="20">
        <v>40328.0</v>
      </c>
      <c r="R2987" s="17">
        <f t="shared" si="2"/>
        <v>44.59148543</v>
      </c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>
        <f t="shared" si="8"/>
        <v>2</v>
      </c>
      <c r="AF2987" s="19">
        <f t="shared" si="13"/>
        <v>1</v>
      </c>
      <c r="AG2987" s="9"/>
      <c r="AH2987" s="9"/>
      <c r="AI2987" s="9"/>
    </row>
    <row r="2988" ht="15.0" customHeight="1">
      <c r="A2988" s="11">
        <v>2987.0</v>
      </c>
      <c r="B2988" s="12">
        <f t="shared" si="480"/>
        <v>40326</v>
      </c>
      <c r="C2988" s="13">
        <v>2010.0</v>
      </c>
      <c r="D2988" s="11" t="s">
        <v>102</v>
      </c>
      <c r="E2988" s="11">
        <v>36.0</v>
      </c>
      <c r="F2988" s="21" t="s">
        <v>1548</v>
      </c>
      <c r="G2988" s="15">
        <v>0.0872209302325582</v>
      </c>
      <c r="H2988" s="11" t="s">
        <v>33</v>
      </c>
      <c r="I2988" s="16">
        <v>1.592</v>
      </c>
      <c r="J2988" s="11" t="s">
        <v>1061</v>
      </c>
      <c r="K2988" s="11" t="s">
        <v>26</v>
      </c>
      <c r="L2988" s="11" t="s">
        <v>36</v>
      </c>
      <c r="M2988" s="11" t="s">
        <v>66</v>
      </c>
      <c r="N2988" s="11" t="s">
        <v>67</v>
      </c>
      <c r="O2988" s="11" t="s">
        <v>2340</v>
      </c>
      <c r="P2988" s="11" t="s">
        <v>99</v>
      </c>
      <c r="Q2988" s="20">
        <v>40328.0</v>
      </c>
      <c r="R2988" s="17">
        <f t="shared" si="2"/>
        <v>54.77404642</v>
      </c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>
        <f t="shared" si="8"/>
        <v>2</v>
      </c>
      <c r="AF2988" s="19">
        <f t="shared" si="13"/>
        <v>1</v>
      </c>
      <c r="AG2988" s="9"/>
      <c r="AH2988" s="9"/>
      <c r="AI2988" s="9"/>
    </row>
    <row r="2989" ht="15.0" customHeight="1">
      <c r="A2989" s="11">
        <v>2988.0</v>
      </c>
      <c r="B2989" s="12">
        <f t="shared" si="480"/>
        <v>40326</v>
      </c>
      <c r="C2989" s="13">
        <v>2010.0</v>
      </c>
      <c r="D2989" s="11" t="s">
        <v>102</v>
      </c>
      <c r="E2989" s="11">
        <v>3.0</v>
      </c>
      <c r="F2989" s="21" t="s">
        <v>163</v>
      </c>
      <c r="G2989" s="15">
        <v>0.09411700382722783</v>
      </c>
      <c r="H2989" s="11" t="s">
        <v>45</v>
      </c>
      <c r="I2989" s="16">
        <v>28.672000000000004</v>
      </c>
      <c r="J2989" s="11" t="s">
        <v>528</v>
      </c>
      <c r="K2989" s="11" t="s">
        <v>83</v>
      </c>
      <c r="L2989" s="11" t="s">
        <v>41</v>
      </c>
      <c r="M2989" s="11" t="s">
        <v>49</v>
      </c>
      <c r="N2989" s="11" t="s">
        <v>156</v>
      </c>
      <c r="O2989" s="11" t="s">
        <v>165</v>
      </c>
      <c r="P2989" s="11" t="s">
        <v>87</v>
      </c>
      <c r="Q2989" s="20">
        <v>40328.0</v>
      </c>
      <c r="R2989" s="17">
        <f t="shared" si="2"/>
        <v>31.18773979</v>
      </c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>
        <f t="shared" si="8"/>
        <v>3</v>
      </c>
      <c r="AF2989" s="19" t="b">
        <f t="shared" si="13"/>
        <v>0</v>
      </c>
      <c r="AG2989" s="9"/>
      <c r="AH2989" s="9"/>
      <c r="AI2989" s="9"/>
    </row>
    <row r="2990" ht="15.0" customHeight="1">
      <c r="A2990" s="11">
        <v>2989.0</v>
      </c>
      <c r="B2990" s="12">
        <f t="shared" si="480"/>
        <v>40326</v>
      </c>
      <c r="C2990" s="13">
        <v>2010.0</v>
      </c>
      <c r="D2990" s="11" t="s">
        <v>102</v>
      </c>
      <c r="E2990" s="11">
        <v>7.0</v>
      </c>
      <c r="F2990" s="21" t="s">
        <v>137</v>
      </c>
      <c r="G2990" s="15">
        <v>0.0264543740661188</v>
      </c>
      <c r="H2990" s="11" t="s">
        <v>33</v>
      </c>
      <c r="I2990" s="16">
        <v>11.192</v>
      </c>
      <c r="J2990" s="11" t="s">
        <v>528</v>
      </c>
      <c r="K2990" s="11" t="s">
        <v>83</v>
      </c>
      <c r="L2990" s="11" t="s">
        <v>41</v>
      </c>
      <c r="M2990" s="11" t="s">
        <v>66</v>
      </c>
      <c r="N2990" s="11" t="s">
        <v>69</v>
      </c>
      <c r="O2990" s="11" t="s">
        <v>468</v>
      </c>
      <c r="P2990" s="11" t="s">
        <v>75</v>
      </c>
      <c r="Q2990" s="20">
        <v>40329.0</v>
      </c>
      <c r="R2990" s="17">
        <f t="shared" si="2"/>
        <v>28.23983268</v>
      </c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>
        <f t="shared" si="8"/>
        <v>3</v>
      </c>
      <c r="AF2990" s="19" t="b">
        <f t="shared" si="13"/>
        <v>0</v>
      </c>
      <c r="AG2990" s="9"/>
      <c r="AH2990" s="9"/>
      <c r="AI2990" s="9"/>
    </row>
    <row r="2991" ht="15.0" customHeight="1">
      <c r="A2991" s="11">
        <v>2990.0</v>
      </c>
      <c r="B2991" s="12">
        <f t="shared" ref="B2991:B2995" si="481">DATE(2012,12,31)-947</f>
        <v>40327</v>
      </c>
      <c r="C2991" s="13">
        <v>2010.0</v>
      </c>
      <c r="D2991" s="11" t="s">
        <v>44</v>
      </c>
      <c r="E2991" s="11">
        <v>29.0</v>
      </c>
      <c r="F2991" s="21" t="s">
        <v>1015</v>
      </c>
      <c r="G2991" s="15">
        <v>0.10011695906432745</v>
      </c>
      <c r="H2991" s="11" t="s">
        <v>33</v>
      </c>
      <c r="I2991" s="16">
        <v>3.968</v>
      </c>
      <c r="J2991" s="11" t="s">
        <v>1276</v>
      </c>
      <c r="K2991" s="11" t="s">
        <v>47</v>
      </c>
      <c r="L2991" s="11" t="s">
        <v>36</v>
      </c>
      <c r="M2991" s="11" t="s">
        <v>28</v>
      </c>
      <c r="N2991" s="11" t="s">
        <v>56</v>
      </c>
      <c r="O2991" s="11" t="s">
        <v>2173</v>
      </c>
      <c r="P2991" s="11" t="s">
        <v>38</v>
      </c>
      <c r="Q2991" s="20">
        <v>40329.0</v>
      </c>
      <c r="R2991" s="17">
        <f t="shared" si="2"/>
        <v>16.94659743</v>
      </c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>
        <f t="shared" si="8"/>
        <v>2</v>
      </c>
      <c r="AF2991" s="19">
        <f t="shared" si="13"/>
        <v>3</v>
      </c>
      <c r="AG2991" s="9"/>
      <c r="AH2991" s="9"/>
      <c r="AI2991" s="9"/>
    </row>
    <row r="2992" ht="15.0" customHeight="1">
      <c r="A2992" s="11">
        <v>2991.0</v>
      </c>
      <c r="B2992" s="12">
        <f t="shared" si="481"/>
        <v>40327</v>
      </c>
      <c r="C2992" s="13">
        <v>2010.0</v>
      </c>
      <c r="D2992" s="11" t="s">
        <v>44</v>
      </c>
      <c r="E2992" s="11">
        <v>43.0</v>
      </c>
      <c r="F2992" s="21" t="s">
        <v>498</v>
      </c>
      <c r="G2992" s="15">
        <v>0.01104056352876343</v>
      </c>
      <c r="H2992" s="11" t="s">
        <v>33</v>
      </c>
      <c r="I2992" s="16">
        <v>3.9200000000000004</v>
      </c>
      <c r="J2992" s="11" t="s">
        <v>2341</v>
      </c>
      <c r="K2992" s="11" t="s">
        <v>65</v>
      </c>
      <c r="L2992" s="11" t="s">
        <v>48</v>
      </c>
      <c r="M2992" s="11" t="s">
        <v>66</v>
      </c>
      <c r="N2992" s="11" t="s">
        <v>80</v>
      </c>
      <c r="O2992" s="11" t="s">
        <v>500</v>
      </c>
      <c r="P2992" s="11" t="s">
        <v>38</v>
      </c>
      <c r="Q2992" s="20">
        <v>40329.0</v>
      </c>
      <c r="R2992" s="17">
        <f t="shared" si="2"/>
        <v>45.57125083</v>
      </c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>
        <f t="shared" si="8"/>
        <v>4</v>
      </c>
      <c r="AF2992" s="19">
        <f t="shared" si="13"/>
        <v>5</v>
      </c>
      <c r="AG2992" s="9"/>
      <c r="AH2992" s="9"/>
      <c r="AI2992" s="9"/>
    </row>
    <row r="2993" ht="15.0" customHeight="1">
      <c r="A2993" s="11">
        <v>2992.0</v>
      </c>
      <c r="B2993" s="12">
        <f t="shared" si="481"/>
        <v>40327</v>
      </c>
      <c r="C2993" s="13">
        <v>2010.0</v>
      </c>
      <c r="D2993" s="11" t="s">
        <v>32</v>
      </c>
      <c r="E2993" s="11">
        <v>20.0</v>
      </c>
      <c r="F2993" s="21" t="s">
        <v>599</v>
      </c>
      <c r="G2993" s="15">
        <v>0.0310844141069397</v>
      </c>
      <c r="H2993" s="11" t="s">
        <v>33</v>
      </c>
      <c r="I2993" s="16">
        <v>11.192</v>
      </c>
      <c r="J2993" s="11" t="s">
        <v>2180</v>
      </c>
      <c r="K2993" s="11" t="s">
        <v>61</v>
      </c>
      <c r="L2993" s="11" t="s">
        <v>36</v>
      </c>
      <c r="M2993" s="11" t="s">
        <v>49</v>
      </c>
      <c r="N2993" s="11" t="s">
        <v>73</v>
      </c>
      <c r="O2993" s="11" t="s">
        <v>601</v>
      </c>
      <c r="P2993" s="11" t="s">
        <v>75</v>
      </c>
      <c r="Q2993" s="20">
        <v>40330.0</v>
      </c>
      <c r="R2993" s="17">
        <f t="shared" si="2"/>
        <v>66.18468584</v>
      </c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>
        <f t="shared" si="8"/>
        <v>2</v>
      </c>
      <c r="AF2993" s="19">
        <f t="shared" si="13"/>
        <v>4</v>
      </c>
      <c r="AG2993" s="9"/>
      <c r="AH2993" s="9"/>
      <c r="AI2993" s="9"/>
    </row>
    <row r="2994" ht="15.0" customHeight="1">
      <c r="A2994" s="11">
        <v>2993.0</v>
      </c>
      <c r="B2994" s="12">
        <f t="shared" si="481"/>
        <v>40327</v>
      </c>
      <c r="C2994" s="13">
        <v>2010.0</v>
      </c>
      <c r="D2994" s="11" t="s">
        <v>32</v>
      </c>
      <c r="E2994" s="11">
        <v>36.0</v>
      </c>
      <c r="F2994" s="21" t="s">
        <v>126</v>
      </c>
      <c r="G2994" s="15">
        <v>0.040694519804666304</v>
      </c>
      <c r="H2994" s="11" t="s">
        <v>33</v>
      </c>
      <c r="I2994" s="16">
        <v>0.4</v>
      </c>
      <c r="J2994" s="11" t="s">
        <v>1020</v>
      </c>
      <c r="K2994" s="11" t="s">
        <v>47</v>
      </c>
      <c r="L2994" s="11" t="s">
        <v>27</v>
      </c>
      <c r="M2994" s="11" t="s">
        <v>28</v>
      </c>
      <c r="N2994" s="11" t="s">
        <v>188</v>
      </c>
      <c r="O2994" s="11" t="s">
        <v>410</v>
      </c>
      <c r="P2994" s="11" t="s">
        <v>38</v>
      </c>
      <c r="Q2994" s="20">
        <v>40330.0</v>
      </c>
      <c r="R2994" s="17">
        <f t="shared" si="2"/>
        <v>7.194791101</v>
      </c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>
        <f t="shared" si="8"/>
        <v>1</v>
      </c>
      <c r="AF2994" s="19">
        <f t="shared" si="13"/>
        <v>3</v>
      </c>
      <c r="AG2994" s="9"/>
      <c r="AH2994" s="9"/>
      <c r="AI2994" s="9"/>
    </row>
    <row r="2995" ht="15.0" customHeight="1">
      <c r="A2995" s="11">
        <v>2994.0</v>
      </c>
      <c r="B2995" s="12">
        <f t="shared" si="481"/>
        <v>40327</v>
      </c>
      <c r="C2995" s="13">
        <v>2010.0</v>
      </c>
      <c r="D2995" s="11" t="s">
        <v>32</v>
      </c>
      <c r="E2995" s="11">
        <v>49.0</v>
      </c>
      <c r="F2995" s="21" t="s">
        <v>869</v>
      </c>
      <c r="G2995" s="15">
        <v>0.07507425960101934</v>
      </c>
      <c r="H2995" s="11" t="s">
        <v>33</v>
      </c>
      <c r="I2995" s="16">
        <v>0.792</v>
      </c>
      <c r="J2995" s="11" t="s">
        <v>1020</v>
      </c>
      <c r="K2995" s="11" t="s">
        <v>47</v>
      </c>
      <c r="L2995" s="11" t="s">
        <v>27</v>
      </c>
      <c r="M2995" s="11" t="s">
        <v>66</v>
      </c>
      <c r="N2995" s="11" t="s">
        <v>80</v>
      </c>
      <c r="O2995" s="11" t="s">
        <v>1055</v>
      </c>
      <c r="P2995" s="11" t="s">
        <v>58</v>
      </c>
      <c r="Q2995" s="20">
        <v>40330.0</v>
      </c>
      <c r="R2995" s="17">
        <f t="shared" si="2"/>
        <v>316.0545249</v>
      </c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>
        <f t="shared" si="8"/>
        <v>1</v>
      </c>
      <c r="AF2995" s="19">
        <f t="shared" si="13"/>
        <v>3</v>
      </c>
      <c r="AG2995" s="9"/>
      <c r="AH2995" s="9"/>
      <c r="AI2995" s="9"/>
    </row>
    <row r="2996" ht="15.0" customHeight="1">
      <c r="A2996" s="11">
        <v>2995.0</v>
      </c>
      <c r="B2996" s="12">
        <f t="shared" ref="B2996:B3000" si="482">DATE(2012,12,31)-946</f>
        <v>40328</v>
      </c>
      <c r="C2996" s="13">
        <v>2010.0</v>
      </c>
      <c r="D2996" s="11" t="s">
        <v>44</v>
      </c>
      <c r="E2996" s="11">
        <v>41.0</v>
      </c>
      <c r="F2996" s="21" t="s">
        <v>1659</v>
      </c>
      <c r="G2996" s="15">
        <v>0.030019096117122723</v>
      </c>
      <c r="H2996" s="11" t="s">
        <v>33</v>
      </c>
      <c r="I2996" s="16">
        <v>1.368</v>
      </c>
      <c r="J2996" s="11" t="s">
        <v>648</v>
      </c>
      <c r="K2996" s="11" t="s">
        <v>35</v>
      </c>
      <c r="L2996" s="11" t="s">
        <v>27</v>
      </c>
      <c r="M2996" s="11" t="s">
        <v>28</v>
      </c>
      <c r="N2996" s="11" t="s">
        <v>56</v>
      </c>
      <c r="O2996" s="11" t="s">
        <v>2342</v>
      </c>
      <c r="P2996" s="11" t="s">
        <v>58</v>
      </c>
      <c r="Q2996" s="20">
        <v>40330.0</v>
      </c>
      <c r="R2996" s="17">
        <f t="shared" si="2"/>
        <v>9.148859885</v>
      </c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>
        <f t="shared" si="8"/>
        <v>1</v>
      </c>
      <c r="AF2996" s="19">
        <f t="shared" si="13"/>
        <v>2</v>
      </c>
      <c r="AG2996" s="9"/>
      <c r="AH2996" s="9"/>
      <c r="AI2996" s="9"/>
    </row>
    <row r="2997" ht="15.0" customHeight="1">
      <c r="A2997" s="11">
        <v>2996.0</v>
      </c>
      <c r="B2997" s="12">
        <f t="shared" si="482"/>
        <v>40328</v>
      </c>
      <c r="C2997" s="13">
        <v>2010.0</v>
      </c>
      <c r="D2997" s="11" t="s">
        <v>23</v>
      </c>
      <c r="E2997" s="11">
        <v>6.0</v>
      </c>
      <c r="F2997" s="21" t="s">
        <v>1757</v>
      </c>
      <c r="G2997" s="15">
        <v>0.09962035763411292</v>
      </c>
      <c r="H2997" s="11" t="s">
        <v>33</v>
      </c>
      <c r="I2997" s="16">
        <v>12.888</v>
      </c>
      <c r="J2997" s="11" t="s">
        <v>227</v>
      </c>
      <c r="K2997" s="11" t="s">
        <v>35</v>
      </c>
      <c r="L2997" s="11" t="s">
        <v>27</v>
      </c>
      <c r="M2997" s="11" t="s">
        <v>28</v>
      </c>
      <c r="N2997" s="11" t="s">
        <v>42</v>
      </c>
      <c r="O2997" s="11" t="s">
        <v>1758</v>
      </c>
      <c r="P2997" s="11" t="s">
        <v>38</v>
      </c>
      <c r="Q2997" s="20">
        <v>40331.0</v>
      </c>
      <c r="R2997" s="17">
        <f t="shared" si="2"/>
        <v>32.60454761</v>
      </c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>
        <f t="shared" si="8"/>
        <v>1</v>
      </c>
      <c r="AF2997" s="19">
        <f t="shared" si="13"/>
        <v>2</v>
      </c>
      <c r="AG2997" s="9"/>
      <c r="AH2997" s="9"/>
      <c r="AI2997" s="9"/>
    </row>
    <row r="2998" ht="15.0" customHeight="1">
      <c r="A2998" s="11">
        <v>2997.0</v>
      </c>
      <c r="B2998" s="12">
        <f t="shared" si="482"/>
        <v>40328</v>
      </c>
      <c r="C2998" s="13">
        <v>2010.0</v>
      </c>
      <c r="D2998" s="11" t="s">
        <v>102</v>
      </c>
      <c r="E2998" s="11">
        <v>13.0</v>
      </c>
      <c r="F2998" s="21" t="s">
        <v>147</v>
      </c>
      <c r="G2998" s="15">
        <v>0.02502057613168741</v>
      </c>
      <c r="H2998" s="11" t="s">
        <v>33</v>
      </c>
      <c r="I2998" s="16">
        <v>1.592</v>
      </c>
      <c r="J2998" s="11" t="s">
        <v>2343</v>
      </c>
      <c r="K2998" s="11" t="s">
        <v>83</v>
      </c>
      <c r="L2998" s="11" t="s">
        <v>36</v>
      </c>
      <c r="M2998" s="11" t="s">
        <v>66</v>
      </c>
      <c r="N2998" s="11" t="s">
        <v>67</v>
      </c>
      <c r="O2998" s="11" t="s">
        <v>149</v>
      </c>
      <c r="P2998" s="11" t="s">
        <v>99</v>
      </c>
      <c r="Q2998" s="20">
        <v>40331.0</v>
      </c>
      <c r="R2998" s="17">
        <f t="shared" si="2"/>
        <v>0.5927874897</v>
      </c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>
        <f t="shared" si="8"/>
        <v>2</v>
      </c>
      <c r="AF2998" s="19" t="b">
        <f t="shared" si="13"/>
        <v>0</v>
      </c>
      <c r="AG2998" s="9"/>
      <c r="AH2998" s="9"/>
      <c r="AI2998" s="9"/>
    </row>
    <row r="2999" ht="15.0" customHeight="1">
      <c r="A2999" s="11">
        <v>2998.0</v>
      </c>
      <c r="B2999" s="12">
        <f t="shared" si="482"/>
        <v>40328</v>
      </c>
      <c r="C2999" s="13">
        <v>2010.0</v>
      </c>
      <c r="D2999" s="11" t="s">
        <v>102</v>
      </c>
      <c r="E2999" s="11">
        <v>12.0</v>
      </c>
      <c r="F2999" s="21" t="s">
        <v>122</v>
      </c>
      <c r="G2999" s="15">
        <v>0.0630791788856306</v>
      </c>
      <c r="H2999" s="11" t="s">
        <v>33</v>
      </c>
      <c r="I2999" s="16">
        <v>4.792000000000001</v>
      </c>
      <c r="J2999" s="11" t="s">
        <v>945</v>
      </c>
      <c r="K2999" s="11" t="s">
        <v>65</v>
      </c>
      <c r="L2999" s="11" t="s">
        <v>36</v>
      </c>
      <c r="M2999" s="11" t="s">
        <v>66</v>
      </c>
      <c r="N2999" s="11" t="s">
        <v>67</v>
      </c>
      <c r="O2999" s="11" t="s">
        <v>1485</v>
      </c>
      <c r="P2999" s="11" t="s">
        <v>38</v>
      </c>
      <c r="Q2999" s="20">
        <v>40331.0</v>
      </c>
      <c r="R2999" s="17">
        <f t="shared" si="2"/>
        <v>16.12253349</v>
      </c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>
        <f t="shared" si="8"/>
        <v>2</v>
      </c>
      <c r="AF2999" s="19">
        <f t="shared" si="13"/>
        <v>5</v>
      </c>
      <c r="AG2999" s="9"/>
      <c r="AH2999" s="9"/>
      <c r="AI2999" s="9"/>
    </row>
    <row r="3000" ht="15.0" customHeight="1">
      <c r="A3000" s="11">
        <v>2999.0</v>
      </c>
      <c r="B3000" s="12">
        <f t="shared" si="482"/>
        <v>40328</v>
      </c>
      <c r="C3000" s="13">
        <v>2010.0</v>
      </c>
      <c r="D3000" s="11" t="s">
        <v>102</v>
      </c>
      <c r="E3000" s="11">
        <v>37.0</v>
      </c>
      <c r="F3000" s="21" t="s">
        <v>983</v>
      </c>
      <c r="G3000" s="15">
        <v>0.024301619433198342</v>
      </c>
      <c r="H3000" s="11" t="s">
        <v>33</v>
      </c>
      <c r="I3000" s="16">
        <v>1.592</v>
      </c>
      <c r="J3000" s="11" t="s">
        <v>945</v>
      </c>
      <c r="K3000" s="11" t="s">
        <v>65</v>
      </c>
      <c r="L3000" s="11" t="s">
        <v>36</v>
      </c>
      <c r="M3000" s="11" t="s">
        <v>66</v>
      </c>
      <c r="N3000" s="11" t="s">
        <v>67</v>
      </c>
      <c r="O3000" s="11" t="s">
        <v>2051</v>
      </c>
      <c r="P3000" s="11" t="s">
        <v>99</v>
      </c>
      <c r="Q3000" s="20">
        <v>40331.0</v>
      </c>
      <c r="R3000" s="17">
        <f t="shared" si="2"/>
        <v>18.74121449</v>
      </c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>
        <f t="shared" si="8"/>
        <v>2</v>
      </c>
      <c r="AF3000" s="19">
        <f t="shared" si="13"/>
        <v>5</v>
      </c>
      <c r="AG3000" s="9"/>
      <c r="AH3000" s="9"/>
      <c r="AI3000" s="9"/>
    </row>
    <row r="3001" ht="15.0" customHeight="1">
      <c r="A3001" s="11">
        <v>3000.0</v>
      </c>
      <c r="B3001" s="12">
        <f t="shared" ref="B3001:B3005" si="483">DATE(2012,12,31)-945</f>
        <v>40329</v>
      </c>
      <c r="C3001" s="13">
        <v>2010.0</v>
      </c>
      <c r="D3001" s="11" t="s">
        <v>44</v>
      </c>
      <c r="E3001" s="11">
        <v>20.0</v>
      </c>
      <c r="F3001" s="21" t="s">
        <v>799</v>
      </c>
      <c r="G3001" s="15">
        <v>0.06685792665796306</v>
      </c>
      <c r="H3001" s="11" t="s">
        <v>45</v>
      </c>
      <c r="I3001" s="16">
        <v>28.536</v>
      </c>
      <c r="J3001" s="11" t="s">
        <v>1433</v>
      </c>
      <c r="K3001" s="11" t="s">
        <v>61</v>
      </c>
      <c r="L3001" s="11" t="s">
        <v>36</v>
      </c>
      <c r="M3001" s="11" t="s">
        <v>49</v>
      </c>
      <c r="N3001" s="11" t="s">
        <v>85</v>
      </c>
      <c r="O3001" s="11" t="s">
        <v>1323</v>
      </c>
      <c r="P3001" s="11" t="s">
        <v>87</v>
      </c>
      <c r="Q3001" s="20">
        <v>40331.0</v>
      </c>
      <c r="R3001" s="17">
        <f t="shared" si="2"/>
        <v>377.5156898</v>
      </c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>
        <f t="shared" si="8"/>
        <v>2</v>
      </c>
      <c r="AF3001" s="19">
        <f t="shared" si="13"/>
        <v>4</v>
      </c>
      <c r="AG3001" s="9"/>
      <c r="AH3001" s="9"/>
      <c r="AI3001" s="9"/>
    </row>
    <row r="3002" ht="15.0" customHeight="1">
      <c r="A3002" s="11">
        <v>3001.0</v>
      </c>
      <c r="B3002" s="12">
        <f t="shared" si="483"/>
        <v>40329</v>
      </c>
      <c r="C3002" s="13">
        <v>2010.0</v>
      </c>
      <c r="D3002" s="11" t="s">
        <v>44</v>
      </c>
      <c r="E3002" s="11">
        <v>24.0</v>
      </c>
      <c r="F3002" s="21" t="s">
        <v>186</v>
      </c>
      <c r="G3002" s="15">
        <v>0.08507042253521128</v>
      </c>
      <c r="H3002" s="11" t="s">
        <v>33</v>
      </c>
      <c r="I3002" s="16">
        <v>5.5360000000000005</v>
      </c>
      <c r="J3002" s="11" t="s">
        <v>1586</v>
      </c>
      <c r="K3002" s="11" t="s">
        <v>65</v>
      </c>
      <c r="L3002" s="11" t="s">
        <v>27</v>
      </c>
      <c r="M3002" s="11" t="s">
        <v>49</v>
      </c>
      <c r="N3002" s="11" t="s">
        <v>73</v>
      </c>
      <c r="O3002" s="11" t="s">
        <v>2344</v>
      </c>
      <c r="P3002" s="11" t="s">
        <v>38</v>
      </c>
      <c r="Q3002" s="20">
        <v>40331.0</v>
      </c>
      <c r="R3002" s="17">
        <f t="shared" si="2"/>
        <v>8.841879437</v>
      </c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>
        <f t="shared" si="8"/>
        <v>1</v>
      </c>
      <c r="AF3002" s="19">
        <f t="shared" si="13"/>
        <v>5</v>
      </c>
      <c r="AG3002" s="9"/>
      <c r="AH3002" s="9"/>
      <c r="AI3002" s="9"/>
    </row>
    <row r="3003" ht="15.0" customHeight="1">
      <c r="A3003" s="11">
        <v>3002.0</v>
      </c>
      <c r="B3003" s="12">
        <f t="shared" si="483"/>
        <v>40329</v>
      </c>
      <c r="C3003" s="13">
        <v>2010.0</v>
      </c>
      <c r="D3003" s="11" t="s">
        <v>44</v>
      </c>
      <c r="E3003" s="11">
        <v>35.0</v>
      </c>
      <c r="F3003" s="21" t="s">
        <v>933</v>
      </c>
      <c r="G3003" s="15">
        <v>0.04029587537964142</v>
      </c>
      <c r="H3003" s="11" t="s">
        <v>33</v>
      </c>
      <c r="I3003" s="16">
        <v>2.64</v>
      </c>
      <c r="J3003" s="11" t="s">
        <v>1586</v>
      </c>
      <c r="K3003" s="11" t="s">
        <v>65</v>
      </c>
      <c r="L3003" s="11" t="s">
        <v>27</v>
      </c>
      <c r="M3003" s="11" t="s">
        <v>66</v>
      </c>
      <c r="N3003" s="11" t="s">
        <v>80</v>
      </c>
      <c r="O3003" s="11" t="s">
        <v>1695</v>
      </c>
      <c r="P3003" s="11" t="s">
        <v>99</v>
      </c>
      <c r="Q3003" s="20">
        <v>40331.0</v>
      </c>
      <c r="R3003" s="17">
        <f t="shared" si="2"/>
        <v>78.94526129</v>
      </c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>
        <f t="shared" si="8"/>
        <v>1</v>
      </c>
      <c r="AF3003" s="19">
        <f t="shared" si="13"/>
        <v>5</v>
      </c>
      <c r="AG3003" s="9"/>
      <c r="AH3003" s="9"/>
      <c r="AI3003" s="9"/>
    </row>
    <row r="3004" ht="15.0" customHeight="1">
      <c r="A3004" s="11">
        <v>3003.0</v>
      </c>
      <c r="B3004" s="12">
        <f t="shared" si="483"/>
        <v>40329</v>
      </c>
      <c r="C3004" s="13">
        <v>2010.0</v>
      </c>
      <c r="D3004" s="11" t="s">
        <v>44</v>
      </c>
      <c r="E3004" s="11">
        <v>31.0</v>
      </c>
      <c r="F3004" s="21" t="s">
        <v>142</v>
      </c>
      <c r="G3004" s="15">
        <v>0.05082009008243408</v>
      </c>
      <c r="H3004" s="11" t="s">
        <v>33</v>
      </c>
      <c r="I3004" s="16">
        <v>4.0</v>
      </c>
      <c r="J3004" s="11" t="s">
        <v>1586</v>
      </c>
      <c r="K3004" s="11" t="s">
        <v>65</v>
      </c>
      <c r="L3004" s="11" t="s">
        <v>27</v>
      </c>
      <c r="M3004" s="11" t="s">
        <v>66</v>
      </c>
      <c r="N3004" s="11" t="s">
        <v>80</v>
      </c>
      <c r="O3004" s="11" t="s">
        <v>540</v>
      </c>
      <c r="P3004" s="11" t="s">
        <v>38</v>
      </c>
      <c r="Q3004" s="20">
        <v>40331.0</v>
      </c>
      <c r="R3004" s="17">
        <f t="shared" si="2"/>
        <v>56.76095861</v>
      </c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>
        <f t="shared" si="8"/>
        <v>1</v>
      </c>
      <c r="AF3004" s="19">
        <f t="shared" si="13"/>
        <v>5</v>
      </c>
      <c r="AG3004" s="9"/>
      <c r="AH3004" s="9"/>
      <c r="AI3004" s="9"/>
    </row>
    <row r="3005" ht="15.0" customHeight="1">
      <c r="A3005" s="11">
        <v>3004.0</v>
      </c>
      <c r="B3005" s="12">
        <f t="shared" si="483"/>
        <v>40329</v>
      </c>
      <c r="C3005" s="13">
        <v>2010.0</v>
      </c>
      <c r="D3005" s="11" t="s">
        <v>32</v>
      </c>
      <c r="E3005" s="11">
        <v>48.0</v>
      </c>
      <c r="F3005" s="21" t="s">
        <v>119</v>
      </c>
      <c r="G3005" s="15">
        <v>0.09914460285132387</v>
      </c>
      <c r="H3005" s="11" t="s">
        <v>33</v>
      </c>
      <c r="I3005" s="16">
        <v>2.064</v>
      </c>
      <c r="J3005" s="11" t="s">
        <v>1831</v>
      </c>
      <c r="K3005" s="11" t="s">
        <v>61</v>
      </c>
      <c r="L3005" s="11" t="s">
        <v>48</v>
      </c>
      <c r="M3005" s="11" t="s">
        <v>28</v>
      </c>
      <c r="N3005" s="11" t="s">
        <v>216</v>
      </c>
      <c r="O3005" s="11" t="s">
        <v>1619</v>
      </c>
      <c r="P3005" s="11" t="s">
        <v>58</v>
      </c>
      <c r="Q3005" s="20">
        <v>40332.0</v>
      </c>
      <c r="R3005" s="17">
        <f t="shared" si="2"/>
        <v>8.770728147</v>
      </c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>
        <f t="shared" si="8"/>
        <v>4</v>
      </c>
      <c r="AF3005" s="19">
        <f t="shared" si="13"/>
        <v>4</v>
      </c>
      <c r="AG3005" s="9"/>
      <c r="AH3005" s="9"/>
      <c r="AI3005" s="9"/>
    </row>
    <row r="3006" ht="15.0" customHeight="1">
      <c r="A3006" s="11">
        <v>3005.0</v>
      </c>
      <c r="B3006" s="12">
        <f t="shared" ref="B3006:B3010" si="484">DATE(2012,12,31)-944</f>
        <v>40330</v>
      </c>
      <c r="C3006" s="13">
        <v>2010.0</v>
      </c>
      <c r="D3006" s="11" t="s">
        <v>102</v>
      </c>
      <c r="E3006" s="11">
        <v>37.0</v>
      </c>
      <c r="F3006" s="21" t="s">
        <v>287</v>
      </c>
      <c r="G3006" s="15">
        <v>0.022884975308363448</v>
      </c>
      <c r="H3006" s="11" t="s">
        <v>45</v>
      </c>
      <c r="I3006" s="16">
        <v>44.912000000000006</v>
      </c>
      <c r="J3006" s="11" t="s">
        <v>1103</v>
      </c>
      <c r="K3006" s="11" t="s">
        <v>83</v>
      </c>
      <c r="L3006" s="11" t="s">
        <v>41</v>
      </c>
      <c r="M3006" s="11" t="s">
        <v>66</v>
      </c>
      <c r="N3006" s="11" t="s">
        <v>69</v>
      </c>
      <c r="O3006" s="11" t="s">
        <v>289</v>
      </c>
      <c r="P3006" s="11" t="s">
        <v>52</v>
      </c>
      <c r="Q3006" s="20">
        <v>40332.0</v>
      </c>
      <c r="R3006" s="17">
        <f t="shared" si="2"/>
        <v>99.16544963</v>
      </c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>
        <f t="shared" si="8"/>
        <v>3</v>
      </c>
      <c r="AF3006" s="19" t="b">
        <f t="shared" si="13"/>
        <v>0</v>
      </c>
      <c r="AG3006" s="9"/>
      <c r="AH3006" s="9"/>
      <c r="AI3006" s="9"/>
    </row>
    <row r="3007" ht="15.0" customHeight="1">
      <c r="A3007" s="11">
        <v>3006.0</v>
      </c>
      <c r="B3007" s="12">
        <f t="shared" si="484"/>
        <v>40330</v>
      </c>
      <c r="C3007" s="13">
        <v>2010.0</v>
      </c>
      <c r="D3007" s="11" t="s">
        <v>44</v>
      </c>
      <c r="E3007" s="11">
        <v>21.0</v>
      </c>
      <c r="F3007" s="21" t="s">
        <v>1219</v>
      </c>
      <c r="G3007" s="15">
        <v>0.032221782178217695</v>
      </c>
      <c r="H3007" s="11" t="s">
        <v>33</v>
      </c>
      <c r="I3007" s="16">
        <v>4.392</v>
      </c>
      <c r="J3007" s="11" t="s">
        <v>1249</v>
      </c>
      <c r="K3007" s="11" t="s">
        <v>83</v>
      </c>
      <c r="L3007" s="11" t="s">
        <v>41</v>
      </c>
      <c r="M3007" s="11" t="s">
        <v>28</v>
      </c>
      <c r="N3007" s="11" t="s">
        <v>29</v>
      </c>
      <c r="O3007" s="11" t="s">
        <v>1220</v>
      </c>
      <c r="P3007" s="11" t="s">
        <v>38</v>
      </c>
      <c r="Q3007" s="20">
        <v>40332.0</v>
      </c>
      <c r="R3007" s="17">
        <f t="shared" si="2"/>
        <v>23.62153074</v>
      </c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>
        <f t="shared" si="8"/>
        <v>3</v>
      </c>
      <c r="AF3007" s="19" t="b">
        <f t="shared" si="13"/>
        <v>0</v>
      </c>
      <c r="AG3007" s="9"/>
      <c r="AH3007" s="9"/>
      <c r="AI3007" s="9"/>
    </row>
    <row r="3008" ht="15.0" customHeight="1">
      <c r="A3008" s="11">
        <v>3007.0</v>
      </c>
      <c r="B3008" s="12">
        <f t="shared" si="484"/>
        <v>40330</v>
      </c>
      <c r="C3008" s="13">
        <v>2010.0</v>
      </c>
      <c r="D3008" s="11" t="s">
        <v>44</v>
      </c>
      <c r="E3008" s="11">
        <v>38.0</v>
      </c>
      <c r="F3008" s="21" t="s">
        <v>562</v>
      </c>
      <c r="G3008" s="15">
        <v>0.06058956107890516</v>
      </c>
      <c r="H3008" s="11" t="s">
        <v>45</v>
      </c>
      <c r="I3008" s="16">
        <v>33.152</v>
      </c>
      <c r="J3008" s="11" t="s">
        <v>1249</v>
      </c>
      <c r="K3008" s="11" t="s">
        <v>83</v>
      </c>
      <c r="L3008" s="11" t="s">
        <v>41</v>
      </c>
      <c r="M3008" s="11" t="s">
        <v>49</v>
      </c>
      <c r="N3008" s="11" t="s">
        <v>156</v>
      </c>
      <c r="O3008" s="11" t="s">
        <v>974</v>
      </c>
      <c r="P3008" s="11" t="s">
        <v>87</v>
      </c>
      <c r="Q3008" s="20">
        <v>40333.0</v>
      </c>
      <c r="R3008" s="17">
        <f t="shared" si="2"/>
        <v>1155.282489</v>
      </c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>
        <f t="shared" si="8"/>
        <v>3</v>
      </c>
      <c r="AF3008" s="19" t="b">
        <f t="shared" si="13"/>
        <v>0</v>
      </c>
      <c r="AG3008" s="9"/>
      <c r="AH3008" s="9"/>
      <c r="AI3008" s="9"/>
    </row>
    <row r="3009" ht="15.0" customHeight="1">
      <c r="A3009" s="11">
        <v>3008.0</v>
      </c>
      <c r="B3009" s="12">
        <f t="shared" si="484"/>
        <v>40330</v>
      </c>
      <c r="C3009" s="13">
        <v>2010.0</v>
      </c>
      <c r="D3009" s="11" t="s">
        <v>32</v>
      </c>
      <c r="E3009" s="11">
        <v>2.0</v>
      </c>
      <c r="F3009" s="21" t="s">
        <v>103</v>
      </c>
      <c r="G3009" s="15">
        <v>0.06836879432624104</v>
      </c>
      <c r="H3009" s="11" t="s">
        <v>33</v>
      </c>
      <c r="I3009" s="16">
        <v>1.336</v>
      </c>
      <c r="J3009" s="11" t="s">
        <v>2267</v>
      </c>
      <c r="K3009" s="11" t="s">
        <v>65</v>
      </c>
      <c r="L3009" s="11" t="s">
        <v>48</v>
      </c>
      <c r="M3009" s="11" t="s">
        <v>28</v>
      </c>
      <c r="N3009" s="11" t="s">
        <v>62</v>
      </c>
      <c r="O3009" s="11" t="s">
        <v>2044</v>
      </c>
      <c r="P3009" s="11" t="s">
        <v>58</v>
      </c>
      <c r="Q3009" s="20">
        <v>40333.0</v>
      </c>
      <c r="R3009" s="17">
        <f t="shared" si="2"/>
        <v>0.8980924823</v>
      </c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>
        <f t="shared" si="8"/>
        <v>4</v>
      </c>
      <c r="AF3009" s="19">
        <f t="shared" si="13"/>
        <v>5</v>
      </c>
      <c r="AG3009" s="9"/>
      <c r="AH3009" s="9"/>
      <c r="AI3009" s="9"/>
    </row>
    <row r="3010" ht="15.0" customHeight="1">
      <c r="A3010" s="11">
        <v>3009.0</v>
      </c>
      <c r="B3010" s="12">
        <f t="shared" si="484"/>
        <v>40330</v>
      </c>
      <c r="C3010" s="13">
        <v>2010.0</v>
      </c>
      <c r="D3010" s="11" t="s">
        <v>32</v>
      </c>
      <c r="E3010" s="11">
        <v>38.0</v>
      </c>
      <c r="F3010" s="21" t="s">
        <v>344</v>
      </c>
      <c r="G3010" s="15">
        <v>0.023759741494012544</v>
      </c>
      <c r="H3010" s="11" t="s">
        <v>33</v>
      </c>
      <c r="I3010" s="16">
        <v>4.4</v>
      </c>
      <c r="J3010" s="11" t="s">
        <v>2267</v>
      </c>
      <c r="K3010" s="11" t="s">
        <v>65</v>
      </c>
      <c r="L3010" s="11" t="s">
        <v>48</v>
      </c>
      <c r="M3010" s="11" t="s">
        <v>28</v>
      </c>
      <c r="N3010" s="11" t="s">
        <v>29</v>
      </c>
      <c r="O3010" s="11" t="s">
        <v>346</v>
      </c>
      <c r="P3010" s="11" t="s">
        <v>38</v>
      </c>
      <c r="Q3010" s="20">
        <v>40333.0</v>
      </c>
      <c r="R3010" s="17">
        <f t="shared" si="2"/>
        <v>12.20300323</v>
      </c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>
        <f t="shared" si="8"/>
        <v>4</v>
      </c>
      <c r="AF3010" s="19">
        <f t="shared" si="13"/>
        <v>5</v>
      </c>
      <c r="AG3010" s="9"/>
      <c r="AH3010" s="9"/>
      <c r="AI3010" s="9"/>
    </row>
    <row r="3011" ht="15.0" customHeight="1">
      <c r="A3011" s="11">
        <v>3010.0</v>
      </c>
      <c r="B3011" s="12">
        <f t="shared" ref="B3011:B3014" si="485">DATE(2012,12,31)-943</f>
        <v>40331</v>
      </c>
      <c r="C3011" s="13">
        <v>2010.0</v>
      </c>
      <c r="D3011" s="11" t="s">
        <v>32</v>
      </c>
      <c r="E3011" s="11">
        <v>40.0</v>
      </c>
      <c r="F3011" s="21" t="s">
        <v>183</v>
      </c>
      <c r="G3011" s="15">
        <v>0.03578947368421046</v>
      </c>
      <c r="H3011" s="11" t="s">
        <v>33</v>
      </c>
      <c r="I3011" s="16">
        <v>5.2</v>
      </c>
      <c r="J3011" s="11" t="s">
        <v>329</v>
      </c>
      <c r="K3011" s="11" t="s">
        <v>26</v>
      </c>
      <c r="L3011" s="11" t="s">
        <v>41</v>
      </c>
      <c r="M3011" s="11" t="s">
        <v>66</v>
      </c>
      <c r="N3011" s="11" t="s">
        <v>67</v>
      </c>
      <c r="O3011" s="11" t="s">
        <v>941</v>
      </c>
      <c r="P3011" s="11" t="s">
        <v>38</v>
      </c>
      <c r="Q3011" s="20">
        <v>40333.0</v>
      </c>
      <c r="R3011" s="17">
        <f t="shared" si="2"/>
        <v>22.94821053</v>
      </c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>
        <f t="shared" si="8"/>
        <v>3</v>
      </c>
      <c r="AF3011" s="19">
        <f t="shared" si="13"/>
        <v>1</v>
      </c>
      <c r="AG3011" s="9"/>
      <c r="AH3011" s="9"/>
      <c r="AI3011" s="9"/>
    </row>
    <row r="3012" ht="15.0" customHeight="1">
      <c r="A3012" s="11">
        <v>3011.0</v>
      </c>
      <c r="B3012" s="12">
        <f t="shared" si="485"/>
        <v>40331</v>
      </c>
      <c r="C3012" s="13">
        <v>2010.0</v>
      </c>
      <c r="D3012" s="11" t="s">
        <v>32</v>
      </c>
      <c r="E3012" s="11">
        <v>26.0</v>
      </c>
      <c r="F3012" s="21" t="s">
        <v>805</v>
      </c>
      <c r="G3012" s="15">
        <v>0.040050589591935304</v>
      </c>
      <c r="H3012" s="11" t="s">
        <v>45</v>
      </c>
      <c r="I3012" s="16">
        <v>43.296</v>
      </c>
      <c r="J3012" s="11" t="s">
        <v>329</v>
      </c>
      <c r="K3012" s="11" t="s">
        <v>26</v>
      </c>
      <c r="L3012" s="11" t="s">
        <v>41</v>
      </c>
      <c r="M3012" s="11" t="s">
        <v>49</v>
      </c>
      <c r="N3012" s="11" t="s">
        <v>85</v>
      </c>
      <c r="O3012" s="11" t="s">
        <v>807</v>
      </c>
      <c r="P3012" s="11" t="s">
        <v>87</v>
      </c>
      <c r="Q3012" s="20">
        <v>40333.0</v>
      </c>
      <c r="R3012" s="17">
        <f t="shared" si="2"/>
        <v>310.0674994</v>
      </c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>
        <f t="shared" si="8"/>
        <v>3</v>
      </c>
      <c r="AF3012" s="19">
        <f t="shared" si="13"/>
        <v>1</v>
      </c>
      <c r="AG3012" s="9"/>
      <c r="AH3012" s="9"/>
      <c r="AI3012" s="9"/>
    </row>
    <row r="3013" ht="15.0" customHeight="1">
      <c r="A3013" s="11">
        <v>3012.0</v>
      </c>
      <c r="B3013" s="12">
        <f t="shared" si="485"/>
        <v>40331</v>
      </c>
      <c r="C3013" s="13">
        <v>2010.0</v>
      </c>
      <c r="D3013" s="11" t="s">
        <v>23</v>
      </c>
      <c r="E3013" s="11">
        <v>32.0</v>
      </c>
      <c r="F3013" s="21" t="s">
        <v>872</v>
      </c>
      <c r="G3013" s="15">
        <v>0.04544137022397908</v>
      </c>
      <c r="H3013" s="11" t="s">
        <v>33</v>
      </c>
      <c r="I3013" s="16">
        <v>6.808</v>
      </c>
      <c r="J3013" s="11" t="s">
        <v>2285</v>
      </c>
      <c r="K3013" s="11" t="s">
        <v>65</v>
      </c>
      <c r="L3013" s="11" t="s">
        <v>41</v>
      </c>
      <c r="M3013" s="11" t="s">
        <v>66</v>
      </c>
      <c r="N3013" s="11" t="s">
        <v>69</v>
      </c>
      <c r="O3013" s="11" t="s">
        <v>1000</v>
      </c>
      <c r="P3013" s="11" t="s">
        <v>75</v>
      </c>
      <c r="Q3013" s="20">
        <v>40334.0</v>
      </c>
      <c r="R3013" s="17">
        <f t="shared" si="2"/>
        <v>26.33818171</v>
      </c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>
        <f t="shared" si="8"/>
        <v>3</v>
      </c>
      <c r="AF3013" s="19">
        <f t="shared" si="13"/>
        <v>5</v>
      </c>
      <c r="AG3013" s="9"/>
      <c r="AH3013" s="9"/>
      <c r="AI3013" s="9"/>
    </row>
    <row r="3014" ht="15.0" customHeight="1">
      <c r="A3014" s="11">
        <v>3013.0</v>
      </c>
      <c r="B3014" s="12">
        <f t="shared" si="485"/>
        <v>40331</v>
      </c>
      <c r="C3014" s="13">
        <v>2010.0</v>
      </c>
      <c r="D3014" s="11" t="s">
        <v>23</v>
      </c>
      <c r="E3014" s="11">
        <v>25.0</v>
      </c>
      <c r="F3014" s="21" t="s">
        <v>1144</v>
      </c>
      <c r="G3014" s="15">
        <v>0.06597488139425178</v>
      </c>
      <c r="H3014" s="11" t="s">
        <v>33</v>
      </c>
      <c r="I3014" s="16">
        <v>15.991999999999999</v>
      </c>
      <c r="J3014" s="11" t="s">
        <v>2285</v>
      </c>
      <c r="K3014" s="11" t="s">
        <v>65</v>
      </c>
      <c r="L3014" s="11" t="s">
        <v>41</v>
      </c>
      <c r="M3014" s="11" t="s">
        <v>28</v>
      </c>
      <c r="N3014" s="11" t="s">
        <v>29</v>
      </c>
      <c r="O3014" s="11" t="s">
        <v>1146</v>
      </c>
      <c r="P3014" s="11" t="s">
        <v>38</v>
      </c>
      <c r="Q3014" s="20">
        <v>40334.0</v>
      </c>
      <c r="R3014" s="17">
        <f t="shared" si="2"/>
        <v>692.3068901</v>
      </c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>
        <f t="shared" si="8"/>
        <v>3</v>
      </c>
      <c r="AF3014" s="19">
        <f t="shared" si="13"/>
        <v>5</v>
      </c>
      <c r="AG3014" s="9"/>
      <c r="AH3014" s="9"/>
      <c r="AI3014" s="9"/>
    </row>
    <row r="3015" ht="15.0" customHeight="1">
      <c r="A3015" s="11">
        <v>3014.0</v>
      </c>
      <c r="B3015" s="12">
        <f t="shared" ref="B3015:B3019" si="486">DATE(2012,12,31)-942</f>
        <v>40332</v>
      </c>
      <c r="C3015" s="13">
        <v>2010.0</v>
      </c>
      <c r="D3015" s="11" t="s">
        <v>23</v>
      </c>
      <c r="E3015" s="11">
        <v>15.0</v>
      </c>
      <c r="F3015" s="21" t="s">
        <v>810</v>
      </c>
      <c r="G3015" s="15">
        <v>0.03036172695449246</v>
      </c>
      <c r="H3015" s="11" t="s">
        <v>24</v>
      </c>
      <c r="I3015" s="16">
        <v>2.696</v>
      </c>
      <c r="J3015" s="11" t="s">
        <v>895</v>
      </c>
      <c r="K3015" s="11" t="s">
        <v>35</v>
      </c>
      <c r="L3015" s="11" t="s">
        <v>27</v>
      </c>
      <c r="M3015" s="11" t="s">
        <v>28</v>
      </c>
      <c r="N3015" s="11" t="s">
        <v>442</v>
      </c>
      <c r="O3015" s="11" t="s">
        <v>1111</v>
      </c>
      <c r="P3015" s="11" t="s">
        <v>99</v>
      </c>
      <c r="Q3015" s="20">
        <v>40334.0</v>
      </c>
      <c r="R3015" s="17">
        <f t="shared" si="2"/>
        <v>5.045997573</v>
      </c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>
        <f t="shared" si="8"/>
        <v>1</v>
      </c>
      <c r="AF3015" s="19">
        <f t="shared" si="13"/>
        <v>2</v>
      </c>
      <c r="AG3015" s="9"/>
      <c r="AH3015" s="9"/>
      <c r="AI3015" s="9"/>
    </row>
    <row r="3016" ht="15.0" customHeight="1">
      <c r="A3016" s="11">
        <v>3015.0</v>
      </c>
      <c r="B3016" s="12">
        <f t="shared" si="486"/>
        <v>40332</v>
      </c>
      <c r="C3016" s="13">
        <v>2010.0</v>
      </c>
      <c r="D3016" s="11" t="s">
        <v>23</v>
      </c>
      <c r="E3016" s="11">
        <v>18.0</v>
      </c>
      <c r="F3016" s="21" t="s">
        <v>137</v>
      </c>
      <c r="G3016" s="15">
        <v>0.09244828732956425</v>
      </c>
      <c r="H3016" s="11" t="s">
        <v>45</v>
      </c>
      <c r="I3016" s="16">
        <v>12.808000000000002</v>
      </c>
      <c r="J3016" s="11" t="s">
        <v>703</v>
      </c>
      <c r="K3016" s="11" t="s">
        <v>35</v>
      </c>
      <c r="L3016" s="11" t="s">
        <v>27</v>
      </c>
      <c r="M3016" s="11" t="s">
        <v>49</v>
      </c>
      <c r="N3016" s="11" t="s">
        <v>85</v>
      </c>
      <c r="O3016" s="11" t="s">
        <v>127</v>
      </c>
      <c r="P3016" s="11" t="s">
        <v>87</v>
      </c>
      <c r="Q3016" s="20">
        <v>40334.0</v>
      </c>
      <c r="R3016" s="17">
        <f t="shared" si="2"/>
        <v>252.2921157</v>
      </c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>
        <f t="shared" si="8"/>
        <v>1</v>
      </c>
      <c r="AF3016" s="19">
        <f t="shared" si="13"/>
        <v>2</v>
      </c>
      <c r="AG3016" s="9"/>
      <c r="AH3016" s="9"/>
      <c r="AI3016" s="9"/>
    </row>
    <row r="3017" ht="15.0" customHeight="1">
      <c r="A3017" s="11">
        <v>3016.0</v>
      </c>
      <c r="B3017" s="12">
        <f t="shared" si="486"/>
        <v>40332</v>
      </c>
      <c r="C3017" s="13">
        <v>2010.0</v>
      </c>
      <c r="D3017" s="11" t="s">
        <v>32</v>
      </c>
      <c r="E3017" s="11">
        <v>46.0</v>
      </c>
      <c r="F3017" s="21" t="s">
        <v>229</v>
      </c>
      <c r="G3017" s="15">
        <v>0.020434456534610474</v>
      </c>
      <c r="H3017" s="11" t="s">
        <v>24</v>
      </c>
      <c r="I3017" s="16">
        <v>15.991999999999999</v>
      </c>
      <c r="J3017" s="11" t="s">
        <v>806</v>
      </c>
      <c r="K3017" s="11" t="s">
        <v>61</v>
      </c>
      <c r="L3017" s="11" t="s">
        <v>27</v>
      </c>
      <c r="M3017" s="11" t="s">
        <v>28</v>
      </c>
      <c r="N3017" s="11" t="s">
        <v>29</v>
      </c>
      <c r="O3017" s="11" t="s">
        <v>230</v>
      </c>
      <c r="P3017" s="11" t="s">
        <v>38</v>
      </c>
      <c r="Q3017" s="20">
        <v>40334.0</v>
      </c>
      <c r="R3017" s="17">
        <f t="shared" si="2"/>
        <v>152.1343654</v>
      </c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>
        <f t="shared" si="8"/>
        <v>1</v>
      </c>
      <c r="AF3017" s="19">
        <f t="shared" si="13"/>
        <v>4</v>
      </c>
      <c r="AG3017" s="9"/>
      <c r="AH3017" s="9"/>
      <c r="AI3017" s="9"/>
    </row>
    <row r="3018" ht="15.0" customHeight="1">
      <c r="A3018" s="11">
        <v>3017.0</v>
      </c>
      <c r="B3018" s="12">
        <f t="shared" si="486"/>
        <v>40332</v>
      </c>
      <c r="C3018" s="13">
        <v>2010.0</v>
      </c>
      <c r="D3018" s="11" t="s">
        <v>102</v>
      </c>
      <c r="E3018" s="11">
        <v>19.0</v>
      </c>
      <c r="F3018" s="21" t="s">
        <v>319</v>
      </c>
      <c r="G3018" s="15">
        <v>0.031111111111111214</v>
      </c>
      <c r="H3018" s="11" t="s">
        <v>33</v>
      </c>
      <c r="I3018" s="16">
        <v>4.352</v>
      </c>
      <c r="J3018" s="11" t="s">
        <v>819</v>
      </c>
      <c r="K3018" s="11" t="s">
        <v>61</v>
      </c>
      <c r="L3018" s="11" t="s">
        <v>41</v>
      </c>
      <c r="M3018" s="11" t="s">
        <v>28</v>
      </c>
      <c r="N3018" s="11" t="s">
        <v>42</v>
      </c>
      <c r="O3018" s="11" t="s">
        <v>2345</v>
      </c>
      <c r="P3018" s="11" t="s">
        <v>38</v>
      </c>
      <c r="Q3018" s="20">
        <v>40334.0</v>
      </c>
      <c r="R3018" s="17">
        <f t="shared" si="2"/>
        <v>1.790506667</v>
      </c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>
        <f t="shared" si="8"/>
        <v>3</v>
      </c>
      <c r="AF3018" s="19">
        <f t="shared" si="13"/>
        <v>4</v>
      </c>
      <c r="AG3018" s="9"/>
      <c r="AH3018" s="9"/>
      <c r="AI3018" s="9"/>
    </row>
    <row r="3019" ht="15.0" customHeight="1">
      <c r="A3019" s="11">
        <v>3018.0</v>
      </c>
      <c r="B3019" s="12">
        <f t="shared" si="486"/>
        <v>40332</v>
      </c>
      <c r="C3019" s="13">
        <v>2010.0</v>
      </c>
      <c r="D3019" s="11" t="s">
        <v>102</v>
      </c>
      <c r="E3019" s="11">
        <v>31.0</v>
      </c>
      <c r="F3019" s="21" t="s">
        <v>1002</v>
      </c>
      <c r="G3019" s="15">
        <v>0.07526706386537058</v>
      </c>
      <c r="H3019" s="11" t="s">
        <v>33</v>
      </c>
      <c r="I3019" s="16">
        <v>1.192</v>
      </c>
      <c r="J3019" s="11" t="s">
        <v>819</v>
      </c>
      <c r="K3019" s="11" t="s">
        <v>61</v>
      </c>
      <c r="L3019" s="11" t="s">
        <v>41</v>
      </c>
      <c r="M3019" s="11" t="s">
        <v>28</v>
      </c>
      <c r="N3019" s="11" t="s">
        <v>42</v>
      </c>
      <c r="O3019" s="11" t="s">
        <v>1003</v>
      </c>
      <c r="P3019" s="11" t="s">
        <v>38</v>
      </c>
      <c r="Q3019" s="20">
        <v>40335.0</v>
      </c>
      <c r="R3019" s="17">
        <f t="shared" si="2"/>
        <v>66.58816927</v>
      </c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>
        <f t="shared" si="8"/>
        <v>3</v>
      </c>
      <c r="AF3019" s="19">
        <f t="shared" si="13"/>
        <v>4</v>
      </c>
      <c r="AG3019" s="9"/>
      <c r="AH3019" s="9"/>
      <c r="AI3019" s="9"/>
    </row>
    <row r="3020" ht="15.0" customHeight="1">
      <c r="A3020" s="11">
        <v>3019.0</v>
      </c>
      <c r="B3020" s="12">
        <f t="shared" ref="B3020:B3023" si="487">DATE(2012,12,31)-941</f>
        <v>40333</v>
      </c>
      <c r="C3020" s="13">
        <v>2010.0</v>
      </c>
      <c r="D3020" s="11" t="s">
        <v>44</v>
      </c>
      <c r="E3020" s="11">
        <v>40.0</v>
      </c>
      <c r="F3020" s="21" t="s">
        <v>810</v>
      </c>
      <c r="G3020" s="15">
        <v>0.07711839632491117</v>
      </c>
      <c r="H3020" s="11" t="s">
        <v>24</v>
      </c>
      <c r="I3020" s="16">
        <v>5.968</v>
      </c>
      <c r="J3020" s="11" t="s">
        <v>2346</v>
      </c>
      <c r="K3020" s="11" t="s">
        <v>83</v>
      </c>
      <c r="L3020" s="11" t="s">
        <v>41</v>
      </c>
      <c r="M3020" s="11" t="s">
        <v>28</v>
      </c>
      <c r="N3020" s="11" t="s">
        <v>29</v>
      </c>
      <c r="O3020" s="11" t="s">
        <v>1813</v>
      </c>
      <c r="P3020" s="11" t="s">
        <v>38</v>
      </c>
      <c r="Q3020" s="20">
        <v>40335.0</v>
      </c>
      <c r="R3020" s="17">
        <f t="shared" si="2"/>
        <v>34.08386339</v>
      </c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>
        <f t="shared" si="8"/>
        <v>3</v>
      </c>
      <c r="AF3020" s="19" t="b">
        <f t="shared" si="13"/>
        <v>0</v>
      </c>
      <c r="AG3020" s="9"/>
      <c r="AH3020" s="9"/>
      <c r="AI3020" s="9"/>
    </row>
    <row r="3021" ht="15.0" customHeight="1">
      <c r="A3021" s="11">
        <v>3020.0</v>
      </c>
      <c r="B3021" s="12">
        <f t="shared" si="487"/>
        <v>40333</v>
      </c>
      <c r="C3021" s="13">
        <v>2010.0</v>
      </c>
      <c r="D3021" s="11" t="s">
        <v>32</v>
      </c>
      <c r="E3021" s="11">
        <v>4.0</v>
      </c>
      <c r="F3021" s="21" t="s">
        <v>1746</v>
      </c>
      <c r="G3021" s="15">
        <v>0.03548525010688333</v>
      </c>
      <c r="H3021" s="11" t="s">
        <v>45</v>
      </c>
      <c r="I3021" s="16">
        <v>48.0</v>
      </c>
      <c r="J3021" s="11" t="s">
        <v>2347</v>
      </c>
      <c r="K3021" s="11" t="s">
        <v>61</v>
      </c>
      <c r="L3021" s="11" t="s">
        <v>48</v>
      </c>
      <c r="M3021" s="11" t="s">
        <v>49</v>
      </c>
      <c r="N3021" s="11" t="s">
        <v>85</v>
      </c>
      <c r="O3021" s="11" t="s">
        <v>2337</v>
      </c>
      <c r="P3021" s="11" t="s">
        <v>52</v>
      </c>
      <c r="Q3021" s="20">
        <v>40335.0</v>
      </c>
      <c r="R3021" s="17">
        <f t="shared" si="2"/>
        <v>16.01094485</v>
      </c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>
        <f t="shared" si="8"/>
        <v>4</v>
      </c>
      <c r="AF3021" s="19">
        <f t="shared" si="13"/>
        <v>4</v>
      </c>
      <c r="AG3021" s="9"/>
      <c r="AH3021" s="9"/>
      <c r="AI3021" s="9"/>
    </row>
    <row r="3022" ht="15.0" customHeight="1">
      <c r="A3022" s="11">
        <v>3021.0</v>
      </c>
      <c r="B3022" s="12">
        <f t="shared" si="487"/>
        <v>40333</v>
      </c>
      <c r="C3022" s="13">
        <v>2010.0</v>
      </c>
      <c r="D3022" s="11" t="s">
        <v>44</v>
      </c>
      <c r="E3022" s="11">
        <v>18.0</v>
      </c>
      <c r="F3022" s="21" t="s">
        <v>810</v>
      </c>
      <c r="G3022" s="15">
        <v>0.04095238095238093</v>
      </c>
      <c r="H3022" s="11" t="s">
        <v>33</v>
      </c>
      <c r="I3022" s="16">
        <v>5.2</v>
      </c>
      <c r="J3022" s="11" t="s">
        <v>1108</v>
      </c>
      <c r="K3022" s="11" t="s">
        <v>47</v>
      </c>
      <c r="L3022" s="11" t="s">
        <v>27</v>
      </c>
      <c r="M3022" s="11" t="s">
        <v>66</v>
      </c>
      <c r="N3022" s="11" t="s">
        <v>67</v>
      </c>
      <c r="O3022" s="11" t="s">
        <v>1974</v>
      </c>
      <c r="P3022" s="11" t="s">
        <v>38</v>
      </c>
      <c r="Q3022" s="20">
        <v>40335.0</v>
      </c>
      <c r="R3022" s="17">
        <f t="shared" si="2"/>
        <v>8.247809524</v>
      </c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>
        <f t="shared" si="8"/>
        <v>1</v>
      </c>
      <c r="AF3022" s="19">
        <f t="shared" si="13"/>
        <v>3</v>
      </c>
      <c r="AG3022" s="9"/>
      <c r="AH3022" s="9"/>
      <c r="AI3022" s="9"/>
    </row>
    <row r="3023" ht="15.0" customHeight="1">
      <c r="A3023" s="11">
        <v>3022.0</v>
      </c>
      <c r="B3023" s="12">
        <f t="shared" si="487"/>
        <v>40333</v>
      </c>
      <c r="C3023" s="13">
        <v>2010.0</v>
      </c>
      <c r="D3023" s="11" t="s">
        <v>44</v>
      </c>
      <c r="E3023" s="11">
        <v>21.0</v>
      </c>
      <c r="F3023" s="21" t="s">
        <v>415</v>
      </c>
      <c r="G3023" s="15">
        <v>0.11045454545454553</v>
      </c>
      <c r="H3023" s="11" t="s">
        <v>33</v>
      </c>
      <c r="I3023" s="16">
        <v>4.208</v>
      </c>
      <c r="J3023" s="11" t="s">
        <v>76</v>
      </c>
      <c r="K3023" s="11" t="s">
        <v>61</v>
      </c>
      <c r="L3023" s="11" t="s">
        <v>48</v>
      </c>
      <c r="M3023" s="11" t="s">
        <v>28</v>
      </c>
      <c r="N3023" s="11" t="s">
        <v>42</v>
      </c>
      <c r="O3023" s="11" t="s">
        <v>971</v>
      </c>
      <c r="P3023" s="11" t="s">
        <v>38</v>
      </c>
      <c r="Q3023" s="20">
        <v>40336.0</v>
      </c>
      <c r="R3023" s="17">
        <f t="shared" si="2"/>
        <v>9.51102</v>
      </c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>
        <f t="shared" si="8"/>
        <v>4</v>
      </c>
      <c r="AF3023" s="19">
        <f t="shared" si="13"/>
        <v>4</v>
      </c>
      <c r="AG3023" s="9"/>
      <c r="AH3023" s="9"/>
      <c r="AI3023" s="9"/>
    </row>
    <row r="3024" ht="15.0" customHeight="1">
      <c r="A3024" s="11">
        <v>3023.0</v>
      </c>
      <c r="B3024" s="12">
        <f t="shared" ref="B3024:B3029" si="488">DATE(2012,12,31)-940</f>
        <v>40334</v>
      </c>
      <c r="C3024" s="13">
        <v>2010.0</v>
      </c>
      <c r="D3024" s="11" t="s">
        <v>102</v>
      </c>
      <c r="E3024" s="11">
        <v>46.0</v>
      </c>
      <c r="F3024" s="21" t="s">
        <v>838</v>
      </c>
      <c r="G3024" s="15">
        <v>0.0670486364004207</v>
      </c>
      <c r="H3024" s="11" t="s">
        <v>24</v>
      </c>
      <c r="I3024" s="16">
        <v>15.991999999999999</v>
      </c>
      <c r="J3024" s="11" t="s">
        <v>2348</v>
      </c>
      <c r="K3024" s="11" t="s">
        <v>35</v>
      </c>
      <c r="L3024" s="11" t="s">
        <v>36</v>
      </c>
      <c r="M3024" s="11" t="s">
        <v>66</v>
      </c>
      <c r="N3024" s="11" t="s">
        <v>67</v>
      </c>
      <c r="O3024" s="11" t="s">
        <v>845</v>
      </c>
      <c r="P3024" s="11" t="s">
        <v>38</v>
      </c>
      <c r="Q3024" s="20">
        <v>40336.0</v>
      </c>
      <c r="R3024" s="17">
        <f t="shared" si="2"/>
        <v>309.1875455</v>
      </c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>
        <f t="shared" si="8"/>
        <v>2</v>
      </c>
      <c r="AF3024" s="19">
        <f t="shared" si="13"/>
        <v>2</v>
      </c>
      <c r="AG3024" s="9"/>
      <c r="AH3024" s="9"/>
      <c r="AI3024" s="9"/>
    </row>
    <row r="3025" ht="15.0" customHeight="1">
      <c r="A3025" s="11">
        <v>3024.0</v>
      </c>
      <c r="B3025" s="12">
        <f t="shared" si="488"/>
        <v>40334</v>
      </c>
      <c r="C3025" s="13">
        <v>2010.0</v>
      </c>
      <c r="D3025" s="11" t="s">
        <v>102</v>
      </c>
      <c r="E3025" s="11">
        <v>15.0</v>
      </c>
      <c r="F3025" s="21" t="s">
        <v>869</v>
      </c>
      <c r="G3025" s="15">
        <v>0.01111963190184049</v>
      </c>
      <c r="H3025" s="11" t="s">
        <v>33</v>
      </c>
      <c r="I3025" s="16">
        <v>1.0</v>
      </c>
      <c r="J3025" s="11" t="s">
        <v>2348</v>
      </c>
      <c r="K3025" s="11" t="s">
        <v>35</v>
      </c>
      <c r="L3025" s="11" t="s">
        <v>36</v>
      </c>
      <c r="M3025" s="11" t="s">
        <v>66</v>
      </c>
      <c r="N3025" s="11" t="s">
        <v>80</v>
      </c>
      <c r="O3025" s="11" t="s">
        <v>2349</v>
      </c>
      <c r="P3025" s="11" t="s">
        <v>99</v>
      </c>
      <c r="Q3025" s="20">
        <v>40336.0</v>
      </c>
      <c r="R3025" s="17">
        <f t="shared" si="2"/>
        <v>14.33876534</v>
      </c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>
        <f t="shared" si="8"/>
        <v>2</v>
      </c>
      <c r="AF3025" s="19">
        <f t="shared" si="13"/>
        <v>2</v>
      </c>
      <c r="AG3025" s="9"/>
      <c r="AH3025" s="9"/>
      <c r="AI3025" s="9"/>
    </row>
    <row r="3026" ht="15.0" customHeight="1">
      <c r="A3026" s="11">
        <v>3025.0</v>
      </c>
      <c r="B3026" s="12">
        <f t="shared" si="488"/>
        <v>40334</v>
      </c>
      <c r="C3026" s="13">
        <v>2010.0</v>
      </c>
      <c r="D3026" s="11" t="s">
        <v>39</v>
      </c>
      <c r="E3026" s="11">
        <v>5.0</v>
      </c>
      <c r="F3026" s="21" t="s">
        <v>218</v>
      </c>
      <c r="G3026" s="15">
        <v>0.06727272727272736</v>
      </c>
      <c r="H3026" s="11" t="s">
        <v>33</v>
      </c>
      <c r="I3026" s="16">
        <v>1.592</v>
      </c>
      <c r="J3026" s="11" t="s">
        <v>1682</v>
      </c>
      <c r="K3026" s="11" t="s">
        <v>47</v>
      </c>
      <c r="L3026" s="11" t="s">
        <v>48</v>
      </c>
      <c r="M3026" s="11" t="s">
        <v>66</v>
      </c>
      <c r="N3026" s="11" t="s">
        <v>67</v>
      </c>
      <c r="O3026" s="11" t="s">
        <v>749</v>
      </c>
      <c r="P3026" s="11" t="s">
        <v>99</v>
      </c>
      <c r="Q3026" s="20">
        <v>40336.0</v>
      </c>
      <c r="R3026" s="17">
        <f t="shared" si="2"/>
        <v>2.898916364</v>
      </c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>
        <f t="shared" si="8"/>
        <v>4</v>
      </c>
      <c r="AF3026" s="19">
        <f t="shared" si="13"/>
        <v>3</v>
      </c>
      <c r="AG3026" s="9"/>
      <c r="AH3026" s="9"/>
      <c r="AI3026" s="9"/>
    </row>
    <row r="3027" ht="15.0" customHeight="1">
      <c r="A3027" s="11">
        <v>3026.0</v>
      </c>
      <c r="B3027" s="12">
        <f t="shared" si="488"/>
        <v>40334</v>
      </c>
      <c r="C3027" s="13">
        <v>2010.0</v>
      </c>
      <c r="D3027" s="11" t="s">
        <v>39</v>
      </c>
      <c r="E3027" s="11">
        <v>27.0</v>
      </c>
      <c r="F3027" s="21" t="s">
        <v>1818</v>
      </c>
      <c r="G3027" s="15">
        <v>0.05738923057612664</v>
      </c>
      <c r="H3027" s="11" t="s">
        <v>33</v>
      </c>
      <c r="I3027" s="16">
        <v>6.912000000000001</v>
      </c>
      <c r="J3027" s="11" t="s">
        <v>1682</v>
      </c>
      <c r="K3027" s="11" t="s">
        <v>47</v>
      </c>
      <c r="L3027" s="11" t="s">
        <v>48</v>
      </c>
      <c r="M3027" s="11" t="s">
        <v>28</v>
      </c>
      <c r="N3027" s="11" t="s">
        <v>29</v>
      </c>
      <c r="O3027" s="11" t="s">
        <v>1819</v>
      </c>
      <c r="P3027" s="11" t="s">
        <v>38</v>
      </c>
      <c r="Q3027" s="20">
        <v>40336.0</v>
      </c>
      <c r="R3027" s="17">
        <f t="shared" si="2"/>
        <v>172.3921984</v>
      </c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>
        <f t="shared" si="8"/>
        <v>4</v>
      </c>
      <c r="AF3027" s="19">
        <f t="shared" si="13"/>
        <v>3</v>
      </c>
      <c r="AG3027" s="9"/>
      <c r="AH3027" s="9"/>
      <c r="AI3027" s="9"/>
    </row>
    <row r="3028" ht="15.0" customHeight="1">
      <c r="A3028" s="11">
        <v>3027.0</v>
      </c>
      <c r="B3028" s="12">
        <f t="shared" si="488"/>
        <v>40334</v>
      </c>
      <c r="C3028" s="13">
        <v>2010.0</v>
      </c>
      <c r="D3028" s="11" t="s">
        <v>39</v>
      </c>
      <c r="E3028" s="11">
        <v>39.0</v>
      </c>
      <c r="F3028" s="21" t="s">
        <v>1254</v>
      </c>
      <c r="G3028" s="15">
        <v>0.07883659231600676</v>
      </c>
      <c r="H3028" s="11" t="s">
        <v>33</v>
      </c>
      <c r="I3028" s="16">
        <v>5.368</v>
      </c>
      <c r="J3028" s="11" t="s">
        <v>2350</v>
      </c>
      <c r="K3028" s="11" t="s">
        <v>61</v>
      </c>
      <c r="L3028" s="11" t="s">
        <v>36</v>
      </c>
      <c r="M3028" s="11" t="s">
        <v>28</v>
      </c>
      <c r="N3028" s="11" t="s">
        <v>236</v>
      </c>
      <c r="O3028" s="11" t="s">
        <v>1565</v>
      </c>
      <c r="P3028" s="11" t="s">
        <v>38</v>
      </c>
      <c r="Q3028" s="20">
        <v>40336.0</v>
      </c>
      <c r="R3028" s="17">
        <f t="shared" si="2"/>
        <v>73.90678253</v>
      </c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>
        <f t="shared" si="8"/>
        <v>2</v>
      </c>
      <c r="AF3028" s="19">
        <f t="shared" si="13"/>
        <v>4</v>
      </c>
      <c r="AG3028" s="9"/>
      <c r="AH3028" s="9"/>
      <c r="AI3028" s="9"/>
    </row>
    <row r="3029" ht="15.0" customHeight="1">
      <c r="A3029" s="11">
        <v>3028.0</v>
      </c>
      <c r="B3029" s="12">
        <f t="shared" si="488"/>
        <v>40334</v>
      </c>
      <c r="C3029" s="13">
        <v>2010.0</v>
      </c>
      <c r="D3029" s="11" t="s">
        <v>32</v>
      </c>
      <c r="E3029" s="11">
        <v>21.0</v>
      </c>
      <c r="F3029" s="21" t="s">
        <v>1136</v>
      </c>
      <c r="G3029" s="15">
        <v>0.06926697530864201</v>
      </c>
      <c r="H3029" s="11" t="s">
        <v>33</v>
      </c>
      <c r="I3029" s="16">
        <v>1.592</v>
      </c>
      <c r="J3029" s="11" t="s">
        <v>1212</v>
      </c>
      <c r="K3029" s="11" t="s">
        <v>117</v>
      </c>
      <c r="L3029" s="11" t="s">
        <v>27</v>
      </c>
      <c r="M3029" s="11" t="s">
        <v>66</v>
      </c>
      <c r="N3029" s="11" t="s">
        <v>67</v>
      </c>
      <c r="O3029" s="11" t="s">
        <v>1138</v>
      </c>
      <c r="P3029" s="11" t="s">
        <v>99</v>
      </c>
      <c r="Q3029" s="20">
        <v>40336.0</v>
      </c>
      <c r="R3029" s="17">
        <f t="shared" si="2"/>
        <v>33.42076145</v>
      </c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>
        <f t="shared" si="8"/>
        <v>1</v>
      </c>
      <c r="AF3029" s="19" t="b">
        <f t="shared" si="13"/>
        <v>0</v>
      </c>
      <c r="AG3029" s="9"/>
      <c r="AH3029" s="9"/>
      <c r="AI3029" s="9"/>
    </row>
    <row r="3030" ht="15.0" customHeight="1">
      <c r="A3030" s="11">
        <v>3029.0</v>
      </c>
      <c r="B3030" s="12">
        <f t="shared" ref="B3030:B3034" si="489">DATE(2012,12,31)-939</f>
        <v>40335</v>
      </c>
      <c r="C3030" s="13">
        <v>2010.0</v>
      </c>
      <c r="D3030" s="11" t="s">
        <v>23</v>
      </c>
      <c r="E3030" s="11">
        <v>4.0</v>
      </c>
      <c r="F3030" s="21" t="s">
        <v>891</v>
      </c>
      <c r="G3030" s="15">
        <v>0.08053050397877987</v>
      </c>
      <c r="H3030" s="11" t="s">
        <v>33</v>
      </c>
      <c r="I3030" s="16">
        <v>2.2640000000000002</v>
      </c>
      <c r="J3030" s="11" t="s">
        <v>1607</v>
      </c>
      <c r="K3030" s="11" t="s">
        <v>35</v>
      </c>
      <c r="L3030" s="11" t="s">
        <v>48</v>
      </c>
      <c r="M3030" s="11" t="s">
        <v>66</v>
      </c>
      <c r="N3030" s="11" t="s">
        <v>67</v>
      </c>
      <c r="O3030" s="11" t="s">
        <v>893</v>
      </c>
      <c r="P3030" s="11" t="s">
        <v>99</v>
      </c>
      <c r="Q3030" s="20">
        <v>40337.0</v>
      </c>
      <c r="R3030" s="17">
        <f t="shared" si="2"/>
        <v>2.79150939</v>
      </c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>
        <f t="shared" si="8"/>
        <v>4</v>
      </c>
      <c r="AF3030" s="19">
        <f t="shared" si="13"/>
        <v>2</v>
      </c>
      <c r="AG3030" s="9"/>
      <c r="AH3030" s="9"/>
      <c r="AI3030" s="9"/>
    </row>
    <row r="3031" ht="15.0" customHeight="1">
      <c r="A3031" s="11">
        <v>3030.0</v>
      </c>
      <c r="B3031" s="12">
        <f t="shared" si="489"/>
        <v>40335</v>
      </c>
      <c r="C3031" s="13">
        <v>2010.0</v>
      </c>
      <c r="D3031" s="11" t="s">
        <v>23</v>
      </c>
      <c r="E3031" s="11">
        <v>29.0</v>
      </c>
      <c r="F3031" s="21" t="s">
        <v>1254</v>
      </c>
      <c r="G3031" s="15">
        <v>0.015317348377997359</v>
      </c>
      <c r="H3031" s="11" t="s">
        <v>33</v>
      </c>
      <c r="I3031" s="16">
        <v>5.04</v>
      </c>
      <c r="J3031" s="11" t="s">
        <v>1607</v>
      </c>
      <c r="K3031" s="11" t="s">
        <v>35</v>
      </c>
      <c r="L3031" s="11" t="s">
        <v>48</v>
      </c>
      <c r="M3031" s="11" t="s">
        <v>66</v>
      </c>
      <c r="N3031" s="11" t="s">
        <v>69</v>
      </c>
      <c r="O3031" s="11" t="s">
        <v>1394</v>
      </c>
      <c r="P3031" s="11" t="s">
        <v>75</v>
      </c>
      <c r="Q3031" s="20">
        <v>40337.0</v>
      </c>
      <c r="R3031" s="17">
        <f t="shared" si="2"/>
        <v>10.6936536</v>
      </c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>
        <f t="shared" si="8"/>
        <v>4</v>
      </c>
      <c r="AF3031" s="19">
        <f t="shared" si="13"/>
        <v>2</v>
      </c>
      <c r="AG3031" s="9"/>
      <c r="AH3031" s="9"/>
      <c r="AI3031" s="9"/>
    </row>
    <row r="3032" ht="15.0" customHeight="1">
      <c r="A3032" s="11">
        <v>3031.0</v>
      </c>
      <c r="B3032" s="12">
        <f t="shared" si="489"/>
        <v>40335</v>
      </c>
      <c r="C3032" s="13">
        <v>2010.0</v>
      </c>
      <c r="D3032" s="11" t="s">
        <v>32</v>
      </c>
      <c r="E3032" s="11">
        <v>30.0</v>
      </c>
      <c r="F3032" s="21" t="s">
        <v>126</v>
      </c>
      <c r="G3032" s="15">
        <v>0.08904820766378253</v>
      </c>
      <c r="H3032" s="11" t="s">
        <v>24</v>
      </c>
      <c r="I3032" s="16">
        <v>0.392</v>
      </c>
      <c r="J3032" s="11" t="s">
        <v>2064</v>
      </c>
      <c r="K3032" s="11" t="s">
        <v>61</v>
      </c>
      <c r="L3032" s="11" t="s">
        <v>41</v>
      </c>
      <c r="M3032" s="11" t="s">
        <v>28</v>
      </c>
      <c r="N3032" s="11" t="s">
        <v>188</v>
      </c>
      <c r="O3032" s="11" t="s">
        <v>1703</v>
      </c>
      <c r="P3032" s="11" t="s">
        <v>38</v>
      </c>
      <c r="Q3032" s="20">
        <v>40337.0</v>
      </c>
      <c r="R3032" s="17">
        <f t="shared" si="2"/>
        <v>13.12499342</v>
      </c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>
        <f t="shared" si="8"/>
        <v>3</v>
      </c>
      <c r="AF3032" s="19">
        <f t="shared" si="13"/>
        <v>4</v>
      </c>
      <c r="AG3032" s="9"/>
      <c r="AH3032" s="9"/>
      <c r="AI3032" s="9"/>
    </row>
    <row r="3033" ht="15.0" customHeight="1">
      <c r="A3033" s="11">
        <v>3032.0</v>
      </c>
      <c r="B3033" s="12">
        <f t="shared" si="489"/>
        <v>40335</v>
      </c>
      <c r="C3033" s="13">
        <v>2010.0</v>
      </c>
      <c r="D3033" s="11" t="s">
        <v>23</v>
      </c>
      <c r="E3033" s="11">
        <v>43.0</v>
      </c>
      <c r="F3033" s="21" t="s">
        <v>218</v>
      </c>
      <c r="G3033" s="15">
        <v>0.015280528052805234</v>
      </c>
      <c r="H3033" s="11" t="s">
        <v>33</v>
      </c>
      <c r="I3033" s="16">
        <v>1.144</v>
      </c>
      <c r="J3033" s="11" t="s">
        <v>2351</v>
      </c>
      <c r="K3033" s="11" t="s">
        <v>83</v>
      </c>
      <c r="L3033" s="11" t="s">
        <v>48</v>
      </c>
      <c r="M3033" s="11" t="s">
        <v>28</v>
      </c>
      <c r="N3033" s="11" t="s">
        <v>56</v>
      </c>
      <c r="O3033" s="11" t="s">
        <v>1315</v>
      </c>
      <c r="P3033" s="11" t="s">
        <v>58</v>
      </c>
      <c r="Q3033" s="20">
        <v>40337.0</v>
      </c>
      <c r="R3033" s="17">
        <f t="shared" si="2"/>
        <v>5.471101386</v>
      </c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>
        <f t="shared" si="8"/>
        <v>4</v>
      </c>
      <c r="AF3033" s="19" t="b">
        <f t="shared" si="13"/>
        <v>0</v>
      </c>
      <c r="AG3033" s="9"/>
      <c r="AH3033" s="9"/>
      <c r="AI3033" s="9"/>
    </row>
    <row r="3034" ht="15.0" customHeight="1">
      <c r="A3034" s="11">
        <v>3033.0</v>
      </c>
      <c r="B3034" s="12">
        <f t="shared" si="489"/>
        <v>40335</v>
      </c>
      <c r="C3034" s="13">
        <v>2010.0</v>
      </c>
      <c r="D3034" s="11" t="s">
        <v>44</v>
      </c>
      <c r="E3034" s="11">
        <v>41.0</v>
      </c>
      <c r="F3034" s="21" t="s">
        <v>1156</v>
      </c>
      <c r="G3034" s="15">
        <v>0.0832038306046964</v>
      </c>
      <c r="H3034" s="11" t="s">
        <v>33</v>
      </c>
      <c r="I3034" s="16">
        <v>3.12</v>
      </c>
      <c r="J3034" s="11" t="s">
        <v>2297</v>
      </c>
      <c r="K3034" s="11" t="s">
        <v>47</v>
      </c>
      <c r="L3034" s="11" t="s">
        <v>41</v>
      </c>
      <c r="M3034" s="11" t="s">
        <v>66</v>
      </c>
      <c r="N3034" s="11" t="s">
        <v>80</v>
      </c>
      <c r="O3034" s="11" t="s">
        <v>1157</v>
      </c>
      <c r="P3034" s="11" t="s">
        <v>38</v>
      </c>
      <c r="Q3034" s="20">
        <v>40337.0</v>
      </c>
      <c r="R3034" s="17">
        <f t="shared" si="2"/>
        <v>532.0901608</v>
      </c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>
        <f t="shared" si="8"/>
        <v>3</v>
      </c>
      <c r="AF3034" s="19">
        <f t="shared" si="13"/>
        <v>3</v>
      </c>
      <c r="AG3034" s="9"/>
      <c r="AH3034" s="9"/>
      <c r="AI3034" s="9"/>
    </row>
    <row r="3035" ht="15.0" customHeight="1">
      <c r="A3035" s="11">
        <v>3034.0</v>
      </c>
      <c r="B3035" s="12">
        <f t="shared" ref="B3035:B3041" si="490">DATE(2012,12,31)-938</f>
        <v>40336</v>
      </c>
      <c r="C3035" s="13">
        <v>2010.0</v>
      </c>
      <c r="D3035" s="11" t="s">
        <v>39</v>
      </c>
      <c r="E3035" s="11">
        <v>36.0</v>
      </c>
      <c r="F3035" s="21" t="s">
        <v>178</v>
      </c>
      <c r="G3035" s="15">
        <v>0.021262359920896392</v>
      </c>
      <c r="H3035" s="11" t="s">
        <v>24</v>
      </c>
      <c r="I3035" s="16">
        <v>3.192</v>
      </c>
      <c r="J3035" s="11" t="s">
        <v>973</v>
      </c>
      <c r="K3035" s="11" t="s">
        <v>61</v>
      </c>
      <c r="L3035" s="11" t="s">
        <v>36</v>
      </c>
      <c r="M3035" s="11" t="s">
        <v>66</v>
      </c>
      <c r="N3035" s="11" t="s">
        <v>80</v>
      </c>
      <c r="O3035" s="11" t="s">
        <v>587</v>
      </c>
      <c r="P3035" s="11" t="s">
        <v>38</v>
      </c>
      <c r="Q3035" s="20">
        <v>40337.0</v>
      </c>
      <c r="R3035" s="17">
        <f t="shared" si="2"/>
        <v>50.51069213</v>
      </c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>
        <f t="shared" si="8"/>
        <v>2</v>
      </c>
      <c r="AF3035" s="19">
        <f t="shared" si="13"/>
        <v>4</v>
      </c>
      <c r="AG3035" s="9"/>
      <c r="AH3035" s="9"/>
      <c r="AI3035" s="9"/>
    </row>
    <row r="3036" ht="15.0" customHeight="1">
      <c r="A3036" s="11">
        <v>3035.0</v>
      </c>
      <c r="B3036" s="12">
        <f t="shared" si="490"/>
        <v>40336</v>
      </c>
      <c r="C3036" s="13">
        <v>2010.0</v>
      </c>
      <c r="D3036" s="11" t="s">
        <v>102</v>
      </c>
      <c r="E3036" s="11">
        <v>19.0</v>
      </c>
      <c r="F3036" s="21" t="s">
        <v>1659</v>
      </c>
      <c r="G3036" s="15">
        <v>0.04974564926372166</v>
      </c>
      <c r="H3036" s="11" t="s">
        <v>33</v>
      </c>
      <c r="I3036" s="16">
        <v>1.368</v>
      </c>
      <c r="J3036" s="11" t="s">
        <v>2105</v>
      </c>
      <c r="K3036" s="11" t="s">
        <v>61</v>
      </c>
      <c r="L3036" s="11" t="s">
        <v>36</v>
      </c>
      <c r="M3036" s="11" t="s">
        <v>28</v>
      </c>
      <c r="N3036" s="11" t="s">
        <v>56</v>
      </c>
      <c r="O3036" s="11" t="s">
        <v>2342</v>
      </c>
      <c r="P3036" s="11" t="s">
        <v>58</v>
      </c>
      <c r="Q3036" s="20">
        <v>40337.0</v>
      </c>
      <c r="R3036" s="17">
        <f t="shared" si="2"/>
        <v>7.062290335</v>
      </c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>
        <f t="shared" si="8"/>
        <v>2</v>
      </c>
      <c r="AF3036" s="19">
        <f t="shared" si="13"/>
        <v>4</v>
      </c>
      <c r="AG3036" s="9"/>
      <c r="AH3036" s="9"/>
      <c r="AI3036" s="9"/>
    </row>
    <row r="3037" ht="15.0" customHeight="1">
      <c r="A3037" s="11">
        <v>3036.0</v>
      </c>
      <c r="B3037" s="12">
        <f t="shared" si="490"/>
        <v>40336</v>
      </c>
      <c r="C3037" s="13">
        <v>2010.0</v>
      </c>
      <c r="D3037" s="11" t="s">
        <v>102</v>
      </c>
      <c r="E3037" s="11">
        <v>6.0</v>
      </c>
      <c r="F3037" s="21" t="s">
        <v>130</v>
      </c>
      <c r="G3037" s="15">
        <v>0.09000000000000014</v>
      </c>
      <c r="H3037" s="11" t="s">
        <v>33</v>
      </c>
      <c r="I3037" s="16">
        <v>4.608</v>
      </c>
      <c r="J3037" s="11" t="s">
        <v>855</v>
      </c>
      <c r="K3037" s="11" t="s">
        <v>26</v>
      </c>
      <c r="L3037" s="11" t="s">
        <v>36</v>
      </c>
      <c r="M3037" s="11" t="s">
        <v>28</v>
      </c>
      <c r="N3037" s="11" t="s">
        <v>56</v>
      </c>
      <c r="O3037" s="11" t="s">
        <v>132</v>
      </c>
      <c r="P3037" s="11" t="s">
        <v>38</v>
      </c>
      <c r="Q3037" s="20">
        <v>40337.0</v>
      </c>
      <c r="R3037" s="17">
        <f t="shared" si="2"/>
        <v>17.10072</v>
      </c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>
        <f t="shared" si="8"/>
        <v>2</v>
      </c>
      <c r="AF3037" s="19">
        <f t="shared" si="13"/>
        <v>1</v>
      </c>
      <c r="AG3037" s="9"/>
      <c r="AH3037" s="9"/>
      <c r="AI3037" s="9"/>
    </row>
    <row r="3038" ht="15.0" customHeight="1">
      <c r="A3038" s="11">
        <v>3037.0</v>
      </c>
      <c r="B3038" s="12">
        <f t="shared" si="490"/>
        <v>40336</v>
      </c>
      <c r="C3038" s="13">
        <v>2010.0</v>
      </c>
      <c r="D3038" s="11" t="s">
        <v>102</v>
      </c>
      <c r="E3038" s="11">
        <v>13.0</v>
      </c>
      <c r="F3038" s="21" t="s">
        <v>128</v>
      </c>
      <c r="G3038" s="15">
        <v>0.09239710513231304</v>
      </c>
      <c r="H3038" s="11" t="s">
        <v>33</v>
      </c>
      <c r="I3038" s="16">
        <v>6.152000000000001</v>
      </c>
      <c r="J3038" s="11" t="s">
        <v>855</v>
      </c>
      <c r="K3038" s="11" t="s">
        <v>26</v>
      </c>
      <c r="L3038" s="11" t="s">
        <v>36</v>
      </c>
      <c r="M3038" s="11" t="s">
        <v>66</v>
      </c>
      <c r="N3038" s="11" t="s">
        <v>80</v>
      </c>
      <c r="O3038" s="11" t="s">
        <v>1100</v>
      </c>
      <c r="P3038" s="11" t="s">
        <v>38</v>
      </c>
      <c r="Q3038" s="20">
        <v>40337.0</v>
      </c>
      <c r="R3038" s="17">
        <f t="shared" si="2"/>
        <v>151.794769</v>
      </c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>
        <f t="shared" si="8"/>
        <v>2</v>
      </c>
      <c r="AF3038" s="19">
        <f t="shared" si="13"/>
        <v>1</v>
      </c>
      <c r="AG3038" s="9"/>
      <c r="AH3038" s="9"/>
      <c r="AI3038" s="9"/>
    </row>
    <row r="3039" ht="15.0" customHeight="1">
      <c r="A3039" s="11">
        <v>3038.0</v>
      </c>
      <c r="B3039" s="12">
        <f t="shared" si="490"/>
        <v>40336</v>
      </c>
      <c r="C3039" s="13">
        <v>2010.0</v>
      </c>
      <c r="D3039" s="11" t="s">
        <v>23</v>
      </c>
      <c r="E3039" s="11">
        <v>10.0</v>
      </c>
      <c r="F3039" s="21" t="s">
        <v>178</v>
      </c>
      <c r="G3039" s="15">
        <v>0.023465259454705418</v>
      </c>
      <c r="H3039" s="11" t="s">
        <v>33</v>
      </c>
      <c r="I3039" s="16">
        <v>7.192</v>
      </c>
      <c r="J3039" s="11" t="s">
        <v>844</v>
      </c>
      <c r="K3039" s="11" t="s">
        <v>117</v>
      </c>
      <c r="L3039" s="11" t="s">
        <v>27</v>
      </c>
      <c r="M3039" s="11" t="s">
        <v>66</v>
      </c>
      <c r="N3039" s="11" t="s">
        <v>80</v>
      </c>
      <c r="O3039" s="11" t="s">
        <v>1213</v>
      </c>
      <c r="P3039" s="11" t="s">
        <v>38</v>
      </c>
      <c r="Q3039" s="20">
        <v>40338.0</v>
      </c>
      <c r="R3039" s="17">
        <f t="shared" si="2"/>
        <v>15.63236813</v>
      </c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>
        <f t="shared" si="8"/>
        <v>1</v>
      </c>
      <c r="AF3039" s="19" t="b">
        <f t="shared" si="13"/>
        <v>0</v>
      </c>
      <c r="AG3039" s="9"/>
      <c r="AH3039" s="9"/>
      <c r="AI3039" s="9"/>
    </row>
    <row r="3040" ht="15.0" customHeight="1">
      <c r="A3040" s="11">
        <v>3039.0</v>
      </c>
      <c r="B3040" s="12">
        <f t="shared" si="490"/>
        <v>40336</v>
      </c>
      <c r="C3040" s="13">
        <v>2010.0</v>
      </c>
      <c r="D3040" s="11" t="s">
        <v>44</v>
      </c>
      <c r="E3040" s="11">
        <v>3.0</v>
      </c>
      <c r="F3040" s="21" t="s">
        <v>218</v>
      </c>
      <c r="G3040" s="15">
        <v>0.09936842105263148</v>
      </c>
      <c r="H3040" s="11" t="s">
        <v>33</v>
      </c>
      <c r="I3040" s="16">
        <v>0.768</v>
      </c>
      <c r="J3040" s="11" t="s">
        <v>786</v>
      </c>
      <c r="K3040" s="11" t="s">
        <v>35</v>
      </c>
      <c r="L3040" s="11" t="s">
        <v>48</v>
      </c>
      <c r="M3040" s="11" t="s">
        <v>49</v>
      </c>
      <c r="N3040" s="11" t="s">
        <v>73</v>
      </c>
      <c r="O3040" s="11" t="s">
        <v>220</v>
      </c>
      <c r="P3040" s="11" t="s">
        <v>58</v>
      </c>
      <c r="Q3040" s="20">
        <v>40338.0</v>
      </c>
      <c r="R3040" s="17">
        <f t="shared" si="2"/>
        <v>2.550588632</v>
      </c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>
        <f t="shared" si="8"/>
        <v>4</v>
      </c>
      <c r="AF3040" s="19">
        <f t="shared" si="13"/>
        <v>2</v>
      </c>
      <c r="AG3040" s="9"/>
      <c r="AH3040" s="9"/>
      <c r="AI3040" s="9"/>
    </row>
    <row r="3041" ht="15.0" customHeight="1">
      <c r="A3041" s="11">
        <v>3040.0</v>
      </c>
      <c r="B3041" s="12">
        <f t="shared" si="490"/>
        <v>40336</v>
      </c>
      <c r="C3041" s="13">
        <v>2010.0</v>
      </c>
      <c r="D3041" s="11" t="s">
        <v>44</v>
      </c>
      <c r="E3041" s="11">
        <v>14.0</v>
      </c>
      <c r="F3041" s="21" t="s">
        <v>394</v>
      </c>
      <c r="G3041" s="15">
        <v>0.04039471774778698</v>
      </c>
      <c r="H3041" s="11" t="s">
        <v>33</v>
      </c>
      <c r="I3041" s="16">
        <v>11.192</v>
      </c>
      <c r="J3041" s="11" t="s">
        <v>786</v>
      </c>
      <c r="K3041" s="11" t="s">
        <v>35</v>
      </c>
      <c r="L3041" s="11" t="s">
        <v>48</v>
      </c>
      <c r="M3041" s="11" t="s">
        <v>66</v>
      </c>
      <c r="N3041" s="11" t="s">
        <v>69</v>
      </c>
      <c r="O3041" s="11" t="s">
        <v>2252</v>
      </c>
      <c r="P3041" s="11" t="s">
        <v>75</v>
      </c>
      <c r="Q3041" s="20">
        <v>40338.0</v>
      </c>
      <c r="R3041" s="17">
        <f t="shared" si="2"/>
        <v>80.13471791</v>
      </c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>
        <f t="shared" si="8"/>
        <v>4</v>
      </c>
      <c r="AF3041" s="19">
        <f t="shared" si="13"/>
        <v>2</v>
      </c>
      <c r="AG3041" s="9"/>
      <c r="AH3041" s="9"/>
      <c r="AI3041" s="9"/>
    </row>
    <row r="3042" ht="15.0" customHeight="1">
      <c r="A3042" s="11">
        <v>3041.0</v>
      </c>
      <c r="B3042" s="12">
        <f t="shared" ref="B3042:B3050" si="491">DATE(2012,12,31)-937</f>
        <v>40337</v>
      </c>
      <c r="C3042" s="13">
        <v>2010.0</v>
      </c>
      <c r="D3042" s="11" t="s">
        <v>102</v>
      </c>
      <c r="E3042" s="11">
        <v>50.0</v>
      </c>
      <c r="F3042" s="21" t="s">
        <v>1273</v>
      </c>
      <c r="G3042" s="15">
        <v>0.05216357238199255</v>
      </c>
      <c r="H3042" s="11" t="s">
        <v>33</v>
      </c>
      <c r="I3042" s="16">
        <v>1.1119999999999999</v>
      </c>
      <c r="J3042" s="11" t="s">
        <v>919</v>
      </c>
      <c r="K3042" s="11" t="s">
        <v>61</v>
      </c>
      <c r="L3042" s="11" t="s">
        <v>48</v>
      </c>
      <c r="M3042" s="11" t="s">
        <v>28</v>
      </c>
      <c r="N3042" s="11" t="s">
        <v>236</v>
      </c>
      <c r="O3042" s="11" t="s">
        <v>1274</v>
      </c>
      <c r="P3042" s="11" t="s">
        <v>38</v>
      </c>
      <c r="Q3042" s="20">
        <v>40338.0</v>
      </c>
      <c r="R3042" s="17">
        <f t="shared" si="2"/>
        <v>40.74559235</v>
      </c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>
        <f t="shared" si="8"/>
        <v>4</v>
      </c>
      <c r="AF3042" s="19">
        <f t="shared" si="13"/>
        <v>4</v>
      </c>
      <c r="AG3042" s="9"/>
      <c r="AH3042" s="9"/>
      <c r="AI3042" s="9"/>
    </row>
    <row r="3043" ht="15.0" customHeight="1">
      <c r="A3043" s="11">
        <v>3042.0</v>
      </c>
      <c r="B3043" s="12">
        <f t="shared" si="491"/>
        <v>40337</v>
      </c>
      <c r="C3043" s="13">
        <v>2010.0</v>
      </c>
      <c r="D3043" s="11" t="s">
        <v>44</v>
      </c>
      <c r="E3043" s="11">
        <v>23.0</v>
      </c>
      <c r="F3043" s="21" t="s">
        <v>466</v>
      </c>
      <c r="G3043" s="15">
        <v>0.04394026421596771</v>
      </c>
      <c r="H3043" s="11" t="s">
        <v>33</v>
      </c>
      <c r="I3043" s="16">
        <v>4.0</v>
      </c>
      <c r="J3043" s="11" t="s">
        <v>2352</v>
      </c>
      <c r="K3043" s="11" t="s">
        <v>47</v>
      </c>
      <c r="L3043" s="11" t="s">
        <v>41</v>
      </c>
      <c r="M3043" s="11" t="s">
        <v>49</v>
      </c>
      <c r="N3043" s="11" t="s">
        <v>73</v>
      </c>
      <c r="O3043" s="11" t="s">
        <v>467</v>
      </c>
      <c r="P3043" s="11" t="s">
        <v>99</v>
      </c>
      <c r="Q3043" s="20">
        <v>40338.0</v>
      </c>
      <c r="R3043" s="17">
        <f t="shared" si="2"/>
        <v>14.62771396</v>
      </c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>
        <f t="shared" si="8"/>
        <v>3</v>
      </c>
      <c r="AF3043" s="19">
        <f t="shared" si="13"/>
        <v>3</v>
      </c>
      <c r="AG3043" s="9"/>
      <c r="AH3043" s="9"/>
      <c r="AI3043" s="9"/>
    </row>
    <row r="3044" ht="15.0" customHeight="1">
      <c r="A3044" s="11">
        <v>3043.0</v>
      </c>
      <c r="B3044" s="12">
        <f t="shared" si="491"/>
        <v>40337</v>
      </c>
      <c r="C3044" s="13">
        <v>2010.0</v>
      </c>
      <c r="D3044" s="11" t="s">
        <v>44</v>
      </c>
      <c r="E3044" s="11">
        <v>43.0</v>
      </c>
      <c r="F3044" s="21" t="s">
        <v>766</v>
      </c>
      <c r="G3044" s="15">
        <v>0.04088531187122736</v>
      </c>
      <c r="H3044" s="11" t="s">
        <v>45</v>
      </c>
      <c r="I3044" s="16">
        <v>43.792</v>
      </c>
      <c r="J3044" s="11" t="s">
        <v>588</v>
      </c>
      <c r="K3044" s="11" t="s">
        <v>47</v>
      </c>
      <c r="L3044" s="11" t="s">
        <v>27</v>
      </c>
      <c r="M3044" s="11" t="s">
        <v>49</v>
      </c>
      <c r="N3044" s="11" t="s">
        <v>156</v>
      </c>
      <c r="O3044" s="11" t="s">
        <v>767</v>
      </c>
      <c r="P3044" s="11" t="s">
        <v>87</v>
      </c>
      <c r="Q3044" s="20">
        <v>40339.0</v>
      </c>
      <c r="R3044" s="17">
        <f t="shared" si="2"/>
        <v>231.9216045</v>
      </c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>
        <f t="shared" si="8"/>
        <v>1</v>
      </c>
      <c r="AF3044" s="19">
        <f t="shared" si="13"/>
        <v>3</v>
      </c>
      <c r="AG3044" s="9"/>
      <c r="AH3044" s="9"/>
      <c r="AI3044" s="9"/>
    </row>
    <row r="3045" ht="15.0" customHeight="1">
      <c r="A3045" s="11">
        <v>3044.0</v>
      </c>
      <c r="B3045" s="12">
        <f t="shared" si="491"/>
        <v>40337</v>
      </c>
      <c r="C3045" s="13">
        <v>2010.0</v>
      </c>
      <c r="D3045" s="11" t="s">
        <v>44</v>
      </c>
      <c r="E3045" s="11">
        <v>9.0</v>
      </c>
      <c r="F3045" s="21" t="s">
        <v>530</v>
      </c>
      <c r="G3045" s="15">
        <v>0.030641256760236994</v>
      </c>
      <c r="H3045" s="11" t="s">
        <v>33</v>
      </c>
      <c r="I3045" s="16">
        <v>4.904</v>
      </c>
      <c r="J3045" s="11" t="s">
        <v>588</v>
      </c>
      <c r="K3045" s="11" t="s">
        <v>47</v>
      </c>
      <c r="L3045" s="11" t="s">
        <v>27</v>
      </c>
      <c r="M3045" s="11" t="s">
        <v>66</v>
      </c>
      <c r="N3045" s="11" t="s">
        <v>67</v>
      </c>
      <c r="O3045" s="11" t="s">
        <v>531</v>
      </c>
      <c r="P3045" s="11" t="s">
        <v>38</v>
      </c>
      <c r="Q3045" s="20">
        <v>40339.0</v>
      </c>
      <c r="R3045" s="17">
        <f t="shared" si="2"/>
        <v>23.06686065</v>
      </c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>
        <f t="shared" si="8"/>
        <v>1</v>
      </c>
      <c r="AF3045" s="19">
        <f t="shared" si="13"/>
        <v>3</v>
      </c>
      <c r="AG3045" s="9"/>
      <c r="AH3045" s="9"/>
      <c r="AI3045" s="9"/>
    </row>
    <row r="3046" ht="15.0" customHeight="1">
      <c r="A3046" s="11">
        <v>3045.0</v>
      </c>
      <c r="B3046" s="12">
        <f t="shared" si="491"/>
        <v>40337</v>
      </c>
      <c r="C3046" s="13">
        <v>2010.0</v>
      </c>
      <c r="D3046" s="11" t="s">
        <v>44</v>
      </c>
      <c r="E3046" s="11">
        <v>32.0</v>
      </c>
      <c r="F3046" s="21" t="s">
        <v>122</v>
      </c>
      <c r="G3046" s="15">
        <v>0.10739959839357432</v>
      </c>
      <c r="H3046" s="11" t="s">
        <v>45</v>
      </c>
      <c r="I3046" s="16">
        <v>42.42400000000001</v>
      </c>
      <c r="J3046" s="11" t="s">
        <v>588</v>
      </c>
      <c r="K3046" s="11" t="s">
        <v>47</v>
      </c>
      <c r="L3046" s="11" t="s">
        <v>27</v>
      </c>
      <c r="M3046" s="11" t="s">
        <v>28</v>
      </c>
      <c r="N3046" s="11" t="s">
        <v>29</v>
      </c>
      <c r="O3046" s="11" t="s">
        <v>725</v>
      </c>
      <c r="P3046" s="11" t="s">
        <v>52</v>
      </c>
      <c r="Q3046" s="20">
        <v>40339.0</v>
      </c>
      <c r="R3046" s="17">
        <f t="shared" si="2"/>
        <v>76.38517197</v>
      </c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>
        <f t="shared" si="8"/>
        <v>1</v>
      </c>
      <c r="AF3046" s="19">
        <f t="shared" si="13"/>
        <v>3</v>
      </c>
      <c r="AG3046" s="9"/>
      <c r="AH3046" s="9"/>
      <c r="AI3046" s="9"/>
    </row>
    <row r="3047" ht="15.0" customHeight="1">
      <c r="A3047" s="11">
        <v>3046.0</v>
      </c>
      <c r="B3047" s="12">
        <f t="shared" si="491"/>
        <v>40337</v>
      </c>
      <c r="C3047" s="13">
        <v>2010.0</v>
      </c>
      <c r="D3047" s="11" t="s">
        <v>102</v>
      </c>
      <c r="E3047" s="11">
        <v>24.0</v>
      </c>
      <c r="F3047" s="21" t="s">
        <v>377</v>
      </c>
      <c r="G3047" s="15">
        <v>0.0441492323601941</v>
      </c>
      <c r="H3047" s="11" t="s">
        <v>24</v>
      </c>
      <c r="I3047" s="16">
        <v>28.0</v>
      </c>
      <c r="J3047" s="11" t="s">
        <v>2081</v>
      </c>
      <c r="K3047" s="11" t="s">
        <v>117</v>
      </c>
      <c r="L3047" s="11" t="s">
        <v>36</v>
      </c>
      <c r="M3047" s="11" t="s">
        <v>28</v>
      </c>
      <c r="N3047" s="11" t="s">
        <v>29</v>
      </c>
      <c r="O3047" s="11" t="s">
        <v>1749</v>
      </c>
      <c r="P3047" s="11" t="s">
        <v>31</v>
      </c>
      <c r="Q3047" s="20">
        <v>40339.0</v>
      </c>
      <c r="R3047" s="17">
        <f t="shared" si="2"/>
        <v>53.0497176</v>
      </c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>
        <f t="shared" si="8"/>
        <v>2</v>
      </c>
      <c r="AF3047" s="19" t="b">
        <f t="shared" si="13"/>
        <v>0</v>
      </c>
      <c r="AG3047" s="9"/>
      <c r="AH3047" s="9"/>
      <c r="AI3047" s="9"/>
    </row>
    <row r="3048" ht="15.0" customHeight="1">
      <c r="A3048" s="11">
        <v>3047.0</v>
      </c>
      <c r="B3048" s="12">
        <f t="shared" si="491"/>
        <v>40337</v>
      </c>
      <c r="C3048" s="13">
        <v>2010.0</v>
      </c>
      <c r="D3048" s="11" t="s">
        <v>32</v>
      </c>
      <c r="E3048" s="11">
        <v>18.0</v>
      </c>
      <c r="F3048" s="21" t="s">
        <v>1743</v>
      </c>
      <c r="G3048" s="15">
        <v>0.05972602739726027</v>
      </c>
      <c r="H3048" s="11" t="s">
        <v>33</v>
      </c>
      <c r="I3048" s="16">
        <v>4.968</v>
      </c>
      <c r="J3048" s="11" t="s">
        <v>897</v>
      </c>
      <c r="K3048" s="11" t="s">
        <v>26</v>
      </c>
      <c r="L3048" s="11" t="s">
        <v>36</v>
      </c>
      <c r="M3048" s="11" t="s">
        <v>28</v>
      </c>
      <c r="N3048" s="11" t="s">
        <v>42</v>
      </c>
      <c r="O3048" s="11" t="s">
        <v>2277</v>
      </c>
      <c r="P3048" s="11" t="s">
        <v>38</v>
      </c>
      <c r="Q3048" s="20">
        <v>40339.0</v>
      </c>
      <c r="R3048" s="17">
        <f t="shared" si="2"/>
        <v>4.919513425</v>
      </c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>
        <f t="shared" si="8"/>
        <v>2</v>
      </c>
      <c r="AF3048" s="19">
        <f t="shared" si="13"/>
        <v>1</v>
      </c>
      <c r="AG3048" s="9"/>
      <c r="AH3048" s="9"/>
      <c r="AI3048" s="9"/>
    </row>
    <row r="3049" ht="15.0" customHeight="1">
      <c r="A3049" s="11">
        <v>3048.0</v>
      </c>
      <c r="B3049" s="12">
        <f t="shared" si="491"/>
        <v>40337</v>
      </c>
      <c r="C3049" s="13">
        <v>2010.0</v>
      </c>
      <c r="D3049" s="11" t="s">
        <v>32</v>
      </c>
      <c r="E3049" s="11">
        <v>17.0</v>
      </c>
      <c r="F3049" s="21" t="s">
        <v>115</v>
      </c>
      <c r="G3049" s="15">
        <v>0.0490751498386353</v>
      </c>
      <c r="H3049" s="11" t="s">
        <v>33</v>
      </c>
      <c r="I3049" s="16">
        <v>7.256</v>
      </c>
      <c r="J3049" s="11" t="s">
        <v>897</v>
      </c>
      <c r="K3049" s="11" t="s">
        <v>26</v>
      </c>
      <c r="L3049" s="11" t="s">
        <v>36</v>
      </c>
      <c r="M3049" s="11" t="s">
        <v>28</v>
      </c>
      <c r="N3049" s="11" t="s">
        <v>42</v>
      </c>
      <c r="O3049" s="11" t="s">
        <v>772</v>
      </c>
      <c r="P3049" s="11" t="s">
        <v>38</v>
      </c>
      <c r="Q3049" s="20">
        <v>40340.0</v>
      </c>
      <c r="R3049" s="17">
        <f t="shared" si="2"/>
        <v>101.2202448</v>
      </c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>
        <f t="shared" si="8"/>
        <v>2</v>
      </c>
      <c r="AF3049" s="19">
        <f t="shared" si="13"/>
        <v>1</v>
      </c>
      <c r="AG3049" s="9"/>
      <c r="AH3049" s="9"/>
      <c r="AI3049" s="9"/>
    </row>
    <row r="3050" ht="15.0" customHeight="1">
      <c r="A3050" s="11">
        <v>3049.0</v>
      </c>
      <c r="B3050" s="12">
        <f t="shared" si="491"/>
        <v>40337</v>
      </c>
      <c r="C3050" s="13">
        <v>2010.0</v>
      </c>
      <c r="D3050" s="11" t="s">
        <v>32</v>
      </c>
      <c r="E3050" s="11">
        <v>24.0</v>
      </c>
      <c r="F3050" s="21" t="s">
        <v>1195</v>
      </c>
      <c r="G3050" s="15">
        <v>0.0564391691394659</v>
      </c>
      <c r="H3050" s="11" t="s">
        <v>33</v>
      </c>
      <c r="I3050" s="16">
        <v>2.3920000000000003</v>
      </c>
      <c r="J3050" s="11" t="s">
        <v>897</v>
      </c>
      <c r="K3050" s="11" t="s">
        <v>26</v>
      </c>
      <c r="L3050" s="11" t="s">
        <v>36</v>
      </c>
      <c r="M3050" s="11" t="s">
        <v>28</v>
      </c>
      <c r="N3050" s="11" t="s">
        <v>42</v>
      </c>
      <c r="O3050" s="11" t="s">
        <v>2199</v>
      </c>
      <c r="P3050" s="11" t="s">
        <v>38</v>
      </c>
      <c r="Q3050" s="20">
        <v>40340.0</v>
      </c>
      <c r="R3050" s="17">
        <f t="shared" si="2"/>
        <v>7.178610801</v>
      </c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>
        <f t="shared" si="8"/>
        <v>2</v>
      </c>
      <c r="AF3050" s="19">
        <f t="shared" si="13"/>
        <v>1</v>
      </c>
      <c r="AG3050" s="9"/>
      <c r="AH3050" s="9"/>
      <c r="AI3050" s="9"/>
    </row>
    <row r="3051" ht="15.0" customHeight="1">
      <c r="A3051" s="11">
        <v>3050.0</v>
      </c>
      <c r="B3051" s="12">
        <f t="shared" ref="B3051:B3059" si="492">DATE(2012,12,31)-936</f>
        <v>40338</v>
      </c>
      <c r="C3051" s="13">
        <v>2010.0</v>
      </c>
      <c r="D3051" s="11" t="s">
        <v>102</v>
      </c>
      <c r="E3051" s="11">
        <v>10.0</v>
      </c>
      <c r="F3051" s="21" t="s">
        <v>319</v>
      </c>
      <c r="G3051" s="15">
        <v>0.04026666666666661</v>
      </c>
      <c r="H3051" s="11" t="s">
        <v>33</v>
      </c>
      <c r="I3051" s="16">
        <v>0.792</v>
      </c>
      <c r="J3051" s="11" t="s">
        <v>1979</v>
      </c>
      <c r="K3051" s="11" t="s">
        <v>61</v>
      </c>
      <c r="L3051" s="11" t="s">
        <v>48</v>
      </c>
      <c r="M3051" s="11" t="s">
        <v>28</v>
      </c>
      <c r="N3051" s="11" t="s">
        <v>188</v>
      </c>
      <c r="O3051" s="11" t="s">
        <v>2320</v>
      </c>
      <c r="P3051" s="11" t="s">
        <v>38</v>
      </c>
      <c r="Q3051" s="20">
        <v>40340.0</v>
      </c>
      <c r="R3051" s="17">
        <f t="shared" si="2"/>
        <v>1.159357867</v>
      </c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>
        <f t="shared" si="8"/>
        <v>4</v>
      </c>
      <c r="AF3051" s="19">
        <f t="shared" si="13"/>
        <v>4</v>
      </c>
      <c r="AG3051" s="9"/>
      <c r="AH3051" s="9"/>
      <c r="AI3051" s="9"/>
    </row>
    <row r="3052" ht="15.0" customHeight="1">
      <c r="A3052" s="11">
        <v>3051.0</v>
      </c>
      <c r="B3052" s="12">
        <f t="shared" si="492"/>
        <v>40338</v>
      </c>
      <c r="C3052" s="13">
        <v>2010.0</v>
      </c>
      <c r="D3052" s="11" t="s">
        <v>102</v>
      </c>
      <c r="E3052" s="11">
        <v>17.0</v>
      </c>
      <c r="F3052" s="21" t="s">
        <v>605</v>
      </c>
      <c r="G3052" s="15">
        <v>0.005857260049220661</v>
      </c>
      <c r="H3052" s="11" t="s">
        <v>24</v>
      </c>
      <c r="I3052" s="16">
        <v>6.072</v>
      </c>
      <c r="J3052" s="11" t="s">
        <v>1357</v>
      </c>
      <c r="K3052" s="11" t="s">
        <v>35</v>
      </c>
      <c r="L3052" s="11" t="s">
        <v>27</v>
      </c>
      <c r="M3052" s="11" t="s">
        <v>28</v>
      </c>
      <c r="N3052" s="11" t="s">
        <v>442</v>
      </c>
      <c r="O3052" s="11" t="s">
        <v>1289</v>
      </c>
      <c r="P3052" s="11" t="s">
        <v>99</v>
      </c>
      <c r="Q3052" s="20">
        <v>40340.0</v>
      </c>
      <c r="R3052" s="17">
        <f t="shared" si="2"/>
        <v>1.419635833</v>
      </c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>
        <f t="shared" si="8"/>
        <v>1</v>
      </c>
      <c r="AF3052" s="19">
        <f t="shared" si="13"/>
        <v>2</v>
      </c>
      <c r="AG3052" s="9"/>
      <c r="AH3052" s="9"/>
      <c r="AI3052" s="9"/>
    </row>
    <row r="3053" ht="15.0" customHeight="1">
      <c r="A3053" s="11">
        <v>3052.0</v>
      </c>
      <c r="B3053" s="12">
        <f t="shared" si="492"/>
        <v>40338</v>
      </c>
      <c r="C3053" s="13">
        <v>2010.0</v>
      </c>
      <c r="D3053" s="11" t="s">
        <v>102</v>
      </c>
      <c r="E3053" s="11">
        <v>31.0</v>
      </c>
      <c r="F3053" s="21" t="s">
        <v>1166</v>
      </c>
      <c r="G3053" s="15">
        <v>0.02636652181322412</v>
      </c>
      <c r="H3053" s="11" t="s">
        <v>33</v>
      </c>
      <c r="I3053" s="16">
        <v>0.5599999999999999</v>
      </c>
      <c r="J3053" s="11" t="s">
        <v>1499</v>
      </c>
      <c r="K3053" s="11" t="s">
        <v>117</v>
      </c>
      <c r="L3053" s="11" t="s">
        <v>27</v>
      </c>
      <c r="M3053" s="11" t="s">
        <v>28</v>
      </c>
      <c r="N3053" s="11" t="s">
        <v>216</v>
      </c>
      <c r="O3053" s="11" t="s">
        <v>2353</v>
      </c>
      <c r="P3053" s="11" t="s">
        <v>58</v>
      </c>
      <c r="Q3053" s="20">
        <v>40340.0</v>
      </c>
      <c r="R3053" s="17">
        <f t="shared" si="2"/>
        <v>3.85636748</v>
      </c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>
        <f t="shared" si="8"/>
        <v>1</v>
      </c>
      <c r="AF3053" s="19" t="b">
        <f t="shared" si="13"/>
        <v>0</v>
      </c>
      <c r="AG3053" s="9"/>
      <c r="AH3053" s="9"/>
      <c r="AI3053" s="9"/>
    </row>
    <row r="3054" ht="15.0" customHeight="1">
      <c r="A3054" s="11">
        <v>3053.0</v>
      </c>
      <c r="B3054" s="12">
        <f t="shared" si="492"/>
        <v>40338</v>
      </c>
      <c r="C3054" s="13">
        <v>2010.0</v>
      </c>
      <c r="D3054" s="11" t="s">
        <v>44</v>
      </c>
      <c r="E3054" s="11">
        <v>45.0</v>
      </c>
      <c r="F3054" s="21" t="s">
        <v>1242</v>
      </c>
      <c r="G3054" s="15">
        <v>0.021273790163069795</v>
      </c>
      <c r="H3054" s="11" t="s">
        <v>33</v>
      </c>
      <c r="I3054" s="16">
        <v>8.200000000000001</v>
      </c>
      <c r="J3054" s="11" t="s">
        <v>1629</v>
      </c>
      <c r="K3054" s="11" t="s">
        <v>65</v>
      </c>
      <c r="L3054" s="11" t="s">
        <v>41</v>
      </c>
      <c r="M3054" s="11" t="s">
        <v>49</v>
      </c>
      <c r="N3054" s="11" t="s">
        <v>73</v>
      </c>
      <c r="O3054" s="11" t="s">
        <v>1243</v>
      </c>
      <c r="P3054" s="11" t="s">
        <v>31</v>
      </c>
      <c r="Q3054" s="20">
        <v>40340.0</v>
      </c>
      <c r="R3054" s="17">
        <f t="shared" si="2"/>
        <v>47.37034856</v>
      </c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>
        <f t="shared" si="8"/>
        <v>3</v>
      </c>
      <c r="AF3054" s="19">
        <f t="shared" si="13"/>
        <v>5</v>
      </c>
      <c r="AG3054" s="9"/>
      <c r="AH3054" s="9"/>
      <c r="AI3054" s="9"/>
    </row>
    <row r="3055" ht="15.0" customHeight="1">
      <c r="A3055" s="11">
        <v>3054.0</v>
      </c>
      <c r="B3055" s="12">
        <f t="shared" si="492"/>
        <v>40338</v>
      </c>
      <c r="C3055" s="13">
        <v>2010.0</v>
      </c>
      <c r="D3055" s="11" t="s">
        <v>44</v>
      </c>
      <c r="E3055" s="11">
        <v>41.0</v>
      </c>
      <c r="F3055" s="21" t="s">
        <v>151</v>
      </c>
      <c r="G3055" s="15">
        <v>0.07290502793296069</v>
      </c>
      <c r="H3055" s="11" t="s">
        <v>33</v>
      </c>
      <c r="I3055" s="16">
        <v>1.56</v>
      </c>
      <c r="J3055" s="11" t="s">
        <v>1629</v>
      </c>
      <c r="K3055" s="11" t="s">
        <v>65</v>
      </c>
      <c r="L3055" s="11" t="s">
        <v>41</v>
      </c>
      <c r="M3055" s="11" t="s">
        <v>28</v>
      </c>
      <c r="N3055" s="11" t="s">
        <v>62</v>
      </c>
      <c r="O3055" s="11" t="s">
        <v>2354</v>
      </c>
      <c r="P3055" s="11" t="s">
        <v>58</v>
      </c>
      <c r="Q3055" s="20">
        <v>40341.0</v>
      </c>
      <c r="R3055" s="17">
        <f t="shared" si="2"/>
        <v>9.678871508</v>
      </c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>
        <f t="shared" si="8"/>
        <v>3</v>
      </c>
      <c r="AF3055" s="19">
        <f t="shared" si="13"/>
        <v>5</v>
      </c>
      <c r="AG3055" s="9"/>
      <c r="AH3055" s="9"/>
      <c r="AI3055" s="9"/>
    </row>
    <row r="3056" ht="15.0" customHeight="1">
      <c r="A3056" s="11">
        <v>3055.0</v>
      </c>
      <c r="B3056" s="12">
        <f t="shared" si="492"/>
        <v>40338</v>
      </c>
      <c r="C3056" s="13">
        <v>2010.0</v>
      </c>
      <c r="D3056" s="11" t="s">
        <v>44</v>
      </c>
      <c r="E3056" s="11">
        <v>8.0</v>
      </c>
      <c r="F3056" s="21" t="s">
        <v>119</v>
      </c>
      <c r="G3056" s="15">
        <v>0.06857142857142863</v>
      </c>
      <c r="H3056" s="11" t="s">
        <v>33</v>
      </c>
      <c r="I3056" s="16">
        <v>1.2480000000000002</v>
      </c>
      <c r="J3056" s="11" t="s">
        <v>1629</v>
      </c>
      <c r="K3056" s="11" t="s">
        <v>65</v>
      </c>
      <c r="L3056" s="11" t="s">
        <v>41</v>
      </c>
      <c r="M3056" s="11" t="s">
        <v>28</v>
      </c>
      <c r="N3056" s="11" t="s">
        <v>216</v>
      </c>
      <c r="O3056" s="11" t="s">
        <v>2355</v>
      </c>
      <c r="P3056" s="11" t="s">
        <v>58</v>
      </c>
      <c r="Q3056" s="20">
        <v>40341.0</v>
      </c>
      <c r="R3056" s="17">
        <f t="shared" si="2"/>
        <v>1.073005714</v>
      </c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>
        <f t="shared" si="8"/>
        <v>3</v>
      </c>
      <c r="AF3056" s="19">
        <f t="shared" si="13"/>
        <v>5</v>
      </c>
      <c r="AG3056" s="9"/>
      <c r="AH3056" s="9"/>
      <c r="AI3056" s="9"/>
    </row>
    <row r="3057" ht="15.0" customHeight="1">
      <c r="A3057" s="11">
        <v>3056.0</v>
      </c>
      <c r="B3057" s="12">
        <f t="shared" si="492"/>
        <v>40338</v>
      </c>
      <c r="C3057" s="13">
        <v>2010.0</v>
      </c>
      <c r="D3057" s="11" t="s">
        <v>44</v>
      </c>
      <c r="E3057" s="11">
        <v>26.0</v>
      </c>
      <c r="F3057" s="21" t="s">
        <v>319</v>
      </c>
      <c r="G3057" s="15">
        <v>0.05670103092783495</v>
      </c>
      <c r="H3057" s="11" t="s">
        <v>33</v>
      </c>
      <c r="I3057" s="16">
        <v>0.4</v>
      </c>
      <c r="J3057" s="11" t="s">
        <v>648</v>
      </c>
      <c r="K3057" s="11" t="s">
        <v>35</v>
      </c>
      <c r="L3057" s="11" t="s">
        <v>48</v>
      </c>
      <c r="M3057" s="11" t="s">
        <v>28</v>
      </c>
      <c r="N3057" s="11" t="s">
        <v>188</v>
      </c>
      <c r="O3057" s="11" t="s">
        <v>2198</v>
      </c>
      <c r="P3057" s="11" t="s">
        <v>38</v>
      </c>
      <c r="Q3057" s="20">
        <v>40341.0</v>
      </c>
      <c r="R3057" s="17">
        <f t="shared" si="2"/>
        <v>4.150515464</v>
      </c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>
        <f t="shared" si="8"/>
        <v>4</v>
      </c>
      <c r="AF3057" s="19">
        <f t="shared" si="13"/>
        <v>2</v>
      </c>
      <c r="AG3057" s="9"/>
      <c r="AH3057" s="9"/>
      <c r="AI3057" s="9"/>
    </row>
    <row r="3058" ht="15.0" customHeight="1">
      <c r="A3058" s="11">
        <v>3057.0</v>
      </c>
      <c r="B3058" s="12">
        <f t="shared" si="492"/>
        <v>40338</v>
      </c>
      <c r="C3058" s="13">
        <v>2010.0</v>
      </c>
      <c r="D3058" s="11" t="s">
        <v>44</v>
      </c>
      <c r="E3058" s="11">
        <v>10.0</v>
      </c>
      <c r="F3058" s="21" t="s">
        <v>126</v>
      </c>
      <c r="G3058" s="15">
        <v>0.12184210526315781</v>
      </c>
      <c r="H3058" s="11" t="s">
        <v>33</v>
      </c>
      <c r="I3058" s="16">
        <v>4.392</v>
      </c>
      <c r="J3058" s="11" t="s">
        <v>648</v>
      </c>
      <c r="K3058" s="11" t="s">
        <v>35</v>
      </c>
      <c r="L3058" s="11" t="s">
        <v>48</v>
      </c>
      <c r="M3058" s="11" t="s">
        <v>28</v>
      </c>
      <c r="N3058" s="11" t="s">
        <v>56</v>
      </c>
      <c r="O3058" s="11" t="s">
        <v>1297</v>
      </c>
      <c r="P3058" s="11" t="s">
        <v>38</v>
      </c>
      <c r="Q3058" s="20">
        <v>40341.0</v>
      </c>
      <c r="R3058" s="17">
        <f t="shared" si="2"/>
        <v>6.505393684</v>
      </c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>
        <f t="shared" si="8"/>
        <v>4</v>
      </c>
      <c r="AF3058" s="19">
        <f t="shared" si="13"/>
        <v>2</v>
      </c>
      <c r="AG3058" s="9"/>
      <c r="AH3058" s="9"/>
      <c r="AI3058" s="9"/>
    </row>
    <row r="3059" ht="15.0" customHeight="1">
      <c r="A3059" s="11">
        <v>3058.0</v>
      </c>
      <c r="B3059" s="12">
        <f t="shared" si="492"/>
        <v>40338</v>
      </c>
      <c r="C3059" s="13">
        <v>2010.0</v>
      </c>
      <c r="D3059" s="11" t="s">
        <v>39</v>
      </c>
      <c r="E3059" s="11">
        <v>43.0</v>
      </c>
      <c r="F3059" s="21" t="s">
        <v>1523</v>
      </c>
      <c r="G3059" s="15">
        <v>0.02654433695319656</v>
      </c>
      <c r="H3059" s="11" t="s">
        <v>33</v>
      </c>
      <c r="I3059" s="16">
        <v>6.720000000000001</v>
      </c>
      <c r="J3059" s="11" t="s">
        <v>604</v>
      </c>
      <c r="K3059" s="11" t="s">
        <v>83</v>
      </c>
      <c r="L3059" s="11" t="s">
        <v>27</v>
      </c>
      <c r="M3059" s="11" t="s">
        <v>28</v>
      </c>
      <c r="N3059" s="11" t="s">
        <v>42</v>
      </c>
      <c r="O3059" s="11" t="s">
        <v>1525</v>
      </c>
      <c r="P3059" s="11" t="s">
        <v>38</v>
      </c>
      <c r="Q3059" s="20">
        <v>40342.0</v>
      </c>
      <c r="R3059" s="17">
        <f t="shared" si="2"/>
        <v>17.29947528</v>
      </c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>
        <f t="shared" si="8"/>
        <v>1</v>
      </c>
      <c r="AF3059" s="19" t="b">
        <f t="shared" si="13"/>
        <v>0</v>
      </c>
      <c r="AG3059" s="9"/>
      <c r="AH3059" s="9"/>
      <c r="AI3059" s="9"/>
    </row>
    <row r="3060" ht="15.0" customHeight="1">
      <c r="A3060" s="11">
        <v>3059.0</v>
      </c>
      <c r="B3060" s="12">
        <f t="shared" ref="B3060:B3066" si="493">DATE(2012,12,31)-935</f>
        <v>40339</v>
      </c>
      <c r="C3060" s="13">
        <v>2010.0</v>
      </c>
      <c r="D3060" s="11" t="s">
        <v>102</v>
      </c>
      <c r="E3060" s="11">
        <v>27.0</v>
      </c>
      <c r="F3060" s="21" t="s">
        <v>668</v>
      </c>
      <c r="G3060" s="15">
        <v>0.043889133304003514</v>
      </c>
      <c r="H3060" s="11" t="s">
        <v>33</v>
      </c>
      <c r="I3060" s="16">
        <v>4.024</v>
      </c>
      <c r="J3060" s="11" t="s">
        <v>932</v>
      </c>
      <c r="K3060" s="11" t="s">
        <v>83</v>
      </c>
      <c r="L3060" s="11" t="s">
        <v>41</v>
      </c>
      <c r="M3060" s="11" t="s">
        <v>66</v>
      </c>
      <c r="N3060" s="11" t="s">
        <v>80</v>
      </c>
      <c r="O3060" s="11" t="s">
        <v>1603</v>
      </c>
      <c r="P3060" s="11" t="s">
        <v>75</v>
      </c>
      <c r="Q3060" s="20">
        <v>40342.0</v>
      </c>
      <c r="R3060" s="17">
        <f t="shared" si="2"/>
        <v>9.538162006</v>
      </c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>
        <f t="shared" si="8"/>
        <v>3</v>
      </c>
      <c r="AF3060" s="19" t="b">
        <f t="shared" si="13"/>
        <v>0</v>
      </c>
      <c r="AG3060" s="9"/>
      <c r="AH3060" s="9"/>
      <c r="AI3060" s="9"/>
    </row>
    <row r="3061" ht="15.0" customHeight="1">
      <c r="A3061" s="11">
        <v>3060.0</v>
      </c>
      <c r="B3061" s="12">
        <f t="shared" si="493"/>
        <v>40339</v>
      </c>
      <c r="C3061" s="13">
        <v>2010.0</v>
      </c>
      <c r="D3061" s="11" t="s">
        <v>102</v>
      </c>
      <c r="E3061" s="11">
        <v>30.0</v>
      </c>
      <c r="F3061" s="21" t="s">
        <v>766</v>
      </c>
      <c r="G3061" s="15">
        <v>0.050799129873544874</v>
      </c>
      <c r="H3061" s="11" t="s">
        <v>45</v>
      </c>
      <c r="I3061" s="16">
        <v>43.792</v>
      </c>
      <c r="J3061" s="11" t="s">
        <v>932</v>
      </c>
      <c r="K3061" s="11" t="s">
        <v>83</v>
      </c>
      <c r="L3061" s="11" t="s">
        <v>41</v>
      </c>
      <c r="M3061" s="11" t="s">
        <v>49</v>
      </c>
      <c r="N3061" s="11" t="s">
        <v>156</v>
      </c>
      <c r="O3061" s="11" t="s">
        <v>767</v>
      </c>
      <c r="P3061" s="11" t="s">
        <v>87</v>
      </c>
      <c r="Q3061" s="20">
        <v>40342.0</v>
      </c>
      <c r="R3061" s="17">
        <f t="shared" si="2"/>
        <v>201.7127785</v>
      </c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>
        <f t="shared" si="8"/>
        <v>3</v>
      </c>
      <c r="AF3061" s="19" t="b">
        <f t="shared" si="13"/>
        <v>0</v>
      </c>
      <c r="AG3061" s="9"/>
      <c r="AH3061" s="9"/>
      <c r="AI3061" s="9"/>
    </row>
    <row r="3062" ht="15.0" customHeight="1">
      <c r="A3062" s="11">
        <v>3061.0</v>
      </c>
      <c r="B3062" s="12">
        <f t="shared" si="493"/>
        <v>40339</v>
      </c>
      <c r="C3062" s="13">
        <v>2010.0</v>
      </c>
      <c r="D3062" s="11" t="s">
        <v>23</v>
      </c>
      <c r="E3062" s="11">
        <v>14.0</v>
      </c>
      <c r="F3062" s="21" t="s">
        <v>122</v>
      </c>
      <c r="G3062" s="15">
        <v>0.00937520661157029</v>
      </c>
      <c r="H3062" s="11" t="s">
        <v>33</v>
      </c>
      <c r="I3062" s="16">
        <v>7.064</v>
      </c>
      <c r="J3062" s="11" t="s">
        <v>1264</v>
      </c>
      <c r="K3062" s="11" t="s">
        <v>35</v>
      </c>
      <c r="L3062" s="11" t="s">
        <v>36</v>
      </c>
      <c r="M3062" s="11" t="s">
        <v>28</v>
      </c>
      <c r="N3062" s="11" t="s">
        <v>42</v>
      </c>
      <c r="O3062" s="11" t="s">
        <v>175</v>
      </c>
      <c r="P3062" s="11" t="s">
        <v>38</v>
      </c>
      <c r="Q3062" s="20">
        <v>40342.0</v>
      </c>
      <c r="R3062" s="17">
        <f t="shared" si="2"/>
        <v>2.809411914</v>
      </c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>
        <f t="shared" si="8"/>
        <v>2</v>
      </c>
      <c r="AF3062" s="19">
        <f t="shared" si="13"/>
        <v>2</v>
      </c>
      <c r="AG3062" s="9"/>
      <c r="AH3062" s="9"/>
      <c r="AI3062" s="9"/>
    </row>
    <row r="3063" ht="15.0" customHeight="1">
      <c r="A3063" s="11">
        <v>3062.0</v>
      </c>
      <c r="B3063" s="12">
        <f t="shared" si="493"/>
        <v>40339</v>
      </c>
      <c r="C3063" s="13">
        <v>2010.0</v>
      </c>
      <c r="D3063" s="11" t="s">
        <v>23</v>
      </c>
      <c r="E3063" s="11">
        <v>11.0</v>
      </c>
      <c r="F3063" s="21" t="s">
        <v>676</v>
      </c>
      <c r="G3063" s="15">
        <v>0.04607902735562316</v>
      </c>
      <c r="H3063" s="11" t="s">
        <v>33</v>
      </c>
      <c r="I3063" s="16">
        <v>1.168</v>
      </c>
      <c r="J3063" s="11" t="s">
        <v>1264</v>
      </c>
      <c r="K3063" s="11" t="s">
        <v>35</v>
      </c>
      <c r="L3063" s="11" t="s">
        <v>36</v>
      </c>
      <c r="M3063" s="11" t="s">
        <v>28</v>
      </c>
      <c r="N3063" s="11" t="s">
        <v>56</v>
      </c>
      <c r="O3063" s="11" t="s">
        <v>1787</v>
      </c>
      <c r="P3063" s="11" t="s">
        <v>58</v>
      </c>
      <c r="Q3063" s="20">
        <v>40343.0</v>
      </c>
      <c r="R3063" s="17">
        <f t="shared" si="2"/>
        <v>2.892288389</v>
      </c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>
        <f t="shared" si="8"/>
        <v>2</v>
      </c>
      <c r="AF3063" s="19">
        <f t="shared" si="13"/>
        <v>2</v>
      </c>
      <c r="AG3063" s="9"/>
      <c r="AH3063" s="9"/>
      <c r="AI3063" s="9"/>
    </row>
    <row r="3064" ht="15.0" customHeight="1">
      <c r="A3064" s="11">
        <v>3063.0</v>
      </c>
      <c r="B3064" s="12">
        <f t="shared" si="493"/>
        <v>40339</v>
      </c>
      <c r="C3064" s="13">
        <v>2010.0</v>
      </c>
      <c r="D3064" s="11" t="s">
        <v>23</v>
      </c>
      <c r="E3064" s="11">
        <v>19.0</v>
      </c>
      <c r="F3064" s="21" t="s">
        <v>668</v>
      </c>
      <c r="G3064" s="15">
        <v>0.013068545803971763</v>
      </c>
      <c r="H3064" s="11" t="s">
        <v>33</v>
      </c>
      <c r="I3064" s="16">
        <v>3.9600000000000004</v>
      </c>
      <c r="J3064" s="11" t="s">
        <v>1264</v>
      </c>
      <c r="K3064" s="11" t="s">
        <v>35</v>
      </c>
      <c r="L3064" s="11" t="s">
        <v>36</v>
      </c>
      <c r="M3064" s="11" t="s">
        <v>49</v>
      </c>
      <c r="N3064" s="11" t="s">
        <v>73</v>
      </c>
      <c r="O3064" s="11" t="s">
        <v>1481</v>
      </c>
      <c r="P3064" s="11" t="s">
        <v>38</v>
      </c>
      <c r="Q3064" s="20">
        <v>40343.0</v>
      </c>
      <c r="R3064" s="17">
        <f t="shared" si="2"/>
        <v>2.013340167</v>
      </c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>
        <f t="shared" si="8"/>
        <v>2</v>
      </c>
      <c r="AF3064" s="19">
        <f t="shared" si="13"/>
        <v>2</v>
      </c>
      <c r="AG3064" s="9"/>
      <c r="AH3064" s="9"/>
      <c r="AI3064" s="9"/>
    </row>
    <row r="3065" ht="15.0" customHeight="1">
      <c r="A3065" s="11">
        <v>3064.0</v>
      </c>
      <c r="B3065" s="12">
        <f t="shared" si="493"/>
        <v>40339</v>
      </c>
      <c r="C3065" s="13">
        <v>2010.0</v>
      </c>
      <c r="D3065" s="11" t="s">
        <v>32</v>
      </c>
      <c r="E3065" s="11">
        <v>46.0</v>
      </c>
      <c r="F3065" s="21" t="s">
        <v>178</v>
      </c>
      <c r="G3065" s="15">
        <v>0.03991137838265545</v>
      </c>
      <c r="H3065" s="11" t="s">
        <v>33</v>
      </c>
      <c r="I3065" s="16">
        <v>2.0</v>
      </c>
      <c r="J3065" s="11" t="s">
        <v>1507</v>
      </c>
      <c r="K3065" s="11" t="s">
        <v>61</v>
      </c>
      <c r="L3065" s="11" t="s">
        <v>36</v>
      </c>
      <c r="M3065" s="11" t="s">
        <v>66</v>
      </c>
      <c r="N3065" s="11" t="s">
        <v>80</v>
      </c>
      <c r="O3065" s="11" t="s">
        <v>2356</v>
      </c>
      <c r="P3065" s="11" t="s">
        <v>38</v>
      </c>
      <c r="Q3065" s="20">
        <v>40343.0</v>
      </c>
      <c r="R3065" s="17">
        <f t="shared" si="2"/>
        <v>121.0671752</v>
      </c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>
        <f t="shared" si="8"/>
        <v>2</v>
      </c>
      <c r="AF3065" s="19">
        <f t="shared" si="13"/>
        <v>4</v>
      </c>
      <c r="AG3065" s="9"/>
      <c r="AH3065" s="9"/>
      <c r="AI3065" s="9"/>
    </row>
    <row r="3066" ht="15.0" customHeight="1">
      <c r="A3066" s="11">
        <v>3065.0</v>
      </c>
      <c r="B3066" s="12">
        <f t="shared" si="493"/>
        <v>40339</v>
      </c>
      <c r="C3066" s="13">
        <v>2010.0</v>
      </c>
      <c r="D3066" s="11" t="s">
        <v>32</v>
      </c>
      <c r="E3066" s="11">
        <v>33.0</v>
      </c>
      <c r="F3066" s="21" t="s">
        <v>1195</v>
      </c>
      <c r="G3066" s="15">
        <v>0.10947900859888723</v>
      </c>
      <c r="H3066" s="11" t="s">
        <v>33</v>
      </c>
      <c r="I3066" s="16">
        <v>4.456</v>
      </c>
      <c r="J3066" s="11" t="s">
        <v>1507</v>
      </c>
      <c r="K3066" s="11" t="s">
        <v>61</v>
      </c>
      <c r="L3066" s="11" t="s">
        <v>36</v>
      </c>
      <c r="M3066" s="11" t="s">
        <v>28</v>
      </c>
      <c r="N3066" s="11" t="s">
        <v>56</v>
      </c>
      <c r="O3066" s="11" t="s">
        <v>2176</v>
      </c>
      <c r="P3066" s="11" t="s">
        <v>38</v>
      </c>
      <c r="Q3066" s="20">
        <v>40344.0</v>
      </c>
      <c r="R3066" s="17">
        <f t="shared" si="2"/>
        <v>19.27443634</v>
      </c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>
        <f t="shared" si="8"/>
        <v>2</v>
      </c>
      <c r="AF3066" s="19">
        <f t="shared" si="13"/>
        <v>4</v>
      </c>
      <c r="AG3066" s="9"/>
      <c r="AH3066" s="9"/>
      <c r="AI3066" s="9"/>
    </row>
    <row r="3067" ht="15.0" customHeight="1">
      <c r="A3067" s="11">
        <v>3066.0</v>
      </c>
      <c r="B3067" s="12">
        <f>DATE(2012,12,31)-934</f>
        <v>40340</v>
      </c>
      <c r="C3067" s="13">
        <v>2010.0</v>
      </c>
      <c r="D3067" s="11" t="s">
        <v>44</v>
      </c>
      <c r="E3067" s="11">
        <v>47.0</v>
      </c>
      <c r="F3067" s="21" t="s">
        <v>1307</v>
      </c>
      <c r="G3067" s="15">
        <v>0.07787511097957965</v>
      </c>
      <c r="H3067" s="11" t="s">
        <v>33</v>
      </c>
      <c r="I3067" s="16">
        <v>5.5440000000000005</v>
      </c>
      <c r="J3067" s="11" t="s">
        <v>1961</v>
      </c>
      <c r="K3067" s="11" t="s">
        <v>65</v>
      </c>
      <c r="L3067" s="11" t="s">
        <v>27</v>
      </c>
      <c r="M3067" s="11" t="s">
        <v>49</v>
      </c>
      <c r="N3067" s="11" t="s">
        <v>73</v>
      </c>
      <c r="O3067" s="11" t="s">
        <v>1309</v>
      </c>
      <c r="P3067" s="11" t="s">
        <v>38</v>
      </c>
      <c r="Q3067" s="20">
        <v>40344.0</v>
      </c>
      <c r="R3067" s="17">
        <f t="shared" si="2"/>
        <v>97.05917732</v>
      </c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>
        <f t="shared" si="8"/>
        <v>1</v>
      </c>
      <c r="AF3067" s="19">
        <f t="shared" si="13"/>
        <v>5</v>
      </c>
      <c r="AG3067" s="9"/>
      <c r="AH3067" s="9"/>
      <c r="AI3067" s="9"/>
    </row>
    <row r="3068" ht="15.0" customHeight="1">
      <c r="A3068" s="11">
        <v>3067.0</v>
      </c>
      <c r="B3068" s="12">
        <f t="shared" ref="B3068:B3072" si="494">DATE(2012,12,31)-932</f>
        <v>40342</v>
      </c>
      <c r="C3068" s="13">
        <v>2010.0</v>
      </c>
      <c r="D3068" s="11" t="s">
        <v>44</v>
      </c>
      <c r="E3068" s="11">
        <v>20.0</v>
      </c>
      <c r="F3068" s="21" t="s">
        <v>284</v>
      </c>
      <c r="G3068" s="15">
        <v>0.08053571428571422</v>
      </c>
      <c r="H3068" s="11" t="s">
        <v>33</v>
      </c>
      <c r="I3068" s="16">
        <v>1.192</v>
      </c>
      <c r="J3068" s="11" t="s">
        <v>465</v>
      </c>
      <c r="K3068" s="11" t="s">
        <v>61</v>
      </c>
      <c r="L3068" s="11" t="s">
        <v>41</v>
      </c>
      <c r="M3068" s="11" t="s">
        <v>28</v>
      </c>
      <c r="N3068" s="11" t="s">
        <v>42</v>
      </c>
      <c r="O3068" s="11" t="s">
        <v>1344</v>
      </c>
      <c r="P3068" s="11" t="s">
        <v>38</v>
      </c>
      <c r="Q3068" s="20">
        <v>40344.0</v>
      </c>
      <c r="R3068" s="17">
        <f t="shared" si="2"/>
        <v>3.317427143</v>
      </c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>
        <f t="shared" si="8"/>
        <v>3</v>
      </c>
      <c r="AF3068" s="19">
        <f t="shared" si="13"/>
        <v>4</v>
      </c>
      <c r="AG3068" s="9"/>
      <c r="AH3068" s="9"/>
      <c r="AI3068" s="9"/>
    </row>
    <row r="3069" ht="15.0" customHeight="1">
      <c r="A3069" s="11">
        <v>3068.0</v>
      </c>
      <c r="B3069" s="12">
        <f t="shared" si="494"/>
        <v>40342</v>
      </c>
      <c r="C3069" s="13">
        <v>2010.0</v>
      </c>
      <c r="D3069" s="11" t="s">
        <v>44</v>
      </c>
      <c r="E3069" s="11">
        <v>4.0</v>
      </c>
      <c r="F3069" s="21" t="s">
        <v>513</v>
      </c>
      <c r="G3069" s="15">
        <v>0.06537869242615138</v>
      </c>
      <c r="H3069" s="11" t="s">
        <v>45</v>
      </c>
      <c r="I3069" s="16">
        <v>24.0</v>
      </c>
      <c r="J3069" s="11" t="s">
        <v>465</v>
      </c>
      <c r="K3069" s="11" t="s">
        <v>61</v>
      </c>
      <c r="L3069" s="11" t="s">
        <v>41</v>
      </c>
      <c r="M3069" s="11" t="s">
        <v>49</v>
      </c>
      <c r="N3069" s="11" t="s">
        <v>50</v>
      </c>
      <c r="O3069" s="11" t="s">
        <v>515</v>
      </c>
      <c r="P3069" s="11" t="s">
        <v>52</v>
      </c>
      <c r="Q3069" s="20">
        <v>40344.0</v>
      </c>
      <c r="R3069" s="17">
        <f t="shared" si="2"/>
        <v>43.64681506</v>
      </c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>
        <f t="shared" si="8"/>
        <v>3</v>
      </c>
      <c r="AF3069" s="19">
        <f t="shared" si="13"/>
        <v>4</v>
      </c>
      <c r="AG3069" s="9"/>
      <c r="AH3069" s="9"/>
      <c r="AI3069" s="9"/>
    </row>
    <row r="3070" ht="15.0" customHeight="1">
      <c r="A3070" s="11">
        <v>3069.0</v>
      </c>
      <c r="B3070" s="12">
        <f t="shared" si="494"/>
        <v>40342</v>
      </c>
      <c r="C3070" s="13">
        <v>2010.0</v>
      </c>
      <c r="D3070" s="11" t="s">
        <v>23</v>
      </c>
      <c r="E3070" s="11">
        <v>10.0</v>
      </c>
      <c r="F3070" s="21" t="s">
        <v>1261</v>
      </c>
      <c r="G3070" s="15">
        <v>0.05295524427741715</v>
      </c>
      <c r="H3070" s="11" t="s">
        <v>24</v>
      </c>
      <c r="I3070" s="16">
        <v>3.2</v>
      </c>
      <c r="J3070" s="11" t="s">
        <v>34</v>
      </c>
      <c r="K3070" s="11" t="s">
        <v>35</v>
      </c>
      <c r="L3070" s="11" t="s">
        <v>36</v>
      </c>
      <c r="M3070" s="11" t="s">
        <v>66</v>
      </c>
      <c r="N3070" s="11" t="s">
        <v>67</v>
      </c>
      <c r="O3070" s="11" t="s">
        <v>1262</v>
      </c>
      <c r="P3070" s="11" t="s">
        <v>38</v>
      </c>
      <c r="Q3070" s="20">
        <v>40344.0</v>
      </c>
      <c r="R3070" s="17">
        <f t="shared" si="2"/>
        <v>14.67919371</v>
      </c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>
        <f t="shared" si="8"/>
        <v>2</v>
      </c>
      <c r="AF3070" s="19">
        <f t="shared" si="13"/>
        <v>2</v>
      </c>
      <c r="AG3070" s="9"/>
      <c r="AH3070" s="9"/>
      <c r="AI3070" s="9"/>
    </row>
    <row r="3071" ht="15.0" customHeight="1">
      <c r="A3071" s="11">
        <v>3070.0</v>
      </c>
      <c r="B3071" s="12">
        <f t="shared" si="494"/>
        <v>40342</v>
      </c>
      <c r="C3071" s="13">
        <v>2010.0</v>
      </c>
      <c r="D3071" s="11" t="s">
        <v>23</v>
      </c>
      <c r="E3071" s="11">
        <v>28.0</v>
      </c>
      <c r="F3071" s="21" t="s">
        <v>304</v>
      </c>
      <c r="G3071" s="15">
        <v>0.09723325479636497</v>
      </c>
      <c r="H3071" s="11" t="s">
        <v>33</v>
      </c>
      <c r="I3071" s="16">
        <v>7.224</v>
      </c>
      <c r="J3071" s="11" t="s">
        <v>34</v>
      </c>
      <c r="K3071" s="11" t="s">
        <v>35</v>
      </c>
      <c r="L3071" s="11" t="s">
        <v>36</v>
      </c>
      <c r="M3071" s="11" t="s">
        <v>28</v>
      </c>
      <c r="N3071" s="11" t="s">
        <v>56</v>
      </c>
      <c r="O3071" s="11" t="s">
        <v>388</v>
      </c>
      <c r="P3071" s="11" t="s">
        <v>38</v>
      </c>
      <c r="Q3071" s="20">
        <v>40344.0</v>
      </c>
      <c r="R3071" s="17">
        <f t="shared" si="2"/>
        <v>52.15825147</v>
      </c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>
        <f t="shared" si="8"/>
        <v>2</v>
      </c>
      <c r="AF3071" s="19">
        <f t="shared" si="13"/>
        <v>2</v>
      </c>
      <c r="AG3071" s="9"/>
      <c r="AH3071" s="9"/>
      <c r="AI3071" s="9"/>
    </row>
    <row r="3072" ht="15.0" customHeight="1">
      <c r="A3072" s="11">
        <v>3071.0</v>
      </c>
      <c r="B3072" s="12">
        <f t="shared" si="494"/>
        <v>40342</v>
      </c>
      <c r="C3072" s="13">
        <v>2010.0</v>
      </c>
      <c r="D3072" s="11" t="s">
        <v>44</v>
      </c>
      <c r="E3072" s="11">
        <v>32.0</v>
      </c>
      <c r="F3072" s="21" t="s">
        <v>369</v>
      </c>
      <c r="G3072" s="15">
        <v>0.09498825897349872</v>
      </c>
      <c r="H3072" s="11" t="s">
        <v>45</v>
      </c>
      <c r="I3072" s="16">
        <v>29.288</v>
      </c>
      <c r="J3072" s="11" t="s">
        <v>1941</v>
      </c>
      <c r="K3072" s="11" t="s">
        <v>35</v>
      </c>
      <c r="L3072" s="11" t="s">
        <v>48</v>
      </c>
      <c r="M3072" s="11" t="s">
        <v>49</v>
      </c>
      <c r="N3072" s="11" t="s">
        <v>156</v>
      </c>
      <c r="O3072" s="11" t="s">
        <v>1885</v>
      </c>
      <c r="P3072" s="11" t="s">
        <v>87</v>
      </c>
      <c r="Q3072" s="20">
        <v>40344.0</v>
      </c>
      <c r="R3072" s="17">
        <f t="shared" si="2"/>
        <v>179.3841872</v>
      </c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>
        <f t="shared" si="8"/>
        <v>4</v>
      </c>
      <c r="AF3072" s="19">
        <f t="shared" si="13"/>
        <v>2</v>
      </c>
      <c r="AG3072" s="9"/>
      <c r="AH3072" s="9"/>
      <c r="AI3072" s="9"/>
    </row>
    <row r="3073" ht="15.0" customHeight="1">
      <c r="A3073" s="11">
        <v>3072.0</v>
      </c>
      <c r="B3073" s="12">
        <f t="shared" ref="B3073:B3080" si="495">DATE(2012,12,31)-931</f>
        <v>40343</v>
      </c>
      <c r="C3073" s="13">
        <v>2010.0</v>
      </c>
      <c r="D3073" s="11" t="s">
        <v>32</v>
      </c>
      <c r="E3073" s="11">
        <v>21.0</v>
      </c>
      <c r="F3073" s="21" t="s">
        <v>336</v>
      </c>
      <c r="G3073" s="15">
        <v>0.05526996197718632</v>
      </c>
      <c r="H3073" s="11" t="s">
        <v>24</v>
      </c>
      <c r="I3073" s="16">
        <v>2.4320000000000004</v>
      </c>
      <c r="J3073" s="11" t="s">
        <v>2357</v>
      </c>
      <c r="K3073" s="11" t="s">
        <v>26</v>
      </c>
      <c r="L3073" s="11" t="s">
        <v>41</v>
      </c>
      <c r="M3073" s="11" t="s">
        <v>28</v>
      </c>
      <c r="N3073" s="11" t="s">
        <v>56</v>
      </c>
      <c r="O3073" s="11" t="s">
        <v>2223</v>
      </c>
      <c r="P3073" s="11" t="s">
        <v>58</v>
      </c>
      <c r="Q3073" s="20">
        <v>40344.0</v>
      </c>
      <c r="R3073" s="17">
        <f t="shared" si="2"/>
        <v>6.866297916</v>
      </c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>
        <f t="shared" si="8"/>
        <v>3</v>
      </c>
      <c r="AF3073" s="19">
        <f t="shared" si="13"/>
        <v>1</v>
      </c>
      <c r="AG3073" s="9"/>
      <c r="AH3073" s="9"/>
      <c r="AI3073" s="9"/>
    </row>
    <row r="3074" ht="15.0" customHeight="1">
      <c r="A3074" s="11">
        <v>3073.0</v>
      </c>
      <c r="B3074" s="12">
        <f t="shared" si="495"/>
        <v>40343</v>
      </c>
      <c r="C3074" s="13">
        <v>2010.0</v>
      </c>
      <c r="D3074" s="11" t="s">
        <v>39</v>
      </c>
      <c r="E3074" s="11">
        <v>14.0</v>
      </c>
      <c r="F3074" s="21" t="s">
        <v>1280</v>
      </c>
      <c r="G3074" s="15">
        <v>0.013333333333333416</v>
      </c>
      <c r="H3074" s="11" t="s">
        <v>33</v>
      </c>
      <c r="I3074" s="16">
        <v>3.512</v>
      </c>
      <c r="J3074" s="11" t="s">
        <v>1884</v>
      </c>
      <c r="K3074" s="11" t="s">
        <v>117</v>
      </c>
      <c r="L3074" s="11" t="s">
        <v>48</v>
      </c>
      <c r="M3074" s="11" t="s">
        <v>28</v>
      </c>
      <c r="N3074" s="11" t="s">
        <v>56</v>
      </c>
      <c r="O3074" s="11" t="s">
        <v>1281</v>
      </c>
      <c r="P3074" s="11" t="s">
        <v>58</v>
      </c>
      <c r="Q3074" s="20">
        <v>40344.0</v>
      </c>
      <c r="R3074" s="17">
        <f t="shared" si="2"/>
        <v>1.76416</v>
      </c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>
        <f t="shared" si="8"/>
        <v>4</v>
      </c>
      <c r="AF3074" s="19" t="b">
        <f t="shared" si="13"/>
        <v>0</v>
      </c>
      <c r="AG3074" s="9"/>
      <c r="AH3074" s="9"/>
      <c r="AI3074" s="9"/>
    </row>
    <row r="3075" ht="15.0" customHeight="1">
      <c r="A3075" s="11">
        <v>3074.0</v>
      </c>
      <c r="B3075" s="12">
        <f t="shared" si="495"/>
        <v>40343</v>
      </c>
      <c r="C3075" s="13">
        <v>2010.0</v>
      </c>
      <c r="D3075" s="11" t="s">
        <v>39</v>
      </c>
      <c r="E3075" s="11">
        <v>5.0</v>
      </c>
      <c r="F3075" s="21" t="s">
        <v>440</v>
      </c>
      <c r="G3075" s="15">
        <v>0.062304147465437804</v>
      </c>
      <c r="H3075" s="11" t="s">
        <v>33</v>
      </c>
      <c r="I3075" s="16">
        <v>6.696</v>
      </c>
      <c r="J3075" s="11" t="s">
        <v>1884</v>
      </c>
      <c r="K3075" s="11" t="s">
        <v>117</v>
      </c>
      <c r="L3075" s="11" t="s">
        <v>48</v>
      </c>
      <c r="M3075" s="11" t="s">
        <v>28</v>
      </c>
      <c r="N3075" s="11" t="s">
        <v>442</v>
      </c>
      <c r="O3075" s="11" t="s">
        <v>443</v>
      </c>
      <c r="P3075" s="11" t="s">
        <v>99</v>
      </c>
      <c r="Q3075" s="20">
        <v>40344.0</v>
      </c>
      <c r="R3075" s="17">
        <f t="shared" si="2"/>
        <v>2.535529585</v>
      </c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>
        <f t="shared" si="8"/>
        <v>4</v>
      </c>
      <c r="AF3075" s="19" t="b">
        <f t="shared" si="13"/>
        <v>0</v>
      </c>
      <c r="AG3075" s="9"/>
      <c r="AH3075" s="9"/>
      <c r="AI3075" s="9"/>
    </row>
    <row r="3076" ht="15.0" customHeight="1">
      <c r="A3076" s="11">
        <v>3075.0</v>
      </c>
      <c r="B3076" s="12">
        <f t="shared" si="495"/>
        <v>40343</v>
      </c>
      <c r="C3076" s="13">
        <v>2010.0</v>
      </c>
      <c r="D3076" s="11" t="s">
        <v>39</v>
      </c>
      <c r="E3076" s="11">
        <v>48.0</v>
      </c>
      <c r="F3076" s="21" t="s">
        <v>126</v>
      </c>
      <c r="G3076" s="15">
        <v>0.10020338983050842</v>
      </c>
      <c r="H3076" s="11" t="s">
        <v>33</v>
      </c>
      <c r="I3076" s="16">
        <v>3.696</v>
      </c>
      <c r="J3076" s="11" t="s">
        <v>1884</v>
      </c>
      <c r="K3076" s="11" t="s">
        <v>117</v>
      </c>
      <c r="L3076" s="11" t="s">
        <v>48</v>
      </c>
      <c r="M3076" s="11" t="s">
        <v>66</v>
      </c>
      <c r="N3076" s="11" t="s">
        <v>67</v>
      </c>
      <c r="O3076" s="11" t="s">
        <v>675</v>
      </c>
      <c r="P3076" s="11" t="s">
        <v>99</v>
      </c>
      <c r="Q3076" s="20">
        <v>40345.0</v>
      </c>
      <c r="R3076" s="17">
        <f t="shared" si="2"/>
        <v>23.93818902</v>
      </c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>
        <f t="shared" si="8"/>
        <v>4</v>
      </c>
      <c r="AF3076" s="19" t="b">
        <f t="shared" si="13"/>
        <v>0</v>
      </c>
      <c r="AG3076" s="9"/>
      <c r="AH3076" s="9"/>
      <c r="AI3076" s="9"/>
    </row>
    <row r="3077" ht="15.0" customHeight="1">
      <c r="A3077" s="11">
        <v>3076.0</v>
      </c>
      <c r="B3077" s="12">
        <f t="shared" si="495"/>
        <v>40343</v>
      </c>
      <c r="C3077" s="13">
        <v>2010.0</v>
      </c>
      <c r="D3077" s="11" t="s">
        <v>39</v>
      </c>
      <c r="E3077" s="11">
        <v>13.0</v>
      </c>
      <c r="F3077" s="21" t="s">
        <v>419</v>
      </c>
      <c r="G3077" s="15">
        <v>0.04317980513728976</v>
      </c>
      <c r="H3077" s="11" t="s">
        <v>24</v>
      </c>
      <c r="I3077" s="16">
        <v>4.4</v>
      </c>
      <c r="J3077" s="11" t="s">
        <v>1884</v>
      </c>
      <c r="K3077" s="11" t="s">
        <v>117</v>
      </c>
      <c r="L3077" s="11" t="s">
        <v>48</v>
      </c>
      <c r="M3077" s="11" t="s">
        <v>66</v>
      </c>
      <c r="N3077" s="11" t="s">
        <v>67</v>
      </c>
      <c r="O3077" s="11" t="s">
        <v>420</v>
      </c>
      <c r="P3077" s="11" t="s">
        <v>38</v>
      </c>
      <c r="Q3077" s="20">
        <v>40345.0</v>
      </c>
      <c r="R3077" s="17">
        <f t="shared" si="2"/>
        <v>18.6579938</v>
      </c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>
        <f t="shared" si="8"/>
        <v>4</v>
      </c>
      <c r="AF3077" s="19" t="b">
        <f t="shared" si="13"/>
        <v>0</v>
      </c>
      <c r="AG3077" s="9"/>
      <c r="AH3077" s="9"/>
      <c r="AI3077" s="9"/>
    </row>
    <row r="3078" ht="15.0" customHeight="1">
      <c r="A3078" s="11">
        <v>3077.0</v>
      </c>
      <c r="B3078" s="12">
        <f t="shared" si="495"/>
        <v>40343</v>
      </c>
      <c r="C3078" s="13">
        <v>2010.0</v>
      </c>
      <c r="D3078" s="11" t="s">
        <v>44</v>
      </c>
      <c r="E3078" s="11">
        <v>18.0</v>
      </c>
      <c r="F3078" s="21" t="s">
        <v>1227</v>
      </c>
      <c r="G3078" s="15">
        <v>0.028953229398663634</v>
      </c>
      <c r="H3078" s="11" t="s">
        <v>24</v>
      </c>
      <c r="I3078" s="16">
        <v>4.0</v>
      </c>
      <c r="J3078" s="11" t="s">
        <v>2256</v>
      </c>
      <c r="K3078" s="11" t="s">
        <v>35</v>
      </c>
      <c r="L3078" s="11" t="s">
        <v>48</v>
      </c>
      <c r="M3078" s="11" t="s">
        <v>28</v>
      </c>
      <c r="N3078" s="11" t="s">
        <v>197</v>
      </c>
      <c r="O3078" s="11" t="s">
        <v>1890</v>
      </c>
      <c r="P3078" s="11" t="s">
        <v>38</v>
      </c>
      <c r="Q3078" s="20">
        <v>40345.0</v>
      </c>
      <c r="R3078" s="17">
        <f t="shared" si="2"/>
        <v>1.262360802</v>
      </c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>
        <f t="shared" si="8"/>
        <v>4</v>
      </c>
      <c r="AF3078" s="19">
        <f t="shared" si="13"/>
        <v>2</v>
      </c>
      <c r="AG3078" s="9"/>
      <c r="AH3078" s="9"/>
      <c r="AI3078" s="9"/>
    </row>
    <row r="3079" ht="15.0" customHeight="1">
      <c r="A3079" s="11">
        <v>3078.0</v>
      </c>
      <c r="B3079" s="12">
        <f t="shared" si="495"/>
        <v>40343</v>
      </c>
      <c r="C3079" s="13">
        <v>2010.0</v>
      </c>
      <c r="D3079" s="11" t="s">
        <v>44</v>
      </c>
      <c r="E3079" s="11">
        <v>27.0</v>
      </c>
      <c r="F3079" s="21" t="s">
        <v>1379</v>
      </c>
      <c r="G3079" s="15">
        <v>0.05846680716543734</v>
      </c>
      <c r="H3079" s="11" t="s">
        <v>33</v>
      </c>
      <c r="I3079" s="16">
        <v>4.712</v>
      </c>
      <c r="J3079" s="11" t="s">
        <v>2256</v>
      </c>
      <c r="K3079" s="11" t="s">
        <v>35</v>
      </c>
      <c r="L3079" s="11" t="s">
        <v>48</v>
      </c>
      <c r="M3079" s="11" t="s">
        <v>66</v>
      </c>
      <c r="N3079" s="11" t="s">
        <v>67</v>
      </c>
      <c r="O3079" s="11" t="s">
        <v>1990</v>
      </c>
      <c r="P3079" s="11" t="s">
        <v>38</v>
      </c>
      <c r="Q3079" s="20">
        <v>40345.0</v>
      </c>
      <c r="R3079" s="17">
        <f t="shared" si="2"/>
        <v>41.79277536</v>
      </c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>
        <f t="shared" si="8"/>
        <v>4</v>
      </c>
      <c r="AF3079" s="19">
        <f t="shared" si="13"/>
        <v>2</v>
      </c>
      <c r="AG3079" s="9"/>
      <c r="AH3079" s="9"/>
      <c r="AI3079" s="9"/>
    </row>
    <row r="3080" ht="15.0" customHeight="1">
      <c r="A3080" s="11">
        <v>3079.0</v>
      </c>
      <c r="B3080" s="12">
        <f t="shared" si="495"/>
        <v>40343</v>
      </c>
      <c r="C3080" s="13">
        <v>2010.0</v>
      </c>
      <c r="D3080" s="11" t="s">
        <v>23</v>
      </c>
      <c r="E3080" s="11">
        <v>14.0</v>
      </c>
      <c r="F3080" s="21" t="s">
        <v>1904</v>
      </c>
      <c r="G3080" s="15">
        <v>0.05882731836696024</v>
      </c>
      <c r="H3080" s="11" t="s">
        <v>33</v>
      </c>
      <c r="I3080" s="16">
        <v>15.991999999999999</v>
      </c>
      <c r="J3080" s="11" t="s">
        <v>808</v>
      </c>
      <c r="K3080" s="11" t="s">
        <v>83</v>
      </c>
      <c r="L3080" s="11" t="s">
        <v>48</v>
      </c>
      <c r="M3080" s="11" t="s">
        <v>28</v>
      </c>
      <c r="N3080" s="11" t="s">
        <v>29</v>
      </c>
      <c r="O3080" s="11" t="s">
        <v>1905</v>
      </c>
      <c r="P3080" s="11" t="s">
        <v>38</v>
      </c>
      <c r="Q3080" s="20">
        <v>40345.0</v>
      </c>
      <c r="R3080" s="17">
        <f t="shared" si="2"/>
        <v>116.9011764</v>
      </c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>
        <f t="shared" si="8"/>
        <v>4</v>
      </c>
      <c r="AF3080" s="19" t="b">
        <f t="shared" si="13"/>
        <v>0</v>
      </c>
      <c r="AG3080" s="9"/>
      <c r="AH3080" s="9"/>
      <c r="AI3080" s="9"/>
    </row>
    <row r="3081" ht="15.0" customHeight="1">
      <c r="A3081" s="11">
        <v>3080.0</v>
      </c>
      <c r="B3081" s="12">
        <f t="shared" ref="B3081:B3088" si="496">DATE(2012,12,31)-930</f>
        <v>40344</v>
      </c>
      <c r="C3081" s="13">
        <v>2010.0</v>
      </c>
      <c r="D3081" s="11" t="s">
        <v>32</v>
      </c>
      <c r="E3081" s="11">
        <v>15.0</v>
      </c>
      <c r="F3081" s="21" t="s">
        <v>527</v>
      </c>
      <c r="G3081" s="15">
        <v>0.02207672339198153</v>
      </c>
      <c r="H3081" s="11" t="s">
        <v>33</v>
      </c>
      <c r="I3081" s="16">
        <v>1.592</v>
      </c>
      <c r="J3081" s="11" t="s">
        <v>841</v>
      </c>
      <c r="K3081" s="11" t="s">
        <v>61</v>
      </c>
      <c r="L3081" s="11" t="s">
        <v>41</v>
      </c>
      <c r="M3081" s="11" t="s">
        <v>66</v>
      </c>
      <c r="N3081" s="11" t="s">
        <v>67</v>
      </c>
      <c r="O3081" s="11" t="s">
        <v>529</v>
      </c>
      <c r="P3081" s="11" t="s">
        <v>99</v>
      </c>
      <c r="Q3081" s="20">
        <v>40346.0</v>
      </c>
      <c r="R3081" s="17">
        <f t="shared" si="2"/>
        <v>14.97004952</v>
      </c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>
        <f t="shared" si="8"/>
        <v>3</v>
      </c>
      <c r="AF3081" s="19">
        <f t="shared" si="13"/>
        <v>4</v>
      </c>
      <c r="AG3081" s="9"/>
      <c r="AH3081" s="9"/>
      <c r="AI3081" s="9"/>
    </row>
    <row r="3082" ht="15.0" customHeight="1">
      <c r="A3082" s="11">
        <v>3081.0</v>
      </c>
      <c r="B3082" s="12">
        <f t="shared" si="496"/>
        <v>40344</v>
      </c>
      <c r="C3082" s="13">
        <v>2010.0</v>
      </c>
      <c r="D3082" s="11" t="s">
        <v>44</v>
      </c>
      <c r="E3082" s="11">
        <v>5.0</v>
      </c>
      <c r="F3082" s="21" t="s">
        <v>110</v>
      </c>
      <c r="G3082" s="15">
        <v>0.024631578947368456</v>
      </c>
      <c r="H3082" s="11" t="s">
        <v>45</v>
      </c>
      <c r="I3082" s="16">
        <v>14.280000000000001</v>
      </c>
      <c r="J3082" s="11" t="s">
        <v>897</v>
      </c>
      <c r="K3082" s="11" t="s">
        <v>26</v>
      </c>
      <c r="L3082" s="11" t="s">
        <v>41</v>
      </c>
      <c r="M3082" s="11" t="s">
        <v>66</v>
      </c>
      <c r="N3082" s="11" t="s">
        <v>69</v>
      </c>
      <c r="O3082" s="11" t="s">
        <v>111</v>
      </c>
      <c r="P3082" s="11" t="s">
        <v>52</v>
      </c>
      <c r="Q3082" s="20">
        <v>40346.0</v>
      </c>
      <c r="R3082" s="17">
        <f t="shared" si="2"/>
        <v>18.25889684</v>
      </c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>
        <f t="shared" si="8"/>
        <v>3</v>
      </c>
      <c r="AF3082" s="19">
        <f t="shared" si="13"/>
        <v>1</v>
      </c>
      <c r="AG3082" s="9"/>
      <c r="AH3082" s="9"/>
      <c r="AI3082" s="9"/>
    </row>
    <row r="3083" ht="15.0" customHeight="1">
      <c r="A3083" s="11">
        <v>3082.0</v>
      </c>
      <c r="B3083" s="12">
        <f t="shared" si="496"/>
        <v>40344</v>
      </c>
      <c r="C3083" s="13">
        <v>2010.0</v>
      </c>
      <c r="D3083" s="11" t="s">
        <v>44</v>
      </c>
      <c r="E3083" s="11">
        <v>1.0</v>
      </c>
      <c r="F3083" s="21" t="s">
        <v>1551</v>
      </c>
      <c r="G3083" s="15">
        <v>0.041983471074380094</v>
      </c>
      <c r="H3083" s="11" t="s">
        <v>33</v>
      </c>
      <c r="I3083" s="16">
        <v>1.592</v>
      </c>
      <c r="J3083" s="11" t="s">
        <v>942</v>
      </c>
      <c r="K3083" s="11" t="s">
        <v>61</v>
      </c>
      <c r="L3083" s="11" t="s">
        <v>48</v>
      </c>
      <c r="M3083" s="11" t="s">
        <v>66</v>
      </c>
      <c r="N3083" s="11" t="s">
        <v>67</v>
      </c>
      <c r="O3083" s="11" t="s">
        <v>1598</v>
      </c>
      <c r="P3083" s="11" t="s">
        <v>99</v>
      </c>
      <c r="Q3083" s="20">
        <v>40346.0</v>
      </c>
      <c r="R3083" s="17">
        <f t="shared" si="2"/>
        <v>0.4866723967</v>
      </c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>
        <f t="shared" si="8"/>
        <v>4</v>
      </c>
      <c r="AF3083" s="19">
        <f t="shared" si="13"/>
        <v>4</v>
      </c>
      <c r="AG3083" s="9"/>
      <c r="AH3083" s="9"/>
      <c r="AI3083" s="9"/>
    </row>
    <row r="3084" ht="15.0" customHeight="1">
      <c r="A3084" s="11">
        <v>3083.0</v>
      </c>
      <c r="B3084" s="12">
        <f t="shared" si="496"/>
        <v>40344</v>
      </c>
      <c r="C3084" s="13">
        <v>2010.0</v>
      </c>
      <c r="D3084" s="11" t="s">
        <v>102</v>
      </c>
      <c r="E3084" s="11">
        <v>29.0</v>
      </c>
      <c r="F3084" s="21" t="s">
        <v>1195</v>
      </c>
      <c r="G3084" s="15">
        <v>0.09084866468842726</v>
      </c>
      <c r="H3084" s="11" t="s">
        <v>33</v>
      </c>
      <c r="I3084" s="16">
        <v>2.3920000000000003</v>
      </c>
      <c r="J3084" s="11" t="s">
        <v>1848</v>
      </c>
      <c r="K3084" s="11" t="s">
        <v>61</v>
      </c>
      <c r="L3084" s="11" t="s">
        <v>27</v>
      </c>
      <c r="M3084" s="11" t="s">
        <v>28</v>
      </c>
      <c r="N3084" s="11" t="s">
        <v>42</v>
      </c>
      <c r="O3084" s="11" t="s">
        <v>2199</v>
      </c>
      <c r="P3084" s="11" t="s">
        <v>38</v>
      </c>
      <c r="Q3084" s="20">
        <v>40347.0</v>
      </c>
      <c r="R3084" s="17">
        <f t="shared" si="2"/>
        <v>13.91728864</v>
      </c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>
        <f t="shared" si="8"/>
        <v>1</v>
      </c>
      <c r="AF3084" s="19">
        <f t="shared" si="13"/>
        <v>4</v>
      </c>
      <c r="AG3084" s="9"/>
      <c r="AH3084" s="9"/>
      <c r="AI3084" s="9"/>
    </row>
    <row r="3085" ht="15.0" customHeight="1">
      <c r="A3085" s="11">
        <v>3084.0</v>
      </c>
      <c r="B3085" s="12">
        <f t="shared" si="496"/>
        <v>40344</v>
      </c>
      <c r="C3085" s="13">
        <v>2010.0</v>
      </c>
      <c r="D3085" s="11" t="s">
        <v>44</v>
      </c>
      <c r="E3085" s="11">
        <v>37.0</v>
      </c>
      <c r="F3085" s="21" t="s">
        <v>319</v>
      </c>
      <c r="G3085" s="15">
        <v>0.10034602076124563</v>
      </c>
      <c r="H3085" s="11" t="s">
        <v>33</v>
      </c>
      <c r="I3085" s="16">
        <v>0.4</v>
      </c>
      <c r="J3085" s="11" t="s">
        <v>1221</v>
      </c>
      <c r="K3085" s="11" t="s">
        <v>61</v>
      </c>
      <c r="L3085" s="11" t="s">
        <v>48</v>
      </c>
      <c r="M3085" s="11" t="s">
        <v>28</v>
      </c>
      <c r="N3085" s="11" t="s">
        <v>188</v>
      </c>
      <c r="O3085" s="11" t="s">
        <v>1497</v>
      </c>
      <c r="P3085" s="11" t="s">
        <v>38</v>
      </c>
      <c r="Q3085" s="20">
        <v>40347.0</v>
      </c>
      <c r="R3085" s="17">
        <f t="shared" si="2"/>
        <v>10.43598616</v>
      </c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>
        <f t="shared" si="8"/>
        <v>4</v>
      </c>
      <c r="AF3085" s="19">
        <f t="shared" si="13"/>
        <v>4</v>
      </c>
      <c r="AG3085" s="9"/>
      <c r="AH3085" s="9"/>
      <c r="AI3085" s="9"/>
    </row>
    <row r="3086" ht="15.0" customHeight="1">
      <c r="A3086" s="11">
        <v>3085.0</v>
      </c>
      <c r="B3086" s="12">
        <f t="shared" si="496"/>
        <v>40344</v>
      </c>
      <c r="C3086" s="13">
        <v>2010.0</v>
      </c>
      <c r="D3086" s="11" t="s">
        <v>44</v>
      </c>
      <c r="E3086" s="11">
        <v>43.0</v>
      </c>
      <c r="F3086" s="21" t="s">
        <v>1498</v>
      </c>
      <c r="G3086" s="15">
        <v>0.052114602267809104</v>
      </c>
      <c r="H3086" s="11" t="s">
        <v>33</v>
      </c>
      <c r="I3086" s="16">
        <v>7.192</v>
      </c>
      <c r="J3086" s="11" t="s">
        <v>1221</v>
      </c>
      <c r="K3086" s="11" t="s">
        <v>61</v>
      </c>
      <c r="L3086" s="11" t="s">
        <v>48</v>
      </c>
      <c r="M3086" s="11" t="s">
        <v>49</v>
      </c>
      <c r="N3086" s="11" t="s">
        <v>73</v>
      </c>
      <c r="O3086" s="11" t="s">
        <v>1500</v>
      </c>
      <c r="P3086" s="11" t="s">
        <v>99</v>
      </c>
      <c r="Q3086" s="20">
        <v>40347.0</v>
      </c>
      <c r="R3086" s="17">
        <f t="shared" si="2"/>
        <v>57.07028403</v>
      </c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>
        <f t="shared" si="8"/>
        <v>4</v>
      </c>
      <c r="AF3086" s="19">
        <f t="shared" si="13"/>
        <v>4</v>
      </c>
      <c r="AG3086" s="9"/>
      <c r="AH3086" s="9"/>
      <c r="AI3086" s="9"/>
    </row>
    <row r="3087" ht="15.0" customHeight="1">
      <c r="A3087" s="11">
        <v>3086.0</v>
      </c>
      <c r="B3087" s="12">
        <f t="shared" si="496"/>
        <v>40344</v>
      </c>
      <c r="C3087" s="13">
        <v>2010.0</v>
      </c>
      <c r="D3087" s="11" t="s">
        <v>44</v>
      </c>
      <c r="E3087" s="11">
        <v>1.0</v>
      </c>
      <c r="F3087" s="21" t="s">
        <v>1970</v>
      </c>
      <c r="G3087" s="15">
        <v>0.10622710622710631</v>
      </c>
      <c r="H3087" s="11" t="s">
        <v>33</v>
      </c>
      <c r="I3087" s="16">
        <v>28.0</v>
      </c>
      <c r="J3087" s="11" t="s">
        <v>1221</v>
      </c>
      <c r="K3087" s="11" t="s">
        <v>61</v>
      </c>
      <c r="L3087" s="11" t="s">
        <v>48</v>
      </c>
      <c r="M3087" s="11" t="s">
        <v>28</v>
      </c>
      <c r="N3087" s="11" t="s">
        <v>29</v>
      </c>
      <c r="O3087" s="11" t="s">
        <v>1971</v>
      </c>
      <c r="P3087" s="11" t="s">
        <v>31</v>
      </c>
      <c r="Q3087" s="20">
        <v>40347.0</v>
      </c>
      <c r="R3087" s="17">
        <f t="shared" si="2"/>
        <v>20.73553114</v>
      </c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>
        <f t="shared" si="8"/>
        <v>4</v>
      </c>
      <c r="AF3087" s="19">
        <f t="shared" si="13"/>
        <v>4</v>
      </c>
      <c r="AG3087" s="9"/>
      <c r="AH3087" s="9"/>
      <c r="AI3087" s="9"/>
    </row>
    <row r="3088" ht="15.0" customHeight="1">
      <c r="A3088" s="11">
        <v>3087.0</v>
      </c>
      <c r="B3088" s="12">
        <f t="shared" si="496"/>
        <v>40344</v>
      </c>
      <c r="C3088" s="13">
        <v>2010.0</v>
      </c>
      <c r="D3088" s="11" t="s">
        <v>39</v>
      </c>
      <c r="E3088" s="11">
        <v>25.0</v>
      </c>
      <c r="F3088" s="21" t="s">
        <v>210</v>
      </c>
      <c r="G3088" s="15">
        <v>0.09085872576177288</v>
      </c>
      <c r="H3088" s="11" t="s">
        <v>24</v>
      </c>
      <c r="I3088" s="16">
        <v>0.6400000000000001</v>
      </c>
      <c r="J3088" s="11" t="s">
        <v>546</v>
      </c>
      <c r="K3088" s="11" t="s">
        <v>61</v>
      </c>
      <c r="L3088" s="11" t="s">
        <v>36</v>
      </c>
      <c r="M3088" s="11" t="s">
        <v>28</v>
      </c>
      <c r="N3088" s="11" t="s">
        <v>216</v>
      </c>
      <c r="O3088" s="11" t="s">
        <v>1290</v>
      </c>
      <c r="P3088" s="11" t="s">
        <v>58</v>
      </c>
      <c r="Q3088" s="20">
        <v>40347.0</v>
      </c>
      <c r="R3088" s="17">
        <f t="shared" si="2"/>
        <v>5.963966759</v>
      </c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>
        <f t="shared" si="8"/>
        <v>2</v>
      </c>
      <c r="AF3088" s="19">
        <f t="shared" si="13"/>
        <v>4</v>
      </c>
      <c r="AG3088" s="9"/>
      <c r="AH3088" s="9"/>
      <c r="AI3088" s="9"/>
    </row>
    <row r="3089" ht="15.0" customHeight="1">
      <c r="A3089" s="11">
        <v>3088.0</v>
      </c>
      <c r="B3089" s="12">
        <f t="shared" ref="B3089:B3094" si="497">DATE(2012,12,31)-929</f>
        <v>40345</v>
      </c>
      <c r="C3089" s="13">
        <v>2010.0</v>
      </c>
      <c r="D3089" s="11" t="s">
        <v>44</v>
      </c>
      <c r="E3089" s="11">
        <v>46.0</v>
      </c>
      <c r="F3089" s="21" t="s">
        <v>1369</v>
      </c>
      <c r="G3089" s="15">
        <v>0.10574108818011266</v>
      </c>
      <c r="H3089" s="11" t="s">
        <v>33</v>
      </c>
      <c r="I3089" s="16">
        <v>0.392</v>
      </c>
      <c r="J3089" s="11" t="s">
        <v>1010</v>
      </c>
      <c r="K3089" s="11" t="s">
        <v>35</v>
      </c>
      <c r="L3089" s="11" t="s">
        <v>27</v>
      </c>
      <c r="M3089" s="11" t="s">
        <v>28</v>
      </c>
      <c r="N3089" s="11" t="s">
        <v>188</v>
      </c>
      <c r="O3089" s="11" t="s">
        <v>1371</v>
      </c>
      <c r="P3089" s="11" t="s">
        <v>38</v>
      </c>
      <c r="Q3089" s="20">
        <v>40347.0</v>
      </c>
      <c r="R3089" s="17">
        <f t="shared" si="2"/>
        <v>15.12012968</v>
      </c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>
        <f t="shared" si="8"/>
        <v>1</v>
      </c>
      <c r="AF3089" s="19">
        <f t="shared" si="13"/>
        <v>2</v>
      </c>
      <c r="AG3089" s="9"/>
      <c r="AH3089" s="9"/>
      <c r="AI3089" s="9"/>
    </row>
    <row r="3090" ht="15.0" customHeight="1">
      <c r="A3090" s="11">
        <v>3089.0</v>
      </c>
      <c r="B3090" s="12">
        <f t="shared" si="497"/>
        <v>40345</v>
      </c>
      <c r="C3090" s="13">
        <v>2010.0</v>
      </c>
      <c r="D3090" s="11" t="s">
        <v>44</v>
      </c>
      <c r="E3090" s="11">
        <v>34.0</v>
      </c>
      <c r="F3090" s="21" t="s">
        <v>569</v>
      </c>
      <c r="G3090" s="15">
        <v>0.04816888533394272</v>
      </c>
      <c r="H3090" s="11" t="s">
        <v>33</v>
      </c>
      <c r="I3090" s="16">
        <v>3.3600000000000003</v>
      </c>
      <c r="J3090" s="11" t="s">
        <v>1010</v>
      </c>
      <c r="K3090" s="11" t="s">
        <v>35</v>
      </c>
      <c r="L3090" s="11" t="s">
        <v>27</v>
      </c>
      <c r="M3090" s="11" t="s">
        <v>66</v>
      </c>
      <c r="N3090" s="11" t="s">
        <v>80</v>
      </c>
      <c r="O3090" s="11" t="s">
        <v>1226</v>
      </c>
      <c r="P3090" s="11" t="s">
        <v>38</v>
      </c>
      <c r="Q3090" s="20">
        <v>40347.0</v>
      </c>
      <c r="R3090" s="17">
        <f t="shared" si="2"/>
        <v>320.9955251</v>
      </c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>
        <f t="shared" si="8"/>
        <v>1</v>
      </c>
      <c r="AF3090" s="19">
        <f t="shared" si="13"/>
        <v>2</v>
      </c>
      <c r="AG3090" s="9"/>
      <c r="AH3090" s="9"/>
      <c r="AI3090" s="9"/>
    </row>
    <row r="3091" ht="15.0" customHeight="1">
      <c r="A3091" s="11">
        <v>3090.0</v>
      </c>
      <c r="B3091" s="12">
        <f t="shared" si="497"/>
        <v>40345</v>
      </c>
      <c r="C3091" s="13">
        <v>2010.0</v>
      </c>
      <c r="D3091" s="11" t="s">
        <v>32</v>
      </c>
      <c r="E3091" s="11">
        <v>13.0</v>
      </c>
      <c r="F3091" s="21" t="s">
        <v>100</v>
      </c>
      <c r="G3091" s="15">
        <v>0.09189917103704948</v>
      </c>
      <c r="H3091" s="11" t="s">
        <v>33</v>
      </c>
      <c r="I3091" s="16">
        <v>7.192</v>
      </c>
      <c r="J3091" s="11" t="s">
        <v>1288</v>
      </c>
      <c r="K3091" s="11" t="s">
        <v>47</v>
      </c>
      <c r="L3091" s="11" t="s">
        <v>48</v>
      </c>
      <c r="M3091" s="11" t="s">
        <v>66</v>
      </c>
      <c r="N3091" s="11" t="s">
        <v>80</v>
      </c>
      <c r="O3091" s="11" t="s">
        <v>615</v>
      </c>
      <c r="P3091" s="11" t="s">
        <v>38</v>
      </c>
      <c r="Q3091" s="20">
        <v>40347.0</v>
      </c>
      <c r="R3091" s="17">
        <f t="shared" si="2"/>
        <v>246.64745</v>
      </c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>
        <f t="shared" si="8"/>
        <v>4</v>
      </c>
      <c r="AF3091" s="19">
        <f t="shared" si="13"/>
        <v>3</v>
      </c>
      <c r="AG3091" s="9"/>
      <c r="AH3091" s="9"/>
      <c r="AI3091" s="9"/>
    </row>
    <row r="3092" ht="15.0" customHeight="1">
      <c r="A3092" s="11">
        <v>3091.0</v>
      </c>
      <c r="B3092" s="12">
        <f t="shared" si="497"/>
        <v>40345</v>
      </c>
      <c r="C3092" s="13">
        <v>2010.0</v>
      </c>
      <c r="D3092" s="11" t="s">
        <v>39</v>
      </c>
      <c r="E3092" s="11">
        <v>21.0</v>
      </c>
      <c r="F3092" s="21" t="s">
        <v>137</v>
      </c>
      <c r="G3092" s="15">
        <v>0.0768187849766341</v>
      </c>
      <c r="H3092" s="11" t="s">
        <v>45</v>
      </c>
      <c r="I3092" s="16">
        <v>31.400000000000002</v>
      </c>
      <c r="J3092" s="11" t="s">
        <v>462</v>
      </c>
      <c r="K3092" s="11" t="s">
        <v>35</v>
      </c>
      <c r="L3092" s="11" t="s">
        <v>41</v>
      </c>
      <c r="M3092" s="11" t="s">
        <v>49</v>
      </c>
      <c r="N3092" s="11" t="s">
        <v>85</v>
      </c>
      <c r="O3092" s="11" t="s">
        <v>127</v>
      </c>
      <c r="P3092" s="11" t="s">
        <v>87</v>
      </c>
      <c r="Q3092" s="20">
        <v>40347.0</v>
      </c>
      <c r="R3092" s="17">
        <f t="shared" si="2"/>
        <v>245.8431576</v>
      </c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>
        <f t="shared" si="8"/>
        <v>3</v>
      </c>
      <c r="AF3092" s="19">
        <f t="shared" si="13"/>
        <v>2</v>
      </c>
      <c r="AG3092" s="9"/>
      <c r="AH3092" s="9"/>
      <c r="AI3092" s="9"/>
    </row>
    <row r="3093" ht="15.0" customHeight="1">
      <c r="A3093" s="11">
        <v>3092.0</v>
      </c>
      <c r="B3093" s="12">
        <f t="shared" si="497"/>
        <v>40345</v>
      </c>
      <c r="C3093" s="13">
        <v>2010.0</v>
      </c>
      <c r="D3093" s="11" t="s">
        <v>23</v>
      </c>
      <c r="E3093" s="11">
        <v>33.0</v>
      </c>
      <c r="F3093" s="21" t="s">
        <v>814</v>
      </c>
      <c r="G3093" s="15">
        <v>0.05874888026276498</v>
      </c>
      <c r="H3093" s="11" t="s">
        <v>45</v>
      </c>
      <c r="I3093" s="16">
        <v>24.0</v>
      </c>
      <c r="J3093" s="11" t="s">
        <v>2262</v>
      </c>
      <c r="K3093" s="11" t="s">
        <v>26</v>
      </c>
      <c r="L3093" s="11" t="s">
        <v>27</v>
      </c>
      <c r="M3093" s="11" t="s">
        <v>49</v>
      </c>
      <c r="N3093" s="11" t="s">
        <v>50</v>
      </c>
      <c r="O3093" s="11" t="s">
        <v>816</v>
      </c>
      <c r="P3093" s="11" t="s">
        <v>52</v>
      </c>
      <c r="Q3093" s="20">
        <v>40348.0</v>
      </c>
      <c r="R3093" s="17">
        <f t="shared" si="2"/>
        <v>222.2293894</v>
      </c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>
        <f t="shared" si="8"/>
        <v>1</v>
      </c>
      <c r="AF3093" s="19">
        <f t="shared" si="13"/>
        <v>1</v>
      </c>
      <c r="AG3093" s="9"/>
      <c r="AH3093" s="9"/>
      <c r="AI3093" s="9"/>
    </row>
    <row r="3094" ht="15.0" customHeight="1">
      <c r="A3094" s="11">
        <v>3093.0</v>
      </c>
      <c r="B3094" s="12">
        <f t="shared" si="497"/>
        <v>40345</v>
      </c>
      <c r="C3094" s="13">
        <v>2010.0</v>
      </c>
      <c r="D3094" s="11" t="s">
        <v>102</v>
      </c>
      <c r="E3094" s="11">
        <v>24.0</v>
      </c>
      <c r="F3094" s="21" t="s">
        <v>493</v>
      </c>
      <c r="G3094" s="15">
        <v>0.06596209414610293</v>
      </c>
      <c r="H3094" s="11" t="s">
        <v>33</v>
      </c>
      <c r="I3094" s="16">
        <v>15.991999999999999</v>
      </c>
      <c r="J3094" s="11" t="s">
        <v>2358</v>
      </c>
      <c r="K3094" s="11" t="s">
        <v>35</v>
      </c>
      <c r="L3094" s="11" t="s">
        <v>48</v>
      </c>
      <c r="M3094" s="11" t="s">
        <v>28</v>
      </c>
      <c r="N3094" s="11" t="s">
        <v>42</v>
      </c>
      <c r="O3094" s="11" t="s">
        <v>495</v>
      </c>
      <c r="P3094" s="11" t="s">
        <v>38</v>
      </c>
      <c r="Q3094" s="20">
        <v>40348.0</v>
      </c>
      <c r="R3094" s="17">
        <f t="shared" si="2"/>
        <v>667.377556</v>
      </c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>
        <f t="shared" si="8"/>
        <v>4</v>
      </c>
      <c r="AF3094" s="19">
        <f t="shared" si="13"/>
        <v>2</v>
      </c>
      <c r="AG3094" s="9"/>
      <c r="AH3094" s="9"/>
      <c r="AI3094" s="9"/>
    </row>
    <row r="3095" ht="15.0" customHeight="1">
      <c r="A3095" s="11">
        <v>3094.0</v>
      </c>
      <c r="B3095" s="12">
        <f t="shared" ref="B3095:B3104" si="498">DATE(2012,12,31)-928</f>
        <v>40346</v>
      </c>
      <c r="C3095" s="13">
        <v>2010.0</v>
      </c>
      <c r="D3095" s="11" t="s">
        <v>32</v>
      </c>
      <c r="E3095" s="11">
        <v>18.0</v>
      </c>
      <c r="F3095" s="21" t="s">
        <v>2151</v>
      </c>
      <c r="G3095" s="15">
        <v>0.013371472158657407</v>
      </c>
      <c r="H3095" s="11" t="s">
        <v>33</v>
      </c>
      <c r="I3095" s="16">
        <v>10.576</v>
      </c>
      <c r="J3095" s="11" t="s">
        <v>2099</v>
      </c>
      <c r="K3095" s="11" t="s">
        <v>83</v>
      </c>
      <c r="L3095" s="11" t="s">
        <v>48</v>
      </c>
      <c r="M3095" s="11" t="s">
        <v>28</v>
      </c>
      <c r="N3095" s="11" t="s">
        <v>197</v>
      </c>
      <c r="O3095" s="11" t="s">
        <v>2152</v>
      </c>
      <c r="P3095" s="11" t="s">
        <v>38</v>
      </c>
      <c r="Q3095" s="20">
        <v>40348.0</v>
      </c>
      <c r="R3095" s="17">
        <f t="shared" si="2"/>
        <v>13.83647847</v>
      </c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>
        <f t="shared" si="8"/>
        <v>4</v>
      </c>
      <c r="AF3095" s="19" t="b">
        <f t="shared" si="13"/>
        <v>0</v>
      </c>
      <c r="AG3095" s="9"/>
      <c r="AH3095" s="9"/>
      <c r="AI3095" s="9"/>
    </row>
    <row r="3096" ht="15.0" customHeight="1">
      <c r="A3096" s="11">
        <v>3095.0</v>
      </c>
      <c r="B3096" s="12">
        <f t="shared" si="498"/>
        <v>40346</v>
      </c>
      <c r="C3096" s="13">
        <v>2010.0</v>
      </c>
      <c r="D3096" s="11" t="s">
        <v>32</v>
      </c>
      <c r="E3096" s="11">
        <v>1.0</v>
      </c>
      <c r="F3096" s="21" t="s">
        <v>124</v>
      </c>
      <c r="G3096" s="15">
        <v>0.06904906117504546</v>
      </c>
      <c r="H3096" s="11" t="s">
        <v>33</v>
      </c>
      <c r="I3096" s="16">
        <v>28.0</v>
      </c>
      <c r="J3096" s="11" t="s">
        <v>2099</v>
      </c>
      <c r="K3096" s="11" t="s">
        <v>83</v>
      </c>
      <c r="L3096" s="11" t="s">
        <v>48</v>
      </c>
      <c r="M3096" s="11" t="s">
        <v>28</v>
      </c>
      <c r="N3096" s="11" t="s">
        <v>29</v>
      </c>
      <c r="O3096" s="11" t="s">
        <v>1313</v>
      </c>
      <c r="P3096" s="11" t="s">
        <v>31</v>
      </c>
      <c r="Q3096" s="20">
        <v>40348.0</v>
      </c>
      <c r="R3096" s="17">
        <f t="shared" si="2"/>
        <v>21.22568141</v>
      </c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>
        <f t="shared" si="8"/>
        <v>4</v>
      </c>
      <c r="AF3096" s="19" t="b">
        <f t="shared" si="13"/>
        <v>0</v>
      </c>
      <c r="AG3096" s="9"/>
      <c r="AH3096" s="9"/>
      <c r="AI3096" s="9"/>
    </row>
    <row r="3097" ht="15.0" customHeight="1">
      <c r="A3097" s="11">
        <v>3096.0</v>
      </c>
      <c r="B3097" s="12">
        <f t="shared" si="498"/>
        <v>40346</v>
      </c>
      <c r="C3097" s="13">
        <v>2010.0</v>
      </c>
      <c r="D3097" s="11" t="s">
        <v>44</v>
      </c>
      <c r="E3097" s="11">
        <v>8.0</v>
      </c>
      <c r="F3097" s="21" t="s">
        <v>218</v>
      </c>
      <c r="G3097" s="15">
        <v>0.09101604278074857</v>
      </c>
      <c r="H3097" s="11" t="s">
        <v>33</v>
      </c>
      <c r="I3097" s="16">
        <v>1.592</v>
      </c>
      <c r="J3097" s="11" t="s">
        <v>1045</v>
      </c>
      <c r="K3097" s="11" t="s">
        <v>35</v>
      </c>
      <c r="L3097" s="11" t="s">
        <v>36</v>
      </c>
      <c r="M3097" s="11" t="s">
        <v>66</v>
      </c>
      <c r="N3097" s="11" t="s">
        <v>67</v>
      </c>
      <c r="O3097" s="11" t="s">
        <v>749</v>
      </c>
      <c r="P3097" s="11" t="s">
        <v>99</v>
      </c>
      <c r="Q3097" s="20">
        <v>40349.0</v>
      </c>
      <c r="R3097" s="17">
        <f t="shared" si="2"/>
        <v>6.188362781</v>
      </c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>
        <f t="shared" si="8"/>
        <v>2</v>
      </c>
      <c r="AF3097" s="19">
        <f t="shared" si="13"/>
        <v>2</v>
      </c>
      <c r="AG3097" s="9"/>
      <c r="AH3097" s="9"/>
      <c r="AI3097" s="9"/>
    </row>
    <row r="3098" ht="15.0" customHeight="1">
      <c r="A3098" s="11">
        <v>3097.0</v>
      </c>
      <c r="B3098" s="12">
        <f t="shared" si="498"/>
        <v>40346</v>
      </c>
      <c r="C3098" s="13">
        <v>2010.0</v>
      </c>
      <c r="D3098" s="11" t="s">
        <v>44</v>
      </c>
      <c r="E3098" s="11">
        <v>29.0</v>
      </c>
      <c r="F3098" s="21" t="s">
        <v>1273</v>
      </c>
      <c r="G3098" s="15">
        <v>0.07860219422998779</v>
      </c>
      <c r="H3098" s="11" t="s">
        <v>33</v>
      </c>
      <c r="I3098" s="16">
        <v>1.1119999999999999</v>
      </c>
      <c r="J3098" s="11" t="s">
        <v>1045</v>
      </c>
      <c r="K3098" s="11" t="s">
        <v>35</v>
      </c>
      <c r="L3098" s="11" t="s">
        <v>36</v>
      </c>
      <c r="M3098" s="11" t="s">
        <v>28</v>
      </c>
      <c r="N3098" s="11" t="s">
        <v>236</v>
      </c>
      <c r="O3098" s="11" t="s">
        <v>1274</v>
      </c>
      <c r="P3098" s="11" t="s">
        <v>38</v>
      </c>
      <c r="Q3098" s="20">
        <v>40349.0</v>
      </c>
      <c r="R3098" s="17">
        <f t="shared" si="2"/>
        <v>35.64703831</v>
      </c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>
        <f t="shared" si="8"/>
        <v>2</v>
      </c>
      <c r="AF3098" s="19">
        <f t="shared" si="13"/>
        <v>2</v>
      </c>
      <c r="AG3098" s="9"/>
      <c r="AH3098" s="9"/>
      <c r="AI3098" s="9"/>
    </row>
    <row r="3099" ht="15.0" customHeight="1">
      <c r="A3099" s="11">
        <v>3098.0</v>
      </c>
      <c r="B3099" s="12">
        <f t="shared" si="498"/>
        <v>40346</v>
      </c>
      <c r="C3099" s="13">
        <v>2010.0</v>
      </c>
      <c r="D3099" s="11" t="s">
        <v>32</v>
      </c>
      <c r="E3099" s="11">
        <v>4.0</v>
      </c>
      <c r="F3099" s="21" t="s">
        <v>2235</v>
      </c>
      <c r="G3099" s="15">
        <v>0.09511568123393316</v>
      </c>
      <c r="H3099" s="11" t="s">
        <v>33</v>
      </c>
      <c r="I3099" s="16">
        <v>3.2</v>
      </c>
      <c r="J3099" s="11" t="s">
        <v>647</v>
      </c>
      <c r="K3099" s="11" t="s">
        <v>61</v>
      </c>
      <c r="L3099" s="11" t="s">
        <v>27</v>
      </c>
      <c r="M3099" s="11" t="s">
        <v>66</v>
      </c>
      <c r="N3099" s="11" t="s">
        <v>67</v>
      </c>
      <c r="O3099" s="11" t="s">
        <v>68</v>
      </c>
      <c r="P3099" s="11" t="s">
        <v>38</v>
      </c>
      <c r="Q3099" s="20">
        <v>40349.0</v>
      </c>
      <c r="R3099" s="17">
        <f t="shared" si="2"/>
        <v>16.7403599</v>
      </c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>
        <f t="shared" si="8"/>
        <v>1</v>
      </c>
      <c r="AF3099" s="19">
        <f t="shared" si="13"/>
        <v>4</v>
      </c>
      <c r="AG3099" s="9"/>
      <c r="AH3099" s="9"/>
      <c r="AI3099" s="9"/>
    </row>
    <row r="3100" ht="15.0" customHeight="1">
      <c r="A3100" s="11">
        <v>3099.0</v>
      </c>
      <c r="B3100" s="12">
        <f t="shared" si="498"/>
        <v>40346</v>
      </c>
      <c r="C3100" s="13">
        <v>2010.0</v>
      </c>
      <c r="D3100" s="11" t="s">
        <v>32</v>
      </c>
      <c r="E3100" s="11">
        <v>18.0</v>
      </c>
      <c r="F3100" s="21" t="s">
        <v>178</v>
      </c>
      <c r="G3100" s="15">
        <v>0.05204109794273732</v>
      </c>
      <c r="H3100" s="11" t="s">
        <v>33</v>
      </c>
      <c r="I3100" s="16">
        <v>15.991999999999999</v>
      </c>
      <c r="J3100" s="11" t="s">
        <v>647</v>
      </c>
      <c r="K3100" s="11" t="s">
        <v>61</v>
      </c>
      <c r="L3100" s="11" t="s">
        <v>27</v>
      </c>
      <c r="M3100" s="11" t="s">
        <v>66</v>
      </c>
      <c r="N3100" s="11" t="s">
        <v>80</v>
      </c>
      <c r="O3100" s="11" t="s">
        <v>2359</v>
      </c>
      <c r="P3100" s="11" t="s">
        <v>38</v>
      </c>
      <c r="Q3100" s="20">
        <v>40349.0</v>
      </c>
      <c r="R3100" s="17">
        <f t="shared" si="2"/>
        <v>62.56339162</v>
      </c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>
        <f t="shared" si="8"/>
        <v>1</v>
      </c>
      <c r="AF3100" s="19">
        <f t="shared" si="13"/>
        <v>4</v>
      </c>
      <c r="AG3100" s="9"/>
      <c r="AH3100" s="9"/>
      <c r="AI3100" s="9"/>
    </row>
    <row r="3101" ht="15.0" customHeight="1">
      <c r="A3101" s="11">
        <v>3100.0</v>
      </c>
      <c r="B3101" s="12">
        <f t="shared" si="498"/>
        <v>40346</v>
      </c>
      <c r="C3101" s="13">
        <v>2010.0</v>
      </c>
      <c r="D3101" s="11" t="s">
        <v>44</v>
      </c>
      <c r="E3101" s="11">
        <v>25.0</v>
      </c>
      <c r="F3101" s="21" t="s">
        <v>299</v>
      </c>
      <c r="G3101" s="15">
        <v>0.10686327077747987</v>
      </c>
      <c r="H3101" s="11" t="s">
        <v>33</v>
      </c>
      <c r="I3101" s="16">
        <v>7.384</v>
      </c>
      <c r="J3101" s="11" t="s">
        <v>648</v>
      </c>
      <c r="K3101" s="11" t="s">
        <v>35</v>
      </c>
      <c r="L3101" s="11" t="s">
        <v>48</v>
      </c>
      <c r="M3101" s="11" t="s">
        <v>28</v>
      </c>
      <c r="N3101" s="11" t="s">
        <v>197</v>
      </c>
      <c r="O3101" s="11" t="s">
        <v>301</v>
      </c>
      <c r="P3101" s="11" t="s">
        <v>38</v>
      </c>
      <c r="Q3101" s="20">
        <v>40349.0</v>
      </c>
      <c r="R3101" s="17">
        <f t="shared" si="2"/>
        <v>21.36025802</v>
      </c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>
        <f t="shared" si="8"/>
        <v>4</v>
      </c>
      <c r="AF3101" s="19">
        <f t="shared" si="13"/>
        <v>2</v>
      </c>
      <c r="AG3101" s="9"/>
      <c r="AH3101" s="9"/>
      <c r="AI3101" s="9"/>
    </row>
    <row r="3102" ht="15.0" customHeight="1">
      <c r="A3102" s="11">
        <v>3101.0</v>
      </c>
      <c r="B3102" s="12">
        <f t="shared" si="498"/>
        <v>40346</v>
      </c>
      <c r="C3102" s="13">
        <v>2010.0</v>
      </c>
      <c r="D3102" s="11" t="s">
        <v>44</v>
      </c>
      <c r="E3102" s="11">
        <v>25.0</v>
      </c>
      <c r="F3102" s="21" t="s">
        <v>952</v>
      </c>
      <c r="G3102" s="15">
        <v>0.06586306209916702</v>
      </c>
      <c r="H3102" s="11" t="s">
        <v>33</v>
      </c>
      <c r="I3102" s="16">
        <v>19.592</v>
      </c>
      <c r="J3102" s="11" t="s">
        <v>925</v>
      </c>
      <c r="K3102" s="11" t="s">
        <v>35</v>
      </c>
      <c r="L3102" s="11" t="s">
        <v>27</v>
      </c>
      <c r="M3102" s="11" t="s">
        <v>66</v>
      </c>
      <c r="N3102" s="11" t="s">
        <v>170</v>
      </c>
      <c r="O3102" s="11" t="s">
        <v>2110</v>
      </c>
      <c r="P3102" s="11" t="s">
        <v>31</v>
      </c>
      <c r="Q3102" s="20">
        <v>40349.0</v>
      </c>
      <c r="R3102" s="17">
        <f t="shared" si="2"/>
        <v>989.0716629</v>
      </c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>
        <f t="shared" si="8"/>
        <v>1</v>
      </c>
      <c r="AF3102" s="19">
        <f t="shared" si="13"/>
        <v>2</v>
      </c>
      <c r="AG3102" s="9"/>
      <c r="AH3102" s="9"/>
      <c r="AI3102" s="9"/>
    </row>
    <row r="3103" ht="15.0" customHeight="1">
      <c r="A3103" s="11">
        <v>3102.0</v>
      </c>
      <c r="B3103" s="12">
        <f t="shared" si="498"/>
        <v>40346</v>
      </c>
      <c r="C3103" s="13">
        <v>2010.0</v>
      </c>
      <c r="D3103" s="11" t="s">
        <v>44</v>
      </c>
      <c r="E3103" s="11">
        <v>10.0</v>
      </c>
      <c r="F3103" s="21" t="s">
        <v>210</v>
      </c>
      <c r="G3103" s="15">
        <v>0.08453608247422682</v>
      </c>
      <c r="H3103" s="11" t="s">
        <v>33</v>
      </c>
      <c r="I3103" s="16">
        <v>0.6400000000000001</v>
      </c>
      <c r="J3103" s="11" t="s">
        <v>925</v>
      </c>
      <c r="K3103" s="11" t="s">
        <v>35</v>
      </c>
      <c r="L3103" s="11" t="s">
        <v>27</v>
      </c>
      <c r="M3103" s="11" t="s">
        <v>28</v>
      </c>
      <c r="N3103" s="11" t="s">
        <v>216</v>
      </c>
      <c r="O3103" s="11" t="s">
        <v>1290</v>
      </c>
      <c r="P3103" s="11" t="s">
        <v>58</v>
      </c>
      <c r="Q3103" s="20">
        <v>40349.0</v>
      </c>
      <c r="R3103" s="17">
        <f t="shared" si="2"/>
        <v>2.252041237</v>
      </c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>
        <f t="shared" si="8"/>
        <v>1</v>
      </c>
      <c r="AF3103" s="19">
        <f t="shared" si="13"/>
        <v>2</v>
      </c>
      <c r="AG3103" s="9"/>
      <c r="AH3103" s="9"/>
      <c r="AI3103" s="9"/>
    </row>
    <row r="3104" ht="15.0" customHeight="1">
      <c r="A3104" s="11">
        <v>3103.0</v>
      </c>
      <c r="B3104" s="12">
        <f t="shared" si="498"/>
        <v>40346</v>
      </c>
      <c r="C3104" s="13">
        <v>2010.0</v>
      </c>
      <c r="D3104" s="11" t="s">
        <v>23</v>
      </c>
      <c r="E3104" s="11">
        <v>38.0</v>
      </c>
      <c r="F3104" s="21" t="s">
        <v>1273</v>
      </c>
      <c r="G3104" s="15">
        <v>0.06997807704353289</v>
      </c>
      <c r="H3104" s="11" t="s">
        <v>33</v>
      </c>
      <c r="I3104" s="16">
        <v>1.1119999999999999</v>
      </c>
      <c r="J3104" s="11" t="s">
        <v>1199</v>
      </c>
      <c r="K3104" s="11" t="s">
        <v>83</v>
      </c>
      <c r="L3104" s="11" t="s">
        <v>36</v>
      </c>
      <c r="M3104" s="11" t="s">
        <v>28</v>
      </c>
      <c r="N3104" s="11" t="s">
        <v>236</v>
      </c>
      <c r="O3104" s="11" t="s">
        <v>1274</v>
      </c>
      <c r="P3104" s="11" t="s">
        <v>38</v>
      </c>
      <c r="Q3104" s="20">
        <v>40349.0</v>
      </c>
      <c r="R3104" s="17">
        <f t="shared" si="2"/>
        <v>41.56081969</v>
      </c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>
        <f t="shared" si="8"/>
        <v>2</v>
      </c>
      <c r="AF3104" s="19" t="b">
        <f t="shared" si="13"/>
        <v>0</v>
      </c>
      <c r="AG3104" s="9"/>
      <c r="AH3104" s="9"/>
      <c r="AI3104" s="9"/>
    </row>
    <row r="3105" ht="15.0" customHeight="1">
      <c r="A3105" s="11">
        <v>3104.0</v>
      </c>
      <c r="B3105" s="12">
        <f>DATE(2012,12,31)-927</f>
        <v>40347</v>
      </c>
      <c r="C3105" s="13">
        <v>2010.0</v>
      </c>
      <c r="D3105" s="11" t="s">
        <v>44</v>
      </c>
      <c r="E3105" s="11">
        <v>30.0</v>
      </c>
      <c r="F3105" s="21" t="s">
        <v>250</v>
      </c>
      <c r="G3105" s="15">
        <v>0.07443953655095858</v>
      </c>
      <c r="H3105" s="11" t="s">
        <v>45</v>
      </c>
      <c r="I3105" s="16">
        <v>9.648000000000001</v>
      </c>
      <c r="J3105" s="11" t="s">
        <v>803</v>
      </c>
      <c r="K3105" s="11" t="s">
        <v>61</v>
      </c>
      <c r="L3105" s="11" t="s">
        <v>27</v>
      </c>
      <c r="M3105" s="11" t="s">
        <v>66</v>
      </c>
      <c r="N3105" s="11" t="s">
        <v>69</v>
      </c>
      <c r="O3105" s="11" t="s">
        <v>252</v>
      </c>
      <c r="P3105" s="11" t="s">
        <v>87</v>
      </c>
      <c r="Q3105" s="20">
        <v>40350.0</v>
      </c>
      <c r="R3105" s="17">
        <f t="shared" si="2"/>
        <v>893.7693127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>
        <f t="shared" si="8"/>
        <v>1</v>
      </c>
      <c r="AF3105" s="19">
        <f t="shared" si="13"/>
        <v>4</v>
      </c>
      <c r="AG3105" s="9"/>
      <c r="AH3105" s="9"/>
      <c r="AI3105" s="9"/>
    </row>
    <row r="3106" ht="15.0" customHeight="1">
      <c r="A3106" s="11">
        <v>3105.0</v>
      </c>
      <c r="B3106" s="12">
        <f t="shared" ref="B3106:B3113" si="499">DATE(2012,12,31)-926</f>
        <v>40348</v>
      </c>
      <c r="C3106" s="13">
        <v>2010.0</v>
      </c>
      <c r="D3106" s="11" t="s">
        <v>23</v>
      </c>
      <c r="E3106" s="11">
        <v>23.0</v>
      </c>
      <c r="F3106" s="21" t="s">
        <v>242</v>
      </c>
      <c r="G3106" s="15">
        <v>0.03979543851399015</v>
      </c>
      <c r="H3106" s="11" t="s">
        <v>33</v>
      </c>
      <c r="I3106" s="16">
        <v>2.8000000000000003</v>
      </c>
      <c r="J3106" s="11" t="s">
        <v>104</v>
      </c>
      <c r="K3106" s="11" t="s">
        <v>65</v>
      </c>
      <c r="L3106" s="11" t="s">
        <v>48</v>
      </c>
      <c r="M3106" s="11" t="s">
        <v>28</v>
      </c>
      <c r="N3106" s="11" t="s">
        <v>197</v>
      </c>
      <c r="O3106" s="11" t="s">
        <v>1134</v>
      </c>
      <c r="P3106" s="11" t="s">
        <v>38</v>
      </c>
      <c r="Q3106" s="20">
        <v>40350.0</v>
      </c>
      <c r="R3106" s="17">
        <f t="shared" si="2"/>
        <v>65.00584881</v>
      </c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>
        <f t="shared" si="8"/>
        <v>4</v>
      </c>
      <c r="AF3106" s="19">
        <f t="shared" si="13"/>
        <v>5</v>
      </c>
      <c r="AG3106" s="9"/>
      <c r="AH3106" s="9"/>
      <c r="AI3106" s="9"/>
    </row>
    <row r="3107" ht="15.0" customHeight="1">
      <c r="A3107" s="11">
        <v>3106.0</v>
      </c>
      <c r="B3107" s="12">
        <f t="shared" si="499"/>
        <v>40348</v>
      </c>
      <c r="C3107" s="13">
        <v>2010.0</v>
      </c>
      <c r="D3107" s="11" t="s">
        <v>102</v>
      </c>
      <c r="E3107" s="11">
        <v>21.0</v>
      </c>
      <c r="F3107" s="21" t="s">
        <v>186</v>
      </c>
      <c r="G3107" s="15">
        <v>0.046708860759493646</v>
      </c>
      <c r="H3107" s="11" t="s">
        <v>33</v>
      </c>
      <c r="I3107" s="16">
        <v>4.272</v>
      </c>
      <c r="J3107" s="11" t="s">
        <v>507</v>
      </c>
      <c r="K3107" s="11" t="s">
        <v>61</v>
      </c>
      <c r="L3107" s="11" t="s">
        <v>48</v>
      </c>
      <c r="M3107" s="11" t="s">
        <v>28</v>
      </c>
      <c r="N3107" s="11" t="s">
        <v>42</v>
      </c>
      <c r="O3107" s="11" t="s">
        <v>1483</v>
      </c>
      <c r="P3107" s="11" t="s">
        <v>38</v>
      </c>
      <c r="Q3107" s="20">
        <v>40350.0</v>
      </c>
      <c r="R3107" s="17">
        <f t="shared" si="2"/>
        <v>4.221173165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>
        <f t="shared" si="8"/>
        <v>4</v>
      </c>
      <c r="AF3107" s="19">
        <f t="shared" si="13"/>
        <v>4</v>
      </c>
      <c r="AG3107" s="9"/>
      <c r="AH3107" s="9"/>
      <c r="AI3107" s="9"/>
    </row>
    <row r="3108" ht="15.0" customHeight="1">
      <c r="A3108" s="11">
        <v>3107.0</v>
      </c>
      <c r="B3108" s="12">
        <f t="shared" si="499"/>
        <v>40348</v>
      </c>
      <c r="C3108" s="13">
        <v>2010.0</v>
      </c>
      <c r="D3108" s="11" t="s">
        <v>102</v>
      </c>
      <c r="E3108" s="11">
        <v>46.0</v>
      </c>
      <c r="F3108" s="21" t="s">
        <v>186</v>
      </c>
      <c r="G3108" s="15">
        <v>0.09785202863961814</v>
      </c>
      <c r="H3108" s="11" t="s">
        <v>33</v>
      </c>
      <c r="I3108" s="16">
        <v>0.4</v>
      </c>
      <c r="J3108" s="11" t="s">
        <v>507</v>
      </c>
      <c r="K3108" s="11" t="s">
        <v>61</v>
      </c>
      <c r="L3108" s="11" t="s">
        <v>48</v>
      </c>
      <c r="M3108" s="11" t="s">
        <v>28</v>
      </c>
      <c r="N3108" s="11" t="s">
        <v>188</v>
      </c>
      <c r="O3108" s="11" t="s">
        <v>1968</v>
      </c>
      <c r="P3108" s="11" t="s">
        <v>38</v>
      </c>
      <c r="Q3108" s="20">
        <v>40351.0</v>
      </c>
      <c r="R3108" s="17">
        <f t="shared" si="2"/>
        <v>18.49403341</v>
      </c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>
        <f t="shared" si="8"/>
        <v>4</v>
      </c>
      <c r="AF3108" s="19">
        <f t="shared" si="13"/>
        <v>4</v>
      </c>
      <c r="AG3108" s="9"/>
      <c r="AH3108" s="9"/>
      <c r="AI3108" s="9"/>
    </row>
    <row r="3109" ht="15.0" customHeight="1">
      <c r="A3109" s="11">
        <v>3108.0</v>
      </c>
      <c r="B3109" s="12">
        <f t="shared" si="499"/>
        <v>40348</v>
      </c>
      <c r="C3109" s="13">
        <v>2010.0</v>
      </c>
      <c r="D3109" s="11" t="s">
        <v>102</v>
      </c>
      <c r="E3109" s="11">
        <v>9.0</v>
      </c>
      <c r="F3109" s="21" t="s">
        <v>122</v>
      </c>
      <c r="G3109" s="15">
        <v>0.08246653919694064</v>
      </c>
      <c r="H3109" s="11" t="s">
        <v>33</v>
      </c>
      <c r="I3109" s="16">
        <v>3.848</v>
      </c>
      <c r="J3109" s="11" t="s">
        <v>507</v>
      </c>
      <c r="K3109" s="11" t="s">
        <v>61</v>
      </c>
      <c r="L3109" s="11" t="s">
        <v>48</v>
      </c>
      <c r="M3109" s="11" t="s">
        <v>66</v>
      </c>
      <c r="N3109" s="11" t="s">
        <v>80</v>
      </c>
      <c r="O3109" s="11" t="s">
        <v>899</v>
      </c>
      <c r="P3109" s="11" t="s">
        <v>75</v>
      </c>
      <c r="Q3109" s="20">
        <v>40351.0</v>
      </c>
      <c r="R3109" s="17">
        <f t="shared" si="2"/>
        <v>15.82928727</v>
      </c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>
        <f t="shared" si="8"/>
        <v>4</v>
      </c>
      <c r="AF3109" s="19">
        <f t="shared" si="13"/>
        <v>4</v>
      </c>
      <c r="AG3109" s="9"/>
      <c r="AH3109" s="9"/>
      <c r="AI3109" s="9"/>
    </row>
    <row r="3110" ht="15.0" customHeight="1">
      <c r="A3110" s="11">
        <v>3109.0</v>
      </c>
      <c r="B3110" s="12">
        <f t="shared" si="499"/>
        <v>40348</v>
      </c>
      <c r="C3110" s="13">
        <v>2010.0</v>
      </c>
      <c r="D3110" s="11" t="s">
        <v>44</v>
      </c>
      <c r="E3110" s="11">
        <v>21.0</v>
      </c>
      <c r="F3110" s="21" t="s">
        <v>834</v>
      </c>
      <c r="G3110" s="15">
        <v>0.035081912711704244</v>
      </c>
      <c r="H3110" s="11" t="s">
        <v>45</v>
      </c>
      <c r="I3110" s="16">
        <v>38.608000000000004</v>
      </c>
      <c r="J3110" s="11" t="s">
        <v>1861</v>
      </c>
      <c r="K3110" s="11" t="s">
        <v>83</v>
      </c>
      <c r="L3110" s="11" t="s">
        <v>36</v>
      </c>
      <c r="M3110" s="11" t="s">
        <v>66</v>
      </c>
      <c r="N3110" s="11" t="s">
        <v>69</v>
      </c>
      <c r="O3110" s="11" t="s">
        <v>835</v>
      </c>
      <c r="P3110" s="11" t="s">
        <v>87</v>
      </c>
      <c r="Q3110" s="20">
        <v>40351.0</v>
      </c>
      <c r="R3110" s="17">
        <f t="shared" si="2"/>
        <v>296.7055574</v>
      </c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>
        <f t="shared" si="8"/>
        <v>2</v>
      </c>
      <c r="AF3110" s="19" t="b">
        <f t="shared" si="13"/>
        <v>0</v>
      </c>
      <c r="AG3110" s="9"/>
      <c r="AH3110" s="9"/>
      <c r="AI3110" s="9"/>
    </row>
    <row r="3111" ht="15.0" customHeight="1">
      <c r="A3111" s="11">
        <v>3110.0</v>
      </c>
      <c r="B3111" s="12">
        <f t="shared" si="499"/>
        <v>40348</v>
      </c>
      <c r="C3111" s="13">
        <v>2010.0</v>
      </c>
      <c r="D3111" s="11" t="s">
        <v>23</v>
      </c>
      <c r="E3111" s="11">
        <v>28.0</v>
      </c>
      <c r="F3111" s="21" t="s">
        <v>336</v>
      </c>
      <c r="G3111" s="15">
        <v>0.01745936183022262</v>
      </c>
      <c r="H3111" s="11" t="s">
        <v>33</v>
      </c>
      <c r="I3111" s="16">
        <v>0.8</v>
      </c>
      <c r="J3111" s="11" t="s">
        <v>940</v>
      </c>
      <c r="K3111" s="11" t="s">
        <v>26</v>
      </c>
      <c r="L3111" s="11" t="s">
        <v>41</v>
      </c>
      <c r="M3111" s="11" t="s">
        <v>28</v>
      </c>
      <c r="N3111" s="11" t="s">
        <v>62</v>
      </c>
      <c r="O3111" s="11" t="s">
        <v>2107</v>
      </c>
      <c r="P3111" s="11" t="s">
        <v>58</v>
      </c>
      <c r="Q3111" s="20">
        <v>40351.0</v>
      </c>
      <c r="R3111" s="17">
        <f t="shared" si="2"/>
        <v>2.849367851</v>
      </c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>
        <f t="shared" si="8"/>
        <v>3</v>
      </c>
      <c r="AF3111" s="19">
        <f t="shared" si="13"/>
        <v>1</v>
      </c>
      <c r="AG3111" s="9"/>
      <c r="AH3111" s="9"/>
      <c r="AI3111" s="9"/>
    </row>
    <row r="3112" ht="15.0" customHeight="1">
      <c r="A3112" s="11">
        <v>3111.0</v>
      </c>
      <c r="B3112" s="12">
        <f t="shared" si="499"/>
        <v>40348</v>
      </c>
      <c r="C3112" s="13">
        <v>2010.0</v>
      </c>
      <c r="D3112" s="11" t="s">
        <v>39</v>
      </c>
      <c r="E3112" s="11">
        <v>30.0</v>
      </c>
      <c r="F3112" s="21" t="s">
        <v>158</v>
      </c>
      <c r="G3112" s="15">
        <v>0.05567800670819347</v>
      </c>
      <c r="H3112" s="11" t="s">
        <v>24</v>
      </c>
      <c r="I3112" s="16">
        <v>5.08</v>
      </c>
      <c r="J3112" s="11" t="s">
        <v>1409</v>
      </c>
      <c r="K3112" s="11" t="s">
        <v>26</v>
      </c>
      <c r="L3112" s="11" t="s">
        <v>27</v>
      </c>
      <c r="M3112" s="11" t="s">
        <v>28</v>
      </c>
      <c r="N3112" s="11" t="s">
        <v>56</v>
      </c>
      <c r="O3112" s="11" t="s">
        <v>931</v>
      </c>
      <c r="P3112" s="11" t="s">
        <v>38</v>
      </c>
      <c r="Q3112" s="20">
        <v>40351.0</v>
      </c>
      <c r="R3112" s="17">
        <f t="shared" si="2"/>
        <v>10.97302156</v>
      </c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>
        <f t="shared" si="8"/>
        <v>1</v>
      </c>
      <c r="AF3112" s="19">
        <f t="shared" si="13"/>
        <v>1</v>
      </c>
      <c r="AG3112" s="9"/>
      <c r="AH3112" s="9"/>
      <c r="AI3112" s="9"/>
    </row>
    <row r="3113" ht="15.0" customHeight="1">
      <c r="A3113" s="11">
        <v>3112.0</v>
      </c>
      <c r="B3113" s="12">
        <f t="shared" si="499"/>
        <v>40348</v>
      </c>
      <c r="C3113" s="13">
        <v>2010.0</v>
      </c>
      <c r="D3113" s="11" t="s">
        <v>23</v>
      </c>
      <c r="E3113" s="11">
        <v>44.0</v>
      </c>
      <c r="F3113" s="21" t="s">
        <v>872</v>
      </c>
      <c r="G3113" s="15">
        <v>0.006493246623311807</v>
      </c>
      <c r="H3113" s="11" t="s">
        <v>33</v>
      </c>
      <c r="I3113" s="16">
        <v>6.808</v>
      </c>
      <c r="J3113" s="11" t="s">
        <v>2360</v>
      </c>
      <c r="K3113" s="11" t="s">
        <v>35</v>
      </c>
      <c r="L3113" s="11" t="s">
        <v>41</v>
      </c>
      <c r="M3113" s="11" t="s">
        <v>66</v>
      </c>
      <c r="N3113" s="11" t="s">
        <v>69</v>
      </c>
      <c r="O3113" s="11" t="s">
        <v>1000</v>
      </c>
      <c r="P3113" s="11" t="s">
        <v>75</v>
      </c>
      <c r="Q3113" s="20">
        <v>40352.0</v>
      </c>
      <c r="R3113" s="17">
        <f t="shared" si="2"/>
        <v>5.158287064</v>
      </c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>
        <f t="shared" si="8"/>
        <v>3</v>
      </c>
      <c r="AF3113" s="19">
        <f t="shared" si="13"/>
        <v>2</v>
      </c>
      <c r="AG3113" s="9"/>
      <c r="AH3113" s="9"/>
      <c r="AI3113" s="9"/>
    </row>
    <row r="3114" ht="15.0" customHeight="1">
      <c r="A3114" s="11">
        <v>3113.0</v>
      </c>
      <c r="B3114" s="12">
        <f t="shared" ref="B3114:B3115" si="500">DATE(2012,12,31)-925</f>
        <v>40349</v>
      </c>
      <c r="C3114" s="13">
        <v>2010.0</v>
      </c>
      <c r="D3114" s="11" t="s">
        <v>102</v>
      </c>
      <c r="E3114" s="11">
        <v>42.0</v>
      </c>
      <c r="F3114" s="21" t="s">
        <v>238</v>
      </c>
      <c r="G3114" s="15">
        <v>0.03726618705035976</v>
      </c>
      <c r="H3114" s="11" t="s">
        <v>33</v>
      </c>
      <c r="I3114" s="16">
        <v>4.112</v>
      </c>
      <c r="J3114" s="11" t="s">
        <v>1214</v>
      </c>
      <c r="K3114" s="11" t="s">
        <v>35</v>
      </c>
      <c r="L3114" s="11" t="s">
        <v>27</v>
      </c>
      <c r="M3114" s="11" t="s">
        <v>66</v>
      </c>
      <c r="N3114" s="11" t="s">
        <v>67</v>
      </c>
      <c r="O3114" s="11" t="s">
        <v>240</v>
      </c>
      <c r="P3114" s="11" t="s">
        <v>99</v>
      </c>
      <c r="Q3114" s="20">
        <v>40352.0</v>
      </c>
      <c r="R3114" s="17">
        <f t="shared" si="2"/>
        <v>7.979137842</v>
      </c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>
        <f t="shared" si="8"/>
        <v>1</v>
      </c>
      <c r="AF3114" s="19">
        <f t="shared" si="13"/>
        <v>2</v>
      </c>
      <c r="AG3114" s="9"/>
      <c r="AH3114" s="9"/>
      <c r="AI3114" s="9"/>
    </row>
    <row r="3115" ht="15.0" customHeight="1">
      <c r="A3115" s="11">
        <v>3114.0</v>
      </c>
      <c r="B3115" s="12">
        <f t="shared" si="500"/>
        <v>40349</v>
      </c>
      <c r="C3115" s="13">
        <v>2010.0</v>
      </c>
      <c r="D3115" s="11" t="s">
        <v>32</v>
      </c>
      <c r="E3115" s="11">
        <v>31.0</v>
      </c>
      <c r="F3115" s="21" t="s">
        <v>1791</v>
      </c>
      <c r="G3115" s="15">
        <v>0.08291187739463592</v>
      </c>
      <c r="H3115" s="11" t="s">
        <v>33</v>
      </c>
      <c r="I3115" s="16">
        <v>2.8960000000000004</v>
      </c>
      <c r="J3115" s="11" t="s">
        <v>494</v>
      </c>
      <c r="K3115" s="11" t="s">
        <v>83</v>
      </c>
      <c r="L3115" s="11" t="s">
        <v>48</v>
      </c>
      <c r="M3115" s="11" t="s">
        <v>66</v>
      </c>
      <c r="N3115" s="11" t="s">
        <v>67</v>
      </c>
      <c r="O3115" s="11" t="s">
        <v>2118</v>
      </c>
      <c r="P3115" s="11" t="s">
        <v>99</v>
      </c>
      <c r="Q3115" s="20">
        <v>40352.0</v>
      </c>
      <c r="R3115" s="17">
        <f t="shared" si="2"/>
        <v>21.83036567</v>
      </c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>
        <f t="shared" si="8"/>
        <v>4</v>
      </c>
      <c r="AF3115" s="19" t="b">
        <f t="shared" si="13"/>
        <v>0</v>
      </c>
      <c r="AG3115" s="9"/>
      <c r="AH3115" s="9"/>
      <c r="AI3115" s="9"/>
    </row>
    <row r="3116" ht="15.0" customHeight="1">
      <c r="A3116" s="11">
        <v>3115.0</v>
      </c>
      <c r="B3116" s="12">
        <f t="shared" ref="B3116:B3123" si="501">DATE(2012,12,31)-924</f>
        <v>40350</v>
      </c>
      <c r="C3116" s="13">
        <v>2010.0</v>
      </c>
      <c r="D3116" s="11" t="s">
        <v>44</v>
      </c>
      <c r="E3116" s="11">
        <v>17.0</v>
      </c>
      <c r="F3116" s="21" t="s">
        <v>702</v>
      </c>
      <c r="G3116" s="15">
        <v>0.05874519846350825</v>
      </c>
      <c r="H3116" s="11" t="s">
        <v>33</v>
      </c>
      <c r="I3116" s="16">
        <v>5.5120000000000005</v>
      </c>
      <c r="J3116" s="11" t="s">
        <v>724</v>
      </c>
      <c r="K3116" s="11" t="s">
        <v>65</v>
      </c>
      <c r="L3116" s="11" t="s">
        <v>48</v>
      </c>
      <c r="M3116" s="11" t="s">
        <v>28</v>
      </c>
      <c r="N3116" s="11" t="s">
        <v>197</v>
      </c>
      <c r="O3116" s="11" t="s">
        <v>704</v>
      </c>
      <c r="P3116" s="11" t="s">
        <v>38</v>
      </c>
      <c r="Q3116" s="20">
        <v>40352.0</v>
      </c>
      <c r="R3116" s="17">
        <f t="shared" si="2"/>
        <v>4.318477029</v>
      </c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>
        <f t="shared" si="8"/>
        <v>4</v>
      </c>
      <c r="AF3116" s="19">
        <f t="shared" si="13"/>
        <v>5</v>
      </c>
      <c r="AG3116" s="9"/>
      <c r="AH3116" s="9"/>
      <c r="AI3116" s="9"/>
    </row>
    <row r="3117" ht="15.0" customHeight="1">
      <c r="A3117" s="11">
        <v>3116.0</v>
      </c>
      <c r="B3117" s="12">
        <f t="shared" si="501"/>
        <v>40350</v>
      </c>
      <c r="C3117" s="13">
        <v>2010.0</v>
      </c>
      <c r="D3117" s="11" t="s">
        <v>102</v>
      </c>
      <c r="E3117" s="11">
        <v>8.0</v>
      </c>
      <c r="F3117" s="21" t="s">
        <v>1247</v>
      </c>
      <c r="G3117" s="15">
        <v>0.07567753001715252</v>
      </c>
      <c r="H3117" s="11" t="s">
        <v>33</v>
      </c>
      <c r="I3117" s="16">
        <v>4.288</v>
      </c>
      <c r="J3117" s="11" t="s">
        <v>2080</v>
      </c>
      <c r="K3117" s="11" t="s">
        <v>65</v>
      </c>
      <c r="L3117" s="11" t="s">
        <v>48</v>
      </c>
      <c r="M3117" s="11" t="s">
        <v>28</v>
      </c>
      <c r="N3117" s="11" t="s">
        <v>42</v>
      </c>
      <c r="O3117" s="11" t="s">
        <v>1624</v>
      </c>
      <c r="P3117" s="11" t="s">
        <v>38</v>
      </c>
      <c r="Q3117" s="20">
        <v>40352.0</v>
      </c>
      <c r="R3117" s="17">
        <f t="shared" si="2"/>
        <v>4.078110738</v>
      </c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>
        <f t="shared" si="8"/>
        <v>4</v>
      </c>
      <c r="AF3117" s="19">
        <f t="shared" si="13"/>
        <v>5</v>
      </c>
      <c r="AG3117" s="9"/>
      <c r="AH3117" s="9"/>
      <c r="AI3117" s="9"/>
    </row>
    <row r="3118" ht="15.0" customHeight="1">
      <c r="A3118" s="11">
        <v>3117.0</v>
      </c>
      <c r="B3118" s="12">
        <f t="shared" si="501"/>
        <v>40350</v>
      </c>
      <c r="C3118" s="13">
        <v>2010.0</v>
      </c>
      <c r="D3118" s="11" t="s">
        <v>102</v>
      </c>
      <c r="E3118" s="11">
        <v>7.0</v>
      </c>
      <c r="F3118" s="21" t="s">
        <v>93</v>
      </c>
      <c r="G3118" s="15">
        <v>0.06519793459552502</v>
      </c>
      <c r="H3118" s="11" t="s">
        <v>33</v>
      </c>
      <c r="I3118" s="16">
        <v>1.1119999999999999</v>
      </c>
      <c r="J3118" s="11" t="s">
        <v>2080</v>
      </c>
      <c r="K3118" s="11" t="s">
        <v>65</v>
      </c>
      <c r="L3118" s="11" t="s">
        <v>48</v>
      </c>
      <c r="M3118" s="11" t="s">
        <v>28</v>
      </c>
      <c r="N3118" s="11" t="s">
        <v>236</v>
      </c>
      <c r="O3118" s="11" t="s">
        <v>367</v>
      </c>
      <c r="P3118" s="11" t="s">
        <v>38</v>
      </c>
      <c r="Q3118" s="20">
        <v>40352.0</v>
      </c>
      <c r="R3118" s="17">
        <f t="shared" si="2"/>
        <v>3.541030224</v>
      </c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>
        <f t="shared" si="8"/>
        <v>4</v>
      </c>
      <c r="AF3118" s="19">
        <f t="shared" si="13"/>
        <v>5</v>
      </c>
      <c r="AG3118" s="9"/>
      <c r="AH3118" s="9"/>
      <c r="AI3118" s="9"/>
    </row>
    <row r="3119" ht="15.0" customHeight="1">
      <c r="A3119" s="11">
        <v>3118.0</v>
      </c>
      <c r="B3119" s="12">
        <f t="shared" si="501"/>
        <v>40350</v>
      </c>
      <c r="C3119" s="13">
        <v>2010.0</v>
      </c>
      <c r="D3119" s="11" t="s">
        <v>102</v>
      </c>
      <c r="E3119" s="11">
        <v>37.0</v>
      </c>
      <c r="F3119" s="21" t="s">
        <v>1369</v>
      </c>
      <c r="G3119" s="15">
        <v>0.08939873417721517</v>
      </c>
      <c r="H3119" s="11" t="s">
        <v>33</v>
      </c>
      <c r="I3119" s="16">
        <v>0.4</v>
      </c>
      <c r="J3119" s="11" t="s">
        <v>2080</v>
      </c>
      <c r="K3119" s="11" t="s">
        <v>65</v>
      </c>
      <c r="L3119" s="11" t="s">
        <v>48</v>
      </c>
      <c r="M3119" s="11" t="s">
        <v>28</v>
      </c>
      <c r="N3119" s="11" t="s">
        <v>188</v>
      </c>
      <c r="O3119" s="11" t="s">
        <v>1575</v>
      </c>
      <c r="P3119" s="11" t="s">
        <v>38</v>
      </c>
      <c r="Q3119" s="20">
        <v>40353.0</v>
      </c>
      <c r="R3119" s="17">
        <f t="shared" si="2"/>
        <v>10.2897943</v>
      </c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>
        <f t="shared" si="8"/>
        <v>4</v>
      </c>
      <c r="AF3119" s="19">
        <f t="shared" si="13"/>
        <v>5</v>
      </c>
      <c r="AG3119" s="9"/>
      <c r="AH3119" s="9"/>
      <c r="AI3119" s="9"/>
    </row>
    <row r="3120" ht="15.0" customHeight="1">
      <c r="A3120" s="11">
        <v>3119.0</v>
      </c>
      <c r="B3120" s="12">
        <f t="shared" si="501"/>
        <v>40350</v>
      </c>
      <c r="C3120" s="13">
        <v>2010.0</v>
      </c>
      <c r="D3120" s="11" t="s">
        <v>32</v>
      </c>
      <c r="E3120" s="11">
        <v>24.0</v>
      </c>
      <c r="F3120" s="21" t="s">
        <v>413</v>
      </c>
      <c r="G3120" s="15">
        <v>0.09057888762769589</v>
      </c>
      <c r="H3120" s="11" t="s">
        <v>33</v>
      </c>
      <c r="I3120" s="16">
        <v>7.56</v>
      </c>
      <c r="J3120" s="11" t="s">
        <v>771</v>
      </c>
      <c r="K3120" s="11" t="s">
        <v>61</v>
      </c>
      <c r="L3120" s="11" t="s">
        <v>48</v>
      </c>
      <c r="M3120" s="11" t="s">
        <v>28</v>
      </c>
      <c r="N3120" s="11" t="s">
        <v>29</v>
      </c>
      <c r="O3120" s="11" t="s">
        <v>660</v>
      </c>
      <c r="P3120" s="11" t="s">
        <v>38</v>
      </c>
      <c r="Q3120" s="20">
        <v>40353.0</v>
      </c>
      <c r="R3120" s="17">
        <f t="shared" si="2"/>
        <v>21.77154143</v>
      </c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>
        <f t="shared" si="8"/>
        <v>4</v>
      </c>
      <c r="AF3120" s="19">
        <f t="shared" si="13"/>
        <v>4</v>
      </c>
      <c r="AG3120" s="9"/>
      <c r="AH3120" s="9"/>
      <c r="AI3120" s="9"/>
    </row>
    <row r="3121" ht="15.0" customHeight="1">
      <c r="A3121" s="11">
        <v>3120.0</v>
      </c>
      <c r="B3121" s="12">
        <f t="shared" si="501"/>
        <v>40350</v>
      </c>
      <c r="C3121" s="13">
        <v>2010.0</v>
      </c>
      <c r="D3121" s="11" t="s">
        <v>32</v>
      </c>
      <c r="E3121" s="11">
        <v>49.0</v>
      </c>
      <c r="F3121" s="21" t="s">
        <v>729</v>
      </c>
      <c r="G3121" s="15">
        <v>0.012796605031827658</v>
      </c>
      <c r="H3121" s="11" t="s">
        <v>33</v>
      </c>
      <c r="I3121" s="16">
        <v>1.592</v>
      </c>
      <c r="J3121" s="11" t="s">
        <v>2361</v>
      </c>
      <c r="K3121" s="11" t="s">
        <v>83</v>
      </c>
      <c r="L3121" s="11" t="s">
        <v>36</v>
      </c>
      <c r="M3121" s="11" t="s">
        <v>66</v>
      </c>
      <c r="N3121" s="11" t="s">
        <v>67</v>
      </c>
      <c r="O3121" s="11" t="s">
        <v>2362</v>
      </c>
      <c r="P3121" s="11" t="s">
        <v>99</v>
      </c>
      <c r="Q3121" s="20">
        <v>40353.0</v>
      </c>
      <c r="R3121" s="17">
        <f t="shared" si="2"/>
        <v>20.83788926</v>
      </c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>
        <f t="shared" si="8"/>
        <v>2</v>
      </c>
      <c r="AF3121" s="19" t="b">
        <f t="shared" si="13"/>
        <v>0</v>
      </c>
      <c r="AG3121" s="9"/>
      <c r="AH3121" s="9"/>
      <c r="AI3121" s="9"/>
    </row>
    <row r="3122" ht="15.0" customHeight="1">
      <c r="A3122" s="11">
        <v>3121.0</v>
      </c>
      <c r="B3122" s="12">
        <f t="shared" si="501"/>
        <v>40350</v>
      </c>
      <c r="C3122" s="13">
        <v>2010.0</v>
      </c>
      <c r="D3122" s="11" t="s">
        <v>32</v>
      </c>
      <c r="E3122" s="11">
        <v>11.0</v>
      </c>
      <c r="F3122" s="21" t="s">
        <v>319</v>
      </c>
      <c r="G3122" s="15">
        <v>0.06992042440318309</v>
      </c>
      <c r="H3122" s="11" t="s">
        <v>33</v>
      </c>
      <c r="I3122" s="16">
        <v>4.264</v>
      </c>
      <c r="J3122" s="11" t="s">
        <v>2361</v>
      </c>
      <c r="K3122" s="11" t="s">
        <v>83</v>
      </c>
      <c r="L3122" s="11" t="s">
        <v>36</v>
      </c>
      <c r="M3122" s="11" t="s">
        <v>28</v>
      </c>
      <c r="N3122" s="11" t="s">
        <v>188</v>
      </c>
      <c r="O3122" s="11" t="s">
        <v>2338</v>
      </c>
      <c r="P3122" s="11" t="s">
        <v>38</v>
      </c>
      <c r="Q3122" s="20">
        <v>40353.0</v>
      </c>
      <c r="R3122" s="17">
        <f t="shared" si="2"/>
        <v>2.451689761</v>
      </c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>
        <f t="shared" si="8"/>
        <v>2</v>
      </c>
      <c r="AF3122" s="19" t="b">
        <f t="shared" si="13"/>
        <v>0</v>
      </c>
      <c r="AG3122" s="9"/>
      <c r="AH3122" s="9"/>
      <c r="AI3122" s="9"/>
    </row>
    <row r="3123" ht="15.0" customHeight="1">
      <c r="A3123" s="11">
        <v>3122.0</v>
      </c>
      <c r="B3123" s="12">
        <f t="shared" si="501"/>
        <v>40350</v>
      </c>
      <c r="C3123" s="13">
        <v>2010.0</v>
      </c>
      <c r="D3123" s="11" t="s">
        <v>32</v>
      </c>
      <c r="E3123" s="11">
        <v>34.0</v>
      </c>
      <c r="F3123" s="21" t="s">
        <v>1050</v>
      </c>
      <c r="G3123" s="15">
        <v>0.017123899451320604</v>
      </c>
      <c r="H3123" s="11" t="s">
        <v>33</v>
      </c>
      <c r="I3123" s="16">
        <v>12.08</v>
      </c>
      <c r="J3123" s="11" t="s">
        <v>1653</v>
      </c>
      <c r="K3123" s="11" t="s">
        <v>83</v>
      </c>
      <c r="L3123" s="11" t="s">
        <v>36</v>
      </c>
      <c r="M3123" s="11" t="s">
        <v>28</v>
      </c>
      <c r="N3123" s="11" t="s">
        <v>42</v>
      </c>
      <c r="O3123" s="11" t="s">
        <v>1052</v>
      </c>
      <c r="P3123" s="11" t="s">
        <v>38</v>
      </c>
      <c r="Q3123" s="20">
        <v>40353.0</v>
      </c>
      <c r="R3123" s="17">
        <f t="shared" si="2"/>
        <v>13.19019727</v>
      </c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>
        <f t="shared" si="8"/>
        <v>2</v>
      </c>
      <c r="AF3123" s="19" t="b">
        <f t="shared" si="13"/>
        <v>0</v>
      </c>
      <c r="AG3123" s="9"/>
      <c r="AH3123" s="9"/>
      <c r="AI3123" s="9"/>
    </row>
    <row r="3124" ht="15.0" customHeight="1">
      <c r="A3124" s="11">
        <v>3123.0</v>
      </c>
      <c r="B3124" s="12">
        <f t="shared" ref="B3124:B3125" si="502">DATE(2012,12,31)-923</f>
        <v>40351</v>
      </c>
      <c r="C3124" s="13">
        <v>2010.0</v>
      </c>
      <c r="D3124" s="11" t="s">
        <v>32</v>
      </c>
      <c r="E3124" s="11">
        <v>4.0</v>
      </c>
      <c r="F3124" s="21" t="s">
        <v>869</v>
      </c>
      <c r="G3124" s="15">
        <v>0.08382016493748333</v>
      </c>
      <c r="H3124" s="11" t="s">
        <v>33</v>
      </c>
      <c r="I3124" s="16">
        <v>0.792</v>
      </c>
      <c r="J3124" s="11" t="s">
        <v>636</v>
      </c>
      <c r="K3124" s="11" t="s">
        <v>61</v>
      </c>
      <c r="L3124" s="11" t="s">
        <v>41</v>
      </c>
      <c r="M3124" s="11" t="s">
        <v>66</v>
      </c>
      <c r="N3124" s="11" t="s">
        <v>80</v>
      </c>
      <c r="O3124" s="11" t="s">
        <v>1055</v>
      </c>
      <c r="P3124" s="11" t="s">
        <v>58</v>
      </c>
      <c r="Q3124" s="20">
        <v>40353.0</v>
      </c>
      <c r="R3124" s="17">
        <f t="shared" si="2"/>
        <v>28.86699424</v>
      </c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>
        <f t="shared" si="8"/>
        <v>3</v>
      </c>
      <c r="AF3124" s="19">
        <f t="shared" si="13"/>
        <v>4</v>
      </c>
      <c r="AG3124" s="9"/>
      <c r="AH3124" s="9"/>
      <c r="AI3124" s="9"/>
    </row>
    <row r="3125" ht="15.0" customHeight="1">
      <c r="A3125" s="11">
        <v>3124.0</v>
      </c>
      <c r="B3125" s="12">
        <f t="shared" si="502"/>
        <v>40351</v>
      </c>
      <c r="C3125" s="13">
        <v>2010.0</v>
      </c>
      <c r="D3125" s="11" t="s">
        <v>23</v>
      </c>
      <c r="E3125" s="11">
        <v>22.0</v>
      </c>
      <c r="F3125" s="21" t="s">
        <v>1074</v>
      </c>
      <c r="G3125" s="15">
        <v>0.050492797573919716</v>
      </c>
      <c r="H3125" s="11" t="s">
        <v>33</v>
      </c>
      <c r="I3125" s="16">
        <v>4.24</v>
      </c>
      <c r="J3125" s="11" t="s">
        <v>2295</v>
      </c>
      <c r="K3125" s="11" t="s">
        <v>26</v>
      </c>
      <c r="L3125" s="11" t="s">
        <v>41</v>
      </c>
      <c r="M3125" s="11" t="s">
        <v>28</v>
      </c>
      <c r="N3125" s="11" t="s">
        <v>236</v>
      </c>
      <c r="O3125" s="11" t="s">
        <v>1075</v>
      </c>
      <c r="P3125" s="11" t="s">
        <v>38</v>
      </c>
      <c r="Q3125" s="20">
        <v>40353.0</v>
      </c>
      <c r="R3125" s="17">
        <f t="shared" si="2"/>
        <v>6.323717968</v>
      </c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>
        <f t="shared" si="8"/>
        <v>3</v>
      </c>
      <c r="AF3125" s="19">
        <f t="shared" si="13"/>
        <v>1</v>
      </c>
      <c r="AG3125" s="9"/>
      <c r="AH3125" s="9"/>
      <c r="AI3125" s="9"/>
    </row>
    <row r="3126" ht="15.0" customHeight="1">
      <c r="A3126" s="11">
        <v>3125.0</v>
      </c>
      <c r="B3126" s="12">
        <f t="shared" ref="B3126:B3134" si="503">DATE(2012,12,31)-922</f>
        <v>40352</v>
      </c>
      <c r="C3126" s="13">
        <v>2010.0</v>
      </c>
      <c r="D3126" s="11" t="s">
        <v>32</v>
      </c>
      <c r="E3126" s="11">
        <v>39.0</v>
      </c>
      <c r="F3126" s="21" t="s">
        <v>122</v>
      </c>
      <c r="G3126" s="15">
        <v>0.08665397962610548</v>
      </c>
      <c r="H3126" s="11" t="s">
        <v>33</v>
      </c>
      <c r="I3126" s="16">
        <v>0.792</v>
      </c>
      <c r="J3126" s="11" t="s">
        <v>1831</v>
      </c>
      <c r="K3126" s="11" t="s">
        <v>61</v>
      </c>
      <c r="L3126" s="11" t="s">
        <v>48</v>
      </c>
      <c r="M3126" s="11" t="s">
        <v>66</v>
      </c>
      <c r="N3126" s="11" t="s">
        <v>80</v>
      </c>
      <c r="O3126" s="11" t="s">
        <v>1321</v>
      </c>
      <c r="P3126" s="11" t="s">
        <v>58</v>
      </c>
      <c r="Q3126" s="20">
        <v>40353.0</v>
      </c>
      <c r="R3126" s="17">
        <f t="shared" si="2"/>
        <v>70.70028875</v>
      </c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>
        <f t="shared" si="8"/>
        <v>4</v>
      </c>
      <c r="AF3126" s="19">
        <f t="shared" si="13"/>
        <v>4</v>
      </c>
      <c r="AG3126" s="9"/>
      <c r="AH3126" s="9"/>
      <c r="AI3126" s="9"/>
    </row>
    <row r="3127" ht="15.0" customHeight="1">
      <c r="A3127" s="11">
        <v>3126.0</v>
      </c>
      <c r="B3127" s="12">
        <f t="shared" si="503"/>
        <v>40352</v>
      </c>
      <c r="C3127" s="13">
        <v>2010.0</v>
      </c>
      <c r="D3127" s="11" t="s">
        <v>23</v>
      </c>
      <c r="E3127" s="11">
        <v>31.0</v>
      </c>
      <c r="F3127" s="21" t="s">
        <v>1891</v>
      </c>
      <c r="G3127" s="15">
        <v>0.040249589490968705</v>
      </c>
      <c r="H3127" s="11" t="s">
        <v>33</v>
      </c>
      <c r="I3127" s="16">
        <v>3.944</v>
      </c>
      <c r="J3127" s="11" t="s">
        <v>613</v>
      </c>
      <c r="K3127" s="11" t="s">
        <v>65</v>
      </c>
      <c r="L3127" s="11" t="s">
        <v>48</v>
      </c>
      <c r="M3127" s="11" t="s">
        <v>49</v>
      </c>
      <c r="N3127" s="11" t="s">
        <v>73</v>
      </c>
      <c r="O3127" s="11" t="s">
        <v>1892</v>
      </c>
      <c r="P3127" s="11" t="s">
        <v>38</v>
      </c>
      <c r="Q3127" s="20">
        <v>40354.0</v>
      </c>
      <c r="R3127" s="17">
        <f t="shared" si="2"/>
        <v>11.76270103</v>
      </c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>
        <f t="shared" si="8"/>
        <v>4</v>
      </c>
      <c r="AF3127" s="19">
        <f t="shared" si="13"/>
        <v>5</v>
      </c>
      <c r="AG3127" s="9"/>
      <c r="AH3127" s="9"/>
      <c r="AI3127" s="9"/>
    </row>
    <row r="3128" ht="15.0" customHeight="1">
      <c r="A3128" s="11">
        <v>3127.0</v>
      </c>
      <c r="B3128" s="12">
        <f t="shared" si="503"/>
        <v>40352</v>
      </c>
      <c r="C3128" s="13">
        <v>2010.0</v>
      </c>
      <c r="D3128" s="11" t="s">
        <v>23</v>
      </c>
      <c r="E3128" s="11">
        <v>39.0</v>
      </c>
      <c r="F3128" s="21" t="s">
        <v>292</v>
      </c>
      <c r="G3128" s="15">
        <v>0.04033311016361874</v>
      </c>
      <c r="H3128" s="11" t="s">
        <v>45</v>
      </c>
      <c r="I3128" s="16">
        <v>54.416</v>
      </c>
      <c r="J3128" s="11" t="s">
        <v>613</v>
      </c>
      <c r="K3128" s="11" t="s">
        <v>65</v>
      </c>
      <c r="L3128" s="11" t="s">
        <v>48</v>
      </c>
      <c r="M3128" s="11" t="s">
        <v>28</v>
      </c>
      <c r="N3128" s="11" t="s">
        <v>197</v>
      </c>
      <c r="O3128" s="11" t="s">
        <v>294</v>
      </c>
      <c r="P3128" s="11" t="s">
        <v>52</v>
      </c>
      <c r="Q3128" s="20">
        <v>40354.0</v>
      </c>
      <c r="R3128" s="17">
        <f t="shared" si="2"/>
        <v>329.5342553</v>
      </c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>
        <f t="shared" si="8"/>
        <v>4</v>
      </c>
      <c r="AF3128" s="19">
        <f t="shared" si="13"/>
        <v>5</v>
      </c>
      <c r="AG3128" s="9"/>
      <c r="AH3128" s="9"/>
      <c r="AI3128" s="9"/>
    </row>
    <row r="3129" ht="15.0" customHeight="1">
      <c r="A3129" s="11">
        <v>3128.0</v>
      </c>
      <c r="B3129" s="12">
        <f t="shared" si="503"/>
        <v>40352</v>
      </c>
      <c r="C3129" s="13">
        <v>2010.0</v>
      </c>
      <c r="D3129" s="11" t="s">
        <v>32</v>
      </c>
      <c r="E3129" s="11">
        <v>23.0</v>
      </c>
      <c r="F3129" s="21" t="s">
        <v>1881</v>
      </c>
      <c r="G3129" s="15">
        <v>0.08593303675954109</v>
      </c>
      <c r="H3129" s="11" t="s">
        <v>33</v>
      </c>
      <c r="I3129" s="16">
        <v>15.991999999999999</v>
      </c>
      <c r="J3129" s="11" t="s">
        <v>251</v>
      </c>
      <c r="K3129" s="11" t="s">
        <v>65</v>
      </c>
      <c r="L3129" s="11" t="s">
        <v>41</v>
      </c>
      <c r="M3129" s="11" t="s">
        <v>28</v>
      </c>
      <c r="N3129" s="11" t="s">
        <v>42</v>
      </c>
      <c r="O3129" s="11" t="s">
        <v>1882</v>
      </c>
      <c r="P3129" s="11" t="s">
        <v>38</v>
      </c>
      <c r="Q3129" s="20">
        <v>40354.0</v>
      </c>
      <c r="R3129" s="17">
        <f t="shared" si="2"/>
        <v>134.1923427</v>
      </c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>
        <f t="shared" si="8"/>
        <v>3</v>
      </c>
      <c r="AF3129" s="19">
        <f t="shared" si="13"/>
        <v>5</v>
      </c>
      <c r="AG3129" s="9"/>
      <c r="AH3129" s="9"/>
      <c r="AI3129" s="9"/>
    </row>
    <row r="3130" ht="15.0" customHeight="1">
      <c r="A3130" s="11">
        <v>3129.0</v>
      </c>
      <c r="B3130" s="12">
        <f t="shared" si="503"/>
        <v>40352</v>
      </c>
      <c r="C3130" s="13">
        <v>2010.0</v>
      </c>
      <c r="D3130" s="11" t="s">
        <v>32</v>
      </c>
      <c r="E3130" s="11">
        <v>18.0</v>
      </c>
      <c r="F3130" s="21" t="s">
        <v>2363</v>
      </c>
      <c r="G3130" s="15">
        <v>0.09353644246543234</v>
      </c>
      <c r="H3130" s="11" t="s">
        <v>33</v>
      </c>
      <c r="I3130" s="16">
        <v>4.976</v>
      </c>
      <c r="J3130" s="11" t="s">
        <v>251</v>
      </c>
      <c r="K3130" s="11" t="s">
        <v>65</v>
      </c>
      <c r="L3130" s="11" t="s">
        <v>41</v>
      </c>
      <c r="M3130" s="11" t="s">
        <v>28</v>
      </c>
      <c r="N3130" s="11" t="s">
        <v>29</v>
      </c>
      <c r="O3130" s="11" t="s">
        <v>2364</v>
      </c>
      <c r="P3130" s="11" t="s">
        <v>38</v>
      </c>
      <c r="Q3130" s="20">
        <v>40354.0</v>
      </c>
      <c r="R3130" s="17">
        <f t="shared" si="2"/>
        <v>72.35754702</v>
      </c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>
        <f t="shared" si="8"/>
        <v>3</v>
      </c>
      <c r="AF3130" s="19">
        <f t="shared" si="13"/>
        <v>5</v>
      </c>
      <c r="AG3130" s="9"/>
      <c r="AH3130" s="9"/>
      <c r="AI3130" s="9"/>
    </row>
    <row r="3131" ht="15.0" customHeight="1">
      <c r="A3131" s="11">
        <v>3130.0</v>
      </c>
      <c r="B3131" s="12">
        <f t="shared" si="503"/>
        <v>40352</v>
      </c>
      <c r="C3131" s="13">
        <v>2010.0</v>
      </c>
      <c r="D3131" s="11" t="s">
        <v>102</v>
      </c>
      <c r="E3131" s="11">
        <v>22.0</v>
      </c>
      <c r="F3131" s="21" t="s">
        <v>356</v>
      </c>
      <c r="G3131" s="15">
        <v>0.05306506401881382</v>
      </c>
      <c r="H3131" s="11" t="s">
        <v>33</v>
      </c>
      <c r="I3131" s="16">
        <v>1.592</v>
      </c>
      <c r="J3131" s="11" t="s">
        <v>1482</v>
      </c>
      <c r="K3131" s="11" t="s">
        <v>61</v>
      </c>
      <c r="L3131" s="11" t="s">
        <v>36</v>
      </c>
      <c r="M3131" s="11" t="s">
        <v>66</v>
      </c>
      <c r="N3131" s="11" t="s">
        <v>67</v>
      </c>
      <c r="O3131" s="11" t="s">
        <v>358</v>
      </c>
      <c r="P3131" s="11" t="s">
        <v>99</v>
      </c>
      <c r="Q3131" s="20">
        <v>40354.0</v>
      </c>
      <c r="R3131" s="17">
        <f t="shared" si="2"/>
        <v>19.23035468</v>
      </c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>
        <f t="shared" si="8"/>
        <v>2</v>
      </c>
      <c r="AF3131" s="19">
        <f t="shared" si="13"/>
        <v>4</v>
      </c>
      <c r="AG3131" s="9"/>
      <c r="AH3131" s="9"/>
      <c r="AI3131" s="9"/>
    </row>
    <row r="3132" ht="15.0" customHeight="1">
      <c r="A3132" s="11">
        <v>3131.0</v>
      </c>
      <c r="B3132" s="12">
        <f t="shared" si="503"/>
        <v>40352</v>
      </c>
      <c r="C3132" s="13">
        <v>2010.0</v>
      </c>
      <c r="D3132" s="11" t="s">
        <v>102</v>
      </c>
      <c r="E3132" s="11">
        <v>41.0</v>
      </c>
      <c r="F3132" s="21" t="s">
        <v>425</v>
      </c>
      <c r="G3132" s="15">
        <v>0.07733451405800314</v>
      </c>
      <c r="H3132" s="11" t="s">
        <v>24</v>
      </c>
      <c r="I3132" s="16">
        <v>5.336</v>
      </c>
      <c r="J3132" s="11" t="s">
        <v>1482</v>
      </c>
      <c r="K3132" s="11" t="s">
        <v>61</v>
      </c>
      <c r="L3132" s="11" t="s">
        <v>36</v>
      </c>
      <c r="M3132" s="11" t="s">
        <v>49</v>
      </c>
      <c r="N3132" s="11" t="s">
        <v>73</v>
      </c>
      <c r="O3132" s="11" t="s">
        <v>2268</v>
      </c>
      <c r="P3132" s="11" t="s">
        <v>99</v>
      </c>
      <c r="Q3132" s="20">
        <v>40354.0</v>
      </c>
      <c r="R3132" s="17">
        <f t="shared" si="2"/>
        <v>64.46110151</v>
      </c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>
        <f t="shared" si="8"/>
        <v>2</v>
      </c>
      <c r="AF3132" s="19">
        <f t="shared" si="13"/>
        <v>4</v>
      </c>
      <c r="AG3132" s="9"/>
      <c r="AH3132" s="9"/>
      <c r="AI3132" s="9"/>
    </row>
    <row r="3133" ht="15.0" customHeight="1">
      <c r="A3133" s="11">
        <v>3132.0</v>
      </c>
      <c r="B3133" s="12">
        <f t="shared" si="503"/>
        <v>40352</v>
      </c>
      <c r="C3133" s="13">
        <v>2010.0</v>
      </c>
      <c r="D3133" s="11" t="s">
        <v>102</v>
      </c>
      <c r="E3133" s="11">
        <v>43.0</v>
      </c>
      <c r="F3133" s="21" t="s">
        <v>304</v>
      </c>
      <c r="G3133" s="15">
        <v>0.005791196798836022</v>
      </c>
      <c r="H3133" s="11" t="s">
        <v>33</v>
      </c>
      <c r="I3133" s="16">
        <v>7.224</v>
      </c>
      <c r="J3133" s="11" t="s">
        <v>1482</v>
      </c>
      <c r="K3133" s="11" t="s">
        <v>61</v>
      </c>
      <c r="L3133" s="11" t="s">
        <v>36</v>
      </c>
      <c r="M3133" s="11" t="s">
        <v>28</v>
      </c>
      <c r="N3133" s="11" t="s">
        <v>56</v>
      </c>
      <c r="O3133" s="11" t="s">
        <v>388</v>
      </c>
      <c r="P3133" s="11" t="s">
        <v>38</v>
      </c>
      <c r="Q3133" s="20">
        <v>40354.0</v>
      </c>
      <c r="R3133" s="17">
        <f t="shared" si="2"/>
        <v>4.748341244</v>
      </c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>
        <f t="shared" si="8"/>
        <v>2</v>
      </c>
      <c r="AF3133" s="19">
        <f t="shared" si="13"/>
        <v>4</v>
      </c>
      <c r="AG3133" s="9"/>
      <c r="AH3133" s="9"/>
      <c r="AI3133" s="9"/>
    </row>
    <row r="3134" ht="15.0" customHeight="1">
      <c r="A3134" s="11">
        <v>3133.0</v>
      </c>
      <c r="B3134" s="12">
        <f t="shared" si="503"/>
        <v>40352</v>
      </c>
      <c r="C3134" s="13">
        <v>2010.0</v>
      </c>
      <c r="D3134" s="11" t="s">
        <v>102</v>
      </c>
      <c r="E3134" s="11">
        <v>50.0</v>
      </c>
      <c r="F3134" s="21" t="s">
        <v>128</v>
      </c>
      <c r="G3134" s="15">
        <v>0.08347750210872282</v>
      </c>
      <c r="H3134" s="11" t="s">
        <v>33</v>
      </c>
      <c r="I3134" s="16">
        <v>7.192</v>
      </c>
      <c r="J3134" s="11" t="s">
        <v>1482</v>
      </c>
      <c r="K3134" s="11" t="s">
        <v>61</v>
      </c>
      <c r="L3134" s="11" t="s">
        <v>36</v>
      </c>
      <c r="M3134" s="11" t="s">
        <v>66</v>
      </c>
      <c r="N3134" s="11" t="s">
        <v>80</v>
      </c>
      <c r="O3134" s="11" t="s">
        <v>2242</v>
      </c>
      <c r="P3134" s="11" t="s">
        <v>38</v>
      </c>
      <c r="Q3134" s="20">
        <v>40354.0</v>
      </c>
      <c r="R3134" s="17">
        <f t="shared" si="2"/>
        <v>526.091246</v>
      </c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>
        <f t="shared" si="8"/>
        <v>2</v>
      </c>
      <c r="AF3134" s="19">
        <f t="shared" si="13"/>
        <v>4</v>
      </c>
      <c r="AG3134" s="9"/>
      <c r="AH3134" s="9"/>
      <c r="AI3134" s="9"/>
    </row>
    <row r="3135" ht="15.0" customHeight="1">
      <c r="A3135" s="11">
        <v>3134.0</v>
      </c>
      <c r="B3135" s="12">
        <f t="shared" ref="B3135:B3137" si="504">DATE(2012,12,31)-921</f>
        <v>40353</v>
      </c>
      <c r="C3135" s="13">
        <v>2010.0</v>
      </c>
      <c r="D3135" s="11" t="s">
        <v>39</v>
      </c>
      <c r="E3135" s="11">
        <v>4.0</v>
      </c>
      <c r="F3135" s="21" t="s">
        <v>372</v>
      </c>
      <c r="G3135" s="15">
        <v>0.10137672090112651</v>
      </c>
      <c r="H3135" s="11" t="s">
        <v>33</v>
      </c>
      <c r="I3135" s="16">
        <v>9.0</v>
      </c>
      <c r="J3135" s="11" t="s">
        <v>2365</v>
      </c>
      <c r="K3135" s="11" t="s">
        <v>117</v>
      </c>
      <c r="L3135" s="11" t="s">
        <v>48</v>
      </c>
      <c r="M3135" s="11" t="s">
        <v>28</v>
      </c>
      <c r="N3135" s="11" t="s">
        <v>29</v>
      </c>
      <c r="O3135" s="11" t="s">
        <v>1741</v>
      </c>
      <c r="P3135" s="11" t="s">
        <v>38</v>
      </c>
      <c r="Q3135" s="20">
        <v>40355.0</v>
      </c>
      <c r="R3135" s="17">
        <f t="shared" si="2"/>
        <v>7.278848561</v>
      </c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>
        <f t="shared" si="8"/>
        <v>4</v>
      </c>
      <c r="AF3135" s="19" t="b">
        <f t="shared" si="13"/>
        <v>0</v>
      </c>
      <c r="AG3135" s="9"/>
      <c r="AH3135" s="9"/>
      <c r="AI3135" s="9"/>
    </row>
    <row r="3136" ht="15.0" customHeight="1">
      <c r="A3136" s="11">
        <v>3135.0</v>
      </c>
      <c r="B3136" s="12">
        <f t="shared" si="504"/>
        <v>40353</v>
      </c>
      <c r="C3136" s="13">
        <v>2010.0</v>
      </c>
      <c r="D3136" s="11" t="s">
        <v>39</v>
      </c>
      <c r="E3136" s="11">
        <v>26.0</v>
      </c>
      <c r="F3136" s="21" t="s">
        <v>342</v>
      </c>
      <c r="G3136" s="15">
        <v>0.04926338016730277</v>
      </c>
      <c r="H3136" s="11" t="s">
        <v>45</v>
      </c>
      <c r="I3136" s="16">
        <v>23.368000000000002</v>
      </c>
      <c r="J3136" s="11" t="s">
        <v>2365</v>
      </c>
      <c r="K3136" s="11" t="s">
        <v>117</v>
      </c>
      <c r="L3136" s="11" t="s">
        <v>48</v>
      </c>
      <c r="M3136" s="11" t="s">
        <v>49</v>
      </c>
      <c r="N3136" s="11" t="s">
        <v>85</v>
      </c>
      <c r="O3136" s="11" t="s">
        <v>343</v>
      </c>
      <c r="P3136" s="11" t="s">
        <v>87</v>
      </c>
      <c r="Q3136" s="20">
        <v>40355.0</v>
      </c>
      <c r="R3136" s="17">
        <f t="shared" si="2"/>
        <v>230.6791275</v>
      </c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>
        <f t="shared" si="8"/>
        <v>4</v>
      </c>
      <c r="AF3136" s="19" t="b">
        <f t="shared" si="13"/>
        <v>0</v>
      </c>
      <c r="AG3136" s="9"/>
      <c r="AH3136" s="9"/>
      <c r="AI3136" s="9"/>
    </row>
    <row r="3137" ht="15.0" customHeight="1">
      <c r="A3137" s="11">
        <v>3136.0</v>
      </c>
      <c r="B3137" s="12">
        <f t="shared" si="504"/>
        <v>40353</v>
      </c>
      <c r="C3137" s="13">
        <v>2010.0</v>
      </c>
      <c r="D3137" s="11" t="s">
        <v>39</v>
      </c>
      <c r="E3137" s="11">
        <v>19.0</v>
      </c>
      <c r="F3137" s="21" t="s">
        <v>1195</v>
      </c>
      <c r="G3137" s="15">
        <v>0.0967832167832168</v>
      </c>
      <c r="H3137" s="11" t="s">
        <v>24</v>
      </c>
      <c r="I3137" s="16">
        <v>4.5280000000000005</v>
      </c>
      <c r="J3137" s="11" t="s">
        <v>436</v>
      </c>
      <c r="K3137" s="11" t="s">
        <v>65</v>
      </c>
      <c r="L3137" s="11" t="s">
        <v>27</v>
      </c>
      <c r="M3137" s="11" t="s">
        <v>28</v>
      </c>
      <c r="N3137" s="11" t="s">
        <v>56</v>
      </c>
      <c r="O3137" s="11" t="s">
        <v>79</v>
      </c>
      <c r="P3137" s="11" t="s">
        <v>38</v>
      </c>
      <c r="Q3137" s="20">
        <v>40355.0</v>
      </c>
      <c r="R3137" s="17">
        <f t="shared" si="2"/>
        <v>10.00041622</v>
      </c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>
        <f t="shared" si="8"/>
        <v>1</v>
      </c>
      <c r="AF3137" s="19">
        <f t="shared" si="13"/>
        <v>5</v>
      </c>
      <c r="AG3137" s="9"/>
      <c r="AH3137" s="9"/>
      <c r="AI3137" s="9"/>
    </row>
    <row r="3138" ht="15.0" customHeight="1">
      <c r="A3138" s="11">
        <v>3137.0</v>
      </c>
      <c r="B3138" s="12">
        <f t="shared" ref="B3138:B3150" si="505">DATE(2012,12,31)-920</f>
        <v>40354</v>
      </c>
      <c r="C3138" s="13">
        <v>2010.0</v>
      </c>
      <c r="D3138" s="11" t="s">
        <v>39</v>
      </c>
      <c r="E3138" s="11">
        <v>28.0</v>
      </c>
      <c r="F3138" s="21" t="s">
        <v>158</v>
      </c>
      <c r="G3138" s="15">
        <v>0.0471074380165288</v>
      </c>
      <c r="H3138" s="11" t="s">
        <v>33</v>
      </c>
      <c r="I3138" s="16">
        <v>5.28</v>
      </c>
      <c r="J3138" s="11" t="s">
        <v>703</v>
      </c>
      <c r="K3138" s="11" t="s">
        <v>35</v>
      </c>
      <c r="L3138" s="11" t="s">
        <v>41</v>
      </c>
      <c r="M3138" s="11" t="s">
        <v>28</v>
      </c>
      <c r="N3138" s="11" t="s">
        <v>56</v>
      </c>
      <c r="O3138" s="11" t="s">
        <v>543</v>
      </c>
      <c r="P3138" s="11" t="s">
        <v>38</v>
      </c>
      <c r="Q3138" s="20">
        <v>40355.0</v>
      </c>
      <c r="R3138" s="17">
        <f t="shared" si="2"/>
        <v>8.690380165</v>
      </c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>
        <f t="shared" si="8"/>
        <v>3</v>
      </c>
      <c r="AF3138" s="19">
        <f t="shared" si="13"/>
        <v>2</v>
      </c>
      <c r="AG3138" s="9"/>
      <c r="AH3138" s="9"/>
      <c r="AI3138" s="9"/>
    </row>
    <row r="3139" ht="15.0" customHeight="1">
      <c r="A3139" s="11">
        <v>3138.0</v>
      </c>
      <c r="B3139" s="12">
        <f t="shared" si="505"/>
        <v>40354</v>
      </c>
      <c r="C3139" s="13">
        <v>2010.0</v>
      </c>
      <c r="D3139" s="11" t="s">
        <v>102</v>
      </c>
      <c r="E3139" s="11">
        <v>7.0</v>
      </c>
      <c r="F3139" s="21" t="s">
        <v>1015</v>
      </c>
      <c r="G3139" s="15">
        <v>0.06379530916844345</v>
      </c>
      <c r="H3139" s="11" t="s">
        <v>33</v>
      </c>
      <c r="I3139" s="16">
        <v>4.008</v>
      </c>
      <c r="J3139" s="11" t="s">
        <v>1515</v>
      </c>
      <c r="K3139" s="11" t="s">
        <v>47</v>
      </c>
      <c r="L3139" s="11" t="s">
        <v>48</v>
      </c>
      <c r="M3139" s="11" t="s">
        <v>28</v>
      </c>
      <c r="N3139" s="11" t="s">
        <v>42</v>
      </c>
      <c r="O3139" s="11" t="s">
        <v>1547</v>
      </c>
      <c r="P3139" s="11" t="s">
        <v>38</v>
      </c>
      <c r="Q3139" s="20">
        <v>40355.0</v>
      </c>
      <c r="R3139" s="17">
        <f t="shared" si="2"/>
        <v>2.801124435</v>
      </c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>
        <f t="shared" si="8"/>
        <v>4</v>
      </c>
      <c r="AF3139" s="19">
        <f t="shared" si="13"/>
        <v>3</v>
      </c>
      <c r="AG3139" s="9"/>
      <c r="AH3139" s="9"/>
      <c r="AI3139" s="9"/>
    </row>
    <row r="3140" ht="15.0" customHeight="1">
      <c r="A3140" s="11">
        <v>3139.0</v>
      </c>
      <c r="B3140" s="12">
        <f t="shared" si="505"/>
        <v>40354</v>
      </c>
      <c r="C3140" s="13">
        <v>2010.0</v>
      </c>
      <c r="D3140" s="11" t="s">
        <v>102</v>
      </c>
      <c r="E3140" s="11">
        <v>21.0</v>
      </c>
      <c r="F3140" s="21" t="s">
        <v>290</v>
      </c>
      <c r="G3140" s="15">
        <v>0.07564435564435554</v>
      </c>
      <c r="H3140" s="11" t="s">
        <v>33</v>
      </c>
      <c r="I3140" s="16">
        <v>4.328</v>
      </c>
      <c r="J3140" s="11" t="s">
        <v>1515</v>
      </c>
      <c r="K3140" s="11" t="s">
        <v>47</v>
      </c>
      <c r="L3140" s="11" t="s">
        <v>48</v>
      </c>
      <c r="M3140" s="11" t="s">
        <v>28</v>
      </c>
      <c r="N3140" s="11" t="s">
        <v>42</v>
      </c>
      <c r="O3140" s="11" t="s">
        <v>1475</v>
      </c>
      <c r="P3140" s="11" t="s">
        <v>38</v>
      </c>
      <c r="Q3140" s="20">
        <v>40355.0</v>
      </c>
      <c r="R3140" s="17">
        <f t="shared" si="2"/>
        <v>6.999220939</v>
      </c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>
        <f t="shared" si="8"/>
        <v>4</v>
      </c>
      <c r="AF3140" s="19">
        <f t="shared" si="13"/>
        <v>3</v>
      </c>
      <c r="AG3140" s="9"/>
      <c r="AH3140" s="9"/>
      <c r="AI3140" s="9"/>
    </row>
    <row r="3141" ht="15.0" customHeight="1">
      <c r="A3141" s="11">
        <v>3140.0</v>
      </c>
      <c r="B3141" s="12">
        <f t="shared" si="505"/>
        <v>40354</v>
      </c>
      <c r="C3141" s="13">
        <v>2010.0</v>
      </c>
      <c r="D3141" s="11" t="s">
        <v>39</v>
      </c>
      <c r="E3141" s="11">
        <v>32.0</v>
      </c>
      <c r="F3141" s="21" t="s">
        <v>126</v>
      </c>
      <c r="G3141" s="15">
        <v>0.07661874640598035</v>
      </c>
      <c r="H3141" s="11" t="s">
        <v>24</v>
      </c>
      <c r="I3141" s="16">
        <v>3.776</v>
      </c>
      <c r="J3141" s="11" t="s">
        <v>232</v>
      </c>
      <c r="K3141" s="11" t="s">
        <v>47</v>
      </c>
      <c r="L3141" s="11" t="s">
        <v>48</v>
      </c>
      <c r="M3141" s="11" t="s">
        <v>28</v>
      </c>
      <c r="N3141" s="11" t="s">
        <v>56</v>
      </c>
      <c r="O3141" s="11" t="s">
        <v>1299</v>
      </c>
      <c r="P3141" s="11" t="s">
        <v>38</v>
      </c>
      <c r="Q3141" s="20">
        <v>40355.0</v>
      </c>
      <c r="R3141" s="17">
        <f t="shared" si="2"/>
        <v>12.30313182</v>
      </c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>
        <f t="shared" si="8"/>
        <v>4</v>
      </c>
      <c r="AF3141" s="19">
        <f t="shared" si="13"/>
        <v>3</v>
      </c>
      <c r="AG3141" s="9"/>
      <c r="AH3141" s="9"/>
      <c r="AI3141" s="9"/>
    </row>
    <row r="3142" ht="15.0" customHeight="1">
      <c r="A3142" s="11">
        <v>3141.0</v>
      </c>
      <c r="B3142" s="12">
        <f t="shared" si="505"/>
        <v>40354</v>
      </c>
      <c r="C3142" s="13">
        <v>2010.0</v>
      </c>
      <c r="D3142" s="11" t="s">
        <v>39</v>
      </c>
      <c r="E3142" s="11">
        <v>24.0</v>
      </c>
      <c r="F3142" s="21" t="s">
        <v>654</v>
      </c>
      <c r="G3142" s="15">
        <v>0.057527019436018505</v>
      </c>
      <c r="H3142" s="11" t="s">
        <v>45</v>
      </c>
      <c r="I3142" s="16">
        <v>32.152</v>
      </c>
      <c r="J3142" s="11" t="s">
        <v>232</v>
      </c>
      <c r="K3142" s="11" t="s">
        <v>47</v>
      </c>
      <c r="L3142" s="11" t="s">
        <v>48</v>
      </c>
      <c r="M3142" s="11" t="s">
        <v>49</v>
      </c>
      <c r="N3142" s="11" t="s">
        <v>85</v>
      </c>
      <c r="O3142" s="11" t="s">
        <v>655</v>
      </c>
      <c r="P3142" s="11" t="s">
        <v>87</v>
      </c>
      <c r="Q3142" s="20">
        <v>40356.0</v>
      </c>
      <c r="R3142" s="17">
        <f t="shared" si="2"/>
        <v>482.5914048</v>
      </c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>
        <f t="shared" si="8"/>
        <v>4</v>
      </c>
      <c r="AF3142" s="19">
        <f t="shared" si="13"/>
        <v>3</v>
      </c>
      <c r="AG3142" s="9"/>
      <c r="AH3142" s="9"/>
      <c r="AI3142" s="9"/>
    </row>
    <row r="3143" ht="15.0" customHeight="1">
      <c r="A3143" s="11">
        <v>3142.0</v>
      </c>
      <c r="B3143" s="12">
        <f t="shared" si="505"/>
        <v>40354</v>
      </c>
      <c r="C3143" s="13">
        <v>2010.0</v>
      </c>
      <c r="D3143" s="11" t="s">
        <v>39</v>
      </c>
      <c r="E3143" s="11">
        <v>50.0</v>
      </c>
      <c r="F3143" s="21" t="s">
        <v>142</v>
      </c>
      <c r="G3143" s="15">
        <v>0.022648927504751608</v>
      </c>
      <c r="H3143" s="11" t="s">
        <v>33</v>
      </c>
      <c r="I3143" s="16">
        <v>4.792000000000001</v>
      </c>
      <c r="J3143" s="11" t="s">
        <v>232</v>
      </c>
      <c r="K3143" s="11" t="s">
        <v>47</v>
      </c>
      <c r="L3143" s="11" t="s">
        <v>48</v>
      </c>
      <c r="M3143" s="11" t="s">
        <v>66</v>
      </c>
      <c r="N3143" s="11" t="s">
        <v>80</v>
      </c>
      <c r="O3143" s="11" t="s">
        <v>757</v>
      </c>
      <c r="P3143" s="11" t="s">
        <v>58</v>
      </c>
      <c r="Q3143" s="20">
        <v>40356.0</v>
      </c>
      <c r="R3143" s="17">
        <f t="shared" si="2"/>
        <v>40.76335853</v>
      </c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>
        <f t="shared" si="8"/>
        <v>4</v>
      </c>
      <c r="AF3143" s="19">
        <f t="shared" si="13"/>
        <v>3</v>
      </c>
      <c r="AG3143" s="9"/>
      <c r="AH3143" s="9"/>
      <c r="AI3143" s="9"/>
    </row>
    <row r="3144" ht="15.0" customHeight="1">
      <c r="A3144" s="11">
        <v>3143.0</v>
      </c>
      <c r="B3144" s="12">
        <f t="shared" si="505"/>
        <v>40354</v>
      </c>
      <c r="C3144" s="13">
        <v>2010.0</v>
      </c>
      <c r="D3144" s="11" t="s">
        <v>102</v>
      </c>
      <c r="E3144" s="11">
        <v>46.0</v>
      </c>
      <c r="F3144" s="21" t="s">
        <v>952</v>
      </c>
      <c r="G3144" s="15">
        <v>0.06032609325224457</v>
      </c>
      <c r="H3144" s="11" t="s">
        <v>33</v>
      </c>
      <c r="I3144" s="16">
        <v>19.592</v>
      </c>
      <c r="J3144" s="11" t="s">
        <v>1529</v>
      </c>
      <c r="K3144" s="11" t="s">
        <v>61</v>
      </c>
      <c r="L3144" s="11" t="s">
        <v>27</v>
      </c>
      <c r="M3144" s="11" t="s">
        <v>66</v>
      </c>
      <c r="N3144" s="11" t="s">
        <v>170</v>
      </c>
      <c r="O3144" s="11" t="s">
        <v>2100</v>
      </c>
      <c r="P3144" s="11" t="s">
        <v>31</v>
      </c>
      <c r="Q3144" s="20">
        <v>40356.0</v>
      </c>
      <c r="R3144" s="17">
        <f t="shared" si="2"/>
        <v>1665.904583</v>
      </c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>
        <f t="shared" si="8"/>
        <v>1</v>
      </c>
      <c r="AF3144" s="19">
        <f t="shared" si="13"/>
        <v>4</v>
      </c>
      <c r="AG3144" s="9"/>
      <c r="AH3144" s="9"/>
      <c r="AI3144" s="9"/>
    </row>
    <row r="3145" ht="15.0" customHeight="1">
      <c r="A3145" s="11">
        <v>3144.0</v>
      </c>
      <c r="B3145" s="12">
        <f t="shared" si="505"/>
        <v>40354</v>
      </c>
      <c r="C3145" s="13">
        <v>2010.0</v>
      </c>
      <c r="D3145" s="11" t="s">
        <v>102</v>
      </c>
      <c r="E3145" s="11">
        <v>49.0</v>
      </c>
      <c r="F3145" s="21" t="s">
        <v>270</v>
      </c>
      <c r="G3145" s="15">
        <v>0.04110554203064589</v>
      </c>
      <c r="H3145" s="11" t="s">
        <v>33</v>
      </c>
      <c r="I3145" s="16">
        <v>4.688000000000001</v>
      </c>
      <c r="J3145" s="11" t="s">
        <v>1529</v>
      </c>
      <c r="K3145" s="11" t="s">
        <v>61</v>
      </c>
      <c r="L3145" s="11" t="s">
        <v>27</v>
      </c>
      <c r="M3145" s="11" t="s">
        <v>28</v>
      </c>
      <c r="N3145" s="11" t="s">
        <v>56</v>
      </c>
      <c r="O3145" s="11" t="s">
        <v>2366</v>
      </c>
      <c r="P3145" s="11" t="s">
        <v>38</v>
      </c>
      <c r="Q3145" s="20">
        <v>40356.0</v>
      </c>
      <c r="R3145" s="17">
        <f t="shared" si="2"/>
        <v>82.57231956</v>
      </c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>
        <f t="shared" si="8"/>
        <v>1</v>
      </c>
      <c r="AF3145" s="19">
        <f t="shared" si="13"/>
        <v>4</v>
      </c>
      <c r="AG3145" s="9"/>
      <c r="AH3145" s="9"/>
      <c r="AI3145" s="9"/>
    </row>
    <row r="3146" ht="15.0" customHeight="1">
      <c r="A3146" s="11">
        <v>3145.0</v>
      </c>
      <c r="B3146" s="12">
        <f t="shared" si="505"/>
        <v>40354</v>
      </c>
      <c r="C3146" s="13">
        <v>2010.0</v>
      </c>
      <c r="D3146" s="11" t="s">
        <v>102</v>
      </c>
      <c r="E3146" s="11">
        <v>47.0</v>
      </c>
      <c r="F3146" s="21" t="s">
        <v>1396</v>
      </c>
      <c r="G3146" s="15">
        <v>0.08537095352059448</v>
      </c>
      <c r="H3146" s="11" t="s">
        <v>24</v>
      </c>
      <c r="I3146" s="16">
        <v>7.024</v>
      </c>
      <c r="J3146" s="11" t="s">
        <v>1529</v>
      </c>
      <c r="K3146" s="11" t="s">
        <v>61</v>
      </c>
      <c r="L3146" s="11" t="s">
        <v>27</v>
      </c>
      <c r="M3146" s="11" t="s">
        <v>28</v>
      </c>
      <c r="N3146" s="11" t="s">
        <v>29</v>
      </c>
      <c r="O3146" s="11" t="s">
        <v>1397</v>
      </c>
      <c r="P3146" s="11" t="s">
        <v>38</v>
      </c>
      <c r="Q3146" s="20">
        <v>40356.0</v>
      </c>
      <c r="R3146" s="17">
        <f t="shared" si="2"/>
        <v>61.98989825</v>
      </c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>
        <f t="shared" si="8"/>
        <v>1</v>
      </c>
      <c r="AF3146" s="19">
        <f t="shared" si="13"/>
        <v>4</v>
      </c>
      <c r="AG3146" s="9"/>
      <c r="AH3146" s="9"/>
      <c r="AI3146" s="9"/>
    </row>
    <row r="3147" ht="15.0" customHeight="1">
      <c r="A3147" s="11">
        <v>3146.0</v>
      </c>
      <c r="B3147" s="12">
        <f t="shared" si="505"/>
        <v>40354</v>
      </c>
      <c r="C3147" s="13">
        <v>2010.0</v>
      </c>
      <c r="D3147" s="11" t="s">
        <v>102</v>
      </c>
      <c r="E3147" s="11">
        <v>2.0</v>
      </c>
      <c r="F3147" s="21" t="s">
        <v>304</v>
      </c>
      <c r="G3147" s="15">
        <v>0.05012658227848096</v>
      </c>
      <c r="H3147" s="11" t="s">
        <v>33</v>
      </c>
      <c r="I3147" s="16">
        <v>7.224</v>
      </c>
      <c r="J3147" s="11" t="s">
        <v>1529</v>
      </c>
      <c r="K3147" s="11" t="s">
        <v>61</v>
      </c>
      <c r="L3147" s="11" t="s">
        <v>27</v>
      </c>
      <c r="M3147" s="11" t="s">
        <v>28</v>
      </c>
      <c r="N3147" s="11" t="s">
        <v>56</v>
      </c>
      <c r="O3147" s="11" t="s">
        <v>388</v>
      </c>
      <c r="P3147" s="11" t="s">
        <v>38</v>
      </c>
      <c r="Q3147" s="20">
        <v>40356.0</v>
      </c>
      <c r="R3147" s="17">
        <f t="shared" si="2"/>
        <v>2.256899241</v>
      </c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>
        <f t="shared" si="8"/>
        <v>1</v>
      </c>
      <c r="AF3147" s="19">
        <f t="shared" si="13"/>
        <v>4</v>
      </c>
      <c r="AG3147" s="9"/>
      <c r="AH3147" s="9"/>
      <c r="AI3147" s="9"/>
    </row>
    <row r="3148" ht="15.0" customHeight="1">
      <c r="A3148" s="11">
        <v>3147.0</v>
      </c>
      <c r="B3148" s="12">
        <f t="shared" si="505"/>
        <v>40354</v>
      </c>
      <c r="C3148" s="13">
        <v>2010.0</v>
      </c>
      <c r="D3148" s="11" t="s">
        <v>44</v>
      </c>
      <c r="E3148" s="11">
        <v>38.0</v>
      </c>
      <c r="F3148" s="21" t="s">
        <v>2367</v>
      </c>
      <c r="G3148" s="15">
        <v>0.0392201730295365</v>
      </c>
      <c r="H3148" s="11" t="s">
        <v>33</v>
      </c>
      <c r="I3148" s="16">
        <v>15.991999999999999</v>
      </c>
      <c r="J3148" s="11" t="s">
        <v>1364</v>
      </c>
      <c r="K3148" s="11" t="s">
        <v>35</v>
      </c>
      <c r="L3148" s="11" t="s">
        <v>27</v>
      </c>
      <c r="M3148" s="11" t="s">
        <v>28</v>
      </c>
      <c r="N3148" s="11" t="s">
        <v>197</v>
      </c>
      <c r="O3148" s="11" t="s">
        <v>2368</v>
      </c>
      <c r="P3148" s="11" t="s">
        <v>38</v>
      </c>
      <c r="Q3148" s="20">
        <v>40356.0</v>
      </c>
      <c r="R3148" s="17">
        <f t="shared" si="2"/>
        <v>347.1374377</v>
      </c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>
        <f t="shared" si="8"/>
        <v>1</v>
      </c>
      <c r="AF3148" s="19">
        <f t="shared" si="13"/>
        <v>2</v>
      </c>
      <c r="AG3148" s="9"/>
      <c r="AH3148" s="9"/>
      <c r="AI3148" s="9"/>
    </row>
    <row r="3149" ht="15.0" customHeight="1">
      <c r="A3149" s="11">
        <v>3148.0</v>
      </c>
      <c r="B3149" s="12">
        <f t="shared" si="505"/>
        <v>40354</v>
      </c>
      <c r="C3149" s="13">
        <v>2010.0</v>
      </c>
      <c r="D3149" s="11" t="s">
        <v>44</v>
      </c>
      <c r="E3149" s="11">
        <v>26.0</v>
      </c>
      <c r="F3149" s="21" t="s">
        <v>103</v>
      </c>
      <c r="G3149" s="15">
        <v>0.021485573971761818</v>
      </c>
      <c r="H3149" s="11" t="s">
        <v>33</v>
      </c>
      <c r="I3149" s="16">
        <v>6.0</v>
      </c>
      <c r="J3149" s="11" t="s">
        <v>1364</v>
      </c>
      <c r="K3149" s="11" t="s">
        <v>35</v>
      </c>
      <c r="L3149" s="11" t="s">
        <v>27</v>
      </c>
      <c r="M3149" s="11" t="s">
        <v>28</v>
      </c>
      <c r="N3149" s="11" t="s">
        <v>56</v>
      </c>
      <c r="O3149" s="11" t="s">
        <v>1701</v>
      </c>
      <c r="P3149" s="11" t="s">
        <v>38</v>
      </c>
      <c r="Q3149" s="20">
        <v>40357.0</v>
      </c>
      <c r="R3149" s="17">
        <f t="shared" si="2"/>
        <v>3.424800491</v>
      </c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>
        <f t="shared" si="8"/>
        <v>1</v>
      </c>
      <c r="AF3149" s="19">
        <f t="shared" si="13"/>
        <v>2</v>
      </c>
      <c r="AG3149" s="9"/>
      <c r="AH3149" s="9"/>
      <c r="AI3149" s="9"/>
    </row>
    <row r="3150" ht="15.0" customHeight="1">
      <c r="A3150" s="11">
        <v>3149.0</v>
      </c>
      <c r="B3150" s="12">
        <f t="shared" si="505"/>
        <v>40354</v>
      </c>
      <c r="C3150" s="13">
        <v>2010.0</v>
      </c>
      <c r="D3150" s="11" t="s">
        <v>102</v>
      </c>
      <c r="E3150" s="11">
        <v>8.0</v>
      </c>
      <c r="F3150" s="21" t="s">
        <v>290</v>
      </c>
      <c r="G3150" s="15">
        <v>0.09094339622641497</v>
      </c>
      <c r="H3150" s="11" t="s">
        <v>24</v>
      </c>
      <c r="I3150" s="16">
        <v>4.944</v>
      </c>
      <c r="J3150" s="11" t="s">
        <v>1772</v>
      </c>
      <c r="K3150" s="11" t="s">
        <v>65</v>
      </c>
      <c r="L3150" s="11" t="s">
        <v>48</v>
      </c>
      <c r="M3150" s="11" t="s">
        <v>28</v>
      </c>
      <c r="N3150" s="11" t="s">
        <v>56</v>
      </c>
      <c r="O3150" s="11" t="s">
        <v>2369</v>
      </c>
      <c r="P3150" s="11" t="s">
        <v>38</v>
      </c>
      <c r="Q3150" s="20">
        <v>40357.0</v>
      </c>
      <c r="R3150" s="17">
        <f t="shared" si="2"/>
        <v>3.505322264</v>
      </c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>
        <f t="shared" si="8"/>
        <v>4</v>
      </c>
      <c r="AF3150" s="19">
        <f t="shared" si="13"/>
        <v>5</v>
      </c>
      <c r="AG3150" s="9"/>
      <c r="AH3150" s="9"/>
      <c r="AI3150" s="9"/>
    </row>
    <row r="3151" ht="15.0" customHeight="1">
      <c r="A3151" s="11">
        <v>3150.0</v>
      </c>
      <c r="B3151" s="12">
        <f t="shared" ref="B3151:B3154" si="506">DATE(2012,12,31)-919</f>
        <v>40355</v>
      </c>
      <c r="C3151" s="13">
        <v>2010.0</v>
      </c>
      <c r="D3151" s="11" t="s">
        <v>39</v>
      </c>
      <c r="E3151" s="11">
        <v>27.0</v>
      </c>
      <c r="F3151" s="21" t="s">
        <v>2278</v>
      </c>
      <c r="G3151" s="15">
        <v>0.0717649891644595</v>
      </c>
      <c r="H3151" s="11" t="s">
        <v>24</v>
      </c>
      <c r="I3151" s="16">
        <v>7.4959999999999996</v>
      </c>
      <c r="J3151" s="11" t="s">
        <v>97</v>
      </c>
      <c r="K3151" s="11" t="s">
        <v>61</v>
      </c>
      <c r="L3151" s="11" t="s">
        <v>41</v>
      </c>
      <c r="M3151" s="11" t="s">
        <v>28</v>
      </c>
      <c r="N3151" s="11" t="s">
        <v>29</v>
      </c>
      <c r="O3151" s="11" t="s">
        <v>2279</v>
      </c>
      <c r="P3151" s="11" t="s">
        <v>38</v>
      </c>
      <c r="Q3151" s="20">
        <v>40357.0</v>
      </c>
      <c r="R3151" s="17">
        <f t="shared" si="2"/>
        <v>27.66511626</v>
      </c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>
        <f t="shared" si="8"/>
        <v>3</v>
      </c>
      <c r="AF3151" s="19">
        <f t="shared" si="13"/>
        <v>4</v>
      </c>
      <c r="AG3151" s="9"/>
      <c r="AH3151" s="9"/>
      <c r="AI3151" s="9"/>
    </row>
    <row r="3152" ht="15.0" customHeight="1">
      <c r="A3152" s="11">
        <v>3151.0</v>
      </c>
      <c r="B3152" s="12">
        <f t="shared" si="506"/>
        <v>40355</v>
      </c>
      <c r="C3152" s="13">
        <v>2010.0</v>
      </c>
      <c r="D3152" s="11" t="s">
        <v>32</v>
      </c>
      <c r="E3152" s="11">
        <v>50.0</v>
      </c>
      <c r="F3152" s="21" t="s">
        <v>362</v>
      </c>
      <c r="G3152" s="15">
        <v>0.056605101143359746</v>
      </c>
      <c r="H3152" s="11" t="s">
        <v>33</v>
      </c>
      <c r="I3152" s="16">
        <v>10.848</v>
      </c>
      <c r="J3152" s="11" t="s">
        <v>1653</v>
      </c>
      <c r="K3152" s="11" t="s">
        <v>83</v>
      </c>
      <c r="L3152" s="11" t="s">
        <v>36</v>
      </c>
      <c r="M3152" s="11" t="s">
        <v>49</v>
      </c>
      <c r="N3152" s="11" t="s">
        <v>73</v>
      </c>
      <c r="O3152" s="11" t="s">
        <v>1860</v>
      </c>
      <c r="P3152" s="11" t="s">
        <v>31</v>
      </c>
      <c r="Q3152" s="20">
        <v>40357.0</v>
      </c>
      <c r="R3152" s="17">
        <f t="shared" si="2"/>
        <v>42.50182698</v>
      </c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>
        <f t="shared" si="8"/>
        <v>2</v>
      </c>
      <c r="AF3152" s="19" t="b">
        <f t="shared" si="13"/>
        <v>0</v>
      </c>
      <c r="AG3152" s="9"/>
      <c r="AH3152" s="9"/>
      <c r="AI3152" s="9"/>
    </row>
    <row r="3153" ht="15.0" customHeight="1">
      <c r="A3153" s="11">
        <v>3152.0</v>
      </c>
      <c r="B3153" s="12">
        <f t="shared" si="506"/>
        <v>40355</v>
      </c>
      <c r="C3153" s="13">
        <v>2010.0</v>
      </c>
      <c r="D3153" s="11" t="s">
        <v>102</v>
      </c>
      <c r="E3153" s="11">
        <v>19.0</v>
      </c>
      <c r="F3153" s="21" t="s">
        <v>144</v>
      </c>
      <c r="G3153" s="15">
        <v>0.0900877192982457</v>
      </c>
      <c r="H3153" s="11" t="s">
        <v>33</v>
      </c>
      <c r="I3153" s="16">
        <v>1.592</v>
      </c>
      <c r="J3153" s="11" t="s">
        <v>106</v>
      </c>
      <c r="K3153" s="11" t="s">
        <v>35</v>
      </c>
      <c r="L3153" s="11" t="s">
        <v>48</v>
      </c>
      <c r="M3153" s="11" t="s">
        <v>66</v>
      </c>
      <c r="N3153" s="11" t="s">
        <v>67</v>
      </c>
      <c r="O3153" s="11" t="s">
        <v>1106</v>
      </c>
      <c r="P3153" s="11" t="s">
        <v>99</v>
      </c>
      <c r="Q3153" s="20">
        <v>40357.0</v>
      </c>
      <c r="R3153" s="17">
        <f t="shared" si="2"/>
        <v>3.737919649</v>
      </c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>
        <f t="shared" si="8"/>
        <v>4</v>
      </c>
      <c r="AF3153" s="19">
        <f t="shared" si="13"/>
        <v>2</v>
      </c>
      <c r="AG3153" s="9"/>
      <c r="AH3153" s="9"/>
      <c r="AI3153" s="9"/>
    </row>
    <row r="3154" ht="15.0" customHeight="1">
      <c r="A3154" s="11">
        <v>3153.0</v>
      </c>
      <c r="B3154" s="12">
        <f t="shared" si="506"/>
        <v>40355</v>
      </c>
      <c r="C3154" s="13">
        <v>2010.0</v>
      </c>
      <c r="D3154" s="11" t="s">
        <v>102</v>
      </c>
      <c r="E3154" s="11">
        <v>45.0</v>
      </c>
      <c r="F3154" s="21" t="s">
        <v>96</v>
      </c>
      <c r="G3154" s="15">
        <v>0.03207866868381233</v>
      </c>
      <c r="H3154" s="11" t="s">
        <v>33</v>
      </c>
      <c r="I3154" s="16">
        <v>1.592</v>
      </c>
      <c r="J3154" s="11" t="s">
        <v>106</v>
      </c>
      <c r="K3154" s="11" t="s">
        <v>35</v>
      </c>
      <c r="L3154" s="11" t="s">
        <v>48</v>
      </c>
      <c r="M3154" s="11" t="s">
        <v>66</v>
      </c>
      <c r="N3154" s="11" t="s">
        <v>67</v>
      </c>
      <c r="O3154" s="11" t="s">
        <v>98</v>
      </c>
      <c r="P3154" s="11" t="s">
        <v>99</v>
      </c>
      <c r="Q3154" s="20">
        <v>40357.0</v>
      </c>
      <c r="R3154" s="17">
        <f t="shared" si="2"/>
        <v>41.04760782</v>
      </c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>
        <f t="shared" si="8"/>
        <v>4</v>
      </c>
      <c r="AF3154" s="19">
        <f t="shared" si="13"/>
        <v>2</v>
      </c>
      <c r="AG3154" s="9"/>
      <c r="AH3154" s="9"/>
      <c r="AI3154" s="9"/>
    </row>
    <row r="3155" ht="15.0" customHeight="1">
      <c r="A3155" s="11">
        <v>3154.0</v>
      </c>
      <c r="B3155" s="12">
        <f t="shared" ref="B3155:B3161" si="507">DATE(2012,12,31)-918</f>
        <v>40356</v>
      </c>
      <c r="C3155" s="13">
        <v>2010.0</v>
      </c>
      <c r="D3155" s="11" t="s">
        <v>23</v>
      </c>
      <c r="E3155" s="11">
        <v>11.0</v>
      </c>
      <c r="F3155" s="21" t="s">
        <v>2370</v>
      </c>
      <c r="G3155" s="15">
        <v>0.08316465863453804</v>
      </c>
      <c r="H3155" s="11" t="s">
        <v>33</v>
      </c>
      <c r="I3155" s="16">
        <v>7.192</v>
      </c>
      <c r="J3155" s="11" t="s">
        <v>2361</v>
      </c>
      <c r="K3155" s="11" t="s">
        <v>83</v>
      </c>
      <c r="L3155" s="11" t="s">
        <v>36</v>
      </c>
      <c r="M3155" s="11" t="s">
        <v>28</v>
      </c>
      <c r="N3155" s="11" t="s">
        <v>62</v>
      </c>
      <c r="O3155" s="11" t="s">
        <v>2371</v>
      </c>
      <c r="P3155" s="11" t="s">
        <v>99</v>
      </c>
      <c r="Q3155" s="20">
        <v>40357.0</v>
      </c>
      <c r="R3155" s="17">
        <f t="shared" si="2"/>
        <v>18.98582625</v>
      </c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>
        <f t="shared" si="8"/>
        <v>2</v>
      </c>
      <c r="AF3155" s="19" t="b">
        <f t="shared" si="13"/>
        <v>0</v>
      </c>
      <c r="AG3155" s="9"/>
      <c r="AH3155" s="9"/>
      <c r="AI3155" s="9"/>
    </row>
    <row r="3156" ht="15.0" customHeight="1">
      <c r="A3156" s="11">
        <v>3155.0</v>
      </c>
      <c r="B3156" s="12">
        <f t="shared" si="507"/>
        <v>40356</v>
      </c>
      <c r="C3156" s="13">
        <v>2010.0</v>
      </c>
      <c r="D3156" s="11" t="s">
        <v>23</v>
      </c>
      <c r="E3156" s="11">
        <v>22.0</v>
      </c>
      <c r="F3156" s="21" t="s">
        <v>869</v>
      </c>
      <c r="G3156" s="15">
        <v>0.030216978712490333</v>
      </c>
      <c r="H3156" s="11" t="s">
        <v>33</v>
      </c>
      <c r="I3156" s="16">
        <v>0.792</v>
      </c>
      <c r="J3156" s="11" t="s">
        <v>2361</v>
      </c>
      <c r="K3156" s="11" t="s">
        <v>83</v>
      </c>
      <c r="L3156" s="11" t="s">
        <v>36</v>
      </c>
      <c r="M3156" s="11" t="s">
        <v>66</v>
      </c>
      <c r="N3156" s="11" t="s">
        <v>80</v>
      </c>
      <c r="O3156" s="11" t="s">
        <v>870</v>
      </c>
      <c r="P3156" s="11" t="s">
        <v>58</v>
      </c>
      <c r="Q3156" s="20">
        <v>40357.0</v>
      </c>
      <c r="R3156" s="17">
        <f t="shared" si="2"/>
        <v>57.12797822</v>
      </c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>
        <f t="shared" si="8"/>
        <v>2</v>
      </c>
      <c r="AF3156" s="19" t="b">
        <f t="shared" si="13"/>
        <v>0</v>
      </c>
      <c r="AG3156" s="9"/>
      <c r="AH3156" s="9"/>
      <c r="AI3156" s="9"/>
    </row>
    <row r="3157" ht="15.0" customHeight="1">
      <c r="A3157" s="11">
        <v>3156.0</v>
      </c>
      <c r="B3157" s="12">
        <f t="shared" si="507"/>
        <v>40356</v>
      </c>
      <c r="C3157" s="13">
        <v>2010.0</v>
      </c>
      <c r="D3157" s="11" t="s">
        <v>23</v>
      </c>
      <c r="E3157" s="11">
        <v>22.0</v>
      </c>
      <c r="F3157" s="21" t="s">
        <v>231</v>
      </c>
      <c r="G3157" s="15">
        <v>0.006069469835466212</v>
      </c>
      <c r="H3157" s="11" t="s">
        <v>45</v>
      </c>
      <c r="I3157" s="16">
        <v>15.352000000000002</v>
      </c>
      <c r="J3157" s="11" t="s">
        <v>2372</v>
      </c>
      <c r="K3157" s="11" t="s">
        <v>714</v>
      </c>
      <c r="L3157" s="11" t="s">
        <v>27</v>
      </c>
      <c r="M3157" s="11" t="s">
        <v>49</v>
      </c>
      <c r="N3157" s="11" t="s">
        <v>50</v>
      </c>
      <c r="O3157" s="11" t="s">
        <v>121</v>
      </c>
      <c r="P3157" s="11" t="s">
        <v>52</v>
      </c>
      <c r="Q3157" s="20">
        <v>40358.0</v>
      </c>
      <c r="R3157" s="17">
        <f t="shared" si="2"/>
        <v>4.619789104</v>
      </c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>
        <f t="shared" si="8"/>
        <v>1</v>
      </c>
      <c r="AF3157" s="19" t="b">
        <f t="shared" si="13"/>
        <v>0</v>
      </c>
      <c r="AG3157" s="9"/>
      <c r="AH3157" s="9"/>
      <c r="AI3157" s="9"/>
    </row>
    <row r="3158" ht="15.0" customHeight="1">
      <c r="A3158" s="11">
        <v>3157.0</v>
      </c>
      <c r="B3158" s="12">
        <f t="shared" si="507"/>
        <v>40356</v>
      </c>
      <c r="C3158" s="13">
        <v>2010.0</v>
      </c>
      <c r="D3158" s="11" t="s">
        <v>23</v>
      </c>
      <c r="E3158" s="11">
        <v>31.0</v>
      </c>
      <c r="F3158" s="21" t="s">
        <v>218</v>
      </c>
      <c r="G3158" s="15">
        <v>0.0700718390804597</v>
      </c>
      <c r="H3158" s="11" t="s">
        <v>33</v>
      </c>
      <c r="I3158" s="16">
        <v>1.592</v>
      </c>
      <c r="J3158" s="11" t="s">
        <v>2372</v>
      </c>
      <c r="K3158" s="11" t="s">
        <v>714</v>
      </c>
      <c r="L3158" s="11" t="s">
        <v>27</v>
      </c>
      <c r="M3158" s="11" t="s">
        <v>66</v>
      </c>
      <c r="N3158" s="11" t="s">
        <v>67</v>
      </c>
      <c r="O3158" s="11" t="s">
        <v>749</v>
      </c>
      <c r="P3158" s="11" t="s">
        <v>99</v>
      </c>
      <c r="Q3158" s="20">
        <v>40358.0</v>
      </c>
      <c r="R3158" s="17">
        <f t="shared" si="2"/>
        <v>18.14103856</v>
      </c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>
        <f t="shared" si="8"/>
        <v>1</v>
      </c>
      <c r="AF3158" s="19" t="b">
        <f t="shared" si="13"/>
        <v>0</v>
      </c>
      <c r="AG3158" s="9"/>
      <c r="AH3158" s="9"/>
      <c r="AI3158" s="9"/>
    </row>
    <row r="3159" ht="15.0" customHeight="1">
      <c r="A3159" s="11">
        <v>3158.0</v>
      </c>
      <c r="B3159" s="12">
        <f t="shared" si="507"/>
        <v>40356</v>
      </c>
      <c r="C3159" s="13">
        <v>2010.0</v>
      </c>
      <c r="D3159" s="11" t="s">
        <v>32</v>
      </c>
      <c r="E3159" s="11">
        <v>14.0</v>
      </c>
      <c r="F3159" s="21" t="s">
        <v>668</v>
      </c>
      <c r="G3159" s="15">
        <v>0.014961306964746303</v>
      </c>
      <c r="H3159" s="11" t="s">
        <v>33</v>
      </c>
      <c r="I3159" s="16">
        <v>3.9600000000000004</v>
      </c>
      <c r="J3159" s="11" t="s">
        <v>1754</v>
      </c>
      <c r="K3159" s="11" t="s">
        <v>35</v>
      </c>
      <c r="L3159" s="11" t="s">
        <v>41</v>
      </c>
      <c r="M3159" s="11" t="s">
        <v>49</v>
      </c>
      <c r="N3159" s="11" t="s">
        <v>73</v>
      </c>
      <c r="O3159" s="11" t="s">
        <v>1481</v>
      </c>
      <c r="P3159" s="11" t="s">
        <v>38</v>
      </c>
      <c r="Q3159" s="20">
        <v>40358.0</v>
      </c>
      <c r="R3159" s="17">
        <f t="shared" si="2"/>
        <v>1.713967326</v>
      </c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>
        <f t="shared" si="8"/>
        <v>3</v>
      </c>
      <c r="AF3159" s="19">
        <f t="shared" si="13"/>
        <v>2</v>
      </c>
      <c r="AG3159" s="9"/>
      <c r="AH3159" s="9"/>
      <c r="AI3159" s="9"/>
    </row>
    <row r="3160" ht="15.0" customHeight="1">
      <c r="A3160" s="11">
        <v>3159.0</v>
      </c>
      <c r="B3160" s="12">
        <f t="shared" si="507"/>
        <v>40356</v>
      </c>
      <c r="C3160" s="13">
        <v>2010.0</v>
      </c>
      <c r="D3160" s="11" t="s">
        <v>32</v>
      </c>
      <c r="E3160" s="11">
        <v>45.0</v>
      </c>
      <c r="F3160" s="21" t="s">
        <v>308</v>
      </c>
      <c r="G3160" s="15">
        <v>0.010489084924510677</v>
      </c>
      <c r="H3160" s="11" t="s">
        <v>45</v>
      </c>
      <c r="I3160" s="16">
        <v>14.288</v>
      </c>
      <c r="J3160" s="11" t="s">
        <v>1754</v>
      </c>
      <c r="K3160" s="11" t="s">
        <v>35</v>
      </c>
      <c r="L3160" s="11" t="s">
        <v>41</v>
      </c>
      <c r="M3160" s="11" t="s">
        <v>66</v>
      </c>
      <c r="N3160" s="11" t="s">
        <v>69</v>
      </c>
      <c r="O3160" s="11" t="s">
        <v>309</v>
      </c>
      <c r="P3160" s="11" t="s">
        <v>52</v>
      </c>
      <c r="Q3160" s="20">
        <v>40358.0</v>
      </c>
      <c r="R3160" s="17">
        <f t="shared" si="2"/>
        <v>125.1850049</v>
      </c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>
        <f t="shared" si="8"/>
        <v>3</v>
      </c>
      <c r="AF3160" s="19">
        <f t="shared" si="13"/>
        <v>2</v>
      </c>
      <c r="AG3160" s="9"/>
      <c r="AH3160" s="9"/>
      <c r="AI3160" s="9"/>
    </row>
    <row r="3161" ht="15.0" customHeight="1">
      <c r="A3161" s="11">
        <v>3160.0</v>
      </c>
      <c r="B3161" s="12">
        <f t="shared" si="507"/>
        <v>40356</v>
      </c>
      <c r="C3161" s="13">
        <v>2010.0</v>
      </c>
      <c r="D3161" s="11" t="s">
        <v>32</v>
      </c>
      <c r="E3161" s="11">
        <v>43.0</v>
      </c>
      <c r="F3161" s="21" t="s">
        <v>210</v>
      </c>
      <c r="G3161" s="15">
        <v>0.06016528925619836</v>
      </c>
      <c r="H3161" s="11" t="s">
        <v>33</v>
      </c>
      <c r="I3161" s="16">
        <v>1.92</v>
      </c>
      <c r="J3161" s="11" t="s">
        <v>1754</v>
      </c>
      <c r="K3161" s="11" t="s">
        <v>35</v>
      </c>
      <c r="L3161" s="11" t="s">
        <v>41</v>
      </c>
      <c r="M3161" s="11" t="s">
        <v>28</v>
      </c>
      <c r="N3161" s="11" t="s">
        <v>62</v>
      </c>
      <c r="O3161" s="11" t="s">
        <v>212</v>
      </c>
      <c r="P3161" s="11" t="s">
        <v>58</v>
      </c>
      <c r="Q3161" s="20">
        <v>40358.0</v>
      </c>
      <c r="R3161" s="17">
        <f t="shared" si="2"/>
        <v>6.841996694</v>
      </c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>
        <f t="shared" si="8"/>
        <v>3</v>
      </c>
      <c r="AF3161" s="19">
        <f t="shared" si="13"/>
        <v>2</v>
      </c>
      <c r="AG3161" s="9"/>
      <c r="AH3161" s="9"/>
      <c r="AI3161" s="9"/>
    </row>
    <row r="3162" ht="15.0" customHeight="1">
      <c r="A3162" s="11">
        <v>3161.0</v>
      </c>
      <c r="B3162" s="12">
        <f t="shared" ref="B3162:B3165" si="508">DATE(2012,12,31)-917</f>
        <v>40357</v>
      </c>
      <c r="C3162" s="13">
        <v>2010.0</v>
      </c>
      <c r="D3162" s="11" t="s">
        <v>102</v>
      </c>
      <c r="E3162" s="11">
        <v>47.0</v>
      </c>
      <c r="F3162" s="21" t="s">
        <v>394</v>
      </c>
      <c r="G3162" s="15">
        <v>0.039188503313563106</v>
      </c>
      <c r="H3162" s="11" t="s">
        <v>33</v>
      </c>
      <c r="I3162" s="16">
        <v>3.3600000000000003</v>
      </c>
      <c r="J3162" s="11" t="s">
        <v>546</v>
      </c>
      <c r="K3162" s="11" t="s">
        <v>61</v>
      </c>
      <c r="L3162" s="11" t="s">
        <v>36</v>
      </c>
      <c r="M3162" s="11" t="s">
        <v>66</v>
      </c>
      <c r="N3162" s="11" t="s">
        <v>80</v>
      </c>
      <c r="O3162" s="11" t="s">
        <v>1874</v>
      </c>
      <c r="P3162" s="11" t="s">
        <v>38</v>
      </c>
      <c r="Q3162" s="20">
        <v>40358.0</v>
      </c>
      <c r="R3162" s="17">
        <f t="shared" si="2"/>
        <v>259.6496989</v>
      </c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>
        <f t="shared" si="8"/>
        <v>2</v>
      </c>
      <c r="AF3162" s="19">
        <f t="shared" si="13"/>
        <v>4</v>
      </c>
      <c r="AG3162" s="9"/>
      <c r="AH3162" s="9"/>
      <c r="AI3162" s="9"/>
    </row>
    <row r="3163" ht="15.0" customHeight="1">
      <c r="A3163" s="11">
        <v>3162.0</v>
      </c>
      <c r="B3163" s="12">
        <f t="shared" si="508"/>
        <v>40357</v>
      </c>
      <c r="C3163" s="13">
        <v>2010.0</v>
      </c>
      <c r="D3163" s="11" t="s">
        <v>44</v>
      </c>
      <c r="E3163" s="11">
        <v>32.0</v>
      </c>
      <c r="F3163" s="21" t="s">
        <v>103</v>
      </c>
      <c r="G3163" s="15">
        <v>0.10423385195662412</v>
      </c>
      <c r="H3163" s="11" t="s">
        <v>33</v>
      </c>
      <c r="I3163" s="16">
        <v>1.192</v>
      </c>
      <c r="J3163" s="11" t="s">
        <v>859</v>
      </c>
      <c r="K3163" s="11" t="s">
        <v>26</v>
      </c>
      <c r="L3163" s="11" t="s">
        <v>48</v>
      </c>
      <c r="M3163" s="11" t="s">
        <v>28</v>
      </c>
      <c r="N3163" s="11" t="s">
        <v>42</v>
      </c>
      <c r="O3163" s="11" t="s">
        <v>1473</v>
      </c>
      <c r="P3163" s="11" t="s">
        <v>38</v>
      </c>
      <c r="Q3163" s="20">
        <v>40358.0</v>
      </c>
      <c r="R3163" s="17">
        <f t="shared" si="2"/>
        <v>19.803598</v>
      </c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>
        <f t="shared" si="8"/>
        <v>4</v>
      </c>
      <c r="AF3163" s="19">
        <f t="shared" si="13"/>
        <v>1</v>
      </c>
      <c r="AG3163" s="9"/>
      <c r="AH3163" s="9"/>
      <c r="AI3163" s="9"/>
    </row>
    <row r="3164" ht="15.0" customHeight="1">
      <c r="A3164" s="11">
        <v>3163.0</v>
      </c>
      <c r="B3164" s="12">
        <f t="shared" si="508"/>
        <v>40357</v>
      </c>
      <c r="C3164" s="13">
        <v>2010.0</v>
      </c>
      <c r="D3164" s="11" t="s">
        <v>39</v>
      </c>
      <c r="E3164" s="11">
        <v>7.0</v>
      </c>
      <c r="F3164" s="21" t="s">
        <v>178</v>
      </c>
      <c r="G3164" s="15">
        <v>0.07867846607669601</v>
      </c>
      <c r="H3164" s="11" t="s">
        <v>24</v>
      </c>
      <c r="I3164" s="16">
        <v>7.192</v>
      </c>
      <c r="J3164" s="11" t="s">
        <v>746</v>
      </c>
      <c r="K3164" s="11" t="s">
        <v>65</v>
      </c>
      <c r="L3164" s="11" t="s">
        <v>48</v>
      </c>
      <c r="M3164" s="11" t="s">
        <v>66</v>
      </c>
      <c r="N3164" s="11" t="s">
        <v>80</v>
      </c>
      <c r="O3164" s="11" t="s">
        <v>1506</v>
      </c>
      <c r="P3164" s="11" t="s">
        <v>38</v>
      </c>
      <c r="Q3164" s="20">
        <v>40359.0</v>
      </c>
      <c r="R3164" s="17">
        <f t="shared" si="2"/>
        <v>36.86023193</v>
      </c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>
        <f t="shared" si="8"/>
        <v>4</v>
      </c>
      <c r="AF3164" s="19">
        <f t="shared" si="13"/>
        <v>5</v>
      </c>
      <c r="AG3164" s="9"/>
      <c r="AH3164" s="9"/>
      <c r="AI3164" s="9"/>
    </row>
    <row r="3165" ht="15.0" customHeight="1">
      <c r="A3165" s="11">
        <v>3164.0</v>
      </c>
      <c r="B3165" s="12">
        <f t="shared" si="508"/>
        <v>40357</v>
      </c>
      <c r="C3165" s="13">
        <v>2010.0</v>
      </c>
      <c r="D3165" s="11" t="s">
        <v>102</v>
      </c>
      <c r="E3165" s="11">
        <v>34.0</v>
      </c>
      <c r="F3165" s="21" t="s">
        <v>536</v>
      </c>
      <c r="G3165" s="15">
        <v>0.05143804318609431</v>
      </c>
      <c r="H3165" s="11" t="s">
        <v>45</v>
      </c>
      <c r="I3165" s="16">
        <v>56.160000000000004</v>
      </c>
      <c r="J3165" s="11" t="s">
        <v>1961</v>
      </c>
      <c r="K3165" s="11" t="s">
        <v>65</v>
      </c>
      <c r="L3165" s="11" t="s">
        <v>27</v>
      </c>
      <c r="M3165" s="11" t="s">
        <v>49</v>
      </c>
      <c r="N3165" s="11" t="s">
        <v>50</v>
      </c>
      <c r="O3165" s="11" t="s">
        <v>537</v>
      </c>
      <c r="P3165" s="11" t="s">
        <v>52</v>
      </c>
      <c r="Q3165" s="20">
        <v>40359.0</v>
      </c>
      <c r="R3165" s="17">
        <f t="shared" si="2"/>
        <v>217.8277678</v>
      </c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>
        <f t="shared" si="8"/>
        <v>1</v>
      </c>
      <c r="AF3165" s="19">
        <f t="shared" si="13"/>
        <v>5</v>
      </c>
      <c r="AG3165" s="9"/>
      <c r="AH3165" s="9"/>
      <c r="AI3165" s="9"/>
    </row>
    <row r="3166" ht="15.0" customHeight="1">
      <c r="A3166" s="11">
        <v>3165.0</v>
      </c>
      <c r="B3166" s="12">
        <f t="shared" ref="B3166:B3169" si="509">DATE(2012,12,31)-916</f>
        <v>40358</v>
      </c>
      <c r="C3166" s="13">
        <v>2010.0</v>
      </c>
      <c r="D3166" s="11" t="s">
        <v>23</v>
      </c>
      <c r="E3166" s="11">
        <v>45.0</v>
      </c>
      <c r="F3166" s="21" t="s">
        <v>440</v>
      </c>
      <c r="G3166" s="15">
        <v>0.050617283950617216</v>
      </c>
      <c r="H3166" s="11" t="s">
        <v>33</v>
      </c>
      <c r="I3166" s="16">
        <v>1.6</v>
      </c>
      <c r="J3166" s="11" t="s">
        <v>1069</v>
      </c>
      <c r="K3166" s="11" t="s">
        <v>83</v>
      </c>
      <c r="L3166" s="11" t="s">
        <v>41</v>
      </c>
      <c r="M3166" s="11" t="s">
        <v>28</v>
      </c>
      <c r="N3166" s="11" t="s">
        <v>56</v>
      </c>
      <c r="O3166" s="11" t="s">
        <v>489</v>
      </c>
      <c r="P3166" s="11" t="s">
        <v>58</v>
      </c>
      <c r="Q3166" s="20">
        <v>40360.0</v>
      </c>
      <c r="R3166" s="17">
        <f t="shared" si="2"/>
        <v>15.56987654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>
        <f t="shared" si="8"/>
        <v>3</v>
      </c>
      <c r="AF3166" s="19" t="b">
        <f t="shared" si="13"/>
        <v>0</v>
      </c>
      <c r="AG3166" s="9"/>
      <c r="AH3166" s="9"/>
      <c r="AI3166" s="9"/>
    </row>
    <row r="3167" ht="15.0" customHeight="1">
      <c r="A3167" s="11">
        <v>3166.0</v>
      </c>
      <c r="B3167" s="12">
        <f t="shared" si="509"/>
        <v>40358</v>
      </c>
      <c r="C3167" s="13">
        <v>2010.0</v>
      </c>
      <c r="D3167" s="11" t="s">
        <v>23</v>
      </c>
      <c r="E3167" s="11">
        <v>43.0</v>
      </c>
      <c r="F3167" s="21" t="s">
        <v>810</v>
      </c>
      <c r="G3167" s="15">
        <v>0.09075211051419813</v>
      </c>
      <c r="H3167" s="11" t="s">
        <v>33</v>
      </c>
      <c r="I3167" s="16">
        <v>5.2</v>
      </c>
      <c r="J3167" s="11" t="s">
        <v>1069</v>
      </c>
      <c r="K3167" s="11" t="s">
        <v>83</v>
      </c>
      <c r="L3167" s="11" t="s">
        <v>41</v>
      </c>
      <c r="M3167" s="11" t="s">
        <v>66</v>
      </c>
      <c r="N3167" s="11" t="s">
        <v>67</v>
      </c>
      <c r="O3167" s="11" t="s">
        <v>1974</v>
      </c>
      <c r="P3167" s="11" t="s">
        <v>38</v>
      </c>
      <c r="Q3167" s="20">
        <v>40360.0</v>
      </c>
      <c r="R3167" s="17">
        <f t="shared" si="2"/>
        <v>43.00742517</v>
      </c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>
        <f t="shared" si="8"/>
        <v>3</v>
      </c>
      <c r="AF3167" s="19" t="b">
        <f t="shared" si="13"/>
        <v>0</v>
      </c>
      <c r="AG3167" s="9"/>
      <c r="AH3167" s="9"/>
      <c r="AI3167" s="9"/>
    </row>
    <row r="3168" ht="15.0" customHeight="1">
      <c r="A3168" s="11">
        <v>3167.0</v>
      </c>
      <c r="B3168" s="12">
        <f t="shared" si="509"/>
        <v>40358</v>
      </c>
      <c r="C3168" s="13">
        <v>2010.0</v>
      </c>
      <c r="D3168" s="11" t="s">
        <v>39</v>
      </c>
      <c r="E3168" s="11">
        <v>17.0</v>
      </c>
      <c r="F3168" s="21" t="s">
        <v>486</v>
      </c>
      <c r="G3168" s="15">
        <v>0.038824809575625806</v>
      </c>
      <c r="H3168" s="11" t="s">
        <v>33</v>
      </c>
      <c r="I3168" s="16">
        <v>1.6320000000000001</v>
      </c>
      <c r="J3168" s="11" t="s">
        <v>1257</v>
      </c>
      <c r="K3168" s="11" t="s">
        <v>35</v>
      </c>
      <c r="L3168" s="11" t="s">
        <v>36</v>
      </c>
      <c r="M3168" s="11" t="s">
        <v>28</v>
      </c>
      <c r="N3168" s="11" t="s">
        <v>56</v>
      </c>
      <c r="O3168" s="11" t="s">
        <v>1340</v>
      </c>
      <c r="P3168" s="11" t="s">
        <v>58</v>
      </c>
      <c r="Q3168" s="20">
        <v>40360.0</v>
      </c>
      <c r="R3168" s="17">
        <f t="shared" si="2"/>
        <v>3.429473079</v>
      </c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>
        <f t="shared" si="8"/>
        <v>2</v>
      </c>
      <c r="AF3168" s="19">
        <f t="shared" si="13"/>
        <v>2</v>
      </c>
      <c r="AG3168" s="9"/>
      <c r="AH3168" s="9"/>
      <c r="AI3168" s="9"/>
    </row>
    <row r="3169" ht="15.0" customHeight="1">
      <c r="A3169" s="11">
        <v>3168.0</v>
      </c>
      <c r="B3169" s="12">
        <f t="shared" si="509"/>
        <v>40358</v>
      </c>
      <c r="C3169" s="13">
        <v>2010.0</v>
      </c>
      <c r="D3169" s="11" t="s">
        <v>39</v>
      </c>
      <c r="E3169" s="11">
        <v>35.0</v>
      </c>
      <c r="F3169" s="21" t="s">
        <v>521</v>
      </c>
      <c r="G3169" s="15">
        <v>0.040409712628657384</v>
      </c>
      <c r="H3169" s="11" t="s">
        <v>45</v>
      </c>
      <c r="I3169" s="16">
        <v>55.712</v>
      </c>
      <c r="J3169" s="11" t="s">
        <v>1257</v>
      </c>
      <c r="K3169" s="11" t="s">
        <v>35</v>
      </c>
      <c r="L3169" s="11" t="s">
        <v>36</v>
      </c>
      <c r="M3169" s="11" t="s">
        <v>49</v>
      </c>
      <c r="N3169" s="11" t="s">
        <v>85</v>
      </c>
      <c r="O3169" s="11" t="s">
        <v>522</v>
      </c>
      <c r="P3169" s="11" t="s">
        <v>87</v>
      </c>
      <c r="Q3169" s="20">
        <v>40360.0</v>
      </c>
      <c r="R3169" s="17">
        <f t="shared" si="2"/>
        <v>311.5674512</v>
      </c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>
        <f t="shared" si="8"/>
        <v>2</v>
      </c>
      <c r="AF3169" s="19">
        <f t="shared" si="13"/>
        <v>2</v>
      </c>
      <c r="AG3169" s="9"/>
      <c r="AH3169" s="9"/>
      <c r="AI3169" s="9"/>
    </row>
    <row r="3170" ht="15.0" customHeight="1">
      <c r="A3170" s="11">
        <v>3169.0</v>
      </c>
      <c r="B3170" s="12">
        <f t="shared" ref="B3170:B3174" si="510">DATE(2012,12,31)-915</f>
        <v>40359</v>
      </c>
      <c r="C3170" s="13">
        <v>2010.0</v>
      </c>
      <c r="D3170" s="11" t="s">
        <v>32</v>
      </c>
      <c r="E3170" s="11">
        <v>48.0</v>
      </c>
      <c r="F3170" s="21" t="s">
        <v>218</v>
      </c>
      <c r="G3170" s="15">
        <v>0.09412989364109516</v>
      </c>
      <c r="H3170" s="11" t="s">
        <v>33</v>
      </c>
      <c r="I3170" s="16">
        <v>1.904</v>
      </c>
      <c r="J3170" s="11" t="s">
        <v>2373</v>
      </c>
      <c r="K3170" s="11" t="s">
        <v>83</v>
      </c>
      <c r="L3170" s="11" t="s">
        <v>48</v>
      </c>
      <c r="M3170" s="11" t="s">
        <v>66</v>
      </c>
      <c r="N3170" s="11" t="s">
        <v>67</v>
      </c>
      <c r="O3170" s="11" t="s">
        <v>773</v>
      </c>
      <c r="P3170" s="11" t="s">
        <v>99</v>
      </c>
      <c r="Q3170" s="20">
        <v>40361.0</v>
      </c>
      <c r="R3170" s="17">
        <f t="shared" si="2"/>
        <v>37.68057294</v>
      </c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>
        <f t="shared" si="8"/>
        <v>4</v>
      </c>
      <c r="AF3170" s="19" t="b">
        <f t="shared" si="13"/>
        <v>0</v>
      </c>
      <c r="AG3170" s="9"/>
      <c r="AH3170" s="9"/>
      <c r="AI3170" s="9"/>
    </row>
    <row r="3171" ht="15.0" customHeight="1">
      <c r="A3171" s="11">
        <v>3170.0</v>
      </c>
      <c r="B3171" s="12">
        <f t="shared" si="510"/>
        <v>40359</v>
      </c>
      <c r="C3171" s="13">
        <v>2010.0</v>
      </c>
      <c r="D3171" s="11" t="s">
        <v>32</v>
      </c>
      <c r="E3171" s="11">
        <v>33.0</v>
      </c>
      <c r="F3171" s="21" t="s">
        <v>889</v>
      </c>
      <c r="G3171" s="15">
        <v>0.02785925370501057</v>
      </c>
      <c r="H3171" s="11" t="s">
        <v>33</v>
      </c>
      <c r="I3171" s="16">
        <v>2.3920000000000003</v>
      </c>
      <c r="J3171" s="11" t="s">
        <v>2373</v>
      </c>
      <c r="K3171" s="11" t="s">
        <v>83</v>
      </c>
      <c r="L3171" s="11" t="s">
        <v>48</v>
      </c>
      <c r="M3171" s="11" t="s">
        <v>28</v>
      </c>
      <c r="N3171" s="11" t="s">
        <v>42</v>
      </c>
      <c r="O3171" s="11" t="s">
        <v>2201</v>
      </c>
      <c r="P3171" s="11" t="s">
        <v>38</v>
      </c>
      <c r="Q3171" s="20">
        <v>40361.0</v>
      </c>
      <c r="R3171" s="17">
        <f t="shared" si="2"/>
        <v>19.64890876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>
        <f t="shared" si="8"/>
        <v>4</v>
      </c>
      <c r="AF3171" s="19" t="b">
        <f t="shared" si="13"/>
        <v>0</v>
      </c>
      <c r="AG3171" s="9"/>
      <c r="AH3171" s="9"/>
      <c r="AI3171" s="9"/>
    </row>
    <row r="3172" ht="15.0" customHeight="1">
      <c r="A3172" s="11">
        <v>3171.0</v>
      </c>
      <c r="B3172" s="12">
        <f t="shared" si="510"/>
        <v>40359</v>
      </c>
      <c r="C3172" s="13">
        <v>2010.0</v>
      </c>
      <c r="D3172" s="11" t="s">
        <v>44</v>
      </c>
      <c r="E3172" s="11">
        <v>26.0</v>
      </c>
      <c r="F3172" s="21" t="s">
        <v>2065</v>
      </c>
      <c r="G3172" s="15">
        <v>0.04237332831041624</v>
      </c>
      <c r="H3172" s="11" t="s">
        <v>24</v>
      </c>
      <c r="I3172" s="16">
        <v>10.608</v>
      </c>
      <c r="J3172" s="11" t="s">
        <v>2374</v>
      </c>
      <c r="K3172" s="11" t="s">
        <v>61</v>
      </c>
      <c r="L3172" s="11" t="s">
        <v>48</v>
      </c>
      <c r="M3172" s="11" t="s">
        <v>28</v>
      </c>
      <c r="N3172" s="11" t="s">
        <v>56</v>
      </c>
      <c r="O3172" s="11" t="s">
        <v>2066</v>
      </c>
      <c r="P3172" s="11" t="s">
        <v>38</v>
      </c>
      <c r="Q3172" s="20">
        <v>40361.0</v>
      </c>
      <c r="R3172" s="17">
        <f t="shared" si="2"/>
        <v>43.08553921</v>
      </c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>
        <f t="shared" si="8"/>
        <v>4</v>
      </c>
      <c r="AF3172" s="19">
        <f t="shared" si="13"/>
        <v>4</v>
      </c>
      <c r="AG3172" s="9"/>
      <c r="AH3172" s="9"/>
      <c r="AI3172" s="9"/>
    </row>
    <row r="3173" ht="15.0" customHeight="1">
      <c r="A3173" s="11">
        <v>3172.0</v>
      </c>
      <c r="B3173" s="12">
        <f t="shared" si="510"/>
        <v>40359</v>
      </c>
      <c r="C3173" s="13">
        <v>2010.0</v>
      </c>
      <c r="D3173" s="11" t="s">
        <v>23</v>
      </c>
      <c r="E3173" s="11">
        <v>37.0</v>
      </c>
      <c r="F3173" s="21" t="s">
        <v>1911</v>
      </c>
      <c r="G3173" s="15">
        <v>0.06100618324901635</v>
      </c>
      <c r="H3173" s="11" t="s">
        <v>33</v>
      </c>
      <c r="I3173" s="16">
        <v>11.776000000000002</v>
      </c>
      <c r="J3173" s="11" t="s">
        <v>1353</v>
      </c>
      <c r="K3173" s="11" t="s">
        <v>26</v>
      </c>
      <c r="L3173" s="11" t="s">
        <v>36</v>
      </c>
      <c r="M3173" s="11" t="s">
        <v>28</v>
      </c>
      <c r="N3173" s="11" t="s">
        <v>236</v>
      </c>
      <c r="O3173" s="11" t="s">
        <v>1912</v>
      </c>
      <c r="P3173" s="11" t="s">
        <v>38</v>
      </c>
      <c r="Q3173" s="20">
        <v>40361.0</v>
      </c>
      <c r="R3173" s="17">
        <f t="shared" si="2"/>
        <v>81.52719915</v>
      </c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>
        <f t="shared" si="8"/>
        <v>2</v>
      </c>
      <c r="AF3173" s="19">
        <f t="shared" si="13"/>
        <v>1</v>
      </c>
      <c r="AG3173" s="9"/>
      <c r="AH3173" s="9"/>
      <c r="AI3173" s="9"/>
    </row>
    <row r="3174" ht="15.0" customHeight="1">
      <c r="A3174" s="11">
        <v>3173.0</v>
      </c>
      <c r="B3174" s="12">
        <f t="shared" si="510"/>
        <v>40359</v>
      </c>
      <c r="C3174" s="13">
        <v>2010.0</v>
      </c>
      <c r="D3174" s="11" t="s">
        <v>23</v>
      </c>
      <c r="E3174" s="11">
        <v>39.0</v>
      </c>
      <c r="F3174" s="21" t="s">
        <v>379</v>
      </c>
      <c r="G3174" s="15">
        <v>0.07000614250614262</v>
      </c>
      <c r="H3174" s="11" t="s">
        <v>24</v>
      </c>
      <c r="I3174" s="16">
        <v>1.1119999999999999</v>
      </c>
      <c r="J3174" s="11" t="s">
        <v>1353</v>
      </c>
      <c r="K3174" s="11" t="s">
        <v>26</v>
      </c>
      <c r="L3174" s="11" t="s">
        <v>36</v>
      </c>
      <c r="M3174" s="11" t="s">
        <v>28</v>
      </c>
      <c r="N3174" s="11" t="s">
        <v>236</v>
      </c>
      <c r="O3174" s="11" t="s">
        <v>885</v>
      </c>
      <c r="P3174" s="11" t="s">
        <v>38</v>
      </c>
      <c r="Q3174" s="20">
        <v>40362.0</v>
      </c>
      <c r="R3174" s="17">
        <f t="shared" si="2"/>
        <v>42.39655998</v>
      </c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>
        <f t="shared" si="8"/>
        <v>2</v>
      </c>
      <c r="AF3174" s="19">
        <f t="shared" si="13"/>
        <v>1</v>
      </c>
      <c r="AG3174" s="9"/>
      <c r="AH3174" s="9"/>
      <c r="AI3174" s="9"/>
    </row>
    <row r="3175" ht="15.0" customHeight="1">
      <c r="A3175" s="11">
        <v>3174.0</v>
      </c>
      <c r="B3175" s="12">
        <f t="shared" ref="B3175:B3188" si="511">DATE(2012,12,31)-912</f>
        <v>40362</v>
      </c>
      <c r="C3175" s="13">
        <v>2010.0</v>
      </c>
      <c r="D3175" s="11" t="s">
        <v>39</v>
      </c>
      <c r="E3175" s="11">
        <v>35.0</v>
      </c>
      <c r="F3175" s="21" t="s">
        <v>389</v>
      </c>
      <c r="G3175" s="15">
        <v>0.05978320143645676</v>
      </c>
      <c r="H3175" s="11" t="s">
        <v>45</v>
      </c>
      <c r="I3175" s="16">
        <v>44.912000000000006</v>
      </c>
      <c r="J3175" s="11" t="s">
        <v>1276</v>
      </c>
      <c r="K3175" s="11" t="s">
        <v>47</v>
      </c>
      <c r="L3175" s="11" t="s">
        <v>36</v>
      </c>
      <c r="M3175" s="11" t="s">
        <v>66</v>
      </c>
      <c r="N3175" s="11" t="s">
        <v>69</v>
      </c>
      <c r="O3175" s="11" t="s">
        <v>390</v>
      </c>
      <c r="P3175" s="11" t="s">
        <v>87</v>
      </c>
      <c r="Q3175" s="20">
        <v>40362.0</v>
      </c>
      <c r="R3175" s="17">
        <f t="shared" si="2"/>
        <v>253.565188</v>
      </c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>
        <f t="shared" si="8"/>
        <v>2</v>
      </c>
      <c r="AF3175" s="19">
        <f t="shared" si="13"/>
        <v>3</v>
      </c>
      <c r="AG3175" s="9"/>
      <c r="AH3175" s="9"/>
      <c r="AI3175" s="9"/>
    </row>
    <row r="3176" ht="15.0" customHeight="1">
      <c r="A3176" s="11">
        <v>3175.0</v>
      </c>
      <c r="B3176" s="12">
        <f t="shared" si="511"/>
        <v>40362</v>
      </c>
      <c r="C3176" s="13">
        <v>2010.0</v>
      </c>
      <c r="D3176" s="11" t="s">
        <v>39</v>
      </c>
      <c r="E3176" s="11">
        <v>24.0</v>
      </c>
      <c r="F3176" s="21" t="s">
        <v>1047</v>
      </c>
      <c r="G3176" s="15">
        <v>0.06952800503461298</v>
      </c>
      <c r="H3176" s="11" t="s">
        <v>33</v>
      </c>
      <c r="I3176" s="16">
        <v>11.112000000000002</v>
      </c>
      <c r="J3176" s="11" t="s">
        <v>1276</v>
      </c>
      <c r="K3176" s="11" t="s">
        <v>47</v>
      </c>
      <c r="L3176" s="11" t="s">
        <v>36</v>
      </c>
      <c r="M3176" s="11" t="s">
        <v>28</v>
      </c>
      <c r="N3176" s="11" t="s">
        <v>62</v>
      </c>
      <c r="O3176" s="11" t="s">
        <v>1049</v>
      </c>
      <c r="P3176" s="11" t="s">
        <v>58</v>
      </c>
      <c r="Q3176" s="20">
        <v>40363.0</v>
      </c>
      <c r="R3176" s="17">
        <f t="shared" si="2"/>
        <v>61.6791276</v>
      </c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>
        <f t="shared" si="8"/>
        <v>2</v>
      </c>
      <c r="AF3176" s="19">
        <f t="shared" si="13"/>
        <v>3</v>
      </c>
      <c r="AG3176" s="9"/>
      <c r="AH3176" s="9"/>
      <c r="AI3176" s="9"/>
    </row>
    <row r="3177" ht="15.0" customHeight="1">
      <c r="A3177" s="11">
        <v>3176.0</v>
      </c>
      <c r="B3177" s="12">
        <f t="shared" si="511"/>
        <v>40362</v>
      </c>
      <c r="C3177" s="13">
        <v>2010.0</v>
      </c>
      <c r="D3177" s="11" t="s">
        <v>102</v>
      </c>
      <c r="E3177" s="11">
        <v>32.0</v>
      </c>
      <c r="F3177" s="21" t="s">
        <v>277</v>
      </c>
      <c r="G3177" s="15">
        <v>0.06992907801418433</v>
      </c>
      <c r="H3177" s="11" t="s">
        <v>33</v>
      </c>
      <c r="I3177" s="16">
        <v>1.2560000000000002</v>
      </c>
      <c r="J3177" s="11" t="s">
        <v>2375</v>
      </c>
      <c r="K3177" s="11" t="s">
        <v>117</v>
      </c>
      <c r="L3177" s="11" t="s">
        <v>48</v>
      </c>
      <c r="M3177" s="11" t="s">
        <v>28</v>
      </c>
      <c r="N3177" s="11" t="s">
        <v>62</v>
      </c>
      <c r="O3177" s="11" t="s">
        <v>355</v>
      </c>
      <c r="P3177" s="11" t="s">
        <v>58</v>
      </c>
      <c r="Q3177" s="20">
        <v>40363.0</v>
      </c>
      <c r="R3177" s="17">
        <f t="shared" si="2"/>
        <v>3.668199716</v>
      </c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>
        <f t="shared" si="8"/>
        <v>4</v>
      </c>
      <c r="AF3177" s="19" t="b">
        <f t="shared" si="13"/>
        <v>0</v>
      </c>
      <c r="AG3177" s="9"/>
      <c r="AH3177" s="9"/>
      <c r="AI3177" s="9"/>
    </row>
    <row r="3178" ht="15.0" customHeight="1">
      <c r="A3178" s="11">
        <v>3177.0</v>
      </c>
      <c r="B3178" s="12">
        <f t="shared" si="511"/>
        <v>40362</v>
      </c>
      <c r="C3178" s="13">
        <v>2010.0</v>
      </c>
      <c r="D3178" s="11" t="s">
        <v>102</v>
      </c>
      <c r="E3178" s="11">
        <v>47.0</v>
      </c>
      <c r="F3178" s="21" t="s">
        <v>325</v>
      </c>
      <c r="G3178" s="15">
        <v>0.10233315246880094</v>
      </c>
      <c r="H3178" s="11" t="s">
        <v>33</v>
      </c>
      <c r="I3178" s="16">
        <v>1.8800000000000001</v>
      </c>
      <c r="J3178" s="11" t="s">
        <v>2375</v>
      </c>
      <c r="K3178" s="11" t="s">
        <v>117</v>
      </c>
      <c r="L3178" s="11" t="s">
        <v>48</v>
      </c>
      <c r="M3178" s="11" t="s">
        <v>28</v>
      </c>
      <c r="N3178" s="11" t="s">
        <v>62</v>
      </c>
      <c r="O3178" s="11" t="s">
        <v>1113</v>
      </c>
      <c r="P3178" s="11" t="s">
        <v>58</v>
      </c>
      <c r="Q3178" s="20">
        <v>40363.0</v>
      </c>
      <c r="R3178" s="17">
        <f t="shared" si="2"/>
        <v>33.85999349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>
        <f t="shared" si="8"/>
        <v>4</v>
      </c>
      <c r="AF3178" s="19" t="b">
        <f t="shared" si="13"/>
        <v>0</v>
      </c>
      <c r="AG3178" s="9"/>
      <c r="AH3178" s="9"/>
      <c r="AI3178" s="9"/>
    </row>
    <row r="3179" ht="15.0" customHeight="1">
      <c r="A3179" s="11">
        <v>3178.0</v>
      </c>
      <c r="B3179" s="12">
        <f t="shared" si="511"/>
        <v>40362</v>
      </c>
      <c r="C3179" s="13">
        <v>2010.0</v>
      </c>
      <c r="D3179" s="11" t="s">
        <v>39</v>
      </c>
      <c r="E3179" s="11">
        <v>2.0</v>
      </c>
      <c r="F3179" s="21" t="s">
        <v>1435</v>
      </c>
      <c r="G3179" s="15">
        <v>0.12941176470588234</v>
      </c>
      <c r="H3179" s="11" t="s">
        <v>33</v>
      </c>
      <c r="I3179" s="16">
        <v>0.5599999999999999</v>
      </c>
      <c r="J3179" s="11" t="s">
        <v>213</v>
      </c>
      <c r="K3179" s="11" t="s">
        <v>47</v>
      </c>
      <c r="L3179" s="11" t="s">
        <v>48</v>
      </c>
      <c r="M3179" s="11" t="s">
        <v>28</v>
      </c>
      <c r="N3179" s="11" t="s">
        <v>216</v>
      </c>
      <c r="O3179" s="11" t="s">
        <v>1436</v>
      </c>
      <c r="P3179" s="11" t="s">
        <v>58</v>
      </c>
      <c r="Q3179" s="20">
        <v>40363.0</v>
      </c>
      <c r="R3179" s="17">
        <f t="shared" si="2"/>
        <v>0.3830588235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>
        <f t="shared" si="8"/>
        <v>4</v>
      </c>
      <c r="AF3179" s="19">
        <f t="shared" si="13"/>
        <v>3</v>
      </c>
      <c r="AG3179" s="9"/>
      <c r="AH3179" s="9"/>
      <c r="AI3179" s="9"/>
    </row>
    <row r="3180" ht="15.0" customHeight="1">
      <c r="A3180" s="11">
        <v>3179.0</v>
      </c>
      <c r="B3180" s="12">
        <f t="shared" si="511"/>
        <v>40362</v>
      </c>
      <c r="C3180" s="13">
        <v>2010.0</v>
      </c>
      <c r="D3180" s="11" t="s">
        <v>39</v>
      </c>
      <c r="E3180" s="11">
        <v>36.0</v>
      </c>
      <c r="F3180" s="21" t="s">
        <v>422</v>
      </c>
      <c r="G3180" s="15">
        <v>0.04165308650022806</v>
      </c>
      <c r="H3180" s="11" t="s">
        <v>33</v>
      </c>
      <c r="I3180" s="16">
        <v>28.0</v>
      </c>
      <c r="J3180" s="11" t="s">
        <v>213</v>
      </c>
      <c r="K3180" s="11" t="s">
        <v>47</v>
      </c>
      <c r="L3180" s="11" t="s">
        <v>48</v>
      </c>
      <c r="M3180" s="11" t="s">
        <v>28</v>
      </c>
      <c r="N3180" s="11" t="s">
        <v>29</v>
      </c>
      <c r="O3180" s="11" t="s">
        <v>1571</v>
      </c>
      <c r="P3180" s="11" t="s">
        <v>31</v>
      </c>
      <c r="Q3180" s="20">
        <v>40363.0</v>
      </c>
      <c r="R3180" s="17">
        <f t="shared" si="2"/>
        <v>122.4767355</v>
      </c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>
        <f t="shared" si="8"/>
        <v>4</v>
      </c>
      <c r="AF3180" s="19">
        <f t="shared" si="13"/>
        <v>3</v>
      </c>
      <c r="AG3180" s="9"/>
      <c r="AH3180" s="9"/>
      <c r="AI3180" s="9"/>
    </row>
    <row r="3181" ht="15.0" customHeight="1">
      <c r="A3181" s="11">
        <v>3180.0</v>
      </c>
      <c r="B3181" s="12">
        <f t="shared" si="511"/>
        <v>40362</v>
      </c>
      <c r="C3181" s="13">
        <v>2010.0</v>
      </c>
      <c r="D3181" s="11" t="s">
        <v>39</v>
      </c>
      <c r="E3181" s="11">
        <v>7.0</v>
      </c>
      <c r="F3181" s="21" t="s">
        <v>178</v>
      </c>
      <c r="G3181" s="15">
        <v>0.06861144457783096</v>
      </c>
      <c r="H3181" s="11" t="s">
        <v>33</v>
      </c>
      <c r="I3181" s="16">
        <v>4.208</v>
      </c>
      <c r="J3181" s="11" t="s">
        <v>213</v>
      </c>
      <c r="K3181" s="11" t="s">
        <v>47</v>
      </c>
      <c r="L3181" s="11" t="s">
        <v>48</v>
      </c>
      <c r="M3181" s="11" t="s">
        <v>66</v>
      </c>
      <c r="N3181" s="11" t="s">
        <v>80</v>
      </c>
      <c r="O3181" s="11" t="s">
        <v>912</v>
      </c>
      <c r="P3181" s="11" t="s">
        <v>38</v>
      </c>
      <c r="Q3181" s="20">
        <v>40363.0</v>
      </c>
      <c r="R3181" s="17">
        <f t="shared" si="2"/>
        <v>31.93917634</v>
      </c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>
        <f t="shared" si="8"/>
        <v>4</v>
      </c>
      <c r="AF3181" s="19">
        <f t="shared" si="13"/>
        <v>3</v>
      </c>
      <c r="AG3181" s="9"/>
      <c r="AH3181" s="9"/>
      <c r="AI3181" s="9"/>
    </row>
    <row r="3182" ht="15.0" customHeight="1">
      <c r="A3182" s="11">
        <v>3181.0</v>
      </c>
      <c r="B3182" s="12">
        <f t="shared" si="511"/>
        <v>40362</v>
      </c>
      <c r="C3182" s="13">
        <v>2010.0</v>
      </c>
      <c r="D3182" s="11" t="s">
        <v>23</v>
      </c>
      <c r="E3182" s="11">
        <v>20.0</v>
      </c>
      <c r="F3182" s="21" t="s">
        <v>413</v>
      </c>
      <c r="G3182" s="15">
        <v>0.012830188679245298</v>
      </c>
      <c r="H3182" s="11" t="s">
        <v>33</v>
      </c>
      <c r="I3182" s="16">
        <v>4.816</v>
      </c>
      <c r="J3182" s="11" t="s">
        <v>2365</v>
      </c>
      <c r="K3182" s="11" t="s">
        <v>117</v>
      </c>
      <c r="L3182" s="11" t="s">
        <v>48</v>
      </c>
      <c r="M3182" s="11" t="s">
        <v>49</v>
      </c>
      <c r="N3182" s="11" t="s">
        <v>73</v>
      </c>
      <c r="O3182" s="11" t="s">
        <v>1102</v>
      </c>
      <c r="P3182" s="11" t="s">
        <v>75</v>
      </c>
      <c r="Q3182" s="20">
        <v>40364.0</v>
      </c>
      <c r="R3182" s="17">
        <f t="shared" si="2"/>
        <v>2.550846792</v>
      </c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>
        <f t="shared" si="8"/>
        <v>4</v>
      </c>
      <c r="AF3182" s="19" t="b">
        <f t="shared" si="13"/>
        <v>0</v>
      </c>
      <c r="AG3182" s="9"/>
      <c r="AH3182" s="9"/>
      <c r="AI3182" s="9"/>
    </row>
    <row r="3183" ht="15.0" customHeight="1">
      <c r="A3183" s="11">
        <v>3182.0</v>
      </c>
      <c r="B3183" s="12">
        <f t="shared" si="511"/>
        <v>40362</v>
      </c>
      <c r="C3183" s="13">
        <v>2010.0</v>
      </c>
      <c r="D3183" s="11" t="s">
        <v>44</v>
      </c>
      <c r="E3183" s="11">
        <v>23.0</v>
      </c>
      <c r="F3183" s="21" t="s">
        <v>422</v>
      </c>
      <c r="G3183" s="15">
        <v>0.014215583872989242</v>
      </c>
      <c r="H3183" s="11" t="s">
        <v>45</v>
      </c>
      <c r="I3183" s="16">
        <v>26.880000000000003</v>
      </c>
      <c r="J3183" s="11" t="s">
        <v>2361</v>
      </c>
      <c r="K3183" s="11" t="s">
        <v>83</v>
      </c>
      <c r="L3183" s="11" t="s">
        <v>36</v>
      </c>
      <c r="M3183" s="11" t="s">
        <v>66</v>
      </c>
      <c r="N3183" s="11" t="s">
        <v>69</v>
      </c>
      <c r="O3183" s="11" t="s">
        <v>526</v>
      </c>
      <c r="P3183" s="11" t="s">
        <v>52</v>
      </c>
      <c r="Q3183" s="20">
        <v>40364.0</v>
      </c>
      <c r="R3183" s="17">
        <f t="shared" si="2"/>
        <v>26.83305181</v>
      </c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>
        <f t="shared" si="8"/>
        <v>2</v>
      </c>
      <c r="AF3183" s="19" t="b">
        <f t="shared" si="13"/>
        <v>0</v>
      </c>
      <c r="AG3183" s="9"/>
      <c r="AH3183" s="9"/>
      <c r="AI3183" s="9"/>
    </row>
    <row r="3184" ht="15.0" customHeight="1">
      <c r="A3184" s="11">
        <v>3183.0</v>
      </c>
      <c r="B3184" s="12">
        <f t="shared" si="511"/>
        <v>40362</v>
      </c>
      <c r="C3184" s="13">
        <v>2010.0</v>
      </c>
      <c r="D3184" s="11" t="s">
        <v>32</v>
      </c>
      <c r="E3184" s="11">
        <v>20.0</v>
      </c>
      <c r="F3184" s="21" t="s">
        <v>1367</v>
      </c>
      <c r="G3184" s="15">
        <v>0.012263760055245456</v>
      </c>
      <c r="H3184" s="11" t="s">
        <v>45</v>
      </c>
      <c r="I3184" s="16">
        <v>50.19200000000001</v>
      </c>
      <c r="J3184" s="11" t="s">
        <v>555</v>
      </c>
      <c r="K3184" s="11" t="s">
        <v>65</v>
      </c>
      <c r="L3184" s="11" t="s">
        <v>41</v>
      </c>
      <c r="M3184" s="11" t="s">
        <v>49</v>
      </c>
      <c r="N3184" s="11" t="s">
        <v>85</v>
      </c>
      <c r="O3184" s="11" t="s">
        <v>1368</v>
      </c>
      <c r="P3184" s="11" t="s">
        <v>87</v>
      </c>
      <c r="Q3184" s="20">
        <v>40364.0</v>
      </c>
      <c r="R3184" s="17">
        <f t="shared" si="2"/>
        <v>64.90217285</v>
      </c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>
        <f t="shared" si="8"/>
        <v>3</v>
      </c>
      <c r="AF3184" s="19">
        <f t="shared" si="13"/>
        <v>5</v>
      </c>
      <c r="AG3184" s="9"/>
      <c r="AH3184" s="9"/>
      <c r="AI3184" s="9"/>
    </row>
    <row r="3185" ht="15.0" customHeight="1">
      <c r="A3185" s="11">
        <v>3184.0</v>
      </c>
      <c r="B3185" s="12">
        <f t="shared" si="511"/>
        <v>40362</v>
      </c>
      <c r="C3185" s="13">
        <v>2010.0</v>
      </c>
      <c r="D3185" s="11" t="s">
        <v>39</v>
      </c>
      <c r="E3185" s="11">
        <v>1.0</v>
      </c>
      <c r="F3185" s="21" t="s">
        <v>1223</v>
      </c>
      <c r="G3185" s="15">
        <v>0.11864197530864201</v>
      </c>
      <c r="H3185" s="11" t="s">
        <v>33</v>
      </c>
      <c r="I3185" s="16">
        <v>6.656000000000001</v>
      </c>
      <c r="J3185" s="11" t="s">
        <v>1876</v>
      </c>
      <c r="K3185" s="11" t="s">
        <v>61</v>
      </c>
      <c r="L3185" s="11" t="s">
        <v>48</v>
      </c>
      <c r="M3185" s="11" t="s">
        <v>28</v>
      </c>
      <c r="N3185" s="11" t="s">
        <v>56</v>
      </c>
      <c r="O3185" s="11" t="s">
        <v>2376</v>
      </c>
      <c r="P3185" s="11" t="s">
        <v>58</v>
      </c>
      <c r="Q3185" s="20">
        <v>40364.0</v>
      </c>
      <c r="R3185" s="17">
        <f t="shared" si="2"/>
        <v>3.387940247</v>
      </c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>
        <f t="shared" si="8"/>
        <v>4</v>
      </c>
      <c r="AF3185" s="19">
        <f t="shared" si="13"/>
        <v>4</v>
      </c>
      <c r="AG3185" s="9"/>
      <c r="AH3185" s="9"/>
      <c r="AI3185" s="9"/>
    </row>
    <row r="3186" ht="15.0" customHeight="1">
      <c r="A3186" s="11">
        <v>3185.0</v>
      </c>
      <c r="B3186" s="12">
        <f t="shared" si="511"/>
        <v>40362</v>
      </c>
      <c r="C3186" s="13">
        <v>2010.0</v>
      </c>
      <c r="D3186" s="11" t="s">
        <v>23</v>
      </c>
      <c r="E3186" s="11">
        <v>22.0</v>
      </c>
      <c r="F3186" s="21" t="s">
        <v>872</v>
      </c>
      <c r="G3186" s="15">
        <v>0.04662541646834851</v>
      </c>
      <c r="H3186" s="11" t="s">
        <v>33</v>
      </c>
      <c r="I3186" s="16">
        <v>6.808</v>
      </c>
      <c r="J3186" s="11" t="s">
        <v>2358</v>
      </c>
      <c r="K3186" s="11" t="s">
        <v>35</v>
      </c>
      <c r="L3186" s="11" t="s">
        <v>48</v>
      </c>
      <c r="M3186" s="11" t="s">
        <v>66</v>
      </c>
      <c r="N3186" s="11" t="s">
        <v>69</v>
      </c>
      <c r="O3186" s="11" t="s">
        <v>1000</v>
      </c>
      <c r="P3186" s="11" t="s">
        <v>75</v>
      </c>
      <c r="Q3186" s="20">
        <v>40364.0</v>
      </c>
      <c r="R3186" s="17">
        <f t="shared" si="2"/>
        <v>18.67851484</v>
      </c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>
        <f t="shared" si="8"/>
        <v>4</v>
      </c>
      <c r="AF3186" s="19">
        <f t="shared" si="13"/>
        <v>2</v>
      </c>
      <c r="AG3186" s="9"/>
      <c r="AH3186" s="9"/>
      <c r="AI3186" s="9"/>
    </row>
    <row r="3187" ht="15.0" customHeight="1">
      <c r="A3187" s="11">
        <v>3186.0</v>
      </c>
      <c r="B3187" s="12">
        <f t="shared" si="511"/>
        <v>40362</v>
      </c>
      <c r="C3187" s="13">
        <v>2010.0</v>
      </c>
      <c r="D3187" s="11" t="s">
        <v>23</v>
      </c>
      <c r="E3187" s="11">
        <v>41.0</v>
      </c>
      <c r="F3187" s="21" t="s">
        <v>158</v>
      </c>
      <c r="G3187" s="15">
        <v>0.03582132564841484</v>
      </c>
      <c r="H3187" s="11" t="s">
        <v>33</v>
      </c>
      <c r="I3187" s="16">
        <v>5.256</v>
      </c>
      <c r="J3187" s="11" t="s">
        <v>2358</v>
      </c>
      <c r="K3187" s="11" t="s">
        <v>35</v>
      </c>
      <c r="L3187" s="11" t="s">
        <v>48</v>
      </c>
      <c r="M3187" s="11" t="s">
        <v>28</v>
      </c>
      <c r="N3187" s="11" t="s">
        <v>56</v>
      </c>
      <c r="O3187" s="11" t="s">
        <v>1768</v>
      </c>
      <c r="P3187" s="11" t="s">
        <v>38</v>
      </c>
      <c r="Q3187" s="20">
        <v>40364.0</v>
      </c>
      <c r="R3187" s="17">
        <f t="shared" si="2"/>
        <v>9.587792738</v>
      </c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>
        <f t="shared" si="8"/>
        <v>4</v>
      </c>
      <c r="AF3187" s="19">
        <f t="shared" si="13"/>
        <v>2</v>
      </c>
      <c r="AG3187" s="9"/>
      <c r="AH3187" s="9"/>
      <c r="AI3187" s="9"/>
    </row>
    <row r="3188" ht="15.0" customHeight="1">
      <c r="A3188" s="11">
        <v>3187.0</v>
      </c>
      <c r="B3188" s="12">
        <f t="shared" si="511"/>
        <v>40362</v>
      </c>
      <c r="C3188" s="13">
        <v>2010.0</v>
      </c>
      <c r="D3188" s="11" t="s">
        <v>32</v>
      </c>
      <c r="E3188" s="11">
        <v>11.0</v>
      </c>
      <c r="F3188" s="21" t="s">
        <v>1166</v>
      </c>
      <c r="G3188" s="15">
        <v>0.08703832752613232</v>
      </c>
      <c r="H3188" s="11" t="s">
        <v>24</v>
      </c>
      <c r="I3188" s="16">
        <v>0.7040000000000001</v>
      </c>
      <c r="J3188" s="11" t="s">
        <v>934</v>
      </c>
      <c r="K3188" s="11" t="s">
        <v>61</v>
      </c>
      <c r="L3188" s="11" t="s">
        <v>41</v>
      </c>
      <c r="M3188" s="11" t="s">
        <v>28</v>
      </c>
      <c r="N3188" s="11" t="s">
        <v>56</v>
      </c>
      <c r="O3188" s="11" t="s">
        <v>1258</v>
      </c>
      <c r="P3188" s="11" t="s">
        <v>58</v>
      </c>
      <c r="Q3188" s="20">
        <v>40364.0</v>
      </c>
      <c r="R3188" s="17">
        <f t="shared" si="2"/>
        <v>4.561156516</v>
      </c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>
        <f t="shared" si="8"/>
        <v>3</v>
      </c>
      <c r="AF3188" s="19">
        <f t="shared" si="13"/>
        <v>4</v>
      </c>
      <c r="AG3188" s="9"/>
      <c r="AH3188" s="9"/>
      <c r="AI3188" s="9"/>
    </row>
    <row r="3189" ht="15.0" customHeight="1">
      <c r="A3189" s="11">
        <v>3188.0</v>
      </c>
      <c r="B3189" s="12">
        <f t="shared" ref="B3189:B3195" si="512">DATE(2012,12,31)-911</f>
        <v>40363</v>
      </c>
      <c r="C3189" s="13">
        <v>2010.0</v>
      </c>
      <c r="D3189" s="11" t="s">
        <v>44</v>
      </c>
      <c r="E3189" s="11">
        <v>5.0</v>
      </c>
      <c r="F3189" s="21" t="s">
        <v>306</v>
      </c>
      <c r="G3189" s="15">
        <v>0.09275618374558303</v>
      </c>
      <c r="H3189" s="11" t="s">
        <v>33</v>
      </c>
      <c r="I3189" s="16">
        <v>3.2</v>
      </c>
      <c r="J3189" s="11" t="s">
        <v>1108</v>
      </c>
      <c r="K3189" s="11" t="s">
        <v>47</v>
      </c>
      <c r="L3189" s="11" t="s">
        <v>27</v>
      </c>
      <c r="M3189" s="11" t="s">
        <v>66</v>
      </c>
      <c r="N3189" s="11" t="s">
        <v>67</v>
      </c>
      <c r="O3189" s="11" t="s">
        <v>920</v>
      </c>
      <c r="P3189" s="11" t="s">
        <v>38</v>
      </c>
      <c r="Q3189" s="20">
        <v>40365.0</v>
      </c>
      <c r="R3189" s="17">
        <f t="shared" si="2"/>
        <v>9.526060071</v>
      </c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>
        <f t="shared" si="8"/>
        <v>1</v>
      </c>
      <c r="AF3189" s="19">
        <f t="shared" si="13"/>
        <v>3</v>
      </c>
      <c r="AG3189" s="9"/>
      <c r="AH3189" s="9"/>
      <c r="AI3189" s="9"/>
    </row>
    <row r="3190" ht="15.0" customHeight="1">
      <c r="A3190" s="11">
        <v>3189.0</v>
      </c>
      <c r="B3190" s="12">
        <f t="shared" si="512"/>
        <v>40363</v>
      </c>
      <c r="C3190" s="13">
        <v>2010.0</v>
      </c>
      <c r="D3190" s="11" t="s">
        <v>32</v>
      </c>
      <c r="E3190" s="11">
        <v>40.0</v>
      </c>
      <c r="F3190" s="21" t="s">
        <v>731</v>
      </c>
      <c r="G3190" s="15">
        <v>0.09122021660649816</v>
      </c>
      <c r="H3190" s="11" t="s">
        <v>33</v>
      </c>
      <c r="I3190" s="16">
        <v>2.3920000000000003</v>
      </c>
      <c r="J3190" s="11" t="s">
        <v>1737</v>
      </c>
      <c r="K3190" s="11" t="s">
        <v>61</v>
      </c>
      <c r="L3190" s="11" t="s">
        <v>27</v>
      </c>
      <c r="M3190" s="11" t="s">
        <v>28</v>
      </c>
      <c r="N3190" s="11" t="s">
        <v>42</v>
      </c>
      <c r="O3190" s="11" t="s">
        <v>1302</v>
      </c>
      <c r="P3190" s="11" t="s">
        <v>38</v>
      </c>
      <c r="Q3190" s="20">
        <v>40365.0</v>
      </c>
      <c r="R3190" s="17">
        <f t="shared" si="2"/>
        <v>137.7782854</v>
      </c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>
        <f t="shared" si="8"/>
        <v>1</v>
      </c>
      <c r="AF3190" s="19">
        <f t="shared" si="13"/>
        <v>4</v>
      </c>
      <c r="AG3190" s="9"/>
      <c r="AH3190" s="9"/>
      <c r="AI3190" s="9"/>
    </row>
    <row r="3191" ht="15.0" customHeight="1">
      <c r="A3191" s="11">
        <v>3190.0</v>
      </c>
      <c r="B3191" s="12">
        <f t="shared" si="512"/>
        <v>40363</v>
      </c>
      <c r="C3191" s="13">
        <v>2010.0</v>
      </c>
      <c r="D3191" s="11" t="s">
        <v>32</v>
      </c>
      <c r="E3191" s="11">
        <v>6.0</v>
      </c>
      <c r="F3191" s="21" t="s">
        <v>126</v>
      </c>
      <c r="G3191" s="15">
        <v>0.08307692307692291</v>
      </c>
      <c r="H3191" s="11" t="s">
        <v>33</v>
      </c>
      <c r="I3191" s="16">
        <v>3.976</v>
      </c>
      <c r="J3191" s="11" t="s">
        <v>690</v>
      </c>
      <c r="K3191" s="11" t="s">
        <v>61</v>
      </c>
      <c r="L3191" s="11" t="s">
        <v>48</v>
      </c>
      <c r="M3191" s="11" t="s">
        <v>28</v>
      </c>
      <c r="N3191" s="11" t="s">
        <v>42</v>
      </c>
      <c r="O3191" s="11" t="s">
        <v>1609</v>
      </c>
      <c r="P3191" s="11" t="s">
        <v>38</v>
      </c>
      <c r="Q3191" s="20">
        <v>40365.0</v>
      </c>
      <c r="R3191" s="17">
        <f t="shared" si="2"/>
        <v>2.772775385</v>
      </c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>
        <f t="shared" si="8"/>
        <v>4</v>
      </c>
      <c r="AF3191" s="19">
        <f t="shared" si="13"/>
        <v>4</v>
      </c>
      <c r="AG3191" s="9"/>
      <c r="AH3191" s="9"/>
      <c r="AI3191" s="9"/>
    </row>
    <row r="3192" ht="15.0" customHeight="1">
      <c r="A3192" s="11">
        <v>3191.0</v>
      </c>
      <c r="B3192" s="12">
        <f t="shared" si="512"/>
        <v>40363</v>
      </c>
      <c r="C3192" s="13">
        <v>2010.0</v>
      </c>
      <c r="D3192" s="11" t="s">
        <v>23</v>
      </c>
      <c r="E3192" s="11">
        <v>8.0</v>
      </c>
      <c r="F3192" s="21" t="s">
        <v>304</v>
      </c>
      <c r="G3192" s="15">
        <v>0.013644012944983845</v>
      </c>
      <c r="H3192" s="11" t="s">
        <v>33</v>
      </c>
      <c r="I3192" s="16">
        <v>1.192</v>
      </c>
      <c r="J3192" s="11" t="s">
        <v>1979</v>
      </c>
      <c r="K3192" s="11" t="s">
        <v>61</v>
      </c>
      <c r="L3192" s="11" t="s">
        <v>48</v>
      </c>
      <c r="M3192" s="11" t="s">
        <v>28</v>
      </c>
      <c r="N3192" s="11" t="s">
        <v>42</v>
      </c>
      <c r="O3192" s="11" t="s">
        <v>2377</v>
      </c>
      <c r="P3192" s="11" t="s">
        <v>38</v>
      </c>
      <c r="Q3192" s="20">
        <v>40365.0</v>
      </c>
      <c r="R3192" s="17">
        <f t="shared" si="2"/>
        <v>2.079238421</v>
      </c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>
        <f t="shared" si="8"/>
        <v>4</v>
      </c>
      <c r="AF3192" s="19">
        <f t="shared" si="13"/>
        <v>4</v>
      </c>
      <c r="AG3192" s="9"/>
      <c r="AH3192" s="9"/>
      <c r="AI3192" s="9"/>
    </row>
    <row r="3193" ht="15.0" customHeight="1">
      <c r="A3193" s="11">
        <v>3192.0</v>
      </c>
      <c r="B3193" s="12">
        <f t="shared" si="512"/>
        <v>40363</v>
      </c>
      <c r="C3193" s="13">
        <v>2010.0</v>
      </c>
      <c r="D3193" s="11" t="s">
        <v>23</v>
      </c>
      <c r="E3193" s="11">
        <v>33.0</v>
      </c>
      <c r="F3193" s="21" t="s">
        <v>333</v>
      </c>
      <c r="G3193" s="15">
        <v>0.11038391224862895</v>
      </c>
      <c r="H3193" s="11" t="s">
        <v>33</v>
      </c>
      <c r="I3193" s="16">
        <v>1.6239999999999999</v>
      </c>
      <c r="J3193" s="11" t="s">
        <v>1979</v>
      </c>
      <c r="K3193" s="11" t="s">
        <v>61</v>
      </c>
      <c r="L3193" s="11" t="s">
        <v>48</v>
      </c>
      <c r="M3193" s="11" t="s">
        <v>28</v>
      </c>
      <c r="N3193" s="11" t="s">
        <v>62</v>
      </c>
      <c r="O3193" s="11" t="s">
        <v>335</v>
      </c>
      <c r="P3193" s="11" t="s">
        <v>58</v>
      </c>
      <c r="Q3193" s="20">
        <v>40365.0</v>
      </c>
      <c r="R3193" s="17">
        <f t="shared" si="2"/>
        <v>10.74300388</v>
      </c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>
        <f t="shared" si="8"/>
        <v>4</v>
      </c>
      <c r="AF3193" s="19">
        <f t="shared" si="13"/>
        <v>4</v>
      </c>
      <c r="AG3193" s="9"/>
      <c r="AH3193" s="9"/>
      <c r="AI3193" s="9"/>
    </row>
    <row r="3194" ht="15.0" customHeight="1">
      <c r="A3194" s="11">
        <v>3193.0</v>
      </c>
      <c r="B3194" s="12">
        <f t="shared" si="512"/>
        <v>40363</v>
      </c>
      <c r="C3194" s="13">
        <v>2010.0</v>
      </c>
      <c r="D3194" s="11" t="s">
        <v>32</v>
      </c>
      <c r="E3194" s="11">
        <v>46.0</v>
      </c>
      <c r="F3194" s="21" t="s">
        <v>137</v>
      </c>
      <c r="G3194" s="15">
        <v>0.08341238975386597</v>
      </c>
      <c r="H3194" s="11" t="s">
        <v>33</v>
      </c>
      <c r="I3194" s="16">
        <v>11.192</v>
      </c>
      <c r="J3194" s="11" t="s">
        <v>1020</v>
      </c>
      <c r="K3194" s="11" t="s">
        <v>47</v>
      </c>
      <c r="L3194" s="11" t="s">
        <v>36</v>
      </c>
      <c r="M3194" s="11" t="s">
        <v>66</v>
      </c>
      <c r="N3194" s="11" t="s">
        <v>69</v>
      </c>
      <c r="O3194" s="11" t="s">
        <v>468</v>
      </c>
      <c r="P3194" s="11" t="s">
        <v>75</v>
      </c>
      <c r="Q3194" s="20">
        <v>40365.0</v>
      </c>
      <c r="R3194" s="17">
        <f t="shared" si="2"/>
        <v>579.9323137</v>
      </c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>
        <f t="shared" si="8"/>
        <v>2</v>
      </c>
      <c r="AF3194" s="19">
        <f t="shared" si="13"/>
        <v>3</v>
      </c>
      <c r="AG3194" s="9"/>
      <c r="AH3194" s="9"/>
      <c r="AI3194" s="9"/>
    </row>
    <row r="3195" ht="15.0" customHeight="1">
      <c r="A3195" s="11">
        <v>3194.0</v>
      </c>
      <c r="B3195" s="12">
        <f t="shared" si="512"/>
        <v>40363</v>
      </c>
      <c r="C3195" s="13">
        <v>2010.0</v>
      </c>
      <c r="D3195" s="11" t="s">
        <v>39</v>
      </c>
      <c r="E3195" s="11">
        <v>39.0</v>
      </c>
      <c r="F3195" s="21" t="s">
        <v>455</v>
      </c>
      <c r="G3195" s="15">
        <v>0.08522875816993472</v>
      </c>
      <c r="H3195" s="11" t="s">
        <v>33</v>
      </c>
      <c r="I3195" s="16">
        <v>5.5680000000000005</v>
      </c>
      <c r="J3195" s="11" t="s">
        <v>2075</v>
      </c>
      <c r="K3195" s="11" t="s">
        <v>35</v>
      </c>
      <c r="L3195" s="11" t="s">
        <v>48</v>
      </c>
      <c r="M3195" s="11" t="s">
        <v>28</v>
      </c>
      <c r="N3195" s="11" t="s">
        <v>197</v>
      </c>
      <c r="O3195" s="11" t="s">
        <v>457</v>
      </c>
      <c r="P3195" s="11" t="s">
        <v>75</v>
      </c>
      <c r="Q3195" s="20">
        <v>40366.0</v>
      </c>
      <c r="R3195" s="17">
        <f t="shared" si="2"/>
        <v>39.36443608</v>
      </c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>
        <f t="shared" si="8"/>
        <v>4</v>
      </c>
      <c r="AF3195" s="19">
        <f t="shared" si="13"/>
        <v>2</v>
      </c>
      <c r="AG3195" s="9"/>
      <c r="AH3195" s="9"/>
      <c r="AI3195" s="9"/>
    </row>
    <row r="3196" ht="15.0" customHeight="1">
      <c r="A3196" s="11">
        <v>3195.0</v>
      </c>
      <c r="B3196" s="12">
        <f t="shared" ref="B3196:B3197" si="513">DATE(2012,12,31)-910</f>
        <v>40364</v>
      </c>
      <c r="C3196" s="13">
        <v>2010.0</v>
      </c>
      <c r="D3196" s="11" t="s">
        <v>23</v>
      </c>
      <c r="E3196" s="11">
        <v>2.0</v>
      </c>
      <c r="F3196" s="21" t="s">
        <v>632</v>
      </c>
      <c r="G3196" s="15">
        <v>0.15465437788018424</v>
      </c>
      <c r="H3196" s="11" t="s">
        <v>33</v>
      </c>
      <c r="I3196" s="16">
        <v>4.944</v>
      </c>
      <c r="J3196" s="11" t="s">
        <v>1409</v>
      </c>
      <c r="K3196" s="11" t="s">
        <v>26</v>
      </c>
      <c r="L3196" s="11" t="s">
        <v>27</v>
      </c>
      <c r="M3196" s="11" t="s">
        <v>28</v>
      </c>
      <c r="N3196" s="11" t="s">
        <v>56</v>
      </c>
      <c r="O3196" s="11" t="s">
        <v>2378</v>
      </c>
      <c r="P3196" s="11" t="s">
        <v>38</v>
      </c>
      <c r="Q3196" s="20">
        <v>40366.0</v>
      </c>
      <c r="R3196" s="17">
        <f t="shared" si="2"/>
        <v>2.836979908</v>
      </c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>
        <f t="shared" si="8"/>
        <v>1</v>
      </c>
      <c r="AF3196" s="19">
        <f t="shared" si="13"/>
        <v>1</v>
      </c>
      <c r="AG3196" s="9"/>
      <c r="AH3196" s="9"/>
      <c r="AI3196" s="9"/>
    </row>
    <row r="3197" ht="15.0" customHeight="1">
      <c r="A3197" s="11">
        <v>3196.0</v>
      </c>
      <c r="B3197" s="12">
        <f t="shared" si="513"/>
        <v>40364</v>
      </c>
      <c r="C3197" s="13">
        <v>2010.0</v>
      </c>
      <c r="D3197" s="11" t="s">
        <v>23</v>
      </c>
      <c r="E3197" s="11">
        <v>30.0</v>
      </c>
      <c r="F3197" s="21" t="s">
        <v>440</v>
      </c>
      <c r="G3197" s="15">
        <v>0.08843394575678032</v>
      </c>
      <c r="H3197" s="11" t="s">
        <v>33</v>
      </c>
      <c r="I3197" s="16">
        <v>4.384</v>
      </c>
      <c r="J3197" s="11" t="s">
        <v>1409</v>
      </c>
      <c r="K3197" s="11" t="s">
        <v>26</v>
      </c>
      <c r="L3197" s="11" t="s">
        <v>27</v>
      </c>
      <c r="M3197" s="11" t="s">
        <v>28</v>
      </c>
      <c r="N3197" s="11" t="s">
        <v>42</v>
      </c>
      <c r="O3197" s="11" t="s">
        <v>2379</v>
      </c>
      <c r="P3197" s="11" t="s">
        <v>38</v>
      </c>
      <c r="Q3197" s="20">
        <v>40367.0</v>
      </c>
      <c r="R3197" s="17">
        <f t="shared" si="2"/>
        <v>18.42821935</v>
      </c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>
        <f t="shared" si="8"/>
        <v>1</v>
      </c>
      <c r="AF3197" s="19">
        <f t="shared" si="13"/>
        <v>1</v>
      </c>
      <c r="AG3197" s="9"/>
      <c r="AH3197" s="9"/>
      <c r="AI3197" s="9"/>
    </row>
    <row r="3198" ht="15.0" customHeight="1">
      <c r="A3198" s="11">
        <v>3197.0</v>
      </c>
      <c r="B3198" s="12">
        <f t="shared" ref="B3198:B3200" si="514">DATE(2012,12,31)-908</f>
        <v>40366</v>
      </c>
      <c r="C3198" s="13">
        <v>2010.0</v>
      </c>
      <c r="D3198" s="11" t="s">
        <v>39</v>
      </c>
      <c r="E3198" s="11">
        <v>44.0</v>
      </c>
      <c r="F3198" s="21" t="s">
        <v>287</v>
      </c>
      <c r="G3198" s="15">
        <v>0.0663540085237146</v>
      </c>
      <c r="H3198" s="11" t="s">
        <v>33</v>
      </c>
      <c r="I3198" s="16">
        <v>4.736</v>
      </c>
      <c r="J3198" s="11" t="s">
        <v>1108</v>
      </c>
      <c r="K3198" s="11" t="s">
        <v>47</v>
      </c>
      <c r="L3198" s="11" t="s">
        <v>27</v>
      </c>
      <c r="M3198" s="11" t="s">
        <v>66</v>
      </c>
      <c r="N3198" s="11" t="s">
        <v>80</v>
      </c>
      <c r="O3198" s="11" t="s">
        <v>435</v>
      </c>
      <c r="P3198" s="11" t="s">
        <v>38</v>
      </c>
      <c r="Q3198" s="20">
        <v>40368.0</v>
      </c>
      <c r="R3198" s="17">
        <f t="shared" si="2"/>
        <v>338.6931545</v>
      </c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>
        <f t="shared" si="8"/>
        <v>1</v>
      </c>
      <c r="AF3198" s="19">
        <f t="shared" si="13"/>
        <v>3</v>
      </c>
      <c r="AG3198" s="9"/>
      <c r="AH3198" s="9"/>
      <c r="AI3198" s="9"/>
    </row>
    <row r="3199" ht="15.0" customHeight="1">
      <c r="A3199" s="11">
        <v>3198.0</v>
      </c>
      <c r="B3199" s="12">
        <f t="shared" si="514"/>
        <v>40366</v>
      </c>
      <c r="C3199" s="13">
        <v>2010.0</v>
      </c>
      <c r="D3199" s="11" t="s">
        <v>32</v>
      </c>
      <c r="E3199" s="11">
        <v>25.0</v>
      </c>
      <c r="F3199" s="21" t="s">
        <v>210</v>
      </c>
      <c r="G3199" s="15">
        <v>0.05217391304347818</v>
      </c>
      <c r="H3199" s="11" t="s">
        <v>33</v>
      </c>
      <c r="I3199" s="16">
        <v>0.4</v>
      </c>
      <c r="J3199" s="11" t="s">
        <v>2069</v>
      </c>
      <c r="K3199" s="11" t="s">
        <v>35</v>
      </c>
      <c r="L3199" s="11" t="s">
        <v>48</v>
      </c>
      <c r="M3199" s="11" t="s">
        <v>28</v>
      </c>
      <c r="N3199" s="11" t="s">
        <v>188</v>
      </c>
      <c r="O3199" s="11" t="s">
        <v>1356</v>
      </c>
      <c r="P3199" s="11" t="s">
        <v>38</v>
      </c>
      <c r="Q3199" s="20">
        <v>40368.0</v>
      </c>
      <c r="R3199" s="17">
        <f t="shared" si="2"/>
        <v>3.412173913</v>
      </c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>
        <f t="shared" si="8"/>
        <v>4</v>
      </c>
      <c r="AF3199" s="19">
        <f t="shared" si="13"/>
        <v>2</v>
      </c>
      <c r="AG3199" s="9"/>
      <c r="AH3199" s="9"/>
      <c r="AI3199" s="9"/>
    </row>
    <row r="3200" ht="15.0" customHeight="1">
      <c r="A3200" s="11">
        <v>3199.0</v>
      </c>
      <c r="B3200" s="12">
        <f t="shared" si="514"/>
        <v>40366</v>
      </c>
      <c r="C3200" s="13">
        <v>2010.0</v>
      </c>
      <c r="D3200" s="11" t="s">
        <v>32</v>
      </c>
      <c r="E3200" s="11">
        <v>7.0</v>
      </c>
      <c r="F3200" s="21" t="s">
        <v>577</v>
      </c>
      <c r="G3200" s="15">
        <v>0.08065441682224635</v>
      </c>
      <c r="H3200" s="11" t="s">
        <v>45</v>
      </c>
      <c r="I3200" s="16">
        <v>53.336000000000006</v>
      </c>
      <c r="J3200" s="11" t="s">
        <v>2221</v>
      </c>
      <c r="K3200" s="11" t="s">
        <v>35</v>
      </c>
      <c r="L3200" s="11" t="s">
        <v>36</v>
      </c>
      <c r="M3200" s="11" t="s">
        <v>49</v>
      </c>
      <c r="N3200" s="11" t="s">
        <v>85</v>
      </c>
      <c r="O3200" s="11" t="s">
        <v>579</v>
      </c>
      <c r="P3200" s="11" t="s">
        <v>87</v>
      </c>
      <c r="Q3200" s="20">
        <v>40369.0</v>
      </c>
      <c r="R3200" s="17">
        <f t="shared" si="2"/>
        <v>150.9234483</v>
      </c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>
        <f t="shared" si="8"/>
        <v>2</v>
      </c>
      <c r="AF3200" s="19">
        <f t="shared" si="13"/>
        <v>2</v>
      </c>
      <c r="AG3200" s="9"/>
      <c r="AH3200" s="9"/>
      <c r="AI3200" s="9"/>
    </row>
    <row r="3201" ht="15.0" customHeight="1">
      <c r="A3201" s="11">
        <v>3200.0</v>
      </c>
      <c r="B3201" s="12">
        <f t="shared" ref="B3201:B3204" si="515">DATE(2012,12,31)-906</f>
        <v>40368</v>
      </c>
      <c r="C3201" s="13">
        <v>2010.0</v>
      </c>
      <c r="D3201" s="11" t="s">
        <v>32</v>
      </c>
      <c r="E3201" s="11">
        <v>36.0</v>
      </c>
      <c r="F3201" s="21" t="s">
        <v>473</v>
      </c>
      <c r="G3201" s="15">
        <v>0.08553331644286813</v>
      </c>
      <c r="H3201" s="11" t="s">
        <v>24</v>
      </c>
      <c r="I3201" s="16">
        <v>7.359999999999999</v>
      </c>
      <c r="J3201" s="11" t="s">
        <v>1816</v>
      </c>
      <c r="K3201" s="11" t="s">
        <v>47</v>
      </c>
      <c r="L3201" s="11" t="s">
        <v>41</v>
      </c>
      <c r="M3201" s="11" t="s">
        <v>49</v>
      </c>
      <c r="N3201" s="11" t="s">
        <v>73</v>
      </c>
      <c r="O3201" s="11" t="s">
        <v>1836</v>
      </c>
      <c r="P3201" s="11" t="s">
        <v>58</v>
      </c>
      <c r="Q3201" s="20">
        <v>40369.0</v>
      </c>
      <c r="R3201" s="17">
        <f t="shared" si="2"/>
        <v>123.4895809</v>
      </c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>
        <f t="shared" si="8"/>
        <v>3</v>
      </c>
      <c r="AF3201" s="19">
        <f t="shared" si="13"/>
        <v>3</v>
      </c>
      <c r="AG3201" s="9"/>
      <c r="AH3201" s="9"/>
      <c r="AI3201" s="9"/>
    </row>
    <row r="3202" ht="15.0" customHeight="1">
      <c r="A3202" s="11">
        <v>3201.0</v>
      </c>
      <c r="B3202" s="12">
        <f t="shared" si="515"/>
        <v>40368</v>
      </c>
      <c r="C3202" s="13">
        <v>2010.0</v>
      </c>
      <c r="D3202" s="11" t="s">
        <v>102</v>
      </c>
      <c r="E3202" s="11">
        <v>18.0</v>
      </c>
      <c r="F3202" s="21" t="s">
        <v>1223</v>
      </c>
      <c r="G3202" s="15">
        <v>0.04580814091882891</v>
      </c>
      <c r="H3202" s="11" t="s">
        <v>33</v>
      </c>
      <c r="I3202" s="16">
        <v>6.656000000000001</v>
      </c>
      <c r="J3202" s="11" t="s">
        <v>1196</v>
      </c>
      <c r="K3202" s="11" t="s">
        <v>61</v>
      </c>
      <c r="L3202" s="11" t="s">
        <v>41</v>
      </c>
      <c r="M3202" s="11" t="s">
        <v>28</v>
      </c>
      <c r="N3202" s="11" t="s">
        <v>56</v>
      </c>
      <c r="O3202" s="11" t="s">
        <v>2376</v>
      </c>
      <c r="P3202" s="11" t="s">
        <v>58</v>
      </c>
      <c r="Q3202" s="20">
        <v>40370.0</v>
      </c>
      <c r="R3202" s="17">
        <f t="shared" si="2"/>
        <v>18.36246814</v>
      </c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>
        <f t="shared" si="8"/>
        <v>3</v>
      </c>
      <c r="AF3202" s="19">
        <f t="shared" si="13"/>
        <v>4</v>
      </c>
      <c r="AG3202" s="9"/>
      <c r="AH3202" s="9"/>
      <c r="AI3202" s="9"/>
    </row>
    <row r="3203" ht="15.0" customHeight="1">
      <c r="A3203" s="11">
        <v>3202.0</v>
      </c>
      <c r="B3203" s="12">
        <f t="shared" si="515"/>
        <v>40368</v>
      </c>
      <c r="C3203" s="13">
        <v>2010.0</v>
      </c>
      <c r="D3203" s="11" t="s">
        <v>102</v>
      </c>
      <c r="E3203" s="11">
        <v>39.0</v>
      </c>
      <c r="F3203" s="21" t="s">
        <v>583</v>
      </c>
      <c r="G3203" s="15">
        <v>0.05312186978297174</v>
      </c>
      <c r="H3203" s="11" t="s">
        <v>33</v>
      </c>
      <c r="I3203" s="16">
        <v>55.2</v>
      </c>
      <c r="J3203" s="11" t="s">
        <v>1196</v>
      </c>
      <c r="K3203" s="11" t="s">
        <v>61</v>
      </c>
      <c r="L3203" s="11" t="s">
        <v>41</v>
      </c>
      <c r="M3203" s="11" t="s">
        <v>49</v>
      </c>
      <c r="N3203" s="11" t="s">
        <v>85</v>
      </c>
      <c r="O3203" s="11" t="s">
        <v>585</v>
      </c>
      <c r="P3203" s="11" t="s">
        <v>31</v>
      </c>
      <c r="Q3203" s="20">
        <v>40370.0</v>
      </c>
      <c r="R3203" s="17">
        <f t="shared" si="2"/>
        <v>150.6483105</v>
      </c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>
        <f t="shared" si="8"/>
        <v>3</v>
      </c>
      <c r="AF3203" s="19">
        <f t="shared" si="13"/>
        <v>4</v>
      </c>
      <c r="AG3203" s="9"/>
      <c r="AH3203" s="9"/>
      <c r="AI3203" s="9"/>
    </row>
    <row r="3204" ht="15.0" customHeight="1">
      <c r="A3204" s="11">
        <v>3203.0</v>
      </c>
      <c r="B3204" s="12">
        <f t="shared" si="515"/>
        <v>40368</v>
      </c>
      <c r="C3204" s="13">
        <v>2010.0</v>
      </c>
      <c r="D3204" s="11" t="s">
        <v>44</v>
      </c>
      <c r="E3204" s="11">
        <v>34.0</v>
      </c>
      <c r="F3204" s="21" t="s">
        <v>158</v>
      </c>
      <c r="G3204" s="15">
        <v>0.05490429604423632</v>
      </c>
      <c r="H3204" s="11" t="s">
        <v>33</v>
      </c>
      <c r="I3204" s="16">
        <v>4.5920000000000005</v>
      </c>
      <c r="J3204" s="11" t="s">
        <v>1643</v>
      </c>
      <c r="K3204" s="11" t="s">
        <v>83</v>
      </c>
      <c r="L3204" s="11" t="s">
        <v>48</v>
      </c>
      <c r="M3204" s="11" t="s">
        <v>28</v>
      </c>
      <c r="N3204" s="11" t="s">
        <v>56</v>
      </c>
      <c r="O3204" s="11" t="s">
        <v>2053</v>
      </c>
      <c r="P3204" s="11" t="s">
        <v>38</v>
      </c>
      <c r="Q3204" s="20">
        <v>40371.0</v>
      </c>
      <c r="R3204" s="17">
        <f t="shared" si="2"/>
        <v>12.19929535</v>
      </c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>
        <f t="shared" si="8"/>
        <v>4</v>
      </c>
      <c r="AF3204" s="19" t="b">
        <f t="shared" si="13"/>
        <v>0</v>
      </c>
      <c r="AG3204" s="9"/>
      <c r="AH3204" s="9"/>
      <c r="AI3204" s="9"/>
    </row>
    <row r="3205" ht="15.0" customHeight="1">
      <c r="A3205" s="11">
        <v>3204.0</v>
      </c>
      <c r="B3205" s="12">
        <f>DATE(2012,12,31)-905</f>
        <v>40369</v>
      </c>
      <c r="C3205" s="13">
        <v>2010.0</v>
      </c>
      <c r="D3205" s="11" t="s">
        <v>39</v>
      </c>
      <c r="E3205" s="11">
        <v>1.0</v>
      </c>
      <c r="F3205" s="21" t="s">
        <v>2380</v>
      </c>
      <c r="G3205" s="15">
        <v>0.04829315332690463</v>
      </c>
      <c r="H3205" s="11" t="s">
        <v>33</v>
      </c>
      <c r="I3205" s="16">
        <v>0.392</v>
      </c>
      <c r="J3205" s="11" t="s">
        <v>863</v>
      </c>
      <c r="K3205" s="11" t="s">
        <v>117</v>
      </c>
      <c r="L3205" s="11" t="s">
        <v>48</v>
      </c>
      <c r="M3205" s="11" t="s">
        <v>28</v>
      </c>
      <c r="N3205" s="11" t="s">
        <v>188</v>
      </c>
      <c r="O3205" s="11" t="s">
        <v>2381</v>
      </c>
      <c r="P3205" s="11" t="s">
        <v>38</v>
      </c>
      <c r="Q3205" s="20">
        <v>40372.0</v>
      </c>
      <c r="R3205" s="17">
        <f t="shared" si="2"/>
        <v>4.766147888</v>
      </c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>
        <f t="shared" si="8"/>
        <v>4</v>
      </c>
      <c r="AF3205" s="19" t="b">
        <f t="shared" si="13"/>
        <v>0</v>
      </c>
      <c r="AG3205" s="9"/>
      <c r="AH3205" s="9"/>
      <c r="AI3205" s="9"/>
    </row>
    <row r="3206" ht="15.0" customHeight="1">
      <c r="A3206" s="11">
        <v>3205.0</v>
      </c>
      <c r="B3206" s="12">
        <f>DATE(2012,12,31)-902</f>
        <v>40372</v>
      </c>
      <c r="C3206" s="13">
        <v>2010.0</v>
      </c>
      <c r="D3206" s="11" t="s">
        <v>44</v>
      </c>
      <c r="E3206" s="11">
        <v>50.0</v>
      </c>
      <c r="F3206" s="21" t="s">
        <v>207</v>
      </c>
      <c r="G3206" s="15">
        <v>0.10895463510848129</v>
      </c>
      <c r="H3206" s="11" t="s">
        <v>24</v>
      </c>
      <c r="I3206" s="16">
        <v>6.056000000000001</v>
      </c>
      <c r="J3206" s="11" t="s">
        <v>1650</v>
      </c>
      <c r="K3206" s="11" t="s">
        <v>65</v>
      </c>
      <c r="L3206" s="11" t="s">
        <v>27</v>
      </c>
      <c r="M3206" s="11" t="s">
        <v>28</v>
      </c>
      <c r="N3206" s="11" t="s">
        <v>42</v>
      </c>
      <c r="O3206" s="11" t="s">
        <v>208</v>
      </c>
      <c r="P3206" s="11" t="s">
        <v>38</v>
      </c>
      <c r="Q3206" s="20">
        <v>40374.0</v>
      </c>
      <c r="R3206" s="17">
        <f t="shared" si="2"/>
        <v>29.53280757</v>
      </c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>
        <f t="shared" si="8"/>
        <v>1</v>
      </c>
      <c r="AF3206" s="19">
        <f t="shared" si="13"/>
        <v>5</v>
      </c>
      <c r="AG3206" s="9"/>
      <c r="AH3206" s="9"/>
      <c r="AI3206" s="9"/>
    </row>
    <row r="3207" ht="15.0" customHeight="1">
      <c r="A3207" s="11">
        <v>3206.0</v>
      </c>
      <c r="B3207" s="12">
        <f t="shared" ref="B3207:B3213" si="516">DATE(2012,12,31)-901</f>
        <v>40373</v>
      </c>
      <c r="C3207" s="13">
        <v>2010.0</v>
      </c>
      <c r="D3207" s="11" t="s">
        <v>32</v>
      </c>
      <c r="E3207" s="11">
        <v>20.0</v>
      </c>
      <c r="F3207" s="21" t="s">
        <v>256</v>
      </c>
      <c r="G3207" s="15">
        <v>0.06574888463989803</v>
      </c>
      <c r="H3207" s="11" t="s">
        <v>33</v>
      </c>
      <c r="I3207" s="16">
        <v>5.168</v>
      </c>
      <c r="J3207" s="11" t="s">
        <v>418</v>
      </c>
      <c r="K3207" s="11" t="s">
        <v>61</v>
      </c>
      <c r="L3207" s="11" t="s">
        <v>48</v>
      </c>
      <c r="M3207" s="11" t="s">
        <v>28</v>
      </c>
      <c r="N3207" s="11" t="s">
        <v>42</v>
      </c>
      <c r="O3207" s="11" t="s">
        <v>547</v>
      </c>
      <c r="P3207" s="11" t="s">
        <v>38</v>
      </c>
      <c r="Q3207" s="20">
        <v>40375.0</v>
      </c>
      <c r="R3207" s="17">
        <f t="shared" si="2"/>
        <v>19.27546901</v>
      </c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>
        <f t="shared" si="8"/>
        <v>4</v>
      </c>
      <c r="AF3207" s="19">
        <f t="shared" si="13"/>
        <v>4</v>
      </c>
      <c r="AG3207" s="9"/>
      <c r="AH3207" s="9"/>
      <c r="AI3207" s="9"/>
    </row>
    <row r="3208" ht="15.0" customHeight="1">
      <c r="A3208" s="11">
        <v>3207.0</v>
      </c>
      <c r="B3208" s="12">
        <f t="shared" si="516"/>
        <v>40373</v>
      </c>
      <c r="C3208" s="13">
        <v>2010.0</v>
      </c>
      <c r="D3208" s="11" t="s">
        <v>32</v>
      </c>
      <c r="E3208" s="11">
        <v>23.0</v>
      </c>
      <c r="F3208" s="21" t="s">
        <v>142</v>
      </c>
      <c r="G3208" s="15">
        <v>0.012554360812425374</v>
      </c>
      <c r="H3208" s="11" t="s">
        <v>33</v>
      </c>
      <c r="I3208" s="16">
        <v>0.792</v>
      </c>
      <c r="J3208" s="11" t="s">
        <v>418</v>
      </c>
      <c r="K3208" s="11" t="s">
        <v>61</v>
      </c>
      <c r="L3208" s="11" t="s">
        <v>48</v>
      </c>
      <c r="M3208" s="11" t="s">
        <v>66</v>
      </c>
      <c r="N3208" s="11" t="s">
        <v>80</v>
      </c>
      <c r="O3208" s="11" t="s">
        <v>1046</v>
      </c>
      <c r="P3208" s="11" t="s">
        <v>99</v>
      </c>
      <c r="Q3208" s="20">
        <v>40375.0</v>
      </c>
      <c r="R3208" s="17">
        <f t="shared" si="2"/>
        <v>10.37607878</v>
      </c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>
        <f t="shared" si="8"/>
        <v>4</v>
      </c>
      <c r="AF3208" s="19">
        <f t="shared" si="13"/>
        <v>4</v>
      </c>
      <c r="AG3208" s="9"/>
      <c r="AH3208" s="9"/>
      <c r="AI3208" s="9"/>
    </row>
    <row r="3209" ht="15.0" customHeight="1">
      <c r="A3209" s="11">
        <v>3208.0</v>
      </c>
      <c r="B3209" s="12">
        <f t="shared" si="516"/>
        <v>40373</v>
      </c>
      <c r="C3209" s="13">
        <v>2010.0</v>
      </c>
      <c r="D3209" s="11" t="s">
        <v>23</v>
      </c>
      <c r="E3209" s="11">
        <v>17.0</v>
      </c>
      <c r="F3209" s="21" t="s">
        <v>1891</v>
      </c>
      <c r="G3209" s="15">
        <v>0.09783159053384675</v>
      </c>
      <c r="H3209" s="11" t="s">
        <v>33</v>
      </c>
      <c r="I3209" s="16">
        <v>5.824000000000001</v>
      </c>
      <c r="J3209" s="11" t="s">
        <v>94</v>
      </c>
      <c r="K3209" s="11" t="s">
        <v>26</v>
      </c>
      <c r="L3209" s="11" t="s">
        <v>27</v>
      </c>
      <c r="M3209" s="11" t="s">
        <v>28</v>
      </c>
      <c r="N3209" s="11" t="s">
        <v>29</v>
      </c>
      <c r="O3209" s="11" t="s">
        <v>2382</v>
      </c>
      <c r="P3209" s="11" t="s">
        <v>38</v>
      </c>
      <c r="Q3209" s="20">
        <v>40375.0</v>
      </c>
      <c r="R3209" s="17">
        <f t="shared" si="2"/>
        <v>16.03694565</v>
      </c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>
        <f t="shared" si="8"/>
        <v>1</v>
      </c>
      <c r="AF3209" s="19">
        <f t="shared" si="13"/>
        <v>1</v>
      </c>
      <c r="AG3209" s="9"/>
      <c r="AH3209" s="9"/>
      <c r="AI3209" s="9"/>
    </row>
    <row r="3210" ht="15.0" customHeight="1">
      <c r="A3210" s="11">
        <v>3209.0</v>
      </c>
      <c r="B3210" s="12">
        <f t="shared" si="516"/>
        <v>40373</v>
      </c>
      <c r="C3210" s="13">
        <v>2010.0</v>
      </c>
      <c r="D3210" s="11" t="s">
        <v>44</v>
      </c>
      <c r="E3210" s="11">
        <v>17.0</v>
      </c>
      <c r="F3210" s="21" t="s">
        <v>1692</v>
      </c>
      <c r="G3210" s="15">
        <v>0.030794684024952498</v>
      </c>
      <c r="H3210" s="11" t="s">
        <v>33</v>
      </c>
      <c r="I3210" s="16">
        <v>2.3920000000000003</v>
      </c>
      <c r="J3210" s="11" t="s">
        <v>2383</v>
      </c>
      <c r="K3210" s="11" t="s">
        <v>117</v>
      </c>
      <c r="L3210" s="11" t="s">
        <v>48</v>
      </c>
      <c r="M3210" s="11" t="s">
        <v>28</v>
      </c>
      <c r="N3210" s="11" t="s">
        <v>42</v>
      </c>
      <c r="O3210" s="11" t="s">
        <v>1694</v>
      </c>
      <c r="P3210" s="11" t="s">
        <v>38</v>
      </c>
      <c r="Q3210" s="20">
        <v>40375.0</v>
      </c>
      <c r="R3210" s="17">
        <f t="shared" si="2"/>
        <v>22.00871432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>
        <f t="shared" si="8"/>
        <v>4</v>
      </c>
      <c r="AF3210" s="19" t="b">
        <f t="shared" si="13"/>
        <v>0</v>
      </c>
      <c r="AG3210" s="9"/>
      <c r="AH3210" s="9"/>
      <c r="AI3210" s="9"/>
    </row>
    <row r="3211" ht="15.0" customHeight="1">
      <c r="A3211" s="11">
        <v>3210.0</v>
      </c>
      <c r="B3211" s="12">
        <f t="shared" si="516"/>
        <v>40373</v>
      </c>
      <c r="C3211" s="13">
        <v>2010.0</v>
      </c>
      <c r="D3211" s="11" t="s">
        <v>44</v>
      </c>
      <c r="E3211" s="11">
        <v>45.0</v>
      </c>
      <c r="F3211" s="21" t="s">
        <v>629</v>
      </c>
      <c r="G3211" s="15">
        <v>0.011445746919146356</v>
      </c>
      <c r="H3211" s="11" t="s">
        <v>33</v>
      </c>
      <c r="I3211" s="16">
        <v>0.392</v>
      </c>
      <c r="J3211" s="11" t="s">
        <v>2383</v>
      </c>
      <c r="K3211" s="11" t="s">
        <v>117</v>
      </c>
      <c r="L3211" s="11" t="s">
        <v>48</v>
      </c>
      <c r="M3211" s="11" t="s">
        <v>28</v>
      </c>
      <c r="N3211" s="11" t="s">
        <v>188</v>
      </c>
      <c r="O3211" s="11" t="s">
        <v>631</v>
      </c>
      <c r="P3211" s="11" t="s">
        <v>38</v>
      </c>
      <c r="Q3211" s="20">
        <v>40375.0</v>
      </c>
      <c r="R3211" s="17">
        <f t="shared" si="2"/>
        <v>3.764414596</v>
      </c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>
        <f t="shared" si="8"/>
        <v>4</v>
      </c>
      <c r="AF3211" s="19" t="b">
        <f t="shared" si="13"/>
        <v>0</v>
      </c>
      <c r="AG3211" s="9"/>
      <c r="AH3211" s="9"/>
      <c r="AI3211" s="9"/>
    </row>
    <row r="3212" ht="15.0" customHeight="1">
      <c r="A3212" s="11">
        <v>3211.0</v>
      </c>
      <c r="B3212" s="12">
        <f t="shared" si="516"/>
        <v>40373</v>
      </c>
      <c r="C3212" s="13">
        <v>2010.0</v>
      </c>
      <c r="D3212" s="11" t="s">
        <v>39</v>
      </c>
      <c r="E3212" s="11">
        <v>48.0</v>
      </c>
      <c r="F3212" s="21" t="s">
        <v>1791</v>
      </c>
      <c r="G3212" s="15">
        <v>0.04913809082483774</v>
      </c>
      <c r="H3212" s="11" t="s">
        <v>33</v>
      </c>
      <c r="I3212" s="16">
        <v>7.192</v>
      </c>
      <c r="J3212" s="11" t="s">
        <v>64</v>
      </c>
      <c r="K3212" s="11" t="s">
        <v>65</v>
      </c>
      <c r="L3212" s="11" t="s">
        <v>48</v>
      </c>
      <c r="M3212" s="11" t="s">
        <v>66</v>
      </c>
      <c r="N3212" s="11" t="s">
        <v>67</v>
      </c>
      <c r="O3212" s="11" t="s">
        <v>1792</v>
      </c>
      <c r="P3212" s="11" t="s">
        <v>99</v>
      </c>
      <c r="Q3212" s="20">
        <v>40376.0</v>
      </c>
      <c r="R3212" s="17">
        <f t="shared" si="2"/>
        <v>20.16587937</v>
      </c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>
        <f t="shared" si="8"/>
        <v>4</v>
      </c>
      <c r="AF3212" s="19">
        <f t="shared" si="13"/>
        <v>5</v>
      </c>
      <c r="AG3212" s="9"/>
      <c r="AH3212" s="9"/>
      <c r="AI3212" s="9"/>
    </row>
    <row r="3213" ht="15.0" customHeight="1">
      <c r="A3213" s="11">
        <v>3212.0</v>
      </c>
      <c r="B3213" s="12">
        <f t="shared" si="516"/>
        <v>40373</v>
      </c>
      <c r="C3213" s="13">
        <v>2010.0</v>
      </c>
      <c r="D3213" s="11" t="s">
        <v>102</v>
      </c>
      <c r="E3213" s="11">
        <v>34.0</v>
      </c>
      <c r="F3213" s="21" t="s">
        <v>1611</v>
      </c>
      <c r="G3213" s="15">
        <v>0.006407249466950799</v>
      </c>
      <c r="H3213" s="11" t="s">
        <v>33</v>
      </c>
      <c r="I3213" s="16">
        <v>11.192</v>
      </c>
      <c r="J3213" s="11" t="s">
        <v>1802</v>
      </c>
      <c r="K3213" s="11" t="s">
        <v>61</v>
      </c>
      <c r="L3213" s="11" t="s">
        <v>48</v>
      </c>
      <c r="M3213" s="11" t="s">
        <v>28</v>
      </c>
      <c r="N3213" s="11" t="s">
        <v>197</v>
      </c>
      <c r="O3213" s="11" t="s">
        <v>1612</v>
      </c>
      <c r="P3213" s="11" t="s">
        <v>75</v>
      </c>
      <c r="Q3213" s="20">
        <v>40376.0</v>
      </c>
      <c r="R3213" s="17">
        <f t="shared" si="2"/>
        <v>4.777193945</v>
      </c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>
        <f t="shared" si="8"/>
        <v>4</v>
      </c>
      <c r="AF3213" s="19">
        <f t="shared" si="13"/>
        <v>4</v>
      </c>
      <c r="AG3213" s="9"/>
      <c r="AH3213" s="9"/>
      <c r="AI3213" s="9"/>
    </row>
    <row r="3214" ht="15.0" customHeight="1">
      <c r="A3214" s="11">
        <v>3213.0</v>
      </c>
      <c r="B3214" s="12">
        <f t="shared" ref="B3214:B3217" si="517">DATE(2012,12,31)-900</f>
        <v>40374</v>
      </c>
      <c r="C3214" s="13">
        <v>2010.0</v>
      </c>
      <c r="D3214" s="11" t="s">
        <v>102</v>
      </c>
      <c r="E3214" s="11">
        <v>35.0</v>
      </c>
      <c r="F3214" s="21" t="s">
        <v>846</v>
      </c>
      <c r="G3214" s="15">
        <v>0.057488209023748855</v>
      </c>
      <c r="H3214" s="11" t="s">
        <v>33</v>
      </c>
      <c r="I3214" s="16">
        <v>15.991999999999999</v>
      </c>
      <c r="J3214" s="11" t="s">
        <v>2384</v>
      </c>
      <c r="K3214" s="11" t="s">
        <v>61</v>
      </c>
      <c r="L3214" s="11" t="s">
        <v>27</v>
      </c>
      <c r="M3214" s="11" t="s">
        <v>28</v>
      </c>
      <c r="N3214" s="11" t="s">
        <v>29</v>
      </c>
      <c r="O3214" s="11" t="s">
        <v>847</v>
      </c>
      <c r="P3214" s="11" t="s">
        <v>38</v>
      </c>
      <c r="Q3214" s="20">
        <v>40376.0</v>
      </c>
      <c r="R3214" s="17">
        <f t="shared" si="2"/>
        <v>389.4534121</v>
      </c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>
        <f t="shared" si="8"/>
        <v>1</v>
      </c>
      <c r="AF3214" s="19">
        <f t="shared" si="13"/>
        <v>4</v>
      </c>
      <c r="AG3214" s="9"/>
      <c r="AH3214" s="9"/>
      <c r="AI3214" s="9"/>
    </row>
    <row r="3215" ht="15.0" customHeight="1">
      <c r="A3215" s="11">
        <v>3214.0</v>
      </c>
      <c r="B3215" s="12">
        <f t="shared" si="517"/>
        <v>40374</v>
      </c>
      <c r="C3215" s="13">
        <v>2010.0</v>
      </c>
      <c r="D3215" s="11" t="s">
        <v>102</v>
      </c>
      <c r="E3215" s="11">
        <v>25.0</v>
      </c>
      <c r="F3215" s="21" t="s">
        <v>869</v>
      </c>
      <c r="G3215" s="15">
        <v>0.011133091042922124</v>
      </c>
      <c r="H3215" s="11" t="s">
        <v>33</v>
      </c>
      <c r="I3215" s="16">
        <v>2.0</v>
      </c>
      <c r="J3215" s="11" t="s">
        <v>1110</v>
      </c>
      <c r="K3215" s="11" t="s">
        <v>61</v>
      </c>
      <c r="L3215" s="11" t="s">
        <v>48</v>
      </c>
      <c r="M3215" s="11" t="s">
        <v>66</v>
      </c>
      <c r="N3215" s="11" t="s">
        <v>80</v>
      </c>
      <c r="O3215" s="11" t="s">
        <v>2182</v>
      </c>
      <c r="P3215" s="11" t="s">
        <v>38</v>
      </c>
      <c r="Q3215" s="20">
        <v>40376.0</v>
      </c>
      <c r="R3215" s="17">
        <f t="shared" si="2"/>
        <v>23.9305792</v>
      </c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>
        <f t="shared" si="8"/>
        <v>4</v>
      </c>
      <c r="AF3215" s="19">
        <f t="shared" si="13"/>
        <v>4</v>
      </c>
      <c r="AG3215" s="9"/>
      <c r="AH3215" s="9"/>
      <c r="AI3215" s="9"/>
    </row>
    <row r="3216" ht="15.0" customHeight="1">
      <c r="A3216" s="11">
        <v>3215.0</v>
      </c>
      <c r="B3216" s="12">
        <f t="shared" si="517"/>
        <v>40374</v>
      </c>
      <c r="C3216" s="13">
        <v>2010.0</v>
      </c>
      <c r="D3216" s="11" t="s">
        <v>102</v>
      </c>
      <c r="E3216" s="11">
        <v>29.0</v>
      </c>
      <c r="F3216" s="21" t="s">
        <v>881</v>
      </c>
      <c r="G3216" s="15">
        <v>0.10466531440162276</v>
      </c>
      <c r="H3216" s="11" t="s">
        <v>33</v>
      </c>
      <c r="I3216" s="16">
        <v>3.2</v>
      </c>
      <c r="J3216" s="11" t="s">
        <v>857</v>
      </c>
      <c r="K3216" s="11" t="s">
        <v>35</v>
      </c>
      <c r="L3216" s="11" t="s">
        <v>36</v>
      </c>
      <c r="M3216" s="11" t="s">
        <v>49</v>
      </c>
      <c r="N3216" s="11" t="s">
        <v>73</v>
      </c>
      <c r="O3216" s="11" t="s">
        <v>883</v>
      </c>
      <c r="P3216" s="11" t="s">
        <v>58</v>
      </c>
      <c r="Q3216" s="20">
        <v>40377.0</v>
      </c>
      <c r="R3216" s="17">
        <f t="shared" si="2"/>
        <v>23.09963489</v>
      </c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>
        <f t="shared" si="8"/>
        <v>2</v>
      </c>
      <c r="AF3216" s="19">
        <f t="shared" si="13"/>
        <v>2</v>
      </c>
      <c r="AG3216" s="9"/>
      <c r="AH3216" s="9"/>
      <c r="AI3216" s="9"/>
    </row>
    <row r="3217" ht="15.0" customHeight="1">
      <c r="A3217" s="11">
        <v>3216.0</v>
      </c>
      <c r="B3217" s="12">
        <f t="shared" si="517"/>
        <v>40374</v>
      </c>
      <c r="C3217" s="13">
        <v>2010.0</v>
      </c>
      <c r="D3217" s="11" t="s">
        <v>44</v>
      </c>
      <c r="E3217" s="11">
        <v>48.0</v>
      </c>
      <c r="F3217" s="21" t="s">
        <v>178</v>
      </c>
      <c r="G3217" s="15">
        <v>0.03991749575345787</v>
      </c>
      <c r="H3217" s="11" t="s">
        <v>33</v>
      </c>
      <c r="I3217" s="16">
        <v>2.0</v>
      </c>
      <c r="J3217" s="11" t="s">
        <v>285</v>
      </c>
      <c r="K3217" s="11" t="s">
        <v>26</v>
      </c>
      <c r="L3217" s="11" t="s">
        <v>27</v>
      </c>
      <c r="M3217" s="11" t="s">
        <v>66</v>
      </c>
      <c r="N3217" s="11" t="s">
        <v>80</v>
      </c>
      <c r="O3217" s="11" t="s">
        <v>2385</v>
      </c>
      <c r="P3217" s="11" t="s">
        <v>38</v>
      </c>
      <c r="Q3217" s="20">
        <v>40377.0</v>
      </c>
      <c r="R3217" s="17">
        <f t="shared" si="2"/>
        <v>126.3468576</v>
      </c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>
        <f t="shared" si="8"/>
        <v>1</v>
      </c>
      <c r="AF3217" s="19">
        <f t="shared" si="13"/>
        <v>1</v>
      </c>
      <c r="AG3217" s="9"/>
      <c r="AH3217" s="9"/>
      <c r="AI3217" s="9"/>
    </row>
    <row r="3218" ht="15.0" customHeight="1">
      <c r="A3218" s="11">
        <v>3217.0</v>
      </c>
      <c r="B3218" s="12">
        <f t="shared" ref="B3218:B3228" si="518">DATE(2012,12,31)-899</f>
        <v>40375</v>
      </c>
      <c r="C3218" s="13">
        <v>2010.0</v>
      </c>
      <c r="D3218" s="11" t="s">
        <v>44</v>
      </c>
      <c r="E3218" s="11">
        <v>47.0</v>
      </c>
      <c r="F3218" s="21" t="s">
        <v>926</v>
      </c>
      <c r="G3218" s="15">
        <v>0.05209635106129275</v>
      </c>
      <c r="H3218" s="11" t="s">
        <v>33</v>
      </c>
      <c r="I3218" s="16">
        <v>3.9840000000000004</v>
      </c>
      <c r="J3218" s="11" t="s">
        <v>613</v>
      </c>
      <c r="K3218" s="11" t="s">
        <v>65</v>
      </c>
      <c r="L3218" s="11" t="s">
        <v>41</v>
      </c>
      <c r="M3218" s="11" t="s">
        <v>49</v>
      </c>
      <c r="N3218" s="11" t="s">
        <v>73</v>
      </c>
      <c r="O3218" s="11" t="s">
        <v>927</v>
      </c>
      <c r="P3218" s="11" t="s">
        <v>99</v>
      </c>
      <c r="Q3218" s="20">
        <v>40377.0</v>
      </c>
      <c r="R3218" s="17">
        <f t="shared" si="2"/>
        <v>31.05901096</v>
      </c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>
        <f t="shared" si="8"/>
        <v>3</v>
      </c>
      <c r="AF3218" s="19">
        <f t="shared" si="13"/>
        <v>5</v>
      </c>
      <c r="AG3218" s="9"/>
      <c r="AH3218" s="9"/>
      <c r="AI3218" s="9"/>
    </row>
    <row r="3219" ht="15.0" customHeight="1">
      <c r="A3219" s="11">
        <v>3218.0</v>
      </c>
      <c r="B3219" s="12">
        <f t="shared" si="518"/>
        <v>40375</v>
      </c>
      <c r="C3219" s="13">
        <v>2010.0</v>
      </c>
      <c r="D3219" s="11" t="s">
        <v>102</v>
      </c>
      <c r="E3219" s="11">
        <v>49.0</v>
      </c>
      <c r="F3219" s="21" t="s">
        <v>290</v>
      </c>
      <c r="G3219" s="15">
        <v>0.06109025915996424</v>
      </c>
      <c r="H3219" s="11" t="s">
        <v>33</v>
      </c>
      <c r="I3219" s="16">
        <v>4.328</v>
      </c>
      <c r="J3219" s="11" t="s">
        <v>2315</v>
      </c>
      <c r="K3219" s="11" t="s">
        <v>26</v>
      </c>
      <c r="L3219" s="11" t="s">
        <v>36</v>
      </c>
      <c r="M3219" s="11" t="s">
        <v>28</v>
      </c>
      <c r="N3219" s="11" t="s">
        <v>42</v>
      </c>
      <c r="O3219" s="11" t="s">
        <v>1475</v>
      </c>
      <c r="P3219" s="11" t="s">
        <v>38</v>
      </c>
      <c r="Q3219" s="20">
        <v>40377.0</v>
      </c>
      <c r="R3219" s="17">
        <f t="shared" si="2"/>
        <v>12.83677398</v>
      </c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>
        <f t="shared" si="8"/>
        <v>2</v>
      </c>
      <c r="AF3219" s="19">
        <f t="shared" si="13"/>
        <v>1</v>
      </c>
      <c r="AG3219" s="9"/>
      <c r="AH3219" s="9"/>
      <c r="AI3219" s="9"/>
    </row>
    <row r="3220" ht="15.0" customHeight="1">
      <c r="A3220" s="11">
        <v>3219.0</v>
      </c>
      <c r="B3220" s="12">
        <f t="shared" si="518"/>
        <v>40375</v>
      </c>
      <c r="C3220" s="13">
        <v>2010.0</v>
      </c>
      <c r="D3220" s="11" t="s">
        <v>102</v>
      </c>
      <c r="E3220" s="11">
        <v>35.0</v>
      </c>
      <c r="F3220" s="21" t="s">
        <v>431</v>
      </c>
      <c r="G3220" s="15">
        <v>0.020529511327815594</v>
      </c>
      <c r="H3220" s="11" t="s">
        <v>33</v>
      </c>
      <c r="I3220" s="16">
        <v>11.192</v>
      </c>
      <c r="J3220" s="11" t="s">
        <v>2315</v>
      </c>
      <c r="K3220" s="11" t="s">
        <v>26</v>
      </c>
      <c r="L3220" s="11" t="s">
        <v>36</v>
      </c>
      <c r="M3220" s="11" t="s">
        <v>66</v>
      </c>
      <c r="N3220" s="11" t="s">
        <v>80</v>
      </c>
      <c r="O3220" s="11" t="s">
        <v>1589</v>
      </c>
      <c r="P3220" s="11" t="s">
        <v>75</v>
      </c>
      <c r="Q3220" s="20">
        <v>40377.0</v>
      </c>
      <c r="R3220" s="17">
        <f t="shared" si="2"/>
        <v>129.4938344</v>
      </c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>
        <f t="shared" si="8"/>
        <v>2</v>
      </c>
      <c r="AF3220" s="19">
        <f t="shared" si="13"/>
        <v>1</v>
      </c>
      <c r="AG3220" s="9"/>
      <c r="AH3220" s="9"/>
      <c r="AI3220" s="9"/>
    </row>
    <row r="3221" ht="15.0" customHeight="1">
      <c r="A3221" s="11">
        <v>3220.0</v>
      </c>
      <c r="B3221" s="12">
        <f t="shared" si="518"/>
        <v>40375</v>
      </c>
      <c r="C3221" s="13">
        <v>2010.0</v>
      </c>
      <c r="D3221" s="11" t="s">
        <v>102</v>
      </c>
      <c r="E3221" s="11">
        <v>19.0</v>
      </c>
      <c r="F3221" s="21" t="s">
        <v>178</v>
      </c>
      <c r="G3221" s="15">
        <v>0.05820066085911668</v>
      </c>
      <c r="H3221" s="11" t="s">
        <v>33</v>
      </c>
      <c r="I3221" s="16">
        <v>2.0</v>
      </c>
      <c r="J3221" s="11" t="s">
        <v>2315</v>
      </c>
      <c r="K3221" s="11" t="s">
        <v>26</v>
      </c>
      <c r="L3221" s="11" t="s">
        <v>36</v>
      </c>
      <c r="M3221" s="11" t="s">
        <v>66</v>
      </c>
      <c r="N3221" s="11" t="s">
        <v>80</v>
      </c>
      <c r="O3221" s="11" t="s">
        <v>2385</v>
      </c>
      <c r="P3221" s="11" t="s">
        <v>38</v>
      </c>
      <c r="Q3221" s="20">
        <v>40377.0</v>
      </c>
      <c r="R3221" s="17">
        <f t="shared" si="2"/>
        <v>72.98944878</v>
      </c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>
        <f t="shared" si="8"/>
        <v>2</v>
      </c>
      <c r="AF3221" s="19">
        <f t="shared" si="13"/>
        <v>1</v>
      </c>
      <c r="AG3221" s="9"/>
      <c r="AH3221" s="9"/>
      <c r="AI3221" s="9"/>
    </row>
    <row r="3222" ht="15.0" customHeight="1">
      <c r="A3222" s="11">
        <v>3221.0</v>
      </c>
      <c r="B3222" s="12">
        <f t="shared" si="518"/>
        <v>40375</v>
      </c>
      <c r="C3222" s="13">
        <v>2010.0</v>
      </c>
      <c r="D3222" s="11" t="s">
        <v>102</v>
      </c>
      <c r="E3222" s="11">
        <v>48.0</v>
      </c>
      <c r="F3222" s="21" t="s">
        <v>231</v>
      </c>
      <c r="G3222" s="15">
        <v>0.025953957440293992</v>
      </c>
      <c r="H3222" s="11" t="s">
        <v>33</v>
      </c>
      <c r="I3222" s="16">
        <v>1.592</v>
      </c>
      <c r="J3222" s="11" t="s">
        <v>2315</v>
      </c>
      <c r="K3222" s="11" t="s">
        <v>26</v>
      </c>
      <c r="L3222" s="11" t="s">
        <v>36</v>
      </c>
      <c r="M3222" s="11" t="s">
        <v>66</v>
      </c>
      <c r="N3222" s="11" t="s">
        <v>67</v>
      </c>
      <c r="O3222" s="11" t="s">
        <v>233</v>
      </c>
      <c r="P3222" s="11" t="s">
        <v>99</v>
      </c>
      <c r="Q3222" s="20">
        <v>40377.0</v>
      </c>
      <c r="R3222" s="17">
        <f t="shared" si="2"/>
        <v>42.27359825</v>
      </c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>
        <f t="shared" si="8"/>
        <v>2</v>
      </c>
      <c r="AF3222" s="19">
        <f t="shared" si="13"/>
        <v>1</v>
      </c>
      <c r="AG3222" s="9"/>
      <c r="AH3222" s="9"/>
      <c r="AI3222" s="9"/>
    </row>
    <row r="3223" ht="15.0" customHeight="1">
      <c r="A3223" s="11">
        <v>3222.0</v>
      </c>
      <c r="B3223" s="12">
        <f t="shared" si="518"/>
        <v>40375</v>
      </c>
      <c r="C3223" s="13">
        <v>2010.0</v>
      </c>
      <c r="D3223" s="11" t="s">
        <v>44</v>
      </c>
      <c r="E3223" s="11">
        <v>21.0</v>
      </c>
      <c r="F3223" s="21" t="s">
        <v>476</v>
      </c>
      <c r="G3223" s="15">
        <v>0.021782416502946923</v>
      </c>
      <c r="H3223" s="11" t="s">
        <v>45</v>
      </c>
      <c r="I3223" s="16">
        <v>68.504</v>
      </c>
      <c r="J3223" s="11" t="s">
        <v>1578</v>
      </c>
      <c r="K3223" s="11" t="s">
        <v>26</v>
      </c>
      <c r="L3223" s="11" t="s">
        <v>27</v>
      </c>
      <c r="M3223" s="11" t="s">
        <v>49</v>
      </c>
      <c r="N3223" s="11" t="s">
        <v>85</v>
      </c>
      <c r="O3223" s="11" t="s">
        <v>477</v>
      </c>
      <c r="P3223" s="11" t="s">
        <v>87</v>
      </c>
      <c r="Q3223" s="20">
        <v>40377.0</v>
      </c>
      <c r="R3223" s="17">
        <f t="shared" si="2"/>
        <v>173.5318864</v>
      </c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>
        <f t="shared" si="8"/>
        <v>1</v>
      </c>
      <c r="AF3223" s="19">
        <f t="shared" si="13"/>
        <v>1</v>
      </c>
      <c r="AG3223" s="9"/>
      <c r="AH3223" s="9"/>
      <c r="AI3223" s="9"/>
    </row>
    <row r="3224" ht="15.0" customHeight="1">
      <c r="A3224" s="11">
        <v>3223.0</v>
      </c>
      <c r="B3224" s="12">
        <f t="shared" si="518"/>
        <v>40375</v>
      </c>
      <c r="C3224" s="13">
        <v>2010.0</v>
      </c>
      <c r="D3224" s="11" t="s">
        <v>23</v>
      </c>
      <c r="E3224" s="11">
        <v>45.0</v>
      </c>
      <c r="F3224" s="21" t="s">
        <v>1710</v>
      </c>
      <c r="G3224" s="15">
        <v>0.07643712231629636</v>
      </c>
      <c r="H3224" s="11" t="s">
        <v>45</v>
      </c>
      <c r="I3224" s="16">
        <v>41.552</v>
      </c>
      <c r="J3224" s="11" t="s">
        <v>1221</v>
      </c>
      <c r="K3224" s="11" t="s">
        <v>61</v>
      </c>
      <c r="L3224" s="11" t="s">
        <v>36</v>
      </c>
      <c r="M3224" s="11" t="s">
        <v>49</v>
      </c>
      <c r="N3224" s="11" t="s">
        <v>85</v>
      </c>
      <c r="O3224" s="11" t="s">
        <v>1711</v>
      </c>
      <c r="P3224" s="11" t="s">
        <v>87</v>
      </c>
      <c r="Q3224" s="20">
        <v>40377.0</v>
      </c>
      <c r="R3224" s="17">
        <f t="shared" si="2"/>
        <v>431.071126</v>
      </c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>
        <f t="shared" si="8"/>
        <v>2</v>
      </c>
      <c r="AF3224" s="19">
        <f t="shared" si="13"/>
        <v>4</v>
      </c>
      <c r="AG3224" s="9"/>
      <c r="AH3224" s="9"/>
      <c r="AI3224" s="9"/>
    </row>
    <row r="3225" ht="15.0" customHeight="1">
      <c r="A3225" s="11">
        <v>3224.0</v>
      </c>
      <c r="B3225" s="12">
        <f t="shared" si="518"/>
        <v>40375</v>
      </c>
      <c r="C3225" s="13">
        <v>2010.0</v>
      </c>
      <c r="D3225" s="11" t="s">
        <v>102</v>
      </c>
      <c r="E3225" s="11">
        <v>9.0</v>
      </c>
      <c r="F3225" s="21" t="s">
        <v>1548</v>
      </c>
      <c r="G3225" s="15">
        <v>0.06284360189573461</v>
      </c>
      <c r="H3225" s="11" t="s">
        <v>33</v>
      </c>
      <c r="I3225" s="16">
        <v>1.592</v>
      </c>
      <c r="J3225" s="11" t="s">
        <v>2386</v>
      </c>
      <c r="K3225" s="11" t="s">
        <v>65</v>
      </c>
      <c r="L3225" s="11" t="s">
        <v>48</v>
      </c>
      <c r="M3225" s="11" t="s">
        <v>66</v>
      </c>
      <c r="N3225" s="11" t="s">
        <v>67</v>
      </c>
      <c r="O3225" s="11" t="s">
        <v>1549</v>
      </c>
      <c r="P3225" s="11" t="s">
        <v>99</v>
      </c>
      <c r="Q3225" s="20">
        <v>40377.0</v>
      </c>
      <c r="R3225" s="17">
        <f t="shared" si="2"/>
        <v>9.941355071</v>
      </c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>
        <f t="shared" si="8"/>
        <v>4</v>
      </c>
      <c r="AF3225" s="19">
        <f t="shared" si="13"/>
        <v>5</v>
      </c>
      <c r="AG3225" s="9"/>
      <c r="AH3225" s="9"/>
      <c r="AI3225" s="9"/>
    </row>
    <row r="3226" ht="15.0" customHeight="1">
      <c r="A3226" s="11">
        <v>3225.0</v>
      </c>
      <c r="B3226" s="12">
        <f t="shared" si="518"/>
        <v>40375</v>
      </c>
      <c r="C3226" s="13">
        <v>2010.0</v>
      </c>
      <c r="D3226" s="11" t="s">
        <v>44</v>
      </c>
      <c r="E3226" s="11">
        <v>23.0</v>
      </c>
      <c r="F3226" s="21" t="s">
        <v>290</v>
      </c>
      <c r="G3226" s="15">
        <v>0.038973346495557684</v>
      </c>
      <c r="H3226" s="11" t="s">
        <v>33</v>
      </c>
      <c r="I3226" s="16">
        <v>0.752</v>
      </c>
      <c r="J3226" s="11" t="s">
        <v>563</v>
      </c>
      <c r="K3226" s="11" t="s">
        <v>83</v>
      </c>
      <c r="L3226" s="11" t="s">
        <v>36</v>
      </c>
      <c r="M3226" s="11" t="s">
        <v>28</v>
      </c>
      <c r="N3226" s="11" t="s">
        <v>62</v>
      </c>
      <c r="O3226" s="11" t="s">
        <v>291</v>
      </c>
      <c r="P3226" s="11" t="s">
        <v>58</v>
      </c>
      <c r="Q3226" s="20">
        <v>40377.0</v>
      </c>
      <c r="R3226" s="17">
        <f t="shared" si="2"/>
        <v>3.794133228</v>
      </c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>
        <f t="shared" si="8"/>
        <v>2</v>
      </c>
      <c r="AF3226" s="19" t="b">
        <f t="shared" si="13"/>
        <v>0</v>
      </c>
      <c r="AG3226" s="9"/>
      <c r="AH3226" s="9"/>
      <c r="AI3226" s="9"/>
    </row>
    <row r="3227" ht="15.0" customHeight="1">
      <c r="A3227" s="11">
        <v>3226.0</v>
      </c>
      <c r="B3227" s="12">
        <f t="shared" si="518"/>
        <v>40375</v>
      </c>
      <c r="C3227" s="13">
        <v>2010.0</v>
      </c>
      <c r="D3227" s="11" t="s">
        <v>44</v>
      </c>
      <c r="E3227" s="11">
        <v>15.0</v>
      </c>
      <c r="F3227" s="21" t="s">
        <v>413</v>
      </c>
      <c r="G3227" s="15">
        <v>0.05770659833440091</v>
      </c>
      <c r="H3227" s="11" t="s">
        <v>33</v>
      </c>
      <c r="I3227" s="16">
        <v>1.592</v>
      </c>
      <c r="J3227" s="11" t="s">
        <v>563</v>
      </c>
      <c r="K3227" s="11" t="s">
        <v>83</v>
      </c>
      <c r="L3227" s="11" t="s">
        <v>36</v>
      </c>
      <c r="M3227" s="11" t="s">
        <v>66</v>
      </c>
      <c r="N3227" s="11" t="s">
        <v>67</v>
      </c>
      <c r="O3227" s="11" t="s">
        <v>414</v>
      </c>
      <c r="P3227" s="11" t="s">
        <v>99</v>
      </c>
      <c r="Q3227" s="20">
        <v>40378.0</v>
      </c>
      <c r="R3227" s="17">
        <f t="shared" si="2"/>
        <v>8.488178962</v>
      </c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>
        <f t="shared" si="8"/>
        <v>2</v>
      </c>
      <c r="AF3227" s="19" t="b">
        <f t="shared" si="13"/>
        <v>0</v>
      </c>
      <c r="AG3227" s="9"/>
      <c r="AH3227" s="9"/>
      <c r="AI3227" s="9"/>
    </row>
    <row r="3228" ht="15.0" customHeight="1">
      <c r="A3228" s="11">
        <v>3227.0</v>
      </c>
      <c r="B3228" s="12">
        <f t="shared" si="518"/>
        <v>40375</v>
      </c>
      <c r="C3228" s="13">
        <v>2010.0</v>
      </c>
      <c r="D3228" s="11" t="s">
        <v>44</v>
      </c>
      <c r="E3228" s="11">
        <v>9.0</v>
      </c>
      <c r="F3228" s="21" t="s">
        <v>151</v>
      </c>
      <c r="G3228" s="15">
        <v>0.060377358490565976</v>
      </c>
      <c r="H3228" s="11" t="s">
        <v>33</v>
      </c>
      <c r="I3228" s="16">
        <v>1.08</v>
      </c>
      <c r="J3228" s="11" t="s">
        <v>563</v>
      </c>
      <c r="K3228" s="11" t="s">
        <v>83</v>
      </c>
      <c r="L3228" s="11" t="s">
        <v>36</v>
      </c>
      <c r="M3228" s="11" t="s">
        <v>28</v>
      </c>
      <c r="N3228" s="11" t="s">
        <v>216</v>
      </c>
      <c r="O3228" s="11" t="s">
        <v>217</v>
      </c>
      <c r="P3228" s="11" t="s">
        <v>58</v>
      </c>
      <c r="Q3228" s="20">
        <v>40378.0</v>
      </c>
      <c r="R3228" s="17">
        <f t="shared" si="2"/>
        <v>1.804075472</v>
      </c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>
        <f t="shared" si="8"/>
        <v>2</v>
      </c>
      <c r="AF3228" s="19" t="b">
        <f t="shared" si="13"/>
        <v>0</v>
      </c>
      <c r="AG3228" s="9"/>
      <c r="AH3228" s="9"/>
      <c r="AI3228" s="9"/>
    </row>
    <row r="3229" ht="15.0" customHeight="1">
      <c r="A3229" s="11">
        <v>3228.0</v>
      </c>
      <c r="B3229" s="12">
        <f t="shared" ref="B3229:B3235" si="519">DATE(2012,12,31)-898</f>
        <v>40376</v>
      </c>
      <c r="C3229" s="13">
        <v>2010.0</v>
      </c>
      <c r="D3229" s="11" t="s">
        <v>32</v>
      </c>
      <c r="E3229" s="11">
        <v>42.0</v>
      </c>
      <c r="F3229" s="21" t="s">
        <v>1743</v>
      </c>
      <c r="G3229" s="15">
        <v>0.0675416456335184</v>
      </c>
      <c r="H3229" s="11" t="s">
        <v>33</v>
      </c>
      <c r="I3229" s="16">
        <v>4.12</v>
      </c>
      <c r="J3229" s="11" t="s">
        <v>2387</v>
      </c>
      <c r="K3229" s="11" t="s">
        <v>47</v>
      </c>
      <c r="L3229" s="11" t="s">
        <v>27</v>
      </c>
      <c r="M3229" s="11" t="s">
        <v>28</v>
      </c>
      <c r="N3229" s="11" t="s">
        <v>197</v>
      </c>
      <c r="O3229" s="11" t="s">
        <v>1745</v>
      </c>
      <c r="P3229" s="11" t="s">
        <v>38</v>
      </c>
      <c r="Q3229" s="20">
        <v>40378.0</v>
      </c>
      <c r="R3229" s="17">
        <f t="shared" si="2"/>
        <v>12.47629278</v>
      </c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>
        <f t="shared" si="8"/>
        <v>1</v>
      </c>
      <c r="AF3229" s="19">
        <f t="shared" si="13"/>
        <v>3</v>
      </c>
      <c r="AG3229" s="9"/>
      <c r="AH3229" s="9"/>
      <c r="AI3229" s="9"/>
    </row>
    <row r="3230" ht="15.0" customHeight="1">
      <c r="A3230" s="11">
        <v>3229.0</v>
      </c>
      <c r="B3230" s="12">
        <f t="shared" si="519"/>
        <v>40376</v>
      </c>
      <c r="C3230" s="13">
        <v>2010.0</v>
      </c>
      <c r="D3230" s="11" t="s">
        <v>32</v>
      </c>
      <c r="E3230" s="11">
        <v>28.0</v>
      </c>
      <c r="F3230" s="21" t="s">
        <v>1317</v>
      </c>
      <c r="G3230" s="15">
        <v>0.05972011465182949</v>
      </c>
      <c r="H3230" s="11" t="s">
        <v>33</v>
      </c>
      <c r="I3230" s="16">
        <v>3.28</v>
      </c>
      <c r="J3230" s="11" t="s">
        <v>2387</v>
      </c>
      <c r="K3230" s="11" t="s">
        <v>47</v>
      </c>
      <c r="L3230" s="11" t="s">
        <v>27</v>
      </c>
      <c r="M3230" s="11" t="s">
        <v>28</v>
      </c>
      <c r="N3230" s="11" t="s">
        <v>62</v>
      </c>
      <c r="O3230" s="11" t="s">
        <v>1318</v>
      </c>
      <c r="P3230" s="11" t="s">
        <v>58</v>
      </c>
      <c r="Q3230" s="20">
        <v>40378.0</v>
      </c>
      <c r="R3230" s="17">
        <f t="shared" si="2"/>
        <v>33.30471354</v>
      </c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>
        <f t="shared" si="8"/>
        <v>1</v>
      </c>
      <c r="AF3230" s="19">
        <f t="shared" si="13"/>
        <v>3</v>
      </c>
      <c r="AG3230" s="9"/>
      <c r="AH3230" s="9"/>
      <c r="AI3230" s="9"/>
    </row>
    <row r="3231" ht="15.0" customHeight="1">
      <c r="A3231" s="11">
        <v>3230.0</v>
      </c>
      <c r="B3231" s="12">
        <f t="shared" si="519"/>
        <v>40376</v>
      </c>
      <c r="C3231" s="13">
        <v>2010.0</v>
      </c>
      <c r="D3231" s="11" t="s">
        <v>32</v>
      </c>
      <c r="E3231" s="11">
        <v>49.0</v>
      </c>
      <c r="F3231" s="21" t="s">
        <v>128</v>
      </c>
      <c r="G3231" s="15">
        <v>0.010677012360325033</v>
      </c>
      <c r="H3231" s="11" t="s">
        <v>33</v>
      </c>
      <c r="I3231" s="16">
        <v>2.0</v>
      </c>
      <c r="J3231" s="11" t="s">
        <v>357</v>
      </c>
      <c r="K3231" s="11" t="s">
        <v>65</v>
      </c>
      <c r="L3231" s="11" t="s">
        <v>48</v>
      </c>
      <c r="M3231" s="11" t="s">
        <v>66</v>
      </c>
      <c r="N3231" s="11" t="s">
        <v>80</v>
      </c>
      <c r="O3231" s="11" t="s">
        <v>1382</v>
      </c>
      <c r="P3231" s="11" t="s">
        <v>38</v>
      </c>
      <c r="Q3231" s="20">
        <v>40378.0</v>
      </c>
      <c r="R3231" s="17">
        <f t="shared" si="2"/>
        <v>65.88891098</v>
      </c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>
        <f t="shared" si="8"/>
        <v>4</v>
      </c>
      <c r="AF3231" s="19">
        <f t="shared" si="13"/>
        <v>5</v>
      </c>
      <c r="AG3231" s="9"/>
      <c r="AH3231" s="9"/>
      <c r="AI3231" s="9"/>
    </row>
    <row r="3232" ht="15.0" customHeight="1">
      <c r="A3232" s="11">
        <v>3231.0</v>
      </c>
      <c r="B3232" s="12">
        <f t="shared" si="519"/>
        <v>40376</v>
      </c>
      <c r="C3232" s="13">
        <v>2010.0</v>
      </c>
      <c r="D3232" s="11" t="s">
        <v>32</v>
      </c>
      <c r="E3232" s="11">
        <v>37.0</v>
      </c>
      <c r="F3232" s="21" t="s">
        <v>610</v>
      </c>
      <c r="G3232" s="15">
        <v>0.085138132688042</v>
      </c>
      <c r="H3232" s="11" t="s">
        <v>33</v>
      </c>
      <c r="I3232" s="16">
        <v>2.2800000000000002</v>
      </c>
      <c r="J3232" s="11" t="s">
        <v>357</v>
      </c>
      <c r="K3232" s="11" t="s">
        <v>65</v>
      </c>
      <c r="L3232" s="11" t="s">
        <v>48</v>
      </c>
      <c r="M3232" s="11" t="s">
        <v>49</v>
      </c>
      <c r="N3232" s="11" t="s">
        <v>73</v>
      </c>
      <c r="O3232" s="11" t="s">
        <v>612</v>
      </c>
      <c r="P3232" s="11" t="s">
        <v>99</v>
      </c>
      <c r="Q3232" s="20">
        <v>40378.0</v>
      </c>
      <c r="R3232" s="17">
        <f t="shared" si="2"/>
        <v>38.62546804</v>
      </c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>
        <f t="shared" si="8"/>
        <v>4</v>
      </c>
      <c r="AF3232" s="19">
        <f t="shared" si="13"/>
        <v>5</v>
      </c>
      <c r="AG3232" s="9"/>
      <c r="AH3232" s="9"/>
      <c r="AI3232" s="9"/>
    </row>
    <row r="3233" ht="15.0" customHeight="1">
      <c r="A3233" s="11">
        <v>3232.0</v>
      </c>
      <c r="B3233" s="12">
        <f t="shared" si="519"/>
        <v>40376</v>
      </c>
      <c r="C3233" s="13">
        <v>2010.0</v>
      </c>
      <c r="D3233" s="11" t="s">
        <v>32</v>
      </c>
      <c r="E3233" s="11">
        <v>41.0</v>
      </c>
      <c r="F3233" s="21" t="s">
        <v>207</v>
      </c>
      <c r="G3233" s="15">
        <v>0.05711587982832627</v>
      </c>
      <c r="H3233" s="11" t="s">
        <v>24</v>
      </c>
      <c r="I3233" s="16">
        <v>2.3920000000000003</v>
      </c>
      <c r="J3233" s="11" t="s">
        <v>345</v>
      </c>
      <c r="K3233" s="11" t="s">
        <v>65</v>
      </c>
      <c r="L3233" s="11" t="s">
        <v>27</v>
      </c>
      <c r="M3233" s="11" t="s">
        <v>28</v>
      </c>
      <c r="N3233" s="11" t="s">
        <v>42</v>
      </c>
      <c r="O3233" s="11" t="s">
        <v>682</v>
      </c>
      <c r="P3233" s="11" t="s">
        <v>38</v>
      </c>
      <c r="Q3233" s="20">
        <v>40379.0</v>
      </c>
      <c r="R3233" s="17">
        <f t="shared" si="2"/>
        <v>12.54790187</v>
      </c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>
        <f t="shared" si="8"/>
        <v>1</v>
      </c>
      <c r="AF3233" s="19">
        <f t="shared" si="13"/>
        <v>5</v>
      </c>
      <c r="AG3233" s="9"/>
      <c r="AH3233" s="9"/>
      <c r="AI3233" s="9"/>
    </row>
    <row r="3234" ht="15.0" customHeight="1">
      <c r="A3234" s="11">
        <v>3233.0</v>
      </c>
      <c r="B3234" s="12">
        <f t="shared" si="519"/>
        <v>40376</v>
      </c>
      <c r="C3234" s="13">
        <v>2010.0</v>
      </c>
      <c r="D3234" s="11" t="s">
        <v>32</v>
      </c>
      <c r="E3234" s="11">
        <v>47.0</v>
      </c>
      <c r="F3234" s="21" t="s">
        <v>1254</v>
      </c>
      <c r="G3234" s="15">
        <v>0.09532863097146524</v>
      </c>
      <c r="H3234" s="11" t="s">
        <v>33</v>
      </c>
      <c r="I3234" s="16">
        <v>5.368</v>
      </c>
      <c r="J3234" s="11" t="s">
        <v>345</v>
      </c>
      <c r="K3234" s="11" t="s">
        <v>65</v>
      </c>
      <c r="L3234" s="11" t="s">
        <v>27</v>
      </c>
      <c r="M3234" s="11" t="s">
        <v>28</v>
      </c>
      <c r="N3234" s="11" t="s">
        <v>236</v>
      </c>
      <c r="O3234" s="11" t="s">
        <v>1565</v>
      </c>
      <c r="P3234" s="11" t="s">
        <v>38</v>
      </c>
      <c r="Q3234" s="20">
        <v>40379.0</v>
      </c>
      <c r="R3234" s="17">
        <f t="shared" si="2"/>
        <v>107.5943753</v>
      </c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>
        <f t="shared" si="8"/>
        <v>1</v>
      </c>
      <c r="AF3234" s="19">
        <f t="shared" si="13"/>
        <v>5</v>
      </c>
      <c r="AG3234" s="9"/>
      <c r="AH3234" s="9"/>
      <c r="AI3234" s="9"/>
    </row>
    <row r="3235" ht="15.0" customHeight="1">
      <c r="A3235" s="11">
        <v>3234.0</v>
      </c>
      <c r="B3235" s="12">
        <f t="shared" si="519"/>
        <v>40376</v>
      </c>
      <c r="C3235" s="13">
        <v>2010.0</v>
      </c>
      <c r="D3235" s="11" t="s">
        <v>39</v>
      </c>
      <c r="E3235" s="11">
        <v>29.0</v>
      </c>
      <c r="F3235" s="21" t="s">
        <v>1015</v>
      </c>
      <c r="G3235" s="15">
        <v>0.012580081537565336</v>
      </c>
      <c r="H3235" s="11" t="s">
        <v>24</v>
      </c>
      <c r="I3235" s="16">
        <v>4.24</v>
      </c>
      <c r="J3235" s="11" t="s">
        <v>2292</v>
      </c>
      <c r="K3235" s="11" t="s">
        <v>35</v>
      </c>
      <c r="L3235" s="11" t="s">
        <v>48</v>
      </c>
      <c r="M3235" s="11" t="s">
        <v>28</v>
      </c>
      <c r="N3235" s="11" t="s">
        <v>442</v>
      </c>
      <c r="O3235" s="11" t="s">
        <v>1852</v>
      </c>
      <c r="P3235" s="11" t="s">
        <v>99</v>
      </c>
      <c r="Q3235" s="20">
        <v>40379.0</v>
      </c>
      <c r="R3235" s="17">
        <f t="shared" si="2"/>
        <v>2.132827024</v>
      </c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>
        <f t="shared" si="8"/>
        <v>4</v>
      </c>
      <c r="AF3235" s="19">
        <f t="shared" si="13"/>
        <v>2</v>
      </c>
      <c r="AG3235" s="9"/>
      <c r="AH3235" s="9"/>
      <c r="AI3235" s="9"/>
    </row>
    <row r="3236" ht="15.0" customHeight="1">
      <c r="A3236" s="11">
        <v>3235.0</v>
      </c>
      <c r="B3236" s="12">
        <f t="shared" ref="B3236:B3240" si="520">DATE(2012,12,31)-897</f>
        <v>40377</v>
      </c>
      <c r="C3236" s="13">
        <v>2010.0</v>
      </c>
      <c r="D3236" s="11" t="s">
        <v>102</v>
      </c>
      <c r="E3236" s="11">
        <v>46.0</v>
      </c>
      <c r="F3236" s="21" t="s">
        <v>183</v>
      </c>
      <c r="G3236" s="15">
        <v>0.025470947200848942</v>
      </c>
      <c r="H3236" s="11" t="s">
        <v>33</v>
      </c>
      <c r="I3236" s="16">
        <v>3.2</v>
      </c>
      <c r="J3236" s="11" t="s">
        <v>104</v>
      </c>
      <c r="K3236" s="11" t="s">
        <v>65</v>
      </c>
      <c r="L3236" s="11" t="s">
        <v>48</v>
      </c>
      <c r="M3236" s="11" t="s">
        <v>66</v>
      </c>
      <c r="N3236" s="11" t="s">
        <v>67</v>
      </c>
      <c r="O3236" s="11" t="s">
        <v>941</v>
      </c>
      <c r="P3236" s="11" t="s">
        <v>38</v>
      </c>
      <c r="Q3236" s="20">
        <v>40379.0</v>
      </c>
      <c r="R3236" s="17">
        <f t="shared" si="2"/>
        <v>18.71095781</v>
      </c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>
        <f t="shared" si="8"/>
        <v>4</v>
      </c>
      <c r="AF3236" s="19">
        <f t="shared" si="13"/>
        <v>5</v>
      </c>
      <c r="AG3236" s="9"/>
      <c r="AH3236" s="9"/>
      <c r="AI3236" s="9"/>
    </row>
    <row r="3237" ht="15.0" customHeight="1">
      <c r="A3237" s="11">
        <v>3236.0</v>
      </c>
      <c r="B3237" s="12">
        <f t="shared" si="520"/>
        <v>40377</v>
      </c>
      <c r="C3237" s="13">
        <v>2010.0</v>
      </c>
      <c r="D3237" s="11" t="s">
        <v>39</v>
      </c>
      <c r="E3237" s="11">
        <v>39.0</v>
      </c>
      <c r="F3237" s="21" t="s">
        <v>1015</v>
      </c>
      <c r="G3237" s="15">
        <v>0.01985426489498502</v>
      </c>
      <c r="H3237" s="11" t="s">
        <v>33</v>
      </c>
      <c r="I3237" s="16">
        <v>6.368</v>
      </c>
      <c r="J3237" s="11" t="s">
        <v>595</v>
      </c>
      <c r="K3237" s="11" t="s">
        <v>26</v>
      </c>
      <c r="L3237" s="11" t="s">
        <v>41</v>
      </c>
      <c r="M3237" s="11" t="s">
        <v>28</v>
      </c>
      <c r="N3237" s="11" t="s">
        <v>56</v>
      </c>
      <c r="O3237" s="11" t="s">
        <v>1531</v>
      </c>
      <c r="P3237" s="11" t="s">
        <v>38</v>
      </c>
      <c r="Q3237" s="20">
        <v>40379.0</v>
      </c>
      <c r="R3237" s="17">
        <f t="shared" si="2"/>
        <v>4.540035045</v>
      </c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>
        <f t="shared" si="8"/>
        <v>3</v>
      </c>
      <c r="AF3237" s="19">
        <f t="shared" si="13"/>
        <v>1</v>
      </c>
      <c r="AG3237" s="9"/>
      <c r="AH3237" s="9"/>
      <c r="AI3237" s="9"/>
    </row>
    <row r="3238" ht="15.0" customHeight="1">
      <c r="A3238" s="11">
        <v>3237.0</v>
      </c>
      <c r="B3238" s="12">
        <f t="shared" si="520"/>
        <v>40377</v>
      </c>
      <c r="C3238" s="13">
        <v>2010.0</v>
      </c>
      <c r="D3238" s="11" t="s">
        <v>44</v>
      </c>
      <c r="E3238" s="11">
        <v>14.0</v>
      </c>
      <c r="F3238" s="21" t="s">
        <v>1002</v>
      </c>
      <c r="G3238" s="15">
        <v>0.03077742794865578</v>
      </c>
      <c r="H3238" s="11" t="s">
        <v>24</v>
      </c>
      <c r="I3238" s="16">
        <v>1.192</v>
      </c>
      <c r="J3238" s="11" t="s">
        <v>395</v>
      </c>
      <c r="K3238" s="11" t="s">
        <v>35</v>
      </c>
      <c r="L3238" s="11" t="s">
        <v>27</v>
      </c>
      <c r="M3238" s="11" t="s">
        <v>28</v>
      </c>
      <c r="N3238" s="11" t="s">
        <v>42</v>
      </c>
      <c r="O3238" s="11" t="s">
        <v>1003</v>
      </c>
      <c r="P3238" s="11" t="s">
        <v>38</v>
      </c>
      <c r="Q3238" s="20">
        <v>40379.0</v>
      </c>
      <c r="R3238" s="17">
        <f t="shared" si="2"/>
        <v>12.31688045</v>
      </c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>
        <f t="shared" si="8"/>
        <v>1</v>
      </c>
      <c r="AF3238" s="19">
        <f t="shared" si="13"/>
        <v>2</v>
      </c>
      <c r="AG3238" s="9"/>
      <c r="AH3238" s="9"/>
      <c r="AI3238" s="9"/>
    </row>
    <row r="3239" ht="15.0" customHeight="1">
      <c r="A3239" s="11">
        <v>3238.0</v>
      </c>
      <c r="B3239" s="12">
        <f t="shared" si="520"/>
        <v>40377</v>
      </c>
      <c r="C3239" s="13">
        <v>2010.0</v>
      </c>
      <c r="D3239" s="11" t="s">
        <v>44</v>
      </c>
      <c r="E3239" s="11">
        <v>9.0</v>
      </c>
      <c r="F3239" s="21" t="s">
        <v>872</v>
      </c>
      <c r="G3239" s="15">
        <v>0.0333448474381117</v>
      </c>
      <c r="H3239" s="11" t="s">
        <v>33</v>
      </c>
      <c r="I3239" s="16">
        <v>6.808</v>
      </c>
      <c r="J3239" s="11" t="s">
        <v>395</v>
      </c>
      <c r="K3239" s="11" t="s">
        <v>35</v>
      </c>
      <c r="L3239" s="11" t="s">
        <v>27</v>
      </c>
      <c r="M3239" s="11" t="s">
        <v>66</v>
      </c>
      <c r="N3239" s="11" t="s">
        <v>69</v>
      </c>
      <c r="O3239" s="11" t="s">
        <v>1000</v>
      </c>
      <c r="P3239" s="11" t="s">
        <v>75</v>
      </c>
      <c r="Q3239" s="20">
        <v>40380.0</v>
      </c>
      <c r="R3239" s="17">
        <f t="shared" si="2"/>
        <v>5.598866644</v>
      </c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>
        <f t="shared" si="8"/>
        <v>1</v>
      </c>
      <c r="AF3239" s="19">
        <f t="shared" si="13"/>
        <v>2</v>
      </c>
      <c r="AG3239" s="9"/>
      <c r="AH3239" s="9"/>
      <c r="AI3239" s="9"/>
    </row>
    <row r="3240" ht="15.0" customHeight="1">
      <c r="A3240" s="11">
        <v>3239.0</v>
      </c>
      <c r="B3240" s="12">
        <f t="shared" si="520"/>
        <v>40377</v>
      </c>
      <c r="C3240" s="13">
        <v>2010.0</v>
      </c>
      <c r="D3240" s="11" t="s">
        <v>102</v>
      </c>
      <c r="E3240" s="11">
        <v>2.0</v>
      </c>
      <c r="F3240" s="21" t="s">
        <v>112</v>
      </c>
      <c r="G3240" s="15">
        <v>0.03279654924514726</v>
      </c>
      <c r="H3240" s="11" t="s">
        <v>45</v>
      </c>
      <c r="I3240" s="16">
        <v>50.352000000000004</v>
      </c>
      <c r="J3240" s="11" t="s">
        <v>363</v>
      </c>
      <c r="K3240" s="11" t="s">
        <v>65</v>
      </c>
      <c r="L3240" s="11" t="s">
        <v>27</v>
      </c>
      <c r="M3240" s="11" t="s">
        <v>49</v>
      </c>
      <c r="N3240" s="11" t="s">
        <v>50</v>
      </c>
      <c r="O3240" s="11" t="s">
        <v>1880</v>
      </c>
      <c r="P3240" s="11" t="s">
        <v>52</v>
      </c>
      <c r="Q3240" s="20">
        <v>40380.0</v>
      </c>
      <c r="R3240" s="17">
        <f t="shared" si="2"/>
        <v>17.64952857</v>
      </c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>
        <f t="shared" si="8"/>
        <v>1</v>
      </c>
      <c r="AF3240" s="19">
        <f t="shared" si="13"/>
        <v>5</v>
      </c>
      <c r="AG3240" s="9"/>
      <c r="AH3240" s="9"/>
      <c r="AI3240" s="9"/>
    </row>
    <row r="3241" ht="15.0" customHeight="1">
      <c r="A3241" s="11">
        <v>3240.0</v>
      </c>
      <c r="B3241" s="12">
        <f t="shared" ref="B3241:B3248" si="521">DATE(2012,12,31)-896</f>
        <v>40378</v>
      </c>
      <c r="C3241" s="13">
        <v>2010.0</v>
      </c>
      <c r="D3241" s="11" t="s">
        <v>39</v>
      </c>
      <c r="E3241" s="11">
        <v>40.0</v>
      </c>
      <c r="F3241" s="21" t="s">
        <v>178</v>
      </c>
      <c r="G3241" s="15">
        <v>0.011799379137524695</v>
      </c>
      <c r="H3241" s="11" t="s">
        <v>33</v>
      </c>
      <c r="I3241" s="16">
        <v>6.152000000000001</v>
      </c>
      <c r="J3241" s="11" t="s">
        <v>1605</v>
      </c>
      <c r="K3241" s="11" t="s">
        <v>61</v>
      </c>
      <c r="L3241" s="11" t="s">
        <v>48</v>
      </c>
      <c r="M3241" s="11" t="s">
        <v>66</v>
      </c>
      <c r="N3241" s="11" t="s">
        <v>80</v>
      </c>
      <c r="O3241" s="11" t="s">
        <v>2286</v>
      </c>
      <c r="P3241" s="11" t="s">
        <v>38</v>
      </c>
      <c r="Q3241" s="20">
        <v>40380.0</v>
      </c>
      <c r="R3241" s="17">
        <f t="shared" si="2"/>
        <v>31.17575319</v>
      </c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>
        <f t="shared" si="8"/>
        <v>4</v>
      </c>
      <c r="AF3241" s="19">
        <f t="shared" si="13"/>
        <v>4</v>
      </c>
      <c r="AG3241" s="9"/>
      <c r="AH3241" s="9"/>
      <c r="AI3241" s="9"/>
    </row>
    <row r="3242" ht="15.0" customHeight="1">
      <c r="A3242" s="11">
        <v>3241.0</v>
      </c>
      <c r="B3242" s="12">
        <f t="shared" si="521"/>
        <v>40378</v>
      </c>
      <c r="C3242" s="13">
        <v>2010.0</v>
      </c>
      <c r="D3242" s="11" t="s">
        <v>23</v>
      </c>
      <c r="E3242" s="11">
        <v>45.0</v>
      </c>
      <c r="F3242" s="21" t="s">
        <v>210</v>
      </c>
      <c r="G3242" s="15">
        <v>0.018030050083472426</v>
      </c>
      <c r="H3242" s="11" t="s">
        <v>24</v>
      </c>
      <c r="I3242" s="16">
        <v>0.6400000000000001</v>
      </c>
      <c r="J3242" s="11" t="s">
        <v>2293</v>
      </c>
      <c r="K3242" s="11" t="s">
        <v>65</v>
      </c>
      <c r="L3242" s="11" t="s">
        <v>27</v>
      </c>
      <c r="M3242" s="11" t="s">
        <v>28</v>
      </c>
      <c r="N3242" s="11" t="s">
        <v>216</v>
      </c>
      <c r="O3242" s="11" t="s">
        <v>1290</v>
      </c>
      <c r="P3242" s="11" t="s">
        <v>58</v>
      </c>
      <c r="Q3242" s="20">
        <v>40380.0</v>
      </c>
      <c r="R3242" s="17">
        <f t="shared" si="2"/>
        <v>2.121055092</v>
      </c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>
        <f t="shared" si="8"/>
        <v>1</v>
      </c>
      <c r="AF3242" s="19">
        <f t="shared" si="13"/>
        <v>5</v>
      </c>
      <c r="AG3242" s="9"/>
      <c r="AH3242" s="9"/>
      <c r="AI3242" s="9"/>
    </row>
    <row r="3243" ht="15.0" customHeight="1">
      <c r="A3243" s="11">
        <v>3242.0</v>
      </c>
      <c r="B3243" s="12">
        <f t="shared" si="521"/>
        <v>40378</v>
      </c>
      <c r="C3243" s="13">
        <v>2010.0</v>
      </c>
      <c r="D3243" s="11" t="s">
        <v>23</v>
      </c>
      <c r="E3243" s="11">
        <v>9.0</v>
      </c>
      <c r="F3243" s="21" t="s">
        <v>128</v>
      </c>
      <c r="G3243" s="15">
        <v>0.05860057827344066</v>
      </c>
      <c r="H3243" s="11" t="s">
        <v>33</v>
      </c>
      <c r="I3243" s="16">
        <v>6.464</v>
      </c>
      <c r="J3243" s="11" t="s">
        <v>2293</v>
      </c>
      <c r="K3243" s="11" t="s">
        <v>65</v>
      </c>
      <c r="L3243" s="11" t="s">
        <v>27</v>
      </c>
      <c r="M3243" s="11" t="s">
        <v>66</v>
      </c>
      <c r="N3243" s="11" t="s">
        <v>80</v>
      </c>
      <c r="O3243" s="11" t="s">
        <v>2243</v>
      </c>
      <c r="P3243" s="11" t="s">
        <v>38</v>
      </c>
      <c r="Q3243" s="20">
        <v>40380.0</v>
      </c>
      <c r="R3243" s="17">
        <f t="shared" si="2"/>
        <v>66.77910938</v>
      </c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>
        <f t="shared" si="8"/>
        <v>1</v>
      </c>
      <c r="AF3243" s="19">
        <f t="shared" si="13"/>
        <v>5</v>
      </c>
      <c r="AG3243" s="9"/>
      <c r="AH3243" s="9"/>
      <c r="AI3243" s="9"/>
    </row>
    <row r="3244" ht="15.0" customHeight="1">
      <c r="A3244" s="11">
        <v>3243.0</v>
      </c>
      <c r="B3244" s="12">
        <f t="shared" si="521"/>
        <v>40378</v>
      </c>
      <c r="C3244" s="13">
        <v>2010.0</v>
      </c>
      <c r="D3244" s="11" t="s">
        <v>44</v>
      </c>
      <c r="E3244" s="11">
        <v>47.0</v>
      </c>
      <c r="F3244" s="21" t="s">
        <v>705</v>
      </c>
      <c r="G3244" s="15">
        <v>0.013582342954159464</v>
      </c>
      <c r="H3244" s="11" t="s">
        <v>33</v>
      </c>
      <c r="I3244" s="16">
        <v>0.4</v>
      </c>
      <c r="J3244" s="11" t="s">
        <v>1857</v>
      </c>
      <c r="K3244" s="11" t="s">
        <v>61</v>
      </c>
      <c r="L3244" s="11" t="s">
        <v>27</v>
      </c>
      <c r="M3244" s="11" t="s">
        <v>28</v>
      </c>
      <c r="N3244" s="11" t="s">
        <v>188</v>
      </c>
      <c r="O3244" s="11" t="s">
        <v>706</v>
      </c>
      <c r="P3244" s="11" t="s">
        <v>38</v>
      </c>
      <c r="Q3244" s="20">
        <v>40380.0</v>
      </c>
      <c r="R3244" s="17">
        <f t="shared" si="2"/>
        <v>2.367402377</v>
      </c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>
        <f t="shared" si="8"/>
        <v>1</v>
      </c>
      <c r="AF3244" s="19">
        <f t="shared" si="13"/>
        <v>4</v>
      </c>
      <c r="AG3244" s="9"/>
      <c r="AH3244" s="9"/>
      <c r="AI3244" s="9"/>
    </row>
    <row r="3245" ht="15.0" customHeight="1">
      <c r="A3245" s="11">
        <v>3244.0</v>
      </c>
      <c r="B3245" s="12">
        <f t="shared" si="521"/>
        <v>40378</v>
      </c>
      <c r="C3245" s="13">
        <v>2010.0</v>
      </c>
      <c r="D3245" s="11" t="s">
        <v>44</v>
      </c>
      <c r="E3245" s="11">
        <v>15.0</v>
      </c>
      <c r="F3245" s="21" t="s">
        <v>119</v>
      </c>
      <c r="G3245" s="15">
        <v>0.04394736842105258</v>
      </c>
      <c r="H3245" s="11" t="s">
        <v>33</v>
      </c>
      <c r="I3245" s="16">
        <v>2.064</v>
      </c>
      <c r="J3245" s="11" t="s">
        <v>1857</v>
      </c>
      <c r="K3245" s="11" t="s">
        <v>61</v>
      </c>
      <c r="L3245" s="11" t="s">
        <v>27</v>
      </c>
      <c r="M3245" s="11" t="s">
        <v>28</v>
      </c>
      <c r="N3245" s="11" t="s">
        <v>216</v>
      </c>
      <c r="O3245" s="11" t="s">
        <v>1619</v>
      </c>
      <c r="P3245" s="11" t="s">
        <v>58</v>
      </c>
      <c r="Q3245" s="20">
        <v>40380.0</v>
      </c>
      <c r="R3245" s="17">
        <f t="shared" si="2"/>
        <v>1.277286316</v>
      </c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>
        <f t="shared" si="8"/>
        <v>1</v>
      </c>
      <c r="AF3245" s="19">
        <f t="shared" si="13"/>
        <v>4</v>
      </c>
      <c r="AG3245" s="9"/>
      <c r="AH3245" s="9"/>
      <c r="AI3245" s="9"/>
    </row>
    <row r="3246" ht="15.0" customHeight="1">
      <c r="A3246" s="11">
        <v>3245.0</v>
      </c>
      <c r="B3246" s="12">
        <f t="shared" si="521"/>
        <v>40378</v>
      </c>
      <c r="C3246" s="13">
        <v>2010.0</v>
      </c>
      <c r="D3246" s="11" t="s">
        <v>23</v>
      </c>
      <c r="E3246" s="11">
        <v>8.0</v>
      </c>
      <c r="F3246" s="21" t="s">
        <v>100</v>
      </c>
      <c r="G3246" s="15">
        <v>0.07544875377221416</v>
      </c>
      <c r="H3246" s="11" t="s">
        <v>33</v>
      </c>
      <c r="I3246" s="16">
        <v>7.192</v>
      </c>
      <c r="J3246" s="11" t="s">
        <v>1842</v>
      </c>
      <c r="K3246" s="11" t="s">
        <v>65</v>
      </c>
      <c r="L3246" s="11" t="s">
        <v>48</v>
      </c>
      <c r="M3246" s="11" t="s">
        <v>66</v>
      </c>
      <c r="N3246" s="11" t="s">
        <v>80</v>
      </c>
      <c r="O3246" s="11" t="s">
        <v>615</v>
      </c>
      <c r="P3246" s="11" t="s">
        <v>38</v>
      </c>
      <c r="Q3246" s="20">
        <v>40380.0</v>
      </c>
      <c r="R3246" s="17">
        <f t="shared" si="2"/>
        <v>124.8218147</v>
      </c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>
        <f t="shared" si="8"/>
        <v>4</v>
      </c>
      <c r="AF3246" s="19">
        <f t="shared" si="13"/>
        <v>5</v>
      </c>
      <c r="AG3246" s="9"/>
      <c r="AH3246" s="9"/>
      <c r="AI3246" s="9"/>
    </row>
    <row r="3247" ht="15.0" customHeight="1">
      <c r="A3247" s="11">
        <v>3246.0</v>
      </c>
      <c r="B3247" s="12">
        <f t="shared" si="521"/>
        <v>40378</v>
      </c>
      <c r="C3247" s="13">
        <v>2010.0</v>
      </c>
      <c r="D3247" s="11" t="s">
        <v>23</v>
      </c>
      <c r="E3247" s="11">
        <v>1.0</v>
      </c>
      <c r="F3247" s="21" t="s">
        <v>256</v>
      </c>
      <c r="G3247" s="15">
        <v>0.07042253521126761</v>
      </c>
      <c r="H3247" s="11" t="s">
        <v>33</v>
      </c>
      <c r="I3247" s="16">
        <v>5.4</v>
      </c>
      <c r="J3247" s="11" t="s">
        <v>78</v>
      </c>
      <c r="K3247" s="11" t="s">
        <v>35</v>
      </c>
      <c r="L3247" s="11" t="s">
        <v>48</v>
      </c>
      <c r="M3247" s="11" t="s">
        <v>28</v>
      </c>
      <c r="N3247" s="11" t="s">
        <v>197</v>
      </c>
      <c r="O3247" s="11" t="s">
        <v>257</v>
      </c>
      <c r="P3247" s="11" t="s">
        <v>75</v>
      </c>
      <c r="Q3247" s="20">
        <v>40380.0</v>
      </c>
      <c r="R3247" s="17">
        <f t="shared" si="2"/>
        <v>1.394366197</v>
      </c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>
        <f t="shared" si="8"/>
        <v>4</v>
      </c>
      <c r="AF3247" s="19">
        <f t="shared" si="13"/>
        <v>2</v>
      </c>
      <c r="AG3247" s="9"/>
      <c r="AH3247" s="9"/>
      <c r="AI3247" s="9"/>
    </row>
    <row r="3248" ht="15.0" customHeight="1">
      <c r="A3248" s="11">
        <v>3247.0</v>
      </c>
      <c r="B3248" s="12">
        <f t="shared" si="521"/>
        <v>40378</v>
      </c>
      <c r="C3248" s="13">
        <v>2010.0</v>
      </c>
      <c r="D3248" s="11" t="s">
        <v>23</v>
      </c>
      <c r="E3248" s="11">
        <v>44.0</v>
      </c>
      <c r="F3248" s="21" t="s">
        <v>536</v>
      </c>
      <c r="G3248" s="15">
        <v>0.07541902488919186</v>
      </c>
      <c r="H3248" s="11" t="s">
        <v>33</v>
      </c>
      <c r="I3248" s="16">
        <v>15.991999999999999</v>
      </c>
      <c r="J3248" s="11" t="s">
        <v>78</v>
      </c>
      <c r="K3248" s="11" t="s">
        <v>35</v>
      </c>
      <c r="L3248" s="11" t="s">
        <v>48</v>
      </c>
      <c r="M3248" s="11" t="s">
        <v>28</v>
      </c>
      <c r="N3248" s="11" t="s">
        <v>42</v>
      </c>
      <c r="O3248" s="11" t="s">
        <v>1251</v>
      </c>
      <c r="P3248" s="11" t="s">
        <v>38</v>
      </c>
      <c r="Q3248" s="20">
        <v>40380.0</v>
      </c>
      <c r="R3248" s="17">
        <f t="shared" si="2"/>
        <v>409.04202</v>
      </c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>
        <f t="shared" si="8"/>
        <v>4</v>
      </c>
      <c r="AF3248" s="19">
        <f t="shared" si="13"/>
        <v>2</v>
      </c>
      <c r="AG3248" s="9"/>
      <c r="AH3248" s="9"/>
      <c r="AI3248" s="9"/>
    </row>
    <row r="3249" ht="15.0" customHeight="1">
      <c r="A3249" s="11">
        <v>3248.0</v>
      </c>
      <c r="B3249" s="12">
        <f t="shared" ref="B3249:B3258" si="522">DATE(2012,12,31)-895</f>
        <v>40379</v>
      </c>
      <c r="C3249" s="13">
        <v>2010.0</v>
      </c>
      <c r="D3249" s="11" t="s">
        <v>32</v>
      </c>
      <c r="E3249" s="11">
        <v>15.0</v>
      </c>
      <c r="F3249" s="21" t="s">
        <v>1452</v>
      </c>
      <c r="G3249" s="15">
        <v>0.04003790235899762</v>
      </c>
      <c r="H3249" s="11" t="s">
        <v>45</v>
      </c>
      <c r="I3249" s="16">
        <v>39.2</v>
      </c>
      <c r="J3249" s="11" t="s">
        <v>727</v>
      </c>
      <c r="K3249" s="11" t="s">
        <v>35</v>
      </c>
      <c r="L3249" s="11" t="s">
        <v>48</v>
      </c>
      <c r="M3249" s="11" t="s">
        <v>66</v>
      </c>
      <c r="N3249" s="11" t="s">
        <v>170</v>
      </c>
      <c r="O3249" s="11" t="s">
        <v>1453</v>
      </c>
      <c r="P3249" s="11" t="s">
        <v>52</v>
      </c>
      <c r="Q3249" s="20">
        <v>40380.0</v>
      </c>
      <c r="R3249" s="17">
        <f t="shared" si="2"/>
        <v>271.7652698</v>
      </c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>
        <f t="shared" si="8"/>
        <v>4</v>
      </c>
      <c r="AF3249" s="19">
        <f t="shared" si="13"/>
        <v>2</v>
      </c>
      <c r="AG3249" s="9"/>
      <c r="AH3249" s="9"/>
      <c r="AI3249" s="9"/>
    </row>
    <row r="3250" ht="15.0" customHeight="1">
      <c r="A3250" s="11">
        <v>3249.0</v>
      </c>
      <c r="B3250" s="12">
        <f t="shared" si="522"/>
        <v>40379</v>
      </c>
      <c r="C3250" s="13">
        <v>2010.0</v>
      </c>
      <c r="D3250" s="11" t="s">
        <v>32</v>
      </c>
      <c r="E3250" s="11">
        <v>14.0</v>
      </c>
      <c r="F3250" s="21" t="s">
        <v>856</v>
      </c>
      <c r="G3250" s="15">
        <v>0.060296540362438276</v>
      </c>
      <c r="H3250" s="11" t="s">
        <v>33</v>
      </c>
      <c r="I3250" s="16">
        <v>1.04</v>
      </c>
      <c r="J3250" s="11" t="s">
        <v>727</v>
      </c>
      <c r="K3250" s="11" t="s">
        <v>35</v>
      </c>
      <c r="L3250" s="11" t="s">
        <v>48</v>
      </c>
      <c r="M3250" s="11" t="s">
        <v>28</v>
      </c>
      <c r="N3250" s="11" t="s">
        <v>56</v>
      </c>
      <c r="O3250" s="11" t="s">
        <v>858</v>
      </c>
      <c r="P3250" s="11" t="s">
        <v>58</v>
      </c>
      <c r="Q3250" s="20">
        <v>40381.0</v>
      </c>
      <c r="R3250" s="17">
        <f t="shared" si="2"/>
        <v>3.439314662</v>
      </c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>
        <f t="shared" si="8"/>
        <v>4</v>
      </c>
      <c r="AF3250" s="19">
        <f t="shared" si="13"/>
        <v>2</v>
      </c>
      <c r="AG3250" s="9"/>
      <c r="AH3250" s="9"/>
      <c r="AI3250" s="9"/>
    </row>
    <row r="3251" ht="15.0" customHeight="1">
      <c r="A3251" s="11">
        <v>3250.0</v>
      </c>
      <c r="B3251" s="12">
        <f t="shared" si="522"/>
        <v>40379</v>
      </c>
      <c r="C3251" s="13">
        <v>2010.0</v>
      </c>
      <c r="D3251" s="11" t="s">
        <v>44</v>
      </c>
      <c r="E3251" s="11">
        <v>21.0</v>
      </c>
      <c r="F3251" s="21" t="s">
        <v>93</v>
      </c>
      <c r="G3251" s="15">
        <v>0.036157000585823065</v>
      </c>
      <c r="H3251" s="11" t="s">
        <v>33</v>
      </c>
      <c r="I3251" s="16">
        <v>4.928000000000001</v>
      </c>
      <c r="J3251" s="11" t="s">
        <v>2285</v>
      </c>
      <c r="K3251" s="11" t="s">
        <v>65</v>
      </c>
      <c r="L3251" s="11" t="s">
        <v>41</v>
      </c>
      <c r="M3251" s="11" t="s">
        <v>28</v>
      </c>
      <c r="N3251" s="11" t="s">
        <v>42</v>
      </c>
      <c r="O3251" s="11" t="s">
        <v>134</v>
      </c>
      <c r="P3251" s="11" t="s">
        <v>38</v>
      </c>
      <c r="Q3251" s="20">
        <v>40381.0</v>
      </c>
      <c r="R3251" s="17">
        <f t="shared" si="2"/>
        <v>5.948838992</v>
      </c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>
        <f t="shared" si="8"/>
        <v>3</v>
      </c>
      <c r="AF3251" s="19">
        <f t="shared" si="13"/>
        <v>5</v>
      </c>
      <c r="AG3251" s="9"/>
      <c r="AH3251" s="9"/>
      <c r="AI3251" s="9"/>
    </row>
    <row r="3252" ht="15.0" customHeight="1">
      <c r="A3252" s="11">
        <v>3251.0</v>
      </c>
      <c r="B3252" s="12">
        <f t="shared" si="522"/>
        <v>40379</v>
      </c>
      <c r="C3252" s="13">
        <v>2010.0</v>
      </c>
      <c r="D3252" s="11" t="s">
        <v>44</v>
      </c>
      <c r="E3252" s="11">
        <v>5.0</v>
      </c>
      <c r="F3252" s="21" t="s">
        <v>1789</v>
      </c>
      <c r="G3252" s="15">
        <v>0.07627221586100467</v>
      </c>
      <c r="H3252" s="11" t="s">
        <v>33</v>
      </c>
      <c r="I3252" s="16">
        <v>15.991999999999999</v>
      </c>
      <c r="J3252" s="11" t="s">
        <v>2285</v>
      </c>
      <c r="K3252" s="11" t="s">
        <v>65</v>
      </c>
      <c r="L3252" s="11" t="s">
        <v>41</v>
      </c>
      <c r="M3252" s="11" t="s">
        <v>28</v>
      </c>
      <c r="N3252" s="11" t="s">
        <v>42</v>
      </c>
      <c r="O3252" s="11" t="s">
        <v>1790</v>
      </c>
      <c r="P3252" s="11" t="s">
        <v>38</v>
      </c>
      <c r="Q3252" s="20">
        <v>40381.0</v>
      </c>
      <c r="R3252" s="17">
        <f t="shared" si="2"/>
        <v>141.5224864</v>
      </c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>
        <f t="shared" si="8"/>
        <v>3</v>
      </c>
      <c r="AF3252" s="19">
        <f t="shared" si="13"/>
        <v>5</v>
      </c>
      <c r="AG3252" s="9"/>
      <c r="AH3252" s="9"/>
      <c r="AI3252" s="9"/>
    </row>
    <row r="3253" ht="15.0" customHeight="1">
      <c r="A3253" s="11">
        <v>3252.0</v>
      </c>
      <c r="B3253" s="12">
        <f t="shared" si="522"/>
        <v>40379</v>
      </c>
      <c r="C3253" s="13">
        <v>2010.0</v>
      </c>
      <c r="D3253" s="11" t="s">
        <v>44</v>
      </c>
      <c r="E3253" s="11">
        <v>10.0</v>
      </c>
      <c r="F3253" s="21" t="s">
        <v>1367</v>
      </c>
      <c r="G3253" s="15">
        <v>0.07842263239606694</v>
      </c>
      <c r="H3253" s="11" t="s">
        <v>45</v>
      </c>
      <c r="I3253" s="16">
        <v>50.19200000000001</v>
      </c>
      <c r="J3253" s="11" t="s">
        <v>2285</v>
      </c>
      <c r="K3253" s="11" t="s">
        <v>65</v>
      </c>
      <c r="L3253" s="11" t="s">
        <v>41</v>
      </c>
      <c r="M3253" s="11" t="s">
        <v>49</v>
      </c>
      <c r="N3253" s="11" t="s">
        <v>85</v>
      </c>
      <c r="O3253" s="11" t="s">
        <v>1368</v>
      </c>
      <c r="P3253" s="11" t="s">
        <v>87</v>
      </c>
      <c r="Q3253" s="20">
        <v>40381.0</v>
      </c>
      <c r="R3253" s="17">
        <f t="shared" si="2"/>
        <v>209.4819083</v>
      </c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>
        <f t="shared" si="8"/>
        <v>3</v>
      </c>
      <c r="AF3253" s="19">
        <f t="shared" si="13"/>
        <v>5</v>
      </c>
      <c r="AG3253" s="9"/>
      <c r="AH3253" s="9"/>
      <c r="AI3253" s="9"/>
    </row>
    <row r="3254" ht="15.0" customHeight="1">
      <c r="A3254" s="11">
        <v>3253.0</v>
      </c>
      <c r="B3254" s="12">
        <f t="shared" si="522"/>
        <v>40379</v>
      </c>
      <c r="C3254" s="13">
        <v>2010.0</v>
      </c>
      <c r="D3254" s="11" t="s">
        <v>44</v>
      </c>
      <c r="E3254" s="11">
        <v>37.0</v>
      </c>
      <c r="F3254" s="21" t="s">
        <v>130</v>
      </c>
      <c r="G3254" s="15">
        <v>0.03267918807378081</v>
      </c>
      <c r="H3254" s="11" t="s">
        <v>33</v>
      </c>
      <c r="I3254" s="16">
        <v>5.2</v>
      </c>
      <c r="J3254" s="11" t="s">
        <v>1240</v>
      </c>
      <c r="K3254" s="11" t="s">
        <v>35</v>
      </c>
      <c r="L3254" s="11" t="s">
        <v>41</v>
      </c>
      <c r="M3254" s="11" t="s">
        <v>66</v>
      </c>
      <c r="N3254" s="11" t="s">
        <v>67</v>
      </c>
      <c r="O3254" s="11" t="s">
        <v>1464</v>
      </c>
      <c r="P3254" s="11" t="s">
        <v>38</v>
      </c>
      <c r="Q3254" s="20">
        <v>40381.0</v>
      </c>
      <c r="R3254" s="17">
        <f t="shared" si="2"/>
        <v>37.5320475</v>
      </c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>
        <f t="shared" si="8"/>
        <v>3</v>
      </c>
      <c r="AF3254" s="19">
        <f t="shared" si="13"/>
        <v>2</v>
      </c>
      <c r="AG3254" s="9"/>
      <c r="AH3254" s="9"/>
      <c r="AI3254" s="9"/>
    </row>
    <row r="3255" ht="15.0" customHeight="1">
      <c r="A3255" s="11">
        <v>3254.0</v>
      </c>
      <c r="B3255" s="12">
        <f t="shared" si="522"/>
        <v>40379</v>
      </c>
      <c r="C3255" s="13">
        <v>2010.0</v>
      </c>
      <c r="D3255" s="11" t="s">
        <v>44</v>
      </c>
      <c r="E3255" s="11">
        <v>7.0</v>
      </c>
      <c r="F3255" s="21" t="s">
        <v>726</v>
      </c>
      <c r="G3255" s="15">
        <v>0.08593250444049735</v>
      </c>
      <c r="H3255" s="11" t="s">
        <v>33</v>
      </c>
      <c r="I3255" s="16">
        <v>7.024</v>
      </c>
      <c r="J3255" s="11" t="s">
        <v>1240</v>
      </c>
      <c r="K3255" s="11" t="s">
        <v>35</v>
      </c>
      <c r="L3255" s="11" t="s">
        <v>41</v>
      </c>
      <c r="M3255" s="11" t="s">
        <v>49</v>
      </c>
      <c r="N3255" s="11" t="s">
        <v>73</v>
      </c>
      <c r="O3255" s="11" t="s">
        <v>728</v>
      </c>
      <c r="P3255" s="11" t="s">
        <v>38</v>
      </c>
      <c r="Q3255" s="20">
        <v>40381.0</v>
      </c>
      <c r="R3255" s="17">
        <f t="shared" si="2"/>
        <v>8.844517087</v>
      </c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>
        <f t="shared" si="8"/>
        <v>3</v>
      </c>
      <c r="AF3255" s="19">
        <f t="shared" si="13"/>
        <v>2</v>
      </c>
      <c r="AG3255" s="9"/>
      <c r="AH3255" s="9"/>
      <c r="AI3255" s="9"/>
    </row>
    <row r="3256" ht="15.0" customHeight="1">
      <c r="A3256" s="11">
        <v>3255.0</v>
      </c>
      <c r="B3256" s="12">
        <f t="shared" si="522"/>
        <v>40379</v>
      </c>
      <c r="C3256" s="13">
        <v>2010.0</v>
      </c>
      <c r="D3256" s="11" t="s">
        <v>44</v>
      </c>
      <c r="E3256" s="11">
        <v>26.0</v>
      </c>
      <c r="F3256" s="21" t="s">
        <v>126</v>
      </c>
      <c r="G3256" s="15">
        <v>0.07217391304347832</v>
      </c>
      <c r="H3256" s="11" t="s">
        <v>33</v>
      </c>
      <c r="I3256" s="16">
        <v>0.6400000000000001</v>
      </c>
      <c r="J3256" s="11" t="s">
        <v>1529</v>
      </c>
      <c r="K3256" s="11" t="s">
        <v>61</v>
      </c>
      <c r="L3256" s="11" t="s">
        <v>27</v>
      </c>
      <c r="M3256" s="11" t="s">
        <v>28</v>
      </c>
      <c r="N3256" s="11" t="s">
        <v>56</v>
      </c>
      <c r="O3256" s="11" t="s">
        <v>517</v>
      </c>
      <c r="P3256" s="11" t="s">
        <v>58</v>
      </c>
      <c r="Q3256" s="20">
        <v>40382.0</v>
      </c>
      <c r="R3256" s="17">
        <f t="shared" si="2"/>
        <v>9.241147826</v>
      </c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>
        <f t="shared" si="8"/>
        <v>1</v>
      </c>
      <c r="AF3256" s="19">
        <f t="shared" si="13"/>
        <v>4</v>
      </c>
      <c r="AG3256" s="9"/>
      <c r="AH3256" s="9"/>
      <c r="AI3256" s="9"/>
    </row>
    <row r="3257" ht="15.0" customHeight="1">
      <c r="A3257" s="11">
        <v>3256.0</v>
      </c>
      <c r="B3257" s="12">
        <f t="shared" si="522"/>
        <v>40379</v>
      </c>
      <c r="C3257" s="13">
        <v>2010.0</v>
      </c>
      <c r="D3257" s="11" t="s">
        <v>44</v>
      </c>
      <c r="E3257" s="11">
        <v>27.0</v>
      </c>
      <c r="F3257" s="21" t="s">
        <v>128</v>
      </c>
      <c r="G3257" s="15">
        <v>0.07513321202574609</v>
      </c>
      <c r="H3257" s="11" t="s">
        <v>33</v>
      </c>
      <c r="I3257" s="16">
        <v>6.152000000000001</v>
      </c>
      <c r="J3257" s="11" t="s">
        <v>1529</v>
      </c>
      <c r="K3257" s="11" t="s">
        <v>61</v>
      </c>
      <c r="L3257" s="11" t="s">
        <v>27</v>
      </c>
      <c r="M3257" s="11" t="s">
        <v>66</v>
      </c>
      <c r="N3257" s="11" t="s">
        <v>80</v>
      </c>
      <c r="O3257" s="11" t="s">
        <v>1100</v>
      </c>
      <c r="P3257" s="11" t="s">
        <v>38</v>
      </c>
      <c r="Q3257" s="20">
        <v>40382.0</v>
      </c>
      <c r="R3257" s="17">
        <f t="shared" si="2"/>
        <v>255.8625472</v>
      </c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>
        <f t="shared" si="8"/>
        <v>1</v>
      </c>
      <c r="AF3257" s="19">
        <f t="shared" si="13"/>
        <v>4</v>
      </c>
      <c r="AG3257" s="9"/>
      <c r="AH3257" s="9"/>
      <c r="AI3257" s="9"/>
    </row>
    <row r="3258" ht="15.0" customHeight="1">
      <c r="A3258" s="11">
        <v>3257.0</v>
      </c>
      <c r="B3258" s="12">
        <f t="shared" si="522"/>
        <v>40379</v>
      </c>
      <c r="C3258" s="13">
        <v>2010.0</v>
      </c>
      <c r="D3258" s="11" t="s">
        <v>32</v>
      </c>
      <c r="E3258" s="11">
        <v>30.0</v>
      </c>
      <c r="F3258" s="21" t="s">
        <v>651</v>
      </c>
      <c r="G3258" s="15">
        <v>0.04966255914313932</v>
      </c>
      <c r="H3258" s="11" t="s">
        <v>33</v>
      </c>
      <c r="I3258" s="16">
        <v>9.784</v>
      </c>
      <c r="J3258" s="11" t="s">
        <v>1114</v>
      </c>
      <c r="K3258" s="11" t="s">
        <v>47</v>
      </c>
      <c r="L3258" s="11" t="s">
        <v>27</v>
      </c>
      <c r="M3258" s="11" t="s">
        <v>49</v>
      </c>
      <c r="N3258" s="11" t="s">
        <v>73</v>
      </c>
      <c r="O3258" s="11" t="s">
        <v>652</v>
      </c>
      <c r="P3258" s="11" t="s">
        <v>75</v>
      </c>
      <c r="Q3258" s="20">
        <v>40382.0</v>
      </c>
      <c r="R3258" s="17">
        <f t="shared" si="2"/>
        <v>90.772431</v>
      </c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>
        <f t="shared" si="8"/>
        <v>1</v>
      </c>
      <c r="AF3258" s="19">
        <f t="shared" si="13"/>
        <v>3</v>
      </c>
      <c r="AG3258" s="9"/>
      <c r="AH3258" s="9"/>
      <c r="AI3258" s="9"/>
    </row>
    <row r="3259" ht="15.0" customHeight="1">
      <c r="A3259" s="11">
        <v>3258.0</v>
      </c>
      <c r="B3259" s="12">
        <f t="shared" ref="B3259:B3268" si="523">DATE(2012,12,31)-894</f>
        <v>40380</v>
      </c>
      <c r="C3259" s="13">
        <v>2010.0</v>
      </c>
      <c r="D3259" s="11" t="s">
        <v>44</v>
      </c>
      <c r="E3259" s="11">
        <v>20.0</v>
      </c>
      <c r="F3259" s="21" t="s">
        <v>195</v>
      </c>
      <c r="G3259" s="15">
        <v>0.029452279435880493</v>
      </c>
      <c r="H3259" s="11" t="s">
        <v>33</v>
      </c>
      <c r="I3259" s="16">
        <v>5.920000000000001</v>
      </c>
      <c r="J3259" s="11" t="s">
        <v>1490</v>
      </c>
      <c r="K3259" s="11" t="s">
        <v>61</v>
      </c>
      <c r="L3259" s="11" t="s">
        <v>48</v>
      </c>
      <c r="M3259" s="11" t="s">
        <v>49</v>
      </c>
      <c r="N3259" s="11" t="s">
        <v>73</v>
      </c>
      <c r="O3259" s="11" t="s">
        <v>2036</v>
      </c>
      <c r="P3259" s="11" t="s">
        <v>38</v>
      </c>
      <c r="Q3259" s="20">
        <v>40382.0</v>
      </c>
      <c r="R3259" s="17">
        <f t="shared" si="2"/>
        <v>8.715518531</v>
      </c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>
        <f t="shared" si="8"/>
        <v>4</v>
      </c>
      <c r="AF3259" s="19">
        <f t="shared" si="13"/>
        <v>4</v>
      </c>
      <c r="AG3259" s="9"/>
      <c r="AH3259" s="9"/>
      <c r="AI3259" s="9"/>
    </row>
    <row r="3260" ht="15.0" customHeight="1">
      <c r="A3260" s="11">
        <v>3259.0</v>
      </c>
      <c r="B3260" s="12">
        <f t="shared" si="523"/>
        <v>40380</v>
      </c>
      <c r="C3260" s="13">
        <v>2010.0</v>
      </c>
      <c r="D3260" s="11" t="s">
        <v>44</v>
      </c>
      <c r="E3260" s="11">
        <v>24.0</v>
      </c>
      <c r="F3260" s="21" t="s">
        <v>747</v>
      </c>
      <c r="G3260" s="15">
        <v>0.027573529411764663</v>
      </c>
      <c r="H3260" s="11" t="s">
        <v>24</v>
      </c>
      <c r="I3260" s="16">
        <v>4.32</v>
      </c>
      <c r="J3260" s="11" t="s">
        <v>1702</v>
      </c>
      <c r="K3260" s="11" t="s">
        <v>35</v>
      </c>
      <c r="L3260" s="11" t="s">
        <v>41</v>
      </c>
      <c r="M3260" s="11" t="s">
        <v>49</v>
      </c>
      <c r="N3260" s="11" t="s">
        <v>73</v>
      </c>
      <c r="O3260" s="11" t="s">
        <v>1011</v>
      </c>
      <c r="P3260" s="11" t="s">
        <v>99</v>
      </c>
      <c r="Q3260" s="20">
        <v>40382.0</v>
      </c>
      <c r="R3260" s="17">
        <f t="shared" si="2"/>
        <v>7.001470588</v>
      </c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>
        <f t="shared" si="8"/>
        <v>3</v>
      </c>
      <c r="AF3260" s="19">
        <f t="shared" si="13"/>
        <v>2</v>
      </c>
      <c r="AG3260" s="9"/>
      <c r="AH3260" s="9"/>
      <c r="AI3260" s="9"/>
    </row>
    <row r="3261" ht="15.0" customHeight="1">
      <c r="A3261" s="11">
        <v>3260.0</v>
      </c>
      <c r="B3261" s="12">
        <f t="shared" si="523"/>
        <v>40380</v>
      </c>
      <c r="C3261" s="13">
        <v>2010.0</v>
      </c>
      <c r="D3261" s="11" t="s">
        <v>44</v>
      </c>
      <c r="E3261" s="11">
        <v>18.0</v>
      </c>
      <c r="F3261" s="21" t="s">
        <v>336</v>
      </c>
      <c r="G3261" s="15">
        <v>0.10214708368554526</v>
      </c>
      <c r="H3261" s="11" t="s">
        <v>33</v>
      </c>
      <c r="I3261" s="16">
        <v>1.816</v>
      </c>
      <c r="J3261" s="11" t="s">
        <v>1702</v>
      </c>
      <c r="K3261" s="11" t="s">
        <v>35</v>
      </c>
      <c r="L3261" s="11" t="s">
        <v>41</v>
      </c>
      <c r="M3261" s="11" t="s">
        <v>28</v>
      </c>
      <c r="N3261" s="11" t="s">
        <v>62</v>
      </c>
      <c r="O3261" s="11" t="s">
        <v>1391</v>
      </c>
      <c r="P3261" s="11" t="s">
        <v>58</v>
      </c>
      <c r="Q3261" s="20">
        <v>40382.0</v>
      </c>
      <c r="R3261" s="17">
        <f t="shared" si="2"/>
        <v>10.84965464</v>
      </c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>
        <f t="shared" si="8"/>
        <v>3</v>
      </c>
      <c r="AF3261" s="19">
        <f t="shared" si="13"/>
        <v>2</v>
      </c>
      <c r="AG3261" s="9"/>
      <c r="AH3261" s="9"/>
      <c r="AI3261" s="9"/>
    </row>
    <row r="3262" ht="15.0" customHeight="1">
      <c r="A3262" s="11">
        <v>3261.0</v>
      </c>
      <c r="B3262" s="12">
        <f t="shared" si="523"/>
        <v>40380</v>
      </c>
      <c r="C3262" s="13">
        <v>2010.0</v>
      </c>
      <c r="D3262" s="11" t="s">
        <v>39</v>
      </c>
      <c r="E3262" s="11">
        <v>49.0</v>
      </c>
      <c r="F3262" s="21" t="s">
        <v>610</v>
      </c>
      <c r="G3262" s="15">
        <v>0.06457337883959048</v>
      </c>
      <c r="H3262" s="11" t="s">
        <v>33</v>
      </c>
      <c r="I3262" s="16">
        <v>5.176</v>
      </c>
      <c r="J3262" s="11" t="s">
        <v>2000</v>
      </c>
      <c r="K3262" s="11" t="s">
        <v>35</v>
      </c>
      <c r="L3262" s="11" t="s">
        <v>48</v>
      </c>
      <c r="M3262" s="11" t="s">
        <v>28</v>
      </c>
      <c r="N3262" s="11" t="s">
        <v>56</v>
      </c>
      <c r="O3262" s="11" t="s">
        <v>2006</v>
      </c>
      <c r="P3262" s="11" t="s">
        <v>38</v>
      </c>
      <c r="Q3262" s="20">
        <v>40383.0</v>
      </c>
      <c r="R3262" s="17">
        <f t="shared" si="2"/>
        <v>38.93619768</v>
      </c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>
        <f t="shared" si="8"/>
        <v>4</v>
      </c>
      <c r="AF3262" s="19">
        <f t="shared" si="13"/>
        <v>2</v>
      </c>
      <c r="AG3262" s="9"/>
      <c r="AH3262" s="9"/>
      <c r="AI3262" s="9"/>
    </row>
    <row r="3263" ht="15.0" customHeight="1">
      <c r="A3263" s="11">
        <v>3262.0</v>
      </c>
      <c r="B3263" s="12">
        <f t="shared" si="523"/>
        <v>40380</v>
      </c>
      <c r="C3263" s="13">
        <v>2010.0</v>
      </c>
      <c r="D3263" s="11" t="s">
        <v>39</v>
      </c>
      <c r="E3263" s="11">
        <v>16.0</v>
      </c>
      <c r="F3263" s="21" t="s">
        <v>705</v>
      </c>
      <c r="G3263" s="15">
        <v>0.0337380191693291</v>
      </c>
      <c r="H3263" s="11" t="s">
        <v>33</v>
      </c>
      <c r="I3263" s="16">
        <v>1.2880000000000003</v>
      </c>
      <c r="J3263" s="11" t="s">
        <v>426</v>
      </c>
      <c r="K3263" s="11" t="s">
        <v>61</v>
      </c>
      <c r="L3263" s="11" t="s">
        <v>48</v>
      </c>
      <c r="M3263" s="11" t="s">
        <v>49</v>
      </c>
      <c r="N3263" s="11" t="s">
        <v>73</v>
      </c>
      <c r="O3263" s="11" t="s">
        <v>2091</v>
      </c>
      <c r="P3263" s="11" t="s">
        <v>58</v>
      </c>
      <c r="Q3263" s="20">
        <v>40383.0</v>
      </c>
      <c r="R3263" s="17">
        <f t="shared" si="2"/>
        <v>2.040745304</v>
      </c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>
        <f t="shared" si="8"/>
        <v>4</v>
      </c>
      <c r="AF3263" s="19">
        <f t="shared" si="13"/>
        <v>4</v>
      </c>
      <c r="AG3263" s="9"/>
      <c r="AH3263" s="9"/>
      <c r="AI3263" s="9"/>
    </row>
    <row r="3264" ht="15.0" customHeight="1">
      <c r="A3264" s="11">
        <v>3263.0</v>
      </c>
      <c r="B3264" s="12">
        <f t="shared" si="523"/>
        <v>40380</v>
      </c>
      <c r="C3264" s="13">
        <v>2010.0</v>
      </c>
      <c r="D3264" s="11" t="s">
        <v>44</v>
      </c>
      <c r="E3264" s="11">
        <v>21.0</v>
      </c>
      <c r="F3264" s="21" t="s">
        <v>1038</v>
      </c>
      <c r="G3264" s="15">
        <v>0.012146208940479146</v>
      </c>
      <c r="H3264" s="11" t="s">
        <v>33</v>
      </c>
      <c r="I3264" s="16">
        <v>4.064</v>
      </c>
      <c r="J3264" s="11" t="s">
        <v>919</v>
      </c>
      <c r="K3264" s="11" t="s">
        <v>61</v>
      </c>
      <c r="L3264" s="11" t="s">
        <v>48</v>
      </c>
      <c r="M3264" s="11" t="s">
        <v>28</v>
      </c>
      <c r="N3264" s="11" t="s">
        <v>56</v>
      </c>
      <c r="O3264" s="11" t="s">
        <v>1040</v>
      </c>
      <c r="P3264" s="11" t="s">
        <v>58</v>
      </c>
      <c r="Q3264" s="20">
        <v>40383.0</v>
      </c>
      <c r="R3264" s="17">
        <f t="shared" si="2"/>
        <v>9.716529889</v>
      </c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>
        <f t="shared" si="8"/>
        <v>4</v>
      </c>
      <c r="AF3264" s="19">
        <f t="shared" si="13"/>
        <v>4</v>
      </c>
      <c r="AG3264" s="9"/>
      <c r="AH3264" s="9"/>
      <c r="AI3264" s="9"/>
    </row>
    <row r="3265" ht="15.0" customHeight="1">
      <c r="A3265" s="11">
        <v>3264.0</v>
      </c>
      <c r="B3265" s="12">
        <f t="shared" si="523"/>
        <v>40380</v>
      </c>
      <c r="C3265" s="13">
        <v>2010.0</v>
      </c>
      <c r="D3265" s="11" t="s">
        <v>32</v>
      </c>
      <c r="E3265" s="11">
        <v>29.0</v>
      </c>
      <c r="F3265" s="21" t="s">
        <v>1538</v>
      </c>
      <c r="G3265" s="15">
        <v>0.04082200247218788</v>
      </c>
      <c r="H3265" s="11" t="s">
        <v>33</v>
      </c>
      <c r="I3265" s="16">
        <v>9.24</v>
      </c>
      <c r="J3265" s="11" t="s">
        <v>2064</v>
      </c>
      <c r="K3265" s="11" t="s">
        <v>61</v>
      </c>
      <c r="L3265" s="11" t="s">
        <v>27</v>
      </c>
      <c r="M3265" s="11" t="s">
        <v>28</v>
      </c>
      <c r="N3265" s="11" t="s">
        <v>42</v>
      </c>
      <c r="O3265" s="11" t="s">
        <v>2388</v>
      </c>
      <c r="P3265" s="11" t="s">
        <v>38</v>
      </c>
      <c r="Q3265" s="20">
        <v>40383.0</v>
      </c>
      <c r="R3265" s="17">
        <f t="shared" si="2"/>
        <v>76.02444808</v>
      </c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>
        <f t="shared" si="8"/>
        <v>1</v>
      </c>
      <c r="AF3265" s="19">
        <f t="shared" si="13"/>
        <v>4</v>
      </c>
      <c r="AG3265" s="9"/>
      <c r="AH3265" s="9"/>
      <c r="AI3265" s="9"/>
    </row>
    <row r="3266" ht="15.0" customHeight="1">
      <c r="A3266" s="11">
        <v>3265.0</v>
      </c>
      <c r="B3266" s="12">
        <f t="shared" si="523"/>
        <v>40380</v>
      </c>
      <c r="C3266" s="13">
        <v>2010.0</v>
      </c>
      <c r="D3266" s="11" t="s">
        <v>32</v>
      </c>
      <c r="E3266" s="11">
        <v>13.0</v>
      </c>
      <c r="F3266" s="21" t="s">
        <v>1187</v>
      </c>
      <c r="G3266" s="15">
        <v>0.09468827930174574</v>
      </c>
      <c r="H3266" s="11" t="s">
        <v>33</v>
      </c>
      <c r="I3266" s="16">
        <v>4.424</v>
      </c>
      <c r="J3266" s="11" t="s">
        <v>2064</v>
      </c>
      <c r="K3266" s="11" t="s">
        <v>61</v>
      </c>
      <c r="L3266" s="11" t="s">
        <v>27</v>
      </c>
      <c r="M3266" s="11" t="s">
        <v>28</v>
      </c>
      <c r="N3266" s="11" t="s">
        <v>62</v>
      </c>
      <c r="O3266" s="11" t="s">
        <v>1188</v>
      </c>
      <c r="P3266" s="11" t="s">
        <v>99</v>
      </c>
      <c r="Q3266" s="20">
        <v>40383.0</v>
      </c>
      <c r="R3266" s="17">
        <f t="shared" si="2"/>
        <v>27.49974883</v>
      </c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>
        <f t="shared" si="8"/>
        <v>1</v>
      </c>
      <c r="AF3266" s="19">
        <f t="shared" si="13"/>
        <v>4</v>
      </c>
      <c r="AG3266" s="9"/>
      <c r="AH3266" s="9"/>
      <c r="AI3266" s="9"/>
    </row>
    <row r="3267" ht="15.0" customHeight="1">
      <c r="A3267" s="11">
        <v>3266.0</v>
      </c>
      <c r="B3267" s="12">
        <f t="shared" si="523"/>
        <v>40380</v>
      </c>
      <c r="C3267" s="13">
        <v>2010.0</v>
      </c>
      <c r="D3267" s="11" t="s">
        <v>32</v>
      </c>
      <c r="E3267" s="11">
        <v>42.0</v>
      </c>
      <c r="F3267" s="21" t="s">
        <v>2160</v>
      </c>
      <c r="G3267" s="15">
        <v>0.010909942433408207</v>
      </c>
      <c r="H3267" s="11" t="s">
        <v>33</v>
      </c>
      <c r="I3267" s="16">
        <v>15.991999999999999</v>
      </c>
      <c r="J3267" s="11" t="s">
        <v>2064</v>
      </c>
      <c r="K3267" s="11" t="s">
        <v>61</v>
      </c>
      <c r="L3267" s="11" t="s">
        <v>27</v>
      </c>
      <c r="M3267" s="11" t="s">
        <v>28</v>
      </c>
      <c r="N3267" s="11" t="s">
        <v>29</v>
      </c>
      <c r="O3267" s="11" t="s">
        <v>2161</v>
      </c>
      <c r="P3267" s="11" t="s">
        <v>38</v>
      </c>
      <c r="Q3267" s="20">
        <v>40383.0</v>
      </c>
      <c r="R3267" s="17">
        <f t="shared" si="2"/>
        <v>55.29804694</v>
      </c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>
        <f t="shared" si="8"/>
        <v>1</v>
      </c>
      <c r="AF3267" s="19">
        <f t="shared" si="13"/>
        <v>4</v>
      </c>
      <c r="AG3267" s="9"/>
      <c r="AH3267" s="9"/>
      <c r="AI3267" s="9"/>
    </row>
    <row r="3268" ht="15.0" customHeight="1">
      <c r="A3268" s="11">
        <v>3267.0</v>
      </c>
      <c r="B3268" s="12">
        <f t="shared" si="523"/>
        <v>40380</v>
      </c>
      <c r="C3268" s="13">
        <v>2010.0</v>
      </c>
      <c r="D3268" s="11" t="s">
        <v>39</v>
      </c>
      <c r="E3268" s="11">
        <v>24.0</v>
      </c>
      <c r="F3268" s="21" t="s">
        <v>1774</v>
      </c>
      <c r="G3268" s="15">
        <v>0.04055631896731198</v>
      </c>
      <c r="H3268" s="11" t="s">
        <v>33</v>
      </c>
      <c r="I3268" s="16">
        <v>14.504</v>
      </c>
      <c r="J3268" s="11" t="s">
        <v>1621</v>
      </c>
      <c r="K3268" s="11" t="s">
        <v>35</v>
      </c>
      <c r="L3268" s="11" t="s">
        <v>41</v>
      </c>
      <c r="M3268" s="11" t="s">
        <v>49</v>
      </c>
      <c r="N3268" s="11" t="s">
        <v>73</v>
      </c>
      <c r="O3268" s="11" t="s">
        <v>2389</v>
      </c>
      <c r="P3268" s="11" t="s">
        <v>31</v>
      </c>
      <c r="Q3268" s="20">
        <v>40383.0</v>
      </c>
      <c r="R3268" s="17">
        <f t="shared" si="2"/>
        <v>93.44597676</v>
      </c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>
        <f t="shared" si="8"/>
        <v>3</v>
      </c>
      <c r="AF3268" s="19">
        <f t="shared" si="13"/>
        <v>2</v>
      </c>
      <c r="AG3268" s="9"/>
      <c r="AH3268" s="9"/>
      <c r="AI3268" s="9"/>
    </row>
    <row r="3269" ht="15.0" customHeight="1">
      <c r="A3269" s="11">
        <v>3268.0</v>
      </c>
      <c r="B3269" s="12">
        <f t="shared" ref="B3269:B3273" si="524">DATE(2012,12,31)-893</f>
        <v>40381</v>
      </c>
      <c r="C3269" s="13">
        <v>2010.0</v>
      </c>
      <c r="D3269" s="11" t="s">
        <v>23</v>
      </c>
      <c r="E3269" s="11">
        <v>4.0</v>
      </c>
      <c r="F3269" s="21" t="s">
        <v>790</v>
      </c>
      <c r="G3269" s="15">
        <v>0.016393442622950775</v>
      </c>
      <c r="H3269" s="11" t="s">
        <v>24</v>
      </c>
      <c r="I3269" s="16">
        <v>3.2</v>
      </c>
      <c r="J3269" s="11" t="s">
        <v>2276</v>
      </c>
      <c r="K3269" s="11" t="s">
        <v>65</v>
      </c>
      <c r="L3269" s="11" t="s">
        <v>36</v>
      </c>
      <c r="M3269" s="11" t="s">
        <v>66</v>
      </c>
      <c r="N3269" s="11" t="s">
        <v>67</v>
      </c>
      <c r="O3269" s="11" t="s">
        <v>791</v>
      </c>
      <c r="P3269" s="11" t="s">
        <v>38</v>
      </c>
      <c r="Q3269" s="20">
        <v>40383.0</v>
      </c>
      <c r="R3269" s="17">
        <f t="shared" si="2"/>
        <v>2.06557377</v>
      </c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>
        <f t="shared" si="8"/>
        <v>2</v>
      </c>
      <c r="AF3269" s="19">
        <f t="shared" si="13"/>
        <v>5</v>
      </c>
      <c r="AG3269" s="9"/>
      <c r="AH3269" s="9"/>
      <c r="AI3269" s="9"/>
    </row>
    <row r="3270" ht="15.0" customHeight="1">
      <c r="A3270" s="11">
        <v>3269.0</v>
      </c>
      <c r="B3270" s="12">
        <f t="shared" si="524"/>
        <v>40381</v>
      </c>
      <c r="C3270" s="13">
        <v>2010.0</v>
      </c>
      <c r="D3270" s="11" t="s">
        <v>23</v>
      </c>
      <c r="E3270" s="11">
        <v>24.0</v>
      </c>
      <c r="F3270" s="21" t="s">
        <v>683</v>
      </c>
      <c r="G3270" s="15">
        <v>0.06791518995212326</v>
      </c>
      <c r="H3270" s="11" t="s">
        <v>24</v>
      </c>
      <c r="I3270" s="16">
        <v>8.672</v>
      </c>
      <c r="J3270" s="11" t="s">
        <v>2276</v>
      </c>
      <c r="K3270" s="11" t="s">
        <v>65</v>
      </c>
      <c r="L3270" s="11" t="s">
        <v>36</v>
      </c>
      <c r="M3270" s="11" t="s">
        <v>49</v>
      </c>
      <c r="N3270" s="11" t="s">
        <v>73</v>
      </c>
      <c r="O3270" s="11" t="s">
        <v>684</v>
      </c>
      <c r="P3270" s="11" t="s">
        <v>75</v>
      </c>
      <c r="Q3270" s="20">
        <v>40383.0</v>
      </c>
      <c r="R3270" s="17">
        <f t="shared" si="2"/>
        <v>101.8097596</v>
      </c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>
        <f t="shared" si="8"/>
        <v>2</v>
      </c>
      <c r="AF3270" s="19">
        <f t="shared" si="13"/>
        <v>5</v>
      </c>
      <c r="AG3270" s="9"/>
      <c r="AH3270" s="9"/>
      <c r="AI3270" s="9"/>
    </row>
    <row r="3271" ht="15.0" customHeight="1">
      <c r="A3271" s="11">
        <v>3270.0</v>
      </c>
      <c r="B3271" s="12">
        <f t="shared" si="524"/>
        <v>40381</v>
      </c>
      <c r="C3271" s="13">
        <v>2010.0</v>
      </c>
      <c r="D3271" s="11" t="s">
        <v>23</v>
      </c>
      <c r="E3271" s="11">
        <v>19.0</v>
      </c>
      <c r="F3271" s="21" t="s">
        <v>846</v>
      </c>
      <c r="G3271" s="15">
        <v>0.08388434477786338</v>
      </c>
      <c r="H3271" s="11" t="s">
        <v>24</v>
      </c>
      <c r="I3271" s="16">
        <v>15.991999999999999</v>
      </c>
      <c r="J3271" s="11" t="s">
        <v>2276</v>
      </c>
      <c r="K3271" s="11" t="s">
        <v>65</v>
      </c>
      <c r="L3271" s="11" t="s">
        <v>36</v>
      </c>
      <c r="M3271" s="11" t="s">
        <v>28</v>
      </c>
      <c r="N3271" s="11" t="s">
        <v>29</v>
      </c>
      <c r="O3271" s="11" t="s">
        <v>847</v>
      </c>
      <c r="P3271" s="11" t="s">
        <v>38</v>
      </c>
      <c r="Q3271" s="20">
        <v>40383.0</v>
      </c>
      <c r="R3271" s="17">
        <f t="shared" si="2"/>
        <v>309.104751</v>
      </c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>
        <f t="shared" si="8"/>
        <v>2</v>
      </c>
      <c r="AF3271" s="19">
        <f t="shared" si="13"/>
        <v>5</v>
      </c>
      <c r="AG3271" s="9"/>
      <c r="AH3271" s="9"/>
      <c r="AI3271" s="9"/>
    </row>
    <row r="3272" ht="15.0" customHeight="1">
      <c r="A3272" s="11">
        <v>3271.0</v>
      </c>
      <c r="B3272" s="12">
        <f t="shared" si="524"/>
        <v>40381</v>
      </c>
      <c r="C3272" s="13">
        <v>2010.0</v>
      </c>
      <c r="D3272" s="11" t="s">
        <v>102</v>
      </c>
      <c r="E3272" s="11">
        <v>7.0</v>
      </c>
      <c r="F3272" s="21" t="s">
        <v>270</v>
      </c>
      <c r="G3272" s="15">
        <v>0.07903645007923923</v>
      </c>
      <c r="H3272" s="11" t="s">
        <v>33</v>
      </c>
      <c r="I3272" s="16">
        <v>4.264</v>
      </c>
      <c r="J3272" s="11" t="s">
        <v>1887</v>
      </c>
      <c r="K3272" s="11" t="s">
        <v>61</v>
      </c>
      <c r="L3272" s="11" t="s">
        <v>36</v>
      </c>
      <c r="M3272" s="11" t="s">
        <v>28</v>
      </c>
      <c r="N3272" s="11" t="s">
        <v>197</v>
      </c>
      <c r="O3272" s="11" t="s">
        <v>2390</v>
      </c>
      <c r="P3272" s="11" t="s">
        <v>38</v>
      </c>
      <c r="Q3272" s="20">
        <v>40384.0</v>
      </c>
      <c r="R3272" s="17">
        <f t="shared" si="2"/>
        <v>22.96514708</v>
      </c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>
        <f t="shared" si="8"/>
        <v>2</v>
      </c>
      <c r="AF3272" s="19">
        <f t="shared" si="13"/>
        <v>4</v>
      </c>
      <c r="AG3272" s="9"/>
      <c r="AH3272" s="9"/>
      <c r="AI3272" s="9"/>
    </row>
    <row r="3273" ht="15.0" customHeight="1">
      <c r="A3273" s="11">
        <v>3272.0</v>
      </c>
      <c r="B3273" s="12">
        <f t="shared" si="524"/>
        <v>40381</v>
      </c>
      <c r="C3273" s="13">
        <v>2010.0</v>
      </c>
      <c r="D3273" s="11" t="s">
        <v>32</v>
      </c>
      <c r="E3273" s="11">
        <v>18.0</v>
      </c>
      <c r="F3273" s="21" t="s">
        <v>204</v>
      </c>
      <c r="G3273" s="15">
        <v>0.1119424460431654</v>
      </c>
      <c r="H3273" s="11" t="s">
        <v>33</v>
      </c>
      <c r="I3273" s="16">
        <v>0.776</v>
      </c>
      <c r="J3273" s="11" t="s">
        <v>2318</v>
      </c>
      <c r="K3273" s="11" t="s">
        <v>35</v>
      </c>
      <c r="L3273" s="11" t="s">
        <v>27</v>
      </c>
      <c r="M3273" s="11" t="s">
        <v>28</v>
      </c>
      <c r="N3273" s="11" t="s">
        <v>62</v>
      </c>
      <c r="O3273" s="11" t="s">
        <v>206</v>
      </c>
      <c r="P3273" s="11" t="s">
        <v>58</v>
      </c>
      <c r="Q3273" s="20">
        <v>40384.0</v>
      </c>
      <c r="R3273" s="17">
        <f t="shared" si="2"/>
        <v>5.527270216</v>
      </c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>
        <f t="shared" si="8"/>
        <v>1</v>
      </c>
      <c r="AF3273" s="19">
        <f t="shared" si="13"/>
        <v>2</v>
      </c>
      <c r="AG3273" s="9"/>
      <c r="AH3273" s="9"/>
      <c r="AI3273" s="9"/>
    </row>
    <row r="3274" ht="15.0" customHeight="1">
      <c r="A3274" s="11">
        <v>3273.0</v>
      </c>
      <c r="B3274" s="12">
        <f t="shared" ref="B3274:B3282" si="525">DATE(2012,12,31)-892</f>
        <v>40382</v>
      </c>
      <c r="C3274" s="13">
        <v>2010.0</v>
      </c>
      <c r="D3274" s="11" t="s">
        <v>44</v>
      </c>
      <c r="E3274" s="11">
        <v>47.0</v>
      </c>
      <c r="F3274" s="21" t="s">
        <v>1782</v>
      </c>
      <c r="G3274" s="15">
        <v>0.09361401087050301</v>
      </c>
      <c r="H3274" s="11" t="s">
        <v>33</v>
      </c>
      <c r="I3274" s="16">
        <v>7.192</v>
      </c>
      <c r="J3274" s="11" t="s">
        <v>494</v>
      </c>
      <c r="K3274" s="11" t="s">
        <v>83</v>
      </c>
      <c r="L3274" s="11" t="s">
        <v>48</v>
      </c>
      <c r="M3274" s="11" t="s">
        <v>49</v>
      </c>
      <c r="N3274" s="11" t="s">
        <v>73</v>
      </c>
      <c r="O3274" s="11" t="s">
        <v>2134</v>
      </c>
      <c r="P3274" s="11" t="s">
        <v>99</v>
      </c>
      <c r="Q3274" s="20">
        <v>40384.0</v>
      </c>
      <c r="R3274" s="17">
        <f t="shared" si="2"/>
        <v>98.35013091</v>
      </c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>
        <f t="shared" si="8"/>
        <v>4</v>
      </c>
      <c r="AF3274" s="19" t="b">
        <f t="shared" si="13"/>
        <v>0</v>
      </c>
      <c r="AG3274" s="9"/>
      <c r="AH3274" s="9"/>
      <c r="AI3274" s="9"/>
    </row>
    <row r="3275" ht="15.0" customHeight="1">
      <c r="A3275" s="11">
        <v>3274.0</v>
      </c>
      <c r="B3275" s="12">
        <f t="shared" si="525"/>
        <v>40382</v>
      </c>
      <c r="C3275" s="13">
        <v>2010.0</v>
      </c>
      <c r="D3275" s="11" t="s">
        <v>44</v>
      </c>
      <c r="E3275" s="11">
        <v>37.0</v>
      </c>
      <c r="F3275" s="21" t="s">
        <v>100</v>
      </c>
      <c r="G3275" s="15">
        <v>0.01056300198523394</v>
      </c>
      <c r="H3275" s="11" t="s">
        <v>33</v>
      </c>
      <c r="I3275" s="16">
        <v>7.192</v>
      </c>
      <c r="J3275" s="11" t="s">
        <v>494</v>
      </c>
      <c r="K3275" s="11" t="s">
        <v>83</v>
      </c>
      <c r="L3275" s="11" t="s">
        <v>48</v>
      </c>
      <c r="M3275" s="11" t="s">
        <v>66</v>
      </c>
      <c r="N3275" s="11" t="s">
        <v>80</v>
      </c>
      <c r="O3275" s="11" t="s">
        <v>614</v>
      </c>
      <c r="P3275" s="11" t="s">
        <v>38</v>
      </c>
      <c r="Q3275" s="20">
        <v>40384.0</v>
      </c>
      <c r="R3275" s="17">
        <f t="shared" si="2"/>
        <v>80.54808713</v>
      </c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>
        <f t="shared" si="8"/>
        <v>4</v>
      </c>
      <c r="AF3275" s="19" t="b">
        <f t="shared" si="13"/>
        <v>0</v>
      </c>
      <c r="AG3275" s="9"/>
      <c r="AH3275" s="9"/>
      <c r="AI3275" s="9"/>
    </row>
    <row r="3276" ht="15.0" customHeight="1">
      <c r="A3276" s="11">
        <v>3275.0</v>
      </c>
      <c r="B3276" s="12">
        <f t="shared" si="525"/>
        <v>40382</v>
      </c>
      <c r="C3276" s="13">
        <v>2010.0</v>
      </c>
      <c r="D3276" s="11" t="s">
        <v>39</v>
      </c>
      <c r="E3276" s="11">
        <v>12.0</v>
      </c>
      <c r="F3276" s="21" t="s">
        <v>115</v>
      </c>
      <c r="G3276" s="15">
        <v>0.02415139284060066</v>
      </c>
      <c r="H3276" s="11" t="s">
        <v>45</v>
      </c>
      <c r="I3276" s="16">
        <v>24.0</v>
      </c>
      <c r="J3276" s="11" t="s">
        <v>1196</v>
      </c>
      <c r="K3276" s="11" t="s">
        <v>61</v>
      </c>
      <c r="L3276" s="11" t="s">
        <v>41</v>
      </c>
      <c r="M3276" s="11" t="s">
        <v>49</v>
      </c>
      <c r="N3276" s="11" t="s">
        <v>50</v>
      </c>
      <c r="O3276" s="11" t="s">
        <v>1402</v>
      </c>
      <c r="P3276" s="11" t="s">
        <v>52</v>
      </c>
      <c r="Q3276" s="20">
        <v>40384.0</v>
      </c>
      <c r="R3276" s="17">
        <f t="shared" si="2"/>
        <v>35.61847416</v>
      </c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>
        <f t="shared" si="8"/>
        <v>3</v>
      </c>
      <c r="AF3276" s="19">
        <f t="shared" si="13"/>
        <v>4</v>
      </c>
      <c r="AG3276" s="9"/>
      <c r="AH3276" s="9"/>
      <c r="AI3276" s="9"/>
    </row>
    <row r="3277" ht="15.0" customHeight="1">
      <c r="A3277" s="11">
        <v>3276.0</v>
      </c>
      <c r="B3277" s="12">
        <f t="shared" si="525"/>
        <v>40382</v>
      </c>
      <c r="C3277" s="13">
        <v>2010.0</v>
      </c>
      <c r="D3277" s="11" t="s">
        <v>39</v>
      </c>
      <c r="E3277" s="11">
        <v>33.0</v>
      </c>
      <c r="F3277" s="21" t="s">
        <v>605</v>
      </c>
      <c r="G3277" s="15">
        <v>0.09130230739147441</v>
      </c>
      <c r="H3277" s="11" t="s">
        <v>33</v>
      </c>
      <c r="I3277" s="16">
        <v>6.008</v>
      </c>
      <c r="J3277" s="11" t="s">
        <v>1196</v>
      </c>
      <c r="K3277" s="11" t="s">
        <v>61</v>
      </c>
      <c r="L3277" s="11" t="s">
        <v>41</v>
      </c>
      <c r="M3277" s="11" t="s">
        <v>66</v>
      </c>
      <c r="N3277" s="11" t="s">
        <v>69</v>
      </c>
      <c r="O3277" s="11" t="s">
        <v>607</v>
      </c>
      <c r="P3277" s="11" t="s">
        <v>75</v>
      </c>
      <c r="Q3277" s="20">
        <v>40384.0</v>
      </c>
      <c r="R3277" s="17">
        <f t="shared" si="2"/>
        <v>42.42891266</v>
      </c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>
        <f t="shared" si="8"/>
        <v>3</v>
      </c>
      <c r="AF3277" s="19">
        <f t="shared" si="13"/>
        <v>4</v>
      </c>
      <c r="AG3277" s="9"/>
      <c r="AH3277" s="9"/>
      <c r="AI3277" s="9"/>
    </row>
    <row r="3278" ht="15.0" customHeight="1">
      <c r="A3278" s="11">
        <v>3277.0</v>
      </c>
      <c r="B3278" s="12">
        <f t="shared" si="525"/>
        <v>40382</v>
      </c>
      <c r="C3278" s="13">
        <v>2010.0</v>
      </c>
      <c r="D3278" s="11" t="s">
        <v>32</v>
      </c>
      <c r="E3278" s="11">
        <v>3.0</v>
      </c>
      <c r="F3278" s="21" t="s">
        <v>1791</v>
      </c>
      <c r="G3278" s="15">
        <v>0.037808219178082046</v>
      </c>
      <c r="H3278" s="11" t="s">
        <v>33</v>
      </c>
      <c r="I3278" s="16">
        <v>2.8960000000000004</v>
      </c>
      <c r="J3278" s="11" t="s">
        <v>2095</v>
      </c>
      <c r="K3278" s="11" t="s">
        <v>35</v>
      </c>
      <c r="L3278" s="11" t="s">
        <v>36</v>
      </c>
      <c r="M3278" s="11" t="s">
        <v>66</v>
      </c>
      <c r="N3278" s="11" t="s">
        <v>67</v>
      </c>
      <c r="O3278" s="11" t="s">
        <v>2118</v>
      </c>
      <c r="P3278" s="11" t="s">
        <v>99</v>
      </c>
      <c r="Q3278" s="20">
        <v>40384.0</v>
      </c>
      <c r="R3278" s="17">
        <f t="shared" si="2"/>
        <v>1.062259726</v>
      </c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>
        <f t="shared" si="8"/>
        <v>2</v>
      </c>
      <c r="AF3278" s="19">
        <f t="shared" si="13"/>
        <v>2</v>
      </c>
      <c r="AG3278" s="9"/>
      <c r="AH3278" s="9"/>
      <c r="AI3278" s="9"/>
    </row>
    <row r="3279" ht="15.0" customHeight="1">
      <c r="A3279" s="11">
        <v>3278.0</v>
      </c>
      <c r="B3279" s="12">
        <f t="shared" si="525"/>
        <v>40382</v>
      </c>
      <c r="C3279" s="13">
        <v>2010.0</v>
      </c>
      <c r="D3279" s="11" t="s">
        <v>32</v>
      </c>
      <c r="E3279" s="11">
        <v>3.0</v>
      </c>
      <c r="F3279" s="21" t="s">
        <v>350</v>
      </c>
      <c r="G3279" s="15">
        <v>0.0781795817958179</v>
      </c>
      <c r="H3279" s="11" t="s">
        <v>33</v>
      </c>
      <c r="I3279" s="16">
        <v>6.5440000000000005</v>
      </c>
      <c r="J3279" s="11" t="s">
        <v>2095</v>
      </c>
      <c r="K3279" s="11" t="s">
        <v>35</v>
      </c>
      <c r="L3279" s="11" t="s">
        <v>36</v>
      </c>
      <c r="M3279" s="11" t="s">
        <v>28</v>
      </c>
      <c r="N3279" s="11" t="s">
        <v>56</v>
      </c>
      <c r="O3279" s="11" t="s">
        <v>351</v>
      </c>
      <c r="P3279" s="11" t="s">
        <v>38</v>
      </c>
      <c r="Q3279" s="20">
        <v>40384.0</v>
      </c>
      <c r="R3279" s="17">
        <f t="shared" si="2"/>
        <v>5.859090578</v>
      </c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>
        <f t="shared" si="8"/>
        <v>2</v>
      </c>
      <c r="AF3279" s="19">
        <f t="shared" si="13"/>
        <v>2</v>
      </c>
      <c r="AG3279" s="9"/>
      <c r="AH3279" s="9"/>
      <c r="AI3279" s="9"/>
    </row>
    <row r="3280" ht="15.0" customHeight="1">
      <c r="A3280" s="11">
        <v>3279.0</v>
      </c>
      <c r="B3280" s="12">
        <f t="shared" si="525"/>
        <v>40382</v>
      </c>
      <c r="C3280" s="13">
        <v>2010.0</v>
      </c>
      <c r="D3280" s="11" t="s">
        <v>32</v>
      </c>
      <c r="E3280" s="11">
        <v>38.0</v>
      </c>
      <c r="F3280" s="21" t="s">
        <v>668</v>
      </c>
      <c r="G3280" s="15">
        <v>0.03359593392630248</v>
      </c>
      <c r="H3280" s="11" t="s">
        <v>33</v>
      </c>
      <c r="I3280" s="16">
        <v>4.024</v>
      </c>
      <c r="J3280" s="11" t="s">
        <v>2095</v>
      </c>
      <c r="K3280" s="11" t="s">
        <v>35</v>
      </c>
      <c r="L3280" s="11" t="s">
        <v>36</v>
      </c>
      <c r="M3280" s="11" t="s">
        <v>66</v>
      </c>
      <c r="N3280" s="11" t="s">
        <v>80</v>
      </c>
      <c r="O3280" s="11" t="s">
        <v>1603</v>
      </c>
      <c r="P3280" s="11" t="s">
        <v>75</v>
      </c>
      <c r="Q3280" s="20">
        <v>40384.0</v>
      </c>
      <c r="R3280" s="17">
        <f t="shared" si="2"/>
        <v>10.2206894</v>
      </c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>
        <f t="shared" si="8"/>
        <v>2</v>
      </c>
      <c r="AF3280" s="19">
        <f t="shared" si="13"/>
        <v>2</v>
      </c>
      <c r="AG3280" s="9"/>
      <c r="AH3280" s="9"/>
      <c r="AI3280" s="9"/>
    </row>
    <row r="3281" ht="15.0" customHeight="1">
      <c r="A3281" s="11">
        <v>3280.0</v>
      </c>
      <c r="B3281" s="12">
        <f t="shared" si="525"/>
        <v>40382</v>
      </c>
      <c r="C3281" s="13">
        <v>2010.0</v>
      </c>
      <c r="D3281" s="11" t="s">
        <v>44</v>
      </c>
      <c r="E3281" s="11">
        <v>10.0</v>
      </c>
      <c r="F3281" s="21" t="s">
        <v>422</v>
      </c>
      <c r="G3281" s="15">
        <v>0.035833509828245146</v>
      </c>
      <c r="H3281" s="11" t="s">
        <v>33</v>
      </c>
      <c r="I3281" s="16">
        <v>3.6</v>
      </c>
      <c r="J3281" s="11" t="s">
        <v>370</v>
      </c>
      <c r="K3281" s="11" t="s">
        <v>65</v>
      </c>
      <c r="L3281" s="11" t="s">
        <v>41</v>
      </c>
      <c r="M3281" s="11" t="s">
        <v>28</v>
      </c>
      <c r="N3281" s="11" t="s">
        <v>197</v>
      </c>
      <c r="O3281" s="11" t="s">
        <v>2225</v>
      </c>
      <c r="P3281" s="11" t="s">
        <v>38</v>
      </c>
      <c r="Q3281" s="20">
        <v>40384.0</v>
      </c>
      <c r="R3281" s="17">
        <f t="shared" si="2"/>
        <v>29.11831009</v>
      </c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>
        <f t="shared" si="8"/>
        <v>3</v>
      </c>
      <c r="AF3281" s="19">
        <f t="shared" si="13"/>
        <v>5</v>
      </c>
      <c r="AG3281" s="9"/>
      <c r="AH3281" s="9"/>
      <c r="AI3281" s="9"/>
    </row>
    <row r="3282" ht="15.0" customHeight="1">
      <c r="A3282" s="11">
        <v>3281.0</v>
      </c>
      <c r="B3282" s="12">
        <f t="shared" si="525"/>
        <v>40382</v>
      </c>
      <c r="C3282" s="13">
        <v>2010.0</v>
      </c>
      <c r="D3282" s="11" t="s">
        <v>44</v>
      </c>
      <c r="E3282" s="11">
        <v>12.0</v>
      </c>
      <c r="F3282" s="21" t="s">
        <v>287</v>
      </c>
      <c r="G3282" s="15">
        <v>0.039514516240259104</v>
      </c>
      <c r="H3282" s="11" t="s">
        <v>24</v>
      </c>
      <c r="I3282" s="16">
        <v>2.0</v>
      </c>
      <c r="J3282" s="11" t="s">
        <v>1527</v>
      </c>
      <c r="K3282" s="11" t="s">
        <v>47</v>
      </c>
      <c r="L3282" s="11" t="s">
        <v>27</v>
      </c>
      <c r="M3282" s="11" t="s">
        <v>66</v>
      </c>
      <c r="N3282" s="11" t="s">
        <v>80</v>
      </c>
      <c r="O3282" s="11" t="s">
        <v>2088</v>
      </c>
      <c r="P3282" s="11" t="s">
        <v>38</v>
      </c>
      <c r="Q3282" s="20">
        <v>40385.0</v>
      </c>
      <c r="R3282" s="17">
        <f t="shared" si="2"/>
        <v>55.03581822</v>
      </c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>
        <f t="shared" si="8"/>
        <v>1</v>
      </c>
      <c r="AF3282" s="19">
        <f t="shared" si="13"/>
        <v>3</v>
      </c>
      <c r="AG3282" s="9"/>
      <c r="AH3282" s="9"/>
      <c r="AI3282" s="9"/>
    </row>
    <row r="3283" ht="15.0" customHeight="1">
      <c r="A3283" s="11">
        <v>3282.0</v>
      </c>
      <c r="B3283" s="12">
        <f t="shared" ref="B3283:B3291" si="526">DATE(2012,12,31)-891</f>
        <v>40383</v>
      </c>
      <c r="C3283" s="13">
        <v>2010.0</v>
      </c>
      <c r="D3283" s="11" t="s">
        <v>44</v>
      </c>
      <c r="E3283" s="11">
        <v>48.0</v>
      </c>
      <c r="F3283" s="21" t="s">
        <v>103</v>
      </c>
      <c r="G3283" s="15">
        <v>0.05582761998041125</v>
      </c>
      <c r="H3283" s="11" t="s">
        <v>24</v>
      </c>
      <c r="I3283" s="16">
        <v>6.0</v>
      </c>
      <c r="J3283" s="11" t="s">
        <v>780</v>
      </c>
      <c r="K3283" s="11" t="s">
        <v>83</v>
      </c>
      <c r="L3283" s="11" t="s">
        <v>48</v>
      </c>
      <c r="M3283" s="11" t="s">
        <v>28</v>
      </c>
      <c r="N3283" s="11" t="s">
        <v>56</v>
      </c>
      <c r="O3283" s="11" t="s">
        <v>1701</v>
      </c>
      <c r="P3283" s="11" t="s">
        <v>38</v>
      </c>
      <c r="Q3283" s="20">
        <v>40385.0</v>
      </c>
      <c r="R3283" s="17">
        <f t="shared" si="2"/>
        <v>16.1453477</v>
      </c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>
        <f t="shared" si="8"/>
        <v>4</v>
      </c>
      <c r="AF3283" s="19" t="b">
        <f t="shared" si="13"/>
        <v>0</v>
      </c>
      <c r="AG3283" s="9"/>
      <c r="AH3283" s="9"/>
      <c r="AI3283" s="9"/>
    </row>
    <row r="3284" ht="15.0" customHeight="1">
      <c r="A3284" s="11">
        <v>3283.0</v>
      </c>
      <c r="B3284" s="12">
        <f t="shared" si="526"/>
        <v>40383</v>
      </c>
      <c r="C3284" s="13">
        <v>2010.0</v>
      </c>
      <c r="D3284" s="11" t="s">
        <v>102</v>
      </c>
      <c r="E3284" s="11">
        <v>21.0</v>
      </c>
      <c r="F3284" s="21" t="s">
        <v>638</v>
      </c>
      <c r="G3284" s="15">
        <v>0.09765533411488861</v>
      </c>
      <c r="H3284" s="11" t="s">
        <v>24</v>
      </c>
      <c r="I3284" s="16">
        <v>4.84</v>
      </c>
      <c r="J3284" s="11" t="s">
        <v>488</v>
      </c>
      <c r="K3284" s="11" t="s">
        <v>61</v>
      </c>
      <c r="L3284" s="11" t="s">
        <v>48</v>
      </c>
      <c r="M3284" s="11" t="s">
        <v>28</v>
      </c>
      <c r="N3284" s="11" t="s">
        <v>42</v>
      </c>
      <c r="O3284" s="11" t="s">
        <v>640</v>
      </c>
      <c r="P3284" s="11" t="s">
        <v>38</v>
      </c>
      <c r="Q3284" s="20">
        <v>40385.0</v>
      </c>
      <c r="R3284" s="17">
        <f t="shared" si="2"/>
        <v>15.03306213</v>
      </c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>
        <f t="shared" si="8"/>
        <v>4</v>
      </c>
      <c r="AF3284" s="19">
        <f t="shared" si="13"/>
        <v>4</v>
      </c>
      <c r="AG3284" s="9"/>
      <c r="AH3284" s="9"/>
      <c r="AI3284" s="9"/>
    </row>
    <row r="3285" ht="15.0" customHeight="1">
      <c r="A3285" s="11">
        <v>3284.0</v>
      </c>
      <c r="B3285" s="12">
        <f t="shared" si="526"/>
        <v>40383</v>
      </c>
      <c r="C3285" s="13">
        <v>2010.0</v>
      </c>
      <c r="D3285" s="11" t="s">
        <v>102</v>
      </c>
      <c r="E3285" s="11">
        <v>13.0</v>
      </c>
      <c r="F3285" s="21" t="s">
        <v>1437</v>
      </c>
      <c r="G3285" s="15">
        <v>0.06910162440570533</v>
      </c>
      <c r="H3285" s="11" t="s">
        <v>45</v>
      </c>
      <c r="I3285" s="16">
        <v>55.64</v>
      </c>
      <c r="J3285" s="11" t="s">
        <v>488</v>
      </c>
      <c r="K3285" s="11" t="s">
        <v>61</v>
      </c>
      <c r="L3285" s="11" t="s">
        <v>48</v>
      </c>
      <c r="M3285" s="11" t="s">
        <v>49</v>
      </c>
      <c r="N3285" s="11" t="s">
        <v>50</v>
      </c>
      <c r="O3285" s="11" t="s">
        <v>1438</v>
      </c>
      <c r="P3285" s="11" t="s">
        <v>52</v>
      </c>
      <c r="Q3285" s="20">
        <v>40385.0</v>
      </c>
      <c r="R3285" s="17">
        <f t="shared" si="2"/>
        <v>259.7765007</v>
      </c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>
        <f t="shared" si="8"/>
        <v>4</v>
      </c>
      <c r="AF3285" s="19">
        <f t="shared" si="13"/>
        <v>4</v>
      </c>
      <c r="AG3285" s="9"/>
      <c r="AH3285" s="9"/>
      <c r="AI3285" s="9"/>
    </row>
    <row r="3286" ht="15.0" customHeight="1">
      <c r="A3286" s="11">
        <v>3285.0</v>
      </c>
      <c r="B3286" s="12">
        <f t="shared" si="526"/>
        <v>40383</v>
      </c>
      <c r="C3286" s="13">
        <v>2010.0</v>
      </c>
      <c r="D3286" s="11" t="s">
        <v>102</v>
      </c>
      <c r="E3286" s="11">
        <v>45.0</v>
      </c>
      <c r="F3286" s="21" t="s">
        <v>802</v>
      </c>
      <c r="G3286" s="15">
        <v>0.029610212629511516</v>
      </c>
      <c r="H3286" s="11" t="s">
        <v>24</v>
      </c>
      <c r="I3286" s="16">
        <v>4.648</v>
      </c>
      <c r="J3286" s="11" t="s">
        <v>488</v>
      </c>
      <c r="K3286" s="11" t="s">
        <v>61</v>
      </c>
      <c r="L3286" s="11" t="s">
        <v>48</v>
      </c>
      <c r="M3286" s="11" t="s">
        <v>49</v>
      </c>
      <c r="N3286" s="11" t="s">
        <v>73</v>
      </c>
      <c r="O3286" s="11" t="s">
        <v>804</v>
      </c>
      <c r="P3286" s="11" t="s">
        <v>75</v>
      </c>
      <c r="Q3286" s="20">
        <v>40386.0</v>
      </c>
      <c r="R3286" s="17">
        <f t="shared" si="2"/>
        <v>143.3770319</v>
      </c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>
        <f t="shared" si="8"/>
        <v>4</v>
      </c>
      <c r="AF3286" s="19">
        <f t="shared" si="13"/>
        <v>4</v>
      </c>
      <c r="AG3286" s="9"/>
      <c r="AH3286" s="9"/>
      <c r="AI3286" s="9"/>
    </row>
    <row r="3287" ht="15.0" customHeight="1">
      <c r="A3287" s="11">
        <v>3286.0</v>
      </c>
      <c r="B3287" s="12">
        <f t="shared" si="526"/>
        <v>40383</v>
      </c>
      <c r="C3287" s="13">
        <v>2010.0</v>
      </c>
      <c r="D3287" s="11" t="s">
        <v>32</v>
      </c>
      <c r="E3287" s="11">
        <v>1.0</v>
      </c>
      <c r="F3287" s="21" t="s">
        <v>610</v>
      </c>
      <c r="G3287" s="15">
        <v>0.095026455026455</v>
      </c>
      <c r="H3287" s="11" t="s">
        <v>33</v>
      </c>
      <c r="I3287" s="16">
        <v>4.904</v>
      </c>
      <c r="J3287" s="11" t="s">
        <v>232</v>
      </c>
      <c r="K3287" s="11" t="s">
        <v>47</v>
      </c>
      <c r="L3287" s="11" t="s">
        <v>41</v>
      </c>
      <c r="M3287" s="11" t="s">
        <v>28</v>
      </c>
      <c r="N3287" s="11" t="s">
        <v>29</v>
      </c>
      <c r="O3287" s="11" t="s">
        <v>1969</v>
      </c>
      <c r="P3287" s="11" t="s">
        <v>38</v>
      </c>
      <c r="Q3287" s="20">
        <v>40386.0</v>
      </c>
      <c r="R3287" s="17">
        <f t="shared" si="2"/>
        <v>1.625332487</v>
      </c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>
        <f t="shared" si="8"/>
        <v>3</v>
      </c>
      <c r="AF3287" s="19">
        <f t="shared" si="13"/>
        <v>3</v>
      </c>
      <c r="AG3287" s="9"/>
      <c r="AH3287" s="9"/>
      <c r="AI3287" s="9"/>
    </row>
    <row r="3288" ht="15.0" customHeight="1">
      <c r="A3288" s="11">
        <v>3287.0</v>
      </c>
      <c r="B3288" s="12">
        <f t="shared" si="526"/>
        <v>40383</v>
      </c>
      <c r="C3288" s="13">
        <v>2010.0</v>
      </c>
      <c r="D3288" s="11" t="s">
        <v>44</v>
      </c>
      <c r="E3288" s="11">
        <v>26.0</v>
      </c>
      <c r="F3288" s="21" t="s">
        <v>886</v>
      </c>
      <c r="G3288" s="15">
        <v>0.044825793031721295</v>
      </c>
      <c r="H3288" s="11" t="s">
        <v>45</v>
      </c>
      <c r="I3288" s="16">
        <v>48.0</v>
      </c>
      <c r="J3288" s="11" t="s">
        <v>851</v>
      </c>
      <c r="K3288" s="11" t="s">
        <v>65</v>
      </c>
      <c r="L3288" s="11" t="s">
        <v>41</v>
      </c>
      <c r="M3288" s="11" t="s">
        <v>28</v>
      </c>
      <c r="N3288" s="11" t="s">
        <v>197</v>
      </c>
      <c r="O3288" s="11" t="s">
        <v>888</v>
      </c>
      <c r="P3288" s="11" t="s">
        <v>52</v>
      </c>
      <c r="Q3288" s="20">
        <v>40386.0</v>
      </c>
      <c r="R3288" s="17">
        <f t="shared" si="2"/>
        <v>82.33601664</v>
      </c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>
        <f t="shared" si="8"/>
        <v>3</v>
      </c>
      <c r="AF3288" s="19">
        <f t="shared" si="13"/>
        <v>5</v>
      </c>
      <c r="AG3288" s="9"/>
      <c r="AH3288" s="9"/>
      <c r="AI3288" s="9"/>
    </row>
    <row r="3289" ht="15.0" customHeight="1">
      <c r="A3289" s="11">
        <v>3288.0</v>
      </c>
      <c r="B3289" s="12">
        <f t="shared" si="526"/>
        <v>40383</v>
      </c>
      <c r="C3289" s="13">
        <v>2010.0</v>
      </c>
      <c r="D3289" s="11" t="s">
        <v>44</v>
      </c>
      <c r="E3289" s="11">
        <v>11.0</v>
      </c>
      <c r="F3289" s="21" t="s">
        <v>1369</v>
      </c>
      <c r="G3289" s="15">
        <v>0.09921671018276755</v>
      </c>
      <c r="H3289" s="11" t="s">
        <v>33</v>
      </c>
      <c r="I3289" s="16">
        <v>0.4</v>
      </c>
      <c r="J3289" s="11" t="s">
        <v>851</v>
      </c>
      <c r="K3289" s="11" t="s">
        <v>65</v>
      </c>
      <c r="L3289" s="11" t="s">
        <v>41</v>
      </c>
      <c r="M3289" s="11" t="s">
        <v>28</v>
      </c>
      <c r="N3289" s="11" t="s">
        <v>188</v>
      </c>
      <c r="O3289" s="11" t="s">
        <v>1575</v>
      </c>
      <c r="P3289" s="11" t="s">
        <v>38</v>
      </c>
      <c r="Q3289" s="20">
        <v>40386.0</v>
      </c>
      <c r="R3289" s="17">
        <f t="shared" si="2"/>
        <v>3.422976501</v>
      </c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>
        <f t="shared" si="8"/>
        <v>3</v>
      </c>
      <c r="AF3289" s="19">
        <f t="shared" si="13"/>
        <v>5</v>
      </c>
      <c r="AG3289" s="9"/>
      <c r="AH3289" s="9"/>
      <c r="AI3289" s="9"/>
    </row>
    <row r="3290" ht="15.0" customHeight="1">
      <c r="A3290" s="11">
        <v>3289.0</v>
      </c>
      <c r="B3290" s="12">
        <f t="shared" si="526"/>
        <v>40383</v>
      </c>
      <c r="C3290" s="13">
        <v>2010.0</v>
      </c>
      <c r="D3290" s="11" t="s">
        <v>44</v>
      </c>
      <c r="E3290" s="11">
        <v>44.0</v>
      </c>
      <c r="F3290" s="21" t="s">
        <v>290</v>
      </c>
      <c r="G3290" s="15">
        <v>0.04985743380855398</v>
      </c>
      <c r="H3290" s="11" t="s">
        <v>24</v>
      </c>
      <c r="I3290" s="16">
        <v>1.8079999999999998</v>
      </c>
      <c r="J3290" s="11" t="s">
        <v>851</v>
      </c>
      <c r="K3290" s="11" t="s">
        <v>65</v>
      </c>
      <c r="L3290" s="11" t="s">
        <v>41</v>
      </c>
      <c r="M3290" s="11" t="s">
        <v>28</v>
      </c>
      <c r="N3290" s="11" t="s">
        <v>56</v>
      </c>
      <c r="O3290" s="11" t="s">
        <v>365</v>
      </c>
      <c r="P3290" s="11" t="s">
        <v>58</v>
      </c>
      <c r="Q3290" s="20">
        <v>40386.0</v>
      </c>
      <c r="R3290" s="17">
        <f t="shared" si="2"/>
        <v>9.303796008</v>
      </c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>
        <f t="shared" si="8"/>
        <v>3</v>
      </c>
      <c r="AF3290" s="19">
        <f t="shared" si="13"/>
        <v>5</v>
      </c>
      <c r="AG3290" s="9"/>
      <c r="AH3290" s="9"/>
      <c r="AI3290" s="9"/>
    </row>
    <row r="3291" ht="15.0" customHeight="1">
      <c r="A3291" s="11">
        <v>3290.0</v>
      </c>
      <c r="B3291" s="12">
        <f t="shared" si="526"/>
        <v>40383</v>
      </c>
      <c r="C3291" s="13">
        <v>2010.0</v>
      </c>
      <c r="D3291" s="11" t="s">
        <v>44</v>
      </c>
      <c r="E3291" s="11">
        <v>42.0</v>
      </c>
      <c r="F3291" s="21" t="s">
        <v>316</v>
      </c>
      <c r="G3291" s="15">
        <v>0.01956571428571432</v>
      </c>
      <c r="H3291" s="11" t="s">
        <v>24</v>
      </c>
      <c r="I3291" s="16">
        <v>7.152</v>
      </c>
      <c r="J3291" s="11" t="s">
        <v>851</v>
      </c>
      <c r="K3291" s="11" t="s">
        <v>65</v>
      </c>
      <c r="L3291" s="11" t="s">
        <v>41</v>
      </c>
      <c r="M3291" s="11" t="s">
        <v>28</v>
      </c>
      <c r="N3291" s="11" t="s">
        <v>42</v>
      </c>
      <c r="O3291" s="11" t="s">
        <v>1126</v>
      </c>
      <c r="P3291" s="11" t="s">
        <v>38</v>
      </c>
      <c r="Q3291" s="20">
        <v>40386.0</v>
      </c>
      <c r="R3291" s="17">
        <f t="shared" si="2"/>
        <v>6.714013989</v>
      </c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>
        <f t="shared" si="8"/>
        <v>3</v>
      </c>
      <c r="AF3291" s="19">
        <f t="shared" si="13"/>
        <v>5</v>
      </c>
      <c r="AG3291" s="9"/>
      <c r="AH3291" s="9"/>
      <c r="AI3291" s="9"/>
    </row>
    <row r="3292" ht="15.0" customHeight="1">
      <c r="A3292" s="11">
        <v>3291.0</v>
      </c>
      <c r="B3292" s="12">
        <f t="shared" ref="B3292:B3302" si="527">DATE(2012,12,31)-890</f>
        <v>40384</v>
      </c>
      <c r="C3292" s="13">
        <v>2010.0</v>
      </c>
      <c r="D3292" s="11" t="s">
        <v>44</v>
      </c>
      <c r="E3292" s="11">
        <v>4.0</v>
      </c>
      <c r="F3292" s="21" t="s">
        <v>758</v>
      </c>
      <c r="G3292" s="15">
        <v>0.08074534161490687</v>
      </c>
      <c r="H3292" s="11" t="s">
        <v>24</v>
      </c>
      <c r="I3292" s="16">
        <v>0.4</v>
      </c>
      <c r="J3292" s="11" t="s">
        <v>456</v>
      </c>
      <c r="K3292" s="11" t="s">
        <v>35</v>
      </c>
      <c r="L3292" s="11" t="s">
        <v>27</v>
      </c>
      <c r="M3292" s="11" t="s">
        <v>28</v>
      </c>
      <c r="N3292" s="11" t="s">
        <v>188</v>
      </c>
      <c r="O3292" s="11" t="s">
        <v>2240</v>
      </c>
      <c r="P3292" s="11" t="s">
        <v>38</v>
      </c>
      <c r="Q3292" s="20">
        <v>40386.0</v>
      </c>
      <c r="R3292" s="17">
        <f t="shared" si="2"/>
        <v>1.195031056</v>
      </c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>
        <f t="shared" si="8"/>
        <v>1</v>
      </c>
      <c r="AF3292" s="19">
        <f t="shared" si="13"/>
        <v>2</v>
      </c>
      <c r="AG3292" s="9"/>
      <c r="AH3292" s="9"/>
      <c r="AI3292" s="9"/>
    </row>
    <row r="3293" ht="15.0" customHeight="1">
      <c r="A3293" s="11">
        <v>3292.0</v>
      </c>
      <c r="B3293" s="12">
        <f t="shared" si="527"/>
        <v>40384</v>
      </c>
      <c r="C3293" s="13">
        <v>2010.0</v>
      </c>
      <c r="D3293" s="11" t="s">
        <v>44</v>
      </c>
      <c r="E3293" s="11">
        <v>9.0</v>
      </c>
      <c r="F3293" s="21" t="s">
        <v>2323</v>
      </c>
      <c r="G3293" s="15">
        <v>0.0240000000000001</v>
      </c>
      <c r="H3293" s="11" t="s">
        <v>33</v>
      </c>
      <c r="I3293" s="16">
        <v>1.544</v>
      </c>
      <c r="J3293" s="11" t="s">
        <v>456</v>
      </c>
      <c r="K3293" s="11" t="s">
        <v>35</v>
      </c>
      <c r="L3293" s="11" t="s">
        <v>27</v>
      </c>
      <c r="M3293" s="11" t="s">
        <v>28</v>
      </c>
      <c r="N3293" s="11" t="s">
        <v>62</v>
      </c>
      <c r="O3293" s="11" t="s">
        <v>2325</v>
      </c>
      <c r="P3293" s="11" t="s">
        <v>58</v>
      </c>
      <c r="Q3293" s="20">
        <v>40386.0</v>
      </c>
      <c r="R3293" s="17">
        <f t="shared" si="2"/>
        <v>1.030656</v>
      </c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>
        <f t="shared" si="8"/>
        <v>1</v>
      </c>
      <c r="AF3293" s="19">
        <f t="shared" si="13"/>
        <v>2</v>
      </c>
      <c r="AG3293" s="9"/>
      <c r="AH3293" s="9"/>
      <c r="AI3293" s="9"/>
    </row>
    <row r="3294" ht="15.0" customHeight="1">
      <c r="A3294" s="11">
        <v>3293.0</v>
      </c>
      <c r="B3294" s="12">
        <f t="shared" si="527"/>
        <v>40384</v>
      </c>
      <c r="C3294" s="13">
        <v>2010.0</v>
      </c>
      <c r="D3294" s="11" t="s">
        <v>39</v>
      </c>
      <c r="E3294" s="11">
        <v>18.0</v>
      </c>
      <c r="F3294" s="21" t="s">
        <v>1282</v>
      </c>
      <c r="G3294" s="15">
        <v>0.01125378610127559</v>
      </c>
      <c r="H3294" s="11" t="s">
        <v>33</v>
      </c>
      <c r="I3294" s="16">
        <v>10.120000000000001</v>
      </c>
      <c r="J3294" s="11" t="s">
        <v>1410</v>
      </c>
      <c r="K3294" s="11" t="s">
        <v>83</v>
      </c>
      <c r="L3294" s="11" t="s">
        <v>41</v>
      </c>
      <c r="M3294" s="11" t="s">
        <v>49</v>
      </c>
      <c r="N3294" s="11" t="s">
        <v>50</v>
      </c>
      <c r="O3294" s="11" t="s">
        <v>1283</v>
      </c>
      <c r="P3294" s="11" t="s">
        <v>75</v>
      </c>
      <c r="Q3294" s="20">
        <v>40386.0</v>
      </c>
      <c r="R3294" s="17">
        <f t="shared" si="2"/>
        <v>26.08312512</v>
      </c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>
        <f t="shared" si="8"/>
        <v>3</v>
      </c>
      <c r="AF3294" s="19" t="b">
        <f t="shared" si="13"/>
        <v>0</v>
      </c>
      <c r="AG3294" s="9"/>
      <c r="AH3294" s="9"/>
      <c r="AI3294" s="9"/>
    </row>
    <row r="3295" ht="15.0" customHeight="1">
      <c r="A3295" s="11">
        <v>3294.0</v>
      </c>
      <c r="B3295" s="12">
        <f t="shared" si="527"/>
        <v>40384</v>
      </c>
      <c r="C3295" s="13">
        <v>2010.0</v>
      </c>
      <c r="D3295" s="11" t="s">
        <v>39</v>
      </c>
      <c r="E3295" s="11">
        <v>7.0</v>
      </c>
      <c r="F3295" s="21" t="s">
        <v>142</v>
      </c>
      <c r="G3295" s="15">
        <v>0.0322209436133487</v>
      </c>
      <c r="H3295" s="11" t="s">
        <v>33</v>
      </c>
      <c r="I3295" s="16">
        <v>1.0</v>
      </c>
      <c r="J3295" s="11" t="s">
        <v>1410</v>
      </c>
      <c r="K3295" s="11" t="s">
        <v>83</v>
      </c>
      <c r="L3295" s="11" t="s">
        <v>41</v>
      </c>
      <c r="M3295" s="11" t="s">
        <v>66</v>
      </c>
      <c r="N3295" s="11" t="s">
        <v>80</v>
      </c>
      <c r="O3295" s="11" t="s">
        <v>2300</v>
      </c>
      <c r="P3295" s="11" t="s">
        <v>99</v>
      </c>
      <c r="Q3295" s="20">
        <v>40386.0</v>
      </c>
      <c r="R3295" s="17">
        <f t="shared" si="2"/>
        <v>8.129344074</v>
      </c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>
        <f t="shared" si="8"/>
        <v>3</v>
      </c>
      <c r="AF3295" s="19" t="b">
        <f t="shared" si="13"/>
        <v>0</v>
      </c>
      <c r="AG3295" s="9"/>
      <c r="AH3295" s="9"/>
      <c r="AI3295" s="9"/>
    </row>
    <row r="3296" ht="15.0" customHeight="1">
      <c r="A3296" s="11">
        <v>3295.0</v>
      </c>
      <c r="B3296" s="12">
        <f t="shared" si="527"/>
        <v>40384</v>
      </c>
      <c r="C3296" s="13">
        <v>2010.0</v>
      </c>
      <c r="D3296" s="11" t="s">
        <v>39</v>
      </c>
      <c r="E3296" s="11">
        <v>17.0</v>
      </c>
      <c r="F3296" s="21" t="s">
        <v>552</v>
      </c>
      <c r="G3296" s="15">
        <v>0.0912114695340501</v>
      </c>
      <c r="H3296" s="11" t="s">
        <v>33</v>
      </c>
      <c r="I3296" s="16">
        <v>4.376</v>
      </c>
      <c r="J3296" s="11" t="s">
        <v>279</v>
      </c>
      <c r="K3296" s="11" t="s">
        <v>47</v>
      </c>
      <c r="L3296" s="11" t="s">
        <v>41</v>
      </c>
      <c r="M3296" s="11" t="s">
        <v>28</v>
      </c>
      <c r="N3296" s="11" t="s">
        <v>56</v>
      </c>
      <c r="O3296" s="11" t="s">
        <v>650</v>
      </c>
      <c r="P3296" s="11" t="s">
        <v>38</v>
      </c>
      <c r="Q3296" s="20">
        <v>40387.0</v>
      </c>
      <c r="R3296" s="17">
        <f t="shared" si="2"/>
        <v>11.56342526</v>
      </c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>
        <f t="shared" si="8"/>
        <v>3</v>
      </c>
      <c r="AF3296" s="19">
        <f t="shared" si="13"/>
        <v>3</v>
      </c>
      <c r="AG3296" s="9"/>
      <c r="AH3296" s="9"/>
      <c r="AI3296" s="9"/>
    </row>
    <row r="3297" ht="15.0" customHeight="1">
      <c r="A3297" s="11">
        <v>3296.0</v>
      </c>
      <c r="B3297" s="12">
        <f t="shared" si="527"/>
        <v>40384</v>
      </c>
      <c r="C3297" s="13">
        <v>2010.0</v>
      </c>
      <c r="D3297" s="11" t="s">
        <v>102</v>
      </c>
      <c r="E3297" s="11">
        <v>23.0</v>
      </c>
      <c r="F3297" s="21" t="s">
        <v>224</v>
      </c>
      <c r="G3297" s="15">
        <v>0.06594011388714818</v>
      </c>
      <c r="H3297" s="11" t="s">
        <v>45</v>
      </c>
      <c r="I3297" s="16">
        <v>11.76</v>
      </c>
      <c r="J3297" s="11" t="s">
        <v>2384</v>
      </c>
      <c r="K3297" s="11" t="s">
        <v>61</v>
      </c>
      <c r="L3297" s="11" t="s">
        <v>27</v>
      </c>
      <c r="M3297" s="11" t="s">
        <v>66</v>
      </c>
      <c r="N3297" s="11" t="s">
        <v>69</v>
      </c>
      <c r="O3297" s="11" t="s">
        <v>225</v>
      </c>
      <c r="P3297" s="11" t="s">
        <v>52</v>
      </c>
      <c r="Q3297" s="20">
        <v>40387.0</v>
      </c>
      <c r="R3297" s="17">
        <f t="shared" si="2"/>
        <v>452.1223473</v>
      </c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>
        <f t="shared" si="8"/>
        <v>1</v>
      </c>
      <c r="AF3297" s="19">
        <f t="shared" si="13"/>
        <v>4</v>
      </c>
      <c r="AG3297" s="9"/>
      <c r="AH3297" s="9"/>
      <c r="AI3297" s="9"/>
    </row>
    <row r="3298" ht="15.0" customHeight="1">
      <c r="A3298" s="11">
        <v>3297.0</v>
      </c>
      <c r="B3298" s="12">
        <f t="shared" si="527"/>
        <v>40384</v>
      </c>
      <c r="C3298" s="13">
        <v>2010.0</v>
      </c>
      <c r="D3298" s="11" t="s">
        <v>102</v>
      </c>
      <c r="E3298" s="11">
        <v>39.0</v>
      </c>
      <c r="F3298" s="21" t="s">
        <v>1662</v>
      </c>
      <c r="G3298" s="15">
        <v>0.0211216050370845</v>
      </c>
      <c r="H3298" s="11" t="s">
        <v>33</v>
      </c>
      <c r="I3298" s="16">
        <v>5.416</v>
      </c>
      <c r="J3298" s="11" t="s">
        <v>398</v>
      </c>
      <c r="K3298" s="11" t="s">
        <v>35</v>
      </c>
      <c r="L3298" s="11" t="s">
        <v>27</v>
      </c>
      <c r="M3298" s="11" t="s">
        <v>49</v>
      </c>
      <c r="N3298" s="11" t="s">
        <v>73</v>
      </c>
      <c r="O3298" s="11" t="s">
        <v>1663</v>
      </c>
      <c r="P3298" s="11" t="s">
        <v>38</v>
      </c>
      <c r="Q3298" s="20">
        <v>40387.0</v>
      </c>
      <c r="R3298" s="17">
        <f t="shared" si="2"/>
        <v>38.74792239</v>
      </c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>
        <f t="shared" si="8"/>
        <v>1</v>
      </c>
      <c r="AF3298" s="19">
        <f t="shared" si="13"/>
        <v>2</v>
      </c>
      <c r="AG3298" s="9"/>
      <c r="AH3298" s="9"/>
      <c r="AI3298" s="9"/>
    </row>
    <row r="3299" ht="15.0" customHeight="1">
      <c r="A3299" s="11">
        <v>3298.0</v>
      </c>
      <c r="B3299" s="12">
        <f t="shared" si="527"/>
        <v>40384</v>
      </c>
      <c r="C3299" s="13">
        <v>2010.0</v>
      </c>
      <c r="D3299" s="11" t="s">
        <v>102</v>
      </c>
      <c r="E3299" s="11">
        <v>26.0</v>
      </c>
      <c r="F3299" s="21" t="s">
        <v>1970</v>
      </c>
      <c r="G3299" s="15">
        <v>0.06730051802425971</v>
      </c>
      <c r="H3299" s="11" t="s">
        <v>33</v>
      </c>
      <c r="I3299" s="16">
        <v>28.0</v>
      </c>
      <c r="J3299" s="11" t="s">
        <v>398</v>
      </c>
      <c r="K3299" s="11" t="s">
        <v>35</v>
      </c>
      <c r="L3299" s="11" t="s">
        <v>27</v>
      </c>
      <c r="M3299" s="11" t="s">
        <v>28</v>
      </c>
      <c r="N3299" s="11" t="s">
        <v>29</v>
      </c>
      <c r="O3299" s="11" t="s">
        <v>1971</v>
      </c>
      <c r="P3299" s="11" t="s">
        <v>31</v>
      </c>
      <c r="Q3299" s="20">
        <v>40387.0</v>
      </c>
      <c r="R3299" s="17">
        <f t="shared" si="2"/>
        <v>294.4532265</v>
      </c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>
        <f t="shared" si="8"/>
        <v>1</v>
      </c>
      <c r="AF3299" s="19">
        <f t="shared" si="13"/>
        <v>2</v>
      </c>
      <c r="AG3299" s="9"/>
      <c r="AH3299" s="9"/>
      <c r="AI3299" s="9"/>
    </row>
    <row r="3300" ht="15.0" customHeight="1">
      <c r="A3300" s="11">
        <v>3299.0</v>
      </c>
      <c r="B3300" s="12">
        <f t="shared" si="527"/>
        <v>40384</v>
      </c>
      <c r="C3300" s="13">
        <v>2010.0</v>
      </c>
      <c r="D3300" s="11" t="s">
        <v>32</v>
      </c>
      <c r="E3300" s="11">
        <v>20.0</v>
      </c>
      <c r="F3300" s="21" t="s">
        <v>782</v>
      </c>
      <c r="G3300" s="15">
        <v>0.09339103068450032</v>
      </c>
      <c r="H3300" s="11" t="s">
        <v>33</v>
      </c>
      <c r="I3300" s="16">
        <v>3.84</v>
      </c>
      <c r="J3300" s="11" t="s">
        <v>1653</v>
      </c>
      <c r="K3300" s="11" t="s">
        <v>83</v>
      </c>
      <c r="L3300" s="11" t="s">
        <v>36</v>
      </c>
      <c r="M3300" s="11" t="s">
        <v>49</v>
      </c>
      <c r="N3300" s="11" t="s">
        <v>73</v>
      </c>
      <c r="O3300" s="11" t="s">
        <v>1431</v>
      </c>
      <c r="P3300" s="11" t="s">
        <v>58</v>
      </c>
      <c r="Q3300" s="20">
        <v>40387.0</v>
      </c>
      <c r="R3300" s="17">
        <f t="shared" si="2"/>
        <v>86.09158773</v>
      </c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>
        <f t="shared" si="8"/>
        <v>2</v>
      </c>
      <c r="AF3300" s="19" t="b">
        <f t="shared" si="13"/>
        <v>0</v>
      </c>
      <c r="AG3300" s="9"/>
      <c r="AH3300" s="9"/>
      <c r="AI3300" s="9"/>
    </row>
    <row r="3301" ht="15.0" customHeight="1">
      <c r="A3301" s="11">
        <v>3300.0</v>
      </c>
      <c r="B3301" s="12">
        <f t="shared" si="527"/>
        <v>40384</v>
      </c>
      <c r="C3301" s="13">
        <v>2010.0</v>
      </c>
      <c r="D3301" s="11" t="s">
        <v>32</v>
      </c>
      <c r="E3301" s="11">
        <v>9.0</v>
      </c>
      <c r="F3301" s="21" t="s">
        <v>344</v>
      </c>
      <c r="G3301" s="15">
        <v>0.0416049382716048</v>
      </c>
      <c r="H3301" s="11" t="s">
        <v>33</v>
      </c>
      <c r="I3301" s="16">
        <v>3.608</v>
      </c>
      <c r="J3301" s="11" t="s">
        <v>1653</v>
      </c>
      <c r="K3301" s="11" t="s">
        <v>83</v>
      </c>
      <c r="L3301" s="11" t="s">
        <v>36</v>
      </c>
      <c r="M3301" s="11" t="s">
        <v>28</v>
      </c>
      <c r="N3301" s="11" t="s">
        <v>29</v>
      </c>
      <c r="O3301" s="11" t="s">
        <v>929</v>
      </c>
      <c r="P3301" s="11" t="s">
        <v>38</v>
      </c>
      <c r="Q3301" s="20">
        <v>40387.0</v>
      </c>
      <c r="R3301" s="17">
        <f t="shared" si="2"/>
        <v>5.167666173</v>
      </c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>
        <f t="shared" si="8"/>
        <v>2</v>
      </c>
      <c r="AF3301" s="19" t="b">
        <f t="shared" si="13"/>
        <v>0</v>
      </c>
      <c r="AG3301" s="9"/>
      <c r="AH3301" s="9"/>
      <c r="AI3301" s="9"/>
    </row>
    <row r="3302" ht="15.0" customHeight="1">
      <c r="A3302" s="11">
        <v>3301.0</v>
      </c>
      <c r="B3302" s="12">
        <f t="shared" si="527"/>
        <v>40384</v>
      </c>
      <c r="C3302" s="13">
        <v>2010.0</v>
      </c>
      <c r="D3302" s="11" t="s">
        <v>44</v>
      </c>
      <c r="E3302" s="11">
        <v>29.0</v>
      </c>
      <c r="F3302" s="21" t="s">
        <v>183</v>
      </c>
      <c r="G3302" s="15">
        <v>0.044846739354042396</v>
      </c>
      <c r="H3302" s="11" t="s">
        <v>33</v>
      </c>
      <c r="I3302" s="16">
        <v>3.2</v>
      </c>
      <c r="J3302" s="11" t="s">
        <v>2262</v>
      </c>
      <c r="K3302" s="11" t="s">
        <v>26</v>
      </c>
      <c r="L3302" s="11" t="s">
        <v>27</v>
      </c>
      <c r="M3302" s="11" t="s">
        <v>66</v>
      </c>
      <c r="N3302" s="11" t="s">
        <v>67</v>
      </c>
      <c r="O3302" s="11" t="s">
        <v>941</v>
      </c>
      <c r="P3302" s="11" t="s">
        <v>38</v>
      </c>
      <c r="Q3302" s="20">
        <v>40387.0</v>
      </c>
      <c r="R3302" s="17">
        <f t="shared" si="2"/>
        <v>20.82234108</v>
      </c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>
        <f t="shared" si="8"/>
        <v>1</v>
      </c>
      <c r="AF3302" s="19">
        <f t="shared" si="13"/>
        <v>1</v>
      </c>
      <c r="AG3302" s="9"/>
      <c r="AH3302" s="9"/>
      <c r="AI3302" s="9"/>
    </row>
    <row r="3303" ht="15.0" customHeight="1">
      <c r="A3303" s="11">
        <v>3302.0</v>
      </c>
      <c r="B3303" s="12">
        <f t="shared" ref="B3303:B3309" si="528">DATE(2012,12,31)-889</f>
        <v>40385</v>
      </c>
      <c r="C3303" s="13">
        <v>2010.0</v>
      </c>
      <c r="D3303" s="11" t="s">
        <v>23</v>
      </c>
      <c r="E3303" s="11">
        <v>15.0</v>
      </c>
      <c r="F3303" s="21" t="s">
        <v>1280</v>
      </c>
      <c r="G3303" s="15">
        <v>0.0327272727272728</v>
      </c>
      <c r="H3303" s="11" t="s">
        <v>33</v>
      </c>
      <c r="I3303" s="16">
        <v>3.512</v>
      </c>
      <c r="J3303" s="11" t="s">
        <v>679</v>
      </c>
      <c r="K3303" s="11" t="s">
        <v>61</v>
      </c>
      <c r="L3303" s="11" t="s">
        <v>48</v>
      </c>
      <c r="M3303" s="11" t="s">
        <v>28</v>
      </c>
      <c r="N3303" s="11" t="s">
        <v>56</v>
      </c>
      <c r="O3303" s="11" t="s">
        <v>1281</v>
      </c>
      <c r="P3303" s="11" t="s">
        <v>58</v>
      </c>
      <c r="Q3303" s="20">
        <v>40387.0</v>
      </c>
      <c r="R3303" s="17">
        <f t="shared" si="2"/>
        <v>4.631301818</v>
      </c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>
        <f t="shared" si="8"/>
        <v>4</v>
      </c>
      <c r="AF3303" s="19">
        <f t="shared" si="13"/>
        <v>4</v>
      </c>
      <c r="AG3303" s="9"/>
      <c r="AH3303" s="9"/>
      <c r="AI3303" s="9"/>
    </row>
    <row r="3304" ht="15.0" customHeight="1">
      <c r="A3304" s="11">
        <v>3303.0</v>
      </c>
      <c r="B3304" s="12">
        <f t="shared" si="528"/>
        <v>40385</v>
      </c>
      <c r="C3304" s="13">
        <v>2010.0</v>
      </c>
      <c r="D3304" s="11" t="s">
        <v>102</v>
      </c>
      <c r="E3304" s="11">
        <v>47.0</v>
      </c>
      <c r="F3304" s="21" t="s">
        <v>1379</v>
      </c>
      <c r="G3304" s="15">
        <v>0.04223234272481649</v>
      </c>
      <c r="H3304" s="11" t="s">
        <v>33</v>
      </c>
      <c r="I3304" s="16">
        <v>4.688000000000001</v>
      </c>
      <c r="J3304" s="11" t="s">
        <v>1045</v>
      </c>
      <c r="K3304" s="11" t="s">
        <v>35</v>
      </c>
      <c r="L3304" s="11" t="s">
        <v>36</v>
      </c>
      <c r="M3304" s="11" t="s">
        <v>28</v>
      </c>
      <c r="N3304" s="11" t="s">
        <v>56</v>
      </c>
      <c r="O3304" s="11" t="s">
        <v>2082</v>
      </c>
      <c r="P3304" s="11" t="s">
        <v>38</v>
      </c>
      <c r="Q3304" s="20">
        <v>40387.0</v>
      </c>
      <c r="R3304" s="17">
        <f t="shared" si="2"/>
        <v>52.40138406</v>
      </c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>
        <f t="shared" si="8"/>
        <v>2</v>
      </c>
      <c r="AF3304" s="19">
        <f t="shared" si="13"/>
        <v>2</v>
      </c>
      <c r="AG3304" s="9"/>
      <c r="AH3304" s="9"/>
      <c r="AI3304" s="9"/>
    </row>
    <row r="3305" ht="15.0" customHeight="1">
      <c r="A3305" s="11">
        <v>3304.0</v>
      </c>
      <c r="B3305" s="12">
        <f t="shared" si="528"/>
        <v>40385</v>
      </c>
      <c r="C3305" s="13">
        <v>2010.0</v>
      </c>
      <c r="D3305" s="11" t="s">
        <v>102</v>
      </c>
      <c r="E3305" s="11">
        <v>31.0</v>
      </c>
      <c r="F3305" s="21" t="s">
        <v>151</v>
      </c>
      <c r="G3305" s="15">
        <v>0.021496598639455813</v>
      </c>
      <c r="H3305" s="11" t="s">
        <v>33</v>
      </c>
      <c r="I3305" s="16">
        <v>1.4880000000000002</v>
      </c>
      <c r="J3305" s="11" t="s">
        <v>1045</v>
      </c>
      <c r="K3305" s="11" t="s">
        <v>35</v>
      </c>
      <c r="L3305" s="11" t="s">
        <v>36</v>
      </c>
      <c r="M3305" s="11" t="s">
        <v>28</v>
      </c>
      <c r="N3305" s="11" t="s">
        <v>62</v>
      </c>
      <c r="O3305" s="11" t="s">
        <v>1973</v>
      </c>
      <c r="P3305" s="11" t="s">
        <v>58</v>
      </c>
      <c r="Q3305" s="20">
        <v>40388.0</v>
      </c>
      <c r="R3305" s="17">
        <f t="shared" si="2"/>
        <v>2.164449524</v>
      </c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>
        <f t="shared" si="8"/>
        <v>2</v>
      </c>
      <c r="AF3305" s="19">
        <f t="shared" si="13"/>
        <v>2</v>
      </c>
      <c r="AG3305" s="9"/>
      <c r="AH3305" s="9"/>
      <c r="AI3305" s="9"/>
    </row>
    <row r="3306" ht="15.0" customHeight="1">
      <c r="A3306" s="11">
        <v>3305.0</v>
      </c>
      <c r="B3306" s="12">
        <f t="shared" si="528"/>
        <v>40385</v>
      </c>
      <c r="C3306" s="13">
        <v>2010.0</v>
      </c>
      <c r="D3306" s="11" t="s">
        <v>44</v>
      </c>
      <c r="E3306" s="11">
        <v>33.0</v>
      </c>
      <c r="F3306" s="21" t="s">
        <v>415</v>
      </c>
      <c r="G3306" s="15">
        <v>0.10680107526881737</v>
      </c>
      <c r="H3306" s="11" t="s">
        <v>33</v>
      </c>
      <c r="I3306" s="16">
        <v>4.208</v>
      </c>
      <c r="J3306" s="11" t="s">
        <v>2391</v>
      </c>
      <c r="K3306" s="11" t="s">
        <v>47</v>
      </c>
      <c r="L3306" s="11" t="s">
        <v>48</v>
      </c>
      <c r="M3306" s="11" t="s">
        <v>28</v>
      </c>
      <c r="N3306" s="11" t="s">
        <v>42</v>
      </c>
      <c r="O3306" s="11" t="s">
        <v>971</v>
      </c>
      <c r="P3306" s="11" t="s">
        <v>38</v>
      </c>
      <c r="Q3306" s="20">
        <v>40388.0</v>
      </c>
      <c r="R3306" s="17">
        <f t="shared" si="2"/>
        <v>14.19471731</v>
      </c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>
        <f t="shared" si="8"/>
        <v>4</v>
      </c>
      <c r="AF3306" s="19">
        <f t="shared" si="13"/>
        <v>3</v>
      </c>
      <c r="AG3306" s="9"/>
      <c r="AH3306" s="9"/>
      <c r="AI3306" s="9"/>
    </row>
    <row r="3307" ht="15.0" customHeight="1">
      <c r="A3307" s="11">
        <v>3306.0</v>
      </c>
      <c r="B3307" s="12">
        <f t="shared" si="528"/>
        <v>40385</v>
      </c>
      <c r="C3307" s="13">
        <v>2010.0</v>
      </c>
      <c r="D3307" s="11" t="s">
        <v>44</v>
      </c>
      <c r="E3307" s="11">
        <v>22.0</v>
      </c>
      <c r="F3307" s="21" t="s">
        <v>336</v>
      </c>
      <c r="G3307" s="15">
        <v>0.09800281293952186</v>
      </c>
      <c r="H3307" s="11" t="s">
        <v>33</v>
      </c>
      <c r="I3307" s="16">
        <v>0.664</v>
      </c>
      <c r="J3307" s="11" t="s">
        <v>2391</v>
      </c>
      <c r="K3307" s="11" t="s">
        <v>47</v>
      </c>
      <c r="L3307" s="11" t="s">
        <v>48</v>
      </c>
      <c r="M3307" s="11" t="s">
        <v>28</v>
      </c>
      <c r="N3307" s="11" t="s">
        <v>62</v>
      </c>
      <c r="O3307" s="11" t="s">
        <v>1341</v>
      </c>
      <c r="P3307" s="11" t="s">
        <v>58</v>
      </c>
      <c r="Q3307" s="20">
        <v>40388.0</v>
      </c>
      <c r="R3307" s="17">
        <f t="shared" si="2"/>
        <v>12.5702328</v>
      </c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>
        <f t="shared" si="8"/>
        <v>4</v>
      </c>
      <c r="AF3307" s="19">
        <f t="shared" si="13"/>
        <v>3</v>
      </c>
      <c r="AG3307" s="9"/>
      <c r="AH3307" s="9"/>
      <c r="AI3307" s="9"/>
    </row>
    <row r="3308" ht="15.0" customHeight="1">
      <c r="A3308" s="11">
        <v>3307.0</v>
      </c>
      <c r="B3308" s="12">
        <f t="shared" si="528"/>
        <v>40385</v>
      </c>
      <c r="C3308" s="13">
        <v>2010.0</v>
      </c>
      <c r="D3308" s="11" t="s">
        <v>32</v>
      </c>
      <c r="E3308" s="11">
        <v>19.0</v>
      </c>
      <c r="F3308" s="21" t="s">
        <v>178</v>
      </c>
      <c r="G3308" s="15">
        <v>0.022288819875776286</v>
      </c>
      <c r="H3308" s="11" t="s">
        <v>33</v>
      </c>
      <c r="I3308" s="16">
        <v>7.192</v>
      </c>
      <c r="J3308" s="11" t="s">
        <v>1939</v>
      </c>
      <c r="K3308" s="11" t="s">
        <v>83</v>
      </c>
      <c r="L3308" s="11" t="s">
        <v>27</v>
      </c>
      <c r="M3308" s="11" t="s">
        <v>66</v>
      </c>
      <c r="N3308" s="11" t="s">
        <v>80</v>
      </c>
      <c r="O3308" s="11" t="s">
        <v>1329</v>
      </c>
      <c r="P3308" s="11" t="s">
        <v>38</v>
      </c>
      <c r="Q3308" s="20">
        <v>40388.0</v>
      </c>
      <c r="R3308" s="17">
        <f t="shared" si="2"/>
        <v>28.06813256</v>
      </c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>
        <f t="shared" si="8"/>
        <v>1</v>
      </c>
      <c r="AF3308" s="19" t="b">
        <f t="shared" si="13"/>
        <v>0</v>
      </c>
      <c r="AG3308" s="9"/>
      <c r="AH3308" s="9"/>
      <c r="AI3308" s="9"/>
    </row>
    <row r="3309" ht="15.0" customHeight="1">
      <c r="A3309" s="11">
        <v>3308.0</v>
      </c>
      <c r="B3309" s="12">
        <f t="shared" si="528"/>
        <v>40385</v>
      </c>
      <c r="C3309" s="13">
        <v>2010.0</v>
      </c>
      <c r="D3309" s="11" t="s">
        <v>32</v>
      </c>
      <c r="E3309" s="11">
        <v>45.0</v>
      </c>
      <c r="F3309" s="21" t="s">
        <v>1521</v>
      </c>
      <c r="G3309" s="15">
        <v>0.06290382900376855</v>
      </c>
      <c r="H3309" s="11" t="s">
        <v>45</v>
      </c>
      <c r="I3309" s="16">
        <v>71.44</v>
      </c>
      <c r="J3309" s="11" t="s">
        <v>1067</v>
      </c>
      <c r="K3309" s="11" t="s">
        <v>61</v>
      </c>
      <c r="L3309" s="11" t="s">
        <v>27</v>
      </c>
      <c r="M3309" s="11" t="s">
        <v>49</v>
      </c>
      <c r="N3309" s="11" t="s">
        <v>85</v>
      </c>
      <c r="O3309" s="11" t="s">
        <v>1522</v>
      </c>
      <c r="P3309" s="11" t="s">
        <v>87</v>
      </c>
      <c r="Q3309" s="20">
        <v>40388.0</v>
      </c>
      <c r="R3309" s="17">
        <f t="shared" si="2"/>
        <v>204.9054488</v>
      </c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>
        <f t="shared" si="8"/>
        <v>1</v>
      </c>
      <c r="AF3309" s="19">
        <f t="shared" si="13"/>
        <v>4</v>
      </c>
      <c r="AG3309" s="9"/>
      <c r="AH3309" s="9"/>
      <c r="AI3309" s="9"/>
    </row>
    <row r="3310" ht="15.0" customHeight="1">
      <c r="A3310" s="11">
        <v>3309.0</v>
      </c>
      <c r="B3310" s="12">
        <f t="shared" ref="B3310:B3318" si="529">DATE(2012,12,31)-888</f>
        <v>40386</v>
      </c>
      <c r="C3310" s="13">
        <v>2010.0</v>
      </c>
      <c r="D3310" s="11" t="s">
        <v>44</v>
      </c>
      <c r="E3310" s="11">
        <v>6.0</v>
      </c>
      <c r="F3310" s="21" t="s">
        <v>814</v>
      </c>
      <c r="G3310" s="15">
        <v>0.09086235702351873</v>
      </c>
      <c r="H3310" s="11" t="s">
        <v>45</v>
      </c>
      <c r="I3310" s="16">
        <v>24.0</v>
      </c>
      <c r="J3310" s="11" t="s">
        <v>2392</v>
      </c>
      <c r="K3310" s="11" t="s">
        <v>26</v>
      </c>
      <c r="L3310" s="11" t="s">
        <v>48</v>
      </c>
      <c r="M3310" s="11" t="s">
        <v>49</v>
      </c>
      <c r="N3310" s="11" t="s">
        <v>50</v>
      </c>
      <c r="O3310" s="11" t="s">
        <v>816</v>
      </c>
      <c r="P3310" s="11" t="s">
        <v>52</v>
      </c>
      <c r="Q3310" s="20">
        <v>40388.0</v>
      </c>
      <c r="R3310" s="17">
        <f t="shared" si="2"/>
        <v>64.27603136</v>
      </c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>
        <f t="shared" si="8"/>
        <v>4</v>
      </c>
      <c r="AF3310" s="19">
        <f t="shared" si="13"/>
        <v>1</v>
      </c>
      <c r="AG3310" s="9"/>
      <c r="AH3310" s="9"/>
      <c r="AI3310" s="9"/>
    </row>
    <row r="3311" ht="15.0" customHeight="1">
      <c r="A3311" s="11">
        <v>3310.0</v>
      </c>
      <c r="B3311" s="12">
        <f t="shared" si="529"/>
        <v>40386</v>
      </c>
      <c r="C3311" s="13">
        <v>2010.0</v>
      </c>
      <c r="D3311" s="11" t="s">
        <v>44</v>
      </c>
      <c r="E3311" s="11">
        <v>3.0</v>
      </c>
      <c r="F3311" s="21" t="s">
        <v>983</v>
      </c>
      <c r="G3311" s="15">
        <v>0.05616519174041287</v>
      </c>
      <c r="H3311" s="11" t="s">
        <v>33</v>
      </c>
      <c r="I3311" s="16">
        <v>1.592</v>
      </c>
      <c r="J3311" s="11" t="s">
        <v>861</v>
      </c>
      <c r="K3311" s="11" t="s">
        <v>35</v>
      </c>
      <c r="L3311" s="11" t="s">
        <v>27</v>
      </c>
      <c r="M3311" s="11" t="s">
        <v>66</v>
      </c>
      <c r="N3311" s="11" t="s">
        <v>67</v>
      </c>
      <c r="O3311" s="11" t="s">
        <v>2051</v>
      </c>
      <c r="P3311" s="11" t="s">
        <v>99</v>
      </c>
      <c r="Q3311" s="20">
        <v>40388.0</v>
      </c>
      <c r="R3311" s="17">
        <f t="shared" si="2"/>
        <v>3.59412295</v>
      </c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>
        <f t="shared" si="8"/>
        <v>1</v>
      </c>
      <c r="AF3311" s="19">
        <f t="shared" si="13"/>
        <v>2</v>
      </c>
      <c r="AG3311" s="9"/>
      <c r="AH3311" s="9"/>
      <c r="AI3311" s="9"/>
    </row>
    <row r="3312" ht="15.0" customHeight="1">
      <c r="A3312" s="11">
        <v>3311.0</v>
      </c>
      <c r="B3312" s="12">
        <f t="shared" si="529"/>
        <v>40386</v>
      </c>
      <c r="C3312" s="13">
        <v>2010.0</v>
      </c>
      <c r="D3312" s="11" t="s">
        <v>44</v>
      </c>
      <c r="E3312" s="11">
        <v>25.0</v>
      </c>
      <c r="F3312" s="21" t="s">
        <v>834</v>
      </c>
      <c r="G3312" s="15">
        <v>0.07565419061500243</v>
      </c>
      <c r="H3312" s="11" t="s">
        <v>45</v>
      </c>
      <c r="I3312" s="16">
        <v>61.096000000000004</v>
      </c>
      <c r="J3312" s="11" t="s">
        <v>861</v>
      </c>
      <c r="K3312" s="11" t="s">
        <v>35</v>
      </c>
      <c r="L3312" s="11" t="s">
        <v>27</v>
      </c>
      <c r="M3312" s="11" t="s">
        <v>49</v>
      </c>
      <c r="N3312" s="11" t="s">
        <v>85</v>
      </c>
      <c r="O3312" s="11" t="s">
        <v>1115</v>
      </c>
      <c r="P3312" s="11" t="s">
        <v>87</v>
      </c>
      <c r="Q3312" s="20">
        <v>40389.0</v>
      </c>
      <c r="R3312" s="17">
        <f t="shared" si="2"/>
        <v>762.8662939</v>
      </c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>
        <f t="shared" si="8"/>
        <v>1</v>
      </c>
      <c r="AF3312" s="19">
        <f t="shared" si="13"/>
        <v>2</v>
      </c>
      <c r="AG3312" s="9"/>
      <c r="AH3312" s="9"/>
      <c r="AI3312" s="9"/>
    </row>
    <row r="3313" ht="15.0" customHeight="1">
      <c r="A3313" s="11">
        <v>3312.0</v>
      </c>
      <c r="B3313" s="12">
        <f t="shared" si="529"/>
        <v>40386</v>
      </c>
      <c r="C3313" s="13">
        <v>2010.0</v>
      </c>
      <c r="D3313" s="11" t="s">
        <v>23</v>
      </c>
      <c r="E3313" s="11">
        <v>23.0</v>
      </c>
      <c r="F3313" s="21" t="s">
        <v>135</v>
      </c>
      <c r="G3313" s="15">
        <v>0.0472948328267479</v>
      </c>
      <c r="H3313" s="11" t="s">
        <v>24</v>
      </c>
      <c r="I3313" s="16">
        <v>4.920000000000001</v>
      </c>
      <c r="J3313" s="11" t="s">
        <v>1543</v>
      </c>
      <c r="K3313" s="11" t="s">
        <v>61</v>
      </c>
      <c r="L3313" s="11" t="s">
        <v>48</v>
      </c>
      <c r="M3313" s="11" t="s">
        <v>28</v>
      </c>
      <c r="N3313" s="11" t="s">
        <v>56</v>
      </c>
      <c r="O3313" s="11" t="s">
        <v>2393</v>
      </c>
      <c r="P3313" s="11" t="s">
        <v>38</v>
      </c>
      <c r="Q3313" s="20">
        <v>40389.0</v>
      </c>
      <c r="R3313" s="17">
        <f t="shared" si="2"/>
        <v>7.412046201</v>
      </c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>
        <f t="shared" si="8"/>
        <v>4</v>
      </c>
      <c r="AF3313" s="19">
        <f t="shared" si="13"/>
        <v>4</v>
      </c>
      <c r="AG3313" s="9"/>
      <c r="AH3313" s="9"/>
      <c r="AI3313" s="9"/>
    </row>
    <row r="3314" ht="15.0" customHeight="1">
      <c r="A3314" s="11">
        <v>3313.0</v>
      </c>
      <c r="B3314" s="12">
        <f t="shared" si="529"/>
        <v>40386</v>
      </c>
      <c r="C3314" s="13">
        <v>2010.0</v>
      </c>
      <c r="D3314" s="11" t="s">
        <v>23</v>
      </c>
      <c r="E3314" s="11">
        <v>23.0</v>
      </c>
      <c r="F3314" s="21" t="s">
        <v>676</v>
      </c>
      <c r="G3314" s="15">
        <v>0.02819188191881935</v>
      </c>
      <c r="H3314" s="11" t="s">
        <v>33</v>
      </c>
      <c r="I3314" s="16">
        <v>2.8800000000000003</v>
      </c>
      <c r="J3314" s="11" t="s">
        <v>1543</v>
      </c>
      <c r="K3314" s="11" t="s">
        <v>61</v>
      </c>
      <c r="L3314" s="11" t="s">
        <v>48</v>
      </c>
      <c r="M3314" s="11" t="s">
        <v>28</v>
      </c>
      <c r="N3314" s="11" t="s">
        <v>442</v>
      </c>
      <c r="O3314" s="11" t="s">
        <v>1689</v>
      </c>
      <c r="P3314" s="11" t="s">
        <v>99</v>
      </c>
      <c r="Q3314" s="20">
        <v>40389.0</v>
      </c>
      <c r="R3314" s="17">
        <f t="shared" si="2"/>
        <v>3.712307011</v>
      </c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>
        <f t="shared" si="8"/>
        <v>4</v>
      </c>
      <c r="AF3314" s="19">
        <f t="shared" si="13"/>
        <v>4</v>
      </c>
      <c r="AG3314" s="9"/>
      <c r="AH3314" s="9"/>
      <c r="AI3314" s="9"/>
    </row>
    <row r="3315" ht="15.0" customHeight="1">
      <c r="A3315" s="11">
        <v>3314.0</v>
      </c>
      <c r="B3315" s="12">
        <f t="shared" si="529"/>
        <v>40386</v>
      </c>
      <c r="C3315" s="13">
        <v>2010.0</v>
      </c>
      <c r="D3315" s="11" t="s">
        <v>23</v>
      </c>
      <c r="E3315" s="11">
        <v>26.0</v>
      </c>
      <c r="F3315" s="21" t="s">
        <v>100</v>
      </c>
      <c r="G3315" s="15">
        <v>0.06052256354745987</v>
      </c>
      <c r="H3315" s="11" t="s">
        <v>24</v>
      </c>
      <c r="I3315" s="16">
        <v>2.0</v>
      </c>
      <c r="J3315" s="11" t="s">
        <v>1543</v>
      </c>
      <c r="K3315" s="11" t="s">
        <v>61</v>
      </c>
      <c r="L3315" s="11" t="s">
        <v>48</v>
      </c>
      <c r="M3315" s="11" t="s">
        <v>66</v>
      </c>
      <c r="N3315" s="11" t="s">
        <v>80</v>
      </c>
      <c r="O3315" s="11" t="s">
        <v>478</v>
      </c>
      <c r="P3315" s="11" t="s">
        <v>38</v>
      </c>
      <c r="Q3315" s="20">
        <v>40389.0</v>
      </c>
      <c r="R3315" s="17">
        <f t="shared" si="2"/>
        <v>324.1225368</v>
      </c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>
        <f t="shared" si="8"/>
        <v>4</v>
      </c>
      <c r="AF3315" s="19">
        <f t="shared" si="13"/>
        <v>4</v>
      </c>
      <c r="AG3315" s="9"/>
      <c r="AH3315" s="9"/>
      <c r="AI3315" s="9"/>
    </row>
    <row r="3316" ht="15.0" customHeight="1">
      <c r="A3316" s="11">
        <v>3315.0</v>
      </c>
      <c r="B3316" s="12">
        <f t="shared" si="529"/>
        <v>40386</v>
      </c>
      <c r="C3316" s="13">
        <v>2010.0</v>
      </c>
      <c r="D3316" s="11" t="s">
        <v>39</v>
      </c>
      <c r="E3316" s="11">
        <v>4.0</v>
      </c>
      <c r="F3316" s="21" t="s">
        <v>126</v>
      </c>
      <c r="G3316" s="15">
        <v>0.03381642512077292</v>
      </c>
      <c r="H3316" s="11" t="s">
        <v>33</v>
      </c>
      <c r="I3316" s="16">
        <v>0.4</v>
      </c>
      <c r="J3316" s="11" t="s">
        <v>2311</v>
      </c>
      <c r="K3316" s="11" t="s">
        <v>61</v>
      </c>
      <c r="L3316" s="11" t="s">
        <v>27</v>
      </c>
      <c r="M3316" s="11" t="s">
        <v>28</v>
      </c>
      <c r="N3316" s="11" t="s">
        <v>188</v>
      </c>
      <c r="O3316" s="11" t="s">
        <v>410</v>
      </c>
      <c r="P3316" s="11" t="s">
        <v>38</v>
      </c>
      <c r="Q3316" s="20">
        <v>40389.0</v>
      </c>
      <c r="R3316" s="17">
        <f t="shared" si="2"/>
        <v>0.6763285024</v>
      </c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>
        <f t="shared" si="8"/>
        <v>1</v>
      </c>
      <c r="AF3316" s="19">
        <f t="shared" si="13"/>
        <v>4</v>
      </c>
      <c r="AG3316" s="9"/>
      <c r="AH3316" s="9"/>
      <c r="AI3316" s="9"/>
    </row>
    <row r="3317" ht="15.0" customHeight="1">
      <c r="A3317" s="11">
        <v>3316.0</v>
      </c>
      <c r="B3317" s="12">
        <f t="shared" si="529"/>
        <v>40386</v>
      </c>
      <c r="C3317" s="13">
        <v>2010.0</v>
      </c>
      <c r="D3317" s="11" t="s">
        <v>39</v>
      </c>
      <c r="E3317" s="11">
        <v>43.0</v>
      </c>
      <c r="F3317" s="21" t="s">
        <v>119</v>
      </c>
      <c r="G3317" s="15">
        <v>0.08590163934426227</v>
      </c>
      <c r="H3317" s="11" t="s">
        <v>33</v>
      </c>
      <c r="I3317" s="16">
        <v>0.664</v>
      </c>
      <c r="J3317" s="11" t="s">
        <v>2311</v>
      </c>
      <c r="K3317" s="11" t="s">
        <v>61</v>
      </c>
      <c r="L3317" s="11" t="s">
        <v>27</v>
      </c>
      <c r="M3317" s="11" t="s">
        <v>28</v>
      </c>
      <c r="N3317" s="11" t="s">
        <v>62</v>
      </c>
      <c r="O3317" s="11" t="s">
        <v>1714</v>
      </c>
      <c r="P3317" s="11" t="s">
        <v>58</v>
      </c>
      <c r="Q3317" s="20">
        <v>40389.0</v>
      </c>
      <c r="R3317" s="17">
        <f t="shared" si="2"/>
        <v>6.705825574</v>
      </c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>
        <f t="shared" si="8"/>
        <v>1</v>
      </c>
      <c r="AF3317" s="19">
        <f t="shared" si="13"/>
        <v>4</v>
      </c>
      <c r="AG3317" s="9"/>
      <c r="AH3317" s="9"/>
      <c r="AI3317" s="9"/>
    </row>
    <row r="3318" ht="15.0" customHeight="1">
      <c r="A3318" s="11">
        <v>3317.0</v>
      </c>
      <c r="B3318" s="12">
        <f t="shared" si="529"/>
        <v>40386</v>
      </c>
      <c r="C3318" s="13">
        <v>2010.0</v>
      </c>
      <c r="D3318" s="11" t="s">
        <v>23</v>
      </c>
      <c r="E3318" s="11">
        <v>47.0</v>
      </c>
      <c r="F3318" s="21" t="s">
        <v>190</v>
      </c>
      <c r="G3318" s="15">
        <v>0.0763677014360652</v>
      </c>
      <c r="H3318" s="11" t="s">
        <v>33</v>
      </c>
      <c r="I3318" s="16">
        <v>7.192</v>
      </c>
      <c r="J3318" s="11" t="s">
        <v>1578</v>
      </c>
      <c r="K3318" s="11" t="s">
        <v>26</v>
      </c>
      <c r="L3318" s="11" t="s">
        <v>27</v>
      </c>
      <c r="M3318" s="11" t="s">
        <v>49</v>
      </c>
      <c r="N3318" s="11" t="s">
        <v>73</v>
      </c>
      <c r="O3318" s="11" t="s">
        <v>191</v>
      </c>
      <c r="P3318" s="11" t="s">
        <v>99</v>
      </c>
      <c r="Q3318" s="20">
        <v>40389.0</v>
      </c>
      <c r="R3318" s="17">
        <f t="shared" si="2"/>
        <v>82.02593717</v>
      </c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>
        <f t="shared" si="8"/>
        <v>1</v>
      </c>
      <c r="AF3318" s="19">
        <f t="shared" si="13"/>
        <v>1</v>
      </c>
      <c r="AG3318" s="9"/>
      <c r="AH3318" s="9"/>
      <c r="AI3318" s="9"/>
    </row>
    <row r="3319" ht="15.0" customHeight="1">
      <c r="A3319" s="11">
        <v>3318.0</v>
      </c>
      <c r="B3319" s="12">
        <f t="shared" ref="B3319:B3322" si="530">DATE(2012,12,31)-887</f>
        <v>40387</v>
      </c>
      <c r="C3319" s="13">
        <v>2010.0</v>
      </c>
      <c r="D3319" s="11" t="s">
        <v>39</v>
      </c>
      <c r="E3319" s="11">
        <v>8.0</v>
      </c>
      <c r="F3319" s="21" t="s">
        <v>1710</v>
      </c>
      <c r="G3319" s="15">
        <v>0.03933283914010387</v>
      </c>
      <c r="H3319" s="11" t="s">
        <v>45</v>
      </c>
      <c r="I3319" s="16">
        <v>41.552</v>
      </c>
      <c r="J3319" s="11" t="s">
        <v>1326</v>
      </c>
      <c r="K3319" s="11" t="s">
        <v>26</v>
      </c>
      <c r="L3319" s="11" t="s">
        <v>48</v>
      </c>
      <c r="M3319" s="11" t="s">
        <v>49</v>
      </c>
      <c r="N3319" s="11" t="s">
        <v>85</v>
      </c>
      <c r="O3319" s="11" t="s">
        <v>1711</v>
      </c>
      <c r="P3319" s="11" t="s">
        <v>87</v>
      </c>
      <c r="Q3319" s="20">
        <v>40389.0</v>
      </c>
      <c r="R3319" s="17">
        <f t="shared" si="2"/>
        <v>40.77839964</v>
      </c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>
        <f t="shared" si="8"/>
        <v>4</v>
      </c>
      <c r="AF3319" s="19">
        <f t="shared" si="13"/>
        <v>1</v>
      </c>
      <c r="AG3319" s="9"/>
      <c r="AH3319" s="9"/>
      <c r="AI3319" s="9"/>
    </row>
    <row r="3320" ht="15.0" customHeight="1">
      <c r="A3320" s="11">
        <v>3319.0</v>
      </c>
      <c r="B3320" s="12">
        <f t="shared" si="530"/>
        <v>40387</v>
      </c>
      <c r="C3320" s="13">
        <v>2010.0</v>
      </c>
      <c r="D3320" s="11" t="s">
        <v>32</v>
      </c>
      <c r="E3320" s="11">
        <v>1.0</v>
      </c>
      <c r="F3320" s="21" t="s">
        <v>413</v>
      </c>
      <c r="G3320" s="15">
        <v>0.15835294117647059</v>
      </c>
      <c r="H3320" s="11" t="s">
        <v>33</v>
      </c>
      <c r="I3320" s="16">
        <v>4.608</v>
      </c>
      <c r="J3320" s="11" t="s">
        <v>1802</v>
      </c>
      <c r="K3320" s="11" t="s">
        <v>61</v>
      </c>
      <c r="L3320" s="11" t="s">
        <v>48</v>
      </c>
      <c r="M3320" s="11" t="s">
        <v>28</v>
      </c>
      <c r="N3320" s="11" t="s">
        <v>236</v>
      </c>
      <c r="O3320" s="11" t="s">
        <v>809</v>
      </c>
      <c r="P3320" s="11" t="s">
        <v>38</v>
      </c>
      <c r="Q3320" s="20">
        <v>40389.0</v>
      </c>
      <c r="R3320" s="17">
        <f t="shared" si="2"/>
        <v>2.265713882</v>
      </c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>
        <f t="shared" si="8"/>
        <v>4</v>
      </c>
      <c r="AF3320" s="19">
        <f t="shared" si="13"/>
        <v>4</v>
      </c>
      <c r="AG3320" s="9"/>
      <c r="AH3320" s="9"/>
      <c r="AI3320" s="9"/>
    </row>
    <row r="3321" ht="15.0" customHeight="1">
      <c r="A3321" s="11">
        <v>3320.0</v>
      </c>
      <c r="B3321" s="12">
        <f t="shared" si="530"/>
        <v>40387</v>
      </c>
      <c r="C3321" s="13">
        <v>2010.0</v>
      </c>
      <c r="D3321" s="11" t="s">
        <v>44</v>
      </c>
      <c r="E3321" s="11">
        <v>12.0</v>
      </c>
      <c r="F3321" s="21" t="s">
        <v>1764</v>
      </c>
      <c r="G3321" s="15">
        <v>0.08539325842696639</v>
      </c>
      <c r="H3321" s="11" t="s">
        <v>33</v>
      </c>
      <c r="I3321" s="16">
        <v>4.4</v>
      </c>
      <c r="J3321" s="11" t="s">
        <v>2394</v>
      </c>
      <c r="K3321" s="11" t="s">
        <v>65</v>
      </c>
      <c r="L3321" s="11" t="s">
        <v>48</v>
      </c>
      <c r="M3321" s="11" t="s">
        <v>66</v>
      </c>
      <c r="N3321" s="11" t="s">
        <v>67</v>
      </c>
      <c r="O3321" s="11" t="s">
        <v>1765</v>
      </c>
      <c r="P3321" s="11" t="s">
        <v>38</v>
      </c>
      <c r="Q3321" s="20">
        <v>40389.0</v>
      </c>
      <c r="R3321" s="17">
        <f t="shared" si="2"/>
        <v>55.60808989</v>
      </c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>
        <f t="shared" si="8"/>
        <v>4</v>
      </c>
      <c r="AF3321" s="19">
        <f t="shared" si="13"/>
        <v>5</v>
      </c>
      <c r="AG3321" s="9"/>
      <c r="AH3321" s="9"/>
      <c r="AI3321" s="9"/>
    </row>
    <row r="3322" ht="15.0" customHeight="1">
      <c r="A3322" s="11">
        <v>3321.0</v>
      </c>
      <c r="B3322" s="12">
        <f t="shared" si="530"/>
        <v>40387</v>
      </c>
      <c r="C3322" s="13">
        <v>2010.0</v>
      </c>
      <c r="D3322" s="11" t="s">
        <v>44</v>
      </c>
      <c r="E3322" s="11">
        <v>5.0</v>
      </c>
      <c r="F3322" s="21" t="s">
        <v>333</v>
      </c>
      <c r="G3322" s="15">
        <v>0.07333333333333333</v>
      </c>
      <c r="H3322" s="11" t="s">
        <v>33</v>
      </c>
      <c r="I3322" s="16">
        <v>1.6239999999999999</v>
      </c>
      <c r="J3322" s="11" t="s">
        <v>2394</v>
      </c>
      <c r="K3322" s="11" t="s">
        <v>65</v>
      </c>
      <c r="L3322" s="11" t="s">
        <v>48</v>
      </c>
      <c r="M3322" s="11" t="s">
        <v>28</v>
      </c>
      <c r="N3322" s="11" t="s">
        <v>62</v>
      </c>
      <c r="O3322" s="11" t="s">
        <v>335</v>
      </c>
      <c r="P3322" s="11" t="s">
        <v>58</v>
      </c>
      <c r="Q3322" s="20">
        <v>40389.0</v>
      </c>
      <c r="R3322" s="17">
        <f t="shared" si="2"/>
        <v>1.182426667</v>
      </c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>
        <f t="shared" si="8"/>
        <v>4</v>
      </c>
      <c r="AF3322" s="19">
        <f t="shared" si="13"/>
        <v>5</v>
      </c>
      <c r="AG3322" s="9"/>
      <c r="AH3322" s="9"/>
      <c r="AI3322" s="9"/>
    </row>
    <row r="3323" ht="15.0" customHeight="1">
      <c r="A3323" s="11">
        <v>3322.0</v>
      </c>
      <c r="B3323" s="12">
        <f t="shared" ref="B3323:B3330" si="531">DATE(2012,12,31)-886</f>
        <v>40388</v>
      </c>
      <c r="C3323" s="13">
        <v>2010.0</v>
      </c>
      <c r="D3323" s="11" t="s">
        <v>102</v>
      </c>
      <c r="E3323" s="11">
        <v>33.0</v>
      </c>
      <c r="F3323" s="21" t="s">
        <v>1156</v>
      </c>
      <c r="G3323" s="15">
        <v>0.020496986520143735</v>
      </c>
      <c r="H3323" s="11" t="s">
        <v>33</v>
      </c>
      <c r="I3323" s="16">
        <v>7.192</v>
      </c>
      <c r="J3323" s="11" t="s">
        <v>1170</v>
      </c>
      <c r="K3323" s="11" t="s">
        <v>61</v>
      </c>
      <c r="L3323" s="11" t="s">
        <v>27</v>
      </c>
      <c r="M3323" s="11" t="s">
        <v>66</v>
      </c>
      <c r="N3323" s="11" t="s">
        <v>80</v>
      </c>
      <c r="O3323" s="11" t="s">
        <v>2237</v>
      </c>
      <c r="P3323" s="11" t="s">
        <v>38</v>
      </c>
      <c r="Q3323" s="20">
        <v>40389.0</v>
      </c>
      <c r="R3323" s="17">
        <f t="shared" si="2"/>
        <v>105.5982609</v>
      </c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>
        <f t="shared" si="8"/>
        <v>1</v>
      </c>
      <c r="AF3323" s="19">
        <f t="shared" si="13"/>
        <v>4</v>
      </c>
      <c r="AG3323" s="9"/>
      <c r="AH3323" s="9"/>
      <c r="AI3323" s="9"/>
    </row>
    <row r="3324" ht="15.0" customHeight="1">
      <c r="A3324" s="11">
        <v>3323.0</v>
      </c>
      <c r="B3324" s="12">
        <f t="shared" si="531"/>
        <v>40388</v>
      </c>
      <c r="C3324" s="13">
        <v>2010.0</v>
      </c>
      <c r="D3324" s="11" t="s">
        <v>102</v>
      </c>
      <c r="E3324" s="11">
        <v>32.0</v>
      </c>
      <c r="F3324" s="21" t="s">
        <v>506</v>
      </c>
      <c r="G3324" s="15">
        <v>0.07824793388429743</v>
      </c>
      <c r="H3324" s="11" t="s">
        <v>33</v>
      </c>
      <c r="I3324" s="16">
        <v>2.2640000000000002</v>
      </c>
      <c r="J3324" s="11" t="s">
        <v>2075</v>
      </c>
      <c r="K3324" s="11" t="s">
        <v>35</v>
      </c>
      <c r="L3324" s="11" t="s">
        <v>48</v>
      </c>
      <c r="M3324" s="11" t="s">
        <v>49</v>
      </c>
      <c r="N3324" s="11" t="s">
        <v>73</v>
      </c>
      <c r="O3324" s="11" t="s">
        <v>1053</v>
      </c>
      <c r="P3324" s="11" t="s">
        <v>99</v>
      </c>
      <c r="Q3324" s="20">
        <v>40390.0</v>
      </c>
      <c r="R3324" s="17">
        <f t="shared" si="2"/>
        <v>17.45429712</v>
      </c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>
        <f t="shared" si="8"/>
        <v>4</v>
      </c>
      <c r="AF3324" s="19">
        <f t="shared" si="13"/>
        <v>2</v>
      </c>
      <c r="AG3324" s="9"/>
      <c r="AH3324" s="9"/>
      <c r="AI3324" s="9"/>
    </row>
    <row r="3325" ht="15.0" customHeight="1">
      <c r="A3325" s="11">
        <v>3324.0</v>
      </c>
      <c r="B3325" s="12">
        <f t="shared" si="531"/>
        <v>40388</v>
      </c>
      <c r="C3325" s="13">
        <v>2010.0</v>
      </c>
      <c r="D3325" s="11" t="s">
        <v>23</v>
      </c>
      <c r="E3325" s="11">
        <v>29.0</v>
      </c>
      <c r="F3325" s="21" t="s">
        <v>122</v>
      </c>
      <c r="G3325" s="15">
        <v>0.032550015878056525</v>
      </c>
      <c r="H3325" s="11" t="s">
        <v>33</v>
      </c>
      <c r="I3325" s="16">
        <v>3.2</v>
      </c>
      <c r="J3325" s="11" t="s">
        <v>1799</v>
      </c>
      <c r="K3325" s="11" t="s">
        <v>117</v>
      </c>
      <c r="L3325" s="11" t="s">
        <v>48</v>
      </c>
      <c r="M3325" s="11" t="s">
        <v>66</v>
      </c>
      <c r="N3325" s="11" t="s">
        <v>67</v>
      </c>
      <c r="O3325" s="11" t="s">
        <v>1485</v>
      </c>
      <c r="P3325" s="11" t="s">
        <v>38</v>
      </c>
      <c r="Q3325" s="20">
        <v>40390.0</v>
      </c>
      <c r="R3325" s="17">
        <f t="shared" si="2"/>
        <v>19.83272467</v>
      </c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>
        <f t="shared" si="8"/>
        <v>4</v>
      </c>
      <c r="AF3325" s="19" t="b">
        <f t="shared" si="13"/>
        <v>0</v>
      </c>
      <c r="AG3325" s="9"/>
      <c r="AH3325" s="9"/>
      <c r="AI3325" s="9"/>
    </row>
    <row r="3326" ht="15.0" customHeight="1">
      <c r="A3326" s="11">
        <v>3325.0</v>
      </c>
      <c r="B3326" s="12">
        <f t="shared" si="531"/>
        <v>40388</v>
      </c>
      <c r="C3326" s="13">
        <v>2010.0</v>
      </c>
      <c r="D3326" s="11" t="s">
        <v>23</v>
      </c>
      <c r="E3326" s="11">
        <v>26.0</v>
      </c>
      <c r="F3326" s="21" t="s">
        <v>1254</v>
      </c>
      <c r="G3326" s="15">
        <v>0.034701986754966774</v>
      </c>
      <c r="H3326" s="11" t="s">
        <v>24</v>
      </c>
      <c r="I3326" s="16">
        <v>5.368</v>
      </c>
      <c r="J3326" s="11" t="s">
        <v>1799</v>
      </c>
      <c r="K3326" s="11" t="s">
        <v>117</v>
      </c>
      <c r="L3326" s="11" t="s">
        <v>48</v>
      </c>
      <c r="M3326" s="11" t="s">
        <v>28</v>
      </c>
      <c r="N3326" s="11" t="s">
        <v>236</v>
      </c>
      <c r="O3326" s="11" t="s">
        <v>1565</v>
      </c>
      <c r="P3326" s="11" t="s">
        <v>38</v>
      </c>
      <c r="Q3326" s="20">
        <v>40390.0</v>
      </c>
      <c r="R3326" s="17">
        <f t="shared" si="2"/>
        <v>21.75009483</v>
      </c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>
        <f t="shared" si="8"/>
        <v>4</v>
      </c>
      <c r="AF3326" s="19" t="b">
        <f t="shared" si="13"/>
        <v>0</v>
      </c>
      <c r="AG3326" s="9"/>
      <c r="AH3326" s="9"/>
      <c r="AI3326" s="9"/>
    </row>
    <row r="3327" ht="15.0" customHeight="1">
      <c r="A3327" s="11">
        <v>3326.0</v>
      </c>
      <c r="B3327" s="12">
        <f t="shared" si="531"/>
        <v>40388</v>
      </c>
      <c r="C3327" s="13">
        <v>2010.0</v>
      </c>
      <c r="D3327" s="11" t="s">
        <v>32</v>
      </c>
      <c r="E3327" s="11">
        <v>31.0</v>
      </c>
      <c r="F3327" s="21" t="s">
        <v>565</v>
      </c>
      <c r="G3327" s="15">
        <v>0.020694964333639314</v>
      </c>
      <c r="H3327" s="11" t="s">
        <v>33</v>
      </c>
      <c r="I3327" s="16">
        <v>15.991999999999999</v>
      </c>
      <c r="J3327" s="11" t="s">
        <v>1018</v>
      </c>
      <c r="K3327" s="11" t="s">
        <v>61</v>
      </c>
      <c r="L3327" s="11" t="s">
        <v>41</v>
      </c>
      <c r="M3327" s="11" t="s">
        <v>28</v>
      </c>
      <c r="N3327" s="11" t="s">
        <v>29</v>
      </c>
      <c r="O3327" s="11" t="s">
        <v>566</v>
      </c>
      <c r="P3327" s="11" t="s">
        <v>38</v>
      </c>
      <c r="Q3327" s="20">
        <v>40390.0</v>
      </c>
      <c r="R3327" s="17">
        <f t="shared" si="2"/>
        <v>114.7823846</v>
      </c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>
        <f t="shared" si="8"/>
        <v>3</v>
      </c>
      <c r="AF3327" s="19">
        <f t="shared" si="13"/>
        <v>4</v>
      </c>
      <c r="AG3327" s="9"/>
      <c r="AH3327" s="9"/>
      <c r="AI3327" s="9"/>
    </row>
    <row r="3328" ht="15.0" customHeight="1">
      <c r="A3328" s="11">
        <v>3327.0</v>
      </c>
      <c r="B3328" s="12">
        <f t="shared" si="531"/>
        <v>40388</v>
      </c>
      <c r="C3328" s="13">
        <v>2010.0</v>
      </c>
      <c r="D3328" s="11" t="s">
        <v>32</v>
      </c>
      <c r="E3328" s="11">
        <v>47.0</v>
      </c>
      <c r="F3328" s="21" t="s">
        <v>178</v>
      </c>
      <c r="G3328" s="15">
        <v>0.0307954758482784</v>
      </c>
      <c r="H3328" s="11" t="s">
        <v>33</v>
      </c>
      <c r="I3328" s="16">
        <v>4.736</v>
      </c>
      <c r="J3328" s="11" t="s">
        <v>1554</v>
      </c>
      <c r="K3328" s="11" t="s">
        <v>61</v>
      </c>
      <c r="L3328" s="11" t="s">
        <v>27</v>
      </c>
      <c r="M3328" s="11" t="s">
        <v>66</v>
      </c>
      <c r="N3328" s="11" t="s">
        <v>80</v>
      </c>
      <c r="O3328" s="11" t="s">
        <v>1579</v>
      </c>
      <c r="P3328" s="11" t="s">
        <v>38</v>
      </c>
      <c r="Q3328" s="20">
        <v>40390.0</v>
      </c>
      <c r="R3328" s="17">
        <f t="shared" si="2"/>
        <v>95.52867472</v>
      </c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>
        <f t="shared" si="8"/>
        <v>1</v>
      </c>
      <c r="AF3328" s="19">
        <f t="shared" si="13"/>
        <v>4</v>
      </c>
      <c r="AG3328" s="9"/>
      <c r="AH3328" s="9"/>
      <c r="AI3328" s="9"/>
    </row>
    <row r="3329" ht="15.0" customHeight="1">
      <c r="A3329" s="11">
        <v>3328.0</v>
      </c>
      <c r="B3329" s="12">
        <f t="shared" si="531"/>
        <v>40388</v>
      </c>
      <c r="C3329" s="13">
        <v>2010.0</v>
      </c>
      <c r="D3329" s="11" t="s">
        <v>32</v>
      </c>
      <c r="E3329" s="11">
        <v>46.0</v>
      </c>
      <c r="F3329" s="21" t="s">
        <v>799</v>
      </c>
      <c r="G3329" s="15">
        <v>0.03025090677934413</v>
      </c>
      <c r="H3329" s="11" t="s">
        <v>45</v>
      </c>
      <c r="I3329" s="16">
        <v>45.6</v>
      </c>
      <c r="J3329" s="11" t="s">
        <v>193</v>
      </c>
      <c r="K3329" s="11" t="s">
        <v>61</v>
      </c>
      <c r="L3329" s="11" t="s">
        <v>48</v>
      </c>
      <c r="M3329" s="11" t="s">
        <v>49</v>
      </c>
      <c r="N3329" s="11" t="s">
        <v>50</v>
      </c>
      <c r="O3329" s="11" t="s">
        <v>801</v>
      </c>
      <c r="P3329" s="11" t="s">
        <v>52</v>
      </c>
      <c r="Q3329" s="20">
        <v>40390.0</v>
      </c>
      <c r="R3329" s="17">
        <f t="shared" si="2"/>
        <v>392.2635082</v>
      </c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>
        <f t="shared" si="8"/>
        <v>4</v>
      </c>
      <c r="AF3329" s="19">
        <f t="shared" si="13"/>
        <v>4</v>
      </c>
      <c r="AG3329" s="9"/>
      <c r="AH3329" s="9"/>
      <c r="AI3329" s="9"/>
    </row>
    <row r="3330" ht="15.0" customHeight="1">
      <c r="A3330" s="11">
        <v>3329.0</v>
      </c>
      <c r="B3330" s="12">
        <f t="shared" si="531"/>
        <v>40388</v>
      </c>
      <c r="C3330" s="13">
        <v>2010.0</v>
      </c>
      <c r="D3330" s="11" t="s">
        <v>32</v>
      </c>
      <c r="E3330" s="11">
        <v>48.0</v>
      </c>
      <c r="F3330" s="21" t="s">
        <v>1227</v>
      </c>
      <c r="G3330" s="15">
        <v>0.03127272727272725</v>
      </c>
      <c r="H3330" s="11" t="s">
        <v>33</v>
      </c>
      <c r="I3330" s="16">
        <v>0.96</v>
      </c>
      <c r="J3330" s="11" t="s">
        <v>193</v>
      </c>
      <c r="K3330" s="11" t="s">
        <v>61</v>
      </c>
      <c r="L3330" s="11" t="s">
        <v>48</v>
      </c>
      <c r="M3330" s="11" t="s">
        <v>28</v>
      </c>
      <c r="N3330" s="11" t="s">
        <v>62</v>
      </c>
      <c r="O3330" s="11" t="s">
        <v>2395</v>
      </c>
      <c r="P3330" s="11" t="s">
        <v>58</v>
      </c>
      <c r="Q3330" s="20">
        <v>40390.0</v>
      </c>
      <c r="R3330" s="17">
        <f t="shared" si="2"/>
        <v>3.332421818</v>
      </c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>
        <f t="shared" si="8"/>
        <v>4</v>
      </c>
      <c r="AF3330" s="19">
        <f t="shared" si="13"/>
        <v>4</v>
      </c>
      <c r="AG3330" s="9"/>
      <c r="AH3330" s="9"/>
      <c r="AI3330" s="9"/>
    </row>
    <row r="3331" ht="15.0" customHeight="1">
      <c r="A3331" s="11">
        <v>3330.0</v>
      </c>
      <c r="B3331" s="12">
        <f t="shared" ref="B3331:B3338" si="532">DATE(2012,12,31)-885</f>
        <v>40389</v>
      </c>
      <c r="C3331" s="13">
        <v>2010.0</v>
      </c>
      <c r="D3331" s="11" t="s">
        <v>23</v>
      </c>
      <c r="E3331" s="11">
        <v>47.0</v>
      </c>
      <c r="F3331" s="21" t="s">
        <v>119</v>
      </c>
      <c r="G3331" s="15">
        <v>0.09882352941176471</v>
      </c>
      <c r="H3331" s="11" t="s">
        <v>33</v>
      </c>
      <c r="I3331" s="16">
        <v>1.192</v>
      </c>
      <c r="J3331" s="11" t="s">
        <v>1170</v>
      </c>
      <c r="K3331" s="11" t="s">
        <v>61</v>
      </c>
      <c r="L3331" s="11" t="s">
        <v>27</v>
      </c>
      <c r="M3331" s="11" t="s">
        <v>28</v>
      </c>
      <c r="N3331" s="11" t="s">
        <v>42</v>
      </c>
      <c r="O3331" s="11" t="s">
        <v>1129</v>
      </c>
      <c r="P3331" s="11" t="s">
        <v>38</v>
      </c>
      <c r="Q3331" s="20">
        <v>40390.0</v>
      </c>
      <c r="R3331" s="17">
        <f t="shared" si="2"/>
        <v>8.478268235</v>
      </c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>
        <f t="shared" si="8"/>
        <v>1</v>
      </c>
      <c r="AF3331" s="19">
        <f t="shared" si="13"/>
        <v>4</v>
      </c>
      <c r="AG3331" s="9"/>
      <c r="AH3331" s="9"/>
      <c r="AI3331" s="9"/>
    </row>
    <row r="3332" ht="15.0" customHeight="1">
      <c r="A3332" s="11">
        <v>3331.0</v>
      </c>
      <c r="B3332" s="12">
        <f t="shared" si="532"/>
        <v>40389</v>
      </c>
      <c r="C3332" s="13">
        <v>2010.0</v>
      </c>
      <c r="D3332" s="11" t="s">
        <v>23</v>
      </c>
      <c r="E3332" s="11">
        <v>39.0</v>
      </c>
      <c r="F3332" s="21" t="s">
        <v>319</v>
      </c>
      <c r="G3332" s="15">
        <v>0.08835820895522394</v>
      </c>
      <c r="H3332" s="11" t="s">
        <v>33</v>
      </c>
      <c r="I3332" s="16">
        <v>0.7440000000000001</v>
      </c>
      <c r="J3332" s="11" t="s">
        <v>1170</v>
      </c>
      <c r="K3332" s="11" t="s">
        <v>61</v>
      </c>
      <c r="L3332" s="11" t="s">
        <v>27</v>
      </c>
      <c r="M3332" s="11" t="s">
        <v>28</v>
      </c>
      <c r="N3332" s="11" t="s">
        <v>62</v>
      </c>
      <c r="O3332" s="11" t="s">
        <v>1427</v>
      </c>
      <c r="P3332" s="11" t="s">
        <v>58</v>
      </c>
      <c r="Q3332" s="20">
        <v>40390.0</v>
      </c>
      <c r="R3332" s="17">
        <f t="shared" si="2"/>
        <v>9.714454925</v>
      </c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>
        <f t="shared" si="8"/>
        <v>1</v>
      </c>
      <c r="AF3332" s="19">
        <f t="shared" si="13"/>
        <v>4</v>
      </c>
      <c r="AG3332" s="9"/>
      <c r="AH3332" s="9"/>
      <c r="AI3332" s="9"/>
    </row>
    <row r="3333" ht="15.0" customHeight="1">
      <c r="A3333" s="11">
        <v>3332.0</v>
      </c>
      <c r="B3333" s="12">
        <f t="shared" si="532"/>
        <v>40389</v>
      </c>
      <c r="C3333" s="13">
        <v>2010.0</v>
      </c>
      <c r="D3333" s="11" t="s">
        <v>32</v>
      </c>
      <c r="E3333" s="11">
        <v>2.0</v>
      </c>
      <c r="F3333" s="21" t="s">
        <v>290</v>
      </c>
      <c r="G3333" s="15">
        <v>0.1529729729729729</v>
      </c>
      <c r="H3333" s="11" t="s">
        <v>33</v>
      </c>
      <c r="I3333" s="16">
        <v>4.136</v>
      </c>
      <c r="J3333" s="11" t="s">
        <v>958</v>
      </c>
      <c r="K3333" s="11" t="s">
        <v>35</v>
      </c>
      <c r="L3333" s="11" t="s">
        <v>27</v>
      </c>
      <c r="M3333" s="11" t="s">
        <v>28</v>
      </c>
      <c r="N3333" s="11" t="s">
        <v>56</v>
      </c>
      <c r="O3333" s="11" t="s">
        <v>699</v>
      </c>
      <c r="P3333" s="11" t="s">
        <v>38</v>
      </c>
      <c r="Q3333" s="20">
        <v>40391.0</v>
      </c>
      <c r="R3333" s="17">
        <f t="shared" si="2"/>
        <v>1.917669189</v>
      </c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>
        <f t="shared" si="8"/>
        <v>1</v>
      </c>
      <c r="AF3333" s="19">
        <f t="shared" si="13"/>
        <v>2</v>
      </c>
      <c r="AG3333" s="9"/>
      <c r="AH3333" s="9"/>
      <c r="AI3333" s="9"/>
    </row>
    <row r="3334" ht="15.0" customHeight="1">
      <c r="A3334" s="11">
        <v>3333.0</v>
      </c>
      <c r="B3334" s="12">
        <f t="shared" si="532"/>
        <v>40389</v>
      </c>
      <c r="C3334" s="13">
        <v>2010.0</v>
      </c>
      <c r="D3334" s="11" t="s">
        <v>32</v>
      </c>
      <c r="E3334" s="11">
        <v>24.0</v>
      </c>
      <c r="F3334" s="21" t="s">
        <v>2030</v>
      </c>
      <c r="G3334" s="15">
        <v>0.052024033718948925</v>
      </c>
      <c r="H3334" s="11" t="s">
        <v>33</v>
      </c>
      <c r="I3334" s="16">
        <v>13.088000000000001</v>
      </c>
      <c r="J3334" s="11" t="s">
        <v>958</v>
      </c>
      <c r="K3334" s="11" t="s">
        <v>35</v>
      </c>
      <c r="L3334" s="11" t="s">
        <v>27</v>
      </c>
      <c r="M3334" s="11" t="s">
        <v>28</v>
      </c>
      <c r="N3334" s="11" t="s">
        <v>29</v>
      </c>
      <c r="O3334" s="11" t="s">
        <v>2031</v>
      </c>
      <c r="P3334" s="11" t="s">
        <v>38</v>
      </c>
      <c r="Q3334" s="20">
        <v>40391.0</v>
      </c>
      <c r="R3334" s="17">
        <f t="shared" si="2"/>
        <v>54.99398176</v>
      </c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>
        <f t="shared" si="8"/>
        <v>1</v>
      </c>
      <c r="AF3334" s="19">
        <f t="shared" si="13"/>
        <v>2</v>
      </c>
      <c r="AG3334" s="9"/>
      <c r="AH3334" s="9"/>
      <c r="AI3334" s="9"/>
    </row>
    <row r="3335" ht="15.0" customHeight="1">
      <c r="A3335" s="11">
        <v>3334.0</v>
      </c>
      <c r="B3335" s="12">
        <f t="shared" si="532"/>
        <v>40389</v>
      </c>
      <c r="C3335" s="13">
        <v>2010.0</v>
      </c>
      <c r="D3335" s="11" t="s">
        <v>23</v>
      </c>
      <c r="E3335" s="11">
        <v>10.0</v>
      </c>
      <c r="F3335" s="21" t="s">
        <v>1151</v>
      </c>
      <c r="G3335" s="15">
        <v>0.009873659624163877</v>
      </c>
      <c r="H3335" s="11" t="s">
        <v>45</v>
      </c>
      <c r="I3335" s="16">
        <v>33.6</v>
      </c>
      <c r="J3335" s="11" t="s">
        <v>34</v>
      </c>
      <c r="K3335" s="11" t="s">
        <v>35</v>
      </c>
      <c r="L3335" s="11" t="s">
        <v>36</v>
      </c>
      <c r="M3335" s="11" t="s">
        <v>49</v>
      </c>
      <c r="N3335" s="11" t="s">
        <v>50</v>
      </c>
      <c r="O3335" s="11" t="s">
        <v>1153</v>
      </c>
      <c r="P3335" s="11" t="s">
        <v>52</v>
      </c>
      <c r="Q3335" s="20">
        <v>40391.0</v>
      </c>
      <c r="R3335" s="17">
        <f t="shared" si="2"/>
        <v>9.208174965</v>
      </c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>
        <f t="shared" si="8"/>
        <v>2</v>
      </c>
      <c r="AF3335" s="19">
        <f t="shared" si="13"/>
        <v>2</v>
      </c>
      <c r="AG3335" s="9"/>
      <c r="AH3335" s="9"/>
      <c r="AI3335" s="9"/>
    </row>
    <row r="3336" ht="15.0" customHeight="1">
      <c r="A3336" s="11">
        <v>3335.0</v>
      </c>
      <c r="B3336" s="12">
        <f t="shared" si="532"/>
        <v>40389</v>
      </c>
      <c r="C3336" s="13">
        <v>2010.0</v>
      </c>
      <c r="D3336" s="11" t="s">
        <v>23</v>
      </c>
      <c r="E3336" s="11">
        <v>47.0</v>
      </c>
      <c r="F3336" s="21" t="s">
        <v>552</v>
      </c>
      <c r="G3336" s="15">
        <v>0.08811425548796607</v>
      </c>
      <c r="H3336" s="11" t="s">
        <v>33</v>
      </c>
      <c r="I3336" s="16">
        <v>6.384</v>
      </c>
      <c r="J3336" s="11" t="s">
        <v>34</v>
      </c>
      <c r="K3336" s="11" t="s">
        <v>35</v>
      </c>
      <c r="L3336" s="11" t="s">
        <v>36</v>
      </c>
      <c r="M3336" s="11" t="s">
        <v>49</v>
      </c>
      <c r="N3336" s="11" t="s">
        <v>73</v>
      </c>
      <c r="O3336" s="11" t="s">
        <v>1343</v>
      </c>
      <c r="P3336" s="11" t="s">
        <v>58</v>
      </c>
      <c r="Q3336" s="20">
        <v>40391.0</v>
      </c>
      <c r="R3336" s="17">
        <f t="shared" si="2"/>
        <v>30.38038546</v>
      </c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>
        <f t="shared" si="8"/>
        <v>2</v>
      </c>
      <c r="AF3336" s="19">
        <f t="shared" si="13"/>
        <v>2</v>
      </c>
      <c r="AG3336" s="9"/>
      <c r="AH3336" s="9"/>
      <c r="AI3336" s="9"/>
    </row>
    <row r="3337" ht="15.0" customHeight="1">
      <c r="A3337" s="11">
        <v>3336.0</v>
      </c>
      <c r="B3337" s="12">
        <f t="shared" si="532"/>
        <v>40389</v>
      </c>
      <c r="C3337" s="13">
        <v>2010.0</v>
      </c>
      <c r="D3337" s="11" t="s">
        <v>102</v>
      </c>
      <c r="E3337" s="11">
        <v>41.0</v>
      </c>
      <c r="F3337" s="21" t="s">
        <v>1136</v>
      </c>
      <c r="G3337" s="15">
        <v>0.07940838766176905</v>
      </c>
      <c r="H3337" s="11" t="s">
        <v>33</v>
      </c>
      <c r="I3337" s="16">
        <v>7.192</v>
      </c>
      <c r="J3337" s="11" t="s">
        <v>2276</v>
      </c>
      <c r="K3337" s="11" t="s">
        <v>65</v>
      </c>
      <c r="L3337" s="11" t="s">
        <v>36</v>
      </c>
      <c r="M3337" s="11" t="s">
        <v>28</v>
      </c>
      <c r="N3337" s="11" t="s">
        <v>62</v>
      </c>
      <c r="O3337" s="11" t="s">
        <v>1176</v>
      </c>
      <c r="P3337" s="11" t="s">
        <v>99</v>
      </c>
      <c r="Q3337" s="20">
        <v>40391.0</v>
      </c>
      <c r="R3337" s="17">
        <f t="shared" si="2"/>
        <v>75.1276403</v>
      </c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>
        <f t="shared" si="8"/>
        <v>2</v>
      </c>
      <c r="AF3337" s="19">
        <f t="shared" si="13"/>
        <v>5</v>
      </c>
      <c r="AG3337" s="9"/>
      <c r="AH3337" s="9"/>
      <c r="AI3337" s="9"/>
    </row>
    <row r="3338" ht="15.0" customHeight="1">
      <c r="A3338" s="11">
        <v>3337.0</v>
      </c>
      <c r="B3338" s="12">
        <f t="shared" si="532"/>
        <v>40389</v>
      </c>
      <c r="C3338" s="13">
        <v>2010.0</v>
      </c>
      <c r="D3338" s="11" t="s">
        <v>102</v>
      </c>
      <c r="E3338" s="11">
        <v>19.0</v>
      </c>
      <c r="F3338" s="21" t="s">
        <v>2310</v>
      </c>
      <c r="G3338" s="15">
        <v>0.10096754439681556</v>
      </c>
      <c r="H3338" s="11" t="s">
        <v>45</v>
      </c>
      <c r="I3338" s="16">
        <v>37.272000000000006</v>
      </c>
      <c r="J3338" s="11" t="s">
        <v>2276</v>
      </c>
      <c r="K3338" s="11" t="s">
        <v>65</v>
      </c>
      <c r="L3338" s="11" t="s">
        <v>36</v>
      </c>
      <c r="M3338" s="11" t="s">
        <v>49</v>
      </c>
      <c r="N3338" s="11" t="s">
        <v>85</v>
      </c>
      <c r="O3338" s="11" t="s">
        <v>2312</v>
      </c>
      <c r="P3338" s="11" t="s">
        <v>87</v>
      </c>
      <c r="Q3338" s="20">
        <v>40391.0</v>
      </c>
      <c r="R3338" s="17">
        <f t="shared" si="2"/>
        <v>88.93948277</v>
      </c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>
        <f t="shared" si="8"/>
        <v>2</v>
      </c>
      <c r="AF3338" s="19">
        <f t="shared" si="13"/>
        <v>5</v>
      </c>
      <c r="AG3338" s="9"/>
      <c r="AH3338" s="9"/>
      <c r="AI3338" s="9"/>
    </row>
    <row r="3339" ht="15.0" customHeight="1">
      <c r="A3339" s="11">
        <v>3338.0</v>
      </c>
      <c r="B3339" s="12">
        <f t="shared" ref="B3339:B3344" si="533">DATE(2012,12,31)-884</f>
        <v>40390</v>
      </c>
      <c r="C3339" s="13">
        <v>2010.0</v>
      </c>
      <c r="D3339" s="11" t="s">
        <v>102</v>
      </c>
      <c r="E3339" s="11">
        <v>13.0</v>
      </c>
      <c r="F3339" s="21" t="s">
        <v>886</v>
      </c>
      <c r="G3339" s="15">
        <v>0.06859063055939907</v>
      </c>
      <c r="H3339" s="11" t="s">
        <v>45</v>
      </c>
      <c r="I3339" s="16">
        <v>48.0</v>
      </c>
      <c r="J3339" s="11" t="s">
        <v>2148</v>
      </c>
      <c r="K3339" s="11" t="s">
        <v>65</v>
      </c>
      <c r="L3339" s="11" t="s">
        <v>27</v>
      </c>
      <c r="M3339" s="11" t="s">
        <v>28</v>
      </c>
      <c r="N3339" s="11" t="s">
        <v>197</v>
      </c>
      <c r="O3339" s="11" t="s">
        <v>888</v>
      </c>
      <c r="P3339" s="11" t="s">
        <v>52</v>
      </c>
      <c r="Q3339" s="20">
        <v>40391.0</v>
      </c>
      <c r="R3339" s="17">
        <f t="shared" si="2"/>
        <v>64.63981024</v>
      </c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>
        <f t="shared" si="8"/>
        <v>1</v>
      </c>
      <c r="AF3339" s="19">
        <f t="shared" si="13"/>
        <v>5</v>
      </c>
      <c r="AG3339" s="9"/>
      <c r="AH3339" s="9"/>
      <c r="AI3339" s="9"/>
    </row>
    <row r="3340" ht="15.0" customHeight="1">
      <c r="A3340" s="11">
        <v>3339.0</v>
      </c>
      <c r="B3340" s="12">
        <f t="shared" si="533"/>
        <v>40390</v>
      </c>
      <c r="C3340" s="13">
        <v>2010.0</v>
      </c>
      <c r="D3340" s="11" t="s">
        <v>32</v>
      </c>
      <c r="E3340" s="11">
        <v>49.0</v>
      </c>
      <c r="F3340" s="21" t="s">
        <v>700</v>
      </c>
      <c r="G3340" s="15">
        <v>0.09778705636743215</v>
      </c>
      <c r="H3340" s="11" t="s">
        <v>33</v>
      </c>
      <c r="I3340" s="16">
        <v>4.976</v>
      </c>
      <c r="J3340" s="11" t="s">
        <v>910</v>
      </c>
      <c r="K3340" s="11" t="s">
        <v>117</v>
      </c>
      <c r="L3340" s="11" t="s">
        <v>48</v>
      </c>
      <c r="M3340" s="11" t="s">
        <v>49</v>
      </c>
      <c r="N3340" s="11" t="s">
        <v>73</v>
      </c>
      <c r="O3340" s="11" t="s">
        <v>701</v>
      </c>
      <c r="P3340" s="11" t="s">
        <v>38</v>
      </c>
      <c r="Q3340" s="20">
        <v>40391.0</v>
      </c>
      <c r="R3340" s="17">
        <f t="shared" si="2"/>
        <v>46.48561971</v>
      </c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>
        <f t="shared" si="8"/>
        <v>4</v>
      </c>
      <c r="AF3340" s="19" t="b">
        <f t="shared" si="13"/>
        <v>0</v>
      </c>
      <c r="AG3340" s="9"/>
      <c r="AH3340" s="9"/>
      <c r="AI3340" s="9"/>
    </row>
    <row r="3341" ht="15.0" customHeight="1">
      <c r="A3341" s="11">
        <v>3340.0</v>
      </c>
      <c r="B3341" s="12">
        <f t="shared" si="533"/>
        <v>40390</v>
      </c>
      <c r="C3341" s="13">
        <v>2010.0</v>
      </c>
      <c r="D3341" s="11" t="s">
        <v>32</v>
      </c>
      <c r="E3341" s="11">
        <v>20.0</v>
      </c>
      <c r="F3341" s="21" t="s">
        <v>914</v>
      </c>
      <c r="G3341" s="15">
        <v>0.044031590823617794</v>
      </c>
      <c r="H3341" s="11" t="s">
        <v>33</v>
      </c>
      <c r="I3341" s="16">
        <v>10.384</v>
      </c>
      <c r="J3341" s="11" t="s">
        <v>910</v>
      </c>
      <c r="K3341" s="11" t="s">
        <v>117</v>
      </c>
      <c r="L3341" s="11" t="s">
        <v>48</v>
      </c>
      <c r="M3341" s="11" t="s">
        <v>28</v>
      </c>
      <c r="N3341" s="11" t="s">
        <v>42</v>
      </c>
      <c r="O3341" s="11" t="s">
        <v>915</v>
      </c>
      <c r="P3341" s="11" t="s">
        <v>38</v>
      </c>
      <c r="Q3341" s="20">
        <v>40391.0</v>
      </c>
      <c r="R3341" s="17">
        <f t="shared" si="2"/>
        <v>22.38495627</v>
      </c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>
        <f t="shared" si="8"/>
        <v>4</v>
      </c>
      <c r="AF3341" s="19" t="b">
        <f t="shared" si="13"/>
        <v>0</v>
      </c>
      <c r="AG3341" s="9"/>
      <c r="AH3341" s="9"/>
      <c r="AI3341" s="9"/>
    </row>
    <row r="3342" ht="15.0" customHeight="1">
      <c r="A3342" s="11">
        <v>3341.0</v>
      </c>
      <c r="B3342" s="12">
        <f t="shared" si="533"/>
        <v>40390</v>
      </c>
      <c r="C3342" s="13">
        <v>2010.0</v>
      </c>
      <c r="D3342" s="11" t="s">
        <v>44</v>
      </c>
      <c r="E3342" s="11">
        <v>41.0</v>
      </c>
      <c r="F3342" s="21" t="s">
        <v>1911</v>
      </c>
      <c r="G3342" s="15">
        <v>0.033399098451688786</v>
      </c>
      <c r="H3342" s="11" t="s">
        <v>33</v>
      </c>
      <c r="I3342" s="16">
        <v>11.776000000000002</v>
      </c>
      <c r="J3342" s="11" t="s">
        <v>1963</v>
      </c>
      <c r="K3342" s="11" t="s">
        <v>65</v>
      </c>
      <c r="L3342" s="11" t="s">
        <v>41</v>
      </c>
      <c r="M3342" s="11" t="s">
        <v>28</v>
      </c>
      <c r="N3342" s="11" t="s">
        <v>236</v>
      </c>
      <c r="O3342" s="11" t="s">
        <v>1912</v>
      </c>
      <c r="P3342" s="11" t="s">
        <v>38</v>
      </c>
      <c r="Q3342" s="20">
        <v>40392.0</v>
      </c>
      <c r="R3342" s="17">
        <f t="shared" si="2"/>
        <v>49.41650449</v>
      </c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>
        <f t="shared" si="8"/>
        <v>3</v>
      </c>
      <c r="AF3342" s="19">
        <f t="shared" si="13"/>
        <v>5</v>
      </c>
      <c r="AG3342" s="9"/>
      <c r="AH3342" s="9"/>
      <c r="AI3342" s="9"/>
    </row>
    <row r="3343" ht="15.0" customHeight="1">
      <c r="A3343" s="11">
        <v>3342.0</v>
      </c>
      <c r="B3343" s="12">
        <f t="shared" si="533"/>
        <v>40390</v>
      </c>
      <c r="C3343" s="13">
        <v>2010.0</v>
      </c>
      <c r="D3343" s="11" t="s">
        <v>23</v>
      </c>
      <c r="E3343" s="11">
        <v>3.0</v>
      </c>
      <c r="F3343" s="21" t="s">
        <v>1327</v>
      </c>
      <c r="G3343" s="15">
        <v>0.017652030130442677</v>
      </c>
      <c r="H3343" s="11" t="s">
        <v>33</v>
      </c>
      <c r="I3343" s="16">
        <v>15.991999999999999</v>
      </c>
      <c r="J3343" s="11" t="s">
        <v>1276</v>
      </c>
      <c r="K3343" s="11" t="s">
        <v>47</v>
      </c>
      <c r="L3343" s="11" t="s">
        <v>36</v>
      </c>
      <c r="M3343" s="11" t="s">
        <v>28</v>
      </c>
      <c r="N3343" s="11" t="s">
        <v>42</v>
      </c>
      <c r="O3343" s="11" t="s">
        <v>1328</v>
      </c>
      <c r="P3343" s="11" t="s">
        <v>38</v>
      </c>
      <c r="Q3343" s="20">
        <v>40392.0</v>
      </c>
      <c r="R3343" s="17">
        <f t="shared" si="2"/>
        <v>9.438399295</v>
      </c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>
        <f t="shared" si="8"/>
        <v>2</v>
      </c>
      <c r="AF3343" s="19">
        <f t="shared" si="13"/>
        <v>3</v>
      </c>
      <c r="AG3343" s="9"/>
      <c r="AH3343" s="9"/>
      <c r="AI3343" s="9"/>
    </row>
    <row r="3344" ht="15.0" customHeight="1">
      <c r="A3344" s="11">
        <v>3343.0</v>
      </c>
      <c r="B3344" s="12">
        <f t="shared" si="533"/>
        <v>40390</v>
      </c>
      <c r="C3344" s="13">
        <v>2010.0</v>
      </c>
      <c r="D3344" s="11" t="s">
        <v>23</v>
      </c>
      <c r="E3344" s="11">
        <v>15.0</v>
      </c>
      <c r="F3344" s="21" t="s">
        <v>869</v>
      </c>
      <c r="G3344" s="15">
        <v>0.03956197854588809</v>
      </c>
      <c r="H3344" s="11" t="s">
        <v>33</v>
      </c>
      <c r="I3344" s="16">
        <v>0.792</v>
      </c>
      <c r="J3344" s="11" t="s">
        <v>1276</v>
      </c>
      <c r="K3344" s="11" t="s">
        <v>47</v>
      </c>
      <c r="L3344" s="11" t="s">
        <v>36</v>
      </c>
      <c r="M3344" s="11" t="s">
        <v>66</v>
      </c>
      <c r="N3344" s="11" t="s">
        <v>80</v>
      </c>
      <c r="O3344" s="11" t="s">
        <v>870</v>
      </c>
      <c r="P3344" s="11" t="s">
        <v>58</v>
      </c>
      <c r="Q3344" s="20">
        <v>40392.0</v>
      </c>
      <c r="R3344" s="17">
        <f t="shared" si="2"/>
        <v>51.00694244</v>
      </c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>
        <f t="shared" si="8"/>
        <v>2</v>
      </c>
      <c r="AF3344" s="19">
        <f t="shared" si="13"/>
        <v>3</v>
      </c>
      <c r="AG3344" s="9"/>
      <c r="AH3344" s="9"/>
      <c r="AI3344" s="9"/>
    </row>
    <row r="3345" ht="15.0" customHeight="1">
      <c r="A3345" s="11">
        <v>3344.0</v>
      </c>
      <c r="B3345" s="12">
        <f>DATE(2012,12,31)-883</f>
        <v>40391</v>
      </c>
      <c r="C3345" s="13">
        <v>2010.0</v>
      </c>
      <c r="D3345" s="11" t="s">
        <v>102</v>
      </c>
      <c r="E3345" s="11">
        <v>28.0</v>
      </c>
      <c r="F3345" s="21" t="s">
        <v>523</v>
      </c>
      <c r="G3345" s="15">
        <v>0.05576837416481064</v>
      </c>
      <c r="H3345" s="11" t="s">
        <v>33</v>
      </c>
      <c r="I3345" s="16">
        <v>0.792</v>
      </c>
      <c r="J3345" s="11" t="s">
        <v>1264</v>
      </c>
      <c r="K3345" s="11" t="s">
        <v>35</v>
      </c>
      <c r="L3345" s="11" t="s">
        <v>41</v>
      </c>
      <c r="M3345" s="11" t="s">
        <v>28</v>
      </c>
      <c r="N3345" s="11" t="s">
        <v>188</v>
      </c>
      <c r="O3345" s="11" t="s">
        <v>2175</v>
      </c>
      <c r="P3345" s="11" t="s">
        <v>38</v>
      </c>
      <c r="Q3345" s="20">
        <v>40393.0</v>
      </c>
      <c r="R3345" s="17">
        <f t="shared" si="2"/>
        <v>4.728711982</v>
      </c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>
        <f t="shared" si="8"/>
        <v>3</v>
      </c>
      <c r="AF3345" s="19">
        <f t="shared" si="13"/>
        <v>2</v>
      </c>
      <c r="AG3345" s="9"/>
      <c r="AH3345" s="9"/>
      <c r="AI3345" s="9"/>
    </row>
    <row r="3346" ht="15.0" customHeight="1">
      <c r="A3346" s="11">
        <v>3345.0</v>
      </c>
      <c r="B3346" s="12">
        <f t="shared" ref="B3346:B3351" si="534">DATE(2012,12,31)-882</f>
        <v>40392</v>
      </c>
      <c r="C3346" s="13">
        <v>2010.0</v>
      </c>
      <c r="D3346" s="11" t="s">
        <v>23</v>
      </c>
      <c r="E3346" s="11">
        <v>7.0</v>
      </c>
      <c r="F3346" s="21" t="s">
        <v>1927</v>
      </c>
      <c r="G3346" s="15">
        <v>0.0175811209439527</v>
      </c>
      <c r="H3346" s="11" t="s">
        <v>33</v>
      </c>
      <c r="I3346" s="16">
        <v>3.016</v>
      </c>
      <c r="J3346" s="11" t="s">
        <v>771</v>
      </c>
      <c r="K3346" s="11" t="s">
        <v>61</v>
      </c>
      <c r="L3346" s="11" t="s">
        <v>48</v>
      </c>
      <c r="M3346" s="11" t="s">
        <v>49</v>
      </c>
      <c r="N3346" s="11" t="s">
        <v>73</v>
      </c>
      <c r="O3346" s="11" t="s">
        <v>1928</v>
      </c>
      <c r="P3346" s="11" t="s">
        <v>99</v>
      </c>
      <c r="Q3346" s="20">
        <v>40394.0</v>
      </c>
      <c r="R3346" s="17">
        <f t="shared" si="2"/>
        <v>2.342086608</v>
      </c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>
        <f t="shared" si="8"/>
        <v>4</v>
      </c>
      <c r="AF3346" s="19">
        <f t="shared" si="13"/>
        <v>4</v>
      </c>
      <c r="AG3346" s="9"/>
      <c r="AH3346" s="9"/>
      <c r="AI3346" s="9"/>
    </row>
    <row r="3347" ht="15.0" customHeight="1">
      <c r="A3347" s="11">
        <v>3346.0</v>
      </c>
      <c r="B3347" s="12">
        <f t="shared" si="534"/>
        <v>40392</v>
      </c>
      <c r="C3347" s="13">
        <v>2010.0</v>
      </c>
      <c r="D3347" s="11" t="s">
        <v>23</v>
      </c>
      <c r="E3347" s="11">
        <v>25.0</v>
      </c>
      <c r="F3347" s="21" t="s">
        <v>1219</v>
      </c>
      <c r="G3347" s="15">
        <v>0.059346207789405345</v>
      </c>
      <c r="H3347" s="11" t="s">
        <v>24</v>
      </c>
      <c r="I3347" s="16">
        <v>4.392</v>
      </c>
      <c r="J3347" s="11" t="s">
        <v>771</v>
      </c>
      <c r="K3347" s="11" t="s">
        <v>61</v>
      </c>
      <c r="L3347" s="11" t="s">
        <v>48</v>
      </c>
      <c r="M3347" s="11" t="s">
        <v>28</v>
      </c>
      <c r="N3347" s="11" t="s">
        <v>29</v>
      </c>
      <c r="O3347" s="11" t="s">
        <v>1220</v>
      </c>
      <c r="P3347" s="11" t="s">
        <v>38</v>
      </c>
      <c r="Q3347" s="20">
        <v>40394.0</v>
      </c>
      <c r="R3347" s="17">
        <f t="shared" si="2"/>
        <v>51.7434838</v>
      </c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>
        <f t="shared" si="8"/>
        <v>4</v>
      </c>
      <c r="AF3347" s="19">
        <f t="shared" si="13"/>
        <v>4</v>
      </c>
      <c r="AG3347" s="9"/>
      <c r="AH3347" s="9"/>
      <c r="AI3347" s="9"/>
    </row>
    <row r="3348" ht="15.0" customHeight="1">
      <c r="A3348" s="11">
        <v>3347.0</v>
      </c>
      <c r="B3348" s="12">
        <f t="shared" si="534"/>
        <v>40392</v>
      </c>
      <c r="C3348" s="13">
        <v>2010.0</v>
      </c>
      <c r="D3348" s="11" t="s">
        <v>23</v>
      </c>
      <c r="E3348" s="11">
        <v>12.0</v>
      </c>
      <c r="F3348" s="21" t="s">
        <v>1191</v>
      </c>
      <c r="G3348" s="15">
        <v>0.013463550749912848</v>
      </c>
      <c r="H3348" s="11" t="s">
        <v>33</v>
      </c>
      <c r="I3348" s="16">
        <v>4.08</v>
      </c>
      <c r="J3348" s="11" t="s">
        <v>771</v>
      </c>
      <c r="K3348" s="11" t="s">
        <v>61</v>
      </c>
      <c r="L3348" s="11" t="s">
        <v>48</v>
      </c>
      <c r="M3348" s="11" t="s">
        <v>28</v>
      </c>
      <c r="N3348" s="11" t="s">
        <v>197</v>
      </c>
      <c r="O3348" s="11" t="s">
        <v>1193</v>
      </c>
      <c r="P3348" s="11" t="s">
        <v>75</v>
      </c>
      <c r="Q3348" s="20">
        <v>40394.0</v>
      </c>
      <c r="R3348" s="17">
        <f t="shared" si="2"/>
        <v>7.616061388</v>
      </c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>
        <f t="shared" si="8"/>
        <v>4</v>
      </c>
      <c r="AF3348" s="19">
        <f t="shared" si="13"/>
        <v>4</v>
      </c>
      <c r="AG3348" s="9"/>
      <c r="AH3348" s="9"/>
      <c r="AI3348" s="9"/>
    </row>
    <row r="3349" ht="15.0" customHeight="1">
      <c r="A3349" s="11">
        <v>3348.0</v>
      </c>
      <c r="B3349" s="12">
        <f t="shared" si="534"/>
        <v>40392</v>
      </c>
      <c r="C3349" s="13">
        <v>2010.0</v>
      </c>
      <c r="D3349" s="11" t="s">
        <v>39</v>
      </c>
      <c r="E3349" s="11">
        <v>40.0</v>
      </c>
      <c r="F3349" s="21" t="s">
        <v>1280</v>
      </c>
      <c r="G3349" s="15">
        <v>0.03853002070393369</v>
      </c>
      <c r="H3349" s="11" t="s">
        <v>24</v>
      </c>
      <c r="I3349" s="16">
        <v>3.512</v>
      </c>
      <c r="J3349" s="11" t="s">
        <v>781</v>
      </c>
      <c r="K3349" s="11" t="s">
        <v>65</v>
      </c>
      <c r="L3349" s="11" t="s">
        <v>27</v>
      </c>
      <c r="M3349" s="11" t="s">
        <v>28</v>
      </c>
      <c r="N3349" s="11" t="s">
        <v>56</v>
      </c>
      <c r="O3349" s="11" t="s">
        <v>1281</v>
      </c>
      <c r="P3349" s="11" t="s">
        <v>58</v>
      </c>
      <c r="Q3349" s="20">
        <v>40394.0</v>
      </c>
      <c r="R3349" s="17">
        <f t="shared" si="2"/>
        <v>14.31436505</v>
      </c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>
        <f t="shared" si="8"/>
        <v>1</v>
      </c>
      <c r="AF3349" s="19">
        <f t="shared" si="13"/>
        <v>5</v>
      </c>
      <c r="AG3349" s="9"/>
      <c r="AH3349" s="9"/>
      <c r="AI3349" s="9"/>
    </row>
    <row r="3350" ht="15.0" customHeight="1">
      <c r="A3350" s="11">
        <v>3349.0</v>
      </c>
      <c r="B3350" s="12">
        <f t="shared" si="534"/>
        <v>40392</v>
      </c>
      <c r="C3350" s="13">
        <v>2010.0</v>
      </c>
      <c r="D3350" s="11" t="s">
        <v>39</v>
      </c>
      <c r="E3350" s="11">
        <v>9.0</v>
      </c>
      <c r="F3350" s="21" t="s">
        <v>158</v>
      </c>
      <c r="G3350" s="15">
        <v>0.10315789473684205</v>
      </c>
      <c r="H3350" s="11" t="s">
        <v>33</v>
      </c>
      <c r="I3350" s="16">
        <v>5.448</v>
      </c>
      <c r="J3350" s="11" t="s">
        <v>781</v>
      </c>
      <c r="K3350" s="11" t="s">
        <v>65</v>
      </c>
      <c r="L3350" s="11" t="s">
        <v>27</v>
      </c>
      <c r="M3350" s="11" t="s">
        <v>28</v>
      </c>
      <c r="N3350" s="11" t="s">
        <v>56</v>
      </c>
      <c r="O3350" s="11" t="s">
        <v>1698</v>
      </c>
      <c r="P3350" s="11" t="s">
        <v>38</v>
      </c>
      <c r="Q3350" s="20">
        <v>40394.0</v>
      </c>
      <c r="R3350" s="17">
        <f t="shared" si="2"/>
        <v>6.503898947</v>
      </c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>
        <f t="shared" si="8"/>
        <v>1</v>
      </c>
      <c r="AF3350" s="19">
        <f t="shared" si="13"/>
        <v>5</v>
      </c>
      <c r="AG3350" s="9"/>
      <c r="AH3350" s="9"/>
      <c r="AI3350" s="9"/>
    </row>
    <row r="3351" ht="15.0" customHeight="1">
      <c r="A3351" s="11">
        <v>3350.0</v>
      </c>
      <c r="B3351" s="12">
        <f t="shared" si="534"/>
        <v>40392</v>
      </c>
      <c r="C3351" s="13">
        <v>2010.0</v>
      </c>
      <c r="D3351" s="11" t="s">
        <v>39</v>
      </c>
      <c r="E3351" s="11">
        <v>19.0</v>
      </c>
      <c r="F3351" s="21" t="s">
        <v>100</v>
      </c>
      <c r="G3351" s="15">
        <v>0.06058721405228758</v>
      </c>
      <c r="H3351" s="11" t="s">
        <v>33</v>
      </c>
      <c r="I3351" s="16">
        <v>2.4000000000000004</v>
      </c>
      <c r="J3351" s="11" t="s">
        <v>781</v>
      </c>
      <c r="K3351" s="11" t="s">
        <v>65</v>
      </c>
      <c r="L3351" s="11" t="s">
        <v>27</v>
      </c>
      <c r="M3351" s="11" t="s">
        <v>66</v>
      </c>
      <c r="N3351" s="11" t="s">
        <v>80</v>
      </c>
      <c r="O3351" s="11" t="s">
        <v>1595</v>
      </c>
      <c r="P3351" s="11" t="s">
        <v>38</v>
      </c>
      <c r="Q3351" s="20">
        <v>40394.0</v>
      </c>
      <c r="R3351" s="17">
        <f t="shared" si="2"/>
        <v>237.1686494</v>
      </c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>
        <f t="shared" si="8"/>
        <v>1</v>
      </c>
      <c r="AF3351" s="19">
        <f t="shared" si="13"/>
        <v>5</v>
      </c>
      <c r="AG3351" s="9"/>
      <c r="AH3351" s="9"/>
      <c r="AI3351" s="9"/>
    </row>
    <row r="3352" ht="15.0" customHeight="1">
      <c r="A3352" s="11">
        <v>3351.0</v>
      </c>
      <c r="B3352" s="12">
        <f t="shared" ref="B3352:B3360" si="535">DATE(2012,12,31)-881</f>
        <v>40393</v>
      </c>
      <c r="C3352" s="13">
        <v>2010.0</v>
      </c>
      <c r="D3352" s="11" t="s">
        <v>32</v>
      </c>
      <c r="E3352" s="11">
        <v>16.0</v>
      </c>
      <c r="F3352" s="21" t="s">
        <v>1791</v>
      </c>
      <c r="G3352" s="15">
        <v>0.0931571994715985</v>
      </c>
      <c r="H3352" s="11" t="s">
        <v>33</v>
      </c>
      <c r="I3352" s="16">
        <v>2.8960000000000004</v>
      </c>
      <c r="J3352" s="11" t="s">
        <v>456</v>
      </c>
      <c r="K3352" s="11" t="s">
        <v>35</v>
      </c>
      <c r="L3352" s="11" t="s">
        <v>27</v>
      </c>
      <c r="M3352" s="11" t="s">
        <v>66</v>
      </c>
      <c r="N3352" s="11" t="s">
        <v>67</v>
      </c>
      <c r="O3352" s="11" t="s">
        <v>2118</v>
      </c>
      <c r="P3352" s="11" t="s">
        <v>99</v>
      </c>
      <c r="Q3352" s="20">
        <v>40394.0</v>
      </c>
      <c r="R3352" s="17">
        <f t="shared" si="2"/>
        <v>12.79011086</v>
      </c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>
        <f t="shared" si="8"/>
        <v>1</v>
      </c>
      <c r="AF3352" s="19">
        <f t="shared" si="13"/>
        <v>2</v>
      </c>
      <c r="AG3352" s="9"/>
      <c r="AH3352" s="9"/>
      <c r="AI3352" s="9"/>
    </row>
    <row r="3353" ht="15.0" customHeight="1">
      <c r="A3353" s="11">
        <v>3352.0</v>
      </c>
      <c r="B3353" s="12">
        <f t="shared" si="535"/>
        <v>40393</v>
      </c>
      <c r="C3353" s="13">
        <v>2010.0</v>
      </c>
      <c r="D3353" s="11" t="s">
        <v>39</v>
      </c>
      <c r="E3353" s="11">
        <v>22.0</v>
      </c>
      <c r="F3353" s="21" t="s">
        <v>956</v>
      </c>
      <c r="G3353" s="15">
        <v>0.028453608247422692</v>
      </c>
      <c r="H3353" s="11" t="s">
        <v>33</v>
      </c>
      <c r="I3353" s="16">
        <v>4.664000000000001</v>
      </c>
      <c r="J3353" s="11" t="s">
        <v>1835</v>
      </c>
      <c r="K3353" s="11" t="s">
        <v>47</v>
      </c>
      <c r="L3353" s="11" t="s">
        <v>48</v>
      </c>
      <c r="M3353" s="11" t="s">
        <v>28</v>
      </c>
      <c r="N3353" s="11" t="s">
        <v>42</v>
      </c>
      <c r="O3353" s="11" t="s">
        <v>2396</v>
      </c>
      <c r="P3353" s="11" t="s">
        <v>38</v>
      </c>
      <c r="Q3353" s="20">
        <v>40394.0</v>
      </c>
      <c r="R3353" s="17">
        <f t="shared" si="2"/>
        <v>2.949614845</v>
      </c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>
        <f t="shared" si="8"/>
        <v>4</v>
      </c>
      <c r="AF3353" s="19">
        <f t="shared" si="13"/>
        <v>3</v>
      </c>
      <c r="AG3353" s="9"/>
      <c r="AH3353" s="9"/>
      <c r="AI3353" s="9"/>
    </row>
    <row r="3354" ht="15.0" customHeight="1">
      <c r="A3354" s="11">
        <v>3353.0</v>
      </c>
      <c r="B3354" s="12">
        <f t="shared" si="535"/>
        <v>40393</v>
      </c>
      <c r="C3354" s="13">
        <v>2010.0</v>
      </c>
      <c r="D3354" s="11" t="s">
        <v>39</v>
      </c>
      <c r="E3354" s="11">
        <v>15.0</v>
      </c>
      <c r="F3354" s="21" t="s">
        <v>1559</v>
      </c>
      <c r="G3354" s="15">
        <v>0.08255319148936176</v>
      </c>
      <c r="H3354" s="11" t="s">
        <v>33</v>
      </c>
      <c r="I3354" s="16">
        <v>0.5599999999999999</v>
      </c>
      <c r="J3354" s="11" t="s">
        <v>1010</v>
      </c>
      <c r="K3354" s="11" t="s">
        <v>35</v>
      </c>
      <c r="L3354" s="11" t="s">
        <v>27</v>
      </c>
      <c r="M3354" s="11" t="s">
        <v>28</v>
      </c>
      <c r="N3354" s="11" t="s">
        <v>216</v>
      </c>
      <c r="O3354" s="11" t="s">
        <v>1561</v>
      </c>
      <c r="P3354" s="11" t="s">
        <v>58</v>
      </c>
      <c r="Q3354" s="20">
        <v>40394.0</v>
      </c>
      <c r="R3354" s="17">
        <f t="shared" si="2"/>
        <v>1.779846809</v>
      </c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>
        <f t="shared" si="8"/>
        <v>1</v>
      </c>
      <c r="AF3354" s="19">
        <f t="shared" si="13"/>
        <v>2</v>
      </c>
      <c r="AG3354" s="9"/>
      <c r="AH3354" s="9"/>
      <c r="AI3354" s="9"/>
    </row>
    <row r="3355" ht="15.0" customHeight="1">
      <c r="A3355" s="11">
        <v>3354.0</v>
      </c>
      <c r="B3355" s="12">
        <f t="shared" si="535"/>
        <v>40393</v>
      </c>
      <c r="C3355" s="13">
        <v>2010.0</v>
      </c>
      <c r="D3355" s="11" t="s">
        <v>39</v>
      </c>
      <c r="E3355" s="11">
        <v>33.0</v>
      </c>
      <c r="F3355" s="21" t="s">
        <v>498</v>
      </c>
      <c r="G3355" s="15">
        <v>0.03406932502471608</v>
      </c>
      <c r="H3355" s="11" t="s">
        <v>45</v>
      </c>
      <c r="I3355" s="16">
        <v>59.48</v>
      </c>
      <c r="J3355" s="11" t="s">
        <v>1010</v>
      </c>
      <c r="K3355" s="11" t="s">
        <v>35</v>
      </c>
      <c r="L3355" s="11" t="s">
        <v>27</v>
      </c>
      <c r="M3355" s="11" t="s">
        <v>49</v>
      </c>
      <c r="N3355" s="11" t="s">
        <v>50</v>
      </c>
      <c r="O3355" s="11" t="s">
        <v>1959</v>
      </c>
      <c r="P3355" s="11" t="s">
        <v>52</v>
      </c>
      <c r="Q3355" s="20">
        <v>40395.0</v>
      </c>
      <c r="R3355" s="17">
        <f t="shared" si="2"/>
        <v>109.8456364</v>
      </c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>
        <f t="shared" si="8"/>
        <v>1</v>
      </c>
      <c r="AF3355" s="19">
        <f t="shared" si="13"/>
        <v>2</v>
      </c>
      <c r="AG3355" s="9"/>
      <c r="AH3355" s="9"/>
      <c r="AI3355" s="9"/>
    </row>
    <row r="3356" ht="15.0" customHeight="1">
      <c r="A3356" s="11">
        <v>3355.0</v>
      </c>
      <c r="B3356" s="12">
        <f t="shared" si="535"/>
        <v>40393</v>
      </c>
      <c r="C3356" s="13">
        <v>2010.0</v>
      </c>
      <c r="D3356" s="11" t="s">
        <v>39</v>
      </c>
      <c r="E3356" s="11">
        <v>7.0</v>
      </c>
      <c r="F3356" s="21" t="s">
        <v>178</v>
      </c>
      <c r="G3356" s="15">
        <v>0.0853149606299211</v>
      </c>
      <c r="H3356" s="11" t="s">
        <v>33</v>
      </c>
      <c r="I3356" s="16">
        <v>3.3600000000000003</v>
      </c>
      <c r="J3356" s="11" t="s">
        <v>1054</v>
      </c>
      <c r="K3356" s="11" t="s">
        <v>61</v>
      </c>
      <c r="L3356" s="11" t="s">
        <v>48</v>
      </c>
      <c r="M3356" s="11" t="s">
        <v>66</v>
      </c>
      <c r="N3356" s="11" t="s">
        <v>80</v>
      </c>
      <c r="O3356" s="11" t="s">
        <v>1690</v>
      </c>
      <c r="P3356" s="11" t="s">
        <v>38</v>
      </c>
      <c r="Q3356" s="20">
        <v>40395.0</v>
      </c>
      <c r="R3356" s="17">
        <f t="shared" si="2"/>
        <v>39.64244961</v>
      </c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>
        <f t="shared" si="8"/>
        <v>4</v>
      </c>
      <c r="AF3356" s="19">
        <f t="shared" si="13"/>
        <v>4</v>
      </c>
      <c r="AG3356" s="9"/>
      <c r="AH3356" s="9"/>
      <c r="AI3356" s="9"/>
    </row>
    <row r="3357" ht="15.0" customHeight="1">
      <c r="A3357" s="11">
        <v>3356.0</v>
      </c>
      <c r="B3357" s="12">
        <f t="shared" si="535"/>
        <v>40393</v>
      </c>
      <c r="C3357" s="13">
        <v>2010.0</v>
      </c>
      <c r="D3357" s="11" t="s">
        <v>32</v>
      </c>
      <c r="E3357" s="11">
        <v>22.0</v>
      </c>
      <c r="F3357" s="21" t="s">
        <v>207</v>
      </c>
      <c r="G3357" s="15">
        <v>0.021447368421052666</v>
      </c>
      <c r="H3357" s="11" t="s">
        <v>33</v>
      </c>
      <c r="I3357" s="16">
        <v>2.3920000000000003</v>
      </c>
      <c r="J3357" s="11" t="s">
        <v>1731</v>
      </c>
      <c r="K3357" s="11" t="s">
        <v>35</v>
      </c>
      <c r="L3357" s="11" t="s">
        <v>48</v>
      </c>
      <c r="M3357" s="11" t="s">
        <v>28</v>
      </c>
      <c r="N3357" s="11" t="s">
        <v>42</v>
      </c>
      <c r="O3357" s="11" t="s">
        <v>682</v>
      </c>
      <c r="P3357" s="11" t="s">
        <v>38</v>
      </c>
      <c r="Q3357" s="20">
        <v>40395.0</v>
      </c>
      <c r="R3357" s="17">
        <f t="shared" si="2"/>
        <v>2.552065263</v>
      </c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>
        <f t="shared" si="8"/>
        <v>4</v>
      </c>
      <c r="AF3357" s="19">
        <f t="shared" si="13"/>
        <v>2</v>
      </c>
      <c r="AG3357" s="9"/>
      <c r="AH3357" s="9"/>
      <c r="AI3357" s="9"/>
    </row>
    <row r="3358" ht="15.0" customHeight="1">
      <c r="A3358" s="11">
        <v>3357.0</v>
      </c>
      <c r="B3358" s="12">
        <f t="shared" si="535"/>
        <v>40393</v>
      </c>
      <c r="C3358" s="13">
        <v>2010.0</v>
      </c>
      <c r="D3358" s="11" t="s">
        <v>102</v>
      </c>
      <c r="E3358" s="11">
        <v>19.0</v>
      </c>
      <c r="F3358" s="21" t="s">
        <v>469</v>
      </c>
      <c r="G3358" s="15">
        <v>0.06145585176782004</v>
      </c>
      <c r="H3358" s="11" t="s">
        <v>33</v>
      </c>
      <c r="I3358" s="16">
        <v>4.296</v>
      </c>
      <c r="J3358" s="11" t="s">
        <v>1027</v>
      </c>
      <c r="K3358" s="11" t="s">
        <v>83</v>
      </c>
      <c r="L3358" s="11" t="s">
        <v>41</v>
      </c>
      <c r="M3358" s="11" t="s">
        <v>28</v>
      </c>
      <c r="N3358" s="11" t="s">
        <v>197</v>
      </c>
      <c r="O3358" s="11" t="s">
        <v>1931</v>
      </c>
      <c r="P3358" s="11" t="s">
        <v>75</v>
      </c>
      <c r="Q3358" s="20">
        <v>40395.0</v>
      </c>
      <c r="R3358" s="17">
        <f t="shared" si="2"/>
        <v>30.50643899</v>
      </c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>
        <f t="shared" si="8"/>
        <v>3</v>
      </c>
      <c r="AF3358" s="19" t="b">
        <f t="shared" si="13"/>
        <v>0</v>
      </c>
      <c r="AG3358" s="9"/>
      <c r="AH3358" s="9"/>
      <c r="AI3358" s="9"/>
    </row>
    <row r="3359" ht="15.0" customHeight="1">
      <c r="A3359" s="11">
        <v>3358.0</v>
      </c>
      <c r="B3359" s="12">
        <f t="shared" si="535"/>
        <v>40393</v>
      </c>
      <c r="C3359" s="13">
        <v>2010.0</v>
      </c>
      <c r="D3359" s="11" t="s">
        <v>102</v>
      </c>
      <c r="E3359" s="11">
        <v>48.0</v>
      </c>
      <c r="F3359" s="21" t="s">
        <v>792</v>
      </c>
      <c r="G3359" s="15">
        <v>0.05786414878397708</v>
      </c>
      <c r="H3359" s="11" t="s">
        <v>45</v>
      </c>
      <c r="I3359" s="16">
        <v>28.712000000000003</v>
      </c>
      <c r="J3359" s="11" t="s">
        <v>1027</v>
      </c>
      <c r="K3359" s="11" t="s">
        <v>83</v>
      </c>
      <c r="L3359" s="11" t="s">
        <v>41</v>
      </c>
      <c r="M3359" s="11" t="s">
        <v>49</v>
      </c>
      <c r="N3359" s="11" t="s">
        <v>156</v>
      </c>
      <c r="O3359" s="11" t="s">
        <v>794</v>
      </c>
      <c r="P3359" s="11" t="s">
        <v>87</v>
      </c>
      <c r="Q3359" s="20">
        <v>40395.0</v>
      </c>
      <c r="R3359" s="17">
        <f t="shared" si="2"/>
        <v>476.3325807</v>
      </c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>
        <f t="shared" si="8"/>
        <v>3</v>
      </c>
      <c r="AF3359" s="19" t="b">
        <f t="shared" si="13"/>
        <v>0</v>
      </c>
      <c r="AG3359" s="9"/>
      <c r="AH3359" s="9"/>
      <c r="AI3359" s="9"/>
    </row>
    <row r="3360" ht="15.0" customHeight="1">
      <c r="A3360" s="11">
        <v>3359.0</v>
      </c>
      <c r="B3360" s="12">
        <f t="shared" si="535"/>
        <v>40393</v>
      </c>
      <c r="C3360" s="13">
        <v>2010.0</v>
      </c>
      <c r="D3360" s="11" t="s">
        <v>102</v>
      </c>
      <c r="E3360" s="11">
        <v>1.0</v>
      </c>
      <c r="F3360" s="21" t="s">
        <v>685</v>
      </c>
      <c r="G3360" s="15">
        <v>0.150061804697157</v>
      </c>
      <c r="H3360" s="11" t="s">
        <v>33</v>
      </c>
      <c r="I3360" s="16">
        <v>27.360000000000003</v>
      </c>
      <c r="J3360" s="11" t="s">
        <v>1027</v>
      </c>
      <c r="K3360" s="11" t="s">
        <v>83</v>
      </c>
      <c r="L3360" s="11" t="s">
        <v>41</v>
      </c>
      <c r="M3360" s="11" t="s">
        <v>49</v>
      </c>
      <c r="N3360" s="11" t="s">
        <v>73</v>
      </c>
      <c r="O3360" s="11" t="s">
        <v>686</v>
      </c>
      <c r="P3360" s="11" t="s">
        <v>58</v>
      </c>
      <c r="Q3360" s="20">
        <v>40395.0</v>
      </c>
      <c r="R3360" s="17">
        <f t="shared" si="2"/>
        <v>10.31824969</v>
      </c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>
        <f t="shared" si="8"/>
        <v>3</v>
      </c>
      <c r="AF3360" s="19" t="b">
        <f t="shared" si="13"/>
        <v>0</v>
      </c>
      <c r="AG3360" s="9"/>
      <c r="AH3360" s="9"/>
      <c r="AI3360" s="9"/>
    </row>
    <row r="3361" ht="15.0" customHeight="1">
      <c r="A3361" s="11">
        <v>3360.0</v>
      </c>
      <c r="B3361" s="12">
        <f t="shared" ref="B3361:B3377" si="536">DATE(2012,12,31)-880</f>
        <v>40394</v>
      </c>
      <c r="C3361" s="13">
        <v>2010.0</v>
      </c>
      <c r="D3361" s="11" t="s">
        <v>39</v>
      </c>
      <c r="E3361" s="11">
        <v>36.0</v>
      </c>
      <c r="F3361" s="21" t="s">
        <v>119</v>
      </c>
      <c r="G3361" s="15">
        <v>0.09517241379310352</v>
      </c>
      <c r="H3361" s="11" t="s">
        <v>33</v>
      </c>
      <c r="I3361" s="16">
        <v>0.8</v>
      </c>
      <c r="J3361" s="11" t="s">
        <v>1865</v>
      </c>
      <c r="K3361" s="11" t="s">
        <v>65</v>
      </c>
      <c r="L3361" s="11" t="s">
        <v>48</v>
      </c>
      <c r="M3361" s="11" t="s">
        <v>28</v>
      </c>
      <c r="N3361" s="11" t="s">
        <v>62</v>
      </c>
      <c r="O3361" s="11" t="s">
        <v>2296</v>
      </c>
      <c r="P3361" s="11" t="s">
        <v>58</v>
      </c>
      <c r="Q3361" s="20">
        <v>40395.0</v>
      </c>
      <c r="R3361" s="17">
        <f t="shared" si="2"/>
        <v>6.243310345</v>
      </c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>
        <f t="shared" si="8"/>
        <v>4</v>
      </c>
      <c r="AF3361" s="19">
        <f t="shared" si="13"/>
        <v>5</v>
      </c>
      <c r="AG3361" s="9"/>
      <c r="AH3361" s="9"/>
      <c r="AI3361" s="9"/>
    </row>
    <row r="3362" ht="15.0" customHeight="1">
      <c r="A3362" s="11">
        <v>3361.0</v>
      </c>
      <c r="B3362" s="12">
        <f t="shared" si="536"/>
        <v>40394</v>
      </c>
      <c r="C3362" s="13">
        <v>2010.0</v>
      </c>
      <c r="D3362" s="11" t="s">
        <v>39</v>
      </c>
      <c r="E3362" s="11">
        <v>14.0</v>
      </c>
      <c r="F3362" s="21" t="s">
        <v>115</v>
      </c>
      <c r="G3362" s="15">
        <v>0.021271303546752496</v>
      </c>
      <c r="H3362" s="11" t="s">
        <v>33</v>
      </c>
      <c r="I3362" s="16">
        <v>7.256</v>
      </c>
      <c r="J3362" s="11" t="s">
        <v>1736</v>
      </c>
      <c r="K3362" s="11" t="s">
        <v>65</v>
      </c>
      <c r="L3362" s="11" t="s">
        <v>27</v>
      </c>
      <c r="M3362" s="11" t="s">
        <v>28</v>
      </c>
      <c r="N3362" s="11" t="s">
        <v>42</v>
      </c>
      <c r="O3362" s="11" t="s">
        <v>772</v>
      </c>
      <c r="P3362" s="11" t="s">
        <v>38</v>
      </c>
      <c r="Q3362" s="20">
        <v>40395.0</v>
      </c>
      <c r="R3362" s="17">
        <f t="shared" si="2"/>
        <v>36.15815296</v>
      </c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>
        <f t="shared" si="8"/>
        <v>1</v>
      </c>
      <c r="AF3362" s="19">
        <f t="shared" si="13"/>
        <v>5</v>
      </c>
      <c r="AG3362" s="9"/>
      <c r="AH3362" s="9"/>
      <c r="AI3362" s="9"/>
    </row>
    <row r="3363" ht="15.0" customHeight="1">
      <c r="A3363" s="11">
        <v>3362.0</v>
      </c>
      <c r="B3363" s="12">
        <f t="shared" si="536"/>
        <v>40394</v>
      </c>
      <c r="C3363" s="13">
        <v>2010.0</v>
      </c>
      <c r="D3363" s="11" t="s">
        <v>39</v>
      </c>
      <c r="E3363" s="11">
        <v>14.0</v>
      </c>
      <c r="F3363" s="21" t="s">
        <v>163</v>
      </c>
      <c r="G3363" s="15">
        <v>0.09868743047830918</v>
      </c>
      <c r="H3363" s="11" t="s">
        <v>45</v>
      </c>
      <c r="I3363" s="16">
        <v>45.904</v>
      </c>
      <c r="J3363" s="11" t="s">
        <v>1736</v>
      </c>
      <c r="K3363" s="11" t="s">
        <v>65</v>
      </c>
      <c r="L3363" s="11" t="s">
        <v>27</v>
      </c>
      <c r="M3363" s="11" t="s">
        <v>49</v>
      </c>
      <c r="N3363" s="11" t="s">
        <v>156</v>
      </c>
      <c r="O3363" s="11" t="s">
        <v>852</v>
      </c>
      <c r="P3363" s="11" t="s">
        <v>87</v>
      </c>
      <c r="Q3363" s="20">
        <v>40395.0</v>
      </c>
      <c r="R3363" s="17">
        <f t="shared" si="2"/>
        <v>143.9360121</v>
      </c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>
        <f t="shared" si="8"/>
        <v>1</v>
      </c>
      <c r="AF3363" s="19">
        <f t="shared" si="13"/>
        <v>5</v>
      </c>
      <c r="AG3363" s="9"/>
      <c r="AH3363" s="9"/>
      <c r="AI3363" s="9"/>
    </row>
    <row r="3364" ht="15.0" customHeight="1">
      <c r="A3364" s="11">
        <v>3363.0</v>
      </c>
      <c r="B3364" s="12">
        <f t="shared" si="536"/>
        <v>40394</v>
      </c>
      <c r="C3364" s="13">
        <v>2010.0</v>
      </c>
      <c r="D3364" s="11" t="s">
        <v>39</v>
      </c>
      <c r="E3364" s="11">
        <v>30.0</v>
      </c>
      <c r="F3364" s="21" t="s">
        <v>1043</v>
      </c>
      <c r="G3364" s="15">
        <v>0.0844566600498804</v>
      </c>
      <c r="H3364" s="11" t="s">
        <v>33</v>
      </c>
      <c r="I3364" s="16">
        <v>7.768000000000001</v>
      </c>
      <c r="J3364" s="11" t="s">
        <v>1736</v>
      </c>
      <c r="K3364" s="11" t="s">
        <v>65</v>
      </c>
      <c r="L3364" s="11" t="s">
        <v>27</v>
      </c>
      <c r="M3364" s="11" t="s">
        <v>28</v>
      </c>
      <c r="N3364" s="11" t="s">
        <v>29</v>
      </c>
      <c r="O3364" s="11" t="s">
        <v>1044</v>
      </c>
      <c r="P3364" s="11" t="s">
        <v>38</v>
      </c>
      <c r="Q3364" s="20">
        <v>40395.0</v>
      </c>
      <c r="R3364" s="17">
        <f t="shared" si="2"/>
        <v>151.9179375</v>
      </c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>
        <f t="shared" si="8"/>
        <v>1</v>
      </c>
      <c r="AF3364" s="19">
        <f t="shared" si="13"/>
        <v>5</v>
      </c>
      <c r="AG3364" s="9"/>
      <c r="AH3364" s="9"/>
      <c r="AI3364" s="9"/>
    </row>
    <row r="3365" ht="15.0" customHeight="1">
      <c r="A3365" s="11">
        <v>3364.0</v>
      </c>
      <c r="B3365" s="12">
        <f t="shared" si="536"/>
        <v>40394</v>
      </c>
      <c r="C3365" s="13">
        <v>2010.0</v>
      </c>
      <c r="D3365" s="11" t="s">
        <v>102</v>
      </c>
      <c r="E3365" s="11">
        <v>9.0</v>
      </c>
      <c r="F3365" s="21" t="s">
        <v>1195</v>
      </c>
      <c r="G3365" s="15">
        <v>0.0910877192982455</v>
      </c>
      <c r="H3365" s="11" t="s">
        <v>33</v>
      </c>
      <c r="I3365" s="16">
        <v>5.008</v>
      </c>
      <c r="J3365" s="11" t="s">
        <v>528</v>
      </c>
      <c r="K3365" s="11" t="s">
        <v>83</v>
      </c>
      <c r="L3365" s="11" t="s">
        <v>41</v>
      </c>
      <c r="M3365" s="11" t="s">
        <v>28</v>
      </c>
      <c r="N3365" s="11" t="s">
        <v>56</v>
      </c>
      <c r="O3365" s="11" t="s">
        <v>1449</v>
      </c>
      <c r="P3365" s="11" t="s">
        <v>38</v>
      </c>
      <c r="Q3365" s="20">
        <v>40395.0</v>
      </c>
      <c r="R3365" s="17">
        <f t="shared" si="2"/>
        <v>4.719072561</v>
      </c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>
        <f t="shared" si="8"/>
        <v>3</v>
      </c>
      <c r="AF3365" s="19" t="b">
        <f t="shared" si="13"/>
        <v>0</v>
      </c>
      <c r="AG3365" s="9"/>
      <c r="AH3365" s="9"/>
      <c r="AI3365" s="9"/>
    </row>
    <row r="3366" ht="15.0" customHeight="1">
      <c r="A3366" s="11">
        <v>3365.0</v>
      </c>
      <c r="B3366" s="12">
        <f t="shared" si="536"/>
        <v>40394</v>
      </c>
      <c r="C3366" s="13">
        <v>2010.0</v>
      </c>
      <c r="D3366" s="11" t="s">
        <v>102</v>
      </c>
      <c r="E3366" s="11">
        <v>44.0</v>
      </c>
      <c r="F3366" s="21" t="s">
        <v>304</v>
      </c>
      <c r="G3366" s="15">
        <v>0.07948667324777908</v>
      </c>
      <c r="H3366" s="11" t="s">
        <v>33</v>
      </c>
      <c r="I3366" s="16">
        <v>7.632</v>
      </c>
      <c r="J3366" s="11" t="s">
        <v>528</v>
      </c>
      <c r="K3366" s="11" t="s">
        <v>83</v>
      </c>
      <c r="L3366" s="11" t="s">
        <v>41</v>
      </c>
      <c r="M3366" s="11" t="s">
        <v>28</v>
      </c>
      <c r="N3366" s="11" t="s">
        <v>56</v>
      </c>
      <c r="O3366" s="11" t="s">
        <v>305</v>
      </c>
      <c r="P3366" s="11" t="s">
        <v>38</v>
      </c>
      <c r="Q3366" s="20">
        <v>40396.0</v>
      </c>
      <c r="R3366" s="17">
        <f t="shared" si="2"/>
        <v>66.70775976</v>
      </c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>
        <f t="shared" si="8"/>
        <v>3</v>
      </c>
      <c r="AF3366" s="19" t="b">
        <f t="shared" si="13"/>
        <v>0</v>
      </c>
      <c r="AG3366" s="9"/>
      <c r="AH3366" s="9"/>
      <c r="AI3366" s="9"/>
    </row>
    <row r="3367" ht="15.0" customHeight="1">
      <c r="A3367" s="11">
        <v>3366.0</v>
      </c>
      <c r="B3367" s="12">
        <f t="shared" si="536"/>
        <v>40394</v>
      </c>
      <c r="C3367" s="13">
        <v>2010.0</v>
      </c>
      <c r="D3367" s="11" t="s">
        <v>102</v>
      </c>
      <c r="E3367" s="11">
        <v>14.0</v>
      </c>
      <c r="F3367" s="21" t="s">
        <v>178</v>
      </c>
      <c r="G3367" s="15">
        <v>0.05867615658362975</v>
      </c>
      <c r="H3367" s="11" t="s">
        <v>33</v>
      </c>
      <c r="I3367" s="16">
        <v>3.192</v>
      </c>
      <c r="J3367" s="11" t="s">
        <v>528</v>
      </c>
      <c r="K3367" s="11" t="s">
        <v>83</v>
      </c>
      <c r="L3367" s="11" t="s">
        <v>41</v>
      </c>
      <c r="M3367" s="11" t="s">
        <v>66</v>
      </c>
      <c r="N3367" s="11" t="s">
        <v>80</v>
      </c>
      <c r="O3367" s="11" t="s">
        <v>587</v>
      </c>
      <c r="P3367" s="11" t="s">
        <v>38</v>
      </c>
      <c r="Q3367" s="20">
        <v>40396.0</v>
      </c>
      <c r="R3367" s="17">
        <f t="shared" si="2"/>
        <v>54.32191636</v>
      </c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>
        <f t="shared" si="8"/>
        <v>3</v>
      </c>
      <c r="AF3367" s="19" t="b">
        <f t="shared" si="13"/>
        <v>0</v>
      </c>
      <c r="AG3367" s="9"/>
      <c r="AH3367" s="9"/>
      <c r="AI3367" s="9"/>
    </row>
    <row r="3368" ht="15.0" customHeight="1">
      <c r="A3368" s="11">
        <v>3367.0</v>
      </c>
      <c r="B3368" s="12">
        <f t="shared" si="536"/>
        <v>40394</v>
      </c>
      <c r="C3368" s="13">
        <v>2010.0</v>
      </c>
      <c r="D3368" s="11" t="s">
        <v>23</v>
      </c>
      <c r="E3368" s="11">
        <v>44.0</v>
      </c>
      <c r="F3368" s="21" t="s">
        <v>142</v>
      </c>
      <c r="G3368" s="15">
        <v>0.026025563162544216</v>
      </c>
      <c r="H3368" s="11" t="s">
        <v>33</v>
      </c>
      <c r="I3368" s="16">
        <v>1.0</v>
      </c>
      <c r="J3368" s="11" t="s">
        <v>222</v>
      </c>
      <c r="K3368" s="11" t="s">
        <v>65</v>
      </c>
      <c r="L3368" s="11" t="s">
        <v>48</v>
      </c>
      <c r="M3368" s="11" t="s">
        <v>66</v>
      </c>
      <c r="N3368" s="11" t="s">
        <v>80</v>
      </c>
      <c r="O3368" s="11" t="s">
        <v>2300</v>
      </c>
      <c r="P3368" s="11" t="s">
        <v>99</v>
      </c>
      <c r="Q3368" s="20">
        <v>40396.0</v>
      </c>
      <c r="R3368" s="17">
        <f t="shared" si="2"/>
        <v>41.13600513</v>
      </c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>
        <f t="shared" si="8"/>
        <v>4</v>
      </c>
      <c r="AF3368" s="19">
        <f t="shared" si="13"/>
        <v>5</v>
      </c>
      <c r="AG3368" s="9"/>
      <c r="AH3368" s="9"/>
      <c r="AI3368" s="9"/>
    </row>
    <row r="3369" ht="15.0" customHeight="1">
      <c r="A3369" s="11">
        <v>3368.0</v>
      </c>
      <c r="B3369" s="12">
        <f t="shared" si="536"/>
        <v>40394</v>
      </c>
      <c r="C3369" s="13">
        <v>2010.0</v>
      </c>
      <c r="D3369" s="11" t="s">
        <v>23</v>
      </c>
      <c r="E3369" s="11">
        <v>6.0</v>
      </c>
      <c r="F3369" s="21" t="s">
        <v>304</v>
      </c>
      <c r="G3369" s="15">
        <v>0.021896838602329494</v>
      </c>
      <c r="H3369" s="11" t="s">
        <v>33</v>
      </c>
      <c r="I3369" s="16">
        <v>4.168</v>
      </c>
      <c r="J3369" s="11" t="s">
        <v>832</v>
      </c>
      <c r="K3369" s="11" t="s">
        <v>65</v>
      </c>
      <c r="L3369" s="11" t="s">
        <v>48</v>
      </c>
      <c r="M3369" s="11" t="s">
        <v>28</v>
      </c>
      <c r="N3369" s="11" t="s">
        <v>56</v>
      </c>
      <c r="O3369" s="11" t="s">
        <v>2397</v>
      </c>
      <c r="P3369" s="11" t="s">
        <v>38</v>
      </c>
      <c r="Q3369" s="20">
        <v>40396.0</v>
      </c>
      <c r="R3369" s="17">
        <f t="shared" si="2"/>
        <v>2.574367521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>
        <f t="shared" si="8"/>
        <v>4</v>
      </c>
      <c r="AF3369" s="19">
        <f t="shared" si="13"/>
        <v>5</v>
      </c>
      <c r="AG3369" s="9"/>
      <c r="AH3369" s="9"/>
      <c r="AI3369" s="9"/>
    </row>
    <row r="3370" ht="15.0" customHeight="1">
      <c r="A3370" s="11">
        <v>3369.0</v>
      </c>
      <c r="B3370" s="12">
        <f t="shared" si="536"/>
        <v>40394</v>
      </c>
      <c r="C3370" s="13">
        <v>2010.0</v>
      </c>
      <c r="D3370" s="11" t="s">
        <v>32</v>
      </c>
      <c r="E3370" s="11">
        <v>1.0</v>
      </c>
      <c r="F3370" s="21" t="s">
        <v>256</v>
      </c>
      <c r="G3370" s="15">
        <v>0.024878048780487667</v>
      </c>
      <c r="H3370" s="11" t="s">
        <v>33</v>
      </c>
      <c r="I3370" s="16">
        <v>1.592</v>
      </c>
      <c r="J3370" s="11" t="s">
        <v>576</v>
      </c>
      <c r="K3370" s="11" t="s">
        <v>117</v>
      </c>
      <c r="L3370" s="11" t="s">
        <v>36</v>
      </c>
      <c r="M3370" s="11" t="s">
        <v>66</v>
      </c>
      <c r="N3370" s="11" t="s">
        <v>67</v>
      </c>
      <c r="O3370" s="11" t="s">
        <v>2335</v>
      </c>
      <c r="P3370" s="11" t="s">
        <v>99</v>
      </c>
      <c r="Q3370" s="20">
        <v>40396.0</v>
      </c>
      <c r="R3370" s="17">
        <f t="shared" si="2"/>
        <v>0.3978497561</v>
      </c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>
        <f t="shared" si="8"/>
        <v>2</v>
      </c>
      <c r="AF3370" s="19" t="b">
        <f t="shared" si="13"/>
        <v>0</v>
      </c>
      <c r="AG3370" s="9"/>
      <c r="AH3370" s="9"/>
      <c r="AI3370" s="9"/>
    </row>
    <row r="3371" ht="15.0" customHeight="1">
      <c r="A3371" s="11">
        <v>3370.0</v>
      </c>
      <c r="B3371" s="12">
        <f t="shared" si="536"/>
        <v>40394</v>
      </c>
      <c r="C3371" s="13">
        <v>2010.0</v>
      </c>
      <c r="D3371" s="11" t="s">
        <v>32</v>
      </c>
      <c r="E3371" s="11">
        <v>27.0</v>
      </c>
      <c r="F3371" s="21" t="s">
        <v>838</v>
      </c>
      <c r="G3371" s="15">
        <v>0.04073112957397901</v>
      </c>
      <c r="H3371" s="11" t="s">
        <v>33</v>
      </c>
      <c r="I3371" s="16">
        <v>15.991999999999999</v>
      </c>
      <c r="J3371" s="11" t="s">
        <v>576</v>
      </c>
      <c r="K3371" s="11" t="s">
        <v>117</v>
      </c>
      <c r="L3371" s="11" t="s">
        <v>36</v>
      </c>
      <c r="M3371" s="11" t="s">
        <v>66</v>
      </c>
      <c r="N3371" s="11" t="s">
        <v>67</v>
      </c>
      <c r="O3371" s="11" t="s">
        <v>2263</v>
      </c>
      <c r="P3371" s="11" t="s">
        <v>38</v>
      </c>
      <c r="Q3371" s="20">
        <v>40396.0</v>
      </c>
      <c r="R3371" s="17">
        <f t="shared" si="2"/>
        <v>110.515448</v>
      </c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>
        <f t="shared" si="8"/>
        <v>2</v>
      </c>
      <c r="AF3371" s="19" t="b">
        <f t="shared" si="13"/>
        <v>0</v>
      </c>
      <c r="AG3371" s="9"/>
      <c r="AH3371" s="9"/>
      <c r="AI3371" s="9"/>
    </row>
    <row r="3372" ht="15.0" customHeight="1">
      <c r="A3372" s="11">
        <v>3371.0</v>
      </c>
      <c r="B3372" s="12">
        <f t="shared" si="536"/>
        <v>40394</v>
      </c>
      <c r="C3372" s="13">
        <v>2010.0</v>
      </c>
      <c r="D3372" s="11" t="s">
        <v>32</v>
      </c>
      <c r="E3372" s="11">
        <v>2.0</v>
      </c>
      <c r="F3372" s="21" t="s">
        <v>126</v>
      </c>
      <c r="G3372" s="15">
        <v>0.08134228187919461</v>
      </c>
      <c r="H3372" s="11" t="s">
        <v>33</v>
      </c>
      <c r="I3372" s="16">
        <v>3.8880000000000003</v>
      </c>
      <c r="J3372" s="11" t="s">
        <v>576</v>
      </c>
      <c r="K3372" s="11" t="s">
        <v>117</v>
      </c>
      <c r="L3372" s="11" t="s">
        <v>36</v>
      </c>
      <c r="M3372" s="11" t="s">
        <v>28</v>
      </c>
      <c r="N3372" s="11" t="s">
        <v>56</v>
      </c>
      <c r="O3372" s="11" t="s">
        <v>1732</v>
      </c>
      <c r="P3372" s="11" t="s">
        <v>38</v>
      </c>
      <c r="Q3372" s="20">
        <v>40396.0</v>
      </c>
      <c r="R3372" s="17">
        <f t="shared" si="2"/>
        <v>1.113413154</v>
      </c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>
        <f t="shared" si="8"/>
        <v>2</v>
      </c>
      <c r="AF3372" s="19" t="b">
        <f t="shared" si="13"/>
        <v>0</v>
      </c>
      <c r="AG3372" s="9"/>
      <c r="AH3372" s="9"/>
      <c r="AI3372" s="9"/>
    </row>
    <row r="3373" ht="15.0" customHeight="1">
      <c r="A3373" s="11">
        <v>3372.0</v>
      </c>
      <c r="B3373" s="12">
        <f t="shared" si="536"/>
        <v>40394</v>
      </c>
      <c r="C3373" s="13">
        <v>2010.0</v>
      </c>
      <c r="D3373" s="11" t="s">
        <v>44</v>
      </c>
      <c r="E3373" s="11">
        <v>20.0</v>
      </c>
      <c r="F3373" s="21" t="s">
        <v>322</v>
      </c>
      <c r="G3373" s="15">
        <v>0.06891617725573954</v>
      </c>
      <c r="H3373" s="11" t="s">
        <v>24</v>
      </c>
      <c r="I3373" s="16">
        <v>2.3920000000000003</v>
      </c>
      <c r="J3373" s="11" t="s">
        <v>2398</v>
      </c>
      <c r="K3373" s="11" t="s">
        <v>35</v>
      </c>
      <c r="L3373" s="11" t="s">
        <v>41</v>
      </c>
      <c r="M3373" s="11" t="s">
        <v>28</v>
      </c>
      <c r="N3373" s="11" t="s">
        <v>42</v>
      </c>
      <c r="O3373" s="11" t="s">
        <v>2146</v>
      </c>
      <c r="P3373" s="11" t="s">
        <v>38</v>
      </c>
      <c r="Q3373" s="20">
        <v>40396.0</v>
      </c>
      <c r="R3373" s="17">
        <f t="shared" si="2"/>
        <v>12.01842998</v>
      </c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>
        <f t="shared" si="8"/>
        <v>3</v>
      </c>
      <c r="AF3373" s="19">
        <f t="shared" si="13"/>
        <v>2</v>
      </c>
      <c r="AG3373" s="9"/>
      <c r="AH3373" s="9"/>
      <c r="AI3373" s="9"/>
    </row>
    <row r="3374" ht="15.0" customHeight="1">
      <c r="A3374" s="11">
        <v>3373.0</v>
      </c>
      <c r="B3374" s="12">
        <f t="shared" si="536"/>
        <v>40394</v>
      </c>
      <c r="C3374" s="13">
        <v>2010.0</v>
      </c>
      <c r="D3374" s="11" t="s">
        <v>44</v>
      </c>
      <c r="E3374" s="11">
        <v>34.0</v>
      </c>
      <c r="F3374" s="21" t="s">
        <v>1219</v>
      </c>
      <c r="G3374" s="15">
        <v>0.03208289140899065</v>
      </c>
      <c r="H3374" s="11" t="s">
        <v>33</v>
      </c>
      <c r="I3374" s="16">
        <v>6.5760000000000005</v>
      </c>
      <c r="J3374" s="11" t="s">
        <v>2398</v>
      </c>
      <c r="K3374" s="11" t="s">
        <v>35</v>
      </c>
      <c r="L3374" s="11" t="s">
        <v>41</v>
      </c>
      <c r="M3374" s="11" t="s">
        <v>28</v>
      </c>
      <c r="N3374" s="11" t="s">
        <v>29</v>
      </c>
      <c r="O3374" s="11" t="s">
        <v>1735</v>
      </c>
      <c r="P3374" s="11" t="s">
        <v>38</v>
      </c>
      <c r="Q3374" s="20">
        <v>40396.0</v>
      </c>
      <c r="R3374" s="17">
        <f t="shared" si="2"/>
        <v>38.06237238</v>
      </c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>
        <f t="shared" si="8"/>
        <v>3</v>
      </c>
      <c r="AF3374" s="19">
        <f t="shared" si="13"/>
        <v>2</v>
      </c>
      <c r="AG3374" s="9"/>
      <c r="AH3374" s="9"/>
      <c r="AI3374" s="9"/>
    </row>
    <row r="3375" ht="15.0" customHeight="1">
      <c r="A3375" s="11">
        <v>3374.0</v>
      </c>
      <c r="B3375" s="12">
        <f t="shared" si="536"/>
        <v>40394</v>
      </c>
      <c r="C3375" s="13">
        <v>2010.0</v>
      </c>
      <c r="D3375" s="11" t="s">
        <v>44</v>
      </c>
      <c r="E3375" s="11">
        <v>41.0</v>
      </c>
      <c r="F3375" s="21" t="s">
        <v>666</v>
      </c>
      <c r="G3375" s="15">
        <v>0.06507880910683027</v>
      </c>
      <c r="H3375" s="11" t="s">
        <v>33</v>
      </c>
      <c r="I3375" s="16">
        <v>4.352</v>
      </c>
      <c r="J3375" s="11" t="s">
        <v>823</v>
      </c>
      <c r="K3375" s="11" t="s">
        <v>61</v>
      </c>
      <c r="L3375" s="11" t="s">
        <v>41</v>
      </c>
      <c r="M3375" s="11" t="s">
        <v>28</v>
      </c>
      <c r="N3375" s="11" t="s">
        <v>42</v>
      </c>
      <c r="O3375" s="11" t="s">
        <v>1587</v>
      </c>
      <c r="P3375" s="11" t="s">
        <v>38</v>
      </c>
      <c r="Q3375" s="20">
        <v>40396.0</v>
      </c>
      <c r="R3375" s="17">
        <f t="shared" si="2"/>
        <v>10.42250144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>
        <f t="shared" si="8"/>
        <v>3</v>
      </c>
      <c r="AF3375" s="19">
        <f t="shared" si="13"/>
        <v>4</v>
      </c>
      <c r="AG3375" s="9"/>
      <c r="AH3375" s="9"/>
      <c r="AI3375" s="9"/>
    </row>
    <row r="3376" ht="15.0" customHeight="1">
      <c r="A3376" s="11">
        <v>3375.0</v>
      </c>
      <c r="B3376" s="12">
        <f t="shared" si="536"/>
        <v>40394</v>
      </c>
      <c r="C3376" s="13">
        <v>2010.0</v>
      </c>
      <c r="D3376" s="11" t="s">
        <v>39</v>
      </c>
      <c r="E3376" s="11">
        <v>45.0</v>
      </c>
      <c r="F3376" s="21" t="s">
        <v>256</v>
      </c>
      <c r="G3376" s="15">
        <v>0.07724897613331456</v>
      </c>
      <c r="H3376" s="11" t="s">
        <v>33</v>
      </c>
      <c r="I3376" s="16">
        <v>5.4</v>
      </c>
      <c r="J3376" s="11" t="s">
        <v>617</v>
      </c>
      <c r="K3376" s="11" t="s">
        <v>61</v>
      </c>
      <c r="L3376" s="11" t="s">
        <v>41</v>
      </c>
      <c r="M3376" s="11" t="s">
        <v>28</v>
      </c>
      <c r="N3376" s="11" t="s">
        <v>197</v>
      </c>
      <c r="O3376" s="11" t="s">
        <v>257</v>
      </c>
      <c r="P3376" s="11" t="s">
        <v>75</v>
      </c>
      <c r="Q3376" s="20">
        <v>40397.0</v>
      </c>
      <c r="R3376" s="17">
        <f t="shared" si="2"/>
        <v>50.47448101</v>
      </c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>
        <f t="shared" si="8"/>
        <v>3</v>
      </c>
      <c r="AF3376" s="19">
        <f t="shared" si="13"/>
        <v>4</v>
      </c>
      <c r="AG3376" s="9"/>
      <c r="AH3376" s="9"/>
      <c r="AI3376" s="9"/>
    </row>
    <row r="3377" ht="15.0" customHeight="1">
      <c r="A3377" s="11">
        <v>3376.0</v>
      </c>
      <c r="B3377" s="12">
        <f t="shared" si="536"/>
        <v>40394</v>
      </c>
      <c r="C3377" s="13">
        <v>2010.0</v>
      </c>
      <c r="D3377" s="11" t="s">
        <v>39</v>
      </c>
      <c r="E3377" s="11">
        <v>1.0</v>
      </c>
      <c r="F3377" s="21" t="s">
        <v>1746</v>
      </c>
      <c r="G3377" s="15">
        <v>0.12896953985742063</v>
      </c>
      <c r="H3377" s="11" t="s">
        <v>45</v>
      </c>
      <c r="I3377" s="16">
        <v>33.6</v>
      </c>
      <c r="J3377" s="11" t="s">
        <v>617</v>
      </c>
      <c r="K3377" s="11" t="s">
        <v>61</v>
      </c>
      <c r="L3377" s="11" t="s">
        <v>41</v>
      </c>
      <c r="M3377" s="11" t="s">
        <v>49</v>
      </c>
      <c r="N3377" s="11" t="s">
        <v>50</v>
      </c>
      <c r="O3377" s="11" t="s">
        <v>1748</v>
      </c>
      <c r="P3377" s="11" t="s">
        <v>52</v>
      </c>
      <c r="Q3377" s="20">
        <v>40397.0</v>
      </c>
      <c r="R3377" s="17">
        <f t="shared" si="2"/>
        <v>17.33350616</v>
      </c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>
        <f t="shared" si="8"/>
        <v>3</v>
      </c>
      <c r="AF3377" s="19">
        <f t="shared" si="13"/>
        <v>4</v>
      </c>
      <c r="AG3377" s="9"/>
      <c r="AH3377" s="9"/>
      <c r="AI3377" s="9"/>
    </row>
    <row r="3378" ht="15.0" customHeight="1">
      <c r="A3378" s="11">
        <v>3377.0</v>
      </c>
      <c r="B3378" s="12">
        <f t="shared" ref="B3378:B3382" si="537">DATE(2012,12,31)-879</f>
        <v>40395</v>
      </c>
      <c r="C3378" s="13">
        <v>2010.0</v>
      </c>
      <c r="D3378" s="11" t="s">
        <v>39</v>
      </c>
      <c r="E3378" s="11">
        <v>40.0</v>
      </c>
      <c r="F3378" s="21" t="s">
        <v>1038</v>
      </c>
      <c r="G3378" s="15">
        <v>0.011597633136094682</v>
      </c>
      <c r="H3378" s="11" t="s">
        <v>24</v>
      </c>
      <c r="I3378" s="16">
        <v>4.064</v>
      </c>
      <c r="J3378" s="11" t="s">
        <v>1089</v>
      </c>
      <c r="K3378" s="11" t="s">
        <v>35</v>
      </c>
      <c r="L3378" s="11" t="s">
        <v>48</v>
      </c>
      <c r="M3378" s="11" t="s">
        <v>28</v>
      </c>
      <c r="N3378" s="11" t="s">
        <v>56</v>
      </c>
      <c r="O3378" s="11" t="s">
        <v>1040</v>
      </c>
      <c r="P3378" s="11" t="s">
        <v>58</v>
      </c>
      <c r="Q3378" s="20">
        <v>40397.0</v>
      </c>
      <c r="R3378" s="17">
        <f t="shared" si="2"/>
        <v>17.62914462</v>
      </c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>
        <f t="shared" si="8"/>
        <v>4</v>
      </c>
      <c r="AF3378" s="19">
        <f t="shared" si="13"/>
        <v>2</v>
      </c>
      <c r="AG3378" s="9"/>
      <c r="AH3378" s="9"/>
      <c r="AI3378" s="9"/>
    </row>
    <row r="3379" ht="15.0" customHeight="1">
      <c r="A3379" s="11">
        <v>3378.0</v>
      </c>
      <c r="B3379" s="12">
        <f t="shared" si="537"/>
        <v>40395</v>
      </c>
      <c r="C3379" s="13">
        <v>2010.0</v>
      </c>
      <c r="D3379" s="11" t="s">
        <v>39</v>
      </c>
      <c r="E3379" s="11">
        <v>17.0</v>
      </c>
      <c r="F3379" s="21" t="s">
        <v>1818</v>
      </c>
      <c r="G3379" s="15">
        <v>0.011063652028614628</v>
      </c>
      <c r="H3379" s="11" t="s">
        <v>33</v>
      </c>
      <c r="I3379" s="16">
        <v>6.912000000000001</v>
      </c>
      <c r="J3379" s="11" t="s">
        <v>1089</v>
      </c>
      <c r="K3379" s="11" t="s">
        <v>35</v>
      </c>
      <c r="L3379" s="11" t="s">
        <v>48</v>
      </c>
      <c r="M3379" s="11" t="s">
        <v>28</v>
      </c>
      <c r="N3379" s="11" t="s">
        <v>29</v>
      </c>
      <c r="O3379" s="11" t="s">
        <v>1819</v>
      </c>
      <c r="P3379" s="11" t="s">
        <v>38</v>
      </c>
      <c r="Q3379" s="20">
        <v>40397.0</v>
      </c>
      <c r="R3379" s="17">
        <f t="shared" si="2"/>
        <v>20.95358334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>
        <f t="shared" si="8"/>
        <v>4</v>
      </c>
      <c r="AF3379" s="19">
        <f t="shared" si="13"/>
        <v>2</v>
      </c>
      <c r="AG3379" s="9"/>
      <c r="AH3379" s="9"/>
      <c r="AI3379" s="9"/>
    </row>
    <row r="3380" ht="15.0" customHeight="1">
      <c r="A3380" s="11">
        <v>3379.0</v>
      </c>
      <c r="B3380" s="12">
        <f t="shared" si="537"/>
        <v>40395</v>
      </c>
      <c r="C3380" s="13">
        <v>2010.0</v>
      </c>
      <c r="D3380" s="11" t="s">
        <v>39</v>
      </c>
      <c r="E3380" s="11">
        <v>44.0</v>
      </c>
      <c r="F3380" s="21" t="s">
        <v>1548</v>
      </c>
      <c r="G3380" s="15">
        <v>0.014904982023626171</v>
      </c>
      <c r="H3380" s="11" t="s">
        <v>33</v>
      </c>
      <c r="I3380" s="16">
        <v>1.592</v>
      </c>
      <c r="J3380" s="11" t="s">
        <v>2224</v>
      </c>
      <c r="K3380" s="11" t="s">
        <v>35</v>
      </c>
      <c r="L3380" s="11" t="s">
        <v>27</v>
      </c>
      <c r="M3380" s="11" t="s">
        <v>66</v>
      </c>
      <c r="N3380" s="11" t="s">
        <v>67</v>
      </c>
      <c r="O3380" s="11" t="s">
        <v>2340</v>
      </c>
      <c r="P3380" s="11" t="s">
        <v>99</v>
      </c>
      <c r="Q3380" s="20">
        <v>40398.0</v>
      </c>
      <c r="R3380" s="17">
        <f t="shared" si="2"/>
        <v>11.43498297</v>
      </c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>
        <f t="shared" si="8"/>
        <v>1</v>
      </c>
      <c r="AF3380" s="19">
        <f t="shared" si="13"/>
        <v>2</v>
      </c>
      <c r="AG3380" s="9"/>
      <c r="AH3380" s="9"/>
      <c r="AI3380" s="9"/>
    </row>
    <row r="3381" ht="15.0" customHeight="1">
      <c r="A3381" s="11">
        <v>3380.0</v>
      </c>
      <c r="B3381" s="12">
        <f t="shared" si="537"/>
        <v>40395</v>
      </c>
      <c r="C3381" s="13">
        <v>2010.0</v>
      </c>
      <c r="D3381" s="11" t="s">
        <v>44</v>
      </c>
      <c r="E3381" s="11">
        <v>26.0</v>
      </c>
      <c r="F3381" s="21" t="s">
        <v>629</v>
      </c>
      <c r="G3381" s="15">
        <v>0.03649950835791561</v>
      </c>
      <c r="H3381" s="11" t="s">
        <v>33</v>
      </c>
      <c r="I3381" s="16">
        <v>6.176</v>
      </c>
      <c r="J3381" s="11" t="s">
        <v>567</v>
      </c>
      <c r="K3381" s="11" t="s">
        <v>35</v>
      </c>
      <c r="L3381" s="11" t="s">
        <v>36</v>
      </c>
      <c r="M3381" s="11" t="s">
        <v>28</v>
      </c>
      <c r="N3381" s="11" t="s">
        <v>42</v>
      </c>
      <c r="O3381" s="11" t="s">
        <v>1822</v>
      </c>
      <c r="P3381" s="11" t="s">
        <v>38</v>
      </c>
      <c r="Q3381" s="20">
        <v>40398.0</v>
      </c>
      <c r="R3381" s="17">
        <f t="shared" si="2"/>
        <v>7.15302765</v>
      </c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>
        <f t="shared" si="8"/>
        <v>2</v>
      </c>
      <c r="AF3381" s="19">
        <f t="shared" si="13"/>
        <v>2</v>
      </c>
      <c r="AG3381" s="9"/>
      <c r="AH3381" s="9"/>
      <c r="AI3381" s="9"/>
    </row>
    <row r="3382" ht="15.0" customHeight="1">
      <c r="A3382" s="11">
        <v>3381.0</v>
      </c>
      <c r="B3382" s="12">
        <f t="shared" si="537"/>
        <v>40395</v>
      </c>
      <c r="C3382" s="13">
        <v>2010.0</v>
      </c>
      <c r="D3382" s="11" t="s">
        <v>44</v>
      </c>
      <c r="E3382" s="11">
        <v>38.0</v>
      </c>
      <c r="F3382" s="21" t="s">
        <v>413</v>
      </c>
      <c r="G3382" s="15">
        <v>0.02958419958419977</v>
      </c>
      <c r="H3382" s="11" t="s">
        <v>33</v>
      </c>
      <c r="I3382" s="16">
        <v>4.816</v>
      </c>
      <c r="J3382" s="11" t="s">
        <v>567</v>
      </c>
      <c r="K3382" s="11" t="s">
        <v>35</v>
      </c>
      <c r="L3382" s="11" t="s">
        <v>36</v>
      </c>
      <c r="M3382" s="11" t="s">
        <v>49</v>
      </c>
      <c r="N3382" s="11" t="s">
        <v>73</v>
      </c>
      <c r="O3382" s="11" t="s">
        <v>1102</v>
      </c>
      <c r="P3382" s="11" t="s">
        <v>75</v>
      </c>
      <c r="Q3382" s="20">
        <v>40398.0</v>
      </c>
      <c r="R3382" s="17">
        <f t="shared" si="2"/>
        <v>11.04721347</v>
      </c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>
        <f t="shared" si="8"/>
        <v>2</v>
      </c>
      <c r="AF3382" s="19">
        <f t="shared" si="13"/>
        <v>2</v>
      </c>
      <c r="AG3382" s="9"/>
      <c r="AH3382" s="9"/>
      <c r="AI3382" s="9"/>
    </row>
    <row r="3383" ht="15.0" customHeight="1">
      <c r="A3383" s="11">
        <v>3382.0</v>
      </c>
      <c r="B3383" s="12">
        <f t="shared" ref="B3383:B3387" si="538">DATE(2012,12,31)-878</f>
        <v>40396</v>
      </c>
      <c r="C3383" s="13">
        <v>2010.0</v>
      </c>
      <c r="D3383" s="11" t="s">
        <v>44</v>
      </c>
      <c r="E3383" s="11">
        <v>2.0</v>
      </c>
      <c r="F3383" s="21" t="s">
        <v>103</v>
      </c>
      <c r="G3383" s="15">
        <v>0.15849372384937227</v>
      </c>
      <c r="H3383" s="11" t="s">
        <v>33</v>
      </c>
      <c r="I3383" s="16">
        <v>8.312000000000001</v>
      </c>
      <c r="J3383" s="11" t="s">
        <v>2399</v>
      </c>
      <c r="K3383" s="11" t="s">
        <v>65</v>
      </c>
      <c r="L3383" s="11" t="s">
        <v>36</v>
      </c>
      <c r="M3383" s="11" t="s">
        <v>28</v>
      </c>
      <c r="N3383" s="11" t="s">
        <v>56</v>
      </c>
      <c r="O3383" s="11" t="s">
        <v>2400</v>
      </c>
      <c r="P3383" s="11" t="s">
        <v>38</v>
      </c>
      <c r="Q3383" s="20">
        <v>40398.0</v>
      </c>
      <c r="R3383" s="17">
        <f t="shared" si="2"/>
        <v>3.187625774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>
        <f t="shared" si="8"/>
        <v>2</v>
      </c>
      <c r="AF3383" s="19">
        <f t="shared" si="13"/>
        <v>5</v>
      </c>
      <c r="AG3383" s="9"/>
      <c r="AH3383" s="9"/>
      <c r="AI3383" s="9"/>
    </row>
    <row r="3384" ht="15.0" customHeight="1">
      <c r="A3384" s="11">
        <v>3383.0</v>
      </c>
      <c r="B3384" s="12">
        <f t="shared" si="538"/>
        <v>40396</v>
      </c>
      <c r="C3384" s="13">
        <v>2010.0</v>
      </c>
      <c r="D3384" s="11" t="s">
        <v>23</v>
      </c>
      <c r="E3384" s="11">
        <v>27.0</v>
      </c>
      <c r="F3384" s="21" t="s">
        <v>1173</v>
      </c>
      <c r="G3384" s="15">
        <v>0.07457277720724709</v>
      </c>
      <c r="H3384" s="11" t="s">
        <v>33</v>
      </c>
      <c r="I3384" s="16">
        <v>15.991999999999999</v>
      </c>
      <c r="J3384" s="11" t="s">
        <v>1256</v>
      </c>
      <c r="K3384" s="11" t="s">
        <v>83</v>
      </c>
      <c r="L3384" s="11" t="s">
        <v>36</v>
      </c>
      <c r="M3384" s="11" t="s">
        <v>28</v>
      </c>
      <c r="N3384" s="11" t="s">
        <v>197</v>
      </c>
      <c r="O3384" s="11" t="s">
        <v>1174</v>
      </c>
      <c r="P3384" s="11" t="s">
        <v>38</v>
      </c>
      <c r="Q3384" s="20">
        <v>40398.0</v>
      </c>
      <c r="R3384" s="17">
        <f t="shared" si="2"/>
        <v>732.4830503</v>
      </c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>
        <f t="shared" si="8"/>
        <v>2</v>
      </c>
      <c r="AF3384" s="19" t="b">
        <f t="shared" si="13"/>
        <v>0</v>
      </c>
      <c r="AG3384" s="9"/>
      <c r="AH3384" s="9"/>
      <c r="AI3384" s="9"/>
    </row>
    <row r="3385" ht="15.0" customHeight="1">
      <c r="A3385" s="11">
        <v>3384.0</v>
      </c>
      <c r="B3385" s="12">
        <f t="shared" si="538"/>
        <v>40396</v>
      </c>
      <c r="C3385" s="13">
        <v>2010.0</v>
      </c>
      <c r="D3385" s="11" t="s">
        <v>23</v>
      </c>
      <c r="E3385" s="11">
        <v>27.0</v>
      </c>
      <c r="F3385" s="21" t="s">
        <v>319</v>
      </c>
      <c r="G3385" s="15">
        <v>0.028571428571428685</v>
      </c>
      <c r="H3385" s="11" t="s">
        <v>33</v>
      </c>
      <c r="I3385" s="16">
        <v>0.5599999999999999</v>
      </c>
      <c r="J3385" s="11" t="s">
        <v>1256</v>
      </c>
      <c r="K3385" s="11" t="s">
        <v>83</v>
      </c>
      <c r="L3385" s="11" t="s">
        <v>36</v>
      </c>
      <c r="M3385" s="11" t="s">
        <v>28</v>
      </c>
      <c r="N3385" s="11" t="s">
        <v>62</v>
      </c>
      <c r="O3385" s="11" t="s">
        <v>321</v>
      </c>
      <c r="P3385" s="11" t="s">
        <v>58</v>
      </c>
      <c r="Q3385" s="20">
        <v>40398.0</v>
      </c>
      <c r="R3385" s="17">
        <f t="shared" si="2"/>
        <v>2.176</v>
      </c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>
        <f t="shared" si="8"/>
        <v>2</v>
      </c>
      <c r="AF3385" s="19" t="b">
        <f t="shared" si="13"/>
        <v>0</v>
      </c>
      <c r="AG3385" s="9"/>
      <c r="AH3385" s="9"/>
      <c r="AI3385" s="9"/>
    </row>
    <row r="3386" ht="15.0" customHeight="1">
      <c r="A3386" s="11">
        <v>3385.0</v>
      </c>
      <c r="B3386" s="12">
        <f t="shared" si="538"/>
        <v>40396</v>
      </c>
      <c r="C3386" s="13">
        <v>2010.0</v>
      </c>
      <c r="D3386" s="11" t="s">
        <v>39</v>
      </c>
      <c r="E3386" s="11">
        <v>24.0</v>
      </c>
      <c r="F3386" s="21" t="s">
        <v>256</v>
      </c>
      <c r="G3386" s="15">
        <v>0.09897765219624963</v>
      </c>
      <c r="H3386" s="11" t="s">
        <v>24</v>
      </c>
      <c r="I3386" s="16">
        <v>5.168</v>
      </c>
      <c r="J3386" s="11" t="s">
        <v>1021</v>
      </c>
      <c r="K3386" s="11" t="s">
        <v>61</v>
      </c>
      <c r="L3386" s="11" t="s">
        <v>27</v>
      </c>
      <c r="M3386" s="11" t="s">
        <v>28</v>
      </c>
      <c r="N3386" s="11" t="s">
        <v>42</v>
      </c>
      <c r="O3386" s="11" t="s">
        <v>547</v>
      </c>
      <c r="P3386" s="11" t="s">
        <v>38</v>
      </c>
      <c r="Q3386" s="20">
        <v>40398.0</v>
      </c>
      <c r="R3386" s="17">
        <f t="shared" si="2"/>
        <v>34.71819311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>
        <f t="shared" si="8"/>
        <v>1</v>
      </c>
      <c r="AF3386" s="19">
        <f t="shared" si="13"/>
        <v>4</v>
      </c>
      <c r="AG3386" s="9"/>
      <c r="AH3386" s="9"/>
      <c r="AI3386" s="9"/>
    </row>
    <row r="3387" ht="15.0" customHeight="1">
      <c r="A3387" s="11">
        <v>3386.0</v>
      </c>
      <c r="B3387" s="12">
        <f t="shared" si="538"/>
        <v>40396</v>
      </c>
      <c r="C3387" s="13">
        <v>2010.0</v>
      </c>
      <c r="D3387" s="11" t="s">
        <v>39</v>
      </c>
      <c r="E3387" s="11">
        <v>46.0</v>
      </c>
      <c r="F3387" s="21" t="s">
        <v>2290</v>
      </c>
      <c r="G3387" s="15">
        <v>0.02998521196187976</v>
      </c>
      <c r="H3387" s="11" t="s">
        <v>33</v>
      </c>
      <c r="I3387" s="16">
        <v>17.008000000000003</v>
      </c>
      <c r="J3387" s="11" t="s">
        <v>1021</v>
      </c>
      <c r="K3387" s="11" t="s">
        <v>61</v>
      </c>
      <c r="L3387" s="11" t="s">
        <v>27</v>
      </c>
      <c r="M3387" s="11" t="s">
        <v>49</v>
      </c>
      <c r="N3387" s="11" t="s">
        <v>73</v>
      </c>
      <c r="O3387" s="11" t="s">
        <v>2291</v>
      </c>
      <c r="P3387" s="11" t="s">
        <v>31</v>
      </c>
      <c r="Q3387" s="20">
        <v>40399.0</v>
      </c>
      <c r="R3387" s="17">
        <f t="shared" si="2"/>
        <v>141.6143989</v>
      </c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>
        <f t="shared" si="8"/>
        <v>1</v>
      </c>
      <c r="AF3387" s="19">
        <f t="shared" si="13"/>
        <v>4</v>
      </c>
      <c r="AG3387" s="9"/>
      <c r="AH3387" s="9"/>
      <c r="AI3387" s="9"/>
    </row>
    <row r="3388" ht="15.0" customHeight="1">
      <c r="A3388" s="11">
        <v>3387.0</v>
      </c>
      <c r="B3388" s="12">
        <f t="shared" ref="B3388:B3392" si="539">DATE(2012,12,31)-877</f>
        <v>40397</v>
      </c>
      <c r="C3388" s="13">
        <v>2010.0</v>
      </c>
      <c r="D3388" s="11" t="s">
        <v>39</v>
      </c>
      <c r="E3388" s="11">
        <v>14.0</v>
      </c>
      <c r="F3388" s="21" t="s">
        <v>1997</v>
      </c>
      <c r="G3388" s="15">
        <v>0.06581589958158998</v>
      </c>
      <c r="H3388" s="11" t="s">
        <v>33</v>
      </c>
      <c r="I3388" s="16">
        <v>5.016</v>
      </c>
      <c r="J3388" s="11" t="s">
        <v>1685</v>
      </c>
      <c r="K3388" s="11" t="s">
        <v>61</v>
      </c>
      <c r="L3388" s="11" t="s">
        <v>41</v>
      </c>
      <c r="M3388" s="11" t="s">
        <v>28</v>
      </c>
      <c r="N3388" s="11" t="s">
        <v>29</v>
      </c>
      <c r="O3388" s="11" t="s">
        <v>1998</v>
      </c>
      <c r="P3388" s="11" t="s">
        <v>75</v>
      </c>
      <c r="Q3388" s="20">
        <v>40399.0</v>
      </c>
      <c r="R3388" s="17">
        <f t="shared" si="2"/>
        <v>11.75577272</v>
      </c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>
        <f t="shared" si="8"/>
        <v>3</v>
      </c>
      <c r="AF3388" s="19">
        <f t="shared" si="13"/>
        <v>4</v>
      </c>
      <c r="AG3388" s="9"/>
      <c r="AH3388" s="9"/>
      <c r="AI3388" s="9"/>
    </row>
    <row r="3389" ht="15.0" customHeight="1">
      <c r="A3389" s="11">
        <v>3388.0</v>
      </c>
      <c r="B3389" s="12">
        <f t="shared" si="539"/>
        <v>40397</v>
      </c>
      <c r="C3389" s="13">
        <v>2010.0</v>
      </c>
      <c r="D3389" s="11" t="s">
        <v>44</v>
      </c>
      <c r="E3389" s="11">
        <v>12.0</v>
      </c>
      <c r="F3389" s="21" t="s">
        <v>135</v>
      </c>
      <c r="G3389" s="15">
        <v>0.09489685124864289</v>
      </c>
      <c r="H3389" s="11" t="s">
        <v>33</v>
      </c>
      <c r="I3389" s="16">
        <v>4.16</v>
      </c>
      <c r="J3389" s="11" t="s">
        <v>819</v>
      </c>
      <c r="K3389" s="11" t="s">
        <v>61</v>
      </c>
      <c r="L3389" s="11" t="s">
        <v>41</v>
      </c>
      <c r="M3389" s="11" t="s">
        <v>28</v>
      </c>
      <c r="N3389" s="11" t="s">
        <v>56</v>
      </c>
      <c r="O3389" s="11" t="s">
        <v>1237</v>
      </c>
      <c r="P3389" s="11" t="s">
        <v>38</v>
      </c>
      <c r="Q3389" s="20">
        <v>40399.0</v>
      </c>
      <c r="R3389" s="17">
        <f t="shared" si="2"/>
        <v>7.91060152</v>
      </c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>
        <f t="shared" si="8"/>
        <v>3</v>
      </c>
      <c r="AF3389" s="19">
        <f t="shared" si="13"/>
        <v>4</v>
      </c>
      <c r="AG3389" s="9"/>
      <c r="AH3389" s="9"/>
      <c r="AI3389" s="9"/>
    </row>
    <row r="3390" ht="15.0" customHeight="1">
      <c r="A3390" s="11">
        <v>3389.0</v>
      </c>
      <c r="B3390" s="12">
        <f t="shared" si="539"/>
        <v>40397</v>
      </c>
      <c r="C3390" s="13">
        <v>2010.0</v>
      </c>
      <c r="D3390" s="11" t="s">
        <v>23</v>
      </c>
      <c r="E3390" s="11">
        <v>49.0</v>
      </c>
      <c r="F3390" s="21" t="s">
        <v>425</v>
      </c>
      <c r="G3390" s="15">
        <v>0.02475107800862404</v>
      </c>
      <c r="H3390" s="11" t="s">
        <v>33</v>
      </c>
      <c r="I3390" s="16">
        <v>5.344</v>
      </c>
      <c r="J3390" s="11" t="s">
        <v>2061</v>
      </c>
      <c r="K3390" s="11" t="s">
        <v>65</v>
      </c>
      <c r="L3390" s="11" t="s">
        <v>27</v>
      </c>
      <c r="M3390" s="11" t="s">
        <v>49</v>
      </c>
      <c r="N3390" s="11" t="s">
        <v>73</v>
      </c>
      <c r="O3390" s="11" t="s">
        <v>2041</v>
      </c>
      <c r="P3390" s="11" t="s">
        <v>38</v>
      </c>
      <c r="Q3390" s="20">
        <v>40399.0</v>
      </c>
      <c r="R3390" s="17">
        <f t="shared" si="2"/>
        <v>24.63088677</v>
      </c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>
        <f t="shared" si="8"/>
        <v>1</v>
      </c>
      <c r="AF3390" s="19">
        <f t="shared" si="13"/>
        <v>5</v>
      </c>
      <c r="AG3390" s="9"/>
      <c r="AH3390" s="9"/>
      <c r="AI3390" s="9"/>
    </row>
    <row r="3391" ht="15.0" customHeight="1">
      <c r="A3391" s="11">
        <v>3390.0</v>
      </c>
      <c r="B3391" s="12">
        <f t="shared" si="539"/>
        <v>40397</v>
      </c>
      <c r="C3391" s="13">
        <v>2010.0</v>
      </c>
      <c r="D3391" s="11" t="s">
        <v>39</v>
      </c>
      <c r="E3391" s="11">
        <v>24.0</v>
      </c>
      <c r="F3391" s="21" t="s">
        <v>1139</v>
      </c>
      <c r="G3391" s="15">
        <v>0.03973553253969645</v>
      </c>
      <c r="H3391" s="11" t="s">
        <v>45</v>
      </c>
      <c r="I3391" s="16">
        <v>22.528000000000002</v>
      </c>
      <c r="J3391" s="11" t="s">
        <v>504</v>
      </c>
      <c r="K3391" s="11" t="s">
        <v>117</v>
      </c>
      <c r="L3391" s="11" t="s">
        <v>27</v>
      </c>
      <c r="M3391" s="11" t="s">
        <v>49</v>
      </c>
      <c r="N3391" s="11" t="s">
        <v>50</v>
      </c>
      <c r="O3391" s="11" t="s">
        <v>1140</v>
      </c>
      <c r="P3391" s="11" t="s">
        <v>52</v>
      </c>
      <c r="Q3391" s="20">
        <v>40399.0</v>
      </c>
      <c r="R3391" s="17">
        <f t="shared" si="2"/>
        <v>216.9928822</v>
      </c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>
        <f t="shared" si="8"/>
        <v>1</v>
      </c>
      <c r="AF3391" s="19" t="b">
        <f t="shared" si="13"/>
        <v>0</v>
      </c>
      <c r="AG3391" s="9"/>
      <c r="AH3391" s="9"/>
      <c r="AI3391" s="9"/>
    </row>
    <row r="3392" ht="15.0" customHeight="1">
      <c r="A3392" s="11">
        <v>3391.0</v>
      </c>
      <c r="B3392" s="12">
        <f t="shared" si="539"/>
        <v>40397</v>
      </c>
      <c r="C3392" s="13">
        <v>2010.0</v>
      </c>
      <c r="D3392" s="11" t="s">
        <v>102</v>
      </c>
      <c r="E3392" s="11">
        <v>17.0</v>
      </c>
      <c r="F3392" s="21" t="s">
        <v>810</v>
      </c>
      <c r="G3392" s="15">
        <v>0.05972359328726552</v>
      </c>
      <c r="H3392" s="11" t="s">
        <v>33</v>
      </c>
      <c r="I3392" s="16">
        <v>5.2</v>
      </c>
      <c r="J3392" s="11" t="s">
        <v>945</v>
      </c>
      <c r="K3392" s="11" t="s">
        <v>65</v>
      </c>
      <c r="L3392" s="11" t="s">
        <v>27</v>
      </c>
      <c r="M3392" s="11" t="s">
        <v>66</v>
      </c>
      <c r="N3392" s="11" t="s">
        <v>67</v>
      </c>
      <c r="O3392" s="11" t="s">
        <v>1974</v>
      </c>
      <c r="P3392" s="11" t="s">
        <v>38</v>
      </c>
      <c r="Q3392" s="20">
        <v>40399.0</v>
      </c>
      <c r="R3392" s="17">
        <f t="shared" si="2"/>
        <v>11.37734452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>
        <f t="shared" si="8"/>
        <v>1</v>
      </c>
      <c r="AF3392" s="19">
        <f t="shared" si="13"/>
        <v>5</v>
      </c>
      <c r="AG3392" s="9"/>
      <c r="AH3392" s="9"/>
      <c r="AI3392" s="9"/>
    </row>
    <row r="3393" ht="15.0" customHeight="1">
      <c r="A3393" s="11">
        <v>3392.0</v>
      </c>
      <c r="B3393" s="12">
        <f>DATE(2012,12,31)-876</f>
        <v>40398</v>
      </c>
      <c r="C3393" s="13">
        <v>2010.0</v>
      </c>
      <c r="D3393" s="11" t="s">
        <v>39</v>
      </c>
      <c r="E3393" s="11">
        <v>41.0</v>
      </c>
      <c r="F3393" s="21" t="s">
        <v>270</v>
      </c>
      <c r="G3393" s="15">
        <v>0.025949736725007555</v>
      </c>
      <c r="H3393" s="11" t="s">
        <v>33</v>
      </c>
      <c r="I3393" s="16">
        <v>4.264</v>
      </c>
      <c r="J3393" s="11" t="s">
        <v>2401</v>
      </c>
      <c r="K3393" s="11" t="s">
        <v>61</v>
      </c>
      <c r="L3393" s="11" t="s">
        <v>41</v>
      </c>
      <c r="M3393" s="11" t="s">
        <v>28</v>
      </c>
      <c r="N3393" s="11" t="s">
        <v>197</v>
      </c>
      <c r="O3393" s="11" t="s">
        <v>2390</v>
      </c>
      <c r="P3393" s="11" t="s">
        <v>38</v>
      </c>
      <c r="Q3393" s="20">
        <v>40400.0</v>
      </c>
      <c r="R3393" s="17">
        <f t="shared" si="2"/>
        <v>43.62576319</v>
      </c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>
        <f t="shared" si="8"/>
        <v>3</v>
      </c>
      <c r="AF3393" s="19">
        <f t="shared" si="13"/>
        <v>4</v>
      </c>
      <c r="AG3393" s="9"/>
      <c r="AH3393" s="9"/>
      <c r="AI3393" s="9"/>
    </row>
    <row r="3394" ht="15.0" customHeight="1">
      <c r="A3394" s="11">
        <v>3393.0</v>
      </c>
      <c r="B3394" s="12">
        <f t="shared" ref="B3394:B3400" si="540">DATE(2012,12,31)-875</f>
        <v>40399</v>
      </c>
      <c r="C3394" s="13">
        <v>2010.0</v>
      </c>
      <c r="D3394" s="11" t="s">
        <v>39</v>
      </c>
      <c r="E3394" s="11">
        <v>11.0</v>
      </c>
      <c r="F3394" s="21" t="s">
        <v>1670</v>
      </c>
      <c r="G3394" s="15">
        <v>0.06873376623376615</v>
      </c>
      <c r="H3394" s="11" t="s">
        <v>33</v>
      </c>
      <c r="I3394" s="16">
        <v>1.4320000000000002</v>
      </c>
      <c r="J3394" s="11" t="s">
        <v>1607</v>
      </c>
      <c r="K3394" s="11" t="s">
        <v>35</v>
      </c>
      <c r="L3394" s="11" t="s">
        <v>48</v>
      </c>
      <c r="M3394" s="11" t="s">
        <v>28</v>
      </c>
      <c r="N3394" s="11" t="s">
        <v>56</v>
      </c>
      <c r="O3394" s="11" t="s">
        <v>1671</v>
      </c>
      <c r="P3394" s="11" t="s">
        <v>58</v>
      </c>
      <c r="Q3394" s="20">
        <v>40400.0</v>
      </c>
      <c r="R3394" s="17">
        <f t="shared" si="2"/>
        <v>7.885962468</v>
      </c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>
        <f t="shared" si="8"/>
        <v>4</v>
      </c>
      <c r="AF3394" s="19">
        <f t="shared" si="13"/>
        <v>2</v>
      </c>
      <c r="AG3394" s="9"/>
      <c r="AH3394" s="9"/>
      <c r="AI3394" s="9"/>
    </row>
    <row r="3395" ht="15.0" customHeight="1">
      <c r="A3395" s="11">
        <v>3394.0</v>
      </c>
      <c r="B3395" s="12">
        <f t="shared" si="540"/>
        <v>40399</v>
      </c>
      <c r="C3395" s="13">
        <v>2010.0</v>
      </c>
      <c r="D3395" s="11" t="s">
        <v>32</v>
      </c>
      <c r="E3395" s="11">
        <v>3.0</v>
      </c>
      <c r="F3395" s="21" t="s">
        <v>948</v>
      </c>
      <c r="G3395" s="15">
        <v>0.1255299539170507</v>
      </c>
      <c r="H3395" s="11" t="s">
        <v>24</v>
      </c>
      <c r="I3395" s="16">
        <v>4.576</v>
      </c>
      <c r="J3395" s="11" t="s">
        <v>793</v>
      </c>
      <c r="K3395" s="11" t="s">
        <v>65</v>
      </c>
      <c r="L3395" s="11" t="s">
        <v>41</v>
      </c>
      <c r="M3395" s="11" t="s">
        <v>49</v>
      </c>
      <c r="N3395" s="11" t="s">
        <v>73</v>
      </c>
      <c r="O3395" s="11" t="s">
        <v>1873</v>
      </c>
      <c r="P3395" s="11" t="s">
        <v>99</v>
      </c>
      <c r="Q3395" s="20">
        <v>40400.0</v>
      </c>
      <c r="R3395" s="17">
        <f t="shared" si="2"/>
        <v>2.382056406</v>
      </c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>
        <f t="shared" si="8"/>
        <v>3</v>
      </c>
      <c r="AF3395" s="19">
        <f t="shared" si="13"/>
        <v>5</v>
      </c>
      <c r="AG3395" s="9"/>
      <c r="AH3395" s="9"/>
      <c r="AI3395" s="9"/>
    </row>
    <row r="3396" ht="15.0" customHeight="1">
      <c r="A3396" s="11">
        <v>3395.0</v>
      </c>
      <c r="B3396" s="12">
        <f t="shared" si="540"/>
        <v>40399</v>
      </c>
      <c r="C3396" s="13">
        <v>2010.0</v>
      </c>
      <c r="D3396" s="11" t="s">
        <v>32</v>
      </c>
      <c r="E3396" s="11">
        <v>32.0</v>
      </c>
      <c r="F3396" s="21" t="s">
        <v>158</v>
      </c>
      <c r="G3396" s="15">
        <v>0.10431847684984845</v>
      </c>
      <c r="H3396" s="11" t="s">
        <v>33</v>
      </c>
      <c r="I3396" s="16">
        <v>2.192</v>
      </c>
      <c r="J3396" s="11" t="s">
        <v>370</v>
      </c>
      <c r="K3396" s="11" t="s">
        <v>65</v>
      </c>
      <c r="L3396" s="11" t="s">
        <v>48</v>
      </c>
      <c r="M3396" s="11" t="s">
        <v>66</v>
      </c>
      <c r="N3396" s="11" t="s">
        <v>67</v>
      </c>
      <c r="O3396" s="11" t="s">
        <v>1270</v>
      </c>
      <c r="P3396" s="11" t="s">
        <v>99</v>
      </c>
      <c r="Q3396" s="20">
        <v>40400.0</v>
      </c>
      <c r="R3396" s="17">
        <f t="shared" si="2"/>
        <v>21.59309016</v>
      </c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>
        <f t="shared" si="8"/>
        <v>4</v>
      </c>
      <c r="AF3396" s="19">
        <f t="shared" si="13"/>
        <v>5</v>
      </c>
      <c r="AG3396" s="9"/>
      <c r="AH3396" s="9"/>
      <c r="AI3396" s="9"/>
    </row>
    <row r="3397" ht="15.0" customHeight="1">
      <c r="A3397" s="11">
        <v>3396.0</v>
      </c>
      <c r="B3397" s="12">
        <f t="shared" si="540"/>
        <v>40399</v>
      </c>
      <c r="C3397" s="13">
        <v>2010.0</v>
      </c>
      <c r="D3397" s="11" t="s">
        <v>39</v>
      </c>
      <c r="E3397" s="11">
        <v>19.0</v>
      </c>
      <c r="F3397" s="21" t="s">
        <v>1158</v>
      </c>
      <c r="G3397" s="15">
        <v>0.03438692098092644</v>
      </c>
      <c r="H3397" s="11" t="s">
        <v>33</v>
      </c>
      <c r="I3397" s="16">
        <v>4.376</v>
      </c>
      <c r="J3397" s="11" t="s">
        <v>2402</v>
      </c>
      <c r="K3397" s="11" t="s">
        <v>65</v>
      </c>
      <c r="L3397" s="11" t="s">
        <v>48</v>
      </c>
      <c r="M3397" s="11" t="s">
        <v>28</v>
      </c>
      <c r="N3397" s="11" t="s">
        <v>42</v>
      </c>
      <c r="O3397" s="11" t="s">
        <v>1530</v>
      </c>
      <c r="P3397" s="11" t="s">
        <v>38</v>
      </c>
      <c r="Q3397" s="20">
        <v>40401.0</v>
      </c>
      <c r="R3397" s="17">
        <f t="shared" si="2"/>
        <v>2.437207411</v>
      </c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>
        <f t="shared" si="8"/>
        <v>4</v>
      </c>
      <c r="AF3397" s="19">
        <f t="shared" si="13"/>
        <v>5</v>
      </c>
      <c r="AG3397" s="9"/>
      <c r="AH3397" s="9"/>
      <c r="AI3397" s="9"/>
    </row>
    <row r="3398" ht="15.0" customHeight="1">
      <c r="A3398" s="11">
        <v>3397.0</v>
      </c>
      <c r="B3398" s="12">
        <f t="shared" si="540"/>
        <v>40399</v>
      </c>
      <c r="C3398" s="13">
        <v>2010.0</v>
      </c>
      <c r="D3398" s="11" t="s">
        <v>23</v>
      </c>
      <c r="E3398" s="11">
        <v>32.0</v>
      </c>
      <c r="F3398" s="21" t="s">
        <v>869</v>
      </c>
      <c r="G3398" s="15">
        <v>0.04877701324297215</v>
      </c>
      <c r="H3398" s="11" t="s">
        <v>33</v>
      </c>
      <c r="I3398" s="16">
        <v>2.232</v>
      </c>
      <c r="J3398" s="11" t="s">
        <v>2324</v>
      </c>
      <c r="K3398" s="11" t="s">
        <v>61</v>
      </c>
      <c r="L3398" s="11" t="s">
        <v>41</v>
      </c>
      <c r="M3398" s="11" t="s">
        <v>66</v>
      </c>
      <c r="N3398" s="11" t="s">
        <v>80</v>
      </c>
      <c r="O3398" s="11" t="s">
        <v>2403</v>
      </c>
      <c r="P3398" s="11" t="s">
        <v>38</v>
      </c>
      <c r="Q3398" s="20">
        <v>40401.0</v>
      </c>
      <c r="R3398" s="17">
        <f t="shared" si="2"/>
        <v>134.1871243</v>
      </c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>
        <f t="shared" si="8"/>
        <v>3</v>
      </c>
      <c r="AF3398" s="19">
        <f t="shared" si="13"/>
        <v>4</v>
      </c>
      <c r="AG3398" s="9"/>
      <c r="AH3398" s="9"/>
      <c r="AI3398" s="9"/>
    </row>
    <row r="3399" ht="15.0" customHeight="1">
      <c r="A3399" s="11">
        <v>3398.0</v>
      </c>
      <c r="B3399" s="12">
        <f t="shared" si="540"/>
        <v>40399</v>
      </c>
      <c r="C3399" s="13">
        <v>2010.0</v>
      </c>
      <c r="D3399" s="11" t="s">
        <v>102</v>
      </c>
      <c r="E3399" s="11">
        <v>8.0</v>
      </c>
      <c r="F3399" s="21" t="s">
        <v>137</v>
      </c>
      <c r="G3399" s="15">
        <v>0.057993721034534186</v>
      </c>
      <c r="H3399" s="11" t="s">
        <v>45</v>
      </c>
      <c r="I3399" s="16">
        <v>53.016</v>
      </c>
      <c r="J3399" s="11" t="s">
        <v>662</v>
      </c>
      <c r="K3399" s="11" t="s">
        <v>61</v>
      </c>
      <c r="L3399" s="11" t="s">
        <v>41</v>
      </c>
      <c r="M3399" s="11" t="s">
        <v>49</v>
      </c>
      <c r="N3399" s="11" t="s">
        <v>156</v>
      </c>
      <c r="O3399" s="11" t="s">
        <v>1553</v>
      </c>
      <c r="P3399" s="11" t="s">
        <v>87</v>
      </c>
      <c r="Q3399" s="20">
        <v>40401.0</v>
      </c>
      <c r="R3399" s="17">
        <f t="shared" si="2"/>
        <v>73.08461515</v>
      </c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>
        <f t="shared" si="8"/>
        <v>3</v>
      </c>
      <c r="AF3399" s="19">
        <f t="shared" si="13"/>
        <v>4</v>
      </c>
      <c r="AG3399" s="9"/>
      <c r="AH3399" s="9"/>
      <c r="AI3399" s="9"/>
    </row>
    <row r="3400" ht="15.0" customHeight="1">
      <c r="A3400" s="11">
        <v>3399.0</v>
      </c>
      <c r="B3400" s="12">
        <f t="shared" si="540"/>
        <v>40399</v>
      </c>
      <c r="C3400" s="13">
        <v>2010.0</v>
      </c>
      <c r="D3400" s="11" t="s">
        <v>102</v>
      </c>
      <c r="E3400" s="11">
        <v>23.0</v>
      </c>
      <c r="F3400" s="21" t="s">
        <v>1456</v>
      </c>
      <c r="G3400" s="15">
        <v>0.0460667146628269</v>
      </c>
      <c r="H3400" s="11" t="s">
        <v>33</v>
      </c>
      <c r="I3400" s="16">
        <v>6.504000000000001</v>
      </c>
      <c r="J3400" s="11" t="s">
        <v>662</v>
      </c>
      <c r="K3400" s="11" t="s">
        <v>61</v>
      </c>
      <c r="L3400" s="11" t="s">
        <v>41</v>
      </c>
      <c r="M3400" s="11" t="s">
        <v>28</v>
      </c>
      <c r="N3400" s="11" t="s">
        <v>236</v>
      </c>
      <c r="O3400" s="11" t="s">
        <v>1457</v>
      </c>
      <c r="P3400" s="11" t="s">
        <v>38</v>
      </c>
      <c r="Q3400" s="20">
        <v>40401.0</v>
      </c>
      <c r="R3400" s="17">
        <f t="shared" si="2"/>
        <v>18.31170335</v>
      </c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>
        <f t="shared" si="8"/>
        <v>3</v>
      </c>
      <c r="AF3400" s="19">
        <f t="shared" si="13"/>
        <v>4</v>
      </c>
      <c r="AG3400" s="9"/>
      <c r="AH3400" s="9"/>
      <c r="AI3400" s="9"/>
    </row>
    <row r="3401" ht="15.0" customHeight="1">
      <c r="A3401" s="11">
        <v>3400.0</v>
      </c>
      <c r="B3401" s="12">
        <f t="shared" ref="B3401:B3403" si="541">DATE(2012,12,31)-874</f>
        <v>40400</v>
      </c>
      <c r="C3401" s="13">
        <v>2010.0</v>
      </c>
      <c r="D3401" s="11" t="s">
        <v>102</v>
      </c>
      <c r="E3401" s="11">
        <v>38.0</v>
      </c>
      <c r="F3401" s="21" t="s">
        <v>1136</v>
      </c>
      <c r="G3401" s="15">
        <v>0.06211437733832182</v>
      </c>
      <c r="H3401" s="11" t="s">
        <v>33</v>
      </c>
      <c r="I3401" s="16">
        <v>7.192</v>
      </c>
      <c r="J3401" s="11" t="s">
        <v>780</v>
      </c>
      <c r="K3401" s="11" t="s">
        <v>83</v>
      </c>
      <c r="L3401" s="11" t="s">
        <v>48</v>
      </c>
      <c r="M3401" s="11" t="s">
        <v>28</v>
      </c>
      <c r="N3401" s="11" t="s">
        <v>62</v>
      </c>
      <c r="O3401" s="11" t="s">
        <v>1176</v>
      </c>
      <c r="P3401" s="11" t="s">
        <v>99</v>
      </c>
      <c r="Q3401" s="20">
        <v>40401.0</v>
      </c>
      <c r="R3401" s="17">
        <f t="shared" si="2"/>
        <v>54.49865776</v>
      </c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>
        <f t="shared" si="8"/>
        <v>4</v>
      </c>
      <c r="AF3401" s="19" t="b">
        <f t="shared" si="13"/>
        <v>0</v>
      </c>
      <c r="AG3401" s="9"/>
      <c r="AH3401" s="9"/>
      <c r="AI3401" s="9"/>
    </row>
    <row r="3402" ht="15.0" customHeight="1">
      <c r="A3402" s="11">
        <v>3401.0</v>
      </c>
      <c r="B3402" s="12">
        <f t="shared" si="541"/>
        <v>40400</v>
      </c>
      <c r="C3402" s="13">
        <v>2010.0</v>
      </c>
      <c r="D3402" s="11" t="s">
        <v>102</v>
      </c>
      <c r="E3402" s="11">
        <v>46.0</v>
      </c>
      <c r="F3402" s="21" t="s">
        <v>199</v>
      </c>
      <c r="G3402" s="15">
        <v>0.05518810148731402</v>
      </c>
      <c r="H3402" s="11" t="s">
        <v>33</v>
      </c>
      <c r="I3402" s="16">
        <v>6.36</v>
      </c>
      <c r="J3402" s="11" t="s">
        <v>780</v>
      </c>
      <c r="K3402" s="11" t="s">
        <v>83</v>
      </c>
      <c r="L3402" s="11" t="s">
        <v>48</v>
      </c>
      <c r="M3402" s="11" t="s">
        <v>28</v>
      </c>
      <c r="N3402" s="11" t="s">
        <v>62</v>
      </c>
      <c r="O3402" s="11" t="s">
        <v>1924</v>
      </c>
      <c r="P3402" s="11" t="s">
        <v>99</v>
      </c>
      <c r="Q3402" s="20">
        <v>40401.0</v>
      </c>
      <c r="R3402" s="17">
        <f t="shared" si="2"/>
        <v>29.79936728</v>
      </c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>
        <f t="shared" si="8"/>
        <v>4</v>
      </c>
      <c r="AF3402" s="19" t="b">
        <f t="shared" si="13"/>
        <v>0</v>
      </c>
      <c r="AG3402" s="9"/>
      <c r="AH3402" s="9"/>
      <c r="AI3402" s="9"/>
    </row>
    <row r="3403" ht="15.0" customHeight="1">
      <c r="A3403" s="11">
        <v>3402.0</v>
      </c>
      <c r="B3403" s="12">
        <f t="shared" si="541"/>
        <v>40400</v>
      </c>
      <c r="C3403" s="13">
        <v>2010.0</v>
      </c>
      <c r="D3403" s="11" t="s">
        <v>32</v>
      </c>
      <c r="E3403" s="11">
        <v>48.0</v>
      </c>
      <c r="F3403" s="21" t="s">
        <v>128</v>
      </c>
      <c r="G3403" s="15">
        <v>0.03006733790803552</v>
      </c>
      <c r="H3403" s="11" t="s">
        <v>33</v>
      </c>
      <c r="I3403" s="16">
        <v>6.464</v>
      </c>
      <c r="J3403" s="11" t="s">
        <v>803</v>
      </c>
      <c r="K3403" s="11" t="s">
        <v>61</v>
      </c>
      <c r="L3403" s="11" t="s">
        <v>36</v>
      </c>
      <c r="M3403" s="11" t="s">
        <v>66</v>
      </c>
      <c r="N3403" s="11" t="s">
        <v>80</v>
      </c>
      <c r="O3403" s="11" t="s">
        <v>1508</v>
      </c>
      <c r="P3403" s="11" t="s">
        <v>38</v>
      </c>
      <c r="Q3403" s="20">
        <v>40402.0</v>
      </c>
      <c r="R3403" s="17">
        <f t="shared" si="2"/>
        <v>181.8972917</v>
      </c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>
        <f t="shared" si="8"/>
        <v>2</v>
      </c>
      <c r="AF3403" s="19">
        <f t="shared" si="13"/>
        <v>4</v>
      </c>
      <c r="AG3403" s="9"/>
      <c r="AH3403" s="9"/>
      <c r="AI3403" s="9"/>
    </row>
    <row r="3404" ht="15.0" customHeight="1">
      <c r="A3404" s="11">
        <v>3403.0</v>
      </c>
      <c r="B3404" s="12">
        <f t="shared" ref="B3404:B3405" si="542">DATE(2012,12,31)-873</f>
        <v>40401</v>
      </c>
      <c r="C3404" s="13">
        <v>2010.0</v>
      </c>
      <c r="D3404" s="11" t="s">
        <v>32</v>
      </c>
      <c r="E3404" s="11">
        <v>7.0</v>
      </c>
      <c r="F3404" s="21" t="s">
        <v>948</v>
      </c>
      <c r="G3404" s="15">
        <v>0.009623188405797123</v>
      </c>
      <c r="H3404" s="11" t="s">
        <v>33</v>
      </c>
      <c r="I3404" s="16">
        <v>0.568</v>
      </c>
      <c r="J3404" s="11" t="s">
        <v>2292</v>
      </c>
      <c r="K3404" s="11" t="s">
        <v>35</v>
      </c>
      <c r="L3404" s="11" t="s">
        <v>48</v>
      </c>
      <c r="M3404" s="11" t="s">
        <v>28</v>
      </c>
      <c r="N3404" s="11" t="s">
        <v>62</v>
      </c>
      <c r="O3404" s="11" t="s">
        <v>949</v>
      </c>
      <c r="P3404" s="11" t="s">
        <v>58</v>
      </c>
      <c r="Q3404" s="20">
        <v>40402.0</v>
      </c>
      <c r="R3404" s="17">
        <f t="shared" si="2"/>
        <v>0.3288051014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>
        <f t="shared" si="8"/>
        <v>4</v>
      </c>
      <c r="AF3404" s="19">
        <f t="shared" si="13"/>
        <v>2</v>
      </c>
      <c r="AG3404" s="9"/>
      <c r="AH3404" s="9"/>
      <c r="AI3404" s="9"/>
    </row>
    <row r="3405" ht="15.0" customHeight="1">
      <c r="A3405" s="11">
        <v>3404.0</v>
      </c>
      <c r="B3405" s="12">
        <f t="shared" si="542"/>
        <v>40401</v>
      </c>
      <c r="C3405" s="13">
        <v>2010.0</v>
      </c>
      <c r="D3405" s="11" t="s">
        <v>23</v>
      </c>
      <c r="E3405" s="11">
        <v>19.0</v>
      </c>
      <c r="F3405" s="21" t="s">
        <v>1359</v>
      </c>
      <c r="G3405" s="15">
        <v>0.02024963484265038</v>
      </c>
      <c r="H3405" s="11" t="s">
        <v>33</v>
      </c>
      <c r="I3405" s="16">
        <v>3.2</v>
      </c>
      <c r="J3405" s="11" t="s">
        <v>55</v>
      </c>
      <c r="K3405" s="11" t="s">
        <v>26</v>
      </c>
      <c r="L3405" s="11" t="s">
        <v>41</v>
      </c>
      <c r="M3405" s="11" t="s">
        <v>66</v>
      </c>
      <c r="N3405" s="11" t="s">
        <v>67</v>
      </c>
      <c r="O3405" s="11" t="s">
        <v>1361</v>
      </c>
      <c r="P3405" s="11" t="s">
        <v>38</v>
      </c>
      <c r="Q3405" s="20">
        <v>40402.0</v>
      </c>
      <c r="R3405" s="17">
        <f t="shared" si="2"/>
        <v>29.88238614</v>
      </c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>
        <f t="shared" si="8"/>
        <v>3</v>
      </c>
      <c r="AF3405" s="19">
        <f t="shared" si="13"/>
        <v>1</v>
      </c>
      <c r="AG3405" s="9"/>
      <c r="AH3405" s="9"/>
      <c r="AI3405" s="9"/>
    </row>
    <row r="3406" ht="15.0" customHeight="1">
      <c r="A3406" s="11">
        <v>3405.0</v>
      </c>
      <c r="B3406" s="12">
        <f t="shared" ref="B3406:B3409" si="543">DATE(2012,12,31)-872</f>
        <v>40402</v>
      </c>
      <c r="C3406" s="13">
        <v>2010.0</v>
      </c>
      <c r="D3406" s="11" t="s">
        <v>39</v>
      </c>
      <c r="E3406" s="11">
        <v>16.0</v>
      </c>
      <c r="F3406" s="21" t="s">
        <v>1091</v>
      </c>
      <c r="G3406" s="15">
        <v>0.03261788068277855</v>
      </c>
      <c r="H3406" s="11" t="s">
        <v>24</v>
      </c>
      <c r="I3406" s="16">
        <v>6.0</v>
      </c>
      <c r="J3406" s="11" t="s">
        <v>1466</v>
      </c>
      <c r="K3406" s="11" t="s">
        <v>65</v>
      </c>
      <c r="L3406" s="11" t="s">
        <v>27</v>
      </c>
      <c r="M3406" s="11" t="s">
        <v>28</v>
      </c>
      <c r="N3406" s="11" t="s">
        <v>56</v>
      </c>
      <c r="O3406" s="11" t="s">
        <v>1451</v>
      </c>
      <c r="P3406" s="11" t="s">
        <v>38</v>
      </c>
      <c r="Q3406" s="20">
        <v>40402.0</v>
      </c>
      <c r="R3406" s="17">
        <f t="shared" si="2"/>
        <v>18.6704749</v>
      </c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>
        <f t="shared" si="8"/>
        <v>1</v>
      </c>
      <c r="AF3406" s="19">
        <f t="shared" si="13"/>
        <v>5</v>
      </c>
      <c r="AG3406" s="9"/>
      <c r="AH3406" s="9"/>
      <c r="AI3406" s="9"/>
    </row>
    <row r="3407" ht="15.0" customHeight="1">
      <c r="A3407" s="11">
        <v>3406.0</v>
      </c>
      <c r="B3407" s="12">
        <f t="shared" si="543"/>
        <v>40402</v>
      </c>
      <c r="C3407" s="13">
        <v>2010.0</v>
      </c>
      <c r="D3407" s="11" t="s">
        <v>39</v>
      </c>
      <c r="E3407" s="11">
        <v>5.0</v>
      </c>
      <c r="F3407" s="21" t="s">
        <v>151</v>
      </c>
      <c r="G3407" s="15">
        <v>0.1439285714285713</v>
      </c>
      <c r="H3407" s="11" t="s">
        <v>33</v>
      </c>
      <c r="I3407" s="16">
        <v>3.176</v>
      </c>
      <c r="J3407" s="11" t="s">
        <v>1466</v>
      </c>
      <c r="K3407" s="11" t="s">
        <v>65</v>
      </c>
      <c r="L3407" s="11" t="s">
        <v>27</v>
      </c>
      <c r="M3407" s="11" t="s">
        <v>28</v>
      </c>
      <c r="N3407" s="11" t="s">
        <v>62</v>
      </c>
      <c r="O3407" s="11" t="s">
        <v>153</v>
      </c>
      <c r="P3407" s="11" t="s">
        <v>58</v>
      </c>
      <c r="Q3407" s="20">
        <v>40403.0</v>
      </c>
      <c r="R3407" s="17">
        <f t="shared" si="2"/>
        <v>2.759974286</v>
      </c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>
        <f t="shared" si="8"/>
        <v>1</v>
      </c>
      <c r="AF3407" s="19">
        <f t="shared" si="13"/>
        <v>5</v>
      </c>
      <c r="AG3407" s="9"/>
      <c r="AH3407" s="9"/>
      <c r="AI3407" s="9"/>
    </row>
    <row r="3408" ht="15.0" customHeight="1">
      <c r="A3408" s="11">
        <v>3407.0</v>
      </c>
      <c r="B3408" s="12">
        <f t="shared" si="543"/>
        <v>40402</v>
      </c>
      <c r="C3408" s="13">
        <v>2010.0</v>
      </c>
      <c r="D3408" s="11" t="s">
        <v>102</v>
      </c>
      <c r="E3408" s="11">
        <v>7.0</v>
      </c>
      <c r="F3408" s="21" t="s">
        <v>290</v>
      </c>
      <c r="G3408" s="15">
        <v>0.10058666666666663</v>
      </c>
      <c r="H3408" s="11" t="s">
        <v>24</v>
      </c>
      <c r="I3408" s="16">
        <v>4.328</v>
      </c>
      <c r="J3408" s="11" t="s">
        <v>1636</v>
      </c>
      <c r="K3408" s="11" t="s">
        <v>61</v>
      </c>
      <c r="L3408" s="11" t="s">
        <v>48</v>
      </c>
      <c r="M3408" s="11" t="s">
        <v>28</v>
      </c>
      <c r="N3408" s="11" t="s">
        <v>42</v>
      </c>
      <c r="O3408" s="11" t="s">
        <v>1475</v>
      </c>
      <c r="P3408" s="11" t="s">
        <v>38</v>
      </c>
      <c r="Q3408" s="20">
        <v>40404.0</v>
      </c>
      <c r="R3408" s="17">
        <f t="shared" si="2"/>
        <v>3.392587093</v>
      </c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>
        <f t="shared" si="8"/>
        <v>4</v>
      </c>
      <c r="AF3408" s="19">
        <f t="shared" si="13"/>
        <v>4</v>
      </c>
      <c r="AG3408" s="9"/>
      <c r="AH3408" s="9"/>
      <c r="AI3408" s="9"/>
    </row>
    <row r="3409" ht="15.0" customHeight="1">
      <c r="A3409" s="11">
        <v>3408.0</v>
      </c>
      <c r="B3409" s="12">
        <f t="shared" si="543"/>
        <v>40402</v>
      </c>
      <c r="C3409" s="13">
        <v>2010.0</v>
      </c>
      <c r="D3409" s="11" t="s">
        <v>44</v>
      </c>
      <c r="E3409" s="11">
        <v>37.0</v>
      </c>
      <c r="F3409" s="21" t="s">
        <v>950</v>
      </c>
      <c r="G3409" s="15">
        <v>0.03724875021548</v>
      </c>
      <c r="H3409" s="11" t="s">
        <v>33</v>
      </c>
      <c r="I3409" s="16">
        <v>7.192</v>
      </c>
      <c r="J3409" s="11" t="s">
        <v>2099</v>
      </c>
      <c r="K3409" s="11" t="s">
        <v>83</v>
      </c>
      <c r="L3409" s="11" t="s">
        <v>48</v>
      </c>
      <c r="M3409" s="11" t="s">
        <v>49</v>
      </c>
      <c r="N3409" s="11" t="s">
        <v>73</v>
      </c>
      <c r="O3409" s="11" t="s">
        <v>1793</v>
      </c>
      <c r="P3409" s="11" t="s">
        <v>99</v>
      </c>
      <c r="Q3409" s="20">
        <v>40404.0</v>
      </c>
      <c r="R3409" s="17">
        <f t="shared" si="2"/>
        <v>20.80312901</v>
      </c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>
        <f t="shared" si="8"/>
        <v>4</v>
      </c>
      <c r="AF3409" s="19" t="b">
        <f t="shared" si="13"/>
        <v>0</v>
      </c>
      <c r="AG3409" s="9"/>
      <c r="AH3409" s="9"/>
      <c r="AI3409" s="9"/>
    </row>
    <row r="3410" ht="15.0" customHeight="1">
      <c r="A3410" s="11">
        <v>3409.0</v>
      </c>
      <c r="B3410" s="12">
        <f t="shared" ref="B3410:B3416" si="544">DATE(2012,12,31)-871</f>
        <v>40403</v>
      </c>
      <c r="C3410" s="13">
        <v>2010.0</v>
      </c>
      <c r="D3410" s="11" t="s">
        <v>39</v>
      </c>
      <c r="E3410" s="11">
        <v>4.0</v>
      </c>
      <c r="F3410" s="21" t="s">
        <v>319</v>
      </c>
      <c r="G3410" s="15">
        <v>0.036065573770491764</v>
      </c>
      <c r="H3410" s="11" t="s">
        <v>33</v>
      </c>
      <c r="I3410" s="16">
        <v>0.5599999999999999</v>
      </c>
      <c r="J3410" s="11" t="s">
        <v>235</v>
      </c>
      <c r="K3410" s="11" t="s">
        <v>61</v>
      </c>
      <c r="L3410" s="11" t="s">
        <v>48</v>
      </c>
      <c r="M3410" s="11" t="s">
        <v>28</v>
      </c>
      <c r="N3410" s="11" t="s">
        <v>62</v>
      </c>
      <c r="O3410" s="11" t="s">
        <v>1606</v>
      </c>
      <c r="P3410" s="11" t="s">
        <v>58</v>
      </c>
      <c r="Q3410" s="20">
        <v>40404.0</v>
      </c>
      <c r="R3410" s="17">
        <f t="shared" si="2"/>
        <v>0.4241311475</v>
      </c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>
        <f t="shared" si="8"/>
        <v>4</v>
      </c>
      <c r="AF3410" s="19">
        <f t="shared" si="13"/>
        <v>4</v>
      </c>
      <c r="AG3410" s="9"/>
      <c r="AH3410" s="9"/>
      <c r="AI3410" s="9"/>
    </row>
    <row r="3411" ht="15.0" customHeight="1">
      <c r="A3411" s="11">
        <v>3410.0</v>
      </c>
      <c r="B3411" s="12">
        <f t="shared" si="544"/>
        <v>40403</v>
      </c>
      <c r="C3411" s="13">
        <v>2010.0</v>
      </c>
      <c r="D3411" s="11" t="s">
        <v>102</v>
      </c>
      <c r="E3411" s="11">
        <v>33.0</v>
      </c>
      <c r="F3411" s="21" t="s">
        <v>1559</v>
      </c>
      <c r="G3411" s="15">
        <v>0.10933333333333337</v>
      </c>
      <c r="H3411" s="11" t="s">
        <v>33</v>
      </c>
      <c r="I3411" s="16">
        <v>0.5599999999999999</v>
      </c>
      <c r="J3411" s="11" t="s">
        <v>174</v>
      </c>
      <c r="K3411" s="11" t="s">
        <v>35</v>
      </c>
      <c r="L3411" s="11" t="s">
        <v>41</v>
      </c>
      <c r="M3411" s="11" t="s">
        <v>28</v>
      </c>
      <c r="N3411" s="11" t="s">
        <v>216</v>
      </c>
      <c r="O3411" s="11" t="s">
        <v>1561</v>
      </c>
      <c r="P3411" s="11" t="s">
        <v>58</v>
      </c>
      <c r="Q3411" s="20">
        <v>40404.0</v>
      </c>
      <c r="R3411" s="17">
        <f t="shared" si="2"/>
        <v>5.112426667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>
        <f t="shared" si="8"/>
        <v>3</v>
      </c>
      <c r="AF3411" s="19">
        <f t="shared" si="13"/>
        <v>2</v>
      </c>
      <c r="AG3411" s="9"/>
      <c r="AH3411" s="9"/>
      <c r="AI3411" s="9"/>
    </row>
    <row r="3412" ht="15.0" customHeight="1">
      <c r="A3412" s="11">
        <v>3411.0</v>
      </c>
      <c r="B3412" s="12">
        <f t="shared" si="544"/>
        <v>40403</v>
      </c>
      <c r="C3412" s="13">
        <v>2010.0</v>
      </c>
      <c r="D3412" s="11" t="s">
        <v>102</v>
      </c>
      <c r="E3412" s="11">
        <v>23.0</v>
      </c>
      <c r="F3412" s="21" t="s">
        <v>782</v>
      </c>
      <c r="G3412" s="15">
        <v>0.09350556030795551</v>
      </c>
      <c r="H3412" s="11" t="s">
        <v>33</v>
      </c>
      <c r="I3412" s="16">
        <v>3.9920000000000004</v>
      </c>
      <c r="J3412" s="11" t="s">
        <v>174</v>
      </c>
      <c r="K3412" s="11" t="s">
        <v>35</v>
      </c>
      <c r="L3412" s="11" t="s">
        <v>41</v>
      </c>
      <c r="M3412" s="11" t="s">
        <v>66</v>
      </c>
      <c r="N3412" s="11" t="s">
        <v>80</v>
      </c>
      <c r="O3412" s="11" t="s">
        <v>1060</v>
      </c>
      <c r="P3412" s="11" t="s">
        <v>38</v>
      </c>
      <c r="Q3412" s="20">
        <v>40404.0</v>
      </c>
      <c r="R3412" s="17">
        <f t="shared" si="2"/>
        <v>99.08709421</v>
      </c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>
        <f t="shared" si="8"/>
        <v>3</v>
      </c>
      <c r="AF3412" s="19">
        <f t="shared" si="13"/>
        <v>2</v>
      </c>
      <c r="AG3412" s="9"/>
      <c r="AH3412" s="9"/>
      <c r="AI3412" s="9"/>
    </row>
    <row r="3413" ht="15.0" customHeight="1">
      <c r="A3413" s="11">
        <v>3412.0</v>
      </c>
      <c r="B3413" s="12">
        <f t="shared" si="544"/>
        <v>40403</v>
      </c>
      <c r="C3413" s="13">
        <v>2010.0</v>
      </c>
      <c r="D3413" s="11" t="s">
        <v>102</v>
      </c>
      <c r="E3413" s="11">
        <v>26.0</v>
      </c>
      <c r="F3413" s="21" t="s">
        <v>147</v>
      </c>
      <c r="G3413" s="15">
        <v>0.0993963782696178</v>
      </c>
      <c r="H3413" s="11" t="s">
        <v>33</v>
      </c>
      <c r="I3413" s="16">
        <v>0.5599999999999999</v>
      </c>
      <c r="J3413" s="11" t="s">
        <v>571</v>
      </c>
      <c r="K3413" s="11" t="s">
        <v>65</v>
      </c>
      <c r="L3413" s="11" t="s">
        <v>48</v>
      </c>
      <c r="M3413" s="11" t="s">
        <v>28</v>
      </c>
      <c r="N3413" s="11" t="s">
        <v>62</v>
      </c>
      <c r="O3413" s="11" t="s">
        <v>182</v>
      </c>
      <c r="P3413" s="11" t="s">
        <v>58</v>
      </c>
      <c r="Q3413" s="20">
        <v>40405.0</v>
      </c>
      <c r="R3413" s="17">
        <f t="shared" si="2"/>
        <v>4.448981891</v>
      </c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>
        <f t="shared" si="8"/>
        <v>4</v>
      </c>
      <c r="AF3413" s="19">
        <f t="shared" si="13"/>
        <v>5</v>
      </c>
      <c r="AG3413" s="9"/>
      <c r="AH3413" s="9"/>
      <c r="AI3413" s="9"/>
    </row>
    <row r="3414" ht="15.0" customHeight="1">
      <c r="A3414" s="11">
        <v>3413.0</v>
      </c>
      <c r="B3414" s="12">
        <f t="shared" si="544"/>
        <v>40403</v>
      </c>
      <c r="C3414" s="13">
        <v>2010.0</v>
      </c>
      <c r="D3414" s="11" t="s">
        <v>102</v>
      </c>
      <c r="E3414" s="11">
        <v>9.0</v>
      </c>
      <c r="F3414" s="21" t="s">
        <v>122</v>
      </c>
      <c r="G3414" s="15">
        <v>0.02683673469387765</v>
      </c>
      <c r="H3414" s="11" t="s">
        <v>33</v>
      </c>
      <c r="I3414" s="16">
        <v>2.64</v>
      </c>
      <c r="J3414" s="11" t="s">
        <v>571</v>
      </c>
      <c r="K3414" s="11" t="s">
        <v>65</v>
      </c>
      <c r="L3414" s="11" t="s">
        <v>48</v>
      </c>
      <c r="M3414" s="11" t="s">
        <v>66</v>
      </c>
      <c r="N3414" s="11" t="s">
        <v>80</v>
      </c>
      <c r="O3414" s="11" t="s">
        <v>848</v>
      </c>
      <c r="P3414" s="11" t="s">
        <v>99</v>
      </c>
      <c r="Q3414" s="20">
        <v>40405.0</v>
      </c>
      <c r="R3414" s="17">
        <f t="shared" si="2"/>
        <v>5.118838776</v>
      </c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>
        <f t="shared" si="8"/>
        <v>4</v>
      </c>
      <c r="AF3414" s="19">
        <f t="shared" si="13"/>
        <v>5</v>
      </c>
      <c r="AG3414" s="9"/>
      <c r="AH3414" s="9"/>
      <c r="AI3414" s="9"/>
    </row>
    <row r="3415" ht="15.0" customHeight="1">
      <c r="A3415" s="11">
        <v>3414.0</v>
      </c>
      <c r="B3415" s="12">
        <f t="shared" si="544"/>
        <v>40403</v>
      </c>
      <c r="C3415" s="13">
        <v>2010.0</v>
      </c>
      <c r="D3415" s="11" t="s">
        <v>102</v>
      </c>
      <c r="E3415" s="11">
        <v>11.0</v>
      </c>
      <c r="F3415" s="21" t="s">
        <v>270</v>
      </c>
      <c r="G3415" s="15">
        <v>0.03838308457711447</v>
      </c>
      <c r="H3415" s="11" t="s">
        <v>33</v>
      </c>
      <c r="I3415" s="16">
        <v>13.984000000000002</v>
      </c>
      <c r="J3415" s="11" t="s">
        <v>1623</v>
      </c>
      <c r="K3415" s="11" t="s">
        <v>35</v>
      </c>
      <c r="L3415" s="11" t="s">
        <v>48</v>
      </c>
      <c r="M3415" s="11" t="s">
        <v>28</v>
      </c>
      <c r="N3415" s="11" t="s">
        <v>56</v>
      </c>
      <c r="O3415" s="11" t="s">
        <v>1172</v>
      </c>
      <c r="P3415" s="11" t="s">
        <v>38</v>
      </c>
      <c r="Q3415" s="20">
        <v>40405.0</v>
      </c>
      <c r="R3415" s="17">
        <f t="shared" si="2"/>
        <v>17.80529881</v>
      </c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>
        <f t="shared" si="8"/>
        <v>4</v>
      </c>
      <c r="AF3415" s="19">
        <f t="shared" si="13"/>
        <v>2</v>
      </c>
      <c r="AG3415" s="9"/>
      <c r="AH3415" s="9"/>
      <c r="AI3415" s="9"/>
    </row>
    <row r="3416" ht="15.0" customHeight="1">
      <c r="A3416" s="11">
        <v>3415.0</v>
      </c>
      <c r="B3416" s="12">
        <f t="shared" si="544"/>
        <v>40403</v>
      </c>
      <c r="C3416" s="13">
        <v>2010.0</v>
      </c>
      <c r="D3416" s="11" t="s">
        <v>102</v>
      </c>
      <c r="E3416" s="11">
        <v>45.0</v>
      </c>
      <c r="F3416" s="21" t="s">
        <v>758</v>
      </c>
      <c r="G3416" s="15">
        <v>0.07636773829667241</v>
      </c>
      <c r="H3416" s="11" t="s">
        <v>33</v>
      </c>
      <c r="I3416" s="16">
        <v>1.7600000000000002</v>
      </c>
      <c r="J3416" s="11" t="s">
        <v>1623</v>
      </c>
      <c r="K3416" s="11" t="s">
        <v>35</v>
      </c>
      <c r="L3416" s="11" t="s">
        <v>48</v>
      </c>
      <c r="M3416" s="11" t="s">
        <v>28</v>
      </c>
      <c r="N3416" s="11" t="s">
        <v>56</v>
      </c>
      <c r="O3416" s="11" t="s">
        <v>760</v>
      </c>
      <c r="P3416" s="11" t="s">
        <v>58</v>
      </c>
      <c r="Q3416" s="20">
        <v>40405.0</v>
      </c>
      <c r="R3416" s="17">
        <f t="shared" si="2"/>
        <v>12.50598082</v>
      </c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>
        <f t="shared" si="8"/>
        <v>4</v>
      </c>
      <c r="AF3416" s="19">
        <f t="shared" si="13"/>
        <v>2</v>
      </c>
      <c r="AG3416" s="9"/>
      <c r="AH3416" s="9"/>
      <c r="AI3416" s="9"/>
    </row>
    <row r="3417" ht="15.0" customHeight="1">
      <c r="A3417" s="11">
        <v>3416.0</v>
      </c>
      <c r="B3417" s="12">
        <f t="shared" ref="B3417:B3420" si="545">DATE(2012,12,31)-870</f>
        <v>40404</v>
      </c>
      <c r="C3417" s="13">
        <v>2010.0</v>
      </c>
      <c r="D3417" s="11" t="s">
        <v>32</v>
      </c>
      <c r="E3417" s="11">
        <v>28.0</v>
      </c>
      <c r="F3417" s="21" t="s">
        <v>705</v>
      </c>
      <c r="G3417" s="15">
        <v>0.060523938572718955</v>
      </c>
      <c r="H3417" s="11" t="s">
        <v>33</v>
      </c>
      <c r="I3417" s="16">
        <v>0.4</v>
      </c>
      <c r="J3417" s="11" t="s">
        <v>613</v>
      </c>
      <c r="K3417" s="11" t="s">
        <v>65</v>
      </c>
      <c r="L3417" s="11" t="s">
        <v>48</v>
      </c>
      <c r="M3417" s="11" t="s">
        <v>28</v>
      </c>
      <c r="N3417" s="11" t="s">
        <v>188</v>
      </c>
      <c r="O3417" s="11" t="s">
        <v>1976</v>
      </c>
      <c r="P3417" s="11" t="s">
        <v>38</v>
      </c>
      <c r="Q3417" s="20">
        <v>40405.0</v>
      </c>
      <c r="R3417" s="17">
        <f t="shared" si="2"/>
        <v>6.294489612</v>
      </c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>
        <f t="shared" si="8"/>
        <v>4</v>
      </c>
      <c r="AF3417" s="19">
        <f t="shared" si="13"/>
        <v>5</v>
      </c>
      <c r="AG3417" s="9"/>
      <c r="AH3417" s="9"/>
      <c r="AI3417" s="9"/>
    </row>
    <row r="3418" ht="15.0" customHeight="1">
      <c r="A3418" s="11">
        <v>3417.0</v>
      </c>
      <c r="B3418" s="12">
        <f t="shared" si="545"/>
        <v>40404</v>
      </c>
      <c r="C3418" s="13">
        <v>2010.0</v>
      </c>
      <c r="D3418" s="11" t="s">
        <v>102</v>
      </c>
      <c r="E3418" s="11">
        <v>32.0</v>
      </c>
      <c r="F3418" s="21" t="s">
        <v>229</v>
      </c>
      <c r="G3418" s="15">
        <v>0.05761020923848815</v>
      </c>
      <c r="H3418" s="11" t="s">
        <v>33</v>
      </c>
      <c r="I3418" s="16">
        <v>15.991999999999999</v>
      </c>
      <c r="J3418" s="11" t="s">
        <v>1372</v>
      </c>
      <c r="K3418" s="11" t="s">
        <v>61</v>
      </c>
      <c r="L3418" s="11" t="s">
        <v>36</v>
      </c>
      <c r="M3418" s="11" t="s">
        <v>28</v>
      </c>
      <c r="N3418" s="11" t="s">
        <v>29</v>
      </c>
      <c r="O3418" s="11" t="s">
        <v>230</v>
      </c>
      <c r="P3418" s="11" t="s">
        <v>38</v>
      </c>
      <c r="Q3418" s="20">
        <v>40405.0</v>
      </c>
      <c r="R3418" s="17">
        <f t="shared" si="2"/>
        <v>298.6508638</v>
      </c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>
        <f t="shared" si="8"/>
        <v>2</v>
      </c>
      <c r="AF3418" s="19">
        <f t="shared" si="13"/>
        <v>4</v>
      </c>
      <c r="AG3418" s="9"/>
      <c r="AH3418" s="9"/>
      <c r="AI3418" s="9"/>
    </row>
    <row r="3419" ht="15.0" customHeight="1">
      <c r="A3419" s="11">
        <v>3418.0</v>
      </c>
      <c r="B3419" s="12">
        <f t="shared" si="545"/>
        <v>40404</v>
      </c>
      <c r="C3419" s="13">
        <v>2010.0</v>
      </c>
      <c r="D3419" s="11" t="s">
        <v>32</v>
      </c>
      <c r="E3419" s="11">
        <v>13.0</v>
      </c>
      <c r="F3419" s="21" t="s">
        <v>126</v>
      </c>
      <c r="G3419" s="15">
        <v>0.04704225352112681</v>
      </c>
      <c r="H3419" s="11" t="s">
        <v>33</v>
      </c>
      <c r="I3419" s="16">
        <v>3.9600000000000004</v>
      </c>
      <c r="J3419" s="11" t="s">
        <v>120</v>
      </c>
      <c r="K3419" s="11" t="s">
        <v>35</v>
      </c>
      <c r="L3419" s="11" t="s">
        <v>41</v>
      </c>
      <c r="M3419" s="11" t="s">
        <v>49</v>
      </c>
      <c r="N3419" s="11" t="s">
        <v>156</v>
      </c>
      <c r="O3419" s="11" t="s">
        <v>1553</v>
      </c>
      <c r="P3419" s="11" t="s">
        <v>87</v>
      </c>
      <c r="Q3419" s="20">
        <v>40405.0</v>
      </c>
      <c r="R3419" s="17">
        <f t="shared" si="2"/>
        <v>3.182878873</v>
      </c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>
        <f t="shared" si="8"/>
        <v>3</v>
      </c>
      <c r="AF3419" s="19">
        <f t="shared" si="13"/>
        <v>2</v>
      </c>
      <c r="AG3419" s="9"/>
      <c r="AH3419" s="9"/>
      <c r="AI3419" s="9"/>
    </row>
    <row r="3420" ht="15.0" customHeight="1">
      <c r="A3420" s="11">
        <v>3419.0</v>
      </c>
      <c r="B3420" s="12">
        <f t="shared" si="545"/>
        <v>40404</v>
      </c>
      <c r="C3420" s="13">
        <v>2010.0</v>
      </c>
      <c r="D3420" s="11" t="s">
        <v>32</v>
      </c>
      <c r="E3420" s="11">
        <v>32.0</v>
      </c>
      <c r="F3420" s="21" t="s">
        <v>619</v>
      </c>
      <c r="G3420" s="15">
        <v>0.013163234555499791</v>
      </c>
      <c r="H3420" s="11" t="s">
        <v>24</v>
      </c>
      <c r="I3420" s="16">
        <v>15.991999999999999</v>
      </c>
      <c r="J3420" s="11" t="s">
        <v>120</v>
      </c>
      <c r="K3420" s="11" t="s">
        <v>35</v>
      </c>
      <c r="L3420" s="11" t="s">
        <v>41</v>
      </c>
      <c r="M3420" s="11" t="s">
        <v>49</v>
      </c>
      <c r="N3420" s="11" t="s">
        <v>85</v>
      </c>
      <c r="O3420" s="11" t="s">
        <v>2404</v>
      </c>
      <c r="P3420" s="11" t="s">
        <v>31</v>
      </c>
      <c r="Q3420" s="20">
        <v>40406.0</v>
      </c>
      <c r="R3420" s="17">
        <f t="shared" si="2"/>
        <v>25.86301795</v>
      </c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>
        <f t="shared" si="8"/>
        <v>3</v>
      </c>
      <c r="AF3420" s="19">
        <f t="shared" si="13"/>
        <v>2</v>
      </c>
      <c r="AG3420" s="9"/>
      <c r="AH3420" s="9"/>
      <c r="AI3420" s="9"/>
    </row>
    <row r="3421" ht="15.0" customHeight="1">
      <c r="A3421" s="11">
        <v>3420.0</v>
      </c>
      <c r="B3421" s="12">
        <f t="shared" ref="B3421:B3425" si="546">DATE(2012,12,31)-869</f>
        <v>40405</v>
      </c>
      <c r="C3421" s="13">
        <v>2010.0</v>
      </c>
      <c r="D3421" s="11" t="s">
        <v>32</v>
      </c>
      <c r="E3421" s="11">
        <v>23.0</v>
      </c>
      <c r="F3421" s="21" t="s">
        <v>154</v>
      </c>
      <c r="G3421" s="15">
        <v>0.010422182241919757</v>
      </c>
      <c r="H3421" s="11" t="s">
        <v>45</v>
      </c>
      <c r="I3421" s="16">
        <v>35.64</v>
      </c>
      <c r="J3421" s="11" t="s">
        <v>1123</v>
      </c>
      <c r="K3421" s="11" t="s">
        <v>61</v>
      </c>
      <c r="L3421" s="11" t="s">
        <v>48</v>
      </c>
      <c r="M3421" s="11" t="s">
        <v>49</v>
      </c>
      <c r="N3421" s="11" t="s">
        <v>156</v>
      </c>
      <c r="O3421" s="11" t="s">
        <v>157</v>
      </c>
      <c r="P3421" s="11" t="s">
        <v>87</v>
      </c>
      <c r="Q3421" s="20">
        <v>40406.0</v>
      </c>
      <c r="R3421" s="17">
        <f t="shared" si="2"/>
        <v>211.5321543</v>
      </c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>
        <f t="shared" si="8"/>
        <v>4</v>
      </c>
      <c r="AF3421" s="19">
        <f t="shared" si="13"/>
        <v>4</v>
      </c>
      <c r="AG3421" s="9"/>
      <c r="AH3421" s="9"/>
      <c r="AI3421" s="9"/>
    </row>
    <row r="3422" ht="15.0" customHeight="1">
      <c r="A3422" s="11">
        <v>3421.0</v>
      </c>
      <c r="B3422" s="12">
        <f t="shared" si="546"/>
        <v>40405</v>
      </c>
      <c r="C3422" s="13">
        <v>2010.0</v>
      </c>
      <c r="D3422" s="11" t="s">
        <v>102</v>
      </c>
      <c r="E3422" s="11">
        <v>2.0</v>
      </c>
      <c r="F3422" s="21" t="s">
        <v>872</v>
      </c>
      <c r="G3422" s="15">
        <v>0.09537154989384299</v>
      </c>
      <c r="H3422" s="11" t="s">
        <v>33</v>
      </c>
      <c r="I3422" s="16">
        <v>6.808</v>
      </c>
      <c r="J3422" s="11" t="s">
        <v>248</v>
      </c>
      <c r="K3422" s="11" t="s">
        <v>117</v>
      </c>
      <c r="L3422" s="11" t="s">
        <v>48</v>
      </c>
      <c r="M3422" s="11" t="s">
        <v>66</v>
      </c>
      <c r="N3422" s="11" t="s">
        <v>69</v>
      </c>
      <c r="O3422" s="11" t="s">
        <v>1000</v>
      </c>
      <c r="P3422" s="11" t="s">
        <v>75</v>
      </c>
      <c r="Q3422" s="20">
        <v>40406.0</v>
      </c>
      <c r="R3422" s="17">
        <f t="shared" si="2"/>
        <v>4.063590998</v>
      </c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>
        <f t="shared" si="8"/>
        <v>4</v>
      </c>
      <c r="AF3422" s="19" t="b">
        <f t="shared" si="13"/>
        <v>0</v>
      </c>
      <c r="AG3422" s="9"/>
      <c r="AH3422" s="9"/>
      <c r="AI3422" s="9"/>
    </row>
    <row r="3423" ht="15.0" customHeight="1">
      <c r="A3423" s="11">
        <v>3422.0</v>
      </c>
      <c r="B3423" s="12">
        <f t="shared" si="546"/>
        <v>40405</v>
      </c>
      <c r="C3423" s="13">
        <v>2010.0</v>
      </c>
      <c r="D3423" s="11" t="s">
        <v>102</v>
      </c>
      <c r="E3423" s="11">
        <v>11.0</v>
      </c>
      <c r="F3423" s="21" t="s">
        <v>254</v>
      </c>
      <c r="G3423" s="15">
        <v>0.048375733855185885</v>
      </c>
      <c r="H3423" s="11" t="s">
        <v>33</v>
      </c>
      <c r="I3423" s="16">
        <v>3.9840000000000004</v>
      </c>
      <c r="J3423" s="11" t="s">
        <v>248</v>
      </c>
      <c r="K3423" s="11" t="s">
        <v>117</v>
      </c>
      <c r="L3423" s="11" t="s">
        <v>48</v>
      </c>
      <c r="M3423" s="11" t="s">
        <v>28</v>
      </c>
      <c r="N3423" s="11" t="s">
        <v>42</v>
      </c>
      <c r="O3423" s="11" t="s">
        <v>2040</v>
      </c>
      <c r="P3423" s="11" t="s">
        <v>38</v>
      </c>
      <c r="Q3423" s="20">
        <v>40407.0</v>
      </c>
      <c r="R3423" s="17">
        <f t="shared" si="2"/>
        <v>7.057245558</v>
      </c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>
        <f t="shared" si="8"/>
        <v>4</v>
      </c>
      <c r="AF3423" s="19" t="b">
        <f t="shared" si="13"/>
        <v>0</v>
      </c>
      <c r="AG3423" s="9"/>
      <c r="AH3423" s="9"/>
      <c r="AI3423" s="9"/>
    </row>
    <row r="3424" ht="15.0" customHeight="1">
      <c r="A3424" s="11">
        <v>3423.0</v>
      </c>
      <c r="B3424" s="12">
        <f t="shared" si="546"/>
        <v>40405</v>
      </c>
      <c r="C3424" s="13">
        <v>2010.0</v>
      </c>
      <c r="D3424" s="11" t="s">
        <v>32</v>
      </c>
      <c r="E3424" s="11">
        <v>39.0</v>
      </c>
      <c r="F3424" s="21" t="s">
        <v>1195</v>
      </c>
      <c r="G3424" s="15">
        <v>0.029700374531835178</v>
      </c>
      <c r="H3424" s="11" t="s">
        <v>24</v>
      </c>
      <c r="I3424" s="16">
        <v>4.456</v>
      </c>
      <c r="J3424" s="11" t="s">
        <v>429</v>
      </c>
      <c r="K3424" s="11" t="s">
        <v>83</v>
      </c>
      <c r="L3424" s="11" t="s">
        <v>48</v>
      </c>
      <c r="M3424" s="11" t="s">
        <v>28</v>
      </c>
      <c r="N3424" s="11" t="s">
        <v>56</v>
      </c>
      <c r="O3424" s="11" t="s">
        <v>2176</v>
      </c>
      <c r="P3424" s="11" t="s">
        <v>38</v>
      </c>
      <c r="Q3424" s="20">
        <v>40407.0</v>
      </c>
      <c r="R3424" s="17">
        <f t="shared" si="2"/>
        <v>6.155580824</v>
      </c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>
        <f t="shared" si="8"/>
        <v>4</v>
      </c>
      <c r="AF3424" s="19" t="b">
        <f t="shared" si="13"/>
        <v>0</v>
      </c>
      <c r="AG3424" s="9"/>
      <c r="AH3424" s="9"/>
      <c r="AI3424" s="9"/>
    </row>
    <row r="3425" ht="15.0" customHeight="1">
      <c r="A3425" s="11">
        <v>3424.0</v>
      </c>
      <c r="B3425" s="12">
        <f t="shared" si="546"/>
        <v>40405</v>
      </c>
      <c r="C3425" s="13">
        <v>2010.0</v>
      </c>
      <c r="D3425" s="11" t="s">
        <v>32</v>
      </c>
      <c r="E3425" s="11">
        <v>48.0</v>
      </c>
      <c r="F3425" s="21" t="s">
        <v>924</v>
      </c>
      <c r="G3425" s="15">
        <v>0.058596265292981356</v>
      </c>
      <c r="H3425" s="11" t="s">
        <v>24</v>
      </c>
      <c r="I3425" s="16">
        <v>1.8</v>
      </c>
      <c r="J3425" s="11" t="s">
        <v>429</v>
      </c>
      <c r="K3425" s="11" t="s">
        <v>83</v>
      </c>
      <c r="L3425" s="11" t="s">
        <v>48</v>
      </c>
      <c r="M3425" s="11" t="s">
        <v>28</v>
      </c>
      <c r="N3425" s="11" t="s">
        <v>62</v>
      </c>
      <c r="O3425" s="11" t="s">
        <v>1398</v>
      </c>
      <c r="P3425" s="11" t="s">
        <v>58</v>
      </c>
      <c r="Q3425" s="20">
        <v>40407.0</v>
      </c>
      <c r="R3425" s="17">
        <f t="shared" si="2"/>
        <v>25.70032196</v>
      </c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>
        <f t="shared" si="8"/>
        <v>4</v>
      </c>
      <c r="AF3425" s="19" t="b">
        <f t="shared" si="13"/>
        <v>0</v>
      </c>
      <c r="AG3425" s="9"/>
      <c r="AH3425" s="9"/>
      <c r="AI3425" s="9"/>
    </row>
    <row r="3426" ht="15.0" customHeight="1">
      <c r="A3426" s="11">
        <v>3425.0</v>
      </c>
      <c r="B3426" s="12">
        <f t="shared" ref="B3426:B3431" si="547">DATE(2012,12,31)-868</f>
        <v>40406</v>
      </c>
      <c r="C3426" s="13">
        <v>2010.0</v>
      </c>
      <c r="D3426" s="11" t="s">
        <v>44</v>
      </c>
      <c r="E3426" s="11">
        <v>5.0</v>
      </c>
      <c r="F3426" s="21" t="s">
        <v>122</v>
      </c>
      <c r="G3426" s="15">
        <v>0.06414762741652019</v>
      </c>
      <c r="H3426" s="11" t="s">
        <v>33</v>
      </c>
      <c r="I3426" s="16">
        <v>2.0</v>
      </c>
      <c r="J3426" s="11" t="s">
        <v>2405</v>
      </c>
      <c r="K3426" s="11" t="s">
        <v>61</v>
      </c>
      <c r="L3426" s="11" t="s">
        <v>27</v>
      </c>
      <c r="M3426" s="11" t="s">
        <v>66</v>
      </c>
      <c r="N3426" s="11" t="s">
        <v>80</v>
      </c>
      <c r="O3426" s="11" t="s">
        <v>1381</v>
      </c>
      <c r="P3426" s="11" t="s">
        <v>58</v>
      </c>
      <c r="Q3426" s="20">
        <v>40407.0</v>
      </c>
      <c r="R3426" s="17">
        <f t="shared" si="2"/>
        <v>6.83172232</v>
      </c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>
        <f t="shared" si="8"/>
        <v>1</v>
      </c>
      <c r="AF3426" s="19">
        <f t="shared" si="13"/>
        <v>4</v>
      </c>
      <c r="AG3426" s="9"/>
      <c r="AH3426" s="9"/>
      <c r="AI3426" s="9"/>
    </row>
    <row r="3427" ht="15.0" customHeight="1">
      <c r="A3427" s="11">
        <v>3426.0</v>
      </c>
      <c r="B3427" s="12">
        <f t="shared" si="547"/>
        <v>40406</v>
      </c>
      <c r="C3427" s="13">
        <v>2010.0</v>
      </c>
      <c r="D3427" s="11" t="s">
        <v>44</v>
      </c>
      <c r="E3427" s="11">
        <v>39.0</v>
      </c>
      <c r="F3427" s="21" t="s">
        <v>415</v>
      </c>
      <c r="G3427" s="15">
        <v>0.0810817166372722</v>
      </c>
      <c r="H3427" s="11" t="s">
        <v>33</v>
      </c>
      <c r="I3427" s="16">
        <v>4.208</v>
      </c>
      <c r="J3427" s="11" t="s">
        <v>2405</v>
      </c>
      <c r="K3427" s="11" t="s">
        <v>61</v>
      </c>
      <c r="L3427" s="11" t="s">
        <v>27</v>
      </c>
      <c r="M3427" s="11" t="s">
        <v>28</v>
      </c>
      <c r="N3427" s="11" t="s">
        <v>42</v>
      </c>
      <c r="O3427" s="11" t="s">
        <v>971</v>
      </c>
      <c r="P3427" s="11" t="s">
        <v>38</v>
      </c>
      <c r="Q3427" s="20">
        <v>40407.0</v>
      </c>
      <c r="R3427" s="17">
        <f t="shared" si="2"/>
        <v>12.67372096</v>
      </c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>
        <f t="shared" si="8"/>
        <v>1</v>
      </c>
      <c r="AF3427" s="19">
        <f t="shared" si="13"/>
        <v>4</v>
      </c>
      <c r="AG3427" s="9"/>
      <c r="AH3427" s="9"/>
      <c r="AI3427" s="9"/>
    </row>
    <row r="3428" ht="15.0" customHeight="1">
      <c r="A3428" s="11">
        <v>3427.0</v>
      </c>
      <c r="B3428" s="12">
        <f t="shared" si="547"/>
        <v>40406</v>
      </c>
      <c r="C3428" s="13">
        <v>2010.0</v>
      </c>
      <c r="D3428" s="11" t="s">
        <v>44</v>
      </c>
      <c r="E3428" s="11">
        <v>31.0</v>
      </c>
      <c r="F3428" s="21" t="s">
        <v>902</v>
      </c>
      <c r="G3428" s="15">
        <v>0.02178724852196838</v>
      </c>
      <c r="H3428" s="11" t="s">
        <v>45</v>
      </c>
      <c r="I3428" s="16">
        <v>51.728</v>
      </c>
      <c r="J3428" s="11" t="s">
        <v>2405</v>
      </c>
      <c r="K3428" s="11" t="s">
        <v>61</v>
      </c>
      <c r="L3428" s="11" t="s">
        <v>27</v>
      </c>
      <c r="M3428" s="11" t="s">
        <v>49</v>
      </c>
      <c r="N3428" s="11" t="s">
        <v>156</v>
      </c>
      <c r="O3428" s="11" t="s">
        <v>903</v>
      </c>
      <c r="P3428" s="11" t="s">
        <v>87</v>
      </c>
      <c r="Q3428" s="20">
        <v>40408.0</v>
      </c>
      <c r="R3428" s="17">
        <f t="shared" si="2"/>
        <v>150.3239099</v>
      </c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>
        <f t="shared" si="8"/>
        <v>1</v>
      </c>
      <c r="AF3428" s="19">
        <f t="shared" si="13"/>
        <v>4</v>
      </c>
      <c r="AG3428" s="9"/>
      <c r="AH3428" s="9"/>
      <c r="AI3428" s="9"/>
    </row>
    <row r="3429" ht="15.0" customHeight="1">
      <c r="A3429" s="11">
        <v>3428.0</v>
      </c>
      <c r="B3429" s="12">
        <f t="shared" si="547"/>
        <v>40406</v>
      </c>
      <c r="C3429" s="13">
        <v>2010.0</v>
      </c>
      <c r="D3429" s="11" t="s">
        <v>102</v>
      </c>
      <c r="E3429" s="11">
        <v>24.0</v>
      </c>
      <c r="F3429" s="21" t="s">
        <v>869</v>
      </c>
      <c r="G3429" s="15">
        <v>0.01119586048294341</v>
      </c>
      <c r="H3429" s="11" t="s">
        <v>33</v>
      </c>
      <c r="I3429" s="16">
        <v>2.232</v>
      </c>
      <c r="J3429" s="11" t="s">
        <v>1027</v>
      </c>
      <c r="K3429" s="11" t="s">
        <v>83</v>
      </c>
      <c r="L3429" s="11" t="s">
        <v>41</v>
      </c>
      <c r="M3429" s="11" t="s">
        <v>66</v>
      </c>
      <c r="N3429" s="11" t="s">
        <v>80</v>
      </c>
      <c r="O3429" s="11" t="s">
        <v>2403</v>
      </c>
      <c r="P3429" s="11" t="s">
        <v>38</v>
      </c>
      <c r="Q3429" s="20">
        <v>40408.0</v>
      </c>
      <c r="R3429" s="17">
        <f t="shared" si="2"/>
        <v>23.10637513</v>
      </c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>
        <f t="shared" si="8"/>
        <v>3</v>
      </c>
      <c r="AF3429" s="19" t="b">
        <f t="shared" si="13"/>
        <v>0</v>
      </c>
      <c r="AG3429" s="9"/>
      <c r="AH3429" s="9"/>
      <c r="AI3429" s="9"/>
    </row>
    <row r="3430" ht="15.0" customHeight="1">
      <c r="A3430" s="11">
        <v>3429.0</v>
      </c>
      <c r="B3430" s="12">
        <f t="shared" si="547"/>
        <v>40406</v>
      </c>
      <c r="C3430" s="13">
        <v>2010.0</v>
      </c>
      <c r="D3430" s="11" t="s">
        <v>44</v>
      </c>
      <c r="E3430" s="11">
        <v>7.0</v>
      </c>
      <c r="F3430" s="21" t="s">
        <v>169</v>
      </c>
      <c r="G3430" s="15">
        <v>0.08359564796184524</v>
      </c>
      <c r="H3430" s="11" t="s">
        <v>24</v>
      </c>
      <c r="I3430" s="16">
        <v>19.592</v>
      </c>
      <c r="J3430" s="11" t="s">
        <v>2169</v>
      </c>
      <c r="K3430" s="11" t="s">
        <v>26</v>
      </c>
      <c r="L3430" s="11" t="s">
        <v>48</v>
      </c>
      <c r="M3430" s="11" t="s">
        <v>66</v>
      </c>
      <c r="N3430" s="11" t="s">
        <v>170</v>
      </c>
      <c r="O3430" s="11" t="s">
        <v>171</v>
      </c>
      <c r="P3430" s="11" t="s">
        <v>31</v>
      </c>
      <c r="Q3430" s="20">
        <v>40408.0</v>
      </c>
      <c r="R3430" s="17">
        <f t="shared" si="2"/>
        <v>411.197964</v>
      </c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>
        <f t="shared" si="8"/>
        <v>4</v>
      </c>
      <c r="AF3430" s="19">
        <f t="shared" si="13"/>
        <v>1</v>
      </c>
      <c r="AG3430" s="9"/>
      <c r="AH3430" s="9"/>
      <c r="AI3430" s="9"/>
    </row>
    <row r="3431" ht="15.0" customHeight="1">
      <c r="A3431" s="11">
        <v>3430.0</v>
      </c>
      <c r="B3431" s="12">
        <f t="shared" si="547"/>
        <v>40406</v>
      </c>
      <c r="C3431" s="13">
        <v>2010.0</v>
      </c>
      <c r="D3431" s="11" t="s">
        <v>32</v>
      </c>
      <c r="E3431" s="11">
        <v>38.0</v>
      </c>
      <c r="F3431" s="21" t="s">
        <v>624</v>
      </c>
      <c r="G3431" s="15">
        <v>0.015087072321245712</v>
      </c>
      <c r="H3431" s="11" t="s">
        <v>33</v>
      </c>
      <c r="I3431" s="16">
        <v>5.736000000000001</v>
      </c>
      <c r="J3431" s="11" t="s">
        <v>851</v>
      </c>
      <c r="K3431" s="11" t="s">
        <v>65</v>
      </c>
      <c r="L3431" s="11" t="s">
        <v>41</v>
      </c>
      <c r="M3431" s="11" t="s">
        <v>28</v>
      </c>
      <c r="N3431" s="11" t="s">
        <v>42</v>
      </c>
      <c r="O3431" s="11" t="s">
        <v>625</v>
      </c>
      <c r="P3431" s="11" t="s">
        <v>38</v>
      </c>
      <c r="Q3431" s="20">
        <v>40409.0</v>
      </c>
      <c r="R3431" s="17">
        <f t="shared" si="2"/>
        <v>7.252898799</v>
      </c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>
        <f t="shared" si="8"/>
        <v>3</v>
      </c>
      <c r="AF3431" s="19">
        <f t="shared" si="13"/>
        <v>5</v>
      </c>
      <c r="AG3431" s="9"/>
      <c r="AH3431" s="9"/>
      <c r="AI3431" s="9"/>
    </row>
    <row r="3432" ht="15.0" customHeight="1">
      <c r="A3432" s="11">
        <v>3431.0</v>
      </c>
      <c r="B3432" s="12">
        <f t="shared" ref="B3432:B3439" si="548">DATE(2012,12,31)-867</f>
        <v>40407</v>
      </c>
      <c r="C3432" s="13">
        <v>2010.0</v>
      </c>
      <c r="D3432" s="11" t="s">
        <v>39</v>
      </c>
      <c r="E3432" s="11">
        <v>43.0</v>
      </c>
      <c r="F3432" s="21" t="s">
        <v>158</v>
      </c>
      <c r="G3432" s="15">
        <v>0.09058064516129027</v>
      </c>
      <c r="H3432" s="11" t="s">
        <v>33</v>
      </c>
      <c r="I3432" s="16">
        <v>6.720000000000001</v>
      </c>
      <c r="J3432" s="11" t="s">
        <v>1629</v>
      </c>
      <c r="K3432" s="11" t="s">
        <v>65</v>
      </c>
      <c r="L3432" s="11" t="s">
        <v>41</v>
      </c>
      <c r="M3432" s="11" t="s">
        <v>28</v>
      </c>
      <c r="N3432" s="11" t="s">
        <v>56</v>
      </c>
      <c r="O3432" s="11" t="s">
        <v>1260</v>
      </c>
      <c r="P3432" s="11" t="s">
        <v>38</v>
      </c>
      <c r="Q3432" s="20">
        <v>40409.0</v>
      </c>
      <c r="R3432" s="17">
        <f t="shared" si="2"/>
        <v>25.53649548</v>
      </c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>
        <f t="shared" si="8"/>
        <v>3</v>
      </c>
      <c r="AF3432" s="19">
        <f t="shared" si="13"/>
        <v>5</v>
      </c>
      <c r="AG3432" s="9"/>
      <c r="AH3432" s="9"/>
      <c r="AI3432" s="9"/>
    </row>
    <row r="3433" ht="15.0" customHeight="1">
      <c r="A3433" s="11">
        <v>3432.0</v>
      </c>
      <c r="B3433" s="12">
        <f t="shared" si="548"/>
        <v>40407</v>
      </c>
      <c r="C3433" s="13">
        <v>2010.0</v>
      </c>
      <c r="D3433" s="11" t="s">
        <v>44</v>
      </c>
      <c r="E3433" s="11">
        <v>26.0</v>
      </c>
      <c r="F3433" s="21" t="s">
        <v>135</v>
      </c>
      <c r="G3433" s="15">
        <v>0.06092373791621909</v>
      </c>
      <c r="H3433" s="11" t="s">
        <v>33</v>
      </c>
      <c r="I3433" s="16">
        <v>3.2560000000000002</v>
      </c>
      <c r="J3433" s="11" t="s">
        <v>120</v>
      </c>
      <c r="K3433" s="11" t="s">
        <v>35</v>
      </c>
      <c r="L3433" s="11" t="s">
        <v>27</v>
      </c>
      <c r="M3433" s="11" t="s">
        <v>66</v>
      </c>
      <c r="N3433" s="11" t="s">
        <v>67</v>
      </c>
      <c r="O3433" s="11" t="s">
        <v>2406</v>
      </c>
      <c r="P3433" s="11" t="s">
        <v>99</v>
      </c>
      <c r="Q3433" s="20">
        <v>40409.0</v>
      </c>
      <c r="R3433" s="17">
        <f t="shared" si="2"/>
        <v>10.65288112</v>
      </c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>
        <f t="shared" si="8"/>
        <v>1</v>
      </c>
      <c r="AF3433" s="19">
        <f t="shared" si="13"/>
        <v>2</v>
      </c>
      <c r="AG3433" s="9"/>
      <c r="AH3433" s="9"/>
      <c r="AI3433" s="9"/>
    </row>
    <row r="3434" ht="15.0" customHeight="1">
      <c r="A3434" s="11">
        <v>3433.0</v>
      </c>
      <c r="B3434" s="12">
        <f t="shared" si="548"/>
        <v>40407</v>
      </c>
      <c r="C3434" s="13">
        <v>2010.0</v>
      </c>
      <c r="D3434" s="11" t="s">
        <v>44</v>
      </c>
      <c r="E3434" s="11">
        <v>38.0</v>
      </c>
      <c r="F3434" s="21" t="s">
        <v>280</v>
      </c>
      <c r="G3434" s="15">
        <v>0.03068072257244262</v>
      </c>
      <c r="H3434" s="11" t="s">
        <v>24</v>
      </c>
      <c r="I3434" s="16">
        <v>5.784000000000001</v>
      </c>
      <c r="J3434" s="11" t="s">
        <v>120</v>
      </c>
      <c r="K3434" s="11" t="s">
        <v>35</v>
      </c>
      <c r="L3434" s="11" t="s">
        <v>27</v>
      </c>
      <c r="M3434" s="11" t="s">
        <v>49</v>
      </c>
      <c r="N3434" s="11" t="s">
        <v>73</v>
      </c>
      <c r="O3434" s="11" t="s">
        <v>1481</v>
      </c>
      <c r="P3434" s="11" t="s">
        <v>38</v>
      </c>
      <c r="Q3434" s="20">
        <v>40409.0</v>
      </c>
      <c r="R3434" s="17">
        <f t="shared" si="2"/>
        <v>56.13909527</v>
      </c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>
        <f t="shared" si="8"/>
        <v>1</v>
      </c>
      <c r="AF3434" s="19">
        <f t="shared" si="13"/>
        <v>2</v>
      </c>
      <c r="AG3434" s="9"/>
      <c r="AH3434" s="9"/>
      <c r="AI3434" s="9"/>
    </row>
    <row r="3435" ht="15.0" customHeight="1">
      <c r="A3435" s="11">
        <v>3434.0</v>
      </c>
      <c r="B3435" s="12">
        <f t="shared" si="548"/>
        <v>40407</v>
      </c>
      <c r="C3435" s="13">
        <v>2010.0</v>
      </c>
      <c r="D3435" s="11" t="s">
        <v>39</v>
      </c>
      <c r="E3435" s="11">
        <v>37.0</v>
      </c>
      <c r="F3435" s="21" t="s">
        <v>933</v>
      </c>
      <c r="G3435" s="15">
        <v>0.05917835490000918</v>
      </c>
      <c r="H3435" s="11" t="s">
        <v>33</v>
      </c>
      <c r="I3435" s="16">
        <v>11.104000000000001</v>
      </c>
      <c r="J3435" s="11" t="s">
        <v>1621</v>
      </c>
      <c r="K3435" s="11" t="s">
        <v>35</v>
      </c>
      <c r="L3435" s="11" t="s">
        <v>36</v>
      </c>
      <c r="M3435" s="11" t="s">
        <v>28</v>
      </c>
      <c r="N3435" s="11" t="s">
        <v>56</v>
      </c>
      <c r="O3435" s="11" t="s">
        <v>989</v>
      </c>
      <c r="P3435" s="11" t="s">
        <v>38</v>
      </c>
      <c r="Q3435" s="20">
        <v>40409.0</v>
      </c>
      <c r="R3435" s="17">
        <f t="shared" si="2"/>
        <v>123.0557079</v>
      </c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>
        <f t="shared" si="8"/>
        <v>2</v>
      </c>
      <c r="AF3435" s="19">
        <f t="shared" si="13"/>
        <v>2</v>
      </c>
      <c r="AG3435" s="9"/>
      <c r="AH3435" s="9"/>
      <c r="AI3435" s="9"/>
    </row>
    <row r="3436" ht="15.0" customHeight="1">
      <c r="A3436" s="11">
        <v>3435.0</v>
      </c>
      <c r="B3436" s="12">
        <f t="shared" si="548"/>
        <v>40407</v>
      </c>
      <c r="C3436" s="13">
        <v>2010.0</v>
      </c>
      <c r="D3436" s="11" t="s">
        <v>23</v>
      </c>
      <c r="E3436" s="11">
        <v>31.0</v>
      </c>
      <c r="F3436" s="21" t="s">
        <v>122</v>
      </c>
      <c r="G3436" s="15">
        <v>0.0873392956959195</v>
      </c>
      <c r="H3436" s="11" t="s">
        <v>33</v>
      </c>
      <c r="I3436" s="16">
        <v>5.2</v>
      </c>
      <c r="J3436" s="11" t="s">
        <v>2081</v>
      </c>
      <c r="K3436" s="11" t="s">
        <v>117</v>
      </c>
      <c r="L3436" s="11" t="s">
        <v>36</v>
      </c>
      <c r="M3436" s="11" t="s">
        <v>66</v>
      </c>
      <c r="N3436" s="11" t="s">
        <v>67</v>
      </c>
      <c r="O3436" s="11" t="s">
        <v>2130</v>
      </c>
      <c r="P3436" s="11" t="s">
        <v>38</v>
      </c>
      <c r="Q3436" s="20">
        <v>40409.0</v>
      </c>
      <c r="R3436" s="17">
        <f t="shared" si="2"/>
        <v>57.04129402</v>
      </c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>
        <f t="shared" si="8"/>
        <v>2</v>
      </c>
      <c r="AF3436" s="19" t="b">
        <f t="shared" si="13"/>
        <v>0</v>
      </c>
      <c r="AG3436" s="9"/>
      <c r="AH3436" s="9"/>
      <c r="AI3436" s="9"/>
    </row>
    <row r="3437" ht="15.0" customHeight="1">
      <c r="A3437" s="11">
        <v>3436.0</v>
      </c>
      <c r="B3437" s="12">
        <f t="shared" si="548"/>
        <v>40407</v>
      </c>
      <c r="C3437" s="13">
        <v>2010.0</v>
      </c>
      <c r="D3437" s="11" t="s">
        <v>32</v>
      </c>
      <c r="E3437" s="11">
        <v>34.0</v>
      </c>
      <c r="F3437" s="21" t="s">
        <v>103</v>
      </c>
      <c r="G3437" s="15">
        <v>0.06374311926605498</v>
      </c>
      <c r="H3437" s="11" t="s">
        <v>33</v>
      </c>
      <c r="I3437" s="16">
        <v>3.504</v>
      </c>
      <c r="J3437" s="11" t="s">
        <v>2165</v>
      </c>
      <c r="K3437" s="11" t="s">
        <v>83</v>
      </c>
      <c r="L3437" s="11" t="s">
        <v>41</v>
      </c>
      <c r="M3437" s="11" t="s">
        <v>66</v>
      </c>
      <c r="N3437" s="11" t="s">
        <v>67</v>
      </c>
      <c r="O3437" s="11" t="s">
        <v>1284</v>
      </c>
      <c r="P3437" s="11" t="s">
        <v>99</v>
      </c>
      <c r="Q3437" s="20">
        <v>40409.0</v>
      </c>
      <c r="R3437" s="17">
        <f t="shared" si="2"/>
        <v>13.01022561</v>
      </c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>
        <f t="shared" si="8"/>
        <v>3</v>
      </c>
      <c r="AF3437" s="19" t="b">
        <f t="shared" si="13"/>
        <v>0</v>
      </c>
      <c r="AG3437" s="9"/>
      <c r="AH3437" s="9"/>
      <c r="AI3437" s="9"/>
    </row>
    <row r="3438" ht="15.0" customHeight="1">
      <c r="A3438" s="11">
        <v>3437.0</v>
      </c>
      <c r="B3438" s="12">
        <f t="shared" si="548"/>
        <v>40407</v>
      </c>
      <c r="C3438" s="13">
        <v>2010.0</v>
      </c>
      <c r="D3438" s="11" t="s">
        <v>32</v>
      </c>
      <c r="E3438" s="11">
        <v>18.0</v>
      </c>
      <c r="F3438" s="21" t="s">
        <v>402</v>
      </c>
      <c r="G3438" s="15">
        <v>0.01480662983425418</v>
      </c>
      <c r="H3438" s="11" t="s">
        <v>33</v>
      </c>
      <c r="I3438" s="16">
        <v>2.256</v>
      </c>
      <c r="J3438" s="11" t="s">
        <v>2165</v>
      </c>
      <c r="K3438" s="11" t="s">
        <v>83</v>
      </c>
      <c r="L3438" s="11" t="s">
        <v>41</v>
      </c>
      <c r="M3438" s="11" t="s">
        <v>28</v>
      </c>
      <c r="N3438" s="11" t="s">
        <v>216</v>
      </c>
      <c r="O3438" s="11" t="s">
        <v>1537</v>
      </c>
      <c r="P3438" s="11" t="s">
        <v>58</v>
      </c>
      <c r="Q3438" s="20">
        <v>40410.0</v>
      </c>
      <c r="R3438" s="17">
        <f t="shared" si="2"/>
        <v>2.112254586</v>
      </c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>
        <f t="shared" si="8"/>
        <v>3</v>
      </c>
      <c r="AF3438" s="19" t="b">
        <f t="shared" si="13"/>
        <v>0</v>
      </c>
      <c r="AG3438" s="9"/>
      <c r="AH3438" s="9"/>
      <c r="AI3438" s="9"/>
    </row>
    <row r="3439" ht="15.0" customHeight="1">
      <c r="A3439" s="11">
        <v>3438.0</v>
      </c>
      <c r="B3439" s="12">
        <f t="shared" si="548"/>
        <v>40407</v>
      </c>
      <c r="C3439" s="13">
        <v>2010.0</v>
      </c>
      <c r="D3439" s="11" t="s">
        <v>23</v>
      </c>
      <c r="E3439" s="11">
        <v>39.0</v>
      </c>
      <c r="F3439" s="21" t="s">
        <v>596</v>
      </c>
      <c r="G3439" s="15">
        <v>0.09455378973105132</v>
      </c>
      <c r="H3439" s="11" t="s">
        <v>24</v>
      </c>
      <c r="I3439" s="16">
        <v>3.6240000000000006</v>
      </c>
      <c r="J3439" s="11" t="s">
        <v>724</v>
      </c>
      <c r="K3439" s="11" t="s">
        <v>65</v>
      </c>
      <c r="L3439" s="11" t="s">
        <v>48</v>
      </c>
      <c r="M3439" s="11" t="s">
        <v>28</v>
      </c>
      <c r="N3439" s="11" t="s">
        <v>29</v>
      </c>
      <c r="O3439" s="11" t="s">
        <v>946</v>
      </c>
      <c r="P3439" s="11" t="s">
        <v>38</v>
      </c>
      <c r="Q3439" s="20">
        <v>40410.0</v>
      </c>
      <c r="R3439" s="17">
        <f t="shared" si="2"/>
        <v>56.02538971</v>
      </c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>
        <f t="shared" si="8"/>
        <v>4</v>
      </c>
      <c r="AF3439" s="19">
        <f t="shared" si="13"/>
        <v>5</v>
      </c>
      <c r="AG3439" s="9"/>
      <c r="AH3439" s="9"/>
      <c r="AI3439" s="9"/>
    </row>
    <row r="3440" ht="15.0" customHeight="1">
      <c r="A3440" s="11">
        <v>3439.0</v>
      </c>
      <c r="B3440" s="12">
        <f t="shared" ref="B3440:B3446" si="549">DATE(2012,12,31)-866</f>
        <v>40408</v>
      </c>
      <c r="C3440" s="13">
        <v>2010.0</v>
      </c>
      <c r="D3440" s="11" t="s">
        <v>23</v>
      </c>
      <c r="E3440" s="11">
        <v>7.0</v>
      </c>
      <c r="F3440" s="21" t="s">
        <v>1038</v>
      </c>
      <c r="G3440" s="15">
        <v>0.024043478260869448</v>
      </c>
      <c r="H3440" s="11" t="s">
        <v>33</v>
      </c>
      <c r="I3440" s="16">
        <v>4.064</v>
      </c>
      <c r="J3440" s="11" t="s">
        <v>138</v>
      </c>
      <c r="K3440" s="11" t="s">
        <v>61</v>
      </c>
      <c r="L3440" s="11" t="s">
        <v>41</v>
      </c>
      <c r="M3440" s="11" t="s">
        <v>28</v>
      </c>
      <c r="N3440" s="11" t="s">
        <v>56</v>
      </c>
      <c r="O3440" s="11" t="s">
        <v>1040</v>
      </c>
      <c r="P3440" s="11" t="s">
        <v>58</v>
      </c>
      <c r="Q3440" s="20">
        <v>40410.0</v>
      </c>
      <c r="R3440" s="17">
        <f t="shared" si="2"/>
        <v>6.476447478</v>
      </c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>
        <f t="shared" si="8"/>
        <v>3</v>
      </c>
      <c r="AF3440" s="19">
        <f t="shared" si="13"/>
        <v>4</v>
      </c>
      <c r="AG3440" s="9"/>
      <c r="AH3440" s="9"/>
      <c r="AI3440" s="9"/>
    </row>
    <row r="3441" ht="15.0" customHeight="1">
      <c r="A3441" s="11">
        <v>3440.0</v>
      </c>
      <c r="B3441" s="12">
        <f t="shared" si="549"/>
        <v>40408</v>
      </c>
      <c r="C3441" s="13">
        <v>2010.0</v>
      </c>
      <c r="D3441" s="11" t="s">
        <v>102</v>
      </c>
      <c r="E3441" s="11">
        <v>21.0</v>
      </c>
      <c r="F3441" s="21" t="s">
        <v>425</v>
      </c>
      <c r="G3441" s="15">
        <v>0.061501976284584946</v>
      </c>
      <c r="H3441" s="11" t="s">
        <v>33</v>
      </c>
      <c r="I3441" s="16">
        <v>3.192</v>
      </c>
      <c r="J3441" s="11" t="s">
        <v>1934</v>
      </c>
      <c r="K3441" s="11" t="s">
        <v>61</v>
      </c>
      <c r="L3441" s="11" t="s">
        <v>27</v>
      </c>
      <c r="M3441" s="11" t="s">
        <v>28</v>
      </c>
      <c r="N3441" s="11" t="s">
        <v>197</v>
      </c>
      <c r="O3441" s="11" t="s">
        <v>1853</v>
      </c>
      <c r="P3441" s="11" t="s">
        <v>38</v>
      </c>
      <c r="Q3441" s="20">
        <v>40410.0</v>
      </c>
      <c r="R3441" s="17">
        <f t="shared" si="2"/>
        <v>26.28545265</v>
      </c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>
        <f t="shared" si="8"/>
        <v>1</v>
      </c>
      <c r="AF3441" s="19">
        <f t="shared" si="13"/>
        <v>4</v>
      </c>
      <c r="AG3441" s="9"/>
      <c r="AH3441" s="9"/>
      <c r="AI3441" s="9"/>
    </row>
    <row r="3442" ht="15.0" customHeight="1">
      <c r="A3442" s="11">
        <v>3441.0</v>
      </c>
      <c r="B3442" s="12">
        <f t="shared" si="549"/>
        <v>40408</v>
      </c>
      <c r="C3442" s="13">
        <v>2010.0</v>
      </c>
      <c r="D3442" s="11" t="s">
        <v>102</v>
      </c>
      <c r="E3442" s="11">
        <v>7.0</v>
      </c>
      <c r="F3442" s="21" t="s">
        <v>573</v>
      </c>
      <c r="G3442" s="15">
        <v>0.08749024707412234</v>
      </c>
      <c r="H3442" s="11" t="s">
        <v>33</v>
      </c>
      <c r="I3442" s="16">
        <v>0.8720000000000001</v>
      </c>
      <c r="J3442" s="11" t="s">
        <v>1934</v>
      </c>
      <c r="K3442" s="11" t="s">
        <v>61</v>
      </c>
      <c r="L3442" s="11" t="s">
        <v>27</v>
      </c>
      <c r="M3442" s="11" t="s">
        <v>28</v>
      </c>
      <c r="N3442" s="11" t="s">
        <v>62</v>
      </c>
      <c r="O3442" s="11" t="s">
        <v>1555</v>
      </c>
      <c r="P3442" s="11" t="s">
        <v>58</v>
      </c>
      <c r="Q3442" s="20">
        <v>40410.0</v>
      </c>
      <c r="R3442" s="17">
        <f t="shared" si="2"/>
        <v>6.139365618</v>
      </c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>
        <f t="shared" si="8"/>
        <v>1</v>
      </c>
      <c r="AF3442" s="19">
        <f t="shared" si="13"/>
        <v>4</v>
      </c>
      <c r="AG3442" s="9"/>
      <c r="AH3442" s="9"/>
      <c r="AI3442" s="9"/>
    </row>
    <row r="3443" ht="15.0" customHeight="1">
      <c r="A3443" s="11">
        <v>3442.0</v>
      </c>
      <c r="B3443" s="12">
        <f t="shared" si="549"/>
        <v>40408</v>
      </c>
      <c r="C3443" s="13">
        <v>2010.0</v>
      </c>
      <c r="D3443" s="11" t="s">
        <v>23</v>
      </c>
      <c r="E3443" s="11">
        <v>19.0</v>
      </c>
      <c r="F3443" s="21" t="s">
        <v>718</v>
      </c>
      <c r="G3443" s="15">
        <v>0.052139923523580274</v>
      </c>
      <c r="H3443" s="11" t="s">
        <v>33</v>
      </c>
      <c r="I3443" s="16">
        <v>6.184000000000001</v>
      </c>
      <c r="J3443" s="11" t="s">
        <v>1387</v>
      </c>
      <c r="K3443" s="11" t="s">
        <v>26</v>
      </c>
      <c r="L3443" s="11" t="s">
        <v>41</v>
      </c>
      <c r="M3443" s="11" t="s">
        <v>28</v>
      </c>
      <c r="N3443" s="11" t="s">
        <v>62</v>
      </c>
      <c r="O3443" s="11" t="s">
        <v>720</v>
      </c>
      <c r="P3443" s="11" t="s">
        <v>38</v>
      </c>
      <c r="Q3443" s="20">
        <v>40410.0</v>
      </c>
      <c r="R3443" s="17">
        <f t="shared" si="2"/>
        <v>34.89641658</v>
      </c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>
        <f t="shared" si="8"/>
        <v>3</v>
      </c>
      <c r="AF3443" s="19">
        <f t="shared" si="13"/>
        <v>1</v>
      </c>
      <c r="AG3443" s="9"/>
      <c r="AH3443" s="9"/>
      <c r="AI3443" s="9"/>
    </row>
    <row r="3444" ht="15.0" customHeight="1">
      <c r="A3444" s="11">
        <v>3443.0</v>
      </c>
      <c r="B3444" s="12">
        <f t="shared" si="549"/>
        <v>40408</v>
      </c>
      <c r="C3444" s="13">
        <v>2010.0</v>
      </c>
      <c r="D3444" s="11" t="s">
        <v>102</v>
      </c>
      <c r="E3444" s="11">
        <v>14.0</v>
      </c>
      <c r="F3444" s="21" t="s">
        <v>158</v>
      </c>
      <c r="G3444" s="15">
        <v>0.07195335276967926</v>
      </c>
      <c r="H3444" s="11" t="s">
        <v>24</v>
      </c>
      <c r="I3444" s="16">
        <v>5.896000000000001</v>
      </c>
      <c r="J3444" s="11" t="s">
        <v>219</v>
      </c>
      <c r="K3444" s="11" t="s">
        <v>61</v>
      </c>
      <c r="L3444" s="11" t="s">
        <v>48</v>
      </c>
      <c r="M3444" s="11" t="s">
        <v>28</v>
      </c>
      <c r="N3444" s="11" t="s">
        <v>56</v>
      </c>
      <c r="O3444" s="11" t="s">
        <v>860</v>
      </c>
      <c r="P3444" s="11" t="s">
        <v>38</v>
      </c>
      <c r="Q3444" s="20">
        <v>40410.0</v>
      </c>
      <c r="R3444" s="17">
        <f t="shared" si="2"/>
        <v>6.871257376</v>
      </c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>
        <f t="shared" si="8"/>
        <v>4</v>
      </c>
      <c r="AF3444" s="19">
        <f t="shared" si="13"/>
        <v>4</v>
      </c>
      <c r="AG3444" s="9"/>
      <c r="AH3444" s="9"/>
      <c r="AI3444" s="9"/>
    </row>
    <row r="3445" ht="15.0" customHeight="1">
      <c r="A3445" s="11">
        <v>3444.0</v>
      </c>
      <c r="B3445" s="12">
        <f t="shared" si="549"/>
        <v>40408</v>
      </c>
      <c r="C3445" s="13">
        <v>2010.0</v>
      </c>
      <c r="D3445" s="11" t="s">
        <v>102</v>
      </c>
      <c r="E3445" s="11">
        <v>8.0</v>
      </c>
      <c r="F3445" s="21" t="s">
        <v>126</v>
      </c>
      <c r="G3445" s="15">
        <v>0.044632516703786144</v>
      </c>
      <c r="H3445" s="11" t="s">
        <v>33</v>
      </c>
      <c r="I3445" s="16">
        <v>3.696</v>
      </c>
      <c r="J3445" s="11" t="s">
        <v>382</v>
      </c>
      <c r="K3445" s="11" t="s">
        <v>65</v>
      </c>
      <c r="L3445" s="11" t="s">
        <v>41</v>
      </c>
      <c r="M3445" s="11" t="s">
        <v>66</v>
      </c>
      <c r="N3445" s="11" t="s">
        <v>67</v>
      </c>
      <c r="O3445" s="11" t="s">
        <v>675</v>
      </c>
      <c r="P3445" s="11" t="s">
        <v>99</v>
      </c>
      <c r="Q3445" s="20">
        <v>40411.0</v>
      </c>
      <c r="R3445" s="17">
        <f t="shared" si="2"/>
        <v>1.914556437</v>
      </c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>
        <f t="shared" si="8"/>
        <v>3</v>
      </c>
      <c r="AF3445" s="19">
        <f t="shared" si="13"/>
        <v>5</v>
      </c>
      <c r="AG3445" s="9"/>
      <c r="AH3445" s="9"/>
      <c r="AI3445" s="9"/>
    </row>
    <row r="3446" ht="15.0" customHeight="1">
      <c r="A3446" s="11">
        <v>3445.0</v>
      </c>
      <c r="B3446" s="12">
        <f t="shared" si="549"/>
        <v>40408</v>
      </c>
      <c r="C3446" s="13">
        <v>2010.0</v>
      </c>
      <c r="D3446" s="11" t="s">
        <v>102</v>
      </c>
      <c r="E3446" s="11">
        <v>7.0</v>
      </c>
      <c r="F3446" s="21" t="s">
        <v>889</v>
      </c>
      <c r="G3446" s="15">
        <v>0.08761237594862818</v>
      </c>
      <c r="H3446" s="11" t="s">
        <v>33</v>
      </c>
      <c r="I3446" s="16">
        <v>7.192</v>
      </c>
      <c r="J3446" s="11" t="s">
        <v>382</v>
      </c>
      <c r="K3446" s="11" t="s">
        <v>65</v>
      </c>
      <c r="L3446" s="11" t="s">
        <v>41</v>
      </c>
      <c r="M3446" s="11" t="s">
        <v>28</v>
      </c>
      <c r="N3446" s="11" t="s">
        <v>62</v>
      </c>
      <c r="O3446" s="11" t="s">
        <v>890</v>
      </c>
      <c r="P3446" s="11" t="s">
        <v>99</v>
      </c>
      <c r="Q3446" s="20">
        <v>40411.0</v>
      </c>
      <c r="R3446" s="17">
        <f t="shared" si="2"/>
        <v>13.69311346</v>
      </c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>
        <f t="shared" si="8"/>
        <v>3</v>
      </c>
      <c r="AF3446" s="19">
        <f t="shared" si="13"/>
        <v>5</v>
      </c>
      <c r="AG3446" s="9"/>
      <c r="AH3446" s="9"/>
      <c r="AI3446" s="9"/>
    </row>
    <row r="3447" ht="15.0" customHeight="1">
      <c r="A3447" s="11">
        <v>3446.0</v>
      </c>
      <c r="B3447" s="12">
        <f t="shared" ref="B3447:B3448" si="550">DATE(2012,12,31)-865</f>
        <v>40409</v>
      </c>
      <c r="C3447" s="13">
        <v>2010.0</v>
      </c>
      <c r="D3447" s="11" t="s">
        <v>39</v>
      </c>
      <c r="E3447" s="11">
        <v>36.0</v>
      </c>
      <c r="F3447" s="21" t="s">
        <v>362</v>
      </c>
      <c r="G3447" s="15">
        <v>0.07904422979156076</v>
      </c>
      <c r="H3447" s="11" t="s">
        <v>33</v>
      </c>
      <c r="I3447" s="16">
        <v>10.656</v>
      </c>
      <c r="J3447" s="11" t="s">
        <v>703</v>
      </c>
      <c r="K3447" s="11" t="s">
        <v>35</v>
      </c>
      <c r="L3447" s="11" t="s">
        <v>41</v>
      </c>
      <c r="M3447" s="11" t="s">
        <v>28</v>
      </c>
      <c r="N3447" s="11" t="s">
        <v>197</v>
      </c>
      <c r="O3447" s="11" t="s">
        <v>364</v>
      </c>
      <c r="P3447" s="11" t="s">
        <v>38</v>
      </c>
      <c r="Q3447" s="20">
        <v>40411.0</v>
      </c>
      <c r="R3447" s="17">
        <f t="shared" si="2"/>
        <v>42.95706095</v>
      </c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>
        <f t="shared" si="8"/>
        <v>3</v>
      </c>
      <c r="AF3447" s="19">
        <f t="shared" si="13"/>
        <v>2</v>
      </c>
      <c r="AG3447" s="9"/>
      <c r="AH3447" s="9"/>
      <c r="AI3447" s="9"/>
    </row>
    <row r="3448" ht="15.0" customHeight="1">
      <c r="A3448" s="11">
        <v>3447.0</v>
      </c>
      <c r="B3448" s="12">
        <f t="shared" si="550"/>
        <v>40409</v>
      </c>
      <c r="C3448" s="13">
        <v>2010.0</v>
      </c>
      <c r="D3448" s="11" t="s">
        <v>44</v>
      </c>
      <c r="E3448" s="11">
        <v>36.0</v>
      </c>
      <c r="F3448" s="21" t="s">
        <v>284</v>
      </c>
      <c r="G3448" s="15">
        <v>0.053094629156010244</v>
      </c>
      <c r="H3448" s="11" t="s">
        <v>33</v>
      </c>
      <c r="I3448" s="16">
        <v>2.048</v>
      </c>
      <c r="J3448" s="11" t="s">
        <v>485</v>
      </c>
      <c r="K3448" s="11" t="s">
        <v>47</v>
      </c>
      <c r="L3448" s="11" t="s">
        <v>48</v>
      </c>
      <c r="M3448" s="11" t="s">
        <v>28</v>
      </c>
      <c r="N3448" s="11" t="s">
        <v>442</v>
      </c>
      <c r="O3448" s="11" t="s">
        <v>692</v>
      </c>
      <c r="P3448" s="11" t="s">
        <v>99</v>
      </c>
      <c r="Q3448" s="20">
        <v>40411.0</v>
      </c>
      <c r="R3448" s="17">
        <f t="shared" si="2"/>
        <v>3.9315511</v>
      </c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>
        <f t="shared" si="8"/>
        <v>4</v>
      </c>
      <c r="AF3448" s="19">
        <f t="shared" si="13"/>
        <v>3</v>
      </c>
      <c r="AG3448" s="9"/>
      <c r="AH3448" s="9"/>
      <c r="AI3448" s="9"/>
    </row>
    <row r="3449" ht="15.0" customHeight="1">
      <c r="A3449" s="11">
        <v>3448.0</v>
      </c>
      <c r="B3449" s="12">
        <f t="shared" ref="B3449:B3454" si="551">DATE(2012,12,31)-864</f>
        <v>40410</v>
      </c>
      <c r="C3449" s="13">
        <v>2010.0</v>
      </c>
      <c r="D3449" s="11" t="s">
        <v>23</v>
      </c>
      <c r="E3449" s="11">
        <v>43.0</v>
      </c>
      <c r="F3449" s="21" t="s">
        <v>668</v>
      </c>
      <c r="G3449" s="15">
        <v>0.06086338797814211</v>
      </c>
      <c r="H3449" s="11" t="s">
        <v>33</v>
      </c>
      <c r="I3449" s="16">
        <v>4.024</v>
      </c>
      <c r="J3449" s="11" t="s">
        <v>2407</v>
      </c>
      <c r="K3449" s="11" t="s">
        <v>65</v>
      </c>
      <c r="L3449" s="11" t="s">
        <v>27</v>
      </c>
      <c r="M3449" s="11" t="s">
        <v>66</v>
      </c>
      <c r="N3449" s="11" t="s">
        <v>80</v>
      </c>
      <c r="O3449" s="11" t="s">
        <v>1603</v>
      </c>
      <c r="P3449" s="11" t="s">
        <v>75</v>
      </c>
      <c r="Q3449" s="20">
        <v>40412.0</v>
      </c>
      <c r="R3449" s="17">
        <f t="shared" si="2"/>
        <v>20.92020717</v>
      </c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>
        <f t="shared" si="8"/>
        <v>1</v>
      </c>
      <c r="AF3449" s="19">
        <f t="shared" si="13"/>
        <v>5</v>
      </c>
      <c r="AG3449" s="9"/>
      <c r="AH3449" s="9"/>
      <c r="AI3449" s="9"/>
    </row>
    <row r="3450" ht="15.0" customHeight="1">
      <c r="A3450" s="11">
        <v>3449.0</v>
      </c>
      <c r="B3450" s="12">
        <f t="shared" si="551"/>
        <v>40410</v>
      </c>
      <c r="C3450" s="13">
        <v>2010.0</v>
      </c>
      <c r="D3450" s="11" t="s">
        <v>23</v>
      </c>
      <c r="E3450" s="11">
        <v>11.0</v>
      </c>
      <c r="F3450" s="21" t="s">
        <v>536</v>
      </c>
      <c r="G3450" s="15">
        <v>0.07528731857884013</v>
      </c>
      <c r="H3450" s="11" t="s">
        <v>45</v>
      </c>
      <c r="I3450" s="16">
        <v>56.160000000000004</v>
      </c>
      <c r="J3450" s="11" t="s">
        <v>2408</v>
      </c>
      <c r="K3450" s="11" t="s">
        <v>65</v>
      </c>
      <c r="L3450" s="11" t="s">
        <v>36</v>
      </c>
      <c r="M3450" s="11" t="s">
        <v>49</v>
      </c>
      <c r="N3450" s="11" t="s">
        <v>50</v>
      </c>
      <c r="O3450" s="11" t="s">
        <v>537</v>
      </c>
      <c r="P3450" s="11" t="s">
        <v>52</v>
      </c>
      <c r="Q3450" s="20">
        <v>40412.0</v>
      </c>
      <c r="R3450" s="17">
        <f t="shared" si="2"/>
        <v>106.0090618</v>
      </c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>
        <f t="shared" si="8"/>
        <v>2</v>
      </c>
      <c r="AF3450" s="19">
        <f t="shared" si="13"/>
        <v>5</v>
      </c>
      <c r="AG3450" s="9"/>
      <c r="AH3450" s="9"/>
      <c r="AI3450" s="9"/>
    </row>
    <row r="3451" ht="15.0" customHeight="1">
      <c r="A3451" s="11">
        <v>3450.0</v>
      </c>
      <c r="B3451" s="12">
        <f t="shared" si="551"/>
        <v>40410</v>
      </c>
      <c r="C3451" s="13">
        <v>2010.0</v>
      </c>
      <c r="D3451" s="11" t="s">
        <v>32</v>
      </c>
      <c r="E3451" s="11">
        <v>16.0</v>
      </c>
      <c r="F3451" s="21" t="s">
        <v>135</v>
      </c>
      <c r="G3451" s="15">
        <v>0.10402684563758394</v>
      </c>
      <c r="H3451" s="11" t="s">
        <v>33</v>
      </c>
      <c r="I3451" s="16">
        <v>1.2000000000000002</v>
      </c>
      <c r="J3451" s="11" t="s">
        <v>2409</v>
      </c>
      <c r="K3451" s="11" t="s">
        <v>83</v>
      </c>
      <c r="L3451" s="11" t="s">
        <v>27</v>
      </c>
      <c r="M3451" s="11" t="s">
        <v>28</v>
      </c>
      <c r="N3451" s="11" t="s">
        <v>62</v>
      </c>
      <c r="O3451" s="11" t="s">
        <v>978</v>
      </c>
      <c r="P3451" s="11" t="s">
        <v>58</v>
      </c>
      <c r="Q3451" s="20">
        <v>40412.0</v>
      </c>
      <c r="R3451" s="17">
        <f t="shared" si="2"/>
        <v>11.11006711</v>
      </c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>
        <f t="shared" si="8"/>
        <v>1</v>
      </c>
      <c r="AF3451" s="19" t="b">
        <f t="shared" si="13"/>
        <v>0</v>
      </c>
      <c r="AG3451" s="9"/>
      <c r="AH3451" s="9"/>
      <c r="AI3451" s="9"/>
    </row>
    <row r="3452" ht="15.0" customHeight="1">
      <c r="A3452" s="11">
        <v>3451.0</v>
      </c>
      <c r="B3452" s="12">
        <f t="shared" si="551"/>
        <v>40410</v>
      </c>
      <c r="C3452" s="13">
        <v>2010.0</v>
      </c>
      <c r="D3452" s="11" t="s">
        <v>32</v>
      </c>
      <c r="E3452" s="11">
        <v>49.0</v>
      </c>
      <c r="F3452" s="21" t="s">
        <v>2330</v>
      </c>
      <c r="G3452" s="15">
        <v>0.057947494033412934</v>
      </c>
      <c r="H3452" s="11" t="s">
        <v>33</v>
      </c>
      <c r="I3452" s="16">
        <v>0.8160000000000001</v>
      </c>
      <c r="J3452" s="11" t="s">
        <v>2383</v>
      </c>
      <c r="K3452" s="11" t="s">
        <v>117</v>
      </c>
      <c r="L3452" s="11" t="s">
        <v>48</v>
      </c>
      <c r="M3452" s="11" t="s">
        <v>28</v>
      </c>
      <c r="N3452" s="11" t="s">
        <v>216</v>
      </c>
      <c r="O3452" s="11" t="s">
        <v>2331</v>
      </c>
      <c r="P3452" s="11" t="s">
        <v>58</v>
      </c>
      <c r="Q3452" s="20">
        <v>40412.0</v>
      </c>
      <c r="R3452" s="17">
        <f t="shared" si="2"/>
        <v>6.861910453</v>
      </c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>
        <f t="shared" si="8"/>
        <v>4</v>
      </c>
      <c r="AF3452" s="19" t="b">
        <f t="shared" si="13"/>
        <v>0</v>
      </c>
      <c r="AG3452" s="9"/>
      <c r="AH3452" s="9"/>
      <c r="AI3452" s="9"/>
    </row>
    <row r="3453" ht="15.0" customHeight="1">
      <c r="A3453" s="11">
        <v>3452.0</v>
      </c>
      <c r="B3453" s="12">
        <f t="shared" si="551"/>
        <v>40410</v>
      </c>
      <c r="C3453" s="13">
        <v>2010.0</v>
      </c>
      <c r="D3453" s="11" t="s">
        <v>32</v>
      </c>
      <c r="E3453" s="11">
        <v>3.0</v>
      </c>
      <c r="F3453" s="21" t="s">
        <v>163</v>
      </c>
      <c r="G3453" s="15">
        <v>0.09411700382722783</v>
      </c>
      <c r="H3453" s="11" t="s">
        <v>45</v>
      </c>
      <c r="I3453" s="16">
        <v>28.672000000000004</v>
      </c>
      <c r="J3453" s="11" t="s">
        <v>2099</v>
      </c>
      <c r="K3453" s="11" t="s">
        <v>83</v>
      </c>
      <c r="L3453" s="11" t="s">
        <v>48</v>
      </c>
      <c r="M3453" s="11" t="s">
        <v>49</v>
      </c>
      <c r="N3453" s="11" t="s">
        <v>156</v>
      </c>
      <c r="O3453" s="11" t="s">
        <v>165</v>
      </c>
      <c r="P3453" s="11" t="s">
        <v>87</v>
      </c>
      <c r="Q3453" s="20">
        <v>40413.0</v>
      </c>
      <c r="R3453" s="17">
        <f t="shared" si="2"/>
        <v>31.18773979</v>
      </c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>
        <f t="shared" si="8"/>
        <v>4</v>
      </c>
      <c r="AF3453" s="19" t="b">
        <f t="shared" si="13"/>
        <v>0</v>
      </c>
      <c r="AG3453" s="9"/>
      <c r="AH3453" s="9"/>
      <c r="AI3453" s="9"/>
    </row>
    <row r="3454" ht="15.0" customHeight="1">
      <c r="A3454" s="11">
        <v>3453.0</v>
      </c>
      <c r="B3454" s="12">
        <f t="shared" si="551"/>
        <v>40410</v>
      </c>
      <c r="C3454" s="13">
        <v>2010.0</v>
      </c>
      <c r="D3454" s="11" t="s">
        <v>32</v>
      </c>
      <c r="E3454" s="11">
        <v>30.0</v>
      </c>
      <c r="F3454" s="21" t="s">
        <v>466</v>
      </c>
      <c r="G3454" s="15">
        <v>0.09546688949237517</v>
      </c>
      <c r="H3454" s="11" t="s">
        <v>24</v>
      </c>
      <c r="I3454" s="16">
        <v>4.0</v>
      </c>
      <c r="J3454" s="11" t="s">
        <v>2099</v>
      </c>
      <c r="K3454" s="11" t="s">
        <v>83</v>
      </c>
      <c r="L3454" s="11" t="s">
        <v>48</v>
      </c>
      <c r="M3454" s="11" t="s">
        <v>49</v>
      </c>
      <c r="N3454" s="11" t="s">
        <v>73</v>
      </c>
      <c r="O3454" s="11" t="s">
        <v>467</v>
      </c>
      <c r="P3454" s="11" t="s">
        <v>99</v>
      </c>
      <c r="Q3454" s="20">
        <v>40413.0</v>
      </c>
      <c r="R3454" s="17">
        <f t="shared" si="2"/>
        <v>41.33716315</v>
      </c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>
        <f t="shared" si="8"/>
        <v>4</v>
      </c>
      <c r="AF3454" s="19" t="b">
        <f t="shared" si="13"/>
        <v>0</v>
      </c>
      <c r="AG3454" s="9"/>
      <c r="AH3454" s="9"/>
      <c r="AI3454" s="9"/>
    </row>
    <row r="3455" ht="15.0" customHeight="1">
      <c r="A3455" s="11">
        <v>3454.0</v>
      </c>
      <c r="B3455" s="12">
        <f t="shared" ref="B3455:B3461" si="552">DATE(2012,12,31)-863</f>
        <v>40411</v>
      </c>
      <c r="C3455" s="13">
        <v>2010.0</v>
      </c>
      <c r="D3455" s="11" t="s">
        <v>39</v>
      </c>
      <c r="E3455" s="11">
        <v>32.0</v>
      </c>
      <c r="F3455" s="21" t="s">
        <v>304</v>
      </c>
      <c r="G3455" s="15">
        <v>0.0967309403737765</v>
      </c>
      <c r="H3455" s="11" t="s">
        <v>33</v>
      </c>
      <c r="I3455" s="16">
        <v>4.184</v>
      </c>
      <c r="J3455" s="11" t="s">
        <v>235</v>
      </c>
      <c r="K3455" s="11" t="s">
        <v>61</v>
      </c>
      <c r="L3455" s="11" t="s">
        <v>48</v>
      </c>
      <c r="M3455" s="11" t="s">
        <v>28</v>
      </c>
      <c r="N3455" s="11" t="s">
        <v>42</v>
      </c>
      <c r="O3455" s="11" t="s">
        <v>2410</v>
      </c>
      <c r="P3455" s="11" t="s">
        <v>38</v>
      </c>
      <c r="Q3455" s="20">
        <v>40413.0</v>
      </c>
      <c r="R3455" s="17">
        <f t="shared" si="2"/>
        <v>58.90759499</v>
      </c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>
        <f t="shared" si="8"/>
        <v>4</v>
      </c>
      <c r="AF3455" s="19">
        <f t="shared" si="13"/>
        <v>4</v>
      </c>
      <c r="AG3455" s="9"/>
      <c r="AH3455" s="9"/>
      <c r="AI3455" s="9"/>
    </row>
    <row r="3456" ht="15.0" customHeight="1">
      <c r="A3456" s="11">
        <v>3455.0</v>
      </c>
      <c r="B3456" s="12">
        <f t="shared" si="552"/>
        <v>40411</v>
      </c>
      <c r="C3456" s="13">
        <v>2010.0</v>
      </c>
      <c r="D3456" s="11" t="s">
        <v>102</v>
      </c>
      <c r="E3456" s="11">
        <v>44.0</v>
      </c>
      <c r="F3456" s="21" t="s">
        <v>933</v>
      </c>
      <c r="G3456" s="15">
        <v>0.05817959121181965</v>
      </c>
      <c r="H3456" s="11" t="s">
        <v>24</v>
      </c>
      <c r="I3456" s="16">
        <v>1.0</v>
      </c>
      <c r="J3456" s="11" t="s">
        <v>953</v>
      </c>
      <c r="K3456" s="11" t="s">
        <v>65</v>
      </c>
      <c r="L3456" s="11" t="s">
        <v>48</v>
      </c>
      <c r="M3456" s="11" t="s">
        <v>66</v>
      </c>
      <c r="N3456" s="11" t="s">
        <v>80</v>
      </c>
      <c r="O3456" s="11" t="s">
        <v>1275</v>
      </c>
      <c r="P3456" s="11" t="s">
        <v>99</v>
      </c>
      <c r="Q3456" s="20">
        <v>40413.0</v>
      </c>
      <c r="R3456" s="17">
        <f t="shared" si="2"/>
        <v>143.1567021</v>
      </c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>
        <f t="shared" si="8"/>
        <v>4</v>
      </c>
      <c r="AF3456" s="19">
        <f t="shared" si="13"/>
        <v>5</v>
      </c>
      <c r="AG3456" s="9"/>
      <c r="AH3456" s="9"/>
      <c r="AI3456" s="9"/>
    </row>
    <row r="3457" ht="15.0" customHeight="1">
      <c r="A3457" s="11">
        <v>3456.0</v>
      </c>
      <c r="B3457" s="12">
        <f t="shared" si="552"/>
        <v>40411</v>
      </c>
      <c r="C3457" s="13">
        <v>2010.0</v>
      </c>
      <c r="D3457" s="11" t="s">
        <v>102</v>
      </c>
      <c r="E3457" s="11">
        <v>30.0</v>
      </c>
      <c r="F3457" s="21" t="s">
        <v>506</v>
      </c>
      <c r="G3457" s="15">
        <v>0.10262817750969407</v>
      </c>
      <c r="H3457" s="11" t="s">
        <v>33</v>
      </c>
      <c r="I3457" s="16">
        <v>1.2800000000000002</v>
      </c>
      <c r="J3457" s="11" t="s">
        <v>1972</v>
      </c>
      <c r="K3457" s="11" t="s">
        <v>61</v>
      </c>
      <c r="L3457" s="11" t="s">
        <v>27</v>
      </c>
      <c r="M3457" s="11" t="s">
        <v>28</v>
      </c>
      <c r="N3457" s="11" t="s">
        <v>56</v>
      </c>
      <c r="O3457" s="11" t="s">
        <v>508</v>
      </c>
      <c r="P3457" s="11" t="s">
        <v>58</v>
      </c>
      <c r="Q3457" s="20">
        <v>40413.0</v>
      </c>
      <c r="R3457" s="17">
        <f t="shared" si="2"/>
        <v>21.37539681</v>
      </c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>
        <f t="shared" si="8"/>
        <v>1</v>
      </c>
      <c r="AF3457" s="19">
        <f t="shared" si="13"/>
        <v>4</v>
      </c>
      <c r="AG3457" s="9"/>
      <c r="AH3457" s="9"/>
      <c r="AI3457" s="9"/>
    </row>
    <row r="3458" ht="15.0" customHeight="1">
      <c r="A3458" s="11">
        <v>3457.0</v>
      </c>
      <c r="B3458" s="12">
        <f t="shared" si="552"/>
        <v>40411</v>
      </c>
      <c r="C3458" s="13">
        <v>2010.0</v>
      </c>
      <c r="D3458" s="11" t="s">
        <v>44</v>
      </c>
      <c r="E3458" s="11">
        <v>14.0</v>
      </c>
      <c r="F3458" s="21" t="s">
        <v>466</v>
      </c>
      <c r="G3458" s="15">
        <v>0.026692087702573853</v>
      </c>
      <c r="H3458" s="11" t="s">
        <v>33</v>
      </c>
      <c r="I3458" s="16">
        <v>4.0</v>
      </c>
      <c r="J3458" s="11" t="s">
        <v>973</v>
      </c>
      <c r="K3458" s="11" t="s">
        <v>61</v>
      </c>
      <c r="L3458" s="11" t="s">
        <v>36</v>
      </c>
      <c r="M3458" s="11" t="s">
        <v>49</v>
      </c>
      <c r="N3458" s="11" t="s">
        <v>73</v>
      </c>
      <c r="O3458" s="11" t="s">
        <v>467</v>
      </c>
      <c r="P3458" s="11" t="s">
        <v>99</v>
      </c>
      <c r="Q3458" s="20">
        <v>40413.0</v>
      </c>
      <c r="R3458" s="17">
        <f t="shared" si="2"/>
        <v>5.450524309</v>
      </c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>
        <f t="shared" si="8"/>
        <v>2</v>
      </c>
      <c r="AF3458" s="19">
        <f t="shared" si="13"/>
        <v>4</v>
      </c>
      <c r="AG3458" s="9"/>
      <c r="AH3458" s="9"/>
      <c r="AI3458" s="9"/>
    </row>
    <row r="3459" ht="15.0" customHeight="1">
      <c r="A3459" s="11">
        <v>3458.0</v>
      </c>
      <c r="B3459" s="12">
        <f t="shared" si="552"/>
        <v>40411</v>
      </c>
      <c r="C3459" s="13">
        <v>2010.0</v>
      </c>
      <c r="D3459" s="11" t="s">
        <v>44</v>
      </c>
      <c r="E3459" s="11">
        <v>8.0</v>
      </c>
      <c r="F3459" s="21" t="s">
        <v>483</v>
      </c>
      <c r="G3459" s="15">
        <v>0.04489795918367342</v>
      </c>
      <c r="H3459" s="11" t="s">
        <v>33</v>
      </c>
      <c r="I3459" s="16">
        <v>0.5599999999999999</v>
      </c>
      <c r="J3459" s="11" t="s">
        <v>973</v>
      </c>
      <c r="K3459" s="11" t="s">
        <v>61</v>
      </c>
      <c r="L3459" s="11" t="s">
        <v>36</v>
      </c>
      <c r="M3459" s="11" t="s">
        <v>28</v>
      </c>
      <c r="N3459" s="11" t="s">
        <v>216</v>
      </c>
      <c r="O3459" s="11" t="s">
        <v>484</v>
      </c>
      <c r="P3459" s="11" t="s">
        <v>58</v>
      </c>
      <c r="Q3459" s="20">
        <v>40413.0</v>
      </c>
      <c r="R3459" s="17">
        <f t="shared" si="2"/>
        <v>0.420244898</v>
      </c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>
        <f t="shared" si="8"/>
        <v>2</v>
      </c>
      <c r="AF3459" s="19">
        <f t="shared" si="13"/>
        <v>4</v>
      </c>
      <c r="AG3459" s="9"/>
      <c r="AH3459" s="9"/>
      <c r="AI3459" s="9"/>
    </row>
    <row r="3460" ht="15.0" customHeight="1">
      <c r="A3460" s="11">
        <v>3459.0</v>
      </c>
      <c r="B3460" s="12">
        <f t="shared" si="552"/>
        <v>40411</v>
      </c>
      <c r="C3460" s="13">
        <v>2010.0</v>
      </c>
      <c r="D3460" s="11" t="s">
        <v>23</v>
      </c>
      <c r="E3460" s="11">
        <v>24.0</v>
      </c>
      <c r="F3460" s="21" t="s">
        <v>1904</v>
      </c>
      <c r="G3460" s="15">
        <v>0.05801058728970914</v>
      </c>
      <c r="H3460" s="11" t="s">
        <v>33</v>
      </c>
      <c r="I3460" s="16">
        <v>19.592</v>
      </c>
      <c r="J3460" s="11" t="s">
        <v>1622</v>
      </c>
      <c r="K3460" s="11" t="s">
        <v>65</v>
      </c>
      <c r="L3460" s="11" t="s">
        <v>41</v>
      </c>
      <c r="M3460" s="11" t="s">
        <v>49</v>
      </c>
      <c r="N3460" s="11" t="s">
        <v>50</v>
      </c>
      <c r="O3460" s="11" t="s">
        <v>2054</v>
      </c>
      <c r="P3460" s="11" t="s">
        <v>31</v>
      </c>
      <c r="Q3460" s="20">
        <v>40413.0</v>
      </c>
      <c r="R3460" s="17">
        <f t="shared" si="2"/>
        <v>197.16592</v>
      </c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>
        <f t="shared" si="8"/>
        <v>3</v>
      </c>
      <c r="AF3460" s="19">
        <f t="shared" si="13"/>
        <v>5</v>
      </c>
      <c r="AG3460" s="9"/>
      <c r="AH3460" s="9"/>
      <c r="AI3460" s="9"/>
    </row>
    <row r="3461" ht="15.0" customHeight="1">
      <c r="A3461" s="11">
        <v>3460.0</v>
      </c>
      <c r="B3461" s="12">
        <f t="shared" si="552"/>
        <v>40411</v>
      </c>
      <c r="C3461" s="13">
        <v>2010.0</v>
      </c>
      <c r="D3461" s="11" t="s">
        <v>44</v>
      </c>
      <c r="E3461" s="11">
        <v>31.0</v>
      </c>
      <c r="F3461" s="21" t="s">
        <v>397</v>
      </c>
      <c r="G3461" s="15">
        <v>0.08386551600143845</v>
      </c>
      <c r="H3461" s="11" t="s">
        <v>45</v>
      </c>
      <c r="I3461" s="16">
        <v>36.408</v>
      </c>
      <c r="J3461" s="11" t="s">
        <v>2374</v>
      </c>
      <c r="K3461" s="11" t="s">
        <v>61</v>
      </c>
      <c r="L3461" s="11" t="s">
        <v>48</v>
      </c>
      <c r="M3461" s="11" t="s">
        <v>49</v>
      </c>
      <c r="N3461" s="11" t="s">
        <v>85</v>
      </c>
      <c r="O3461" s="11" t="s">
        <v>399</v>
      </c>
      <c r="P3461" s="11" t="s">
        <v>87</v>
      </c>
      <c r="Q3461" s="20">
        <v>40413.0</v>
      </c>
      <c r="R3461" s="17">
        <f t="shared" si="2"/>
        <v>85.46801828</v>
      </c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>
        <f t="shared" si="8"/>
        <v>4</v>
      </c>
      <c r="AF3461" s="19">
        <f t="shared" si="13"/>
        <v>4</v>
      </c>
      <c r="AG3461" s="9"/>
      <c r="AH3461" s="9"/>
      <c r="AI3461" s="9"/>
    </row>
    <row r="3462" ht="15.0" customHeight="1">
      <c r="A3462" s="11">
        <v>3461.0</v>
      </c>
      <c r="B3462" s="12">
        <f t="shared" ref="B3462:B3464" si="553">DATE(2012,12,31)-862</f>
        <v>40412</v>
      </c>
      <c r="C3462" s="13">
        <v>2010.0</v>
      </c>
      <c r="D3462" s="11" t="s">
        <v>102</v>
      </c>
      <c r="E3462" s="11">
        <v>21.0</v>
      </c>
      <c r="F3462" s="21" t="s">
        <v>1173</v>
      </c>
      <c r="G3462" s="15">
        <v>0.08316535716427757</v>
      </c>
      <c r="H3462" s="11" t="s">
        <v>24</v>
      </c>
      <c r="I3462" s="16">
        <v>15.991999999999999</v>
      </c>
      <c r="J3462" s="11" t="s">
        <v>1634</v>
      </c>
      <c r="K3462" s="11" t="s">
        <v>65</v>
      </c>
      <c r="L3462" s="11" t="s">
        <v>48</v>
      </c>
      <c r="M3462" s="11" t="s">
        <v>28</v>
      </c>
      <c r="N3462" s="11" t="s">
        <v>197</v>
      </c>
      <c r="O3462" s="11" t="s">
        <v>1174</v>
      </c>
      <c r="P3462" s="11" t="s">
        <v>38</v>
      </c>
      <c r="Q3462" s="20">
        <v>40414.0</v>
      </c>
      <c r="R3462" s="17">
        <f t="shared" si="2"/>
        <v>635.6487926</v>
      </c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>
        <f t="shared" si="8"/>
        <v>4</v>
      </c>
      <c r="AF3462" s="19">
        <f t="shared" si="13"/>
        <v>5</v>
      </c>
      <c r="AG3462" s="9"/>
      <c r="AH3462" s="9"/>
      <c r="AI3462" s="9"/>
    </row>
    <row r="3463" ht="15.0" customHeight="1">
      <c r="A3463" s="11">
        <v>3462.0</v>
      </c>
      <c r="B3463" s="12">
        <f t="shared" si="553"/>
        <v>40412</v>
      </c>
      <c r="C3463" s="13">
        <v>2010.0</v>
      </c>
      <c r="D3463" s="11" t="s">
        <v>102</v>
      </c>
      <c r="E3463" s="11">
        <v>44.0</v>
      </c>
      <c r="F3463" s="21" t="s">
        <v>1002</v>
      </c>
      <c r="G3463" s="15">
        <v>0.06656354577229125</v>
      </c>
      <c r="H3463" s="11" t="s">
        <v>33</v>
      </c>
      <c r="I3463" s="16">
        <v>1.192</v>
      </c>
      <c r="J3463" s="11" t="s">
        <v>1490</v>
      </c>
      <c r="K3463" s="11" t="s">
        <v>61</v>
      </c>
      <c r="L3463" s="11" t="s">
        <v>48</v>
      </c>
      <c r="M3463" s="11" t="s">
        <v>28</v>
      </c>
      <c r="N3463" s="11" t="s">
        <v>42</v>
      </c>
      <c r="O3463" s="11" t="s">
        <v>1003</v>
      </c>
      <c r="P3463" s="11" t="s">
        <v>38</v>
      </c>
      <c r="Q3463" s="20">
        <v>40414.0</v>
      </c>
      <c r="R3463" s="17">
        <f t="shared" si="2"/>
        <v>83.55003015</v>
      </c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>
        <f t="shared" si="8"/>
        <v>4</v>
      </c>
      <c r="AF3463" s="19">
        <f t="shared" si="13"/>
        <v>4</v>
      </c>
      <c r="AG3463" s="9"/>
      <c r="AH3463" s="9"/>
      <c r="AI3463" s="9"/>
    </row>
    <row r="3464" ht="15.0" customHeight="1">
      <c r="A3464" s="11">
        <v>3463.0</v>
      </c>
      <c r="B3464" s="12">
        <f t="shared" si="553"/>
        <v>40412</v>
      </c>
      <c r="C3464" s="13">
        <v>2010.0</v>
      </c>
      <c r="D3464" s="11" t="s">
        <v>32</v>
      </c>
      <c r="E3464" s="11">
        <v>38.0</v>
      </c>
      <c r="F3464" s="21" t="s">
        <v>142</v>
      </c>
      <c r="G3464" s="15">
        <v>0.0849865951742627</v>
      </c>
      <c r="H3464" s="11" t="s">
        <v>33</v>
      </c>
      <c r="I3464" s="16">
        <v>1.0</v>
      </c>
      <c r="J3464" s="11" t="s">
        <v>793</v>
      </c>
      <c r="K3464" s="11" t="s">
        <v>65</v>
      </c>
      <c r="L3464" s="11" t="s">
        <v>36</v>
      </c>
      <c r="M3464" s="11" t="s">
        <v>66</v>
      </c>
      <c r="N3464" s="11" t="s">
        <v>80</v>
      </c>
      <c r="O3464" s="11" t="s">
        <v>2300</v>
      </c>
      <c r="P3464" s="11" t="s">
        <v>99</v>
      </c>
      <c r="Q3464" s="20">
        <v>40414.0</v>
      </c>
      <c r="R3464" s="17">
        <f t="shared" si="2"/>
        <v>116.0236997</v>
      </c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>
        <f t="shared" si="8"/>
        <v>2</v>
      </c>
      <c r="AF3464" s="19">
        <f t="shared" si="13"/>
        <v>5</v>
      </c>
      <c r="AG3464" s="9"/>
      <c r="AH3464" s="9"/>
      <c r="AI3464" s="9"/>
    </row>
    <row r="3465" ht="15.0" customHeight="1">
      <c r="A3465" s="11">
        <v>3464.0</v>
      </c>
      <c r="B3465" s="12">
        <f t="shared" ref="B3465:B3470" si="554">DATE(2012,12,31)-861</f>
        <v>40413</v>
      </c>
      <c r="C3465" s="13">
        <v>2010.0</v>
      </c>
      <c r="D3465" s="11" t="s">
        <v>32</v>
      </c>
      <c r="E3465" s="11">
        <v>48.0</v>
      </c>
      <c r="F3465" s="21" t="s">
        <v>943</v>
      </c>
      <c r="G3465" s="15">
        <v>0.039128437356434925</v>
      </c>
      <c r="H3465" s="11" t="s">
        <v>33</v>
      </c>
      <c r="I3465" s="16">
        <v>5.2</v>
      </c>
      <c r="J3465" s="11" t="s">
        <v>82</v>
      </c>
      <c r="K3465" s="11" t="s">
        <v>83</v>
      </c>
      <c r="L3465" s="11" t="s">
        <v>27</v>
      </c>
      <c r="M3465" s="11" t="s">
        <v>66</v>
      </c>
      <c r="N3465" s="11" t="s">
        <v>67</v>
      </c>
      <c r="O3465" s="11" t="s">
        <v>944</v>
      </c>
      <c r="P3465" s="11" t="s">
        <v>38</v>
      </c>
      <c r="Q3465" s="20">
        <v>40414.0</v>
      </c>
      <c r="R3465" s="17">
        <f t="shared" si="2"/>
        <v>286.4358128</v>
      </c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>
        <f t="shared" si="8"/>
        <v>1</v>
      </c>
      <c r="AF3465" s="19" t="b">
        <f t="shared" si="13"/>
        <v>0</v>
      </c>
      <c r="AG3465" s="9"/>
      <c r="AH3465" s="9"/>
      <c r="AI3465" s="9"/>
    </row>
    <row r="3466" ht="15.0" customHeight="1">
      <c r="A3466" s="11">
        <v>3465.0</v>
      </c>
      <c r="B3466" s="12">
        <f t="shared" si="554"/>
        <v>40413</v>
      </c>
      <c r="C3466" s="13">
        <v>2010.0</v>
      </c>
      <c r="D3466" s="11" t="s">
        <v>23</v>
      </c>
      <c r="E3466" s="11">
        <v>15.0</v>
      </c>
      <c r="F3466" s="21" t="s">
        <v>1317</v>
      </c>
      <c r="G3466" s="15">
        <v>0.05210158309263396</v>
      </c>
      <c r="H3466" s="11" t="s">
        <v>24</v>
      </c>
      <c r="I3466" s="16">
        <v>3.28</v>
      </c>
      <c r="J3466" s="11" t="s">
        <v>2365</v>
      </c>
      <c r="K3466" s="11" t="s">
        <v>117</v>
      </c>
      <c r="L3466" s="11" t="s">
        <v>48</v>
      </c>
      <c r="M3466" s="11" t="s">
        <v>28</v>
      </c>
      <c r="N3466" s="11" t="s">
        <v>62</v>
      </c>
      <c r="O3466" s="11" t="s">
        <v>1318</v>
      </c>
      <c r="P3466" s="11" t="s">
        <v>58</v>
      </c>
      <c r="Q3466" s="20">
        <v>40415.0</v>
      </c>
      <c r="R3466" s="17">
        <f t="shared" si="2"/>
        <v>15.64506337</v>
      </c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>
        <f t="shared" si="8"/>
        <v>4</v>
      </c>
      <c r="AF3466" s="19" t="b">
        <f t="shared" si="13"/>
        <v>0</v>
      </c>
      <c r="AG3466" s="9"/>
      <c r="AH3466" s="9"/>
      <c r="AI3466" s="9"/>
    </row>
    <row r="3467" ht="15.0" customHeight="1">
      <c r="A3467" s="11">
        <v>3466.0</v>
      </c>
      <c r="B3467" s="12">
        <f t="shared" si="554"/>
        <v>40413</v>
      </c>
      <c r="C3467" s="13">
        <v>2010.0</v>
      </c>
      <c r="D3467" s="11" t="s">
        <v>44</v>
      </c>
      <c r="E3467" s="11">
        <v>45.0</v>
      </c>
      <c r="F3467" s="21" t="s">
        <v>163</v>
      </c>
      <c r="G3467" s="15">
        <v>0.03037726604605593</v>
      </c>
      <c r="H3467" s="11" t="s">
        <v>45</v>
      </c>
      <c r="I3467" s="16">
        <v>11.200000000000001</v>
      </c>
      <c r="J3467" s="11" t="s">
        <v>1831</v>
      </c>
      <c r="K3467" s="11" t="s">
        <v>61</v>
      </c>
      <c r="L3467" s="11" t="s">
        <v>27</v>
      </c>
      <c r="M3467" s="11" t="s">
        <v>66</v>
      </c>
      <c r="N3467" s="11" t="s">
        <v>69</v>
      </c>
      <c r="O3467" s="11" t="s">
        <v>1918</v>
      </c>
      <c r="P3467" s="11" t="s">
        <v>52</v>
      </c>
      <c r="Q3467" s="20">
        <v>40415.0</v>
      </c>
      <c r="R3467" s="17">
        <f t="shared" si="2"/>
        <v>138.2682019</v>
      </c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>
        <f t="shared" si="8"/>
        <v>1</v>
      </c>
      <c r="AF3467" s="19">
        <f t="shared" si="13"/>
        <v>4</v>
      </c>
      <c r="AG3467" s="9"/>
      <c r="AH3467" s="9"/>
      <c r="AI3467" s="9"/>
    </row>
    <row r="3468" ht="15.0" customHeight="1">
      <c r="A3468" s="11">
        <v>3467.0</v>
      </c>
      <c r="B3468" s="12">
        <f t="shared" si="554"/>
        <v>40413</v>
      </c>
      <c r="C3468" s="13">
        <v>2010.0</v>
      </c>
      <c r="D3468" s="11" t="s">
        <v>32</v>
      </c>
      <c r="E3468" s="11">
        <v>26.0</v>
      </c>
      <c r="F3468" s="21" t="s">
        <v>1074</v>
      </c>
      <c r="G3468" s="15">
        <v>0.09334975369458126</v>
      </c>
      <c r="H3468" s="11" t="s">
        <v>33</v>
      </c>
      <c r="I3468" s="16">
        <v>4.24</v>
      </c>
      <c r="J3468" s="11" t="s">
        <v>1747</v>
      </c>
      <c r="K3468" s="11" t="s">
        <v>61</v>
      </c>
      <c r="L3468" s="11" t="s">
        <v>36</v>
      </c>
      <c r="M3468" s="11" t="s">
        <v>28</v>
      </c>
      <c r="N3468" s="11" t="s">
        <v>236</v>
      </c>
      <c r="O3468" s="11" t="s">
        <v>1075</v>
      </c>
      <c r="P3468" s="11" t="s">
        <v>38</v>
      </c>
      <c r="Q3468" s="20">
        <v>40415.0</v>
      </c>
      <c r="R3468" s="17">
        <f t="shared" si="2"/>
        <v>13.74481773</v>
      </c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>
        <f t="shared" si="8"/>
        <v>2</v>
      </c>
      <c r="AF3468" s="19">
        <f t="shared" si="13"/>
        <v>4</v>
      </c>
      <c r="AG3468" s="9"/>
      <c r="AH3468" s="9"/>
      <c r="AI3468" s="9"/>
    </row>
    <row r="3469" ht="15.0" customHeight="1">
      <c r="A3469" s="11">
        <v>3468.0</v>
      </c>
      <c r="B3469" s="12">
        <f t="shared" si="554"/>
        <v>40413</v>
      </c>
      <c r="C3469" s="13">
        <v>2010.0</v>
      </c>
      <c r="D3469" s="11" t="s">
        <v>39</v>
      </c>
      <c r="E3469" s="11">
        <v>18.0</v>
      </c>
      <c r="F3469" s="21" t="s">
        <v>596</v>
      </c>
      <c r="G3469" s="15">
        <v>0.015639742673338012</v>
      </c>
      <c r="H3469" s="11" t="s">
        <v>33</v>
      </c>
      <c r="I3469" s="16">
        <v>3.6240000000000006</v>
      </c>
      <c r="J3469" s="11" t="s">
        <v>2185</v>
      </c>
      <c r="K3469" s="11" t="s">
        <v>26</v>
      </c>
      <c r="L3469" s="11" t="s">
        <v>36</v>
      </c>
      <c r="M3469" s="11" t="s">
        <v>28</v>
      </c>
      <c r="N3469" s="11" t="s">
        <v>29</v>
      </c>
      <c r="O3469" s="11" t="s">
        <v>946</v>
      </c>
      <c r="P3469" s="11" t="s">
        <v>38</v>
      </c>
      <c r="Q3469" s="20">
        <v>40415.0</v>
      </c>
      <c r="R3469" s="17">
        <f t="shared" si="2"/>
        <v>4.307560486</v>
      </c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>
        <f t="shared" si="8"/>
        <v>2</v>
      </c>
      <c r="AF3469" s="19">
        <f t="shared" si="13"/>
        <v>1</v>
      </c>
      <c r="AG3469" s="9"/>
      <c r="AH3469" s="9"/>
      <c r="AI3469" s="9"/>
    </row>
    <row r="3470" ht="15.0" customHeight="1">
      <c r="A3470" s="11">
        <v>3469.0</v>
      </c>
      <c r="B3470" s="12">
        <f t="shared" si="554"/>
        <v>40413</v>
      </c>
      <c r="C3470" s="13">
        <v>2010.0</v>
      </c>
      <c r="D3470" s="11" t="s">
        <v>44</v>
      </c>
      <c r="E3470" s="11">
        <v>38.0</v>
      </c>
      <c r="F3470" s="21" t="s">
        <v>1136</v>
      </c>
      <c r="G3470" s="15">
        <v>0.08795010395010401</v>
      </c>
      <c r="H3470" s="11" t="s">
        <v>33</v>
      </c>
      <c r="I3470" s="16">
        <v>7.192</v>
      </c>
      <c r="J3470" s="11" t="s">
        <v>1581</v>
      </c>
      <c r="K3470" s="11" t="s">
        <v>61</v>
      </c>
      <c r="L3470" s="11" t="s">
        <v>36</v>
      </c>
      <c r="M3470" s="11" t="s">
        <v>28</v>
      </c>
      <c r="N3470" s="11" t="s">
        <v>62</v>
      </c>
      <c r="O3470" s="11" t="s">
        <v>1176</v>
      </c>
      <c r="P3470" s="11" t="s">
        <v>99</v>
      </c>
      <c r="Q3470" s="20">
        <v>40416.0</v>
      </c>
      <c r="R3470" s="17">
        <f t="shared" si="2"/>
        <v>77.1667176</v>
      </c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>
        <f t="shared" si="8"/>
        <v>2</v>
      </c>
      <c r="AF3470" s="19">
        <f t="shared" si="13"/>
        <v>4</v>
      </c>
      <c r="AG3470" s="9"/>
      <c r="AH3470" s="9"/>
      <c r="AI3470" s="9"/>
    </row>
    <row r="3471" ht="15.0" customHeight="1">
      <c r="A3471" s="11">
        <v>3470.0</v>
      </c>
      <c r="B3471" s="12">
        <f t="shared" ref="B3471:B3479" si="555">DATE(2012,12,31)-860</f>
        <v>40414</v>
      </c>
      <c r="C3471" s="13">
        <v>2010.0</v>
      </c>
      <c r="D3471" s="11" t="s">
        <v>39</v>
      </c>
      <c r="E3471" s="11">
        <v>35.0</v>
      </c>
      <c r="F3471" s="21" t="s">
        <v>158</v>
      </c>
      <c r="G3471" s="15">
        <v>0.07532135728542912</v>
      </c>
      <c r="H3471" s="11" t="s">
        <v>33</v>
      </c>
      <c r="I3471" s="16">
        <v>7.632</v>
      </c>
      <c r="J3471" s="11" t="s">
        <v>1205</v>
      </c>
      <c r="K3471" s="11" t="s">
        <v>61</v>
      </c>
      <c r="L3471" s="11" t="s">
        <v>36</v>
      </c>
      <c r="M3471" s="11" t="s">
        <v>28</v>
      </c>
      <c r="N3471" s="11" t="s">
        <v>56</v>
      </c>
      <c r="O3471" s="11" t="s">
        <v>1474</v>
      </c>
      <c r="P3471" s="11" t="s">
        <v>38</v>
      </c>
      <c r="Q3471" s="20">
        <v>40416.0</v>
      </c>
      <c r="R3471" s="17">
        <f t="shared" si="2"/>
        <v>17.44683663</v>
      </c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>
        <f t="shared" si="8"/>
        <v>2</v>
      </c>
      <c r="AF3471" s="19">
        <f t="shared" si="13"/>
        <v>4</v>
      </c>
      <c r="AG3471" s="9"/>
      <c r="AH3471" s="9"/>
      <c r="AI3471" s="9"/>
    </row>
    <row r="3472" ht="15.0" customHeight="1">
      <c r="A3472" s="11">
        <v>3471.0</v>
      </c>
      <c r="B3472" s="12">
        <f t="shared" si="555"/>
        <v>40414</v>
      </c>
      <c r="C3472" s="13">
        <v>2010.0</v>
      </c>
      <c r="D3472" s="11" t="s">
        <v>32</v>
      </c>
      <c r="E3472" s="11">
        <v>30.0</v>
      </c>
      <c r="F3472" s="21" t="s">
        <v>758</v>
      </c>
      <c r="G3472" s="15">
        <v>0.10561056105610558</v>
      </c>
      <c r="H3472" s="11" t="s">
        <v>33</v>
      </c>
      <c r="I3472" s="16">
        <v>0.4</v>
      </c>
      <c r="J3472" s="11" t="s">
        <v>2162</v>
      </c>
      <c r="K3472" s="11" t="s">
        <v>117</v>
      </c>
      <c r="L3472" s="11" t="s">
        <v>27</v>
      </c>
      <c r="M3472" s="11" t="s">
        <v>28</v>
      </c>
      <c r="N3472" s="11" t="s">
        <v>188</v>
      </c>
      <c r="O3472" s="11" t="s">
        <v>1867</v>
      </c>
      <c r="P3472" s="11" t="s">
        <v>38</v>
      </c>
      <c r="Q3472" s="20">
        <v>40416.0</v>
      </c>
      <c r="R3472" s="17">
        <f t="shared" si="2"/>
        <v>11.44818482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>
        <f t="shared" si="8"/>
        <v>1</v>
      </c>
      <c r="AF3472" s="19" t="b">
        <f t="shared" si="13"/>
        <v>0</v>
      </c>
      <c r="AG3472" s="9"/>
      <c r="AH3472" s="9"/>
      <c r="AI3472" s="9"/>
    </row>
    <row r="3473" ht="15.0" customHeight="1">
      <c r="A3473" s="11">
        <v>3472.0</v>
      </c>
      <c r="B3473" s="12">
        <f t="shared" si="555"/>
        <v>40414</v>
      </c>
      <c r="C3473" s="13">
        <v>2010.0</v>
      </c>
      <c r="D3473" s="11" t="s">
        <v>32</v>
      </c>
      <c r="E3473" s="11">
        <v>48.0</v>
      </c>
      <c r="F3473" s="21" t="s">
        <v>641</v>
      </c>
      <c r="G3473" s="15">
        <v>0.03984320313593733</v>
      </c>
      <c r="H3473" s="11" t="s">
        <v>33</v>
      </c>
      <c r="I3473" s="16">
        <v>4.24</v>
      </c>
      <c r="J3473" s="11" t="s">
        <v>2271</v>
      </c>
      <c r="K3473" s="11" t="s">
        <v>35</v>
      </c>
      <c r="L3473" s="11" t="s">
        <v>48</v>
      </c>
      <c r="M3473" s="11" t="s">
        <v>49</v>
      </c>
      <c r="N3473" s="11" t="s">
        <v>73</v>
      </c>
      <c r="O3473" s="11" t="s">
        <v>880</v>
      </c>
      <c r="P3473" s="11" t="s">
        <v>58</v>
      </c>
      <c r="Q3473" s="20">
        <v>40416.0</v>
      </c>
      <c r="R3473" s="17">
        <f t="shared" si="2"/>
        <v>27.32606244</v>
      </c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>
        <f t="shared" si="8"/>
        <v>4</v>
      </c>
      <c r="AF3473" s="19">
        <f t="shared" si="13"/>
        <v>2</v>
      </c>
      <c r="AG3473" s="9"/>
      <c r="AH3473" s="9"/>
      <c r="AI3473" s="9"/>
    </row>
    <row r="3474" ht="15.0" customHeight="1">
      <c r="A3474" s="11">
        <v>3473.0</v>
      </c>
      <c r="B3474" s="12">
        <f t="shared" si="555"/>
        <v>40414</v>
      </c>
      <c r="C3474" s="13">
        <v>2010.0</v>
      </c>
      <c r="D3474" s="11" t="s">
        <v>32</v>
      </c>
      <c r="E3474" s="11">
        <v>29.0</v>
      </c>
      <c r="F3474" s="21" t="s">
        <v>1091</v>
      </c>
      <c r="G3474" s="15">
        <v>0.031086874764949306</v>
      </c>
      <c r="H3474" s="11" t="s">
        <v>33</v>
      </c>
      <c r="I3474" s="16">
        <v>3.936</v>
      </c>
      <c r="J3474" s="11" t="s">
        <v>2271</v>
      </c>
      <c r="K3474" s="11" t="s">
        <v>35</v>
      </c>
      <c r="L3474" s="11" t="s">
        <v>48</v>
      </c>
      <c r="M3474" s="11" t="s">
        <v>28</v>
      </c>
      <c r="N3474" s="11" t="s">
        <v>56</v>
      </c>
      <c r="O3474" s="11" t="s">
        <v>2184</v>
      </c>
      <c r="P3474" s="11" t="s">
        <v>38</v>
      </c>
      <c r="Q3474" s="20">
        <v>40416.0</v>
      </c>
      <c r="R3474" s="17">
        <f t="shared" si="2"/>
        <v>32.03614357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>
        <f t="shared" si="8"/>
        <v>4</v>
      </c>
      <c r="AF3474" s="19">
        <f t="shared" si="13"/>
        <v>2</v>
      </c>
      <c r="AG3474" s="9"/>
      <c r="AH3474" s="9"/>
      <c r="AI3474" s="9"/>
    </row>
    <row r="3475" ht="15.0" customHeight="1">
      <c r="A3475" s="11">
        <v>3474.0</v>
      </c>
      <c r="B3475" s="12">
        <f t="shared" si="555"/>
        <v>40414</v>
      </c>
      <c r="C3475" s="13">
        <v>2010.0</v>
      </c>
      <c r="D3475" s="11" t="s">
        <v>44</v>
      </c>
      <c r="E3475" s="11">
        <v>22.0</v>
      </c>
      <c r="F3475" s="21" t="s">
        <v>2411</v>
      </c>
      <c r="G3475" s="15">
        <v>0.09392945275076205</v>
      </c>
      <c r="H3475" s="11" t="s">
        <v>33</v>
      </c>
      <c r="I3475" s="16">
        <v>1.592</v>
      </c>
      <c r="J3475" s="11" t="s">
        <v>1257</v>
      </c>
      <c r="K3475" s="11" t="s">
        <v>35</v>
      </c>
      <c r="L3475" s="11" t="s">
        <v>36</v>
      </c>
      <c r="M3475" s="11" t="s">
        <v>66</v>
      </c>
      <c r="N3475" s="11" t="s">
        <v>67</v>
      </c>
      <c r="O3475" s="11" t="s">
        <v>2412</v>
      </c>
      <c r="P3475" s="11" t="s">
        <v>99</v>
      </c>
      <c r="Q3475" s="20">
        <v>40416.0</v>
      </c>
      <c r="R3475" s="17">
        <f t="shared" si="2"/>
        <v>58.63001297</v>
      </c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>
        <f t="shared" si="8"/>
        <v>2</v>
      </c>
      <c r="AF3475" s="19">
        <f t="shared" si="13"/>
        <v>2</v>
      </c>
      <c r="AG3475" s="9"/>
      <c r="AH3475" s="9"/>
      <c r="AI3475" s="9"/>
    </row>
    <row r="3476" ht="15.0" customHeight="1">
      <c r="A3476" s="11">
        <v>3475.0</v>
      </c>
      <c r="B3476" s="12">
        <f t="shared" si="555"/>
        <v>40414</v>
      </c>
      <c r="C3476" s="13">
        <v>2010.0</v>
      </c>
      <c r="D3476" s="11" t="s">
        <v>44</v>
      </c>
      <c r="E3476" s="11">
        <v>19.0</v>
      </c>
      <c r="F3476" s="21" t="s">
        <v>304</v>
      </c>
      <c r="G3476" s="15">
        <v>0.03725624178712233</v>
      </c>
      <c r="H3476" s="11" t="s">
        <v>33</v>
      </c>
      <c r="I3476" s="16">
        <v>7.224</v>
      </c>
      <c r="J3476" s="11" t="s">
        <v>1257</v>
      </c>
      <c r="K3476" s="11" t="s">
        <v>35</v>
      </c>
      <c r="L3476" s="11" t="s">
        <v>36</v>
      </c>
      <c r="M3476" s="11" t="s">
        <v>28</v>
      </c>
      <c r="N3476" s="11" t="s">
        <v>56</v>
      </c>
      <c r="O3476" s="11" t="s">
        <v>388</v>
      </c>
      <c r="P3476" s="11" t="s">
        <v>38</v>
      </c>
      <c r="Q3476" s="20">
        <v>40416.0</v>
      </c>
      <c r="R3476" s="17">
        <f t="shared" si="2"/>
        <v>13.64785552</v>
      </c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>
        <f t="shared" si="8"/>
        <v>2</v>
      </c>
      <c r="AF3476" s="19">
        <f t="shared" si="13"/>
        <v>2</v>
      </c>
      <c r="AG3476" s="9"/>
      <c r="AH3476" s="9"/>
      <c r="AI3476" s="9"/>
    </row>
    <row r="3477" ht="15.0" customHeight="1">
      <c r="A3477" s="11">
        <v>3476.0</v>
      </c>
      <c r="B3477" s="12">
        <f t="shared" si="555"/>
        <v>40414</v>
      </c>
      <c r="C3477" s="13">
        <v>2010.0</v>
      </c>
      <c r="D3477" s="11" t="s">
        <v>39</v>
      </c>
      <c r="E3477" s="11">
        <v>31.0</v>
      </c>
      <c r="F3477" s="21" t="s">
        <v>810</v>
      </c>
      <c r="G3477" s="15">
        <v>0.048115780684664496</v>
      </c>
      <c r="H3477" s="11" t="s">
        <v>33</v>
      </c>
      <c r="I3477" s="16">
        <v>4.112</v>
      </c>
      <c r="J3477" s="11" t="s">
        <v>2413</v>
      </c>
      <c r="K3477" s="11" t="s">
        <v>83</v>
      </c>
      <c r="L3477" s="11" t="s">
        <v>48</v>
      </c>
      <c r="M3477" s="11" t="s">
        <v>28</v>
      </c>
      <c r="N3477" s="11" t="s">
        <v>42</v>
      </c>
      <c r="O3477" s="11" t="s">
        <v>1778</v>
      </c>
      <c r="P3477" s="11" t="s">
        <v>38</v>
      </c>
      <c r="Q3477" s="20">
        <v>40417.0</v>
      </c>
      <c r="R3477" s="17">
        <f t="shared" si="2"/>
        <v>16.45617438</v>
      </c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>
        <f t="shared" si="8"/>
        <v>4</v>
      </c>
      <c r="AF3477" s="19" t="b">
        <f t="shared" si="13"/>
        <v>0</v>
      </c>
      <c r="AG3477" s="9"/>
      <c r="AH3477" s="9"/>
      <c r="AI3477" s="9"/>
    </row>
    <row r="3478" ht="15.0" customHeight="1">
      <c r="A3478" s="11">
        <v>3477.0</v>
      </c>
      <c r="B3478" s="12">
        <f t="shared" si="555"/>
        <v>40414</v>
      </c>
      <c r="C3478" s="13">
        <v>2010.0</v>
      </c>
      <c r="D3478" s="11" t="s">
        <v>23</v>
      </c>
      <c r="E3478" s="11">
        <v>26.0</v>
      </c>
      <c r="F3478" s="21" t="s">
        <v>825</v>
      </c>
      <c r="G3478" s="15">
        <v>0.03266595820049605</v>
      </c>
      <c r="H3478" s="11" t="s">
        <v>33</v>
      </c>
      <c r="I3478" s="16">
        <v>15.991999999999999</v>
      </c>
      <c r="J3478" s="11" t="s">
        <v>1756</v>
      </c>
      <c r="K3478" s="11" t="s">
        <v>117</v>
      </c>
      <c r="L3478" s="11" t="s">
        <v>48</v>
      </c>
      <c r="M3478" s="11" t="s">
        <v>49</v>
      </c>
      <c r="N3478" s="11" t="s">
        <v>73</v>
      </c>
      <c r="O3478" s="11" t="s">
        <v>2414</v>
      </c>
      <c r="P3478" s="11" t="s">
        <v>38</v>
      </c>
      <c r="Q3478" s="20">
        <v>40417.0</v>
      </c>
      <c r="R3478" s="17">
        <f t="shared" si="2"/>
        <v>44.601838</v>
      </c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>
        <f t="shared" si="8"/>
        <v>4</v>
      </c>
      <c r="AF3478" s="19" t="b">
        <f t="shared" si="13"/>
        <v>0</v>
      </c>
      <c r="AG3478" s="9"/>
      <c r="AH3478" s="9"/>
      <c r="AI3478" s="9"/>
    </row>
    <row r="3479" ht="15.0" customHeight="1">
      <c r="A3479" s="11">
        <v>3478.0</v>
      </c>
      <c r="B3479" s="12">
        <f t="shared" si="555"/>
        <v>40414</v>
      </c>
      <c r="C3479" s="13">
        <v>2010.0</v>
      </c>
      <c r="D3479" s="11" t="s">
        <v>23</v>
      </c>
      <c r="E3479" s="11">
        <v>46.0</v>
      </c>
      <c r="F3479" s="21" t="s">
        <v>306</v>
      </c>
      <c r="G3479" s="15">
        <v>0.015641408751334112</v>
      </c>
      <c r="H3479" s="11" t="s">
        <v>33</v>
      </c>
      <c r="I3479" s="16">
        <v>6.944</v>
      </c>
      <c r="J3479" s="11" t="s">
        <v>1756</v>
      </c>
      <c r="K3479" s="11" t="s">
        <v>117</v>
      </c>
      <c r="L3479" s="11" t="s">
        <v>48</v>
      </c>
      <c r="M3479" s="11" t="s">
        <v>28</v>
      </c>
      <c r="N3479" s="11" t="s">
        <v>56</v>
      </c>
      <c r="O3479" s="11" t="s">
        <v>401</v>
      </c>
      <c r="P3479" s="11" t="s">
        <v>38</v>
      </c>
      <c r="Q3479" s="20">
        <v>40417.0</v>
      </c>
      <c r="R3479" s="17">
        <f t="shared" si="2"/>
        <v>14.42675951</v>
      </c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>
        <f t="shared" si="8"/>
        <v>4</v>
      </c>
      <c r="AF3479" s="19" t="b">
        <f t="shared" si="13"/>
        <v>0</v>
      </c>
      <c r="AG3479" s="9"/>
      <c r="AH3479" s="9"/>
      <c r="AI3479" s="9"/>
    </row>
    <row r="3480" ht="15.0" customHeight="1">
      <c r="A3480" s="11">
        <v>3479.0</v>
      </c>
      <c r="B3480" s="12">
        <f>DATE(2012,12,31)-859</f>
        <v>40415</v>
      </c>
      <c r="C3480" s="13">
        <v>2010.0</v>
      </c>
      <c r="D3480" s="11" t="s">
        <v>23</v>
      </c>
      <c r="E3480" s="11">
        <v>4.0</v>
      </c>
      <c r="F3480" s="21" t="s">
        <v>483</v>
      </c>
      <c r="G3480" s="15">
        <v>0.04615384615384619</v>
      </c>
      <c r="H3480" s="11" t="s">
        <v>33</v>
      </c>
      <c r="I3480" s="16">
        <v>0.5599999999999999</v>
      </c>
      <c r="J3480" s="11" t="s">
        <v>429</v>
      </c>
      <c r="K3480" s="11" t="s">
        <v>83</v>
      </c>
      <c r="L3480" s="11" t="s">
        <v>48</v>
      </c>
      <c r="M3480" s="11" t="s">
        <v>28</v>
      </c>
      <c r="N3480" s="11" t="s">
        <v>216</v>
      </c>
      <c r="O3480" s="11" t="s">
        <v>484</v>
      </c>
      <c r="P3480" s="11" t="s">
        <v>58</v>
      </c>
      <c r="Q3480" s="20">
        <v>40417.0</v>
      </c>
      <c r="R3480" s="17">
        <f t="shared" si="2"/>
        <v>0.2289230769</v>
      </c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>
        <f t="shared" si="8"/>
        <v>4</v>
      </c>
      <c r="AF3480" s="19" t="b">
        <f t="shared" si="13"/>
        <v>0</v>
      </c>
      <c r="AG3480" s="9"/>
      <c r="AH3480" s="9"/>
      <c r="AI3480" s="9"/>
    </row>
    <row r="3481" ht="15.0" customHeight="1">
      <c r="A3481" s="11">
        <v>3480.0</v>
      </c>
      <c r="B3481" s="12">
        <f t="shared" ref="B3481:B3494" si="556">DATE(2012,12,31)-858</f>
        <v>40416</v>
      </c>
      <c r="C3481" s="13">
        <v>2010.0</v>
      </c>
      <c r="D3481" s="11" t="s">
        <v>32</v>
      </c>
      <c r="E3481" s="11">
        <v>29.0</v>
      </c>
      <c r="F3481" s="21" t="s">
        <v>1611</v>
      </c>
      <c r="G3481" s="15">
        <v>0.08061715933669776</v>
      </c>
      <c r="H3481" s="11" t="s">
        <v>33</v>
      </c>
      <c r="I3481" s="16">
        <v>11.192</v>
      </c>
      <c r="J3481" s="11" t="s">
        <v>2017</v>
      </c>
      <c r="K3481" s="11" t="s">
        <v>65</v>
      </c>
      <c r="L3481" s="11" t="s">
        <v>48</v>
      </c>
      <c r="M3481" s="11" t="s">
        <v>28</v>
      </c>
      <c r="N3481" s="11" t="s">
        <v>197</v>
      </c>
      <c r="O3481" s="11" t="s">
        <v>1612</v>
      </c>
      <c r="P3481" s="11" t="s">
        <v>75</v>
      </c>
      <c r="Q3481" s="20">
        <v>40417.0</v>
      </c>
      <c r="R3481" s="17">
        <f t="shared" si="2"/>
        <v>51.40085586</v>
      </c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>
        <f t="shared" si="8"/>
        <v>4</v>
      </c>
      <c r="AF3481" s="19">
        <f t="shared" si="13"/>
        <v>5</v>
      </c>
      <c r="AG3481" s="9"/>
      <c r="AH3481" s="9"/>
      <c r="AI3481" s="9"/>
    </row>
    <row r="3482" ht="15.0" customHeight="1">
      <c r="A3482" s="11">
        <v>3481.0</v>
      </c>
      <c r="B3482" s="12">
        <f t="shared" si="556"/>
        <v>40416</v>
      </c>
      <c r="C3482" s="13">
        <v>2010.0</v>
      </c>
      <c r="D3482" s="11" t="s">
        <v>32</v>
      </c>
      <c r="E3482" s="11">
        <v>45.0</v>
      </c>
      <c r="F3482" s="21" t="s">
        <v>142</v>
      </c>
      <c r="G3482" s="15">
        <v>0.012727272727272667</v>
      </c>
      <c r="H3482" s="11" t="s">
        <v>33</v>
      </c>
      <c r="I3482" s="16">
        <v>2.64</v>
      </c>
      <c r="J3482" s="11" t="s">
        <v>2017</v>
      </c>
      <c r="K3482" s="11" t="s">
        <v>65</v>
      </c>
      <c r="L3482" s="11" t="s">
        <v>48</v>
      </c>
      <c r="M3482" s="11" t="s">
        <v>66</v>
      </c>
      <c r="N3482" s="11" t="s">
        <v>80</v>
      </c>
      <c r="O3482" s="11" t="s">
        <v>837</v>
      </c>
      <c r="P3482" s="11" t="s">
        <v>99</v>
      </c>
      <c r="Q3482" s="20">
        <v>40418.0</v>
      </c>
      <c r="R3482" s="17">
        <f t="shared" si="2"/>
        <v>20.59450909</v>
      </c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>
        <f t="shared" si="8"/>
        <v>4</v>
      </c>
      <c r="AF3482" s="19">
        <f t="shared" si="13"/>
        <v>5</v>
      </c>
      <c r="AG3482" s="9"/>
      <c r="AH3482" s="9"/>
      <c r="AI3482" s="9"/>
    </row>
    <row r="3483" ht="15.0" customHeight="1">
      <c r="A3483" s="11">
        <v>3482.0</v>
      </c>
      <c r="B3483" s="12">
        <f t="shared" si="556"/>
        <v>40416</v>
      </c>
      <c r="C3483" s="13">
        <v>2010.0</v>
      </c>
      <c r="D3483" s="11" t="s">
        <v>32</v>
      </c>
      <c r="E3483" s="11">
        <v>10.0</v>
      </c>
      <c r="F3483" s="21" t="s">
        <v>1156</v>
      </c>
      <c r="G3483" s="15">
        <v>0.05821286831028262</v>
      </c>
      <c r="H3483" s="11" t="s">
        <v>33</v>
      </c>
      <c r="I3483" s="16">
        <v>7.192</v>
      </c>
      <c r="J3483" s="11" t="s">
        <v>2017</v>
      </c>
      <c r="K3483" s="11" t="s">
        <v>65</v>
      </c>
      <c r="L3483" s="11" t="s">
        <v>48</v>
      </c>
      <c r="M3483" s="11" t="s">
        <v>66</v>
      </c>
      <c r="N3483" s="11" t="s">
        <v>80</v>
      </c>
      <c r="O3483" s="11" t="s">
        <v>2237</v>
      </c>
      <c r="P3483" s="11" t="s">
        <v>38</v>
      </c>
      <c r="Q3483" s="20">
        <v>40418.0</v>
      </c>
      <c r="R3483" s="17">
        <f t="shared" si="2"/>
        <v>91.17252864</v>
      </c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>
        <f t="shared" si="8"/>
        <v>4</v>
      </c>
      <c r="AF3483" s="19">
        <f t="shared" si="13"/>
        <v>5</v>
      </c>
      <c r="AG3483" s="9"/>
      <c r="AH3483" s="9"/>
      <c r="AI3483" s="9"/>
    </row>
    <row r="3484" ht="15.0" customHeight="1">
      <c r="A3484" s="11">
        <v>3483.0</v>
      </c>
      <c r="B3484" s="12">
        <f t="shared" si="556"/>
        <v>40416</v>
      </c>
      <c r="C3484" s="13">
        <v>2010.0</v>
      </c>
      <c r="D3484" s="11" t="s">
        <v>32</v>
      </c>
      <c r="E3484" s="11">
        <v>12.0</v>
      </c>
      <c r="F3484" s="21" t="s">
        <v>521</v>
      </c>
      <c r="G3484" s="15">
        <v>0.052729650443572806</v>
      </c>
      <c r="H3484" s="11" t="s">
        <v>45</v>
      </c>
      <c r="I3484" s="16">
        <v>55.712</v>
      </c>
      <c r="J3484" s="11" t="s">
        <v>2017</v>
      </c>
      <c r="K3484" s="11" t="s">
        <v>65</v>
      </c>
      <c r="L3484" s="11" t="s">
        <v>48</v>
      </c>
      <c r="M3484" s="11" t="s">
        <v>49</v>
      </c>
      <c r="N3484" s="11" t="s">
        <v>85</v>
      </c>
      <c r="O3484" s="11" t="s">
        <v>522</v>
      </c>
      <c r="P3484" s="11" t="s">
        <v>87</v>
      </c>
      <c r="Q3484" s="20">
        <v>40418.0</v>
      </c>
      <c r="R3484" s="17">
        <f t="shared" si="2"/>
        <v>141.3213689</v>
      </c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>
        <f t="shared" si="8"/>
        <v>4</v>
      </c>
      <c r="AF3484" s="19">
        <f t="shared" si="13"/>
        <v>5</v>
      </c>
      <c r="AG3484" s="9"/>
      <c r="AH3484" s="9"/>
      <c r="AI3484" s="9"/>
    </row>
    <row r="3485" ht="15.0" customHeight="1">
      <c r="A3485" s="11">
        <v>3484.0</v>
      </c>
      <c r="B3485" s="12">
        <f t="shared" si="556"/>
        <v>40416</v>
      </c>
      <c r="C3485" s="13">
        <v>2010.0</v>
      </c>
      <c r="D3485" s="11" t="s">
        <v>44</v>
      </c>
      <c r="E3485" s="11">
        <v>26.0</v>
      </c>
      <c r="F3485" s="21" t="s">
        <v>983</v>
      </c>
      <c r="G3485" s="15">
        <v>0.07866145744861558</v>
      </c>
      <c r="H3485" s="11" t="s">
        <v>33</v>
      </c>
      <c r="I3485" s="16">
        <v>1.592</v>
      </c>
      <c r="J3485" s="11" t="s">
        <v>821</v>
      </c>
      <c r="K3485" s="11" t="s">
        <v>117</v>
      </c>
      <c r="L3485" s="11" t="s">
        <v>27</v>
      </c>
      <c r="M3485" s="11" t="s">
        <v>66</v>
      </c>
      <c r="N3485" s="11" t="s">
        <v>67</v>
      </c>
      <c r="O3485" s="11" t="s">
        <v>2051</v>
      </c>
      <c r="P3485" s="11" t="s">
        <v>99</v>
      </c>
      <c r="Q3485" s="20">
        <v>40418.0</v>
      </c>
      <c r="R3485" s="17">
        <f t="shared" si="2"/>
        <v>42.66534523</v>
      </c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>
        <f t="shared" si="8"/>
        <v>1</v>
      </c>
      <c r="AF3485" s="19" t="b">
        <f t="shared" si="13"/>
        <v>0</v>
      </c>
      <c r="AG3485" s="9"/>
      <c r="AH3485" s="9"/>
      <c r="AI3485" s="9"/>
    </row>
    <row r="3486" ht="15.0" customHeight="1">
      <c r="A3486" s="11">
        <v>3485.0</v>
      </c>
      <c r="B3486" s="12">
        <f t="shared" si="556"/>
        <v>40416</v>
      </c>
      <c r="C3486" s="13">
        <v>2010.0</v>
      </c>
      <c r="D3486" s="11" t="s">
        <v>44</v>
      </c>
      <c r="E3486" s="11">
        <v>28.0</v>
      </c>
      <c r="F3486" s="21" t="s">
        <v>245</v>
      </c>
      <c r="G3486" s="15">
        <v>0.06673504273504267</v>
      </c>
      <c r="H3486" s="11" t="s">
        <v>33</v>
      </c>
      <c r="I3486" s="16">
        <v>5.5760000000000005</v>
      </c>
      <c r="J3486" s="11" t="s">
        <v>821</v>
      </c>
      <c r="K3486" s="11" t="s">
        <v>117</v>
      </c>
      <c r="L3486" s="11" t="s">
        <v>27</v>
      </c>
      <c r="M3486" s="11" t="s">
        <v>28</v>
      </c>
      <c r="N3486" s="11" t="s">
        <v>236</v>
      </c>
      <c r="O3486" s="11" t="s">
        <v>376</v>
      </c>
      <c r="P3486" s="11" t="s">
        <v>38</v>
      </c>
      <c r="Q3486" s="20">
        <v>40418.0</v>
      </c>
      <c r="R3486" s="17">
        <f t="shared" si="2"/>
        <v>21.86079836</v>
      </c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>
        <f t="shared" si="8"/>
        <v>1</v>
      </c>
      <c r="AF3486" s="19" t="b">
        <f t="shared" si="13"/>
        <v>0</v>
      </c>
      <c r="AG3486" s="9"/>
      <c r="AH3486" s="9"/>
      <c r="AI3486" s="9"/>
    </row>
    <row r="3487" ht="15.0" customHeight="1">
      <c r="A3487" s="11">
        <v>3486.0</v>
      </c>
      <c r="B3487" s="12">
        <f t="shared" si="556"/>
        <v>40416</v>
      </c>
      <c r="C3487" s="13">
        <v>2010.0</v>
      </c>
      <c r="D3487" s="11" t="s">
        <v>44</v>
      </c>
      <c r="E3487" s="11">
        <v>42.0</v>
      </c>
      <c r="F3487" s="21" t="s">
        <v>186</v>
      </c>
      <c r="G3487" s="15">
        <v>0.08966244725738397</v>
      </c>
      <c r="H3487" s="11" t="s">
        <v>33</v>
      </c>
      <c r="I3487" s="16">
        <v>0.4</v>
      </c>
      <c r="J3487" s="11" t="s">
        <v>821</v>
      </c>
      <c r="K3487" s="11" t="s">
        <v>117</v>
      </c>
      <c r="L3487" s="11" t="s">
        <v>27</v>
      </c>
      <c r="M3487" s="11" t="s">
        <v>28</v>
      </c>
      <c r="N3487" s="11" t="s">
        <v>188</v>
      </c>
      <c r="O3487" s="11" t="s">
        <v>1968</v>
      </c>
      <c r="P3487" s="11" t="s">
        <v>38</v>
      </c>
      <c r="Q3487" s="20">
        <v>40418.0</v>
      </c>
      <c r="R3487" s="17">
        <f t="shared" si="2"/>
        <v>15.4757384</v>
      </c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>
        <f t="shared" si="8"/>
        <v>1</v>
      </c>
      <c r="AF3487" s="19" t="b">
        <f t="shared" si="13"/>
        <v>0</v>
      </c>
      <c r="AG3487" s="9"/>
      <c r="AH3487" s="9"/>
      <c r="AI3487" s="9"/>
    </row>
    <row r="3488" ht="15.0" customHeight="1">
      <c r="A3488" s="11">
        <v>3487.0</v>
      </c>
      <c r="B3488" s="12">
        <f t="shared" si="556"/>
        <v>40416</v>
      </c>
      <c r="C3488" s="13">
        <v>2010.0</v>
      </c>
      <c r="D3488" s="11" t="s">
        <v>44</v>
      </c>
      <c r="E3488" s="11">
        <v>23.0</v>
      </c>
      <c r="F3488" s="21" t="s">
        <v>1261</v>
      </c>
      <c r="G3488" s="15">
        <v>0.07788615518998399</v>
      </c>
      <c r="H3488" s="11" t="s">
        <v>33</v>
      </c>
      <c r="I3488" s="16">
        <v>3.2</v>
      </c>
      <c r="J3488" s="11" t="s">
        <v>2255</v>
      </c>
      <c r="K3488" s="11" t="s">
        <v>61</v>
      </c>
      <c r="L3488" s="11" t="s">
        <v>48</v>
      </c>
      <c r="M3488" s="11" t="s">
        <v>66</v>
      </c>
      <c r="N3488" s="11" t="s">
        <v>67</v>
      </c>
      <c r="O3488" s="11" t="s">
        <v>1262</v>
      </c>
      <c r="P3488" s="11" t="s">
        <v>38</v>
      </c>
      <c r="Q3488" s="20">
        <v>40418.0</v>
      </c>
      <c r="R3488" s="17">
        <f t="shared" si="2"/>
        <v>49.3330907</v>
      </c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>
        <f t="shared" si="8"/>
        <v>4</v>
      </c>
      <c r="AF3488" s="19">
        <f t="shared" si="13"/>
        <v>4</v>
      </c>
      <c r="AG3488" s="9"/>
      <c r="AH3488" s="9"/>
      <c r="AI3488" s="9"/>
    </row>
    <row r="3489" ht="15.0" customHeight="1">
      <c r="A3489" s="11">
        <v>3488.0</v>
      </c>
      <c r="B3489" s="12">
        <f t="shared" si="556"/>
        <v>40416</v>
      </c>
      <c r="C3489" s="13">
        <v>2010.0</v>
      </c>
      <c r="D3489" s="11" t="s">
        <v>44</v>
      </c>
      <c r="E3489" s="11">
        <v>5.0</v>
      </c>
      <c r="F3489" s="21" t="s">
        <v>1091</v>
      </c>
      <c r="G3489" s="15">
        <v>0.03601867595066512</v>
      </c>
      <c r="H3489" s="11" t="s">
        <v>33</v>
      </c>
      <c r="I3489" s="16">
        <v>1.592</v>
      </c>
      <c r="J3489" s="11" t="s">
        <v>2058</v>
      </c>
      <c r="K3489" s="11" t="s">
        <v>83</v>
      </c>
      <c r="L3489" s="11" t="s">
        <v>27</v>
      </c>
      <c r="M3489" s="11" t="s">
        <v>66</v>
      </c>
      <c r="N3489" s="11" t="s">
        <v>67</v>
      </c>
      <c r="O3489" s="11" t="s">
        <v>1200</v>
      </c>
      <c r="P3489" s="11" t="s">
        <v>99</v>
      </c>
      <c r="Q3489" s="20">
        <v>40418.0</v>
      </c>
      <c r="R3489" s="17">
        <f t="shared" si="2"/>
        <v>6.432647375</v>
      </c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>
        <f t="shared" si="8"/>
        <v>1</v>
      </c>
      <c r="AF3489" s="19" t="b">
        <f t="shared" si="13"/>
        <v>0</v>
      </c>
      <c r="AG3489" s="9"/>
      <c r="AH3489" s="9"/>
      <c r="AI3489" s="9"/>
    </row>
    <row r="3490" ht="15.0" customHeight="1">
      <c r="A3490" s="11">
        <v>3489.0</v>
      </c>
      <c r="B3490" s="12">
        <f t="shared" si="556"/>
        <v>40416</v>
      </c>
      <c r="C3490" s="13">
        <v>2010.0</v>
      </c>
      <c r="D3490" s="11" t="s">
        <v>102</v>
      </c>
      <c r="E3490" s="11">
        <v>24.0</v>
      </c>
      <c r="F3490" s="21" t="s">
        <v>1091</v>
      </c>
      <c r="G3490" s="15">
        <v>0.02180359802910523</v>
      </c>
      <c r="H3490" s="11" t="s">
        <v>33</v>
      </c>
      <c r="I3490" s="16">
        <v>4.072</v>
      </c>
      <c r="J3490" s="11" t="s">
        <v>1094</v>
      </c>
      <c r="K3490" s="11" t="s">
        <v>65</v>
      </c>
      <c r="L3490" s="11" t="s">
        <v>27</v>
      </c>
      <c r="M3490" s="11" t="s">
        <v>28</v>
      </c>
      <c r="N3490" s="11" t="s">
        <v>56</v>
      </c>
      <c r="O3490" s="11" t="s">
        <v>1093</v>
      </c>
      <c r="P3490" s="11" t="s">
        <v>38</v>
      </c>
      <c r="Q3490" s="20">
        <v>40418.0</v>
      </c>
      <c r="R3490" s="17">
        <f t="shared" si="2"/>
        <v>18.61312114</v>
      </c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>
        <f t="shared" si="8"/>
        <v>1</v>
      </c>
      <c r="AF3490" s="19">
        <f t="shared" si="13"/>
        <v>5</v>
      </c>
      <c r="AG3490" s="9"/>
      <c r="AH3490" s="9"/>
      <c r="AI3490" s="9"/>
    </row>
    <row r="3491" ht="15.0" customHeight="1">
      <c r="A3491" s="11">
        <v>3490.0</v>
      </c>
      <c r="B3491" s="12">
        <f t="shared" si="556"/>
        <v>40416</v>
      </c>
      <c r="C3491" s="13">
        <v>2010.0</v>
      </c>
      <c r="D3491" s="11" t="s">
        <v>102</v>
      </c>
      <c r="E3491" s="11">
        <v>16.0</v>
      </c>
      <c r="F3491" s="21" t="s">
        <v>128</v>
      </c>
      <c r="G3491" s="15">
        <v>0.07517844871031276</v>
      </c>
      <c r="H3491" s="11" t="s">
        <v>33</v>
      </c>
      <c r="I3491" s="16">
        <v>4.208</v>
      </c>
      <c r="J3491" s="11" t="s">
        <v>1094</v>
      </c>
      <c r="K3491" s="11" t="s">
        <v>65</v>
      </c>
      <c r="L3491" s="11" t="s">
        <v>27</v>
      </c>
      <c r="M3491" s="11" t="s">
        <v>66</v>
      </c>
      <c r="N3491" s="11" t="s">
        <v>80</v>
      </c>
      <c r="O3491" s="11" t="s">
        <v>129</v>
      </c>
      <c r="P3491" s="11" t="s">
        <v>38</v>
      </c>
      <c r="Q3491" s="20">
        <v>40418.0</v>
      </c>
      <c r="R3491" s="17">
        <f t="shared" si="2"/>
        <v>151.755818</v>
      </c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>
        <f t="shared" si="8"/>
        <v>1</v>
      </c>
      <c r="AF3491" s="19">
        <f t="shared" si="13"/>
        <v>5</v>
      </c>
      <c r="AG3491" s="9"/>
      <c r="AH3491" s="9"/>
      <c r="AI3491" s="9"/>
    </row>
    <row r="3492" ht="15.0" customHeight="1">
      <c r="A3492" s="11">
        <v>3491.0</v>
      </c>
      <c r="B3492" s="12">
        <f t="shared" si="556"/>
        <v>40416</v>
      </c>
      <c r="C3492" s="13">
        <v>2010.0</v>
      </c>
      <c r="D3492" s="11" t="s">
        <v>32</v>
      </c>
      <c r="E3492" s="11">
        <v>42.0</v>
      </c>
      <c r="F3492" s="21" t="s">
        <v>299</v>
      </c>
      <c r="G3492" s="15">
        <v>0.09547716707683877</v>
      </c>
      <c r="H3492" s="11" t="s">
        <v>33</v>
      </c>
      <c r="I3492" s="16">
        <v>7.384</v>
      </c>
      <c r="J3492" s="11" t="s">
        <v>357</v>
      </c>
      <c r="K3492" s="11" t="s">
        <v>65</v>
      </c>
      <c r="L3492" s="11" t="s">
        <v>48</v>
      </c>
      <c r="M3492" s="11" t="s">
        <v>28</v>
      </c>
      <c r="N3492" s="11" t="s">
        <v>197</v>
      </c>
      <c r="O3492" s="11" t="s">
        <v>301</v>
      </c>
      <c r="P3492" s="11" t="s">
        <v>38</v>
      </c>
      <c r="Q3492" s="20">
        <v>40418.0</v>
      </c>
      <c r="R3492" s="17">
        <f t="shared" si="2"/>
        <v>31.58231923</v>
      </c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>
        <f t="shared" si="8"/>
        <v>4</v>
      </c>
      <c r="AF3492" s="19">
        <f t="shared" si="13"/>
        <v>5</v>
      </c>
      <c r="AG3492" s="9"/>
      <c r="AH3492" s="9"/>
      <c r="AI3492" s="9"/>
    </row>
    <row r="3493" ht="15.0" customHeight="1">
      <c r="A3493" s="11">
        <v>3492.0</v>
      </c>
      <c r="B3493" s="12">
        <f t="shared" si="556"/>
        <v>40416</v>
      </c>
      <c r="C3493" s="13">
        <v>2010.0</v>
      </c>
      <c r="D3493" s="11" t="s">
        <v>32</v>
      </c>
      <c r="E3493" s="11">
        <v>29.0</v>
      </c>
      <c r="F3493" s="21" t="s">
        <v>596</v>
      </c>
      <c r="G3493" s="15">
        <v>0.06969237252423098</v>
      </c>
      <c r="H3493" s="11" t="s">
        <v>33</v>
      </c>
      <c r="I3493" s="16">
        <v>3.6240000000000006</v>
      </c>
      <c r="J3493" s="11" t="s">
        <v>357</v>
      </c>
      <c r="K3493" s="11" t="s">
        <v>65</v>
      </c>
      <c r="L3493" s="11" t="s">
        <v>48</v>
      </c>
      <c r="M3493" s="11" t="s">
        <v>28</v>
      </c>
      <c r="N3493" s="11" t="s">
        <v>29</v>
      </c>
      <c r="O3493" s="11" t="s">
        <v>946</v>
      </c>
      <c r="P3493" s="11" t="s">
        <v>38</v>
      </c>
      <c r="Q3493" s="20">
        <v>40419.0</v>
      </c>
      <c r="R3493" s="17">
        <f t="shared" si="2"/>
        <v>30.77085509</v>
      </c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>
        <f t="shared" si="8"/>
        <v>4</v>
      </c>
      <c r="AF3493" s="19">
        <f t="shared" si="13"/>
        <v>5</v>
      </c>
      <c r="AG3493" s="9"/>
      <c r="AH3493" s="9"/>
      <c r="AI3493" s="9"/>
    </row>
    <row r="3494" ht="15.0" customHeight="1">
      <c r="A3494" s="11">
        <v>3493.0</v>
      </c>
      <c r="B3494" s="12">
        <f t="shared" si="556"/>
        <v>40416</v>
      </c>
      <c r="C3494" s="13">
        <v>2010.0</v>
      </c>
      <c r="D3494" s="11" t="s">
        <v>44</v>
      </c>
      <c r="E3494" s="11">
        <v>44.0</v>
      </c>
      <c r="F3494" s="21" t="s">
        <v>1084</v>
      </c>
      <c r="G3494" s="15">
        <v>0.049795121951219365</v>
      </c>
      <c r="H3494" s="11" t="s">
        <v>24</v>
      </c>
      <c r="I3494" s="16">
        <v>1.192</v>
      </c>
      <c r="J3494" s="11" t="s">
        <v>271</v>
      </c>
      <c r="K3494" s="11" t="s">
        <v>61</v>
      </c>
      <c r="L3494" s="11" t="s">
        <v>41</v>
      </c>
      <c r="M3494" s="11" t="s">
        <v>28</v>
      </c>
      <c r="N3494" s="11" t="s">
        <v>42</v>
      </c>
      <c r="O3494" s="11" t="s">
        <v>1404</v>
      </c>
      <c r="P3494" s="11" t="s">
        <v>38</v>
      </c>
      <c r="Q3494" s="20">
        <v>40419.0</v>
      </c>
      <c r="R3494" s="17">
        <f t="shared" si="2"/>
        <v>9.699691395</v>
      </c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>
        <f t="shared" si="8"/>
        <v>3</v>
      </c>
      <c r="AF3494" s="19">
        <f t="shared" si="13"/>
        <v>4</v>
      </c>
      <c r="AG3494" s="9"/>
      <c r="AH3494" s="9"/>
      <c r="AI3494" s="9"/>
    </row>
    <row r="3495" ht="15.0" customHeight="1">
      <c r="A3495" s="11">
        <v>3494.0</v>
      </c>
      <c r="B3495" s="12">
        <f t="shared" ref="B3495:B3498" si="557">DATE(2012,12,31)-857</f>
        <v>40417</v>
      </c>
      <c r="C3495" s="13">
        <v>2010.0</v>
      </c>
      <c r="D3495" s="11" t="s">
        <v>102</v>
      </c>
      <c r="E3495" s="11">
        <v>45.0</v>
      </c>
      <c r="F3495" s="21" t="s">
        <v>306</v>
      </c>
      <c r="G3495" s="15">
        <v>0.0965597201399301</v>
      </c>
      <c r="H3495" s="11" t="s">
        <v>33</v>
      </c>
      <c r="I3495" s="16">
        <v>8.392000000000001</v>
      </c>
      <c r="J3495" s="11" t="s">
        <v>1476</v>
      </c>
      <c r="K3495" s="11" t="s">
        <v>65</v>
      </c>
      <c r="L3495" s="11" t="s">
        <v>36</v>
      </c>
      <c r="M3495" s="11" t="s">
        <v>49</v>
      </c>
      <c r="N3495" s="11" t="s">
        <v>73</v>
      </c>
      <c r="O3495" s="11" t="s">
        <v>1135</v>
      </c>
      <c r="P3495" s="11" t="s">
        <v>38</v>
      </c>
      <c r="Q3495" s="20">
        <v>40419.0</v>
      </c>
      <c r="R3495" s="17">
        <f t="shared" si="2"/>
        <v>87.27955856</v>
      </c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>
        <f t="shared" si="8"/>
        <v>2</v>
      </c>
      <c r="AF3495" s="19">
        <f t="shared" si="13"/>
        <v>5</v>
      </c>
      <c r="AG3495" s="9"/>
      <c r="AH3495" s="9"/>
      <c r="AI3495" s="9"/>
    </row>
    <row r="3496" ht="15.0" customHeight="1">
      <c r="A3496" s="11">
        <v>3495.0</v>
      </c>
      <c r="B3496" s="12">
        <f t="shared" si="557"/>
        <v>40417</v>
      </c>
      <c r="C3496" s="13">
        <v>2010.0</v>
      </c>
      <c r="D3496" s="11" t="s">
        <v>39</v>
      </c>
      <c r="E3496" s="11">
        <v>39.0</v>
      </c>
      <c r="F3496" s="21" t="s">
        <v>287</v>
      </c>
      <c r="G3496" s="15">
        <v>0.09183606294155415</v>
      </c>
      <c r="H3496" s="11" t="s">
        <v>33</v>
      </c>
      <c r="I3496" s="16">
        <v>4.736</v>
      </c>
      <c r="J3496" s="11" t="s">
        <v>913</v>
      </c>
      <c r="K3496" s="11" t="s">
        <v>35</v>
      </c>
      <c r="L3496" s="11" t="s">
        <v>27</v>
      </c>
      <c r="M3496" s="11" t="s">
        <v>66</v>
      </c>
      <c r="N3496" s="11" t="s">
        <v>80</v>
      </c>
      <c r="O3496" s="11" t="s">
        <v>435</v>
      </c>
      <c r="P3496" s="11" t="s">
        <v>38</v>
      </c>
      <c r="Q3496" s="20">
        <v>40419.0</v>
      </c>
      <c r="R3496" s="17">
        <f t="shared" si="2"/>
        <v>415.5431237</v>
      </c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>
        <f t="shared" si="8"/>
        <v>1</v>
      </c>
      <c r="AF3496" s="19">
        <f t="shared" si="13"/>
        <v>2</v>
      </c>
      <c r="AG3496" s="9"/>
      <c r="AH3496" s="9"/>
      <c r="AI3496" s="9"/>
    </row>
    <row r="3497" ht="15.0" customHeight="1">
      <c r="A3497" s="11">
        <v>3496.0</v>
      </c>
      <c r="B3497" s="12">
        <f t="shared" si="557"/>
        <v>40417</v>
      </c>
      <c r="C3497" s="13">
        <v>2010.0</v>
      </c>
      <c r="D3497" s="11" t="s">
        <v>102</v>
      </c>
      <c r="E3497" s="11">
        <v>1.0</v>
      </c>
      <c r="F3497" s="21" t="s">
        <v>1291</v>
      </c>
      <c r="G3497" s="15">
        <v>0.08950437317784248</v>
      </c>
      <c r="H3497" s="11" t="s">
        <v>33</v>
      </c>
      <c r="I3497" s="16">
        <v>6.96</v>
      </c>
      <c r="J3497" s="11" t="s">
        <v>1799</v>
      </c>
      <c r="K3497" s="11" t="s">
        <v>117</v>
      </c>
      <c r="L3497" s="11" t="s">
        <v>48</v>
      </c>
      <c r="M3497" s="11" t="s">
        <v>49</v>
      </c>
      <c r="N3497" s="11" t="s">
        <v>73</v>
      </c>
      <c r="O3497" s="11" t="s">
        <v>1293</v>
      </c>
      <c r="P3497" s="11" t="s">
        <v>75</v>
      </c>
      <c r="Q3497" s="20">
        <v>40419.0</v>
      </c>
      <c r="R3497" s="17">
        <f t="shared" si="2"/>
        <v>5.590443149</v>
      </c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>
        <f t="shared" si="8"/>
        <v>4</v>
      </c>
      <c r="AF3497" s="19" t="b">
        <f t="shared" si="13"/>
        <v>0</v>
      </c>
      <c r="AG3497" s="9"/>
      <c r="AH3497" s="9"/>
      <c r="AI3497" s="9"/>
    </row>
    <row r="3498" ht="15.0" customHeight="1">
      <c r="A3498" s="11">
        <v>3497.0</v>
      </c>
      <c r="B3498" s="12">
        <f t="shared" si="557"/>
        <v>40417</v>
      </c>
      <c r="C3498" s="13">
        <v>2010.0</v>
      </c>
      <c r="D3498" s="11" t="s">
        <v>39</v>
      </c>
      <c r="E3498" s="11">
        <v>31.0</v>
      </c>
      <c r="F3498" s="21" t="s">
        <v>521</v>
      </c>
      <c r="G3498" s="15">
        <v>0.07615834786252003</v>
      </c>
      <c r="H3498" s="11" t="s">
        <v>45</v>
      </c>
      <c r="I3498" s="16">
        <v>55.712</v>
      </c>
      <c r="J3498" s="11" t="s">
        <v>584</v>
      </c>
      <c r="K3498" s="11" t="s">
        <v>65</v>
      </c>
      <c r="L3498" s="11" t="s">
        <v>36</v>
      </c>
      <c r="M3498" s="11" t="s">
        <v>49</v>
      </c>
      <c r="N3498" s="11" t="s">
        <v>85</v>
      </c>
      <c r="O3498" s="11" t="s">
        <v>522</v>
      </c>
      <c r="P3498" s="11" t="s">
        <v>87</v>
      </c>
      <c r="Q3498" s="20">
        <v>40420.0</v>
      </c>
      <c r="R3498" s="17">
        <f t="shared" si="2"/>
        <v>520.5736849</v>
      </c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>
        <f t="shared" si="8"/>
        <v>2</v>
      </c>
      <c r="AF3498" s="19">
        <f t="shared" si="13"/>
        <v>5</v>
      </c>
      <c r="AG3498" s="9"/>
      <c r="AH3498" s="9"/>
      <c r="AI3498" s="9"/>
    </row>
    <row r="3499" ht="15.0" customHeight="1">
      <c r="A3499" s="11">
        <v>3498.0</v>
      </c>
      <c r="B3499" s="12">
        <f t="shared" ref="B3499:B3506" si="558">DATE(2012,12,31)-856</f>
        <v>40418</v>
      </c>
      <c r="C3499" s="13">
        <v>2010.0</v>
      </c>
      <c r="D3499" s="11" t="s">
        <v>23</v>
      </c>
      <c r="E3499" s="11">
        <v>19.0</v>
      </c>
      <c r="F3499" s="21" t="s">
        <v>1573</v>
      </c>
      <c r="G3499" s="15">
        <v>0.07996470328700638</v>
      </c>
      <c r="H3499" s="11" t="s">
        <v>33</v>
      </c>
      <c r="I3499" s="16">
        <v>4.752000000000001</v>
      </c>
      <c r="J3499" s="11" t="s">
        <v>353</v>
      </c>
      <c r="K3499" s="11" t="s">
        <v>714</v>
      </c>
      <c r="L3499" s="11" t="s">
        <v>41</v>
      </c>
      <c r="M3499" s="11" t="s">
        <v>28</v>
      </c>
      <c r="N3499" s="11" t="s">
        <v>197</v>
      </c>
      <c r="O3499" s="11" t="s">
        <v>1574</v>
      </c>
      <c r="P3499" s="11" t="s">
        <v>75</v>
      </c>
      <c r="Q3499" s="20">
        <v>40420.0</v>
      </c>
      <c r="R3499" s="17">
        <f t="shared" si="2"/>
        <v>33.34943944</v>
      </c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>
        <f t="shared" si="8"/>
        <v>3</v>
      </c>
      <c r="AF3499" s="19" t="b">
        <f t="shared" si="13"/>
        <v>0</v>
      </c>
      <c r="AG3499" s="9"/>
      <c r="AH3499" s="9"/>
      <c r="AI3499" s="9"/>
    </row>
    <row r="3500" ht="15.0" customHeight="1">
      <c r="A3500" s="11">
        <v>3499.0</v>
      </c>
      <c r="B3500" s="12">
        <f t="shared" si="558"/>
        <v>40418</v>
      </c>
      <c r="C3500" s="13">
        <v>2010.0</v>
      </c>
      <c r="D3500" s="11" t="s">
        <v>23</v>
      </c>
      <c r="E3500" s="11">
        <v>21.0</v>
      </c>
      <c r="F3500" s="21" t="s">
        <v>135</v>
      </c>
      <c r="G3500" s="15">
        <v>0.05963060686015826</v>
      </c>
      <c r="H3500" s="11" t="s">
        <v>33</v>
      </c>
      <c r="I3500" s="16">
        <v>3.9600000000000004</v>
      </c>
      <c r="J3500" s="11" t="s">
        <v>353</v>
      </c>
      <c r="K3500" s="11" t="s">
        <v>714</v>
      </c>
      <c r="L3500" s="11" t="s">
        <v>41</v>
      </c>
      <c r="M3500" s="11" t="s">
        <v>49</v>
      </c>
      <c r="N3500" s="11" t="s">
        <v>73</v>
      </c>
      <c r="O3500" s="11" t="s">
        <v>136</v>
      </c>
      <c r="P3500" s="11" t="s">
        <v>99</v>
      </c>
      <c r="Q3500" s="20">
        <v>40420.0</v>
      </c>
      <c r="R3500" s="17">
        <f t="shared" si="2"/>
        <v>8.500939314</v>
      </c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>
        <f t="shared" si="8"/>
        <v>3</v>
      </c>
      <c r="AF3500" s="19" t="b">
        <f t="shared" si="13"/>
        <v>0</v>
      </c>
      <c r="AG3500" s="9"/>
      <c r="AH3500" s="9"/>
      <c r="AI3500" s="9"/>
    </row>
    <row r="3501" ht="15.0" customHeight="1">
      <c r="A3501" s="11">
        <v>3500.0</v>
      </c>
      <c r="B3501" s="12">
        <f t="shared" si="558"/>
        <v>40418</v>
      </c>
      <c r="C3501" s="13">
        <v>2010.0</v>
      </c>
      <c r="D3501" s="11" t="s">
        <v>44</v>
      </c>
      <c r="E3501" s="11">
        <v>6.0</v>
      </c>
      <c r="F3501" s="21" t="s">
        <v>729</v>
      </c>
      <c r="G3501" s="15">
        <v>0.023859990277102377</v>
      </c>
      <c r="H3501" s="11" t="s">
        <v>33</v>
      </c>
      <c r="I3501" s="16">
        <v>1.592</v>
      </c>
      <c r="J3501" s="11" t="s">
        <v>282</v>
      </c>
      <c r="K3501" s="11" t="s">
        <v>65</v>
      </c>
      <c r="L3501" s="11" t="s">
        <v>41</v>
      </c>
      <c r="M3501" s="11" t="s">
        <v>66</v>
      </c>
      <c r="N3501" s="11" t="s">
        <v>67</v>
      </c>
      <c r="O3501" s="11" t="s">
        <v>2362</v>
      </c>
      <c r="P3501" s="11" t="s">
        <v>99</v>
      </c>
      <c r="Q3501" s="20">
        <v>40420.0</v>
      </c>
      <c r="R3501" s="17">
        <f t="shared" si="2"/>
        <v>4.790895168</v>
      </c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>
        <f t="shared" si="8"/>
        <v>3</v>
      </c>
      <c r="AF3501" s="19">
        <f t="shared" si="13"/>
        <v>5</v>
      </c>
      <c r="AG3501" s="9"/>
      <c r="AH3501" s="9"/>
      <c r="AI3501" s="9"/>
    </row>
    <row r="3502" ht="15.0" customHeight="1">
      <c r="A3502" s="11">
        <v>3501.0</v>
      </c>
      <c r="B3502" s="12">
        <f t="shared" si="558"/>
        <v>40418</v>
      </c>
      <c r="C3502" s="13">
        <v>2010.0</v>
      </c>
      <c r="D3502" s="11" t="s">
        <v>44</v>
      </c>
      <c r="E3502" s="11">
        <v>20.0</v>
      </c>
      <c r="F3502" s="21" t="s">
        <v>231</v>
      </c>
      <c r="G3502" s="15">
        <v>0.050318613750698765</v>
      </c>
      <c r="H3502" s="11" t="s">
        <v>33</v>
      </c>
      <c r="I3502" s="16">
        <v>1.592</v>
      </c>
      <c r="J3502" s="11" t="s">
        <v>2063</v>
      </c>
      <c r="K3502" s="11" t="s">
        <v>83</v>
      </c>
      <c r="L3502" s="11" t="s">
        <v>48</v>
      </c>
      <c r="M3502" s="11" t="s">
        <v>66</v>
      </c>
      <c r="N3502" s="11" t="s">
        <v>67</v>
      </c>
      <c r="O3502" s="11" t="s">
        <v>233</v>
      </c>
      <c r="P3502" s="11" t="s">
        <v>99</v>
      </c>
      <c r="Q3502" s="20">
        <v>40420.0</v>
      </c>
      <c r="R3502" s="17">
        <f t="shared" si="2"/>
        <v>34.19612736</v>
      </c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>
        <f t="shared" si="8"/>
        <v>4</v>
      </c>
      <c r="AF3502" s="19" t="b">
        <f t="shared" si="13"/>
        <v>0</v>
      </c>
      <c r="AG3502" s="9"/>
      <c r="AH3502" s="9"/>
      <c r="AI3502" s="9"/>
    </row>
    <row r="3503" ht="15.0" customHeight="1">
      <c r="A3503" s="11">
        <v>3502.0</v>
      </c>
      <c r="B3503" s="12">
        <f t="shared" si="558"/>
        <v>40418</v>
      </c>
      <c r="C3503" s="13">
        <v>2010.0</v>
      </c>
      <c r="D3503" s="11" t="s">
        <v>39</v>
      </c>
      <c r="E3503" s="11">
        <v>45.0</v>
      </c>
      <c r="F3503" s="21" t="s">
        <v>290</v>
      </c>
      <c r="G3503" s="15">
        <v>0.08764511562057575</v>
      </c>
      <c r="H3503" s="11" t="s">
        <v>33</v>
      </c>
      <c r="I3503" s="16">
        <v>4.328</v>
      </c>
      <c r="J3503" s="11" t="s">
        <v>329</v>
      </c>
      <c r="K3503" s="11" t="s">
        <v>26</v>
      </c>
      <c r="L3503" s="11" t="s">
        <v>41</v>
      </c>
      <c r="M3503" s="11" t="s">
        <v>28</v>
      </c>
      <c r="N3503" s="11" t="s">
        <v>42</v>
      </c>
      <c r="O3503" s="11" t="s">
        <v>1475</v>
      </c>
      <c r="P3503" s="11" t="s">
        <v>38</v>
      </c>
      <c r="Q3503" s="20">
        <v>40420.0</v>
      </c>
      <c r="R3503" s="17">
        <f t="shared" si="2"/>
        <v>16.94425491</v>
      </c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>
        <f t="shared" si="8"/>
        <v>3</v>
      </c>
      <c r="AF3503" s="19">
        <f t="shared" si="13"/>
        <v>1</v>
      </c>
      <c r="AG3503" s="9"/>
      <c r="AH3503" s="9"/>
      <c r="AI3503" s="9"/>
    </row>
    <row r="3504" ht="15.0" customHeight="1">
      <c r="A3504" s="11">
        <v>3503.0</v>
      </c>
      <c r="B3504" s="12">
        <f t="shared" si="558"/>
        <v>40418</v>
      </c>
      <c r="C3504" s="13">
        <v>2010.0</v>
      </c>
      <c r="D3504" s="11" t="s">
        <v>39</v>
      </c>
      <c r="E3504" s="11">
        <v>46.0</v>
      </c>
      <c r="F3504" s="21" t="s">
        <v>523</v>
      </c>
      <c r="G3504" s="15">
        <v>0.06411328388401895</v>
      </c>
      <c r="H3504" s="11" t="s">
        <v>33</v>
      </c>
      <c r="I3504" s="16">
        <v>0.792</v>
      </c>
      <c r="J3504" s="11" t="s">
        <v>329</v>
      </c>
      <c r="K3504" s="11" t="s">
        <v>26</v>
      </c>
      <c r="L3504" s="11" t="s">
        <v>41</v>
      </c>
      <c r="M3504" s="11" t="s">
        <v>28</v>
      </c>
      <c r="N3504" s="11" t="s">
        <v>188</v>
      </c>
      <c r="O3504" s="11" t="s">
        <v>1495</v>
      </c>
      <c r="P3504" s="11" t="s">
        <v>38</v>
      </c>
      <c r="Q3504" s="20">
        <v>40420.0</v>
      </c>
      <c r="R3504" s="17">
        <f t="shared" si="2"/>
        <v>8.898410897</v>
      </c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>
        <f t="shared" si="8"/>
        <v>3</v>
      </c>
      <c r="AF3504" s="19">
        <f t="shared" si="13"/>
        <v>1</v>
      </c>
      <c r="AG3504" s="9"/>
      <c r="AH3504" s="9"/>
      <c r="AI3504" s="9"/>
    </row>
    <row r="3505" ht="15.0" customHeight="1">
      <c r="A3505" s="11">
        <v>3504.0</v>
      </c>
      <c r="B3505" s="12">
        <f t="shared" si="558"/>
        <v>40418</v>
      </c>
      <c r="C3505" s="13">
        <v>2010.0</v>
      </c>
      <c r="D3505" s="11" t="s">
        <v>102</v>
      </c>
      <c r="E3505" s="11">
        <v>33.0</v>
      </c>
      <c r="F3505" s="21" t="s">
        <v>596</v>
      </c>
      <c r="G3505" s="15">
        <v>0.016882158804115754</v>
      </c>
      <c r="H3505" s="11" t="s">
        <v>33</v>
      </c>
      <c r="I3505" s="16">
        <v>8.104000000000001</v>
      </c>
      <c r="J3505" s="11" t="s">
        <v>345</v>
      </c>
      <c r="K3505" s="11" t="s">
        <v>65</v>
      </c>
      <c r="L3505" s="11" t="s">
        <v>27</v>
      </c>
      <c r="M3505" s="11" t="s">
        <v>28</v>
      </c>
      <c r="N3505" s="11" t="s">
        <v>42</v>
      </c>
      <c r="O3505" s="11" t="s">
        <v>2415</v>
      </c>
      <c r="P3505" s="11" t="s">
        <v>38</v>
      </c>
      <c r="Q3505" s="20">
        <v>40421.0</v>
      </c>
      <c r="R3505" s="17">
        <f t="shared" si="2"/>
        <v>8.549192747</v>
      </c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>
        <f t="shared" si="8"/>
        <v>1</v>
      </c>
      <c r="AF3505" s="19">
        <f t="shared" si="13"/>
        <v>5</v>
      </c>
      <c r="AG3505" s="9"/>
      <c r="AH3505" s="9"/>
      <c r="AI3505" s="9"/>
    </row>
    <row r="3506" ht="15.0" customHeight="1">
      <c r="A3506" s="11">
        <v>3505.0</v>
      </c>
      <c r="B3506" s="12">
        <f t="shared" si="558"/>
        <v>40418</v>
      </c>
      <c r="C3506" s="13">
        <v>2010.0</v>
      </c>
      <c r="D3506" s="11" t="s">
        <v>102</v>
      </c>
      <c r="E3506" s="11">
        <v>4.0</v>
      </c>
      <c r="F3506" s="21" t="s">
        <v>100</v>
      </c>
      <c r="G3506" s="15">
        <v>0.09189355619089508</v>
      </c>
      <c r="H3506" s="11" t="s">
        <v>33</v>
      </c>
      <c r="I3506" s="16">
        <v>2.232</v>
      </c>
      <c r="J3506" s="11" t="s">
        <v>345</v>
      </c>
      <c r="K3506" s="11" t="s">
        <v>65</v>
      </c>
      <c r="L3506" s="11" t="s">
        <v>27</v>
      </c>
      <c r="M3506" s="11" t="s">
        <v>66</v>
      </c>
      <c r="N3506" s="11" t="s">
        <v>80</v>
      </c>
      <c r="O3506" s="11" t="s">
        <v>2416</v>
      </c>
      <c r="P3506" s="11" t="s">
        <v>38</v>
      </c>
      <c r="Q3506" s="20">
        <v>40421.0</v>
      </c>
      <c r="R3506" s="17">
        <f t="shared" si="2"/>
        <v>75.8886393</v>
      </c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>
        <f t="shared" si="8"/>
        <v>1</v>
      </c>
      <c r="AF3506" s="19">
        <f t="shared" si="13"/>
        <v>5</v>
      </c>
      <c r="AG3506" s="9"/>
      <c r="AH3506" s="9"/>
      <c r="AI3506" s="9"/>
    </row>
    <row r="3507" ht="15.0" customHeight="1">
      <c r="A3507" s="11">
        <v>3506.0</v>
      </c>
      <c r="B3507" s="12">
        <f t="shared" ref="B3507:B3509" si="559">DATE(2012,12,31)-855</f>
        <v>40419</v>
      </c>
      <c r="C3507" s="13">
        <v>2010.0</v>
      </c>
      <c r="D3507" s="11" t="s">
        <v>102</v>
      </c>
      <c r="E3507" s="11">
        <v>38.0</v>
      </c>
      <c r="F3507" s="21" t="s">
        <v>1151</v>
      </c>
      <c r="G3507" s="15">
        <v>0.026766433874508787</v>
      </c>
      <c r="H3507" s="11" t="s">
        <v>45</v>
      </c>
      <c r="I3507" s="16">
        <v>33.6</v>
      </c>
      <c r="J3507" s="11" t="s">
        <v>232</v>
      </c>
      <c r="K3507" s="11" t="s">
        <v>47</v>
      </c>
      <c r="L3507" s="11" t="s">
        <v>48</v>
      </c>
      <c r="M3507" s="11" t="s">
        <v>49</v>
      </c>
      <c r="N3507" s="11" t="s">
        <v>50</v>
      </c>
      <c r="O3507" s="11" t="s">
        <v>1153</v>
      </c>
      <c r="P3507" s="11" t="s">
        <v>52</v>
      </c>
      <c r="Q3507" s="20">
        <v>40421.0</v>
      </c>
      <c r="R3507" s="17">
        <f t="shared" si="2"/>
        <v>92.33884358</v>
      </c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>
        <f t="shared" si="8"/>
        <v>4</v>
      </c>
      <c r="AF3507" s="19">
        <f t="shared" si="13"/>
        <v>3</v>
      </c>
      <c r="AG3507" s="9"/>
      <c r="AH3507" s="9"/>
      <c r="AI3507" s="9"/>
    </row>
    <row r="3508" ht="15.0" customHeight="1">
      <c r="A3508" s="11">
        <v>3507.0</v>
      </c>
      <c r="B3508" s="12">
        <f t="shared" si="559"/>
        <v>40419</v>
      </c>
      <c r="C3508" s="13">
        <v>2010.0</v>
      </c>
      <c r="D3508" s="11" t="s">
        <v>44</v>
      </c>
      <c r="E3508" s="11">
        <v>12.0</v>
      </c>
      <c r="F3508" s="21" t="s">
        <v>790</v>
      </c>
      <c r="G3508" s="15">
        <v>0.05034500383337604</v>
      </c>
      <c r="H3508" s="11" t="s">
        <v>33</v>
      </c>
      <c r="I3508" s="16">
        <v>3.2</v>
      </c>
      <c r="J3508" s="11" t="s">
        <v>288</v>
      </c>
      <c r="K3508" s="11" t="s">
        <v>61</v>
      </c>
      <c r="L3508" s="11" t="s">
        <v>27</v>
      </c>
      <c r="M3508" s="11" t="s">
        <v>66</v>
      </c>
      <c r="N3508" s="11" t="s">
        <v>67</v>
      </c>
      <c r="O3508" s="11" t="s">
        <v>791</v>
      </c>
      <c r="P3508" s="11" t="s">
        <v>38</v>
      </c>
      <c r="Q3508" s="20">
        <v>40421.0</v>
      </c>
      <c r="R3508" s="17">
        <f t="shared" si="2"/>
        <v>18.70820342</v>
      </c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>
        <f t="shared" si="8"/>
        <v>1</v>
      </c>
      <c r="AF3508" s="19">
        <f t="shared" si="13"/>
        <v>4</v>
      </c>
      <c r="AG3508" s="9"/>
      <c r="AH3508" s="9"/>
      <c r="AI3508" s="9"/>
    </row>
    <row r="3509" ht="15.0" customHeight="1">
      <c r="A3509" s="11">
        <v>3508.0</v>
      </c>
      <c r="B3509" s="12">
        <f t="shared" si="559"/>
        <v>40419</v>
      </c>
      <c r="C3509" s="13">
        <v>2010.0</v>
      </c>
      <c r="D3509" s="11" t="s">
        <v>32</v>
      </c>
      <c r="E3509" s="11">
        <v>41.0</v>
      </c>
      <c r="F3509" s="21" t="s">
        <v>425</v>
      </c>
      <c r="G3509" s="15">
        <v>0.06344858353780954</v>
      </c>
      <c r="H3509" s="11" t="s">
        <v>24</v>
      </c>
      <c r="I3509" s="16">
        <v>11.512</v>
      </c>
      <c r="J3509" s="11" t="s">
        <v>1209</v>
      </c>
      <c r="K3509" s="11" t="s">
        <v>65</v>
      </c>
      <c r="L3509" s="11" t="s">
        <v>27</v>
      </c>
      <c r="M3509" s="11" t="s">
        <v>49</v>
      </c>
      <c r="N3509" s="11" t="s">
        <v>73</v>
      </c>
      <c r="O3509" s="11" t="s">
        <v>427</v>
      </c>
      <c r="P3509" s="11" t="s">
        <v>38</v>
      </c>
      <c r="Q3509" s="20">
        <v>40421.0</v>
      </c>
      <c r="R3509" s="17">
        <f t="shared" si="2"/>
        <v>53.27853698</v>
      </c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>
        <f t="shared" si="8"/>
        <v>1</v>
      </c>
      <c r="AF3509" s="19">
        <f t="shared" si="13"/>
        <v>5</v>
      </c>
      <c r="AG3509" s="9"/>
      <c r="AH3509" s="9"/>
      <c r="AI3509" s="9"/>
    </row>
    <row r="3510" ht="15.0" customHeight="1">
      <c r="A3510" s="11">
        <v>3509.0</v>
      </c>
      <c r="B3510" s="12">
        <f t="shared" ref="B3510:B3522" si="560">DATE(2012,12,31)-854</f>
        <v>40420</v>
      </c>
      <c r="C3510" s="13">
        <v>2010.0</v>
      </c>
      <c r="D3510" s="11" t="s">
        <v>39</v>
      </c>
      <c r="E3510" s="11">
        <v>19.0</v>
      </c>
      <c r="F3510" s="21" t="s">
        <v>621</v>
      </c>
      <c r="G3510" s="15">
        <v>0.021763319189061867</v>
      </c>
      <c r="H3510" s="11" t="s">
        <v>45</v>
      </c>
      <c r="I3510" s="16">
        <v>40.0</v>
      </c>
      <c r="J3510" s="11" t="s">
        <v>796</v>
      </c>
      <c r="K3510" s="11" t="s">
        <v>117</v>
      </c>
      <c r="L3510" s="11" t="s">
        <v>48</v>
      </c>
      <c r="M3510" s="11" t="s">
        <v>49</v>
      </c>
      <c r="N3510" s="11" t="s">
        <v>50</v>
      </c>
      <c r="O3510" s="11" t="s">
        <v>623</v>
      </c>
      <c r="P3510" s="11" t="s">
        <v>52</v>
      </c>
      <c r="Q3510" s="20">
        <v>40421.0</v>
      </c>
      <c r="R3510" s="17">
        <f t="shared" si="2"/>
        <v>112.888513</v>
      </c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>
        <f t="shared" si="8"/>
        <v>4</v>
      </c>
      <c r="AF3510" s="19" t="b">
        <f t="shared" si="13"/>
        <v>0</v>
      </c>
      <c r="AG3510" s="9"/>
      <c r="AH3510" s="9"/>
      <c r="AI3510" s="9"/>
    </row>
    <row r="3511" ht="15.0" customHeight="1">
      <c r="A3511" s="11">
        <v>3510.0</v>
      </c>
      <c r="B3511" s="12">
        <f t="shared" si="560"/>
        <v>40420</v>
      </c>
      <c r="C3511" s="13">
        <v>2010.0</v>
      </c>
      <c r="D3511" s="11" t="s">
        <v>39</v>
      </c>
      <c r="E3511" s="11">
        <v>20.0</v>
      </c>
      <c r="F3511" s="21" t="s">
        <v>1084</v>
      </c>
      <c r="G3511" s="15">
        <v>0.020088105726872228</v>
      </c>
      <c r="H3511" s="11" t="s">
        <v>33</v>
      </c>
      <c r="I3511" s="16">
        <v>0.976</v>
      </c>
      <c r="J3511" s="11" t="s">
        <v>796</v>
      </c>
      <c r="K3511" s="11" t="s">
        <v>117</v>
      </c>
      <c r="L3511" s="11" t="s">
        <v>48</v>
      </c>
      <c r="M3511" s="11" t="s">
        <v>28</v>
      </c>
      <c r="N3511" s="11" t="s">
        <v>56</v>
      </c>
      <c r="O3511" s="11" t="s">
        <v>2308</v>
      </c>
      <c r="P3511" s="11" t="s">
        <v>58</v>
      </c>
      <c r="Q3511" s="20">
        <v>40421.0</v>
      </c>
      <c r="R3511" s="17">
        <f t="shared" si="2"/>
        <v>1.787359295</v>
      </c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>
        <f t="shared" si="8"/>
        <v>4</v>
      </c>
      <c r="AF3511" s="19" t="b">
        <f t="shared" si="13"/>
        <v>0</v>
      </c>
      <c r="AG3511" s="9"/>
      <c r="AH3511" s="9"/>
      <c r="AI3511" s="9"/>
    </row>
    <row r="3512" ht="15.0" customHeight="1">
      <c r="A3512" s="11">
        <v>3511.0</v>
      </c>
      <c r="B3512" s="12">
        <f t="shared" si="560"/>
        <v>40420</v>
      </c>
      <c r="C3512" s="13">
        <v>2010.0</v>
      </c>
      <c r="D3512" s="11" t="s">
        <v>39</v>
      </c>
      <c r="E3512" s="11">
        <v>41.0</v>
      </c>
      <c r="F3512" s="21" t="s">
        <v>93</v>
      </c>
      <c r="G3512" s="15">
        <v>0.04256503327283744</v>
      </c>
      <c r="H3512" s="11" t="s">
        <v>24</v>
      </c>
      <c r="I3512" s="16">
        <v>4.928000000000001</v>
      </c>
      <c r="J3512" s="11" t="s">
        <v>1802</v>
      </c>
      <c r="K3512" s="11" t="s">
        <v>61</v>
      </c>
      <c r="L3512" s="11" t="s">
        <v>48</v>
      </c>
      <c r="M3512" s="11" t="s">
        <v>28</v>
      </c>
      <c r="N3512" s="11" t="s">
        <v>42</v>
      </c>
      <c r="O3512" s="11" t="s">
        <v>134</v>
      </c>
      <c r="P3512" s="11" t="s">
        <v>38</v>
      </c>
      <c r="Q3512" s="20">
        <v>40421.0</v>
      </c>
      <c r="R3512" s="17">
        <f t="shared" si="2"/>
        <v>13.47302485</v>
      </c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>
        <f t="shared" si="8"/>
        <v>4</v>
      </c>
      <c r="AF3512" s="19">
        <f t="shared" si="13"/>
        <v>4</v>
      </c>
      <c r="AG3512" s="9"/>
      <c r="AH3512" s="9"/>
      <c r="AI3512" s="9"/>
    </row>
    <row r="3513" ht="15.0" customHeight="1">
      <c r="A3513" s="11">
        <v>3512.0</v>
      </c>
      <c r="B3513" s="12">
        <f t="shared" si="560"/>
        <v>40420</v>
      </c>
      <c r="C3513" s="13">
        <v>2010.0</v>
      </c>
      <c r="D3513" s="11" t="s">
        <v>39</v>
      </c>
      <c r="E3513" s="11">
        <v>35.0</v>
      </c>
      <c r="F3513" s="21" t="s">
        <v>668</v>
      </c>
      <c r="G3513" s="15">
        <v>0.07530497856907363</v>
      </c>
      <c r="H3513" s="11" t="s">
        <v>33</v>
      </c>
      <c r="I3513" s="16">
        <v>3.9600000000000004</v>
      </c>
      <c r="J3513" s="11" t="s">
        <v>1802</v>
      </c>
      <c r="K3513" s="11" t="s">
        <v>61</v>
      </c>
      <c r="L3513" s="11" t="s">
        <v>48</v>
      </c>
      <c r="M3513" s="11" t="s">
        <v>49</v>
      </c>
      <c r="N3513" s="11" t="s">
        <v>73</v>
      </c>
      <c r="O3513" s="11" t="s">
        <v>1481</v>
      </c>
      <c r="P3513" s="11" t="s">
        <v>38</v>
      </c>
      <c r="Q3513" s="20">
        <v>40421.0</v>
      </c>
      <c r="R3513" s="17">
        <f t="shared" si="2"/>
        <v>21.12003429</v>
      </c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>
        <f t="shared" si="8"/>
        <v>4</v>
      </c>
      <c r="AF3513" s="19">
        <f t="shared" si="13"/>
        <v>4</v>
      </c>
      <c r="AG3513" s="9"/>
      <c r="AH3513" s="9"/>
      <c r="AI3513" s="9"/>
    </row>
    <row r="3514" ht="15.0" customHeight="1">
      <c r="A3514" s="11">
        <v>3513.0</v>
      </c>
      <c r="B3514" s="12">
        <f t="shared" si="560"/>
        <v>40420</v>
      </c>
      <c r="C3514" s="13">
        <v>2010.0</v>
      </c>
      <c r="D3514" s="11" t="s">
        <v>32</v>
      </c>
      <c r="E3514" s="11">
        <v>1.0</v>
      </c>
      <c r="F3514" s="21" t="s">
        <v>610</v>
      </c>
      <c r="G3514" s="15">
        <v>0.1224242424242424</v>
      </c>
      <c r="H3514" s="11" t="s">
        <v>33</v>
      </c>
      <c r="I3514" s="16">
        <v>2.2800000000000002</v>
      </c>
      <c r="J3514" s="11" t="s">
        <v>993</v>
      </c>
      <c r="K3514" s="11" t="s">
        <v>83</v>
      </c>
      <c r="L3514" s="11" t="s">
        <v>48</v>
      </c>
      <c r="M3514" s="11" t="s">
        <v>49</v>
      </c>
      <c r="N3514" s="11" t="s">
        <v>73</v>
      </c>
      <c r="O3514" s="11" t="s">
        <v>612</v>
      </c>
      <c r="P3514" s="11" t="s">
        <v>99</v>
      </c>
      <c r="Q3514" s="20">
        <v>40421.0</v>
      </c>
      <c r="R3514" s="17">
        <f t="shared" si="2"/>
        <v>1.77270303</v>
      </c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>
        <f t="shared" si="8"/>
        <v>4</v>
      </c>
      <c r="AF3514" s="19" t="b">
        <f t="shared" si="13"/>
        <v>0</v>
      </c>
      <c r="AG3514" s="9"/>
      <c r="AH3514" s="9"/>
      <c r="AI3514" s="9"/>
    </row>
    <row r="3515" ht="15.0" customHeight="1">
      <c r="A3515" s="11">
        <v>3514.0</v>
      </c>
      <c r="B3515" s="12">
        <f t="shared" si="560"/>
        <v>40420</v>
      </c>
      <c r="C3515" s="13">
        <v>2010.0</v>
      </c>
      <c r="D3515" s="11" t="s">
        <v>32</v>
      </c>
      <c r="E3515" s="11">
        <v>8.0</v>
      </c>
      <c r="F3515" s="21" t="s">
        <v>137</v>
      </c>
      <c r="G3515" s="15">
        <v>0.022314235275236714</v>
      </c>
      <c r="H3515" s="11" t="s">
        <v>33</v>
      </c>
      <c r="I3515" s="16">
        <v>11.192</v>
      </c>
      <c r="J3515" s="11" t="s">
        <v>863</v>
      </c>
      <c r="K3515" s="11" t="s">
        <v>117</v>
      </c>
      <c r="L3515" s="11" t="s">
        <v>48</v>
      </c>
      <c r="M3515" s="11" t="s">
        <v>66</v>
      </c>
      <c r="N3515" s="11" t="s">
        <v>69</v>
      </c>
      <c r="O3515" s="11" t="s">
        <v>468</v>
      </c>
      <c r="P3515" s="11" t="s">
        <v>75</v>
      </c>
      <c r="Q3515" s="20">
        <v>40422.0</v>
      </c>
      <c r="R3515" s="17">
        <f t="shared" si="2"/>
        <v>27.18748575</v>
      </c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>
        <f t="shared" si="8"/>
        <v>4</v>
      </c>
      <c r="AF3515" s="19" t="b">
        <f t="shared" si="13"/>
        <v>0</v>
      </c>
      <c r="AG3515" s="9"/>
      <c r="AH3515" s="9"/>
      <c r="AI3515" s="9"/>
    </row>
    <row r="3516" ht="15.0" customHeight="1">
      <c r="A3516" s="11">
        <v>3515.0</v>
      </c>
      <c r="B3516" s="12">
        <f t="shared" si="560"/>
        <v>40420</v>
      </c>
      <c r="C3516" s="13">
        <v>2010.0</v>
      </c>
      <c r="D3516" s="11" t="s">
        <v>32</v>
      </c>
      <c r="E3516" s="11">
        <v>15.0</v>
      </c>
      <c r="F3516" s="21" t="s">
        <v>147</v>
      </c>
      <c r="G3516" s="15">
        <v>0.038376383763837736</v>
      </c>
      <c r="H3516" s="11" t="s">
        <v>33</v>
      </c>
      <c r="I3516" s="16">
        <v>0.5599999999999999</v>
      </c>
      <c r="J3516" s="11" t="s">
        <v>863</v>
      </c>
      <c r="K3516" s="11" t="s">
        <v>117</v>
      </c>
      <c r="L3516" s="11" t="s">
        <v>48</v>
      </c>
      <c r="M3516" s="11" t="s">
        <v>28</v>
      </c>
      <c r="N3516" s="11" t="s">
        <v>62</v>
      </c>
      <c r="O3516" s="11" t="s">
        <v>182</v>
      </c>
      <c r="P3516" s="11" t="s">
        <v>58</v>
      </c>
      <c r="Q3516" s="20">
        <v>40422.0</v>
      </c>
      <c r="R3516" s="17">
        <f t="shared" si="2"/>
        <v>1.000088561</v>
      </c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>
        <f t="shared" si="8"/>
        <v>4</v>
      </c>
      <c r="AF3516" s="19" t="b">
        <f t="shared" si="13"/>
        <v>0</v>
      </c>
      <c r="AG3516" s="9"/>
      <c r="AH3516" s="9"/>
      <c r="AI3516" s="9"/>
    </row>
    <row r="3517" ht="15.0" customHeight="1">
      <c r="A3517" s="11">
        <v>3516.0</v>
      </c>
      <c r="B3517" s="12">
        <f t="shared" si="560"/>
        <v>40420</v>
      </c>
      <c r="C3517" s="13">
        <v>2010.0</v>
      </c>
      <c r="D3517" s="11" t="s">
        <v>44</v>
      </c>
      <c r="E3517" s="11">
        <v>22.0</v>
      </c>
      <c r="F3517" s="21" t="s">
        <v>452</v>
      </c>
      <c r="G3517" s="15">
        <v>0.05723815540113719</v>
      </c>
      <c r="H3517" s="11" t="s">
        <v>24</v>
      </c>
      <c r="I3517" s="16">
        <v>0.792</v>
      </c>
      <c r="J3517" s="11" t="s">
        <v>2168</v>
      </c>
      <c r="K3517" s="11" t="s">
        <v>35</v>
      </c>
      <c r="L3517" s="11" t="s">
        <v>41</v>
      </c>
      <c r="M3517" s="11" t="s">
        <v>28</v>
      </c>
      <c r="N3517" s="11" t="s">
        <v>197</v>
      </c>
      <c r="O3517" s="11" t="s">
        <v>454</v>
      </c>
      <c r="P3517" s="11" t="s">
        <v>38</v>
      </c>
      <c r="Q3517" s="20">
        <v>40422.0</v>
      </c>
      <c r="R3517" s="17">
        <f t="shared" si="2"/>
        <v>85.42176522</v>
      </c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>
        <f t="shared" si="8"/>
        <v>3</v>
      </c>
      <c r="AF3517" s="19">
        <f t="shared" si="13"/>
        <v>2</v>
      </c>
      <c r="AG3517" s="9"/>
      <c r="AH3517" s="9"/>
      <c r="AI3517" s="9"/>
    </row>
    <row r="3518" ht="15.0" customHeight="1">
      <c r="A3518" s="11">
        <v>3517.0</v>
      </c>
      <c r="B3518" s="12">
        <f t="shared" si="560"/>
        <v>40420</v>
      </c>
      <c r="C3518" s="13">
        <v>2010.0</v>
      </c>
      <c r="D3518" s="11" t="s">
        <v>44</v>
      </c>
      <c r="E3518" s="11">
        <v>38.0</v>
      </c>
      <c r="F3518" s="21" t="s">
        <v>1548</v>
      </c>
      <c r="G3518" s="15">
        <v>0.08718909241151371</v>
      </c>
      <c r="H3518" s="11" t="s">
        <v>33</v>
      </c>
      <c r="I3518" s="16">
        <v>1.592</v>
      </c>
      <c r="J3518" s="11" t="s">
        <v>2168</v>
      </c>
      <c r="K3518" s="11" t="s">
        <v>35</v>
      </c>
      <c r="L3518" s="11" t="s">
        <v>41</v>
      </c>
      <c r="M3518" s="11" t="s">
        <v>66</v>
      </c>
      <c r="N3518" s="11" t="s">
        <v>67</v>
      </c>
      <c r="O3518" s="11" t="s">
        <v>1549</v>
      </c>
      <c r="P3518" s="11" t="s">
        <v>99</v>
      </c>
      <c r="Q3518" s="20">
        <v>40423.0</v>
      </c>
      <c r="R3518" s="17">
        <f t="shared" si="2"/>
        <v>57.78823294</v>
      </c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>
        <f t="shared" si="8"/>
        <v>3</v>
      </c>
      <c r="AF3518" s="19">
        <f t="shared" si="13"/>
        <v>2</v>
      </c>
      <c r="AG3518" s="9"/>
      <c r="AH3518" s="9"/>
      <c r="AI3518" s="9"/>
    </row>
    <row r="3519" ht="15.0" customHeight="1">
      <c r="A3519" s="11">
        <v>3518.0</v>
      </c>
      <c r="B3519" s="12">
        <f t="shared" si="560"/>
        <v>40420</v>
      </c>
      <c r="C3519" s="13">
        <v>2010.0</v>
      </c>
      <c r="D3519" s="11" t="s">
        <v>44</v>
      </c>
      <c r="E3519" s="11">
        <v>7.0</v>
      </c>
      <c r="F3519" s="21" t="s">
        <v>137</v>
      </c>
      <c r="G3519" s="15">
        <v>0.03248144796380095</v>
      </c>
      <c r="H3519" s="11" t="s">
        <v>45</v>
      </c>
      <c r="I3519" s="16">
        <v>12.808000000000002</v>
      </c>
      <c r="J3519" s="11" t="s">
        <v>2168</v>
      </c>
      <c r="K3519" s="11" t="s">
        <v>35</v>
      </c>
      <c r="L3519" s="11" t="s">
        <v>41</v>
      </c>
      <c r="M3519" s="11" t="s">
        <v>49</v>
      </c>
      <c r="N3519" s="11" t="s">
        <v>85</v>
      </c>
      <c r="O3519" s="11" t="s">
        <v>127</v>
      </c>
      <c r="P3519" s="11" t="s">
        <v>87</v>
      </c>
      <c r="Q3519" s="20">
        <v>40423.0</v>
      </c>
      <c r="R3519" s="17">
        <f t="shared" si="2"/>
        <v>34.72617587</v>
      </c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>
        <f t="shared" si="8"/>
        <v>3</v>
      </c>
      <c r="AF3519" s="19">
        <f t="shared" si="13"/>
        <v>2</v>
      </c>
      <c r="AG3519" s="9"/>
      <c r="AH3519" s="9"/>
      <c r="AI3519" s="9"/>
    </row>
    <row r="3520" ht="15.0" customHeight="1">
      <c r="A3520" s="11">
        <v>3519.0</v>
      </c>
      <c r="B3520" s="12">
        <f t="shared" si="560"/>
        <v>40420</v>
      </c>
      <c r="C3520" s="13">
        <v>2010.0</v>
      </c>
      <c r="D3520" s="11" t="s">
        <v>32</v>
      </c>
      <c r="E3520" s="11">
        <v>34.0</v>
      </c>
      <c r="F3520" s="21" t="s">
        <v>933</v>
      </c>
      <c r="G3520" s="15">
        <v>0.06722820763956915</v>
      </c>
      <c r="H3520" s="11" t="s">
        <v>33</v>
      </c>
      <c r="I3520" s="16">
        <v>4.12</v>
      </c>
      <c r="J3520" s="11" t="s">
        <v>2417</v>
      </c>
      <c r="K3520" s="11" t="s">
        <v>65</v>
      </c>
      <c r="L3520" s="11" t="s">
        <v>36</v>
      </c>
      <c r="M3520" s="11" t="s">
        <v>28</v>
      </c>
      <c r="N3520" s="11" t="s">
        <v>56</v>
      </c>
      <c r="O3520" s="11" t="s">
        <v>2157</v>
      </c>
      <c r="P3520" s="11" t="s">
        <v>38</v>
      </c>
      <c r="Q3520" s="20">
        <v>40423.0</v>
      </c>
      <c r="R3520" s="17">
        <f t="shared" si="2"/>
        <v>128.0509117</v>
      </c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>
        <f t="shared" si="8"/>
        <v>2</v>
      </c>
      <c r="AF3520" s="19">
        <f t="shared" si="13"/>
        <v>5</v>
      </c>
      <c r="AG3520" s="9"/>
      <c r="AH3520" s="9"/>
      <c r="AI3520" s="9"/>
    </row>
    <row r="3521" ht="15.0" customHeight="1">
      <c r="A3521" s="11">
        <v>3520.0</v>
      </c>
      <c r="B3521" s="12">
        <f t="shared" si="560"/>
        <v>40420</v>
      </c>
      <c r="C3521" s="13">
        <v>2010.0</v>
      </c>
      <c r="D3521" s="11" t="s">
        <v>32</v>
      </c>
      <c r="E3521" s="11">
        <v>17.0</v>
      </c>
      <c r="F3521" s="21" t="s">
        <v>668</v>
      </c>
      <c r="G3521" s="15">
        <v>0.04604137931034474</v>
      </c>
      <c r="H3521" s="11" t="s">
        <v>33</v>
      </c>
      <c r="I3521" s="16">
        <v>4.024</v>
      </c>
      <c r="J3521" s="11" t="s">
        <v>2417</v>
      </c>
      <c r="K3521" s="11" t="s">
        <v>65</v>
      </c>
      <c r="L3521" s="11" t="s">
        <v>36</v>
      </c>
      <c r="M3521" s="11" t="s">
        <v>66</v>
      </c>
      <c r="N3521" s="11" t="s">
        <v>80</v>
      </c>
      <c r="O3521" s="11" t="s">
        <v>1603</v>
      </c>
      <c r="P3521" s="11" t="s">
        <v>75</v>
      </c>
      <c r="Q3521" s="20">
        <v>40423.0</v>
      </c>
      <c r="R3521" s="17">
        <f t="shared" si="2"/>
        <v>6.368627752</v>
      </c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>
        <f t="shared" si="8"/>
        <v>2</v>
      </c>
      <c r="AF3521" s="19">
        <f t="shared" si="13"/>
        <v>5</v>
      </c>
      <c r="AG3521" s="9"/>
      <c r="AH3521" s="9"/>
      <c r="AI3521" s="9"/>
    </row>
    <row r="3522" ht="15.0" customHeight="1">
      <c r="A3522" s="11">
        <v>3521.0</v>
      </c>
      <c r="B3522" s="12">
        <f t="shared" si="560"/>
        <v>40420</v>
      </c>
      <c r="C3522" s="13">
        <v>2010.0</v>
      </c>
      <c r="D3522" s="11" t="s">
        <v>32</v>
      </c>
      <c r="E3522" s="11">
        <v>45.0</v>
      </c>
      <c r="F3522" s="21" t="s">
        <v>1195</v>
      </c>
      <c r="G3522" s="15">
        <v>0.04967206637692613</v>
      </c>
      <c r="H3522" s="11" t="s">
        <v>33</v>
      </c>
      <c r="I3522" s="16">
        <v>6.5280000000000005</v>
      </c>
      <c r="J3522" s="11" t="s">
        <v>2417</v>
      </c>
      <c r="K3522" s="11" t="s">
        <v>65</v>
      </c>
      <c r="L3522" s="11" t="s">
        <v>36</v>
      </c>
      <c r="M3522" s="11" t="s">
        <v>28</v>
      </c>
      <c r="N3522" s="11" t="s">
        <v>56</v>
      </c>
      <c r="O3522" s="11" t="s">
        <v>2418</v>
      </c>
      <c r="P3522" s="11" t="s">
        <v>38</v>
      </c>
      <c r="Q3522" s="20">
        <v>40423.0</v>
      </c>
      <c r="R3522" s="17">
        <f t="shared" si="2"/>
        <v>11.94752278</v>
      </c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>
        <f t="shared" si="8"/>
        <v>2</v>
      </c>
      <c r="AF3522" s="19">
        <f t="shared" si="13"/>
        <v>5</v>
      </c>
      <c r="AG3522" s="9"/>
      <c r="AH3522" s="9"/>
      <c r="AI3522" s="9"/>
    </row>
    <row r="3523" ht="15.0" customHeight="1">
      <c r="A3523" s="11">
        <v>3522.0</v>
      </c>
      <c r="B3523" s="12">
        <f t="shared" ref="B3523:B3525" si="561">DATE(2012,12,31)-853</f>
        <v>40421</v>
      </c>
      <c r="C3523" s="13">
        <v>2010.0</v>
      </c>
      <c r="D3523" s="11" t="s">
        <v>44</v>
      </c>
      <c r="E3523" s="11">
        <v>37.0</v>
      </c>
      <c r="F3523" s="21" t="s">
        <v>319</v>
      </c>
      <c r="G3523" s="15">
        <v>0.03792784458834408</v>
      </c>
      <c r="H3523" s="11" t="s">
        <v>33</v>
      </c>
      <c r="I3523" s="16">
        <v>0.4</v>
      </c>
      <c r="J3523" s="11" t="s">
        <v>657</v>
      </c>
      <c r="K3523" s="11" t="s">
        <v>47</v>
      </c>
      <c r="L3523" s="11" t="s">
        <v>41</v>
      </c>
      <c r="M3523" s="11" t="s">
        <v>28</v>
      </c>
      <c r="N3523" s="11" t="s">
        <v>188</v>
      </c>
      <c r="O3523" s="11" t="s">
        <v>901</v>
      </c>
      <c r="P3523" s="11" t="s">
        <v>38</v>
      </c>
      <c r="Q3523" s="20">
        <v>40423.0</v>
      </c>
      <c r="R3523" s="17">
        <f t="shared" si="2"/>
        <v>3.944495837</v>
      </c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>
        <f t="shared" si="8"/>
        <v>3</v>
      </c>
      <c r="AF3523" s="19">
        <f t="shared" si="13"/>
        <v>3</v>
      </c>
      <c r="AG3523" s="9"/>
      <c r="AH3523" s="9"/>
      <c r="AI3523" s="9"/>
    </row>
    <row r="3524" ht="15.0" customHeight="1">
      <c r="A3524" s="11">
        <v>3523.0</v>
      </c>
      <c r="B3524" s="12">
        <f t="shared" si="561"/>
        <v>40421</v>
      </c>
      <c r="C3524" s="13">
        <v>2010.0</v>
      </c>
      <c r="D3524" s="11" t="s">
        <v>23</v>
      </c>
      <c r="E3524" s="11">
        <v>40.0</v>
      </c>
      <c r="F3524" s="21" t="s">
        <v>158</v>
      </c>
      <c r="G3524" s="15">
        <v>0.06459343794579162</v>
      </c>
      <c r="H3524" s="11" t="s">
        <v>33</v>
      </c>
      <c r="I3524" s="16">
        <v>6.288</v>
      </c>
      <c r="J3524" s="11" t="s">
        <v>2097</v>
      </c>
      <c r="K3524" s="11" t="s">
        <v>61</v>
      </c>
      <c r="L3524" s="11" t="s">
        <v>36</v>
      </c>
      <c r="M3524" s="11" t="s">
        <v>28</v>
      </c>
      <c r="N3524" s="11" t="s">
        <v>56</v>
      </c>
      <c r="O3524" s="11" t="s">
        <v>1285</v>
      </c>
      <c r="P3524" s="11" t="s">
        <v>38</v>
      </c>
      <c r="Q3524" s="20">
        <v>40423.0</v>
      </c>
      <c r="R3524" s="17">
        <f t="shared" si="2"/>
        <v>16.94208365</v>
      </c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>
        <f t="shared" si="8"/>
        <v>2</v>
      </c>
      <c r="AF3524" s="19">
        <f t="shared" si="13"/>
        <v>4</v>
      </c>
      <c r="AG3524" s="9"/>
      <c r="AH3524" s="9"/>
      <c r="AI3524" s="9"/>
    </row>
    <row r="3525" ht="15.0" customHeight="1">
      <c r="A3525" s="11">
        <v>3524.0</v>
      </c>
      <c r="B3525" s="12">
        <f t="shared" si="561"/>
        <v>40421</v>
      </c>
      <c r="C3525" s="13">
        <v>2010.0</v>
      </c>
      <c r="D3525" s="11" t="s">
        <v>32</v>
      </c>
      <c r="E3525" s="11">
        <v>37.0</v>
      </c>
      <c r="F3525" s="21" t="s">
        <v>2138</v>
      </c>
      <c r="G3525" s="15">
        <v>0.07891735137747706</v>
      </c>
      <c r="H3525" s="11" t="s">
        <v>33</v>
      </c>
      <c r="I3525" s="16">
        <v>3.7439999999999998</v>
      </c>
      <c r="J3525" s="11" t="s">
        <v>636</v>
      </c>
      <c r="K3525" s="11" t="s">
        <v>61</v>
      </c>
      <c r="L3525" s="11" t="s">
        <v>41</v>
      </c>
      <c r="M3525" s="11" t="s">
        <v>28</v>
      </c>
      <c r="N3525" s="11" t="s">
        <v>442</v>
      </c>
      <c r="O3525" s="11" t="s">
        <v>2139</v>
      </c>
      <c r="P3525" s="11" t="s">
        <v>99</v>
      </c>
      <c r="Q3525" s="20">
        <v>40423.0</v>
      </c>
      <c r="R3525" s="17">
        <f t="shared" si="2"/>
        <v>30.07887497</v>
      </c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>
        <f t="shared" si="8"/>
        <v>3</v>
      </c>
      <c r="AF3525" s="19">
        <f t="shared" si="13"/>
        <v>4</v>
      </c>
      <c r="AG3525" s="9"/>
      <c r="AH3525" s="9"/>
      <c r="AI3525" s="9"/>
    </row>
    <row r="3526" ht="15.0" customHeight="1">
      <c r="A3526" s="11">
        <v>3525.0</v>
      </c>
      <c r="B3526" s="12">
        <f t="shared" ref="B3526:B3530" si="562">DATE(2012,12,31)-852</f>
        <v>40422</v>
      </c>
      <c r="C3526" s="13">
        <v>2010.0</v>
      </c>
      <c r="D3526" s="11" t="s">
        <v>44</v>
      </c>
      <c r="E3526" s="11">
        <v>5.0</v>
      </c>
      <c r="F3526" s="21" t="s">
        <v>178</v>
      </c>
      <c r="G3526" s="15">
        <v>0.044574347332576536</v>
      </c>
      <c r="H3526" s="11" t="s">
        <v>24</v>
      </c>
      <c r="I3526" s="16">
        <v>7.192</v>
      </c>
      <c r="J3526" s="11" t="s">
        <v>1252</v>
      </c>
      <c r="K3526" s="11" t="s">
        <v>35</v>
      </c>
      <c r="L3526" s="11" t="s">
        <v>27</v>
      </c>
      <c r="M3526" s="11" t="s">
        <v>66</v>
      </c>
      <c r="N3526" s="11" t="s">
        <v>80</v>
      </c>
      <c r="O3526" s="11" t="s">
        <v>1329</v>
      </c>
      <c r="P3526" s="11" t="s">
        <v>38</v>
      </c>
      <c r="Q3526" s="20">
        <v>40423.0</v>
      </c>
      <c r="R3526" s="17">
        <f t="shared" si="2"/>
        <v>15.00782615</v>
      </c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>
        <f t="shared" si="8"/>
        <v>1</v>
      </c>
      <c r="AF3526" s="19">
        <f t="shared" si="13"/>
        <v>2</v>
      </c>
      <c r="AG3526" s="9"/>
      <c r="AH3526" s="9"/>
      <c r="AI3526" s="9"/>
    </row>
    <row r="3527" ht="15.0" customHeight="1">
      <c r="A3527" s="11">
        <v>3526.0</v>
      </c>
      <c r="B3527" s="12">
        <f t="shared" si="562"/>
        <v>40422</v>
      </c>
      <c r="C3527" s="13">
        <v>2010.0</v>
      </c>
      <c r="D3527" s="11" t="s">
        <v>44</v>
      </c>
      <c r="E3527" s="11">
        <v>45.0</v>
      </c>
      <c r="F3527" s="21" t="s">
        <v>1791</v>
      </c>
      <c r="G3527" s="15">
        <v>0.07440134907251268</v>
      </c>
      <c r="H3527" s="11" t="s">
        <v>33</v>
      </c>
      <c r="I3527" s="16">
        <v>6.216</v>
      </c>
      <c r="J3527" s="11" t="s">
        <v>1252</v>
      </c>
      <c r="K3527" s="11" t="s">
        <v>35</v>
      </c>
      <c r="L3527" s="11" t="s">
        <v>27</v>
      </c>
      <c r="M3527" s="11" t="s">
        <v>28</v>
      </c>
      <c r="N3527" s="11" t="s">
        <v>442</v>
      </c>
      <c r="O3527" s="11" t="s">
        <v>2254</v>
      </c>
      <c r="P3527" s="11" t="s">
        <v>99</v>
      </c>
      <c r="Q3527" s="20">
        <v>40425.0</v>
      </c>
      <c r="R3527" s="17">
        <f t="shared" si="2"/>
        <v>28.58618874</v>
      </c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>
        <f t="shared" si="8"/>
        <v>1</v>
      </c>
      <c r="AF3527" s="19">
        <f t="shared" si="13"/>
        <v>2</v>
      </c>
      <c r="AG3527" s="9"/>
      <c r="AH3527" s="9"/>
      <c r="AI3527" s="9"/>
    </row>
    <row r="3528" ht="15.0" customHeight="1">
      <c r="A3528" s="11">
        <v>3527.0</v>
      </c>
      <c r="B3528" s="12">
        <f t="shared" si="562"/>
        <v>40422</v>
      </c>
      <c r="C3528" s="13">
        <v>2010.0</v>
      </c>
      <c r="D3528" s="11" t="s">
        <v>23</v>
      </c>
      <c r="E3528" s="11">
        <v>40.0</v>
      </c>
      <c r="F3528" s="21" t="s">
        <v>865</v>
      </c>
      <c r="G3528" s="15">
        <v>0.07458473864146509</v>
      </c>
      <c r="H3528" s="11" t="s">
        <v>33</v>
      </c>
      <c r="I3528" s="16">
        <v>3.3600000000000003</v>
      </c>
      <c r="J3528" s="11" t="s">
        <v>1784</v>
      </c>
      <c r="K3528" s="11" t="s">
        <v>117</v>
      </c>
      <c r="L3528" s="11" t="s">
        <v>41</v>
      </c>
      <c r="M3528" s="11" t="s">
        <v>66</v>
      </c>
      <c r="N3528" s="11" t="s">
        <v>80</v>
      </c>
      <c r="O3528" s="11" t="s">
        <v>1519</v>
      </c>
      <c r="P3528" s="11" t="s">
        <v>38</v>
      </c>
      <c r="Q3528" s="20">
        <v>40425.0</v>
      </c>
      <c r="R3528" s="17">
        <f t="shared" si="2"/>
        <v>599.6135644</v>
      </c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>
        <f t="shared" si="8"/>
        <v>3</v>
      </c>
      <c r="AF3528" s="19" t="b">
        <f t="shared" si="13"/>
        <v>0</v>
      </c>
      <c r="AG3528" s="9"/>
      <c r="AH3528" s="9"/>
      <c r="AI3528" s="9"/>
    </row>
    <row r="3529" ht="15.0" customHeight="1">
      <c r="A3529" s="11">
        <v>3528.0</v>
      </c>
      <c r="B3529" s="12">
        <f t="shared" si="562"/>
        <v>40422</v>
      </c>
      <c r="C3529" s="13">
        <v>2010.0</v>
      </c>
      <c r="D3529" s="11" t="s">
        <v>44</v>
      </c>
      <c r="E3529" s="11">
        <v>38.0</v>
      </c>
      <c r="F3529" s="21" t="s">
        <v>166</v>
      </c>
      <c r="G3529" s="15">
        <v>0.09504761904761898</v>
      </c>
      <c r="H3529" s="11" t="s">
        <v>33</v>
      </c>
      <c r="I3529" s="16">
        <v>3.816</v>
      </c>
      <c r="J3529" s="11" t="s">
        <v>1054</v>
      </c>
      <c r="K3529" s="11" t="s">
        <v>61</v>
      </c>
      <c r="L3529" s="11" t="s">
        <v>48</v>
      </c>
      <c r="M3529" s="11" t="s">
        <v>28</v>
      </c>
      <c r="N3529" s="11" t="s">
        <v>42</v>
      </c>
      <c r="O3529" s="11" t="s">
        <v>168</v>
      </c>
      <c r="P3529" s="11" t="s">
        <v>38</v>
      </c>
      <c r="Q3529" s="20">
        <v>40425.0</v>
      </c>
      <c r="R3529" s="17">
        <f t="shared" si="2"/>
        <v>7.22513981</v>
      </c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>
        <f t="shared" si="8"/>
        <v>4</v>
      </c>
      <c r="AF3529" s="19">
        <f t="shared" si="13"/>
        <v>4</v>
      </c>
      <c r="AG3529" s="9"/>
      <c r="AH3529" s="9"/>
      <c r="AI3529" s="9"/>
    </row>
    <row r="3530" ht="15.0" customHeight="1">
      <c r="A3530" s="11">
        <v>3529.0</v>
      </c>
      <c r="B3530" s="12">
        <f t="shared" si="562"/>
        <v>40422</v>
      </c>
      <c r="C3530" s="13">
        <v>2010.0</v>
      </c>
      <c r="D3530" s="11" t="s">
        <v>102</v>
      </c>
      <c r="E3530" s="11">
        <v>42.0</v>
      </c>
      <c r="F3530" s="21" t="s">
        <v>1369</v>
      </c>
      <c r="G3530" s="15">
        <v>0.06170940170940162</v>
      </c>
      <c r="H3530" s="11" t="s">
        <v>33</v>
      </c>
      <c r="I3530" s="16">
        <v>1.536</v>
      </c>
      <c r="J3530" s="11" t="s">
        <v>2399</v>
      </c>
      <c r="K3530" s="11" t="s">
        <v>65</v>
      </c>
      <c r="L3530" s="11" t="s">
        <v>36</v>
      </c>
      <c r="M3530" s="11" t="s">
        <v>28</v>
      </c>
      <c r="N3530" s="11" t="s">
        <v>442</v>
      </c>
      <c r="O3530" s="11" t="s">
        <v>1776</v>
      </c>
      <c r="P3530" s="11" t="s">
        <v>58</v>
      </c>
      <c r="Q3530" s="20">
        <v>40425.0</v>
      </c>
      <c r="R3530" s="17">
        <f t="shared" si="2"/>
        <v>8.129349744</v>
      </c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>
        <f t="shared" si="8"/>
        <v>2</v>
      </c>
      <c r="AF3530" s="19">
        <f t="shared" si="13"/>
        <v>5</v>
      </c>
      <c r="AG3530" s="9"/>
      <c r="AH3530" s="9"/>
      <c r="AI3530" s="9"/>
    </row>
    <row r="3531" ht="15.0" customHeight="1">
      <c r="A3531" s="11">
        <v>3530.0</v>
      </c>
      <c r="B3531" s="12">
        <f t="shared" ref="B3531:B3532" si="563">DATE(2012,12,31)-851</f>
        <v>40423</v>
      </c>
      <c r="C3531" s="13">
        <v>2010.0</v>
      </c>
      <c r="D3531" s="11" t="s">
        <v>102</v>
      </c>
      <c r="E3531" s="11">
        <v>43.0</v>
      </c>
      <c r="F3531" s="21" t="s">
        <v>1317</v>
      </c>
      <c r="G3531" s="15">
        <v>0.03196284969985279</v>
      </c>
      <c r="H3531" s="11" t="s">
        <v>33</v>
      </c>
      <c r="I3531" s="16">
        <v>3.28</v>
      </c>
      <c r="J3531" s="11" t="s">
        <v>398</v>
      </c>
      <c r="K3531" s="11" t="s">
        <v>35</v>
      </c>
      <c r="L3531" s="11" t="s">
        <v>27</v>
      </c>
      <c r="M3531" s="11" t="s">
        <v>28</v>
      </c>
      <c r="N3531" s="11" t="s">
        <v>62</v>
      </c>
      <c r="O3531" s="11" t="s">
        <v>1318</v>
      </c>
      <c r="P3531" s="11" t="s">
        <v>58</v>
      </c>
      <c r="Q3531" s="20">
        <v>40425.0</v>
      </c>
      <c r="R3531" s="17">
        <f t="shared" si="2"/>
        <v>27.31800838</v>
      </c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>
        <f t="shared" si="8"/>
        <v>1</v>
      </c>
      <c r="AF3531" s="19">
        <f t="shared" si="13"/>
        <v>2</v>
      </c>
      <c r="AG3531" s="9"/>
      <c r="AH3531" s="9"/>
      <c r="AI3531" s="9"/>
    </row>
    <row r="3532" ht="15.0" customHeight="1">
      <c r="A3532" s="11">
        <v>3531.0</v>
      </c>
      <c r="B3532" s="12">
        <f t="shared" si="563"/>
        <v>40423</v>
      </c>
      <c r="C3532" s="13">
        <v>2010.0</v>
      </c>
      <c r="D3532" s="11" t="s">
        <v>102</v>
      </c>
      <c r="E3532" s="11">
        <v>1.0</v>
      </c>
      <c r="F3532" s="21" t="s">
        <v>336</v>
      </c>
      <c r="G3532" s="15">
        <v>0.09589041095890413</v>
      </c>
      <c r="H3532" s="11" t="s">
        <v>33</v>
      </c>
      <c r="I3532" s="16">
        <v>0.8</v>
      </c>
      <c r="J3532" s="11" t="s">
        <v>398</v>
      </c>
      <c r="K3532" s="11" t="s">
        <v>35</v>
      </c>
      <c r="L3532" s="11" t="s">
        <v>27</v>
      </c>
      <c r="M3532" s="11" t="s">
        <v>28</v>
      </c>
      <c r="N3532" s="11" t="s">
        <v>62</v>
      </c>
      <c r="O3532" s="11" t="s">
        <v>2107</v>
      </c>
      <c r="P3532" s="11" t="s">
        <v>58</v>
      </c>
      <c r="Q3532" s="20">
        <v>40426.0</v>
      </c>
      <c r="R3532" s="17">
        <f t="shared" si="2"/>
        <v>0.6328767123</v>
      </c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>
        <f t="shared" si="8"/>
        <v>1</v>
      </c>
      <c r="AF3532" s="19">
        <f t="shared" si="13"/>
        <v>2</v>
      </c>
      <c r="AG3532" s="9"/>
      <c r="AH3532" s="9"/>
      <c r="AI3532" s="9"/>
    </row>
    <row r="3533" ht="15.0" customHeight="1">
      <c r="A3533" s="11">
        <v>3532.0</v>
      </c>
      <c r="B3533" s="12">
        <f t="shared" ref="B3533:B3537" si="564">DATE(2012,12,31)-850</f>
        <v>40424</v>
      </c>
      <c r="C3533" s="13">
        <v>2010.0</v>
      </c>
      <c r="D3533" s="11" t="s">
        <v>39</v>
      </c>
      <c r="E3533" s="11">
        <v>7.0</v>
      </c>
      <c r="F3533" s="21" t="s">
        <v>264</v>
      </c>
      <c r="G3533" s="15">
        <v>0.07363511659807968</v>
      </c>
      <c r="H3533" s="11" t="s">
        <v>33</v>
      </c>
      <c r="I3533" s="16">
        <v>6.632</v>
      </c>
      <c r="J3533" s="11" t="s">
        <v>1014</v>
      </c>
      <c r="K3533" s="11" t="s">
        <v>61</v>
      </c>
      <c r="L3533" s="11" t="s">
        <v>36</v>
      </c>
      <c r="M3533" s="11" t="s">
        <v>28</v>
      </c>
      <c r="N3533" s="11" t="s">
        <v>236</v>
      </c>
      <c r="O3533" s="11" t="s">
        <v>265</v>
      </c>
      <c r="P3533" s="11" t="s">
        <v>38</v>
      </c>
      <c r="Q3533" s="20">
        <v>40426.0</v>
      </c>
      <c r="R3533" s="17">
        <f t="shared" si="2"/>
        <v>4.972726694</v>
      </c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>
        <f t="shared" si="8"/>
        <v>2</v>
      </c>
      <c r="AF3533" s="19">
        <f t="shared" si="13"/>
        <v>4</v>
      </c>
      <c r="AG3533" s="9"/>
      <c r="AH3533" s="9"/>
      <c r="AI3533" s="9"/>
    </row>
    <row r="3534" ht="15.0" customHeight="1">
      <c r="A3534" s="11">
        <v>3533.0</v>
      </c>
      <c r="B3534" s="12">
        <f t="shared" si="564"/>
        <v>40424</v>
      </c>
      <c r="C3534" s="13">
        <v>2010.0</v>
      </c>
      <c r="D3534" s="11" t="s">
        <v>32</v>
      </c>
      <c r="E3534" s="11">
        <v>5.0</v>
      </c>
      <c r="F3534" s="21" t="s">
        <v>493</v>
      </c>
      <c r="G3534" s="15">
        <v>0.09276002224789286</v>
      </c>
      <c r="H3534" s="11" t="s">
        <v>24</v>
      </c>
      <c r="I3534" s="16">
        <v>15.991999999999999</v>
      </c>
      <c r="J3534" s="11" t="s">
        <v>882</v>
      </c>
      <c r="K3534" s="11" t="s">
        <v>65</v>
      </c>
      <c r="L3534" s="11" t="s">
        <v>48</v>
      </c>
      <c r="M3534" s="11" t="s">
        <v>28</v>
      </c>
      <c r="N3534" s="11" t="s">
        <v>42</v>
      </c>
      <c r="O3534" s="11" t="s">
        <v>495</v>
      </c>
      <c r="P3534" s="11" t="s">
        <v>38</v>
      </c>
      <c r="Q3534" s="20">
        <v>40426.0</v>
      </c>
      <c r="R3534" s="17">
        <f t="shared" si="2"/>
        <v>196.6968851</v>
      </c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>
        <f t="shared" si="8"/>
        <v>4</v>
      </c>
      <c r="AF3534" s="19">
        <f t="shared" si="13"/>
        <v>5</v>
      </c>
      <c r="AG3534" s="9"/>
      <c r="AH3534" s="9"/>
      <c r="AI3534" s="9"/>
    </row>
    <row r="3535" ht="15.0" customHeight="1">
      <c r="A3535" s="11">
        <v>3534.0</v>
      </c>
      <c r="B3535" s="12">
        <f t="shared" si="564"/>
        <v>40424</v>
      </c>
      <c r="C3535" s="13">
        <v>2010.0</v>
      </c>
      <c r="D3535" s="11" t="s">
        <v>32</v>
      </c>
      <c r="E3535" s="11">
        <v>15.0</v>
      </c>
      <c r="F3535" s="21" t="s">
        <v>112</v>
      </c>
      <c r="G3535" s="15">
        <v>0.03170970871240921</v>
      </c>
      <c r="H3535" s="11" t="s">
        <v>45</v>
      </c>
      <c r="I3535" s="16">
        <v>34.656</v>
      </c>
      <c r="J3535" s="11" t="s">
        <v>882</v>
      </c>
      <c r="K3535" s="11" t="s">
        <v>65</v>
      </c>
      <c r="L3535" s="11" t="s">
        <v>48</v>
      </c>
      <c r="M3535" s="11" t="s">
        <v>49</v>
      </c>
      <c r="N3535" s="11" t="s">
        <v>50</v>
      </c>
      <c r="O3535" s="11" t="s">
        <v>114</v>
      </c>
      <c r="P3535" s="11" t="s">
        <v>52</v>
      </c>
      <c r="Q3535" s="20">
        <v>40426.0</v>
      </c>
      <c r="R3535" s="17">
        <f t="shared" si="2"/>
        <v>117.108901</v>
      </c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>
        <f t="shared" si="8"/>
        <v>4</v>
      </c>
      <c r="AF3535" s="19">
        <f t="shared" si="13"/>
        <v>5</v>
      </c>
      <c r="AG3535" s="9"/>
      <c r="AH3535" s="9"/>
      <c r="AI3535" s="9"/>
    </row>
    <row r="3536" ht="15.0" customHeight="1">
      <c r="A3536" s="11">
        <v>3535.0</v>
      </c>
      <c r="B3536" s="12">
        <f t="shared" si="564"/>
        <v>40424</v>
      </c>
      <c r="C3536" s="13">
        <v>2010.0</v>
      </c>
      <c r="D3536" s="11" t="s">
        <v>39</v>
      </c>
      <c r="E3536" s="11">
        <v>10.0</v>
      </c>
      <c r="F3536" s="21" t="s">
        <v>997</v>
      </c>
      <c r="G3536" s="15">
        <v>0.027643089227693082</v>
      </c>
      <c r="H3536" s="11" t="s">
        <v>45</v>
      </c>
      <c r="I3536" s="16">
        <v>48.160000000000004</v>
      </c>
      <c r="J3536" s="11" t="s">
        <v>855</v>
      </c>
      <c r="K3536" s="11" t="s">
        <v>26</v>
      </c>
      <c r="L3536" s="11" t="s">
        <v>36</v>
      </c>
      <c r="M3536" s="11" t="s">
        <v>49</v>
      </c>
      <c r="N3536" s="11" t="s">
        <v>50</v>
      </c>
      <c r="O3536" s="11" t="s">
        <v>999</v>
      </c>
      <c r="P3536" s="11" t="s">
        <v>52</v>
      </c>
      <c r="Q3536" s="20">
        <v>40426.0</v>
      </c>
      <c r="R3536" s="17">
        <f t="shared" si="2"/>
        <v>43.01706973</v>
      </c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>
        <f t="shared" si="8"/>
        <v>2</v>
      </c>
      <c r="AF3536" s="19">
        <f t="shared" si="13"/>
        <v>1</v>
      </c>
      <c r="AG3536" s="9"/>
      <c r="AH3536" s="9"/>
      <c r="AI3536" s="9"/>
    </row>
    <row r="3537" ht="15.0" customHeight="1">
      <c r="A3537" s="11">
        <v>3536.0</v>
      </c>
      <c r="B3537" s="12">
        <f t="shared" si="564"/>
        <v>40424</v>
      </c>
      <c r="C3537" s="13">
        <v>2010.0</v>
      </c>
      <c r="D3537" s="11" t="s">
        <v>102</v>
      </c>
      <c r="E3537" s="11">
        <v>7.0</v>
      </c>
      <c r="F3537" s="21" t="s">
        <v>838</v>
      </c>
      <c r="G3537" s="15">
        <v>0.025885877706659302</v>
      </c>
      <c r="H3537" s="11" t="s">
        <v>33</v>
      </c>
      <c r="I3537" s="16">
        <v>15.991999999999999</v>
      </c>
      <c r="J3537" s="11" t="s">
        <v>1697</v>
      </c>
      <c r="K3537" s="11" t="s">
        <v>61</v>
      </c>
      <c r="L3537" s="11" t="s">
        <v>48</v>
      </c>
      <c r="M3537" s="11" t="s">
        <v>66</v>
      </c>
      <c r="N3537" s="11" t="s">
        <v>67</v>
      </c>
      <c r="O3537" s="11" t="s">
        <v>845</v>
      </c>
      <c r="P3537" s="11" t="s">
        <v>38</v>
      </c>
      <c r="Q3537" s="20">
        <v>40426.0</v>
      </c>
      <c r="R3537" s="17">
        <f t="shared" si="2"/>
        <v>18.51596124</v>
      </c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>
        <f t="shared" si="8"/>
        <v>4</v>
      </c>
      <c r="AF3537" s="19">
        <f t="shared" si="13"/>
        <v>4</v>
      </c>
      <c r="AG3537" s="9"/>
      <c r="AH3537" s="9"/>
      <c r="AI3537" s="9"/>
    </row>
    <row r="3538" ht="15.0" customHeight="1">
      <c r="A3538" s="11">
        <v>3537.0</v>
      </c>
      <c r="B3538" s="12">
        <f t="shared" ref="B3538:B3542" si="565">DATE(2012,12,31)-849</f>
        <v>40425</v>
      </c>
      <c r="C3538" s="13">
        <v>2010.0</v>
      </c>
      <c r="D3538" s="11" t="s">
        <v>44</v>
      </c>
      <c r="E3538" s="11">
        <v>6.0</v>
      </c>
      <c r="F3538" s="21" t="s">
        <v>1774</v>
      </c>
      <c r="G3538" s="15">
        <v>0.0804938271604937</v>
      </c>
      <c r="H3538" s="11" t="s">
        <v>33</v>
      </c>
      <c r="I3538" s="16">
        <v>15.991999999999999</v>
      </c>
      <c r="J3538" s="11" t="s">
        <v>1648</v>
      </c>
      <c r="K3538" s="11" t="s">
        <v>35</v>
      </c>
      <c r="L3538" s="11" t="s">
        <v>27</v>
      </c>
      <c r="M3538" s="11" t="s">
        <v>28</v>
      </c>
      <c r="N3538" s="11" t="s">
        <v>29</v>
      </c>
      <c r="O3538" s="11" t="s">
        <v>1775</v>
      </c>
      <c r="P3538" s="11" t="s">
        <v>38</v>
      </c>
      <c r="Q3538" s="20">
        <v>40426.0</v>
      </c>
      <c r="R3538" s="17">
        <f t="shared" si="2"/>
        <v>47.36192395</v>
      </c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>
        <f t="shared" si="8"/>
        <v>1</v>
      </c>
      <c r="AF3538" s="19">
        <f t="shared" si="13"/>
        <v>2</v>
      </c>
      <c r="AG3538" s="9"/>
      <c r="AH3538" s="9"/>
      <c r="AI3538" s="9"/>
    </row>
    <row r="3539" ht="15.0" customHeight="1">
      <c r="A3539" s="11">
        <v>3538.0</v>
      </c>
      <c r="B3539" s="12">
        <f t="shared" si="565"/>
        <v>40425</v>
      </c>
      <c r="C3539" s="13">
        <v>2010.0</v>
      </c>
      <c r="D3539" s="11" t="s">
        <v>102</v>
      </c>
      <c r="E3539" s="11">
        <v>47.0</v>
      </c>
      <c r="F3539" s="21" t="s">
        <v>336</v>
      </c>
      <c r="G3539" s="15">
        <v>0.06042320819112631</v>
      </c>
      <c r="H3539" s="11" t="s">
        <v>33</v>
      </c>
      <c r="I3539" s="16">
        <v>2.696</v>
      </c>
      <c r="J3539" s="11" t="s">
        <v>1802</v>
      </c>
      <c r="K3539" s="11" t="s">
        <v>61</v>
      </c>
      <c r="L3539" s="11" t="s">
        <v>48</v>
      </c>
      <c r="M3539" s="11" t="s">
        <v>28</v>
      </c>
      <c r="N3539" s="11" t="s">
        <v>216</v>
      </c>
      <c r="O3539" s="11" t="s">
        <v>557</v>
      </c>
      <c r="P3539" s="11" t="s">
        <v>58</v>
      </c>
      <c r="Q3539" s="20">
        <v>40426.0</v>
      </c>
      <c r="R3539" s="17">
        <f t="shared" si="2"/>
        <v>16.63426752</v>
      </c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>
        <f t="shared" si="8"/>
        <v>4</v>
      </c>
      <c r="AF3539" s="19">
        <f t="shared" si="13"/>
        <v>4</v>
      </c>
      <c r="AG3539" s="9"/>
      <c r="AH3539" s="9"/>
      <c r="AI3539" s="9"/>
    </row>
    <row r="3540" ht="15.0" customHeight="1">
      <c r="A3540" s="11">
        <v>3539.0</v>
      </c>
      <c r="B3540" s="12">
        <f t="shared" si="565"/>
        <v>40425</v>
      </c>
      <c r="C3540" s="13">
        <v>2010.0</v>
      </c>
      <c r="D3540" s="11" t="s">
        <v>102</v>
      </c>
      <c r="E3540" s="11">
        <v>21.0</v>
      </c>
      <c r="F3540" s="21" t="s">
        <v>183</v>
      </c>
      <c r="G3540" s="15">
        <v>0.01066357577513766</v>
      </c>
      <c r="H3540" s="11" t="s">
        <v>33</v>
      </c>
      <c r="I3540" s="16">
        <v>7.5200000000000005</v>
      </c>
      <c r="J3540" s="11" t="s">
        <v>1802</v>
      </c>
      <c r="K3540" s="11" t="s">
        <v>61</v>
      </c>
      <c r="L3540" s="11" t="s">
        <v>48</v>
      </c>
      <c r="M3540" s="11" t="s">
        <v>66</v>
      </c>
      <c r="N3540" s="11" t="s">
        <v>69</v>
      </c>
      <c r="O3540" s="11" t="s">
        <v>381</v>
      </c>
      <c r="P3540" s="11" t="s">
        <v>38</v>
      </c>
      <c r="Q3540" s="20">
        <v>40427.0</v>
      </c>
      <c r="R3540" s="17">
        <f t="shared" si="2"/>
        <v>3.640758041</v>
      </c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>
        <f t="shared" si="8"/>
        <v>4</v>
      </c>
      <c r="AF3540" s="19">
        <f t="shared" si="13"/>
        <v>4</v>
      </c>
      <c r="AG3540" s="9"/>
      <c r="AH3540" s="9"/>
      <c r="AI3540" s="9"/>
    </row>
    <row r="3541" ht="15.0" customHeight="1">
      <c r="A3541" s="11">
        <v>3540.0</v>
      </c>
      <c r="B3541" s="12">
        <f t="shared" si="565"/>
        <v>40425</v>
      </c>
      <c r="C3541" s="13">
        <v>2010.0</v>
      </c>
      <c r="D3541" s="11" t="s">
        <v>32</v>
      </c>
      <c r="E3541" s="11">
        <v>50.0</v>
      </c>
      <c r="F3541" s="21" t="s">
        <v>178</v>
      </c>
      <c r="G3541" s="15">
        <v>0.030961645684772533</v>
      </c>
      <c r="H3541" s="11" t="s">
        <v>33</v>
      </c>
      <c r="I3541" s="16">
        <v>7.192</v>
      </c>
      <c r="J3541" s="11" t="s">
        <v>588</v>
      </c>
      <c r="K3541" s="11" t="s">
        <v>47</v>
      </c>
      <c r="L3541" s="11" t="s">
        <v>27</v>
      </c>
      <c r="M3541" s="11" t="s">
        <v>66</v>
      </c>
      <c r="N3541" s="11" t="s">
        <v>80</v>
      </c>
      <c r="O3541" s="11" t="s">
        <v>1272</v>
      </c>
      <c r="P3541" s="11" t="s">
        <v>38</v>
      </c>
      <c r="Q3541" s="20">
        <v>40427.0</v>
      </c>
      <c r="R3541" s="17">
        <f t="shared" si="2"/>
        <v>102.2412987</v>
      </c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>
        <f t="shared" si="8"/>
        <v>1</v>
      </c>
      <c r="AF3541" s="19">
        <f t="shared" si="13"/>
        <v>3</v>
      </c>
      <c r="AG3541" s="9"/>
      <c r="AH3541" s="9"/>
      <c r="AI3541" s="9"/>
    </row>
    <row r="3542" ht="15.0" customHeight="1">
      <c r="A3542" s="11">
        <v>3541.0</v>
      </c>
      <c r="B3542" s="12">
        <f t="shared" si="565"/>
        <v>40425</v>
      </c>
      <c r="C3542" s="13">
        <v>2010.0</v>
      </c>
      <c r="D3542" s="11" t="s">
        <v>102</v>
      </c>
      <c r="E3542" s="11">
        <v>10.0</v>
      </c>
      <c r="F3542" s="21" t="s">
        <v>352</v>
      </c>
      <c r="G3542" s="15">
        <v>0.0859589652096343</v>
      </c>
      <c r="H3542" s="11" t="s">
        <v>33</v>
      </c>
      <c r="I3542" s="16">
        <v>2.3920000000000003</v>
      </c>
      <c r="J3542" s="11" t="s">
        <v>1082</v>
      </c>
      <c r="K3542" s="11" t="s">
        <v>65</v>
      </c>
      <c r="L3542" s="11" t="s">
        <v>48</v>
      </c>
      <c r="M3542" s="11" t="s">
        <v>28</v>
      </c>
      <c r="N3542" s="11" t="s">
        <v>42</v>
      </c>
      <c r="O3542" s="11" t="s">
        <v>594</v>
      </c>
      <c r="P3542" s="11" t="s">
        <v>38</v>
      </c>
      <c r="Q3542" s="20">
        <v>40427.0</v>
      </c>
      <c r="R3542" s="17">
        <f t="shared" si="2"/>
        <v>26.42309823</v>
      </c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>
        <f t="shared" si="8"/>
        <v>4</v>
      </c>
      <c r="AF3542" s="19">
        <f t="shared" si="13"/>
        <v>5</v>
      </c>
      <c r="AG3542" s="9"/>
      <c r="AH3542" s="9"/>
      <c r="AI3542" s="9"/>
    </row>
    <row r="3543" ht="15.0" customHeight="1">
      <c r="A3543" s="11">
        <v>3542.0</v>
      </c>
      <c r="B3543" s="12">
        <f t="shared" ref="B3543:B3549" si="566">DATE(2012,12,31)-848</f>
        <v>40426</v>
      </c>
      <c r="C3543" s="13">
        <v>2010.0</v>
      </c>
      <c r="D3543" s="11" t="s">
        <v>23</v>
      </c>
      <c r="E3543" s="11">
        <v>47.0</v>
      </c>
      <c r="F3543" s="21" t="s">
        <v>469</v>
      </c>
      <c r="G3543" s="15">
        <v>0.09574803149606305</v>
      </c>
      <c r="H3543" s="11" t="s">
        <v>45</v>
      </c>
      <c r="I3543" s="16">
        <v>11.488</v>
      </c>
      <c r="J3543" s="11" t="s">
        <v>1245</v>
      </c>
      <c r="K3543" s="11" t="s">
        <v>61</v>
      </c>
      <c r="L3543" s="11" t="s">
        <v>48</v>
      </c>
      <c r="M3543" s="11" t="s">
        <v>49</v>
      </c>
      <c r="N3543" s="11" t="s">
        <v>50</v>
      </c>
      <c r="O3543" s="11" t="s">
        <v>470</v>
      </c>
      <c r="P3543" s="11" t="s">
        <v>52</v>
      </c>
      <c r="Q3543" s="20">
        <v>40428.0</v>
      </c>
      <c r="R3543" s="17">
        <f t="shared" si="2"/>
        <v>117.6540321</v>
      </c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>
        <f t="shared" si="8"/>
        <v>4</v>
      </c>
      <c r="AF3543" s="19">
        <f t="shared" si="13"/>
        <v>4</v>
      </c>
      <c r="AG3543" s="9"/>
      <c r="AH3543" s="9"/>
      <c r="AI3543" s="9"/>
    </row>
    <row r="3544" ht="15.0" customHeight="1">
      <c r="A3544" s="11">
        <v>3543.0</v>
      </c>
      <c r="B3544" s="12">
        <f t="shared" si="566"/>
        <v>40426</v>
      </c>
      <c r="C3544" s="13">
        <v>2010.0</v>
      </c>
      <c r="D3544" s="11" t="s">
        <v>23</v>
      </c>
      <c r="E3544" s="11">
        <v>11.0</v>
      </c>
      <c r="F3544" s="21" t="s">
        <v>186</v>
      </c>
      <c r="G3544" s="15">
        <v>0.09124752475247533</v>
      </c>
      <c r="H3544" s="11" t="s">
        <v>33</v>
      </c>
      <c r="I3544" s="16">
        <v>0.792</v>
      </c>
      <c r="J3544" s="11" t="s">
        <v>1245</v>
      </c>
      <c r="K3544" s="11" t="s">
        <v>61</v>
      </c>
      <c r="L3544" s="11" t="s">
        <v>48</v>
      </c>
      <c r="M3544" s="11" t="s">
        <v>28</v>
      </c>
      <c r="N3544" s="11" t="s">
        <v>188</v>
      </c>
      <c r="O3544" s="11" t="s">
        <v>189</v>
      </c>
      <c r="P3544" s="11" t="s">
        <v>38</v>
      </c>
      <c r="Q3544" s="20">
        <v>40428.0</v>
      </c>
      <c r="R3544" s="17">
        <f t="shared" si="2"/>
        <v>4.187531406</v>
      </c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>
        <f t="shared" si="8"/>
        <v>4</v>
      </c>
      <c r="AF3544" s="19">
        <f t="shared" si="13"/>
        <v>4</v>
      </c>
      <c r="AG3544" s="9"/>
      <c r="AH3544" s="9"/>
      <c r="AI3544" s="9"/>
    </row>
    <row r="3545" ht="15.0" customHeight="1">
      <c r="A3545" s="11">
        <v>3544.0</v>
      </c>
      <c r="B3545" s="12">
        <f t="shared" si="566"/>
        <v>40426</v>
      </c>
      <c r="C3545" s="13">
        <v>2010.0</v>
      </c>
      <c r="D3545" s="11" t="s">
        <v>23</v>
      </c>
      <c r="E3545" s="11">
        <v>23.0</v>
      </c>
      <c r="F3545" s="21" t="s">
        <v>128</v>
      </c>
      <c r="G3545" s="15">
        <v>0.04866740799784816</v>
      </c>
      <c r="H3545" s="11" t="s">
        <v>33</v>
      </c>
      <c r="I3545" s="16">
        <v>4.5040000000000004</v>
      </c>
      <c r="J3545" s="11" t="s">
        <v>1245</v>
      </c>
      <c r="K3545" s="11" t="s">
        <v>61</v>
      </c>
      <c r="L3545" s="11" t="s">
        <v>48</v>
      </c>
      <c r="M3545" s="11" t="s">
        <v>66</v>
      </c>
      <c r="N3545" s="11" t="s">
        <v>80</v>
      </c>
      <c r="O3545" s="11" t="s">
        <v>2419</v>
      </c>
      <c r="P3545" s="11" t="s">
        <v>38</v>
      </c>
      <c r="Q3545" s="20">
        <v>40428.0</v>
      </c>
      <c r="R3545" s="17">
        <f t="shared" si="2"/>
        <v>141.1454113</v>
      </c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>
        <f t="shared" si="8"/>
        <v>4</v>
      </c>
      <c r="AF3545" s="19">
        <f t="shared" si="13"/>
        <v>4</v>
      </c>
      <c r="AG3545" s="9"/>
      <c r="AH3545" s="9"/>
      <c r="AI3545" s="9"/>
    </row>
    <row r="3546" ht="15.0" customHeight="1">
      <c r="A3546" s="11">
        <v>3545.0</v>
      </c>
      <c r="B3546" s="12">
        <f t="shared" si="566"/>
        <v>40426</v>
      </c>
      <c r="C3546" s="13">
        <v>2010.0</v>
      </c>
      <c r="D3546" s="11" t="s">
        <v>102</v>
      </c>
      <c r="E3546" s="11">
        <v>26.0</v>
      </c>
      <c r="F3546" s="21" t="s">
        <v>948</v>
      </c>
      <c r="G3546" s="15">
        <v>0.034178544636159124</v>
      </c>
      <c r="H3546" s="11" t="s">
        <v>33</v>
      </c>
      <c r="I3546" s="16">
        <v>3.944</v>
      </c>
      <c r="J3546" s="11" t="s">
        <v>1737</v>
      </c>
      <c r="K3546" s="11" t="s">
        <v>61</v>
      </c>
      <c r="L3546" s="11" t="s">
        <v>27</v>
      </c>
      <c r="M3546" s="11" t="s">
        <v>66</v>
      </c>
      <c r="N3546" s="11" t="s">
        <v>67</v>
      </c>
      <c r="O3546" s="11" t="s">
        <v>1295</v>
      </c>
      <c r="P3546" s="11" t="s">
        <v>99</v>
      </c>
      <c r="Q3546" s="20">
        <v>40428.0</v>
      </c>
      <c r="R3546" s="17">
        <f t="shared" si="2"/>
        <v>4.400282551</v>
      </c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>
        <f t="shared" si="8"/>
        <v>1</v>
      </c>
      <c r="AF3546" s="19">
        <f t="shared" si="13"/>
        <v>4</v>
      </c>
      <c r="AG3546" s="9"/>
      <c r="AH3546" s="9"/>
      <c r="AI3546" s="9"/>
    </row>
    <row r="3547" ht="15.0" customHeight="1">
      <c r="A3547" s="11">
        <v>3546.0</v>
      </c>
      <c r="B3547" s="12">
        <f t="shared" si="566"/>
        <v>40426</v>
      </c>
      <c r="C3547" s="13">
        <v>2010.0</v>
      </c>
      <c r="D3547" s="11" t="s">
        <v>23</v>
      </c>
      <c r="E3547" s="11">
        <v>6.0</v>
      </c>
      <c r="F3547" s="21" t="s">
        <v>254</v>
      </c>
      <c r="G3547" s="15">
        <v>0.055302869287991434</v>
      </c>
      <c r="H3547" s="11" t="s">
        <v>33</v>
      </c>
      <c r="I3547" s="16">
        <v>11.496</v>
      </c>
      <c r="J3547" s="11" t="s">
        <v>1942</v>
      </c>
      <c r="K3547" s="11" t="s">
        <v>65</v>
      </c>
      <c r="L3547" s="11" t="s">
        <v>48</v>
      </c>
      <c r="M3547" s="11" t="s">
        <v>49</v>
      </c>
      <c r="N3547" s="11" t="s">
        <v>73</v>
      </c>
      <c r="O3547" s="11" t="s">
        <v>255</v>
      </c>
      <c r="P3547" s="11" t="s">
        <v>31</v>
      </c>
      <c r="Q3547" s="20">
        <v>40429.0</v>
      </c>
      <c r="R3547" s="17">
        <f t="shared" si="2"/>
        <v>4.916203868</v>
      </c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>
        <f t="shared" si="8"/>
        <v>4</v>
      </c>
      <c r="AF3547" s="19">
        <f t="shared" si="13"/>
        <v>5</v>
      </c>
      <c r="AG3547" s="9"/>
      <c r="AH3547" s="9"/>
      <c r="AI3547" s="9"/>
    </row>
    <row r="3548" ht="15.0" customHeight="1">
      <c r="A3548" s="11">
        <v>3547.0</v>
      </c>
      <c r="B3548" s="12">
        <f t="shared" si="566"/>
        <v>40426</v>
      </c>
      <c r="C3548" s="13">
        <v>2010.0</v>
      </c>
      <c r="D3548" s="11" t="s">
        <v>23</v>
      </c>
      <c r="E3548" s="11">
        <v>43.0</v>
      </c>
      <c r="F3548" s="21" t="s">
        <v>425</v>
      </c>
      <c r="G3548" s="15">
        <v>0.022989379541643335</v>
      </c>
      <c r="H3548" s="11" t="s">
        <v>33</v>
      </c>
      <c r="I3548" s="16">
        <v>5.336</v>
      </c>
      <c r="J3548" s="11" t="s">
        <v>1942</v>
      </c>
      <c r="K3548" s="11" t="s">
        <v>65</v>
      </c>
      <c r="L3548" s="11" t="s">
        <v>48</v>
      </c>
      <c r="M3548" s="11" t="s">
        <v>49</v>
      </c>
      <c r="N3548" s="11" t="s">
        <v>73</v>
      </c>
      <c r="O3548" s="11" t="s">
        <v>2268</v>
      </c>
      <c r="P3548" s="11" t="s">
        <v>99</v>
      </c>
      <c r="Q3548" s="20">
        <v>40429.0</v>
      </c>
      <c r="R3548" s="17">
        <f t="shared" si="2"/>
        <v>20.0912464</v>
      </c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>
        <f t="shared" si="8"/>
        <v>4</v>
      </c>
      <c r="AF3548" s="19">
        <f t="shared" si="13"/>
        <v>5</v>
      </c>
      <c r="AG3548" s="9"/>
      <c r="AH3548" s="9"/>
      <c r="AI3548" s="9"/>
    </row>
    <row r="3549" ht="15.0" customHeight="1">
      <c r="A3549" s="11">
        <v>3548.0</v>
      </c>
      <c r="B3549" s="12">
        <f t="shared" si="566"/>
        <v>40426</v>
      </c>
      <c r="C3549" s="13">
        <v>2010.0</v>
      </c>
      <c r="D3549" s="11" t="s">
        <v>23</v>
      </c>
      <c r="E3549" s="11">
        <v>27.0</v>
      </c>
      <c r="F3549" s="21" t="s">
        <v>1166</v>
      </c>
      <c r="G3549" s="15">
        <v>0.08499641062455135</v>
      </c>
      <c r="H3549" s="11" t="s">
        <v>33</v>
      </c>
      <c r="I3549" s="16">
        <v>0.5599999999999999</v>
      </c>
      <c r="J3549" s="11" t="s">
        <v>1942</v>
      </c>
      <c r="K3549" s="11" t="s">
        <v>65</v>
      </c>
      <c r="L3549" s="11" t="s">
        <v>48</v>
      </c>
      <c r="M3549" s="11" t="s">
        <v>28</v>
      </c>
      <c r="N3549" s="11" t="s">
        <v>216</v>
      </c>
      <c r="O3549" s="11" t="s">
        <v>1406</v>
      </c>
      <c r="P3549" s="11" t="s">
        <v>58</v>
      </c>
      <c r="Q3549" s="20">
        <v>40429.0</v>
      </c>
      <c r="R3549" s="17">
        <f t="shared" si="2"/>
        <v>10.8336425</v>
      </c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>
        <f t="shared" si="8"/>
        <v>4</v>
      </c>
      <c r="AF3549" s="19">
        <f t="shared" si="13"/>
        <v>5</v>
      </c>
      <c r="AG3549" s="9"/>
      <c r="AH3549" s="9"/>
      <c r="AI3549" s="9"/>
    </row>
    <row r="3550" ht="15.0" customHeight="1">
      <c r="A3550" s="11">
        <v>3549.0</v>
      </c>
      <c r="B3550" s="12">
        <f t="shared" ref="B3550:B3555" si="567">DATE(2012,12,31)-847</f>
        <v>40427</v>
      </c>
      <c r="C3550" s="13">
        <v>2010.0</v>
      </c>
      <c r="D3550" s="11" t="s">
        <v>23</v>
      </c>
      <c r="E3550" s="11">
        <v>20.0</v>
      </c>
      <c r="F3550" s="21" t="s">
        <v>838</v>
      </c>
      <c r="G3550" s="15">
        <v>0.012700622579538275</v>
      </c>
      <c r="H3550" s="11" t="s">
        <v>33</v>
      </c>
      <c r="I3550" s="16">
        <v>15.991999999999999</v>
      </c>
      <c r="J3550" s="11" t="s">
        <v>1080</v>
      </c>
      <c r="K3550" s="11" t="s">
        <v>47</v>
      </c>
      <c r="L3550" s="11" t="s">
        <v>48</v>
      </c>
      <c r="M3550" s="11" t="s">
        <v>66</v>
      </c>
      <c r="N3550" s="11" t="s">
        <v>67</v>
      </c>
      <c r="O3550" s="11" t="s">
        <v>845</v>
      </c>
      <c r="P3550" s="11" t="s">
        <v>38</v>
      </c>
      <c r="Q3550" s="20">
        <v>40429.0</v>
      </c>
      <c r="R3550" s="17">
        <f t="shared" si="2"/>
        <v>25.57895227</v>
      </c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>
        <f t="shared" si="8"/>
        <v>4</v>
      </c>
      <c r="AF3550" s="19">
        <f t="shared" si="13"/>
        <v>3</v>
      </c>
      <c r="AG3550" s="9"/>
      <c r="AH3550" s="9"/>
      <c r="AI3550" s="9"/>
    </row>
    <row r="3551" ht="15.0" customHeight="1">
      <c r="A3551" s="11">
        <v>3550.0</v>
      </c>
      <c r="B3551" s="12">
        <f t="shared" si="567"/>
        <v>40427</v>
      </c>
      <c r="C3551" s="13">
        <v>2010.0</v>
      </c>
      <c r="D3551" s="11" t="s">
        <v>23</v>
      </c>
      <c r="E3551" s="11">
        <v>20.0</v>
      </c>
      <c r="F3551" s="21" t="s">
        <v>486</v>
      </c>
      <c r="G3551" s="15">
        <v>0.07149825783972125</v>
      </c>
      <c r="H3551" s="11" t="s">
        <v>33</v>
      </c>
      <c r="I3551" s="16">
        <v>4.5920000000000005</v>
      </c>
      <c r="J3551" s="11" t="s">
        <v>448</v>
      </c>
      <c r="K3551" s="11" t="s">
        <v>83</v>
      </c>
      <c r="L3551" s="11" t="s">
        <v>36</v>
      </c>
      <c r="M3551" s="11" t="s">
        <v>28</v>
      </c>
      <c r="N3551" s="11" t="s">
        <v>42</v>
      </c>
      <c r="O3551" s="11" t="s">
        <v>487</v>
      </c>
      <c r="P3551" s="11" t="s">
        <v>38</v>
      </c>
      <c r="Q3551" s="20">
        <v>40429.0</v>
      </c>
      <c r="R3551" s="17">
        <f t="shared" si="2"/>
        <v>7.6211423</v>
      </c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>
        <f t="shared" si="8"/>
        <v>2</v>
      </c>
      <c r="AF3551" s="19" t="b">
        <f t="shared" si="13"/>
        <v>0</v>
      </c>
      <c r="AG3551" s="9"/>
      <c r="AH3551" s="9"/>
      <c r="AI3551" s="9"/>
    </row>
    <row r="3552" ht="15.0" customHeight="1">
      <c r="A3552" s="11">
        <v>3551.0</v>
      </c>
      <c r="B3552" s="12">
        <f t="shared" si="567"/>
        <v>40427</v>
      </c>
      <c r="C3552" s="13">
        <v>2010.0</v>
      </c>
      <c r="D3552" s="11" t="s">
        <v>44</v>
      </c>
      <c r="E3552" s="11">
        <v>34.0</v>
      </c>
      <c r="F3552" s="21" t="s">
        <v>2113</v>
      </c>
      <c r="G3552" s="15">
        <v>0.05781589102542957</v>
      </c>
      <c r="H3552" s="11" t="s">
        <v>24</v>
      </c>
      <c r="I3552" s="16">
        <v>4.008</v>
      </c>
      <c r="J3552" s="11" t="s">
        <v>647</v>
      </c>
      <c r="K3552" s="11" t="s">
        <v>61</v>
      </c>
      <c r="L3552" s="11" t="s">
        <v>27</v>
      </c>
      <c r="M3552" s="11" t="s">
        <v>28</v>
      </c>
      <c r="N3552" s="11" t="s">
        <v>236</v>
      </c>
      <c r="O3552" s="11" t="s">
        <v>2114</v>
      </c>
      <c r="P3552" s="11" t="s">
        <v>38</v>
      </c>
      <c r="Q3552" s="20">
        <v>40429.0</v>
      </c>
      <c r="R3552" s="17">
        <f t="shared" si="2"/>
        <v>165.1573368</v>
      </c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>
        <f t="shared" si="8"/>
        <v>1</v>
      </c>
      <c r="AF3552" s="19">
        <f t="shared" si="13"/>
        <v>4</v>
      </c>
      <c r="AG3552" s="9"/>
      <c r="AH3552" s="9"/>
      <c r="AI3552" s="9"/>
    </row>
    <row r="3553" ht="15.0" customHeight="1">
      <c r="A3553" s="11">
        <v>3552.0</v>
      </c>
      <c r="B3553" s="12">
        <f t="shared" si="567"/>
        <v>40427</v>
      </c>
      <c r="C3553" s="13">
        <v>2010.0</v>
      </c>
      <c r="D3553" s="11" t="s">
        <v>44</v>
      </c>
      <c r="E3553" s="11">
        <v>30.0</v>
      </c>
      <c r="F3553" s="21" t="s">
        <v>2013</v>
      </c>
      <c r="G3553" s="15">
        <v>0.08489421399863505</v>
      </c>
      <c r="H3553" s="11" t="s">
        <v>45</v>
      </c>
      <c r="I3553" s="16">
        <v>48.0</v>
      </c>
      <c r="J3553" s="11" t="s">
        <v>647</v>
      </c>
      <c r="K3553" s="11" t="s">
        <v>61</v>
      </c>
      <c r="L3553" s="11" t="s">
        <v>27</v>
      </c>
      <c r="M3553" s="11" t="s">
        <v>49</v>
      </c>
      <c r="N3553" s="11" t="s">
        <v>85</v>
      </c>
      <c r="O3553" s="11" t="s">
        <v>2014</v>
      </c>
      <c r="P3553" s="11" t="s">
        <v>52</v>
      </c>
      <c r="Q3553" s="20">
        <v>40429.0</v>
      </c>
      <c r="R3553" s="17">
        <f t="shared" si="2"/>
        <v>409.784371</v>
      </c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>
        <f t="shared" si="8"/>
        <v>1</v>
      </c>
      <c r="AF3553" s="19">
        <f t="shared" si="13"/>
        <v>4</v>
      </c>
      <c r="AG3553" s="9"/>
      <c r="AH3553" s="9"/>
      <c r="AI3553" s="9"/>
    </row>
    <row r="3554" ht="15.0" customHeight="1">
      <c r="A3554" s="11">
        <v>3553.0</v>
      </c>
      <c r="B3554" s="12">
        <f t="shared" si="567"/>
        <v>40427</v>
      </c>
      <c r="C3554" s="13">
        <v>2010.0</v>
      </c>
      <c r="D3554" s="11" t="s">
        <v>23</v>
      </c>
      <c r="E3554" s="11">
        <v>50.0</v>
      </c>
      <c r="F3554" s="21" t="s">
        <v>838</v>
      </c>
      <c r="G3554" s="15">
        <v>0.03543487981607184</v>
      </c>
      <c r="H3554" s="11" t="s">
        <v>33</v>
      </c>
      <c r="I3554" s="16">
        <v>15.991999999999999</v>
      </c>
      <c r="J3554" s="11" t="s">
        <v>446</v>
      </c>
      <c r="K3554" s="11" t="s">
        <v>61</v>
      </c>
      <c r="L3554" s="11" t="s">
        <v>48</v>
      </c>
      <c r="M3554" s="11" t="s">
        <v>66</v>
      </c>
      <c r="N3554" s="11" t="s">
        <v>69</v>
      </c>
      <c r="O3554" s="11" t="s">
        <v>840</v>
      </c>
      <c r="P3554" s="11" t="s">
        <v>38</v>
      </c>
      <c r="Q3554" s="20">
        <v>40429.0</v>
      </c>
      <c r="R3554" s="17">
        <f t="shared" si="2"/>
        <v>177.5638993</v>
      </c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>
        <f t="shared" si="8"/>
        <v>4</v>
      </c>
      <c r="AF3554" s="19">
        <f t="shared" si="13"/>
        <v>4</v>
      </c>
      <c r="AG3554" s="9"/>
      <c r="AH3554" s="9"/>
      <c r="AI3554" s="9"/>
    </row>
    <row r="3555" ht="15.0" customHeight="1">
      <c r="A3555" s="11">
        <v>3554.0</v>
      </c>
      <c r="B3555" s="12">
        <f t="shared" si="567"/>
        <v>40427</v>
      </c>
      <c r="C3555" s="13">
        <v>2010.0</v>
      </c>
      <c r="D3555" s="11" t="s">
        <v>23</v>
      </c>
      <c r="E3555" s="11">
        <v>41.0</v>
      </c>
      <c r="F3555" s="21" t="s">
        <v>729</v>
      </c>
      <c r="G3555" s="15">
        <v>0.02348726000999208</v>
      </c>
      <c r="H3555" s="11" t="s">
        <v>33</v>
      </c>
      <c r="I3555" s="16">
        <v>6.992000000000001</v>
      </c>
      <c r="J3555" s="11" t="s">
        <v>446</v>
      </c>
      <c r="K3555" s="11" t="s">
        <v>61</v>
      </c>
      <c r="L3555" s="11" t="s">
        <v>48</v>
      </c>
      <c r="M3555" s="11" t="s">
        <v>28</v>
      </c>
      <c r="N3555" s="11" t="s">
        <v>29</v>
      </c>
      <c r="O3555" s="11" t="s">
        <v>730</v>
      </c>
      <c r="P3555" s="11" t="s">
        <v>38</v>
      </c>
      <c r="Q3555" s="20">
        <v>40429.0</v>
      </c>
      <c r="R3555" s="17">
        <f t="shared" si="2"/>
        <v>32.13508125</v>
      </c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>
        <f t="shared" si="8"/>
        <v>4</v>
      </c>
      <c r="AF3555" s="19">
        <f t="shared" si="13"/>
        <v>4</v>
      </c>
      <c r="AG3555" s="9"/>
      <c r="AH3555" s="9"/>
      <c r="AI3555" s="9"/>
    </row>
    <row r="3556" ht="15.0" customHeight="1">
      <c r="A3556" s="11">
        <v>3555.0</v>
      </c>
      <c r="B3556" s="12">
        <f t="shared" ref="B3556:B3562" si="568">DATE(2012,12,31)-846</f>
        <v>40428</v>
      </c>
      <c r="C3556" s="13">
        <v>2010.0</v>
      </c>
      <c r="D3556" s="11" t="s">
        <v>32</v>
      </c>
      <c r="E3556" s="11">
        <v>13.0</v>
      </c>
      <c r="F3556" s="21" t="s">
        <v>455</v>
      </c>
      <c r="G3556" s="15">
        <v>0.0543236714975846</v>
      </c>
      <c r="H3556" s="11" t="s">
        <v>33</v>
      </c>
      <c r="I3556" s="16">
        <v>4.5040000000000004</v>
      </c>
      <c r="J3556" s="11" t="s">
        <v>771</v>
      </c>
      <c r="K3556" s="11" t="s">
        <v>61</v>
      </c>
      <c r="L3556" s="11" t="s">
        <v>48</v>
      </c>
      <c r="M3556" s="11" t="s">
        <v>28</v>
      </c>
      <c r="N3556" s="11" t="s">
        <v>42</v>
      </c>
      <c r="O3556" s="11" t="s">
        <v>1232</v>
      </c>
      <c r="P3556" s="11" t="s">
        <v>38</v>
      </c>
      <c r="Q3556" s="20">
        <v>40429.0</v>
      </c>
      <c r="R3556" s="17">
        <f t="shared" si="2"/>
        <v>8.507304251</v>
      </c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>
        <f t="shared" si="8"/>
        <v>4</v>
      </c>
      <c r="AF3556" s="19">
        <f t="shared" si="13"/>
        <v>4</v>
      </c>
      <c r="AG3556" s="9"/>
      <c r="AH3556" s="9"/>
      <c r="AI3556" s="9"/>
    </row>
    <row r="3557" ht="15.0" customHeight="1">
      <c r="A3557" s="11">
        <v>3556.0</v>
      </c>
      <c r="B3557" s="12">
        <f t="shared" si="568"/>
        <v>40428</v>
      </c>
      <c r="C3557" s="13">
        <v>2010.0</v>
      </c>
      <c r="D3557" s="11" t="s">
        <v>32</v>
      </c>
      <c r="E3557" s="11">
        <v>39.0</v>
      </c>
      <c r="F3557" s="21" t="s">
        <v>93</v>
      </c>
      <c r="G3557" s="15">
        <v>0.07114580081173903</v>
      </c>
      <c r="H3557" s="11" t="s">
        <v>33</v>
      </c>
      <c r="I3557" s="16">
        <v>1.1119999999999999</v>
      </c>
      <c r="J3557" s="11" t="s">
        <v>771</v>
      </c>
      <c r="K3557" s="11" t="s">
        <v>61</v>
      </c>
      <c r="L3557" s="11" t="s">
        <v>48</v>
      </c>
      <c r="M3557" s="11" t="s">
        <v>28</v>
      </c>
      <c r="N3557" s="11" t="s">
        <v>236</v>
      </c>
      <c r="O3557" s="11" t="s">
        <v>833</v>
      </c>
      <c r="P3557" s="11" t="s">
        <v>38</v>
      </c>
      <c r="Q3557" s="20">
        <v>40430.0</v>
      </c>
      <c r="R3557" s="17">
        <f t="shared" si="2"/>
        <v>21.16672949</v>
      </c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>
        <f t="shared" si="8"/>
        <v>4</v>
      </c>
      <c r="AF3557" s="19">
        <f t="shared" si="13"/>
        <v>4</v>
      </c>
      <c r="AG3557" s="9"/>
      <c r="AH3557" s="9"/>
      <c r="AI3557" s="9"/>
    </row>
    <row r="3558" ht="15.0" customHeight="1">
      <c r="A3558" s="11">
        <v>3557.0</v>
      </c>
      <c r="B3558" s="12">
        <f t="shared" si="568"/>
        <v>40428</v>
      </c>
      <c r="C3558" s="13">
        <v>2010.0</v>
      </c>
      <c r="D3558" s="11" t="s">
        <v>44</v>
      </c>
      <c r="E3558" s="11">
        <v>44.0</v>
      </c>
      <c r="F3558" s="21" t="s">
        <v>1265</v>
      </c>
      <c r="G3558" s="15">
        <v>0.03645790554414801</v>
      </c>
      <c r="H3558" s="11" t="s">
        <v>33</v>
      </c>
      <c r="I3558" s="16">
        <v>7.192</v>
      </c>
      <c r="J3558" s="11" t="s">
        <v>1725</v>
      </c>
      <c r="K3558" s="11" t="s">
        <v>61</v>
      </c>
      <c r="L3558" s="11" t="s">
        <v>48</v>
      </c>
      <c r="M3558" s="11" t="s">
        <v>28</v>
      </c>
      <c r="N3558" s="11" t="s">
        <v>62</v>
      </c>
      <c r="O3558" s="11" t="s">
        <v>2317</v>
      </c>
      <c r="P3558" s="11" t="s">
        <v>99</v>
      </c>
      <c r="Q3558" s="20">
        <v>40430.0</v>
      </c>
      <c r="R3558" s="17">
        <f t="shared" si="2"/>
        <v>27.37230382</v>
      </c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>
        <f t="shared" si="8"/>
        <v>4</v>
      </c>
      <c r="AF3558" s="19">
        <f t="shared" si="13"/>
        <v>4</v>
      </c>
      <c r="AG3558" s="9"/>
      <c r="AH3558" s="9"/>
      <c r="AI3558" s="9"/>
    </row>
    <row r="3559" ht="15.0" customHeight="1">
      <c r="A3559" s="11">
        <v>3558.0</v>
      </c>
      <c r="B3559" s="12">
        <f t="shared" si="568"/>
        <v>40428</v>
      </c>
      <c r="C3559" s="13">
        <v>2010.0</v>
      </c>
      <c r="D3559" s="11" t="s">
        <v>44</v>
      </c>
      <c r="E3559" s="11">
        <v>43.0</v>
      </c>
      <c r="F3559" s="21" t="s">
        <v>726</v>
      </c>
      <c r="G3559" s="15">
        <v>0.051857757933343934</v>
      </c>
      <c r="H3559" s="11" t="s">
        <v>33</v>
      </c>
      <c r="I3559" s="16">
        <v>5.48</v>
      </c>
      <c r="J3559" s="11" t="s">
        <v>1165</v>
      </c>
      <c r="K3559" s="11" t="s">
        <v>35</v>
      </c>
      <c r="L3559" s="11" t="s">
        <v>48</v>
      </c>
      <c r="M3559" s="11" t="s">
        <v>49</v>
      </c>
      <c r="N3559" s="11" t="s">
        <v>73</v>
      </c>
      <c r="O3559" s="11" t="s">
        <v>1850</v>
      </c>
      <c r="P3559" s="11" t="s">
        <v>58</v>
      </c>
      <c r="Q3559" s="20">
        <v>40430.0</v>
      </c>
      <c r="R3559" s="17">
        <f t="shared" si="2"/>
        <v>30.83358571</v>
      </c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>
        <f t="shared" si="8"/>
        <v>4</v>
      </c>
      <c r="AF3559" s="19">
        <f t="shared" si="13"/>
        <v>2</v>
      </c>
      <c r="AG3559" s="9"/>
      <c r="AH3559" s="9"/>
      <c r="AI3559" s="9"/>
    </row>
    <row r="3560" ht="15.0" customHeight="1">
      <c r="A3560" s="11">
        <v>3559.0</v>
      </c>
      <c r="B3560" s="12">
        <f t="shared" si="568"/>
        <v>40428</v>
      </c>
      <c r="C3560" s="13">
        <v>2010.0</v>
      </c>
      <c r="D3560" s="11" t="s">
        <v>44</v>
      </c>
      <c r="E3560" s="11">
        <v>48.0</v>
      </c>
      <c r="F3560" s="21" t="s">
        <v>135</v>
      </c>
      <c r="G3560" s="15">
        <v>0.0970980392156864</v>
      </c>
      <c r="H3560" s="11" t="s">
        <v>33</v>
      </c>
      <c r="I3560" s="16">
        <v>5.5360000000000005</v>
      </c>
      <c r="J3560" s="11" t="s">
        <v>1165</v>
      </c>
      <c r="K3560" s="11" t="s">
        <v>35</v>
      </c>
      <c r="L3560" s="11" t="s">
        <v>48</v>
      </c>
      <c r="M3560" s="11" t="s">
        <v>28</v>
      </c>
      <c r="N3560" s="11" t="s">
        <v>56</v>
      </c>
      <c r="O3560" s="11" t="s">
        <v>1296</v>
      </c>
      <c r="P3560" s="11" t="s">
        <v>38</v>
      </c>
      <c r="Q3560" s="20">
        <v>40431.0</v>
      </c>
      <c r="R3560" s="17">
        <f t="shared" si="2"/>
        <v>31.29819357</v>
      </c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>
        <f t="shared" si="8"/>
        <v>4</v>
      </c>
      <c r="AF3560" s="19">
        <f t="shared" si="13"/>
        <v>2</v>
      </c>
      <c r="AG3560" s="9"/>
      <c r="AH3560" s="9"/>
      <c r="AI3560" s="9"/>
    </row>
    <row r="3561" ht="15.0" customHeight="1">
      <c r="A3561" s="11">
        <v>3560.0</v>
      </c>
      <c r="B3561" s="12">
        <f t="shared" si="568"/>
        <v>40428</v>
      </c>
      <c r="C3561" s="13">
        <v>2010.0</v>
      </c>
      <c r="D3561" s="11" t="s">
        <v>39</v>
      </c>
      <c r="E3561" s="11">
        <v>36.0</v>
      </c>
      <c r="F3561" s="21" t="s">
        <v>856</v>
      </c>
      <c r="G3561" s="15">
        <v>0.011315610088616201</v>
      </c>
      <c r="H3561" s="11" t="s">
        <v>33</v>
      </c>
      <c r="I3561" s="16">
        <v>1.04</v>
      </c>
      <c r="J3561" s="11" t="s">
        <v>82</v>
      </c>
      <c r="K3561" s="11" t="s">
        <v>83</v>
      </c>
      <c r="L3561" s="11" t="s">
        <v>27</v>
      </c>
      <c r="M3561" s="11" t="s">
        <v>28</v>
      </c>
      <c r="N3561" s="11" t="s">
        <v>56</v>
      </c>
      <c r="O3561" s="11" t="s">
        <v>858</v>
      </c>
      <c r="P3561" s="11" t="s">
        <v>58</v>
      </c>
      <c r="Q3561" s="20">
        <v>40431.0</v>
      </c>
      <c r="R3561" s="17">
        <f t="shared" si="2"/>
        <v>1.641216087</v>
      </c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>
        <f t="shared" si="8"/>
        <v>1</v>
      </c>
      <c r="AF3561" s="19" t="b">
        <f t="shared" si="13"/>
        <v>0</v>
      </c>
      <c r="AG3561" s="9"/>
      <c r="AH3561" s="9"/>
      <c r="AI3561" s="9"/>
    </row>
    <row r="3562" ht="15.0" customHeight="1">
      <c r="A3562" s="11">
        <v>3561.0</v>
      </c>
      <c r="B3562" s="12">
        <f t="shared" si="568"/>
        <v>40428</v>
      </c>
      <c r="C3562" s="13">
        <v>2010.0</v>
      </c>
      <c r="D3562" s="11" t="s">
        <v>39</v>
      </c>
      <c r="E3562" s="11">
        <v>36.0</v>
      </c>
      <c r="F3562" s="21" t="s">
        <v>1057</v>
      </c>
      <c r="G3562" s="15">
        <v>0.05518307567127743</v>
      </c>
      <c r="H3562" s="11" t="s">
        <v>33</v>
      </c>
      <c r="I3562" s="16">
        <v>3.672</v>
      </c>
      <c r="J3562" s="11" t="s">
        <v>82</v>
      </c>
      <c r="K3562" s="11" t="s">
        <v>83</v>
      </c>
      <c r="L3562" s="11" t="s">
        <v>27</v>
      </c>
      <c r="M3562" s="11" t="s">
        <v>28</v>
      </c>
      <c r="N3562" s="11" t="s">
        <v>442</v>
      </c>
      <c r="O3562" s="11" t="s">
        <v>1059</v>
      </c>
      <c r="P3562" s="11" t="s">
        <v>58</v>
      </c>
      <c r="Q3562" s="20">
        <v>40431.0</v>
      </c>
      <c r="R3562" s="17">
        <f t="shared" si="2"/>
        <v>25.63099352</v>
      </c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>
        <f t="shared" si="8"/>
        <v>1</v>
      </c>
      <c r="AF3562" s="19" t="b">
        <f t="shared" si="13"/>
        <v>0</v>
      </c>
      <c r="AG3562" s="9"/>
      <c r="AH3562" s="9"/>
      <c r="AI3562" s="9"/>
    </row>
    <row r="3563" ht="15.0" customHeight="1">
      <c r="A3563" s="11">
        <v>3562.0</v>
      </c>
      <c r="B3563" s="12">
        <f t="shared" ref="B3563:B3565" si="569">DATE(2012,12,31)-845</f>
        <v>40429</v>
      </c>
      <c r="C3563" s="13">
        <v>2010.0</v>
      </c>
      <c r="D3563" s="11" t="s">
        <v>102</v>
      </c>
      <c r="E3563" s="11">
        <v>19.0</v>
      </c>
      <c r="F3563" s="21" t="s">
        <v>856</v>
      </c>
      <c r="G3563" s="15">
        <v>0.012307692307692228</v>
      </c>
      <c r="H3563" s="11" t="s">
        <v>33</v>
      </c>
      <c r="I3563" s="16">
        <v>1.04</v>
      </c>
      <c r="J3563" s="11" t="s">
        <v>2148</v>
      </c>
      <c r="K3563" s="11" t="s">
        <v>65</v>
      </c>
      <c r="L3563" s="11" t="s">
        <v>27</v>
      </c>
      <c r="M3563" s="11" t="s">
        <v>28</v>
      </c>
      <c r="N3563" s="11" t="s">
        <v>56</v>
      </c>
      <c r="O3563" s="11" t="s">
        <v>858</v>
      </c>
      <c r="P3563" s="11" t="s">
        <v>58</v>
      </c>
      <c r="Q3563" s="20">
        <v>40431.0</v>
      </c>
      <c r="R3563" s="17">
        <f t="shared" si="2"/>
        <v>0.9481846154</v>
      </c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>
        <f t="shared" si="8"/>
        <v>1</v>
      </c>
      <c r="AF3563" s="19">
        <f t="shared" si="13"/>
        <v>5</v>
      </c>
      <c r="AG3563" s="9"/>
      <c r="AH3563" s="9"/>
      <c r="AI3563" s="9"/>
    </row>
    <row r="3564" ht="15.0" customHeight="1">
      <c r="A3564" s="11">
        <v>3563.0</v>
      </c>
      <c r="B3564" s="12">
        <f t="shared" si="569"/>
        <v>40429</v>
      </c>
      <c r="C3564" s="13">
        <v>2010.0</v>
      </c>
      <c r="D3564" s="11" t="s">
        <v>102</v>
      </c>
      <c r="E3564" s="11">
        <v>11.0</v>
      </c>
      <c r="F3564" s="21" t="s">
        <v>254</v>
      </c>
      <c r="G3564" s="15">
        <v>0.08309841269841266</v>
      </c>
      <c r="H3564" s="11" t="s">
        <v>33</v>
      </c>
      <c r="I3564" s="16">
        <v>2.5120000000000005</v>
      </c>
      <c r="J3564" s="11" t="s">
        <v>2148</v>
      </c>
      <c r="K3564" s="11" t="s">
        <v>65</v>
      </c>
      <c r="L3564" s="11" t="s">
        <v>27</v>
      </c>
      <c r="M3564" s="11" t="s">
        <v>28</v>
      </c>
      <c r="N3564" s="11" t="s">
        <v>442</v>
      </c>
      <c r="O3564" s="11" t="s">
        <v>1613</v>
      </c>
      <c r="P3564" s="11" t="s">
        <v>99</v>
      </c>
      <c r="Q3564" s="20">
        <v>40431.0</v>
      </c>
      <c r="R3564" s="17">
        <f t="shared" si="2"/>
        <v>12.00040797</v>
      </c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>
        <f t="shared" si="8"/>
        <v>1</v>
      </c>
      <c r="AF3564" s="19">
        <f t="shared" si="13"/>
        <v>5</v>
      </c>
      <c r="AG3564" s="9"/>
      <c r="AH3564" s="9"/>
      <c r="AI3564" s="9"/>
    </row>
    <row r="3565" ht="15.0" customHeight="1">
      <c r="A3565" s="11">
        <v>3564.0</v>
      </c>
      <c r="B3565" s="12">
        <f t="shared" si="569"/>
        <v>40429</v>
      </c>
      <c r="C3565" s="13">
        <v>2010.0</v>
      </c>
      <c r="D3565" s="11" t="s">
        <v>39</v>
      </c>
      <c r="E3565" s="11">
        <v>35.0</v>
      </c>
      <c r="F3565" s="21" t="s">
        <v>186</v>
      </c>
      <c r="G3565" s="15">
        <v>0.09072372561359343</v>
      </c>
      <c r="H3565" s="11" t="s">
        <v>33</v>
      </c>
      <c r="I3565" s="16">
        <v>0.984</v>
      </c>
      <c r="J3565" s="11" t="s">
        <v>1468</v>
      </c>
      <c r="K3565" s="11" t="s">
        <v>83</v>
      </c>
      <c r="L3565" s="11" t="s">
        <v>27</v>
      </c>
      <c r="M3565" s="11" t="s">
        <v>28</v>
      </c>
      <c r="N3565" s="11" t="s">
        <v>62</v>
      </c>
      <c r="O3565" s="11" t="s">
        <v>2420</v>
      </c>
      <c r="P3565" s="11" t="s">
        <v>58</v>
      </c>
      <c r="Q3565" s="20">
        <v>40431.0</v>
      </c>
      <c r="R3565" s="17">
        <f t="shared" si="2"/>
        <v>13.10812677</v>
      </c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>
        <f t="shared" si="8"/>
        <v>1</v>
      </c>
      <c r="AF3565" s="19" t="b">
        <f t="shared" si="13"/>
        <v>0</v>
      </c>
      <c r="AG3565" s="9"/>
      <c r="AH3565" s="9"/>
      <c r="AI3565" s="9"/>
    </row>
    <row r="3566" ht="15.0" customHeight="1">
      <c r="A3566" s="11">
        <v>3565.0</v>
      </c>
      <c r="B3566" s="12">
        <f t="shared" ref="B3566:B3572" si="570">DATE(2012,12,31)-844</f>
        <v>40430</v>
      </c>
      <c r="C3566" s="13">
        <v>2010.0</v>
      </c>
      <c r="D3566" s="11" t="s">
        <v>23</v>
      </c>
      <c r="E3566" s="11">
        <v>31.0</v>
      </c>
      <c r="F3566" s="21" t="s">
        <v>486</v>
      </c>
      <c r="G3566" s="15">
        <v>0.050251021599533006</v>
      </c>
      <c r="H3566" s="11" t="s">
        <v>33</v>
      </c>
      <c r="I3566" s="16">
        <v>4.5920000000000005</v>
      </c>
      <c r="J3566" s="11" t="s">
        <v>82</v>
      </c>
      <c r="K3566" s="11" t="s">
        <v>83</v>
      </c>
      <c r="L3566" s="11" t="s">
        <v>27</v>
      </c>
      <c r="M3566" s="11" t="s">
        <v>28</v>
      </c>
      <c r="N3566" s="11" t="s">
        <v>42</v>
      </c>
      <c r="O3566" s="11" t="s">
        <v>487</v>
      </c>
      <c r="P3566" s="11" t="s">
        <v>38</v>
      </c>
      <c r="Q3566" s="20">
        <v>40431.0</v>
      </c>
      <c r="R3566" s="17">
        <f t="shared" si="2"/>
        <v>8.175439206</v>
      </c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>
        <f t="shared" si="8"/>
        <v>1</v>
      </c>
      <c r="AF3566" s="19" t="b">
        <f t="shared" si="13"/>
        <v>0</v>
      </c>
      <c r="AG3566" s="9"/>
      <c r="AH3566" s="9"/>
      <c r="AI3566" s="9"/>
    </row>
    <row r="3567" ht="15.0" customHeight="1">
      <c r="A3567" s="11">
        <v>3566.0</v>
      </c>
      <c r="B3567" s="12">
        <f t="shared" si="570"/>
        <v>40430</v>
      </c>
      <c r="C3567" s="13">
        <v>2010.0</v>
      </c>
      <c r="D3567" s="11" t="s">
        <v>23</v>
      </c>
      <c r="E3567" s="11">
        <v>36.0</v>
      </c>
      <c r="F3567" s="21" t="s">
        <v>115</v>
      </c>
      <c r="G3567" s="15">
        <v>0.07713194881476802</v>
      </c>
      <c r="H3567" s="11" t="s">
        <v>45</v>
      </c>
      <c r="I3567" s="16">
        <v>46.912000000000006</v>
      </c>
      <c r="J3567" s="11" t="s">
        <v>82</v>
      </c>
      <c r="K3567" s="11" t="s">
        <v>83</v>
      </c>
      <c r="L3567" s="11" t="s">
        <v>27</v>
      </c>
      <c r="M3567" s="11" t="s">
        <v>49</v>
      </c>
      <c r="N3567" s="11" t="s">
        <v>156</v>
      </c>
      <c r="O3567" s="11" t="s">
        <v>649</v>
      </c>
      <c r="P3567" s="11" t="s">
        <v>87</v>
      </c>
      <c r="Q3567" s="20">
        <v>40431.0</v>
      </c>
      <c r="R3567" s="17">
        <f t="shared" si="2"/>
        <v>339.327508</v>
      </c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>
        <f t="shared" si="8"/>
        <v>1</v>
      </c>
      <c r="AF3567" s="19" t="b">
        <f t="shared" si="13"/>
        <v>0</v>
      </c>
      <c r="AG3567" s="9"/>
      <c r="AH3567" s="9"/>
      <c r="AI3567" s="9"/>
    </row>
    <row r="3568" ht="15.0" customHeight="1">
      <c r="A3568" s="11">
        <v>3567.0</v>
      </c>
      <c r="B3568" s="12">
        <f t="shared" si="570"/>
        <v>40430</v>
      </c>
      <c r="C3568" s="13">
        <v>2010.0</v>
      </c>
      <c r="D3568" s="11" t="s">
        <v>23</v>
      </c>
      <c r="E3568" s="11">
        <v>8.0</v>
      </c>
      <c r="F3568" s="21" t="s">
        <v>314</v>
      </c>
      <c r="G3568" s="15">
        <v>0.01167315175097279</v>
      </c>
      <c r="H3568" s="11" t="s">
        <v>33</v>
      </c>
      <c r="I3568" s="16">
        <v>0.4</v>
      </c>
      <c r="J3568" s="11" t="s">
        <v>82</v>
      </c>
      <c r="K3568" s="11" t="s">
        <v>83</v>
      </c>
      <c r="L3568" s="11" t="s">
        <v>27</v>
      </c>
      <c r="M3568" s="11" t="s">
        <v>28</v>
      </c>
      <c r="N3568" s="11" t="s">
        <v>188</v>
      </c>
      <c r="O3568" s="11" t="s">
        <v>1143</v>
      </c>
      <c r="P3568" s="11" t="s">
        <v>38</v>
      </c>
      <c r="Q3568" s="20">
        <v>40432.0</v>
      </c>
      <c r="R3568" s="17">
        <f t="shared" si="2"/>
        <v>0.5929961089</v>
      </c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>
        <f t="shared" si="8"/>
        <v>1</v>
      </c>
      <c r="AF3568" s="19" t="b">
        <f t="shared" si="13"/>
        <v>0</v>
      </c>
      <c r="AG3568" s="9"/>
      <c r="AH3568" s="9"/>
      <c r="AI3568" s="9"/>
    </row>
    <row r="3569" ht="15.0" customHeight="1">
      <c r="A3569" s="11">
        <v>3568.0</v>
      </c>
      <c r="B3569" s="12">
        <f t="shared" si="570"/>
        <v>40430</v>
      </c>
      <c r="C3569" s="13">
        <v>2010.0</v>
      </c>
      <c r="D3569" s="11" t="s">
        <v>23</v>
      </c>
      <c r="E3569" s="11">
        <v>19.0</v>
      </c>
      <c r="F3569" s="21" t="s">
        <v>1379</v>
      </c>
      <c r="G3569" s="15">
        <v>0.07650677407543037</v>
      </c>
      <c r="H3569" s="11" t="s">
        <v>33</v>
      </c>
      <c r="I3569" s="16">
        <v>4.712</v>
      </c>
      <c r="J3569" s="11" t="s">
        <v>604</v>
      </c>
      <c r="K3569" s="11" t="s">
        <v>83</v>
      </c>
      <c r="L3569" s="11" t="s">
        <v>27</v>
      </c>
      <c r="M3569" s="11" t="s">
        <v>66</v>
      </c>
      <c r="N3569" s="11" t="s">
        <v>67</v>
      </c>
      <c r="O3569" s="11" t="s">
        <v>1990</v>
      </c>
      <c r="P3569" s="11" t="s">
        <v>38</v>
      </c>
      <c r="Q3569" s="20">
        <v>40432.0</v>
      </c>
      <c r="R3569" s="17">
        <f t="shared" si="2"/>
        <v>38.59093492</v>
      </c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>
        <f t="shared" si="8"/>
        <v>1</v>
      </c>
      <c r="AF3569" s="19" t="b">
        <f t="shared" si="13"/>
        <v>0</v>
      </c>
      <c r="AG3569" s="9"/>
      <c r="AH3569" s="9"/>
      <c r="AI3569" s="9"/>
    </row>
    <row r="3570" ht="15.0" customHeight="1">
      <c r="A3570" s="11">
        <v>3569.0</v>
      </c>
      <c r="B3570" s="12">
        <f t="shared" si="570"/>
        <v>40430</v>
      </c>
      <c r="C3570" s="13">
        <v>2010.0</v>
      </c>
      <c r="D3570" s="11" t="s">
        <v>23</v>
      </c>
      <c r="E3570" s="11">
        <v>2.0</v>
      </c>
      <c r="F3570" s="21" t="s">
        <v>629</v>
      </c>
      <c r="G3570" s="15">
        <v>0.026493506493506572</v>
      </c>
      <c r="H3570" s="11" t="s">
        <v>33</v>
      </c>
      <c r="I3570" s="16">
        <v>0.392</v>
      </c>
      <c r="J3570" s="11" t="s">
        <v>604</v>
      </c>
      <c r="K3570" s="11" t="s">
        <v>83</v>
      </c>
      <c r="L3570" s="11" t="s">
        <v>27</v>
      </c>
      <c r="M3570" s="11" t="s">
        <v>28</v>
      </c>
      <c r="N3570" s="11" t="s">
        <v>188</v>
      </c>
      <c r="O3570" s="11" t="s">
        <v>631</v>
      </c>
      <c r="P3570" s="11" t="s">
        <v>38</v>
      </c>
      <c r="Q3570" s="20">
        <v>40432.0</v>
      </c>
      <c r="R3570" s="17">
        <f t="shared" si="2"/>
        <v>0.3971906494</v>
      </c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>
        <f t="shared" si="8"/>
        <v>1</v>
      </c>
      <c r="AF3570" s="19" t="b">
        <f t="shared" si="13"/>
        <v>0</v>
      </c>
      <c r="AG3570" s="9"/>
      <c r="AH3570" s="9"/>
      <c r="AI3570" s="9"/>
    </row>
    <row r="3571" ht="15.0" customHeight="1">
      <c r="A3571" s="11">
        <v>3570.0</v>
      </c>
      <c r="B3571" s="12">
        <f t="shared" si="570"/>
        <v>40430</v>
      </c>
      <c r="C3571" s="13">
        <v>2010.0</v>
      </c>
      <c r="D3571" s="11" t="s">
        <v>32</v>
      </c>
      <c r="E3571" s="11">
        <v>36.0</v>
      </c>
      <c r="F3571" s="21" t="s">
        <v>163</v>
      </c>
      <c r="G3571" s="15">
        <v>0.050670255162776186</v>
      </c>
      <c r="H3571" s="11" t="s">
        <v>45</v>
      </c>
      <c r="I3571" s="16">
        <v>36.0</v>
      </c>
      <c r="J3571" s="11" t="s">
        <v>2167</v>
      </c>
      <c r="K3571" s="11" t="s">
        <v>83</v>
      </c>
      <c r="L3571" s="11" t="s">
        <v>41</v>
      </c>
      <c r="M3571" s="11" t="s">
        <v>49</v>
      </c>
      <c r="N3571" s="11" t="s">
        <v>50</v>
      </c>
      <c r="O3571" s="11" t="s">
        <v>53</v>
      </c>
      <c r="P3571" s="11" t="s">
        <v>52</v>
      </c>
      <c r="Q3571" s="20">
        <v>40432.0</v>
      </c>
      <c r="R3571" s="17">
        <f t="shared" si="2"/>
        <v>185.878764</v>
      </c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>
        <f t="shared" si="8"/>
        <v>3</v>
      </c>
      <c r="AF3571" s="19" t="b">
        <f t="shared" si="13"/>
        <v>0</v>
      </c>
      <c r="AG3571" s="9"/>
      <c r="AH3571" s="9"/>
      <c r="AI3571" s="9"/>
    </row>
    <row r="3572" ht="15.0" customHeight="1">
      <c r="A3572" s="11">
        <v>3571.0</v>
      </c>
      <c r="B3572" s="12">
        <f t="shared" si="570"/>
        <v>40430</v>
      </c>
      <c r="C3572" s="13">
        <v>2010.0</v>
      </c>
      <c r="D3572" s="11" t="s">
        <v>32</v>
      </c>
      <c r="E3572" s="11">
        <v>43.0</v>
      </c>
      <c r="F3572" s="21" t="s">
        <v>1261</v>
      </c>
      <c r="G3572" s="15">
        <v>0.023422774869109996</v>
      </c>
      <c r="H3572" s="11" t="s">
        <v>33</v>
      </c>
      <c r="I3572" s="16">
        <v>15.568000000000001</v>
      </c>
      <c r="J3572" s="11" t="s">
        <v>2167</v>
      </c>
      <c r="K3572" s="11" t="s">
        <v>83</v>
      </c>
      <c r="L3572" s="11" t="s">
        <v>41</v>
      </c>
      <c r="M3572" s="11" t="s">
        <v>49</v>
      </c>
      <c r="N3572" s="11" t="s">
        <v>73</v>
      </c>
      <c r="O3572" s="11" t="s">
        <v>2421</v>
      </c>
      <c r="P3572" s="11" t="s">
        <v>38</v>
      </c>
      <c r="Q3572" s="20">
        <v>40432.0</v>
      </c>
      <c r="R3572" s="17">
        <f t="shared" si="2"/>
        <v>27.96135911</v>
      </c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>
        <f t="shared" si="8"/>
        <v>3</v>
      </c>
      <c r="AF3572" s="19" t="b">
        <f t="shared" si="13"/>
        <v>0</v>
      </c>
      <c r="AG3572" s="9"/>
      <c r="AH3572" s="9"/>
      <c r="AI3572" s="9"/>
    </row>
    <row r="3573" ht="15.0" customHeight="1">
      <c r="A3573" s="11">
        <v>3572.0</v>
      </c>
      <c r="B3573" s="12">
        <f t="shared" ref="B3573:B3580" si="571">DATE(2012,12,31)-843</f>
        <v>40431</v>
      </c>
      <c r="C3573" s="13">
        <v>2010.0</v>
      </c>
      <c r="D3573" s="11" t="s">
        <v>39</v>
      </c>
      <c r="E3573" s="11">
        <v>29.0</v>
      </c>
      <c r="F3573" s="21" t="s">
        <v>270</v>
      </c>
      <c r="G3573" s="15">
        <v>0.021589916797100324</v>
      </c>
      <c r="H3573" s="11" t="s">
        <v>33</v>
      </c>
      <c r="I3573" s="16">
        <v>1.592</v>
      </c>
      <c r="J3573" s="11" t="s">
        <v>1657</v>
      </c>
      <c r="K3573" s="11" t="s">
        <v>61</v>
      </c>
      <c r="L3573" s="11" t="s">
        <v>48</v>
      </c>
      <c r="M3573" s="11" t="s">
        <v>66</v>
      </c>
      <c r="N3573" s="11" t="s">
        <v>67</v>
      </c>
      <c r="O3573" s="11" t="s">
        <v>1087</v>
      </c>
      <c r="P3573" s="11" t="s">
        <v>99</v>
      </c>
      <c r="Q3573" s="20">
        <v>40432.0</v>
      </c>
      <c r="R3573" s="17">
        <f t="shared" si="2"/>
        <v>25.64217146</v>
      </c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>
        <f t="shared" si="8"/>
        <v>4</v>
      </c>
      <c r="AF3573" s="19">
        <f t="shared" si="13"/>
        <v>4</v>
      </c>
      <c r="AG3573" s="9"/>
      <c r="AH3573" s="9"/>
      <c r="AI3573" s="9"/>
    </row>
    <row r="3574" ht="15.0" customHeight="1">
      <c r="A3574" s="11">
        <v>3573.0</v>
      </c>
      <c r="B3574" s="12">
        <f t="shared" si="571"/>
        <v>40431</v>
      </c>
      <c r="C3574" s="13">
        <v>2010.0</v>
      </c>
      <c r="D3574" s="11" t="s">
        <v>102</v>
      </c>
      <c r="E3574" s="11">
        <v>29.0</v>
      </c>
      <c r="F3574" s="21" t="s">
        <v>270</v>
      </c>
      <c r="G3574" s="15">
        <v>0.09583151560737128</v>
      </c>
      <c r="H3574" s="11" t="s">
        <v>33</v>
      </c>
      <c r="I3574" s="16">
        <v>15.991999999999999</v>
      </c>
      <c r="J3574" s="11" t="s">
        <v>423</v>
      </c>
      <c r="K3574" s="11" t="s">
        <v>35</v>
      </c>
      <c r="L3574" s="11" t="s">
        <v>48</v>
      </c>
      <c r="M3574" s="11" t="s">
        <v>28</v>
      </c>
      <c r="N3574" s="11" t="s">
        <v>56</v>
      </c>
      <c r="O3574" s="11" t="s">
        <v>1306</v>
      </c>
      <c r="P3574" s="11" t="s">
        <v>38</v>
      </c>
      <c r="Q3574" s="20">
        <v>40432.0</v>
      </c>
      <c r="R3574" s="17">
        <f t="shared" si="2"/>
        <v>115.1982983</v>
      </c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>
        <f t="shared" si="8"/>
        <v>4</v>
      </c>
      <c r="AF3574" s="19">
        <f t="shared" si="13"/>
        <v>2</v>
      </c>
      <c r="AG3574" s="9"/>
      <c r="AH3574" s="9"/>
      <c r="AI3574" s="9"/>
    </row>
    <row r="3575" ht="15.0" customHeight="1">
      <c r="A3575" s="11">
        <v>3574.0</v>
      </c>
      <c r="B3575" s="12">
        <f t="shared" si="571"/>
        <v>40431</v>
      </c>
      <c r="C3575" s="13">
        <v>2010.0</v>
      </c>
      <c r="D3575" s="11" t="s">
        <v>102</v>
      </c>
      <c r="E3575" s="11">
        <v>6.0</v>
      </c>
      <c r="F3575" s="21" t="s">
        <v>678</v>
      </c>
      <c r="G3575" s="15">
        <v>0.046025974025973984</v>
      </c>
      <c r="H3575" s="11" t="s">
        <v>33</v>
      </c>
      <c r="I3575" s="16">
        <v>0.7280000000000001</v>
      </c>
      <c r="J3575" s="11" t="s">
        <v>2422</v>
      </c>
      <c r="K3575" s="11" t="s">
        <v>35</v>
      </c>
      <c r="L3575" s="11" t="s">
        <v>41</v>
      </c>
      <c r="M3575" s="11" t="s">
        <v>28</v>
      </c>
      <c r="N3575" s="11" t="s">
        <v>62</v>
      </c>
      <c r="O3575" s="11" t="s">
        <v>1808</v>
      </c>
      <c r="P3575" s="11" t="s">
        <v>58</v>
      </c>
      <c r="Q3575" s="20">
        <v>40433.0</v>
      </c>
      <c r="R3575" s="17">
        <f t="shared" si="2"/>
        <v>1.690441974</v>
      </c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>
        <f t="shared" si="8"/>
        <v>3</v>
      </c>
      <c r="AF3575" s="19">
        <f t="shared" si="13"/>
        <v>2</v>
      </c>
      <c r="AG3575" s="9"/>
      <c r="AH3575" s="9"/>
      <c r="AI3575" s="9"/>
    </row>
    <row r="3576" ht="15.0" customHeight="1">
      <c r="A3576" s="11">
        <v>3575.0</v>
      </c>
      <c r="B3576" s="12">
        <f t="shared" si="571"/>
        <v>40431</v>
      </c>
      <c r="C3576" s="13">
        <v>2010.0</v>
      </c>
      <c r="D3576" s="11" t="s">
        <v>102</v>
      </c>
      <c r="E3576" s="11">
        <v>44.0</v>
      </c>
      <c r="F3576" s="21" t="s">
        <v>1187</v>
      </c>
      <c r="G3576" s="15">
        <v>0.021115361385141935</v>
      </c>
      <c r="H3576" s="11" t="s">
        <v>33</v>
      </c>
      <c r="I3576" s="16">
        <v>4.424</v>
      </c>
      <c r="J3576" s="11" t="s">
        <v>2422</v>
      </c>
      <c r="K3576" s="11" t="s">
        <v>35</v>
      </c>
      <c r="L3576" s="11" t="s">
        <v>41</v>
      </c>
      <c r="M3576" s="11" t="s">
        <v>28</v>
      </c>
      <c r="N3576" s="11" t="s">
        <v>62</v>
      </c>
      <c r="O3576" s="11" t="s">
        <v>1188</v>
      </c>
      <c r="P3576" s="11" t="s">
        <v>99</v>
      </c>
      <c r="Q3576" s="20">
        <v>40433.0</v>
      </c>
      <c r="R3576" s="17">
        <f t="shared" si="2"/>
        <v>20.53308418</v>
      </c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>
        <f t="shared" si="8"/>
        <v>3</v>
      </c>
      <c r="AF3576" s="19">
        <f t="shared" si="13"/>
        <v>2</v>
      </c>
      <c r="AG3576" s="9"/>
      <c r="AH3576" s="9"/>
      <c r="AI3576" s="9"/>
    </row>
    <row r="3577" ht="15.0" customHeight="1">
      <c r="A3577" s="11">
        <v>3576.0</v>
      </c>
      <c r="B3577" s="12">
        <f t="shared" si="571"/>
        <v>40431</v>
      </c>
      <c r="C3577" s="13">
        <v>2010.0</v>
      </c>
      <c r="D3577" s="11" t="s">
        <v>32</v>
      </c>
      <c r="E3577" s="11">
        <v>4.0</v>
      </c>
      <c r="F3577" s="21" t="s">
        <v>1479</v>
      </c>
      <c r="G3577" s="15">
        <v>0.07142857142857131</v>
      </c>
      <c r="H3577" s="11" t="s">
        <v>24</v>
      </c>
      <c r="I3577" s="16">
        <v>3.6</v>
      </c>
      <c r="J3577" s="11" t="s">
        <v>2092</v>
      </c>
      <c r="K3577" s="11" t="s">
        <v>83</v>
      </c>
      <c r="L3577" s="11" t="s">
        <v>48</v>
      </c>
      <c r="M3577" s="11" t="s">
        <v>28</v>
      </c>
      <c r="N3577" s="11" t="s">
        <v>197</v>
      </c>
      <c r="O3577" s="11" t="s">
        <v>1480</v>
      </c>
      <c r="P3577" s="11" t="s">
        <v>38</v>
      </c>
      <c r="Q3577" s="20">
        <v>40433.0</v>
      </c>
      <c r="R3577" s="17">
        <f t="shared" si="2"/>
        <v>3.342857143</v>
      </c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>
        <f t="shared" si="8"/>
        <v>4</v>
      </c>
      <c r="AF3577" s="19" t="b">
        <f t="shared" si="13"/>
        <v>0</v>
      </c>
      <c r="AG3577" s="9"/>
      <c r="AH3577" s="9"/>
      <c r="AI3577" s="9"/>
    </row>
    <row r="3578" ht="15.0" customHeight="1">
      <c r="A3578" s="11">
        <v>3577.0</v>
      </c>
      <c r="B3578" s="12">
        <f t="shared" si="571"/>
        <v>40431</v>
      </c>
      <c r="C3578" s="13">
        <v>2010.0</v>
      </c>
      <c r="D3578" s="11" t="s">
        <v>32</v>
      </c>
      <c r="E3578" s="11">
        <v>34.0</v>
      </c>
      <c r="F3578" s="21" t="s">
        <v>490</v>
      </c>
      <c r="G3578" s="15">
        <v>0.031215959792809972</v>
      </c>
      <c r="H3578" s="11" t="s">
        <v>24</v>
      </c>
      <c r="I3578" s="16">
        <v>5.432</v>
      </c>
      <c r="J3578" s="11" t="s">
        <v>1303</v>
      </c>
      <c r="K3578" s="11" t="s">
        <v>61</v>
      </c>
      <c r="L3578" s="11" t="s">
        <v>41</v>
      </c>
      <c r="M3578" s="11" t="s">
        <v>28</v>
      </c>
      <c r="N3578" s="11" t="s">
        <v>56</v>
      </c>
      <c r="O3578" s="11" t="s">
        <v>761</v>
      </c>
      <c r="P3578" s="11" t="s">
        <v>38</v>
      </c>
      <c r="Q3578" s="20">
        <v>40433.0</v>
      </c>
      <c r="R3578" s="17">
        <f t="shared" si="2"/>
        <v>58.96794696</v>
      </c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>
        <f t="shared" si="8"/>
        <v>3</v>
      </c>
      <c r="AF3578" s="19">
        <f t="shared" si="13"/>
        <v>4</v>
      </c>
      <c r="AG3578" s="9"/>
      <c r="AH3578" s="9"/>
      <c r="AI3578" s="9"/>
    </row>
    <row r="3579" ht="15.0" customHeight="1">
      <c r="A3579" s="11">
        <v>3578.0</v>
      </c>
      <c r="B3579" s="12">
        <f t="shared" si="571"/>
        <v>40431</v>
      </c>
      <c r="C3579" s="13">
        <v>2010.0</v>
      </c>
      <c r="D3579" s="11" t="s">
        <v>32</v>
      </c>
      <c r="E3579" s="11">
        <v>2.0</v>
      </c>
      <c r="F3579" s="21" t="s">
        <v>983</v>
      </c>
      <c r="G3579" s="15">
        <v>0.04660412757973724</v>
      </c>
      <c r="H3579" s="11" t="s">
        <v>33</v>
      </c>
      <c r="I3579" s="16">
        <v>9.216</v>
      </c>
      <c r="J3579" s="11" t="s">
        <v>1303</v>
      </c>
      <c r="K3579" s="11" t="s">
        <v>61</v>
      </c>
      <c r="L3579" s="11" t="s">
        <v>41</v>
      </c>
      <c r="M3579" s="11" t="s">
        <v>28</v>
      </c>
      <c r="N3579" s="11" t="s">
        <v>29</v>
      </c>
      <c r="O3579" s="11" t="s">
        <v>984</v>
      </c>
      <c r="P3579" s="11" t="s">
        <v>38</v>
      </c>
      <c r="Q3579" s="20">
        <v>40433.0</v>
      </c>
      <c r="R3579" s="17">
        <f t="shared" si="2"/>
        <v>2.368235347</v>
      </c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>
        <f t="shared" si="8"/>
        <v>3</v>
      </c>
      <c r="AF3579" s="19">
        <f t="shared" si="13"/>
        <v>4</v>
      </c>
      <c r="AG3579" s="9"/>
      <c r="AH3579" s="9"/>
      <c r="AI3579" s="9"/>
    </row>
    <row r="3580" ht="15.0" customHeight="1">
      <c r="A3580" s="11">
        <v>3579.0</v>
      </c>
      <c r="B3580" s="12">
        <f t="shared" si="571"/>
        <v>40431</v>
      </c>
      <c r="C3580" s="13">
        <v>2010.0</v>
      </c>
      <c r="D3580" s="11" t="s">
        <v>23</v>
      </c>
      <c r="E3580" s="11">
        <v>22.0</v>
      </c>
      <c r="F3580" s="21" t="s">
        <v>310</v>
      </c>
      <c r="G3580" s="15">
        <v>0.04942687086203449</v>
      </c>
      <c r="H3580" s="11" t="s">
        <v>45</v>
      </c>
      <c r="I3580" s="16">
        <v>47.160000000000004</v>
      </c>
      <c r="J3580" s="11" t="s">
        <v>919</v>
      </c>
      <c r="K3580" s="11" t="s">
        <v>61</v>
      </c>
      <c r="L3580" s="11" t="s">
        <v>48</v>
      </c>
      <c r="M3580" s="11" t="s">
        <v>49</v>
      </c>
      <c r="N3580" s="11" t="s">
        <v>50</v>
      </c>
      <c r="O3580" s="11" t="s">
        <v>311</v>
      </c>
      <c r="P3580" s="11" t="s">
        <v>52</v>
      </c>
      <c r="Q3580" s="20">
        <v>40433.0</v>
      </c>
      <c r="R3580" s="17">
        <f t="shared" si="2"/>
        <v>351.2747941</v>
      </c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>
        <f t="shared" si="8"/>
        <v>4</v>
      </c>
      <c r="AF3580" s="19">
        <f t="shared" si="13"/>
        <v>4</v>
      </c>
      <c r="AG3580" s="9"/>
      <c r="AH3580" s="9"/>
      <c r="AI3580" s="9"/>
    </row>
    <row r="3581" ht="15.0" customHeight="1">
      <c r="A3581" s="11">
        <v>3580.0</v>
      </c>
      <c r="B3581" s="12">
        <f t="shared" ref="B3581:B3583" si="572">DATE(2012,12,31)-842</f>
        <v>40432</v>
      </c>
      <c r="C3581" s="13">
        <v>2010.0</v>
      </c>
      <c r="D3581" s="11" t="s">
        <v>102</v>
      </c>
      <c r="E3581" s="11">
        <v>25.0</v>
      </c>
      <c r="F3581" s="21" t="s">
        <v>591</v>
      </c>
      <c r="G3581" s="15">
        <v>0.09683656957928798</v>
      </c>
      <c r="H3581" s="11" t="s">
        <v>33</v>
      </c>
      <c r="I3581" s="16">
        <v>4.024</v>
      </c>
      <c r="J3581" s="11" t="s">
        <v>97</v>
      </c>
      <c r="K3581" s="11" t="s">
        <v>61</v>
      </c>
      <c r="L3581" s="11" t="s">
        <v>41</v>
      </c>
      <c r="M3581" s="11" t="s">
        <v>49</v>
      </c>
      <c r="N3581" s="11" t="s">
        <v>73</v>
      </c>
      <c r="O3581" s="11" t="s">
        <v>2020</v>
      </c>
      <c r="P3581" s="11" t="s">
        <v>38</v>
      </c>
      <c r="Q3581" s="20">
        <v>40433.0</v>
      </c>
      <c r="R3581" s="17">
        <f t="shared" si="2"/>
        <v>43.23985239</v>
      </c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>
        <f t="shared" si="8"/>
        <v>3</v>
      </c>
      <c r="AF3581" s="19">
        <f t="shared" si="13"/>
        <v>4</v>
      </c>
      <c r="AG3581" s="9"/>
      <c r="AH3581" s="9"/>
      <c r="AI3581" s="9"/>
    </row>
    <row r="3582" ht="15.0" customHeight="1">
      <c r="A3582" s="11">
        <v>3581.0</v>
      </c>
      <c r="B3582" s="12">
        <f t="shared" si="572"/>
        <v>40432</v>
      </c>
      <c r="C3582" s="13">
        <v>2010.0</v>
      </c>
      <c r="D3582" s="11" t="s">
        <v>23</v>
      </c>
      <c r="E3582" s="11">
        <v>38.0</v>
      </c>
      <c r="F3582" s="21" t="s">
        <v>183</v>
      </c>
      <c r="G3582" s="15">
        <v>0.09731891571619009</v>
      </c>
      <c r="H3582" s="11" t="s">
        <v>33</v>
      </c>
      <c r="I3582" s="16">
        <v>5.2</v>
      </c>
      <c r="J3582" s="11" t="s">
        <v>174</v>
      </c>
      <c r="K3582" s="11" t="s">
        <v>35</v>
      </c>
      <c r="L3582" s="11" t="s">
        <v>36</v>
      </c>
      <c r="M3582" s="11" t="s">
        <v>66</v>
      </c>
      <c r="N3582" s="11" t="s">
        <v>67</v>
      </c>
      <c r="O3582" s="11" t="s">
        <v>941</v>
      </c>
      <c r="P3582" s="11" t="s">
        <v>38</v>
      </c>
      <c r="Q3582" s="20">
        <v>40434.0</v>
      </c>
      <c r="R3582" s="17">
        <f t="shared" si="2"/>
        <v>59.30614724</v>
      </c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>
        <f t="shared" si="8"/>
        <v>2</v>
      </c>
      <c r="AF3582" s="19">
        <f t="shared" si="13"/>
        <v>2</v>
      </c>
      <c r="AG3582" s="9"/>
      <c r="AH3582" s="9"/>
      <c r="AI3582" s="9"/>
    </row>
    <row r="3583" ht="15.0" customHeight="1">
      <c r="A3583" s="11">
        <v>3582.0</v>
      </c>
      <c r="B3583" s="12">
        <f t="shared" si="572"/>
        <v>40432</v>
      </c>
      <c r="C3583" s="13">
        <v>2010.0</v>
      </c>
      <c r="D3583" s="11" t="s">
        <v>102</v>
      </c>
      <c r="E3583" s="11">
        <v>29.0</v>
      </c>
      <c r="F3583" s="21" t="s">
        <v>1881</v>
      </c>
      <c r="G3583" s="15">
        <v>0.022734643123601024</v>
      </c>
      <c r="H3583" s="11" t="s">
        <v>33</v>
      </c>
      <c r="I3583" s="16">
        <v>15.991999999999999</v>
      </c>
      <c r="J3583" s="11" t="s">
        <v>2023</v>
      </c>
      <c r="K3583" s="11" t="s">
        <v>83</v>
      </c>
      <c r="L3583" s="11" t="s">
        <v>36</v>
      </c>
      <c r="M3583" s="11" t="s">
        <v>28</v>
      </c>
      <c r="N3583" s="11" t="s">
        <v>42</v>
      </c>
      <c r="O3583" s="11" t="s">
        <v>1882</v>
      </c>
      <c r="P3583" s="11" t="s">
        <v>38</v>
      </c>
      <c r="Q3583" s="20">
        <v>40434.0</v>
      </c>
      <c r="R3583" s="17">
        <f t="shared" si="2"/>
        <v>44.66884493</v>
      </c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>
        <f t="shared" si="8"/>
        <v>2</v>
      </c>
      <c r="AF3583" s="19" t="b">
        <f t="shared" si="13"/>
        <v>0</v>
      </c>
      <c r="AG3583" s="9"/>
      <c r="AH3583" s="9"/>
      <c r="AI3583" s="9"/>
    </row>
    <row r="3584" ht="15.0" customHeight="1">
      <c r="A3584" s="11">
        <v>3583.0</v>
      </c>
      <c r="B3584" s="12">
        <f t="shared" ref="B3584:B3589" si="573">DATE(2012,12,31)-841</f>
        <v>40433</v>
      </c>
      <c r="C3584" s="13">
        <v>2010.0</v>
      </c>
      <c r="D3584" s="11" t="s">
        <v>23</v>
      </c>
      <c r="E3584" s="11">
        <v>1.0</v>
      </c>
      <c r="F3584" s="21" t="s">
        <v>641</v>
      </c>
      <c r="G3584" s="15">
        <v>0.14461538461538465</v>
      </c>
      <c r="H3584" s="11" t="s">
        <v>24</v>
      </c>
      <c r="I3584" s="16">
        <v>5.816</v>
      </c>
      <c r="J3584" s="11" t="s">
        <v>2012</v>
      </c>
      <c r="K3584" s="11" t="s">
        <v>61</v>
      </c>
      <c r="L3584" s="11" t="s">
        <v>41</v>
      </c>
      <c r="M3584" s="11" t="s">
        <v>28</v>
      </c>
      <c r="N3584" s="11" t="s">
        <v>42</v>
      </c>
      <c r="O3584" s="11" t="s">
        <v>642</v>
      </c>
      <c r="P3584" s="11" t="s">
        <v>38</v>
      </c>
      <c r="Q3584" s="20">
        <v>40435.0</v>
      </c>
      <c r="R3584" s="17">
        <f t="shared" si="2"/>
        <v>2.894621538</v>
      </c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>
        <f t="shared" si="8"/>
        <v>3</v>
      </c>
      <c r="AF3584" s="19">
        <f t="shared" si="13"/>
        <v>4</v>
      </c>
      <c r="AG3584" s="9"/>
      <c r="AH3584" s="9"/>
      <c r="AI3584" s="9"/>
    </row>
    <row r="3585" ht="15.0" customHeight="1">
      <c r="A3585" s="11">
        <v>3584.0</v>
      </c>
      <c r="B3585" s="12">
        <f t="shared" si="573"/>
        <v>40433</v>
      </c>
      <c r="C3585" s="13">
        <v>2010.0</v>
      </c>
      <c r="D3585" s="11" t="s">
        <v>23</v>
      </c>
      <c r="E3585" s="11">
        <v>4.0</v>
      </c>
      <c r="F3585" s="21" t="s">
        <v>172</v>
      </c>
      <c r="G3585" s="15">
        <v>0.0567746014541842</v>
      </c>
      <c r="H3585" s="11" t="s">
        <v>33</v>
      </c>
      <c r="I3585" s="16">
        <v>19.592</v>
      </c>
      <c r="J3585" s="11" t="s">
        <v>2012</v>
      </c>
      <c r="K3585" s="11" t="s">
        <v>61</v>
      </c>
      <c r="L3585" s="11" t="s">
        <v>41</v>
      </c>
      <c r="M3585" s="11" t="s">
        <v>66</v>
      </c>
      <c r="N3585" s="11" t="s">
        <v>69</v>
      </c>
      <c r="O3585" s="11" t="s">
        <v>173</v>
      </c>
      <c r="P3585" s="11" t="s">
        <v>31</v>
      </c>
      <c r="Q3585" s="20">
        <v>40435.0</v>
      </c>
      <c r="R3585" s="17">
        <f t="shared" si="2"/>
        <v>1541.520815</v>
      </c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>
        <f t="shared" si="8"/>
        <v>3</v>
      </c>
      <c r="AF3585" s="19">
        <f t="shared" si="13"/>
        <v>4</v>
      </c>
      <c r="AG3585" s="9"/>
      <c r="AH3585" s="9"/>
      <c r="AI3585" s="9"/>
    </row>
    <row r="3586" ht="15.0" customHeight="1">
      <c r="A3586" s="11">
        <v>3585.0</v>
      </c>
      <c r="B3586" s="12">
        <f t="shared" si="573"/>
        <v>40433</v>
      </c>
      <c r="C3586" s="13">
        <v>2010.0</v>
      </c>
      <c r="D3586" s="11" t="s">
        <v>23</v>
      </c>
      <c r="E3586" s="11">
        <v>46.0</v>
      </c>
      <c r="F3586" s="21" t="s">
        <v>891</v>
      </c>
      <c r="G3586" s="15">
        <v>0.0063682119205299426</v>
      </c>
      <c r="H3586" s="11" t="s">
        <v>33</v>
      </c>
      <c r="I3586" s="16">
        <v>2.4960000000000004</v>
      </c>
      <c r="J3586" s="11" t="s">
        <v>2012</v>
      </c>
      <c r="K3586" s="11" t="s">
        <v>61</v>
      </c>
      <c r="L3586" s="11" t="s">
        <v>41</v>
      </c>
      <c r="M3586" s="11" t="s">
        <v>28</v>
      </c>
      <c r="N3586" s="11" t="s">
        <v>62</v>
      </c>
      <c r="O3586" s="11" t="s">
        <v>2423</v>
      </c>
      <c r="P3586" s="11" t="s">
        <v>58</v>
      </c>
      <c r="Q3586" s="20">
        <v>40435.0</v>
      </c>
      <c r="R3586" s="17">
        <f t="shared" si="2"/>
        <v>2.388690819</v>
      </c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>
        <f t="shared" si="8"/>
        <v>3</v>
      </c>
      <c r="AF3586" s="19">
        <f t="shared" si="13"/>
        <v>4</v>
      </c>
      <c r="AG3586" s="9"/>
      <c r="AH3586" s="9"/>
      <c r="AI3586" s="9"/>
    </row>
    <row r="3587" ht="15.0" customHeight="1">
      <c r="A3587" s="11">
        <v>3586.0</v>
      </c>
      <c r="B3587" s="12">
        <f t="shared" si="573"/>
        <v>40433</v>
      </c>
      <c r="C3587" s="13">
        <v>2010.0</v>
      </c>
      <c r="D3587" s="11" t="s">
        <v>44</v>
      </c>
      <c r="E3587" s="11">
        <v>19.0</v>
      </c>
      <c r="F3587" s="21" t="s">
        <v>580</v>
      </c>
      <c r="G3587" s="15">
        <v>0.060237090954990746</v>
      </c>
      <c r="H3587" s="11" t="s">
        <v>33</v>
      </c>
      <c r="I3587" s="16">
        <v>11.192</v>
      </c>
      <c r="J3587" s="11" t="s">
        <v>1222</v>
      </c>
      <c r="K3587" s="11" t="s">
        <v>83</v>
      </c>
      <c r="L3587" s="11" t="s">
        <v>48</v>
      </c>
      <c r="M3587" s="11" t="s">
        <v>66</v>
      </c>
      <c r="N3587" s="11" t="s">
        <v>69</v>
      </c>
      <c r="O3587" s="11" t="s">
        <v>582</v>
      </c>
      <c r="P3587" s="11" t="s">
        <v>75</v>
      </c>
      <c r="Q3587" s="20">
        <v>40435.0</v>
      </c>
      <c r="R3587" s="17">
        <f t="shared" si="2"/>
        <v>1145.064451</v>
      </c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>
        <f t="shared" si="8"/>
        <v>4</v>
      </c>
      <c r="AF3587" s="19" t="b">
        <f t="shared" si="13"/>
        <v>0</v>
      </c>
      <c r="AG3587" s="9"/>
      <c r="AH3587" s="9"/>
      <c r="AI3587" s="9"/>
    </row>
    <row r="3588" ht="15.0" customHeight="1">
      <c r="A3588" s="11">
        <v>3587.0</v>
      </c>
      <c r="B3588" s="12">
        <f t="shared" si="573"/>
        <v>40433</v>
      </c>
      <c r="C3588" s="13">
        <v>2010.0</v>
      </c>
      <c r="D3588" s="11" t="s">
        <v>44</v>
      </c>
      <c r="E3588" s="11">
        <v>21.0</v>
      </c>
      <c r="F3588" s="21" t="s">
        <v>792</v>
      </c>
      <c r="G3588" s="15">
        <v>0.03499798627989831</v>
      </c>
      <c r="H3588" s="11" t="s">
        <v>24</v>
      </c>
      <c r="I3588" s="16">
        <v>11.192</v>
      </c>
      <c r="J3588" s="11" t="s">
        <v>1222</v>
      </c>
      <c r="K3588" s="11" t="s">
        <v>83</v>
      </c>
      <c r="L3588" s="11" t="s">
        <v>48</v>
      </c>
      <c r="M3588" s="11" t="s">
        <v>49</v>
      </c>
      <c r="N3588" s="11" t="s">
        <v>73</v>
      </c>
      <c r="O3588" s="11" t="s">
        <v>2049</v>
      </c>
      <c r="P3588" s="11" t="s">
        <v>75</v>
      </c>
      <c r="Q3588" s="20">
        <v>40435.0</v>
      </c>
      <c r="R3588" s="17">
        <f t="shared" si="2"/>
        <v>125.9959704</v>
      </c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>
        <f t="shared" si="8"/>
        <v>4</v>
      </c>
      <c r="AF3588" s="19" t="b">
        <f t="shared" si="13"/>
        <v>0</v>
      </c>
      <c r="AG3588" s="9"/>
      <c r="AH3588" s="9"/>
      <c r="AI3588" s="9"/>
    </row>
    <row r="3589" ht="15.0" customHeight="1">
      <c r="A3589" s="11">
        <v>3588.0</v>
      </c>
      <c r="B3589" s="12">
        <f t="shared" si="573"/>
        <v>40433</v>
      </c>
      <c r="C3589" s="13">
        <v>2010.0</v>
      </c>
      <c r="D3589" s="11" t="s">
        <v>102</v>
      </c>
      <c r="E3589" s="11">
        <v>8.0</v>
      </c>
      <c r="F3589" s="21" t="s">
        <v>762</v>
      </c>
      <c r="G3589" s="15">
        <v>0.04543021032504776</v>
      </c>
      <c r="H3589" s="11" t="s">
        <v>33</v>
      </c>
      <c r="I3589" s="16">
        <v>4.648</v>
      </c>
      <c r="J3589" s="11" t="s">
        <v>1010</v>
      </c>
      <c r="K3589" s="11" t="s">
        <v>35</v>
      </c>
      <c r="L3589" s="11" t="s">
        <v>48</v>
      </c>
      <c r="M3589" s="11" t="s">
        <v>28</v>
      </c>
      <c r="N3589" s="11" t="s">
        <v>62</v>
      </c>
      <c r="O3589" s="11" t="s">
        <v>955</v>
      </c>
      <c r="P3589" s="11" t="s">
        <v>99</v>
      </c>
      <c r="Q3589" s="20">
        <v>40435.0</v>
      </c>
      <c r="R3589" s="17">
        <f t="shared" si="2"/>
        <v>4.536115641</v>
      </c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>
        <f t="shared" si="8"/>
        <v>4</v>
      </c>
      <c r="AF3589" s="19">
        <f t="shared" si="13"/>
        <v>2</v>
      </c>
      <c r="AG3589" s="9"/>
      <c r="AH3589" s="9"/>
      <c r="AI3589" s="9"/>
    </row>
    <row r="3590" ht="15.0" customHeight="1">
      <c r="A3590" s="11">
        <v>3589.0</v>
      </c>
      <c r="B3590" s="12">
        <f t="shared" ref="B3590:B3595" si="574">DATE(2012,12,31)-840</f>
        <v>40434</v>
      </c>
      <c r="C3590" s="13">
        <v>2010.0</v>
      </c>
      <c r="D3590" s="11" t="s">
        <v>32</v>
      </c>
      <c r="E3590" s="11">
        <v>22.0</v>
      </c>
      <c r="F3590" s="21" t="s">
        <v>1182</v>
      </c>
      <c r="G3590" s="15">
        <v>0.10183908045976993</v>
      </c>
      <c r="H3590" s="11" t="s">
        <v>33</v>
      </c>
      <c r="I3590" s="16">
        <v>6.224</v>
      </c>
      <c r="J3590" s="11" t="s">
        <v>2238</v>
      </c>
      <c r="K3590" s="11" t="s">
        <v>65</v>
      </c>
      <c r="L3590" s="11" t="s">
        <v>41</v>
      </c>
      <c r="M3590" s="11" t="s">
        <v>28</v>
      </c>
      <c r="N3590" s="11" t="s">
        <v>42</v>
      </c>
      <c r="O3590" s="11" t="s">
        <v>1311</v>
      </c>
      <c r="P3590" s="11" t="s">
        <v>38</v>
      </c>
      <c r="Q3590" s="20">
        <v>40436.0</v>
      </c>
      <c r="R3590" s="17">
        <f t="shared" si="2"/>
        <v>12.7323292</v>
      </c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>
        <f t="shared" si="8"/>
        <v>3</v>
      </c>
      <c r="AF3590" s="19">
        <f t="shared" si="13"/>
        <v>5</v>
      </c>
      <c r="AG3590" s="9"/>
      <c r="AH3590" s="9"/>
      <c r="AI3590" s="9"/>
    </row>
    <row r="3591" ht="15.0" customHeight="1">
      <c r="A3591" s="11">
        <v>3590.0</v>
      </c>
      <c r="B3591" s="12">
        <f t="shared" si="574"/>
        <v>40434</v>
      </c>
      <c r="C3591" s="13">
        <v>2010.0</v>
      </c>
      <c r="D3591" s="11" t="s">
        <v>39</v>
      </c>
      <c r="E3591" s="11">
        <v>21.0</v>
      </c>
      <c r="F3591" s="21" t="s">
        <v>956</v>
      </c>
      <c r="G3591" s="15">
        <v>0.038176527643064916</v>
      </c>
      <c r="H3591" s="11" t="s">
        <v>33</v>
      </c>
      <c r="I3591" s="16">
        <v>4.664000000000001</v>
      </c>
      <c r="J3591" s="11" t="s">
        <v>1021</v>
      </c>
      <c r="K3591" s="11" t="s">
        <v>61</v>
      </c>
      <c r="L3591" s="11" t="s">
        <v>27</v>
      </c>
      <c r="M3591" s="11" t="s">
        <v>28</v>
      </c>
      <c r="N3591" s="11" t="s">
        <v>42</v>
      </c>
      <c r="O3591" s="11" t="s">
        <v>2396</v>
      </c>
      <c r="P3591" s="11" t="s">
        <v>38</v>
      </c>
      <c r="Q3591" s="20">
        <v>40436.0</v>
      </c>
      <c r="R3591" s="17">
        <f t="shared" si="2"/>
        <v>3.785737187</v>
      </c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>
        <f t="shared" si="8"/>
        <v>1</v>
      </c>
      <c r="AF3591" s="19">
        <f t="shared" si="13"/>
        <v>4</v>
      </c>
      <c r="AG3591" s="9"/>
      <c r="AH3591" s="9"/>
      <c r="AI3591" s="9"/>
    </row>
    <row r="3592" ht="15.0" customHeight="1">
      <c r="A3592" s="11">
        <v>3591.0</v>
      </c>
      <c r="B3592" s="12">
        <f t="shared" si="574"/>
        <v>40434</v>
      </c>
      <c r="C3592" s="13">
        <v>2010.0</v>
      </c>
      <c r="D3592" s="11" t="s">
        <v>39</v>
      </c>
      <c r="E3592" s="11">
        <v>18.0</v>
      </c>
      <c r="F3592" s="21" t="s">
        <v>96</v>
      </c>
      <c r="G3592" s="15">
        <v>0.025578947368421166</v>
      </c>
      <c r="H3592" s="11" t="s">
        <v>33</v>
      </c>
      <c r="I3592" s="16">
        <v>7.192</v>
      </c>
      <c r="J3592" s="11" t="s">
        <v>1021</v>
      </c>
      <c r="K3592" s="11" t="s">
        <v>61</v>
      </c>
      <c r="L3592" s="11" t="s">
        <v>27</v>
      </c>
      <c r="M3592" s="11" t="s">
        <v>66</v>
      </c>
      <c r="N3592" s="11" t="s">
        <v>67</v>
      </c>
      <c r="O3592" s="11" t="s">
        <v>2424</v>
      </c>
      <c r="P3592" s="11" t="s">
        <v>99</v>
      </c>
      <c r="Q3592" s="20">
        <v>40436.0</v>
      </c>
      <c r="R3592" s="17">
        <f t="shared" si="2"/>
        <v>13.25992168</v>
      </c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>
        <f t="shared" si="8"/>
        <v>1</v>
      </c>
      <c r="AF3592" s="19">
        <f t="shared" si="13"/>
        <v>4</v>
      </c>
      <c r="AG3592" s="9"/>
      <c r="AH3592" s="9"/>
      <c r="AI3592" s="9"/>
    </row>
    <row r="3593" ht="15.0" customHeight="1">
      <c r="A3593" s="11">
        <v>3592.0</v>
      </c>
      <c r="B3593" s="12">
        <f t="shared" si="574"/>
        <v>40434</v>
      </c>
      <c r="C3593" s="13">
        <v>2010.0</v>
      </c>
      <c r="D3593" s="11" t="s">
        <v>39</v>
      </c>
      <c r="E3593" s="11">
        <v>10.0</v>
      </c>
      <c r="F3593" s="21" t="s">
        <v>135</v>
      </c>
      <c r="G3593" s="15">
        <v>0.050208044382801534</v>
      </c>
      <c r="H3593" s="11" t="s">
        <v>33</v>
      </c>
      <c r="I3593" s="16">
        <v>2.4800000000000004</v>
      </c>
      <c r="J3593" s="11" t="s">
        <v>196</v>
      </c>
      <c r="K3593" s="11" t="s">
        <v>65</v>
      </c>
      <c r="L3593" s="11" t="s">
        <v>27</v>
      </c>
      <c r="M3593" s="11" t="s">
        <v>28</v>
      </c>
      <c r="N3593" s="11" t="s">
        <v>56</v>
      </c>
      <c r="O3593" s="11" t="s">
        <v>2150</v>
      </c>
      <c r="P3593" s="11" t="s">
        <v>58</v>
      </c>
      <c r="Q3593" s="20">
        <v>40436.0</v>
      </c>
      <c r="R3593" s="17">
        <f t="shared" si="2"/>
        <v>3.438246879</v>
      </c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>
        <f t="shared" si="8"/>
        <v>1</v>
      </c>
      <c r="AF3593" s="19">
        <f t="shared" si="13"/>
        <v>5</v>
      </c>
      <c r="AG3593" s="9"/>
      <c r="AH3593" s="9"/>
      <c r="AI3593" s="9"/>
    </row>
    <row r="3594" ht="15.0" customHeight="1">
      <c r="A3594" s="11">
        <v>3593.0</v>
      </c>
      <c r="B3594" s="12">
        <f t="shared" si="574"/>
        <v>40434</v>
      </c>
      <c r="C3594" s="13">
        <v>2010.0</v>
      </c>
      <c r="D3594" s="11" t="s">
        <v>44</v>
      </c>
      <c r="E3594" s="11">
        <v>20.0</v>
      </c>
      <c r="F3594" s="21" t="s">
        <v>933</v>
      </c>
      <c r="G3594" s="15">
        <v>0.025868487731152225</v>
      </c>
      <c r="H3594" s="11" t="s">
        <v>33</v>
      </c>
      <c r="I3594" s="16">
        <v>4.0</v>
      </c>
      <c r="J3594" s="11" t="s">
        <v>2064</v>
      </c>
      <c r="K3594" s="11" t="s">
        <v>61</v>
      </c>
      <c r="L3594" s="11" t="s">
        <v>27</v>
      </c>
      <c r="M3594" s="11" t="s">
        <v>66</v>
      </c>
      <c r="N3594" s="11" t="s">
        <v>80</v>
      </c>
      <c r="O3594" s="11" t="s">
        <v>1023</v>
      </c>
      <c r="P3594" s="11" t="s">
        <v>99</v>
      </c>
      <c r="Q3594" s="20">
        <v>40436.0</v>
      </c>
      <c r="R3594" s="17">
        <f t="shared" si="2"/>
        <v>29.02444323</v>
      </c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>
        <f t="shared" si="8"/>
        <v>1</v>
      </c>
      <c r="AF3594" s="19">
        <f t="shared" si="13"/>
        <v>4</v>
      </c>
      <c r="AG3594" s="9"/>
      <c r="AH3594" s="9"/>
      <c r="AI3594" s="9"/>
    </row>
    <row r="3595" ht="15.0" customHeight="1">
      <c r="A3595" s="11">
        <v>3594.0</v>
      </c>
      <c r="B3595" s="12">
        <f t="shared" si="574"/>
        <v>40434</v>
      </c>
      <c r="C3595" s="13">
        <v>2010.0</v>
      </c>
      <c r="D3595" s="11" t="s">
        <v>23</v>
      </c>
      <c r="E3595" s="11">
        <v>4.0</v>
      </c>
      <c r="F3595" s="21" t="s">
        <v>683</v>
      </c>
      <c r="G3595" s="15">
        <v>0.019183517741320183</v>
      </c>
      <c r="H3595" s="11" t="s">
        <v>24</v>
      </c>
      <c r="I3595" s="16">
        <v>8.672</v>
      </c>
      <c r="J3595" s="11" t="s">
        <v>444</v>
      </c>
      <c r="K3595" s="11" t="s">
        <v>61</v>
      </c>
      <c r="L3595" s="11" t="s">
        <v>36</v>
      </c>
      <c r="M3595" s="11" t="s">
        <v>49</v>
      </c>
      <c r="N3595" s="11" t="s">
        <v>73</v>
      </c>
      <c r="O3595" s="11" t="s">
        <v>684</v>
      </c>
      <c r="P3595" s="11" t="s">
        <v>75</v>
      </c>
      <c r="Q3595" s="20">
        <v>40436.0</v>
      </c>
      <c r="R3595" s="17">
        <f t="shared" si="2"/>
        <v>4.931545273</v>
      </c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>
        <f t="shared" si="8"/>
        <v>2</v>
      </c>
      <c r="AF3595" s="19">
        <f t="shared" si="13"/>
        <v>4</v>
      </c>
      <c r="AG3595" s="9"/>
      <c r="AH3595" s="9"/>
      <c r="AI3595" s="9"/>
    </row>
    <row r="3596" ht="15.0" customHeight="1">
      <c r="A3596" s="11">
        <v>3595.0</v>
      </c>
      <c r="B3596" s="12">
        <f t="shared" ref="B3596:B3606" si="575">DATE(2012,12,31)-839</f>
        <v>40435</v>
      </c>
      <c r="C3596" s="13">
        <v>2010.0</v>
      </c>
      <c r="D3596" s="11" t="s">
        <v>102</v>
      </c>
      <c r="E3596" s="11">
        <v>47.0</v>
      </c>
      <c r="F3596" s="21" t="s">
        <v>737</v>
      </c>
      <c r="G3596" s="15">
        <v>0.05845075070120445</v>
      </c>
      <c r="H3596" s="11" t="s">
        <v>33</v>
      </c>
      <c r="I3596" s="16">
        <v>3.192</v>
      </c>
      <c r="J3596" s="11" t="s">
        <v>2009</v>
      </c>
      <c r="K3596" s="11" t="s">
        <v>65</v>
      </c>
      <c r="L3596" s="11" t="s">
        <v>41</v>
      </c>
      <c r="M3596" s="11" t="s">
        <v>28</v>
      </c>
      <c r="N3596" s="11" t="s">
        <v>197</v>
      </c>
      <c r="O3596" s="11" t="s">
        <v>739</v>
      </c>
      <c r="P3596" s="11" t="s">
        <v>38</v>
      </c>
      <c r="Q3596" s="20">
        <v>40437.0</v>
      </c>
      <c r="R3596" s="17">
        <f t="shared" si="2"/>
        <v>133.425061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>
        <f t="shared" si="8"/>
        <v>3</v>
      </c>
      <c r="AF3596" s="19">
        <f t="shared" si="13"/>
        <v>5</v>
      </c>
      <c r="AG3596" s="9"/>
      <c r="AH3596" s="9"/>
      <c r="AI3596" s="9"/>
    </row>
    <row r="3597" ht="15.0" customHeight="1">
      <c r="A3597" s="11">
        <v>3596.0</v>
      </c>
      <c r="B3597" s="12">
        <f t="shared" si="575"/>
        <v>40435</v>
      </c>
      <c r="C3597" s="13">
        <v>2010.0</v>
      </c>
      <c r="D3597" s="11" t="s">
        <v>102</v>
      </c>
      <c r="E3597" s="11">
        <v>13.0</v>
      </c>
      <c r="F3597" s="21" t="s">
        <v>1124</v>
      </c>
      <c r="G3597" s="15">
        <v>0.0766910746091431</v>
      </c>
      <c r="H3597" s="11" t="s">
        <v>33</v>
      </c>
      <c r="I3597" s="16">
        <v>5.048</v>
      </c>
      <c r="J3597" s="11" t="s">
        <v>2009</v>
      </c>
      <c r="K3597" s="11" t="s">
        <v>65</v>
      </c>
      <c r="L3597" s="11" t="s">
        <v>41</v>
      </c>
      <c r="M3597" s="11" t="s">
        <v>28</v>
      </c>
      <c r="N3597" s="11" t="s">
        <v>29</v>
      </c>
      <c r="O3597" s="11" t="s">
        <v>1125</v>
      </c>
      <c r="P3597" s="11" t="s">
        <v>38</v>
      </c>
      <c r="Q3597" s="20">
        <v>40437.0</v>
      </c>
      <c r="R3597" s="17">
        <f t="shared" si="2"/>
        <v>35.78006748</v>
      </c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>
        <f t="shared" si="8"/>
        <v>3</v>
      </c>
      <c r="AF3597" s="19">
        <f t="shared" si="13"/>
        <v>5</v>
      </c>
      <c r="AG3597" s="9"/>
      <c r="AH3597" s="9"/>
      <c r="AI3597" s="9"/>
    </row>
    <row r="3598" ht="15.0" customHeight="1">
      <c r="A3598" s="11">
        <v>3597.0</v>
      </c>
      <c r="B3598" s="12">
        <f t="shared" si="575"/>
        <v>40435</v>
      </c>
      <c r="C3598" s="13">
        <v>2010.0</v>
      </c>
      <c r="D3598" s="11" t="s">
        <v>32</v>
      </c>
      <c r="E3598" s="11">
        <v>16.0</v>
      </c>
      <c r="F3598" s="21" t="s">
        <v>1207</v>
      </c>
      <c r="G3598" s="15">
        <v>0.06750255885363356</v>
      </c>
      <c r="H3598" s="11" t="s">
        <v>45</v>
      </c>
      <c r="I3598" s="16">
        <v>20.96</v>
      </c>
      <c r="J3598" s="11" t="s">
        <v>1872</v>
      </c>
      <c r="K3598" s="11" t="s">
        <v>35</v>
      </c>
      <c r="L3598" s="11" t="s">
        <v>48</v>
      </c>
      <c r="M3598" s="11" t="s">
        <v>49</v>
      </c>
      <c r="N3598" s="11" t="s">
        <v>50</v>
      </c>
      <c r="O3598" s="11" t="s">
        <v>1208</v>
      </c>
      <c r="P3598" s="11" t="s">
        <v>52</v>
      </c>
      <c r="Q3598" s="20">
        <v>40437.0</v>
      </c>
      <c r="R3598" s="17">
        <f t="shared" si="2"/>
        <v>196.79426</v>
      </c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>
        <f t="shared" si="8"/>
        <v>4</v>
      </c>
      <c r="AF3598" s="19">
        <f t="shared" si="13"/>
        <v>2</v>
      </c>
      <c r="AG3598" s="9"/>
      <c r="AH3598" s="9"/>
      <c r="AI3598" s="9"/>
    </row>
    <row r="3599" ht="15.0" customHeight="1">
      <c r="A3599" s="11">
        <v>3598.0</v>
      </c>
      <c r="B3599" s="12">
        <f t="shared" si="575"/>
        <v>40435</v>
      </c>
      <c r="C3599" s="13">
        <v>2010.0</v>
      </c>
      <c r="D3599" s="11" t="s">
        <v>32</v>
      </c>
      <c r="E3599" s="11">
        <v>37.0</v>
      </c>
      <c r="F3599" s="21" t="s">
        <v>2425</v>
      </c>
      <c r="G3599" s="15">
        <v>0.03998571683627929</v>
      </c>
      <c r="H3599" s="11" t="s">
        <v>45</v>
      </c>
      <c r="I3599" s="16">
        <v>51.36000000000001</v>
      </c>
      <c r="J3599" s="11" t="s">
        <v>1872</v>
      </c>
      <c r="K3599" s="11" t="s">
        <v>35</v>
      </c>
      <c r="L3599" s="11" t="s">
        <v>48</v>
      </c>
      <c r="M3599" s="11" t="s">
        <v>49</v>
      </c>
      <c r="N3599" s="11" t="s">
        <v>50</v>
      </c>
      <c r="O3599" s="11" t="s">
        <v>2426</v>
      </c>
      <c r="P3599" s="11" t="s">
        <v>52</v>
      </c>
      <c r="Q3599" s="20">
        <v>40437.0</v>
      </c>
      <c r="R3599" s="17">
        <f t="shared" si="2"/>
        <v>322.5071983</v>
      </c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>
        <f t="shared" si="8"/>
        <v>4</v>
      </c>
      <c r="AF3599" s="19">
        <f t="shared" si="13"/>
        <v>2</v>
      </c>
      <c r="AG3599" s="9"/>
      <c r="AH3599" s="9"/>
      <c r="AI3599" s="9"/>
    </row>
    <row r="3600" ht="15.0" customHeight="1">
      <c r="A3600" s="11">
        <v>3599.0</v>
      </c>
      <c r="B3600" s="12">
        <f t="shared" si="575"/>
        <v>40435</v>
      </c>
      <c r="C3600" s="13">
        <v>2010.0</v>
      </c>
      <c r="D3600" s="11" t="s">
        <v>32</v>
      </c>
      <c r="E3600" s="11">
        <v>18.0</v>
      </c>
      <c r="F3600" s="21" t="s">
        <v>135</v>
      </c>
      <c r="G3600" s="15">
        <v>0.01567741935483873</v>
      </c>
      <c r="H3600" s="11" t="s">
        <v>33</v>
      </c>
      <c r="I3600" s="16">
        <v>3.2560000000000002</v>
      </c>
      <c r="J3600" s="11" t="s">
        <v>1872</v>
      </c>
      <c r="K3600" s="11" t="s">
        <v>35</v>
      </c>
      <c r="L3600" s="11" t="s">
        <v>48</v>
      </c>
      <c r="M3600" s="11" t="s">
        <v>66</v>
      </c>
      <c r="N3600" s="11" t="s">
        <v>67</v>
      </c>
      <c r="O3600" s="11" t="s">
        <v>2406</v>
      </c>
      <c r="P3600" s="11" t="s">
        <v>99</v>
      </c>
      <c r="Q3600" s="20">
        <v>40437.0</v>
      </c>
      <c r="R3600" s="17">
        <f t="shared" si="2"/>
        <v>1.913523097</v>
      </c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>
        <f t="shared" si="8"/>
        <v>4</v>
      </c>
      <c r="AF3600" s="19">
        <f t="shared" si="13"/>
        <v>2</v>
      </c>
      <c r="AG3600" s="9"/>
      <c r="AH3600" s="9"/>
      <c r="AI3600" s="9"/>
    </row>
    <row r="3601" ht="15.0" customHeight="1">
      <c r="A3601" s="11">
        <v>3600.0</v>
      </c>
      <c r="B3601" s="12">
        <f t="shared" si="575"/>
        <v>40435</v>
      </c>
      <c r="C3601" s="13">
        <v>2010.0</v>
      </c>
      <c r="D3601" s="11" t="s">
        <v>23</v>
      </c>
      <c r="E3601" s="11">
        <v>23.0</v>
      </c>
      <c r="F3601" s="21" t="s">
        <v>473</v>
      </c>
      <c r="G3601" s="15">
        <v>0.09342390234298088</v>
      </c>
      <c r="H3601" s="11" t="s">
        <v>33</v>
      </c>
      <c r="I3601" s="16">
        <v>3.2</v>
      </c>
      <c r="J3601" s="11" t="s">
        <v>2169</v>
      </c>
      <c r="K3601" s="11" t="s">
        <v>26</v>
      </c>
      <c r="L3601" s="11" t="s">
        <v>48</v>
      </c>
      <c r="M3601" s="11" t="s">
        <v>66</v>
      </c>
      <c r="N3601" s="11" t="s">
        <v>67</v>
      </c>
      <c r="O3601" s="11" t="s">
        <v>1019</v>
      </c>
      <c r="P3601" s="11" t="s">
        <v>38</v>
      </c>
      <c r="Q3601" s="20">
        <v>40437.0</v>
      </c>
      <c r="R3601" s="17">
        <f t="shared" si="2"/>
        <v>86.03407167</v>
      </c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>
        <f t="shared" si="8"/>
        <v>4</v>
      </c>
      <c r="AF3601" s="19">
        <f t="shared" si="13"/>
        <v>1</v>
      </c>
      <c r="AG3601" s="9"/>
      <c r="AH3601" s="9"/>
      <c r="AI3601" s="9"/>
    </row>
    <row r="3602" ht="15.0" customHeight="1">
      <c r="A3602" s="11">
        <v>3601.0</v>
      </c>
      <c r="B3602" s="12">
        <f t="shared" si="575"/>
        <v>40435</v>
      </c>
      <c r="C3602" s="13">
        <v>2010.0</v>
      </c>
      <c r="D3602" s="11" t="s">
        <v>23</v>
      </c>
      <c r="E3602" s="11">
        <v>19.0</v>
      </c>
      <c r="F3602" s="21" t="s">
        <v>1184</v>
      </c>
      <c r="G3602" s="15">
        <v>0.09412849872773536</v>
      </c>
      <c r="H3602" s="11" t="s">
        <v>33</v>
      </c>
      <c r="I3602" s="16">
        <v>5.312</v>
      </c>
      <c r="J3602" s="11" t="s">
        <v>2169</v>
      </c>
      <c r="K3602" s="11" t="s">
        <v>26</v>
      </c>
      <c r="L3602" s="11" t="s">
        <v>48</v>
      </c>
      <c r="M3602" s="11" t="s">
        <v>28</v>
      </c>
      <c r="N3602" s="11" t="s">
        <v>29</v>
      </c>
      <c r="O3602" s="11" t="s">
        <v>1186</v>
      </c>
      <c r="P3602" s="11" t="s">
        <v>38</v>
      </c>
      <c r="Q3602" s="20">
        <v>40437.0</v>
      </c>
      <c r="R3602" s="17">
        <f t="shared" si="2"/>
        <v>53.61672242</v>
      </c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>
        <f t="shared" si="8"/>
        <v>4</v>
      </c>
      <c r="AF3602" s="19">
        <f t="shared" si="13"/>
        <v>1</v>
      </c>
      <c r="AG3602" s="9"/>
      <c r="AH3602" s="9"/>
      <c r="AI3602" s="9"/>
    </row>
    <row r="3603" ht="15.0" customHeight="1">
      <c r="A3603" s="11">
        <v>3602.0</v>
      </c>
      <c r="B3603" s="12">
        <f t="shared" si="575"/>
        <v>40435</v>
      </c>
      <c r="C3603" s="13">
        <v>2010.0</v>
      </c>
      <c r="D3603" s="11" t="s">
        <v>102</v>
      </c>
      <c r="E3603" s="11">
        <v>26.0</v>
      </c>
      <c r="F3603" s="21" t="s">
        <v>641</v>
      </c>
      <c r="G3603" s="15">
        <v>0.08196817625459006</v>
      </c>
      <c r="H3603" s="11" t="s">
        <v>24</v>
      </c>
      <c r="I3603" s="16">
        <v>5.816</v>
      </c>
      <c r="J3603" s="11" t="s">
        <v>2052</v>
      </c>
      <c r="K3603" s="11" t="s">
        <v>65</v>
      </c>
      <c r="L3603" s="11" t="s">
        <v>48</v>
      </c>
      <c r="M3603" s="11" t="s">
        <v>28</v>
      </c>
      <c r="N3603" s="11" t="s">
        <v>42</v>
      </c>
      <c r="O3603" s="11" t="s">
        <v>642</v>
      </c>
      <c r="P3603" s="11" t="s">
        <v>38</v>
      </c>
      <c r="Q3603" s="20">
        <v>40437.0</v>
      </c>
      <c r="R3603" s="17">
        <f t="shared" si="2"/>
        <v>30.73937759</v>
      </c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>
        <f t="shared" si="8"/>
        <v>4</v>
      </c>
      <c r="AF3603" s="19">
        <f t="shared" si="13"/>
        <v>5</v>
      </c>
      <c r="AG3603" s="9"/>
      <c r="AH3603" s="9"/>
      <c r="AI3603" s="9"/>
    </row>
    <row r="3604" ht="15.0" customHeight="1">
      <c r="A3604" s="11">
        <v>3603.0</v>
      </c>
      <c r="B3604" s="12">
        <f t="shared" si="575"/>
        <v>40435</v>
      </c>
      <c r="C3604" s="13">
        <v>2010.0</v>
      </c>
      <c r="D3604" s="11" t="s">
        <v>102</v>
      </c>
      <c r="E3604" s="11">
        <v>45.0</v>
      </c>
      <c r="F3604" s="21" t="s">
        <v>740</v>
      </c>
      <c r="G3604" s="15">
        <v>0.08300061576771361</v>
      </c>
      <c r="H3604" s="11" t="s">
        <v>33</v>
      </c>
      <c r="I3604" s="16">
        <v>11.192</v>
      </c>
      <c r="J3604" s="11" t="s">
        <v>2052</v>
      </c>
      <c r="K3604" s="11" t="s">
        <v>65</v>
      </c>
      <c r="L3604" s="11" t="s">
        <v>48</v>
      </c>
      <c r="M3604" s="11" t="s">
        <v>66</v>
      </c>
      <c r="N3604" s="11" t="s">
        <v>69</v>
      </c>
      <c r="O3604" s="11" t="s">
        <v>2024</v>
      </c>
      <c r="P3604" s="11" t="s">
        <v>75</v>
      </c>
      <c r="Q3604" s="20">
        <v>40437.0</v>
      </c>
      <c r="R3604" s="17">
        <f t="shared" si="2"/>
        <v>1124.798781</v>
      </c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>
        <f t="shared" si="8"/>
        <v>4</v>
      </c>
      <c r="AF3604" s="19">
        <f t="shared" si="13"/>
        <v>5</v>
      </c>
      <c r="AG3604" s="9"/>
      <c r="AH3604" s="9"/>
      <c r="AI3604" s="9"/>
    </row>
    <row r="3605" ht="15.0" customHeight="1">
      <c r="A3605" s="11">
        <v>3604.0</v>
      </c>
      <c r="B3605" s="12">
        <f t="shared" si="575"/>
        <v>40435</v>
      </c>
      <c r="C3605" s="13">
        <v>2010.0</v>
      </c>
      <c r="D3605" s="11" t="s">
        <v>102</v>
      </c>
      <c r="E3605" s="11">
        <v>21.0</v>
      </c>
      <c r="F3605" s="21" t="s">
        <v>336</v>
      </c>
      <c r="G3605" s="15">
        <v>0.00840064620355417</v>
      </c>
      <c r="H3605" s="11" t="s">
        <v>24</v>
      </c>
      <c r="I3605" s="16">
        <v>0.96</v>
      </c>
      <c r="J3605" s="11" t="s">
        <v>2052</v>
      </c>
      <c r="K3605" s="11" t="s">
        <v>65</v>
      </c>
      <c r="L3605" s="11" t="s">
        <v>48</v>
      </c>
      <c r="M3605" s="11" t="s">
        <v>28</v>
      </c>
      <c r="N3605" s="11" t="s">
        <v>62</v>
      </c>
      <c r="O3605" s="11" t="s">
        <v>1540</v>
      </c>
      <c r="P3605" s="11" t="s">
        <v>58</v>
      </c>
      <c r="Q3605" s="20">
        <v>40437.0</v>
      </c>
      <c r="R3605" s="17">
        <f t="shared" si="2"/>
        <v>1.031263328</v>
      </c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>
        <f t="shared" si="8"/>
        <v>4</v>
      </c>
      <c r="AF3605" s="19">
        <f t="shared" si="13"/>
        <v>5</v>
      </c>
      <c r="AG3605" s="9"/>
      <c r="AH3605" s="9"/>
      <c r="AI3605" s="9"/>
    </row>
    <row r="3606" ht="15.0" customHeight="1">
      <c r="A3606" s="11">
        <v>3605.0</v>
      </c>
      <c r="B3606" s="12">
        <f t="shared" si="575"/>
        <v>40435</v>
      </c>
      <c r="C3606" s="13">
        <v>2010.0</v>
      </c>
      <c r="D3606" s="11" t="s">
        <v>102</v>
      </c>
      <c r="E3606" s="11">
        <v>45.0</v>
      </c>
      <c r="F3606" s="21" t="s">
        <v>834</v>
      </c>
      <c r="G3606" s="15">
        <v>0.039100691121743775</v>
      </c>
      <c r="H3606" s="11" t="s">
        <v>45</v>
      </c>
      <c r="I3606" s="16">
        <v>34.016000000000005</v>
      </c>
      <c r="J3606" s="11" t="s">
        <v>2052</v>
      </c>
      <c r="K3606" s="11" t="s">
        <v>65</v>
      </c>
      <c r="L3606" s="11" t="s">
        <v>48</v>
      </c>
      <c r="M3606" s="11" t="s">
        <v>49</v>
      </c>
      <c r="N3606" s="11" t="s">
        <v>85</v>
      </c>
      <c r="O3606" s="11" t="s">
        <v>1115</v>
      </c>
      <c r="P3606" s="11" t="s">
        <v>87</v>
      </c>
      <c r="Q3606" s="20">
        <v>40437.0</v>
      </c>
      <c r="R3606" s="17">
        <f t="shared" si="2"/>
        <v>706.7260673</v>
      </c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>
        <f t="shared" si="8"/>
        <v>4</v>
      </c>
      <c r="AF3606" s="19">
        <f t="shared" si="13"/>
        <v>5</v>
      </c>
      <c r="AG3606" s="9"/>
      <c r="AH3606" s="9"/>
      <c r="AI3606" s="9"/>
    </row>
    <row r="3607" ht="15.0" customHeight="1">
      <c r="A3607" s="11">
        <v>3606.0</v>
      </c>
      <c r="B3607" s="12">
        <f t="shared" ref="B3607:B3612" si="576">DATE(2012,12,31)-838</f>
        <v>40436</v>
      </c>
      <c r="C3607" s="13">
        <v>2010.0</v>
      </c>
      <c r="D3607" s="11" t="s">
        <v>102</v>
      </c>
      <c r="E3607" s="11">
        <v>50.0</v>
      </c>
      <c r="F3607" s="21" t="s">
        <v>158</v>
      </c>
      <c r="G3607" s="15">
        <v>0.027055324211778715</v>
      </c>
      <c r="H3607" s="11" t="s">
        <v>33</v>
      </c>
      <c r="I3607" s="16">
        <v>7.104000000000001</v>
      </c>
      <c r="J3607" s="11" t="s">
        <v>2215</v>
      </c>
      <c r="K3607" s="11" t="s">
        <v>83</v>
      </c>
      <c r="L3607" s="11" t="s">
        <v>41</v>
      </c>
      <c r="M3607" s="11" t="s">
        <v>28</v>
      </c>
      <c r="N3607" s="11" t="s">
        <v>56</v>
      </c>
      <c r="O3607" s="11" t="s">
        <v>1807</v>
      </c>
      <c r="P3607" s="11" t="s">
        <v>38</v>
      </c>
      <c r="Q3607" s="20">
        <v>40438.0</v>
      </c>
      <c r="R3607" s="17">
        <f t="shared" si="2"/>
        <v>8.849904771</v>
      </c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>
        <f t="shared" si="8"/>
        <v>3</v>
      </c>
      <c r="AF3607" s="19" t="b">
        <f t="shared" si="13"/>
        <v>0</v>
      </c>
      <c r="AG3607" s="9"/>
      <c r="AH3607" s="9"/>
      <c r="AI3607" s="9"/>
    </row>
    <row r="3608" ht="15.0" customHeight="1">
      <c r="A3608" s="11">
        <v>3607.0</v>
      </c>
      <c r="B3608" s="12">
        <f t="shared" si="576"/>
        <v>40436</v>
      </c>
      <c r="C3608" s="13">
        <v>2010.0</v>
      </c>
      <c r="D3608" s="11" t="s">
        <v>102</v>
      </c>
      <c r="E3608" s="11">
        <v>24.0</v>
      </c>
      <c r="F3608" s="21" t="s">
        <v>183</v>
      </c>
      <c r="G3608" s="15">
        <v>0.06138132295719833</v>
      </c>
      <c r="H3608" s="11" t="s">
        <v>24</v>
      </c>
      <c r="I3608" s="16">
        <v>4.36</v>
      </c>
      <c r="J3608" s="11" t="s">
        <v>2215</v>
      </c>
      <c r="K3608" s="11" t="s">
        <v>83</v>
      </c>
      <c r="L3608" s="11" t="s">
        <v>41</v>
      </c>
      <c r="M3608" s="11" t="s">
        <v>28</v>
      </c>
      <c r="N3608" s="11" t="s">
        <v>62</v>
      </c>
      <c r="O3608" s="11" t="s">
        <v>1994</v>
      </c>
      <c r="P3608" s="11" t="s">
        <v>99</v>
      </c>
      <c r="Q3608" s="20">
        <v>40438.0</v>
      </c>
      <c r="R3608" s="17">
        <f t="shared" si="2"/>
        <v>23.69073541</v>
      </c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>
        <f t="shared" si="8"/>
        <v>3</v>
      </c>
      <c r="AF3608" s="19" t="b">
        <f t="shared" si="13"/>
        <v>0</v>
      </c>
      <c r="AG3608" s="9"/>
      <c r="AH3608" s="9"/>
      <c r="AI3608" s="9"/>
    </row>
    <row r="3609" ht="15.0" customHeight="1">
      <c r="A3609" s="11">
        <v>3608.0</v>
      </c>
      <c r="B3609" s="12">
        <f t="shared" si="576"/>
        <v>40436</v>
      </c>
      <c r="C3609" s="13">
        <v>2010.0</v>
      </c>
      <c r="D3609" s="11" t="s">
        <v>44</v>
      </c>
      <c r="E3609" s="11">
        <v>10.0</v>
      </c>
      <c r="F3609" s="21" t="s">
        <v>137</v>
      </c>
      <c r="G3609" s="15">
        <v>0.06071931866919914</v>
      </c>
      <c r="H3609" s="11" t="s">
        <v>45</v>
      </c>
      <c r="I3609" s="16">
        <v>24.0</v>
      </c>
      <c r="J3609" s="11" t="s">
        <v>465</v>
      </c>
      <c r="K3609" s="11" t="s">
        <v>61</v>
      </c>
      <c r="L3609" s="11" t="s">
        <v>41</v>
      </c>
      <c r="M3609" s="11" t="s">
        <v>49</v>
      </c>
      <c r="N3609" s="11" t="s">
        <v>50</v>
      </c>
      <c r="O3609" s="11" t="s">
        <v>139</v>
      </c>
      <c r="P3609" s="11" t="s">
        <v>52</v>
      </c>
      <c r="Q3609" s="20">
        <v>40438.0</v>
      </c>
      <c r="R3609" s="17">
        <f t="shared" si="2"/>
        <v>93.08271552</v>
      </c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>
        <f t="shared" si="8"/>
        <v>3</v>
      </c>
      <c r="AF3609" s="19">
        <f t="shared" si="13"/>
        <v>4</v>
      </c>
      <c r="AG3609" s="9"/>
      <c r="AH3609" s="9"/>
      <c r="AI3609" s="9"/>
    </row>
    <row r="3610" ht="15.0" customHeight="1">
      <c r="A3610" s="11">
        <v>3609.0</v>
      </c>
      <c r="B3610" s="12">
        <f t="shared" si="576"/>
        <v>40436</v>
      </c>
      <c r="C3610" s="13">
        <v>2010.0</v>
      </c>
      <c r="D3610" s="11" t="s">
        <v>44</v>
      </c>
      <c r="E3610" s="11">
        <v>39.0</v>
      </c>
      <c r="F3610" s="21" t="s">
        <v>333</v>
      </c>
      <c r="G3610" s="15">
        <v>0.04312605042016811</v>
      </c>
      <c r="H3610" s="11" t="s">
        <v>33</v>
      </c>
      <c r="I3610" s="16">
        <v>0.768</v>
      </c>
      <c r="J3610" s="11" t="s">
        <v>1950</v>
      </c>
      <c r="K3610" s="11" t="s">
        <v>65</v>
      </c>
      <c r="L3610" s="11" t="s">
        <v>36</v>
      </c>
      <c r="M3610" s="11" t="s">
        <v>28</v>
      </c>
      <c r="N3610" s="11" t="s">
        <v>62</v>
      </c>
      <c r="O3610" s="11" t="s">
        <v>549</v>
      </c>
      <c r="P3610" s="11" t="s">
        <v>58</v>
      </c>
      <c r="Q3610" s="20">
        <v>40438.0</v>
      </c>
      <c r="R3610" s="17">
        <f t="shared" si="2"/>
        <v>4.910677109</v>
      </c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>
        <f t="shared" si="8"/>
        <v>2</v>
      </c>
      <c r="AF3610" s="19">
        <f t="shared" si="13"/>
        <v>5</v>
      </c>
      <c r="AG3610" s="9"/>
      <c r="AH3610" s="9"/>
      <c r="AI3610" s="9"/>
    </row>
    <row r="3611" ht="15.0" customHeight="1">
      <c r="A3611" s="11">
        <v>3610.0</v>
      </c>
      <c r="B3611" s="12">
        <f t="shared" si="576"/>
        <v>40436</v>
      </c>
      <c r="C3611" s="13">
        <v>2010.0</v>
      </c>
      <c r="D3611" s="11" t="s">
        <v>44</v>
      </c>
      <c r="E3611" s="11">
        <v>46.0</v>
      </c>
      <c r="F3611" s="21" t="s">
        <v>752</v>
      </c>
      <c r="G3611" s="15">
        <v>0.06039124391938864</v>
      </c>
      <c r="H3611" s="11" t="s">
        <v>24</v>
      </c>
      <c r="I3611" s="16">
        <v>19.592</v>
      </c>
      <c r="J3611" s="11" t="s">
        <v>120</v>
      </c>
      <c r="K3611" s="11" t="s">
        <v>35</v>
      </c>
      <c r="L3611" s="11" t="s">
        <v>27</v>
      </c>
      <c r="M3611" s="11" t="s">
        <v>66</v>
      </c>
      <c r="N3611" s="11" t="s">
        <v>170</v>
      </c>
      <c r="O3611" s="11" t="s">
        <v>753</v>
      </c>
      <c r="P3611" s="11" t="s">
        <v>31</v>
      </c>
      <c r="Q3611" s="20">
        <v>40439.0</v>
      </c>
      <c r="R3611" s="17">
        <f t="shared" si="2"/>
        <v>1389.903996</v>
      </c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>
        <f t="shared" si="8"/>
        <v>1</v>
      </c>
      <c r="AF3611" s="19">
        <f t="shared" si="13"/>
        <v>2</v>
      </c>
      <c r="AG3611" s="9"/>
      <c r="AH3611" s="9"/>
      <c r="AI3611" s="9"/>
    </row>
    <row r="3612" ht="15.0" customHeight="1">
      <c r="A3612" s="11">
        <v>3611.0</v>
      </c>
      <c r="B3612" s="12">
        <f t="shared" si="576"/>
        <v>40436</v>
      </c>
      <c r="C3612" s="13">
        <v>2010.0</v>
      </c>
      <c r="D3612" s="11" t="s">
        <v>32</v>
      </c>
      <c r="E3612" s="11">
        <v>39.0</v>
      </c>
      <c r="F3612" s="21" t="s">
        <v>110</v>
      </c>
      <c r="G3612" s="15">
        <v>0.030066028561191626</v>
      </c>
      <c r="H3612" s="11" t="s">
        <v>45</v>
      </c>
      <c r="I3612" s="16">
        <v>14.280000000000001</v>
      </c>
      <c r="J3612" s="11" t="s">
        <v>850</v>
      </c>
      <c r="K3612" s="11" t="s">
        <v>61</v>
      </c>
      <c r="L3612" s="11" t="s">
        <v>36</v>
      </c>
      <c r="M3612" s="11" t="s">
        <v>66</v>
      </c>
      <c r="N3612" s="11" t="s">
        <v>69</v>
      </c>
      <c r="O3612" s="11" t="s">
        <v>111</v>
      </c>
      <c r="P3612" s="11" t="s">
        <v>52</v>
      </c>
      <c r="Q3612" s="20">
        <v>40439.0</v>
      </c>
      <c r="R3612" s="17">
        <f t="shared" si="2"/>
        <v>170.9217644</v>
      </c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>
        <f t="shared" si="8"/>
        <v>2</v>
      </c>
      <c r="AF3612" s="19">
        <f t="shared" si="13"/>
        <v>4</v>
      </c>
      <c r="AG3612" s="9"/>
      <c r="AH3612" s="9"/>
      <c r="AI3612" s="9"/>
    </row>
    <row r="3613" ht="15.0" customHeight="1">
      <c r="A3613" s="11">
        <v>3612.0</v>
      </c>
      <c r="B3613" s="12">
        <f t="shared" ref="B3613:B3624" si="577">DATE(2012,12,31)-836</f>
        <v>40438</v>
      </c>
      <c r="C3613" s="13">
        <v>2010.0</v>
      </c>
      <c r="D3613" s="11" t="s">
        <v>102</v>
      </c>
      <c r="E3613" s="11">
        <v>26.0</v>
      </c>
      <c r="F3613" s="21" t="s">
        <v>397</v>
      </c>
      <c r="G3613" s="15">
        <v>0.0935323819978047</v>
      </c>
      <c r="H3613" s="11" t="s">
        <v>33</v>
      </c>
      <c r="I3613" s="16">
        <v>1.592</v>
      </c>
      <c r="J3613" s="11" t="s">
        <v>416</v>
      </c>
      <c r="K3613" s="11" t="s">
        <v>65</v>
      </c>
      <c r="L3613" s="11" t="s">
        <v>41</v>
      </c>
      <c r="M3613" s="11" t="s">
        <v>66</v>
      </c>
      <c r="N3613" s="11" t="s">
        <v>67</v>
      </c>
      <c r="O3613" s="11" t="s">
        <v>502</v>
      </c>
      <c r="P3613" s="11" t="s">
        <v>99</v>
      </c>
      <c r="Q3613" s="20">
        <v>40439.0</v>
      </c>
      <c r="R3613" s="17">
        <f t="shared" si="2"/>
        <v>77.23829279</v>
      </c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>
        <f t="shared" si="8"/>
        <v>3</v>
      </c>
      <c r="AF3613" s="19">
        <f t="shared" si="13"/>
        <v>5</v>
      </c>
      <c r="AG3613" s="9"/>
      <c r="AH3613" s="9"/>
      <c r="AI3613" s="9"/>
    </row>
    <row r="3614" ht="15.0" customHeight="1">
      <c r="A3614" s="11">
        <v>3613.0</v>
      </c>
      <c r="B3614" s="12">
        <f t="shared" si="577"/>
        <v>40438</v>
      </c>
      <c r="C3614" s="13">
        <v>2010.0</v>
      </c>
      <c r="D3614" s="11" t="s">
        <v>102</v>
      </c>
      <c r="E3614" s="11">
        <v>19.0</v>
      </c>
      <c r="F3614" s="21" t="s">
        <v>103</v>
      </c>
      <c r="G3614" s="15">
        <v>0.025025817555938048</v>
      </c>
      <c r="H3614" s="11" t="s">
        <v>33</v>
      </c>
      <c r="I3614" s="16">
        <v>1.192</v>
      </c>
      <c r="J3614" s="11" t="s">
        <v>2136</v>
      </c>
      <c r="K3614" s="11" t="s">
        <v>61</v>
      </c>
      <c r="L3614" s="11" t="s">
        <v>27</v>
      </c>
      <c r="M3614" s="11" t="s">
        <v>28</v>
      </c>
      <c r="N3614" s="11" t="s">
        <v>42</v>
      </c>
      <c r="O3614" s="11" t="s">
        <v>1473</v>
      </c>
      <c r="P3614" s="11" t="s">
        <v>38</v>
      </c>
      <c r="Q3614" s="20">
        <v>40440.0</v>
      </c>
      <c r="R3614" s="17">
        <f t="shared" si="2"/>
        <v>2.835224923</v>
      </c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>
        <f t="shared" si="8"/>
        <v>1</v>
      </c>
      <c r="AF3614" s="19">
        <f t="shared" si="13"/>
        <v>4</v>
      </c>
      <c r="AG3614" s="9"/>
      <c r="AH3614" s="9"/>
      <c r="AI3614" s="9"/>
    </row>
    <row r="3615" ht="15.0" customHeight="1">
      <c r="A3615" s="11">
        <v>3614.0</v>
      </c>
      <c r="B3615" s="12">
        <f t="shared" si="577"/>
        <v>40438</v>
      </c>
      <c r="C3615" s="13">
        <v>2010.0</v>
      </c>
      <c r="D3615" s="11" t="s">
        <v>44</v>
      </c>
      <c r="E3615" s="11">
        <v>20.0</v>
      </c>
      <c r="F3615" s="21" t="s">
        <v>135</v>
      </c>
      <c r="G3615" s="15">
        <v>0.10979935275080906</v>
      </c>
      <c r="H3615" s="11" t="s">
        <v>33</v>
      </c>
      <c r="I3615" s="16">
        <v>5.5360000000000005</v>
      </c>
      <c r="J3615" s="11" t="s">
        <v>1218</v>
      </c>
      <c r="K3615" s="11" t="s">
        <v>61</v>
      </c>
      <c r="L3615" s="11" t="s">
        <v>41</v>
      </c>
      <c r="M3615" s="11" t="s">
        <v>28</v>
      </c>
      <c r="N3615" s="11" t="s">
        <v>56</v>
      </c>
      <c r="O3615" s="11" t="s">
        <v>1296</v>
      </c>
      <c r="P3615" s="11" t="s">
        <v>38</v>
      </c>
      <c r="Q3615" s="20">
        <v>40440.0</v>
      </c>
      <c r="R3615" s="17">
        <f t="shared" si="2"/>
        <v>15.10136378</v>
      </c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>
        <f t="shared" si="8"/>
        <v>3</v>
      </c>
      <c r="AF3615" s="19">
        <f t="shared" si="13"/>
        <v>4</v>
      </c>
      <c r="AG3615" s="9"/>
      <c r="AH3615" s="9"/>
      <c r="AI3615" s="9"/>
    </row>
    <row r="3616" ht="15.0" customHeight="1">
      <c r="A3616" s="11">
        <v>3615.0</v>
      </c>
      <c r="B3616" s="12">
        <f t="shared" si="577"/>
        <v>40438</v>
      </c>
      <c r="C3616" s="13">
        <v>2010.0</v>
      </c>
      <c r="D3616" s="11" t="s">
        <v>39</v>
      </c>
      <c r="E3616" s="11">
        <v>35.0</v>
      </c>
      <c r="F3616" s="21" t="s">
        <v>1441</v>
      </c>
      <c r="G3616" s="15">
        <v>0.0649910233393177</v>
      </c>
      <c r="H3616" s="11" t="s">
        <v>33</v>
      </c>
      <c r="I3616" s="16">
        <v>4.4799999999999995</v>
      </c>
      <c r="J3616" s="11" t="s">
        <v>2348</v>
      </c>
      <c r="K3616" s="11" t="s">
        <v>35</v>
      </c>
      <c r="L3616" s="11" t="s">
        <v>36</v>
      </c>
      <c r="M3616" s="11" t="s">
        <v>28</v>
      </c>
      <c r="N3616" s="11" t="s">
        <v>42</v>
      </c>
      <c r="O3616" s="11" t="s">
        <v>1443</v>
      </c>
      <c r="P3616" s="11" t="s">
        <v>38</v>
      </c>
      <c r="Q3616" s="20">
        <v>40440.0</v>
      </c>
      <c r="R3616" s="17">
        <f t="shared" si="2"/>
        <v>20.30839497</v>
      </c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>
        <f t="shared" si="8"/>
        <v>2</v>
      </c>
      <c r="AF3616" s="19">
        <f t="shared" si="13"/>
        <v>2</v>
      </c>
      <c r="AG3616" s="9"/>
      <c r="AH3616" s="9"/>
      <c r="AI3616" s="9"/>
    </row>
    <row r="3617" ht="15.0" customHeight="1">
      <c r="A3617" s="11">
        <v>3616.0</v>
      </c>
      <c r="B3617" s="12">
        <f t="shared" si="577"/>
        <v>40438</v>
      </c>
      <c r="C3617" s="13">
        <v>2010.0</v>
      </c>
      <c r="D3617" s="11" t="s">
        <v>44</v>
      </c>
      <c r="E3617" s="11">
        <v>1.0</v>
      </c>
      <c r="F3617" s="21" t="s">
        <v>950</v>
      </c>
      <c r="G3617" s="15">
        <v>0.11546218487394962</v>
      </c>
      <c r="H3617" s="11" t="s">
        <v>24</v>
      </c>
      <c r="I3617" s="16">
        <v>6.152000000000001</v>
      </c>
      <c r="J3617" s="11" t="s">
        <v>2315</v>
      </c>
      <c r="K3617" s="11" t="s">
        <v>26</v>
      </c>
      <c r="L3617" s="11" t="s">
        <v>36</v>
      </c>
      <c r="M3617" s="11" t="s">
        <v>28</v>
      </c>
      <c r="N3617" s="11" t="s">
        <v>29</v>
      </c>
      <c r="O3617" s="11" t="s">
        <v>951</v>
      </c>
      <c r="P3617" s="11" t="s">
        <v>38</v>
      </c>
      <c r="Q3617" s="20">
        <v>40440.0</v>
      </c>
      <c r="R3617" s="17">
        <f t="shared" si="2"/>
        <v>2.430709916</v>
      </c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>
        <f t="shared" si="8"/>
        <v>2</v>
      </c>
      <c r="AF3617" s="19">
        <f t="shared" si="13"/>
        <v>1</v>
      </c>
      <c r="AG3617" s="9"/>
      <c r="AH3617" s="9"/>
      <c r="AI3617" s="9"/>
    </row>
    <row r="3618" ht="15.0" customHeight="1">
      <c r="A3618" s="11">
        <v>3617.0</v>
      </c>
      <c r="B3618" s="12">
        <f t="shared" si="577"/>
        <v>40438</v>
      </c>
      <c r="C3618" s="13">
        <v>2010.0</v>
      </c>
      <c r="D3618" s="11" t="s">
        <v>44</v>
      </c>
      <c r="E3618" s="11">
        <v>32.0</v>
      </c>
      <c r="F3618" s="21" t="s">
        <v>319</v>
      </c>
      <c r="G3618" s="15">
        <v>0.10019960079840326</v>
      </c>
      <c r="H3618" s="11" t="s">
        <v>33</v>
      </c>
      <c r="I3618" s="16">
        <v>0.5599999999999999</v>
      </c>
      <c r="J3618" s="11" t="s">
        <v>1554</v>
      </c>
      <c r="K3618" s="11" t="s">
        <v>61</v>
      </c>
      <c r="L3618" s="11" t="s">
        <v>27</v>
      </c>
      <c r="M3618" s="11" t="s">
        <v>28</v>
      </c>
      <c r="N3618" s="11" t="s">
        <v>62</v>
      </c>
      <c r="O3618" s="11" t="s">
        <v>383</v>
      </c>
      <c r="P3618" s="11" t="s">
        <v>58</v>
      </c>
      <c r="Q3618" s="20">
        <v>40440.0</v>
      </c>
      <c r="R3618" s="17">
        <f t="shared" si="2"/>
        <v>9.033996008</v>
      </c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>
        <f t="shared" si="8"/>
        <v>1</v>
      </c>
      <c r="AF3618" s="19">
        <f t="shared" si="13"/>
        <v>4</v>
      </c>
      <c r="AG3618" s="9"/>
      <c r="AH3618" s="9"/>
      <c r="AI3618" s="9"/>
    </row>
    <row r="3619" ht="15.0" customHeight="1">
      <c r="A3619" s="11">
        <v>3618.0</v>
      </c>
      <c r="B3619" s="12">
        <f t="shared" si="577"/>
        <v>40438</v>
      </c>
      <c r="C3619" s="13">
        <v>2010.0</v>
      </c>
      <c r="D3619" s="11" t="s">
        <v>44</v>
      </c>
      <c r="E3619" s="11">
        <v>15.0</v>
      </c>
      <c r="F3619" s="21" t="s">
        <v>1399</v>
      </c>
      <c r="G3619" s="15">
        <v>0.08958086019541597</v>
      </c>
      <c r="H3619" s="11" t="s">
        <v>33</v>
      </c>
      <c r="I3619" s="16">
        <v>28.0</v>
      </c>
      <c r="J3619" s="11" t="s">
        <v>1554</v>
      </c>
      <c r="K3619" s="11" t="s">
        <v>61</v>
      </c>
      <c r="L3619" s="11" t="s">
        <v>27</v>
      </c>
      <c r="M3619" s="11" t="s">
        <v>28</v>
      </c>
      <c r="N3619" s="11" t="s">
        <v>29</v>
      </c>
      <c r="O3619" s="11" t="s">
        <v>1400</v>
      </c>
      <c r="P3619" s="11" t="s">
        <v>31</v>
      </c>
      <c r="Q3619" s="20">
        <v>40440.0</v>
      </c>
      <c r="R3619" s="17">
        <f t="shared" si="2"/>
        <v>89.31211761</v>
      </c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>
        <f t="shared" si="8"/>
        <v>1</v>
      </c>
      <c r="AF3619" s="19">
        <f t="shared" si="13"/>
        <v>4</v>
      </c>
      <c r="AG3619" s="9"/>
      <c r="AH3619" s="9"/>
      <c r="AI3619" s="9"/>
    </row>
    <row r="3620" ht="15.0" customHeight="1">
      <c r="A3620" s="11">
        <v>3619.0</v>
      </c>
      <c r="B3620" s="12">
        <f t="shared" si="577"/>
        <v>40438</v>
      </c>
      <c r="C3620" s="13">
        <v>2010.0</v>
      </c>
      <c r="D3620" s="11" t="s">
        <v>102</v>
      </c>
      <c r="E3620" s="11">
        <v>41.0</v>
      </c>
      <c r="F3620" s="21" t="s">
        <v>573</v>
      </c>
      <c r="G3620" s="15">
        <v>0.05718786194116269</v>
      </c>
      <c r="H3620" s="11" t="s">
        <v>33</v>
      </c>
      <c r="I3620" s="16">
        <v>1.1119999999999999</v>
      </c>
      <c r="J3620" s="11" t="s">
        <v>2427</v>
      </c>
      <c r="K3620" s="11" t="s">
        <v>65</v>
      </c>
      <c r="L3620" s="11" t="s">
        <v>27</v>
      </c>
      <c r="M3620" s="11" t="s">
        <v>28</v>
      </c>
      <c r="N3620" s="11" t="s">
        <v>236</v>
      </c>
      <c r="O3620" s="11" t="s">
        <v>2289</v>
      </c>
      <c r="P3620" s="11" t="s">
        <v>38</v>
      </c>
      <c r="Q3620" s="20">
        <v>40440.0</v>
      </c>
      <c r="R3620" s="17">
        <f t="shared" si="2"/>
        <v>23.27614606</v>
      </c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>
        <f t="shared" si="8"/>
        <v>1</v>
      </c>
      <c r="AF3620" s="19">
        <f t="shared" si="13"/>
        <v>5</v>
      </c>
      <c r="AG3620" s="9"/>
      <c r="AH3620" s="9"/>
      <c r="AI3620" s="9"/>
    </row>
    <row r="3621" ht="15.0" customHeight="1">
      <c r="A3621" s="11">
        <v>3620.0</v>
      </c>
      <c r="B3621" s="12">
        <f t="shared" si="577"/>
        <v>40438</v>
      </c>
      <c r="C3621" s="13">
        <v>2010.0</v>
      </c>
      <c r="D3621" s="11" t="s">
        <v>102</v>
      </c>
      <c r="E3621" s="11">
        <v>48.0</v>
      </c>
      <c r="F3621" s="21" t="s">
        <v>112</v>
      </c>
      <c r="G3621" s="15">
        <v>0.03948169659290755</v>
      </c>
      <c r="H3621" s="11" t="s">
        <v>45</v>
      </c>
      <c r="I3621" s="16">
        <v>34.656</v>
      </c>
      <c r="J3621" s="11" t="s">
        <v>1683</v>
      </c>
      <c r="K3621" s="11" t="s">
        <v>61</v>
      </c>
      <c r="L3621" s="11" t="s">
        <v>27</v>
      </c>
      <c r="M3621" s="11" t="s">
        <v>49</v>
      </c>
      <c r="N3621" s="11" t="s">
        <v>50</v>
      </c>
      <c r="O3621" s="11" t="s">
        <v>114</v>
      </c>
      <c r="P3621" s="11" t="s">
        <v>52</v>
      </c>
      <c r="Q3621" s="20">
        <v>40441.0</v>
      </c>
      <c r="R3621" s="17">
        <f t="shared" si="2"/>
        <v>463.588396</v>
      </c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>
        <f t="shared" si="8"/>
        <v>1</v>
      </c>
      <c r="AF3621" s="19">
        <f t="shared" si="13"/>
        <v>4</v>
      </c>
      <c r="AG3621" s="9"/>
      <c r="AH3621" s="9"/>
      <c r="AI3621" s="9"/>
    </row>
    <row r="3622" ht="15.0" customHeight="1">
      <c r="A3622" s="11">
        <v>3621.0</v>
      </c>
      <c r="B3622" s="12">
        <f t="shared" si="577"/>
        <v>40438</v>
      </c>
      <c r="C3622" s="13">
        <v>2010.0</v>
      </c>
      <c r="D3622" s="11" t="s">
        <v>32</v>
      </c>
      <c r="E3622" s="11">
        <v>28.0</v>
      </c>
      <c r="F3622" s="21" t="s">
        <v>810</v>
      </c>
      <c r="G3622" s="15">
        <v>0.010201599999999962</v>
      </c>
      <c r="H3622" s="11" t="s">
        <v>33</v>
      </c>
      <c r="I3622" s="16">
        <v>4.112</v>
      </c>
      <c r="J3622" s="11" t="s">
        <v>2428</v>
      </c>
      <c r="K3622" s="11" t="s">
        <v>26</v>
      </c>
      <c r="L3622" s="11" t="s">
        <v>48</v>
      </c>
      <c r="M3622" s="11" t="s">
        <v>28</v>
      </c>
      <c r="N3622" s="11" t="s">
        <v>42</v>
      </c>
      <c r="O3622" s="11" t="s">
        <v>1778</v>
      </c>
      <c r="P3622" s="11" t="s">
        <v>38</v>
      </c>
      <c r="Q3622" s="20">
        <v>40441.0</v>
      </c>
      <c r="R3622" s="17">
        <f t="shared" si="2"/>
        <v>3.155477299</v>
      </c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>
        <f t="shared" si="8"/>
        <v>4</v>
      </c>
      <c r="AF3622" s="19">
        <f t="shared" si="13"/>
        <v>1</v>
      </c>
      <c r="AG3622" s="9"/>
      <c r="AH3622" s="9"/>
      <c r="AI3622" s="9"/>
    </row>
    <row r="3623" ht="15.0" customHeight="1">
      <c r="A3623" s="11">
        <v>3622.0</v>
      </c>
      <c r="B3623" s="12">
        <f t="shared" si="577"/>
        <v>40438</v>
      </c>
      <c r="C3623" s="13">
        <v>2010.0</v>
      </c>
      <c r="D3623" s="11" t="s">
        <v>32</v>
      </c>
      <c r="E3623" s="11">
        <v>47.0</v>
      </c>
      <c r="F3623" s="21" t="s">
        <v>1710</v>
      </c>
      <c r="G3623" s="15">
        <v>0.058932732415975526</v>
      </c>
      <c r="H3623" s="11" t="s">
        <v>45</v>
      </c>
      <c r="I3623" s="16">
        <v>41.552</v>
      </c>
      <c r="J3623" s="11" t="s">
        <v>2428</v>
      </c>
      <c r="K3623" s="11" t="s">
        <v>26</v>
      </c>
      <c r="L3623" s="11" t="s">
        <v>48</v>
      </c>
      <c r="M3623" s="11" t="s">
        <v>49</v>
      </c>
      <c r="N3623" s="11" t="s">
        <v>85</v>
      </c>
      <c r="O3623" s="11" t="s">
        <v>1711</v>
      </c>
      <c r="P3623" s="11" t="s">
        <v>87</v>
      </c>
      <c r="Q3623" s="20">
        <v>40442.0</v>
      </c>
      <c r="R3623" s="17">
        <f t="shared" si="2"/>
        <v>347.0166728</v>
      </c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>
        <f t="shared" si="8"/>
        <v>4</v>
      </c>
      <c r="AF3623" s="19">
        <f t="shared" si="13"/>
        <v>1</v>
      </c>
      <c r="AG3623" s="9"/>
      <c r="AH3623" s="9"/>
      <c r="AI3623" s="9"/>
    </row>
    <row r="3624" ht="15.0" customHeight="1">
      <c r="A3624" s="11">
        <v>3623.0</v>
      </c>
      <c r="B3624" s="12">
        <f t="shared" si="577"/>
        <v>40438</v>
      </c>
      <c r="C3624" s="13">
        <v>2010.0</v>
      </c>
      <c r="D3624" s="11" t="s">
        <v>39</v>
      </c>
      <c r="E3624" s="11">
        <v>30.0</v>
      </c>
      <c r="F3624" s="21" t="s">
        <v>466</v>
      </c>
      <c r="G3624" s="15">
        <v>0.09546688949237517</v>
      </c>
      <c r="H3624" s="11" t="s">
        <v>24</v>
      </c>
      <c r="I3624" s="16">
        <v>4.0</v>
      </c>
      <c r="J3624" s="11" t="s">
        <v>2427</v>
      </c>
      <c r="K3624" s="11" t="s">
        <v>65</v>
      </c>
      <c r="L3624" s="11" t="s">
        <v>27</v>
      </c>
      <c r="M3624" s="11" t="s">
        <v>49</v>
      </c>
      <c r="N3624" s="11" t="s">
        <v>73</v>
      </c>
      <c r="O3624" s="11" t="s">
        <v>467</v>
      </c>
      <c r="P3624" s="11" t="s">
        <v>99</v>
      </c>
      <c r="Q3624" s="20">
        <v>40442.0</v>
      </c>
      <c r="R3624" s="17">
        <f t="shared" si="2"/>
        <v>41.33716315</v>
      </c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>
        <f t="shared" si="8"/>
        <v>1</v>
      </c>
      <c r="AF3624" s="19">
        <f t="shared" si="13"/>
        <v>5</v>
      </c>
      <c r="AG3624" s="9"/>
      <c r="AH3624" s="9"/>
      <c r="AI3624" s="9"/>
    </row>
    <row r="3625" ht="15.0" customHeight="1">
      <c r="A3625" s="11">
        <v>3624.0</v>
      </c>
      <c r="B3625" s="12">
        <f t="shared" ref="B3625:B3628" si="578">DATE(2012,12,31)-835</f>
        <v>40439</v>
      </c>
      <c r="C3625" s="13">
        <v>2010.0</v>
      </c>
      <c r="D3625" s="11" t="s">
        <v>44</v>
      </c>
      <c r="E3625" s="11">
        <v>10.0</v>
      </c>
      <c r="F3625" s="21" t="s">
        <v>666</v>
      </c>
      <c r="G3625" s="15">
        <v>0.07084337349397585</v>
      </c>
      <c r="H3625" s="11" t="s">
        <v>33</v>
      </c>
      <c r="I3625" s="16">
        <v>0.5599999999999999</v>
      </c>
      <c r="J3625" s="11" t="s">
        <v>282</v>
      </c>
      <c r="K3625" s="11" t="s">
        <v>65</v>
      </c>
      <c r="L3625" s="11" t="s">
        <v>41</v>
      </c>
      <c r="M3625" s="11" t="s">
        <v>28</v>
      </c>
      <c r="N3625" s="11" t="s">
        <v>62</v>
      </c>
      <c r="O3625" s="11" t="s">
        <v>2121</v>
      </c>
      <c r="P3625" s="11" t="s">
        <v>58</v>
      </c>
      <c r="Q3625" s="20">
        <v>40442.0</v>
      </c>
      <c r="R3625" s="17">
        <f t="shared" si="2"/>
        <v>2.731720482</v>
      </c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>
        <f t="shared" si="8"/>
        <v>3</v>
      </c>
      <c r="AF3625" s="19">
        <f t="shared" si="13"/>
        <v>5</v>
      </c>
      <c r="AG3625" s="9"/>
      <c r="AH3625" s="9"/>
      <c r="AI3625" s="9"/>
    </row>
    <row r="3626" ht="15.0" customHeight="1">
      <c r="A3626" s="11">
        <v>3625.0</v>
      </c>
      <c r="B3626" s="12">
        <f t="shared" si="578"/>
        <v>40439</v>
      </c>
      <c r="C3626" s="13">
        <v>2010.0</v>
      </c>
      <c r="D3626" s="11" t="s">
        <v>44</v>
      </c>
      <c r="E3626" s="11">
        <v>35.0</v>
      </c>
      <c r="F3626" s="21" t="s">
        <v>1782</v>
      </c>
      <c r="G3626" s="15">
        <v>0.012064458825022254</v>
      </c>
      <c r="H3626" s="11" t="s">
        <v>33</v>
      </c>
      <c r="I3626" s="16">
        <v>1.592</v>
      </c>
      <c r="J3626" s="11" t="s">
        <v>282</v>
      </c>
      <c r="K3626" s="11" t="s">
        <v>65</v>
      </c>
      <c r="L3626" s="11" t="s">
        <v>41</v>
      </c>
      <c r="M3626" s="11" t="s">
        <v>66</v>
      </c>
      <c r="N3626" s="11" t="s">
        <v>67</v>
      </c>
      <c r="O3626" s="11" t="s">
        <v>2103</v>
      </c>
      <c r="P3626" s="11" t="s">
        <v>99</v>
      </c>
      <c r="Q3626" s="20">
        <v>40442.0</v>
      </c>
      <c r="R3626" s="17">
        <f t="shared" si="2"/>
        <v>9.393291125</v>
      </c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>
        <f t="shared" si="8"/>
        <v>3</v>
      </c>
      <c r="AF3626" s="19">
        <f t="shared" si="13"/>
        <v>5</v>
      </c>
      <c r="AG3626" s="9"/>
      <c r="AH3626" s="9"/>
      <c r="AI3626" s="9"/>
    </row>
    <row r="3627" ht="15.0" customHeight="1">
      <c r="A3627" s="11">
        <v>3626.0</v>
      </c>
      <c r="B3627" s="12">
        <f t="shared" si="578"/>
        <v>40439</v>
      </c>
      <c r="C3627" s="13">
        <v>2010.0</v>
      </c>
      <c r="D3627" s="11" t="s">
        <v>44</v>
      </c>
      <c r="E3627" s="11">
        <v>22.0</v>
      </c>
      <c r="F3627" s="21" t="s">
        <v>2429</v>
      </c>
      <c r="G3627" s="15">
        <v>0.04143871273071449</v>
      </c>
      <c r="H3627" s="11" t="s">
        <v>33</v>
      </c>
      <c r="I3627" s="16">
        <v>11.864</v>
      </c>
      <c r="J3627" s="11" t="s">
        <v>282</v>
      </c>
      <c r="K3627" s="11" t="s">
        <v>65</v>
      </c>
      <c r="L3627" s="11" t="s">
        <v>41</v>
      </c>
      <c r="M3627" s="11" t="s">
        <v>49</v>
      </c>
      <c r="N3627" s="11" t="s">
        <v>73</v>
      </c>
      <c r="O3627" s="11" t="s">
        <v>2430</v>
      </c>
      <c r="P3627" s="11" t="s">
        <v>38</v>
      </c>
      <c r="Q3627" s="20">
        <v>40442.0</v>
      </c>
      <c r="R3627" s="17">
        <f t="shared" si="2"/>
        <v>50.35897579</v>
      </c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>
        <f t="shared" si="8"/>
        <v>3</v>
      </c>
      <c r="AF3627" s="19">
        <f t="shared" si="13"/>
        <v>5</v>
      </c>
      <c r="AG3627" s="9"/>
      <c r="AH3627" s="9"/>
      <c r="AI3627" s="9"/>
    </row>
    <row r="3628" ht="15.0" customHeight="1">
      <c r="A3628" s="11">
        <v>3627.0</v>
      </c>
      <c r="B3628" s="12">
        <f t="shared" si="578"/>
        <v>40439</v>
      </c>
      <c r="C3628" s="13">
        <v>2010.0</v>
      </c>
      <c r="D3628" s="11" t="s">
        <v>44</v>
      </c>
      <c r="E3628" s="11">
        <v>22.0</v>
      </c>
      <c r="F3628" s="21" t="s">
        <v>569</v>
      </c>
      <c r="G3628" s="15">
        <v>0.04845000881678716</v>
      </c>
      <c r="H3628" s="11" t="s">
        <v>33</v>
      </c>
      <c r="I3628" s="16">
        <v>7.192</v>
      </c>
      <c r="J3628" s="11" t="s">
        <v>1415</v>
      </c>
      <c r="K3628" s="11" t="s">
        <v>65</v>
      </c>
      <c r="L3628" s="11" t="s">
        <v>36</v>
      </c>
      <c r="M3628" s="11" t="s">
        <v>66</v>
      </c>
      <c r="N3628" s="11" t="s">
        <v>80</v>
      </c>
      <c r="O3628" s="11" t="s">
        <v>755</v>
      </c>
      <c r="P3628" s="11" t="s">
        <v>38</v>
      </c>
      <c r="Q3628" s="20">
        <v>40442.0</v>
      </c>
      <c r="R3628" s="17">
        <f t="shared" si="2"/>
        <v>209.1583005</v>
      </c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>
        <f t="shared" si="8"/>
        <v>2</v>
      </c>
      <c r="AF3628" s="19">
        <f t="shared" si="13"/>
        <v>5</v>
      </c>
      <c r="AG3628" s="9"/>
      <c r="AH3628" s="9"/>
      <c r="AI3628" s="9"/>
    </row>
    <row r="3629" ht="15.0" customHeight="1">
      <c r="A3629" s="11">
        <v>3628.0</v>
      </c>
      <c r="B3629" s="12">
        <f t="shared" ref="B3629:B3640" si="579">DATE(2012,12,31)-834</f>
        <v>40440</v>
      </c>
      <c r="C3629" s="13">
        <v>2010.0</v>
      </c>
      <c r="D3629" s="11" t="s">
        <v>32</v>
      </c>
      <c r="E3629" s="11">
        <v>33.0</v>
      </c>
      <c r="F3629" s="21" t="s">
        <v>737</v>
      </c>
      <c r="G3629" s="15">
        <v>0.02751700881500322</v>
      </c>
      <c r="H3629" s="11" t="s">
        <v>45</v>
      </c>
      <c r="I3629" s="16">
        <v>43.288000000000004</v>
      </c>
      <c r="J3629" s="11" t="s">
        <v>574</v>
      </c>
      <c r="K3629" s="11" t="s">
        <v>61</v>
      </c>
      <c r="L3629" s="11" t="s">
        <v>48</v>
      </c>
      <c r="M3629" s="11" t="s">
        <v>49</v>
      </c>
      <c r="N3629" s="11" t="s">
        <v>156</v>
      </c>
      <c r="O3629" s="11" t="s">
        <v>2431</v>
      </c>
      <c r="P3629" s="11" t="s">
        <v>87</v>
      </c>
      <c r="Q3629" s="20">
        <v>40442.0</v>
      </c>
      <c r="R3629" s="17">
        <f t="shared" si="2"/>
        <v>45.23212889</v>
      </c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>
        <f t="shared" si="8"/>
        <v>4</v>
      </c>
      <c r="AF3629" s="19">
        <f t="shared" si="13"/>
        <v>4</v>
      </c>
      <c r="AG3629" s="9"/>
      <c r="AH3629" s="9"/>
      <c r="AI3629" s="9"/>
    </row>
    <row r="3630" ht="15.0" customHeight="1">
      <c r="A3630" s="11">
        <v>3629.0</v>
      </c>
      <c r="B3630" s="12">
        <f t="shared" si="579"/>
        <v>40440</v>
      </c>
      <c r="C3630" s="13">
        <v>2010.0</v>
      </c>
      <c r="D3630" s="11" t="s">
        <v>32</v>
      </c>
      <c r="E3630" s="11">
        <v>33.0</v>
      </c>
      <c r="F3630" s="21" t="s">
        <v>694</v>
      </c>
      <c r="G3630" s="15">
        <v>0.0675510350261441</v>
      </c>
      <c r="H3630" s="11" t="s">
        <v>33</v>
      </c>
      <c r="I3630" s="16">
        <v>1.592</v>
      </c>
      <c r="J3630" s="11" t="s">
        <v>574</v>
      </c>
      <c r="K3630" s="11" t="s">
        <v>61</v>
      </c>
      <c r="L3630" s="11" t="s">
        <v>48</v>
      </c>
      <c r="M3630" s="11" t="s">
        <v>66</v>
      </c>
      <c r="N3630" s="11" t="s">
        <v>67</v>
      </c>
      <c r="O3630" s="11" t="s">
        <v>695</v>
      </c>
      <c r="P3630" s="11" t="s">
        <v>99</v>
      </c>
      <c r="Q3630" s="20">
        <v>40442.0</v>
      </c>
      <c r="R3630" s="17">
        <f t="shared" si="2"/>
        <v>87.93739699</v>
      </c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>
        <f t="shared" si="8"/>
        <v>4</v>
      </c>
      <c r="AF3630" s="19">
        <f t="shared" si="13"/>
        <v>4</v>
      </c>
      <c r="AG3630" s="9"/>
      <c r="AH3630" s="9"/>
      <c r="AI3630" s="9"/>
    </row>
    <row r="3631" ht="15.0" customHeight="1">
      <c r="A3631" s="11">
        <v>3630.0</v>
      </c>
      <c r="B3631" s="12">
        <f t="shared" si="579"/>
        <v>40440</v>
      </c>
      <c r="C3631" s="13">
        <v>2010.0</v>
      </c>
      <c r="D3631" s="11" t="s">
        <v>102</v>
      </c>
      <c r="E3631" s="11">
        <v>9.0</v>
      </c>
      <c r="F3631" s="21" t="s">
        <v>1084</v>
      </c>
      <c r="G3631" s="15">
        <v>0.07718820861678012</v>
      </c>
      <c r="H3631" s="11" t="s">
        <v>33</v>
      </c>
      <c r="I3631" s="16">
        <v>1.096</v>
      </c>
      <c r="J3631" s="11" t="s">
        <v>796</v>
      </c>
      <c r="K3631" s="11" t="s">
        <v>117</v>
      </c>
      <c r="L3631" s="11" t="s">
        <v>48</v>
      </c>
      <c r="M3631" s="11" t="s">
        <v>28</v>
      </c>
      <c r="N3631" s="11" t="s">
        <v>197</v>
      </c>
      <c r="O3631" s="11" t="s">
        <v>1096</v>
      </c>
      <c r="P3631" s="11" t="s">
        <v>31</v>
      </c>
      <c r="Q3631" s="20">
        <v>40442.0</v>
      </c>
      <c r="R3631" s="17">
        <f t="shared" si="2"/>
        <v>3.141251338</v>
      </c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>
        <f t="shared" si="8"/>
        <v>4</v>
      </c>
      <c r="AF3631" s="19" t="b">
        <f t="shared" si="13"/>
        <v>0</v>
      </c>
      <c r="AG3631" s="9"/>
      <c r="AH3631" s="9"/>
      <c r="AI3631" s="9"/>
    </row>
    <row r="3632" ht="15.0" customHeight="1">
      <c r="A3632" s="11">
        <v>3631.0</v>
      </c>
      <c r="B3632" s="12">
        <f t="shared" si="579"/>
        <v>40440</v>
      </c>
      <c r="C3632" s="13">
        <v>2010.0</v>
      </c>
      <c r="D3632" s="11" t="s">
        <v>44</v>
      </c>
      <c r="E3632" s="11">
        <v>10.0</v>
      </c>
      <c r="F3632" s="21" t="s">
        <v>1523</v>
      </c>
      <c r="G3632" s="15">
        <v>0.08404441846873172</v>
      </c>
      <c r="H3632" s="11" t="s">
        <v>33</v>
      </c>
      <c r="I3632" s="16">
        <v>6.720000000000001</v>
      </c>
      <c r="J3632" s="11" t="s">
        <v>1888</v>
      </c>
      <c r="K3632" s="11" t="s">
        <v>26</v>
      </c>
      <c r="L3632" s="11" t="s">
        <v>36</v>
      </c>
      <c r="M3632" s="11" t="s">
        <v>28</v>
      </c>
      <c r="N3632" s="11" t="s">
        <v>42</v>
      </c>
      <c r="O3632" s="11" t="s">
        <v>1525</v>
      </c>
      <c r="P3632" s="11" t="s">
        <v>38</v>
      </c>
      <c r="Q3632" s="20">
        <v>40442.0</v>
      </c>
      <c r="R3632" s="17">
        <f t="shared" si="2"/>
        <v>13.17144126</v>
      </c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>
        <f t="shared" si="8"/>
        <v>2</v>
      </c>
      <c r="AF3632" s="19">
        <f t="shared" si="13"/>
        <v>1</v>
      </c>
      <c r="AG3632" s="9"/>
      <c r="AH3632" s="9"/>
      <c r="AI3632" s="9"/>
    </row>
    <row r="3633" ht="15.0" customHeight="1">
      <c r="A3633" s="11">
        <v>3632.0</v>
      </c>
      <c r="B3633" s="12">
        <f t="shared" si="579"/>
        <v>40440</v>
      </c>
      <c r="C3633" s="13">
        <v>2010.0</v>
      </c>
      <c r="D3633" s="11" t="s">
        <v>44</v>
      </c>
      <c r="E3633" s="11">
        <v>1.0</v>
      </c>
      <c r="F3633" s="21" t="s">
        <v>948</v>
      </c>
      <c r="G3633" s="15">
        <v>0.08063492063492064</v>
      </c>
      <c r="H3633" s="11" t="s">
        <v>33</v>
      </c>
      <c r="I3633" s="16">
        <v>0.992</v>
      </c>
      <c r="J3633" s="11" t="s">
        <v>1888</v>
      </c>
      <c r="K3633" s="11" t="s">
        <v>26</v>
      </c>
      <c r="L3633" s="11" t="s">
        <v>36</v>
      </c>
      <c r="M3633" s="11" t="s">
        <v>28</v>
      </c>
      <c r="N3633" s="11" t="s">
        <v>42</v>
      </c>
      <c r="O3633" s="11" t="s">
        <v>2432</v>
      </c>
      <c r="P3633" s="11" t="s">
        <v>38</v>
      </c>
      <c r="Q3633" s="20">
        <v>40442.0</v>
      </c>
      <c r="R3633" s="17">
        <f t="shared" si="2"/>
        <v>0.4670374603</v>
      </c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>
        <f t="shared" si="8"/>
        <v>2</v>
      </c>
      <c r="AF3633" s="19">
        <f t="shared" si="13"/>
        <v>1</v>
      </c>
      <c r="AG3633" s="9"/>
      <c r="AH3633" s="9"/>
      <c r="AI3633" s="9"/>
    </row>
    <row r="3634" ht="15.0" customHeight="1">
      <c r="A3634" s="11">
        <v>3633.0</v>
      </c>
      <c r="B3634" s="12">
        <f t="shared" si="579"/>
        <v>40440</v>
      </c>
      <c r="C3634" s="13">
        <v>2010.0</v>
      </c>
      <c r="D3634" s="11" t="s">
        <v>102</v>
      </c>
      <c r="E3634" s="11">
        <v>29.0</v>
      </c>
      <c r="F3634" s="21" t="s">
        <v>718</v>
      </c>
      <c r="G3634" s="15">
        <v>0.08588129496402888</v>
      </c>
      <c r="H3634" s="11" t="s">
        <v>33</v>
      </c>
      <c r="I3634" s="16">
        <v>4.4</v>
      </c>
      <c r="J3634" s="11" t="s">
        <v>1170</v>
      </c>
      <c r="K3634" s="11" t="s">
        <v>61</v>
      </c>
      <c r="L3634" s="11" t="s">
        <v>27</v>
      </c>
      <c r="M3634" s="11" t="s">
        <v>66</v>
      </c>
      <c r="N3634" s="11" t="s">
        <v>67</v>
      </c>
      <c r="O3634" s="11" t="s">
        <v>2433</v>
      </c>
      <c r="P3634" s="11" t="s">
        <v>38</v>
      </c>
      <c r="Q3634" s="20">
        <v>40443.0</v>
      </c>
      <c r="R3634" s="17">
        <f t="shared" si="2"/>
        <v>87.29833633</v>
      </c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>
        <f t="shared" si="8"/>
        <v>1</v>
      </c>
      <c r="AF3634" s="19">
        <f t="shared" si="13"/>
        <v>4</v>
      </c>
      <c r="AG3634" s="9"/>
      <c r="AH3634" s="9"/>
      <c r="AI3634" s="9"/>
    </row>
    <row r="3635" ht="15.0" customHeight="1">
      <c r="A3635" s="11">
        <v>3634.0</v>
      </c>
      <c r="B3635" s="12">
        <f t="shared" si="579"/>
        <v>40440</v>
      </c>
      <c r="C3635" s="13">
        <v>2010.0</v>
      </c>
      <c r="D3635" s="11" t="s">
        <v>44</v>
      </c>
      <c r="E3635" s="11">
        <v>22.0</v>
      </c>
      <c r="F3635" s="21" t="s">
        <v>737</v>
      </c>
      <c r="G3635" s="15">
        <v>0.021941144214951597</v>
      </c>
      <c r="H3635" s="11" t="s">
        <v>33</v>
      </c>
      <c r="I3635" s="16">
        <v>3.192</v>
      </c>
      <c r="J3635" s="11" t="s">
        <v>1715</v>
      </c>
      <c r="K3635" s="11" t="s">
        <v>26</v>
      </c>
      <c r="L3635" s="11" t="s">
        <v>36</v>
      </c>
      <c r="M3635" s="11" t="s">
        <v>28</v>
      </c>
      <c r="N3635" s="11" t="s">
        <v>197</v>
      </c>
      <c r="O3635" s="11" t="s">
        <v>739</v>
      </c>
      <c r="P3635" s="11" t="s">
        <v>38</v>
      </c>
      <c r="Q3635" s="20">
        <v>40443.0</v>
      </c>
      <c r="R3635" s="17">
        <f t="shared" si="2"/>
        <v>23.48123701</v>
      </c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>
        <f t="shared" si="8"/>
        <v>2</v>
      </c>
      <c r="AF3635" s="19">
        <f t="shared" si="13"/>
        <v>1</v>
      </c>
      <c r="AG3635" s="9"/>
      <c r="AH3635" s="9"/>
      <c r="AI3635" s="9"/>
    </row>
    <row r="3636" ht="15.0" customHeight="1">
      <c r="A3636" s="11">
        <v>3635.0</v>
      </c>
      <c r="B3636" s="12">
        <f t="shared" si="579"/>
        <v>40440</v>
      </c>
      <c r="C3636" s="13">
        <v>2010.0</v>
      </c>
      <c r="D3636" s="11" t="s">
        <v>44</v>
      </c>
      <c r="E3636" s="11">
        <v>7.0</v>
      </c>
      <c r="F3636" s="21" t="s">
        <v>100</v>
      </c>
      <c r="G3636" s="15">
        <v>0.030720021413276316</v>
      </c>
      <c r="H3636" s="11" t="s">
        <v>33</v>
      </c>
      <c r="I3636" s="16">
        <v>7.192</v>
      </c>
      <c r="J3636" s="11" t="s">
        <v>1715</v>
      </c>
      <c r="K3636" s="11" t="s">
        <v>26</v>
      </c>
      <c r="L3636" s="11" t="s">
        <v>36</v>
      </c>
      <c r="M3636" s="11" t="s">
        <v>66</v>
      </c>
      <c r="N3636" s="11" t="s">
        <v>80</v>
      </c>
      <c r="O3636" s="11" t="s">
        <v>586</v>
      </c>
      <c r="P3636" s="11" t="s">
        <v>38</v>
      </c>
      <c r="Q3636" s="20">
        <v>40443.0</v>
      </c>
      <c r="R3636" s="17">
        <f t="shared" si="2"/>
        <v>44.49770526</v>
      </c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>
        <f t="shared" si="8"/>
        <v>2</v>
      </c>
      <c r="AF3636" s="19">
        <f t="shared" si="13"/>
        <v>1</v>
      </c>
      <c r="AG3636" s="9"/>
      <c r="AH3636" s="9"/>
      <c r="AI3636" s="9"/>
    </row>
    <row r="3637" ht="15.0" customHeight="1">
      <c r="A3637" s="11">
        <v>3636.0</v>
      </c>
      <c r="B3637" s="12">
        <f t="shared" si="579"/>
        <v>40440</v>
      </c>
      <c r="C3637" s="13">
        <v>2010.0</v>
      </c>
      <c r="D3637" s="11" t="s">
        <v>44</v>
      </c>
      <c r="E3637" s="11">
        <v>5.0</v>
      </c>
      <c r="F3637" s="21" t="s">
        <v>569</v>
      </c>
      <c r="G3637" s="15">
        <v>0.011107757319649829</v>
      </c>
      <c r="H3637" s="11" t="s">
        <v>24</v>
      </c>
      <c r="I3637" s="16">
        <v>3.3600000000000003</v>
      </c>
      <c r="J3637" s="11" t="s">
        <v>82</v>
      </c>
      <c r="K3637" s="11" t="s">
        <v>83</v>
      </c>
      <c r="L3637" s="11" t="s">
        <v>27</v>
      </c>
      <c r="M3637" s="11" t="s">
        <v>66</v>
      </c>
      <c r="N3637" s="11" t="s">
        <v>80</v>
      </c>
      <c r="O3637" s="11" t="s">
        <v>1834</v>
      </c>
      <c r="P3637" s="11" t="s">
        <v>38</v>
      </c>
      <c r="Q3637" s="20">
        <v>40443.0</v>
      </c>
      <c r="R3637" s="17">
        <f t="shared" si="2"/>
        <v>10.91737036</v>
      </c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>
        <f t="shared" si="8"/>
        <v>1</v>
      </c>
      <c r="AF3637" s="19" t="b">
        <f t="shared" si="13"/>
        <v>0</v>
      </c>
      <c r="AG3637" s="9"/>
      <c r="AH3637" s="9"/>
      <c r="AI3637" s="9"/>
    </row>
    <row r="3638" ht="15.0" customHeight="1">
      <c r="A3638" s="11">
        <v>3637.0</v>
      </c>
      <c r="B3638" s="12">
        <f t="shared" si="579"/>
        <v>40440</v>
      </c>
      <c r="C3638" s="13">
        <v>2010.0</v>
      </c>
      <c r="D3638" s="11" t="s">
        <v>32</v>
      </c>
      <c r="E3638" s="11">
        <v>33.0</v>
      </c>
      <c r="F3638" s="21" t="s">
        <v>509</v>
      </c>
      <c r="G3638" s="15">
        <v>0.012527148208407496</v>
      </c>
      <c r="H3638" s="11" t="s">
        <v>33</v>
      </c>
      <c r="I3638" s="16">
        <v>15.991999999999999</v>
      </c>
      <c r="J3638" s="11" t="s">
        <v>488</v>
      </c>
      <c r="K3638" s="11" t="s">
        <v>35</v>
      </c>
      <c r="L3638" s="11" t="s">
        <v>27</v>
      </c>
      <c r="M3638" s="11" t="s">
        <v>49</v>
      </c>
      <c r="N3638" s="11" t="s">
        <v>73</v>
      </c>
      <c r="O3638" s="11" t="s">
        <v>664</v>
      </c>
      <c r="P3638" s="11" t="s">
        <v>38</v>
      </c>
      <c r="Q3638" s="20">
        <v>40443.0</v>
      </c>
      <c r="R3638" s="17">
        <f t="shared" si="2"/>
        <v>32.69325118</v>
      </c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>
        <f t="shared" si="8"/>
        <v>1</v>
      </c>
      <c r="AF3638" s="19">
        <f t="shared" si="13"/>
        <v>2</v>
      </c>
      <c r="AG3638" s="9"/>
      <c r="AH3638" s="9"/>
      <c r="AI3638" s="9"/>
    </row>
    <row r="3639" ht="15.0" customHeight="1">
      <c r="A3639" s="11">
        <v>3638.0</v>
      </c>
      <c r="B3639" s="12">
        <f t="shared" si="579"/>
        <v>40440</v>
      </c>
      <c r="C3639" s="13">
        <v>2010.0</v>
      </c>
      <c r="D3639" s="11" t="s">
        <v>32</v>
      </c>
      <c r="E3639" s="11">
        <v>15.0</v>
      </c>
      <c r="F3639" s="21" t="s">
        <v>1416</v>
      </c>
      <c r="G3639" s="15">
        <v>0.05254025576751488</v>
      </c>
      <c r="H3639" s="11" t="s">
        <v>45</v>
      </c>
      <c r="I3639" s="16">
        <v>41.536</v>
      </c>
      <c r="J3639" s="11" t="s">
        <v>488</v>
      </c>
      <c r="K3639" s="11" t="s">
        <v>35</v>
      </c>
      <c r="L3639" s="11" t="s">
        <v>27</v>
      </c>
      <c r="M3639" s="11" t="s">
        <v>49</v>
      </c>
      <c r="N3639" s="11" t="s">
        <v>85</v>
      </c>
      <c r="O3639" s="11" t="s">
        <v>1418</v>
      </c>
      <c r="P3639" s="11" t="s">
        <v>87</v>
      </c>
      <c r="Q3639" s="20">
        <v>40443.0</v>
      </c>
      <c r="R3639" s="17">
        <f t="shared" si="2"/>
        <v>117.1666618</v>
      </c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>
        <f t="shared" si="8"/>
        <v>1</v>
      </c>
      <c r="AF3639" s="19">
        <f t="shared" si="13"/>
        <v>2</v>
      </c>
      <c r="AG3639" s="9"/>
      <c r="AH3639" s="9"/>
      <c r="AI3639" s="9"/>
    </row>
    <row r="3640" ht="15.0" customHeight="1">
      <c r="A3640" s="11">
        <v>3639.0</v>
      </c>
      <c r="B3640" s="12">
        <f t="shared" si="579"/>
        <v>40440</v>
      </c>
      <c r="C3640" s="13">
        <v>2010.0</v>
      </c>
      <c r="D3640" s="11" t="s">
        <v>32</v>
      </c>
      <c r="E3640" s="11">
        <v>2.0</v>
      </c>
      <c r="F3640" s="21" t="s">
        <v>506</v>
      </c>
      <c r="G3640" s="15">
        <v>0.07678160919540222</v>
      </c>
      <c r="H3640" s="11" t="s">
        <v>33</v>
      </c>
      <c r="I3640" s="16">
        <v>2.2640000000000002</v>
      </c>
      <c r="J3640" s="11" t="s">
        <v>2434</v>
      </c>
      <c r="K3640" s="11" t="s">
        <v>65</v>
      </c>
      <c r="L3640" s="11" t="s">
        <v>27</v>
      </c>
      <c r="M3640" s="11" t="s">
        <v>49</v>
      </c>
      <c r="N3640" s="11" t="s">
        <v>73</v>
      </c>
      <c r="O3640" s="11" t="s">
        <v>1053</v>
      </c>
      <c r="P3640" s="11" t="s">
        <v>99</v>
      </c>
      <c r="Q3640" s="20">
        <v>40443.0</v>
      </c>
      <c r="R3640" s="17">
        <f t="shared" si="2"/>
        <v>1.23341977</v>
      </c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>
        <f t="shared" si="8"/>
        <v>1</v>
      </c>
      <c r="AF3640" s="19">
        <f t="shared" si="13"/>
        <v>5</v>
      </c>
      <c r="AG3640" s="9"/>
      <c r="AH3640" s="9"/>
      <c r="AI3640" s="9"/>
    </row>
    <row r="3641" ht="15.0" customHeight="1">
      <c r="A3641" s="11">
        <v>3640.0</v>
      </c>
      <c r="B3641" s="12">
        <f t="shared" ref="B3641:B3647" si="580">DATE(2012,12,31)-833</f>
        <v>40441</v>
      </c>
      <c r="C3641" s="13">
        <v>2010.0</v>
      </c>
      <c r="D3641" s="11" t="s">
        <v>44</v>
      </c>
      <c r="E3641" s="11">
        <v>44.0</v>
      </c>
      <c r="F3641" s="21" t="s">
        <v>1151</v>
      </c>
      <c r="G3641" s="15">
        <v>0.09371379239839144</v>
      </c>
      <c r="H3641" s="11" t="s">
        <v>45</v>
      </c>
      <c r="I3641" s="16">
        <v>33.6</v>
      </c>
      <c r="J3641" s="11" t="s">
        <v>2435</v>
      </c>
      <c r="K3641" s="11" t="s">
        <v>61</v>
      </c>
      <c r="L3641" s="11" t="s">
        <v>27</v>
      </c>
      <c r="M3641" s="11" t="s">
        <v>49</v>
      </c>
      <c r="N3641" s="11" t="s">
        <v>50</v>
      </c>
      <c r="O3641" s="11" t="s">
        <v>1153</v>
      </c>
      <c r="P3641" s="11" t="s">
        <v>52</v>
      </c>
      <c r="Q3641" s="20">
        <v>40443.0</v>
      </c>
      <c r="R3641" s="17">
        <f t="shared" si="2"/>
        <v>373.8430606</v>
      </c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>
        <f t="shared" si="8"/>
        <v>1</v>
      </c>
      <c r="AF3641" s="19">
        <f t="shared" si="13"/>
        <v>4</v>
      </c>
      <c r="AG3641" s="9"/>
      <c r="AH3641" s="9"/>
      <c r="AI3641" s="9"/>
    </row>
    <row r="3642" ht="15.0" customHeight="1">
      <c r="A3642" s="11">
        <v>3641.0</v>
      </c>
      <c r="B3642" s="12">
        <f t="shared" si="580"/>
        <v>40441</v>
      </c>
      <c r="C3642" s="13">
        <v>2010.0</v>
      </c>
      <c r="D3642" s="11" t="s">
        <v>44</v>
      </c>
      <c r="E3642" s="11">
        <v>42.0</v>
      </c>
      <c r="F3642" s="21" t="s">
        <v>238</v>
      </c>
      <c r="G3642" s="15">
        <v>0.06402476780185758</v>
      </c>
      <c r="H3642" s="11" t="s">
        <v>33</v>
      </c>
      <c r="I3642" s="16">
        <v>1.6239999999999999</v>
      </c>
      <c r="J3642" s="11" t="s">
        <v>2435</v>
      </c>
      <c r="K3642" s="11" t="s">
        <v>61</v>
      </c>
      <c r="L3642" s="11" t="s">
        <v>27</v>
      </c>
      <c r="M3642" s="11" t="s">
        <v>49</v>
      </c>
      <c r="N3642" s="11" t="s">
        <v>73</v>
      </c>
      <c r="O3642" s="11" t="s">
        <v>1583</v>
      </c>
      <c r="P3642" s="11" t="s">
        <v>58</v>
      </c>
      <c r="Q3642" s="20">
        <v>40443.0</v>
      </c>
      <c r="R3642" s="17">
        <f t="shared" si="2"/>
        <v>13.54917746</v>
      </c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>
        <f t="shared" si="8"/>
        <v>1</v>
      </c>
      <c r="AF3642" s="19">
        <f t="shared" si="13"/>
        <v>4</v>
      </c>
      <c r="AG3642" s="9"/>
      <c r="AH3642" s="9"/>
      <c r="AI3642" s="9"/>
    </row>
    <row r="3643" ht="15.0" customHeight="1">
      <c r="A3643" s="11">
        <v>3642.0</v>
      </c>
      <c r="B3643" s="12">
        <f t="shared" si="580"/>
        <v>40441</v>
      </c>
      <c r="C3643" s="13">
        <v>2010.0</v>
      </c>
      <c r="D3643" s="11" t="s">
        <v>39</v>
      </c>
      <c r="E3643" s="11">
        <v>37.0</v>
      </c>
      <c r="F3643" s="21" t="s">
        <v>322</v>
      </c>
      <c r="G3643" s="15">
        <v>0.10008410428931873</v>
      </c>
      <c r="H3643" s="11" t="s">
        <v>24</v>
      </c>
      <c r="I3643" s="16">
        <v>2.8000000000000003</v>
      </c>
      <c r="J3643" s="11" t="s">
        <v>2250</v>
      </c>
      <c r="K3643" s="11" t="s">
        <v>61</v>
      </c>
      <c r="L3643" s="11" t="s">
        <v>48</v>
      </c>
      <c r="M3643" s="11" t="s">
        <v>28</v>
      </c>
      <c r="N3643" s="11" t="s">
        <v>197</v>
      </c>
      <c r="O3643" s="11" t="s">
        <v>2172</v>
      </c>
      <c r="P3643" s="11" t="s">
        <v>38</v>
      </c>
      <c r="Q3643" s="20">
        <v>40443.0</v>
      </c>
      <c r="R3643" s="17">
        <f t="shared" si="2"/>
        <v>32.12699748</v>
      </c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>
        <f t="shared" si="8"/>
        <v>4</v>
      </c>
      <c r="AF3643" s="19">
        <f t="shared" si="13"/>
        <v>4</v>
      </c>
      <c r="AG3643" s="9"/>
      <c r="AH3643" s="9"/>
      <c r="AI3643" s="9"/>
    </row>
    <row r="3644" ht="15.0" customHeight="1">
      <c r="A3644" s="11">
        <v>3643.0</v>
      </c>
      <c r="B3644" s="12">
        <f t="shared" si="580"/>
        <v>40441</v>
      </c>
      <c r="C3644" s="13">
        <v>2010.0</v>
      </c>
      <c r="D3644" s="11" t="s">
        <v>44</v>
      </c>
      <c r="E3644" s="11">
        <v>41.0</v>
      </c>
      <c r="F3644" s="21" t="s">
        <v>544</v>
      </c>
      <c r="G3644" s="15">
        <v>0.01284732986343386</v>
      </c>
      <c r="H3644" s="11" t="s">
        <v>45</v>
      </c>
      <c r="I3644" s="16">
        <v>64.16000000000001</v>
      </c>
      <c r="J3644" s="11" t="s">
        <v>1108</v>
      </c>
      <c r="K3644" s="11" t="s">
        <v>47</v>
      </c>
      <c r="L3644" s="11" t="s">
        <v>27</v>
      </c>
      <c r="M3644" s="11" t="s">
        <v>49</v>
      </c>
      <c r="N3644" s="11" t="s">
        <v>85</v>
      </c>
      <c r="O3644" s="11" t="s">
        <v>545</v>
      </c>
      <c r="P3644" s="11" t="s">
        <v>87</v>
      </c>
      <c r="Q3644" s="20">
        <v>40444.0</v>
      </c>
      <c r="R3644" s="17">
        <f t="shared" si="2"/>
        <v>77.72840125</v>
      </c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>
        <f t="shared" si="8"/>
        <v>1</v>
      </c>
      <c r="AF3644" s="19">
        <f t="shared" si="13"/>
        <v>3</v>
      </c>
      <c r="AG3644" s="9"/>
      <c r="AH3644" s="9"/>
      <c r="AI3644" s="9"/>
    </row>
    <row r="3645" ht="15.0" customHeight="1">
      <c r="A3645" s="11">
        <v>3644.0</v>
      </c>
      <c r="B3645" s="12">
        <f t="shared" si="580"/>
        <v>40441</v>
      </c>
      <c r="C3645" s="13">
        <v>2010.0</v>
      </c>
      <c r="D3645" s="11" t="s">
        <v>32</v>
      </c>
      <c r="E3645" s="11">
        <v>23.0</v>
      </c>
      <c r="F3645" s="21" t="s">
        <v>762</v>
      </c>
      <c r="G3645" s="15">
        <v>0.019556181754138657</v>
      </c>
      <c r="H3645" s="11" t="s">
        <v>33</v>
      </c>
      <c r="I3645" s="16">
        <v>4.648</v>
      </c>
      <c r="J3645" s="11" t="s">
        <v>900</v>
      </c>
      <c r="K3645" s="11" t="s">
        <v>61</v>
      </c>
      <c r="L3645" s="11" t="s">
        <v>48</v>
      </c>
      <c r="M3645" s="11" t="s">
        <v>28</v>
      </c>
      <c r="N3645" s="11" t="s">
        <v>62</v>
      </c>
      <c r="O3645" s="11" t="s">
        <v>955</v>
      </c>
      <c r="P3645" s="11" t="s">
        <v>99</v>
      </c>
      <c r="Q3645" s="20">
        <v>40444.0</v>
      </c>
      <c r="R3645" s="17">
        <f t="shared" si="2"/>
        <v>5.443424079</v>
      </c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>
        <f t="shared" si="8"/>
        <v>4</v>
      </c>
      <c r="AF3645" s="19">
        <f t="shared" si="13"/>
        <v>4</v>
      </c>
      <c r="AG3645" s="9"/>
      <c r="AH3645" s="9"/>
      <c r="AI3645" s="9"/>
    </row>
    <row r="3646" ht="15.0" customHeight="1">
      <c r="A3646" s="11">
        <v>3645.0</v>
      </c>
      <c r="B3646" s="12">
        <f t="shared" si="580"/>
        <v>40441</v>
      </c>
      <c r="C3646" s="13">
        <v>2010.0</v>
      </c>
      <c r="D3646" s="11" t="s">
        <v>23</v>
      </c>
      <c r="E3646" s="11">
        <v>13.0</v>
      </c>
      <c r="F3646" s="21" t="s">
        <v>336</v>
      </c>
      <c r="G3646" s="15">
        <v>0.0382871536523932</v>
      </c>
      <c r="H3646" s="11" t="s">
        <v>33</v>
      </c>
      <c r="I3646" s="16">
        <v>0.96</v>
      </c>
      <c r="J3646" s="11" t="s">
        <v>1578</v>
      </c>
      <c r="K3646" s="11" t="s">
        <v>26</v>
      </c>
      <c r="L3646" s="11" t="s">
        <v>41</v>
      </c>
      <c r="M3646" s="11" t="s">
        <v>28</v>
      </c>
      <c r="N3646" s="11" t="s">
        <v>62</v>
      </c>
      <c r="O3646" s="11" t="s">
        <v>1540</v>
      </c>
      <c r="P3646" s="11" t="s">
        <v>58</v>
      </c>
      <c r="Q3646" s="20">
        <v>40444.0</v>
      </c>
      <c r="R3646" s="17">
        <f t="shared" si="2"/>
        <v>2.923607053</v>
      </c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>
        <f t="shared" si="8"/>
        <v>3</v>
      </c>
      <c r="AF3646" s="19">
        <f t="shared" si="13"/>
        <v>1</v>
      </c>
      <c r="AG3646" s="9"/>
      <c r="AH3646" s="9"/>
      <c r="AI3646" s="9"/>
    </row>
    <row r="3647" ht="15.0" customHeight="1">
      <c r="A3647" s="11">
        <v>3646.0</v>
      </c>
      <c r="B3647" s="12">
        <f t="shared" si="580"/>
        <v>40441</v>
      </c>
      <c r="C3647" s="13">
        <v>2010.0</v>
      </c>
      <c r="D3647" s="11" t="s">
        <v>23</v>
      </c>
      <c r="E3647" s="11">
        <v>8.0</v>
      </c>
      <c r="F3647" s="21" t="s">
        <v>1265</v>
      </c>
      <c r="G3647" s="15">
        <v>0.04690686607749834</v>
      </c>
      <c r="H3647" s="11" t="s">
        <v>33</v>
      </c>
      <c r="I3647" s="16">
        <v>5.0</v>
      </c>
      <c r="J3647" s="11" t="s">
        <v>1578</v>
      </c>
      <c r="K3647" s="11" t="s">
        <v>26</v>
      </c>
      <c r="L3647" s="11" t="s">
        <v>41</v>
      </c>
      <c r="M3647" s="11" t="s">
        <v>28</v>
      </c>
      <c r="N3647" s="11" t="s">
        <v>29</v>
      </c>
      <c r="O3647" s="11" t="s">
        <v>2019</v>
      </c>
      <c r="P3647" s="11" t="s">
        <v>38</v>
      </c>
      <c r="Q3647" s="20">
        <v>40444.0</v>
      </c>
      <c r="R3647" s="17">
        <f t="shared" si="2"/>
        <v>6.576342624</v>
      </c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>
        <f t="shared" si="8"/>
        <v>3</v>
      </c>
      <c r="AF3647" s="19">
        <f t="shared" si="13"/>
        <v>1</v>
      </c>
      <c r="AG3647" s="9"/>
      <c r="AH3647" s="9"/>
      <c r="AI3647" s="9"/>
    </row>
    <row r="3648" ht="15.0" customHeight="1">
      <c r="A3648" s="11">
        <v>3647.0</v>
      </c>
      <c r="B3648" s="12">
        <f t="shared" ref="B3648:B3654" si="581">DATE(2012,12,31)-832</f>
        <v>40442</v>
      </c>
      <c r="C3648" s="13">
        <v>2010.0</v>
      </c>
      <c r="D3648" s="11" t="s">
        <v>39</v>
      </c>
      <c r="E3648" s="11">
        <v>7.0</v>
      </c>
      <c r="F3648" s="21" t="s">
        <v>552</v>
      </c>
      <c r="G3648" s="15">
        <v>0.10055829228243025</v>
      </c>
      <c r="H3648" s="11" t="s">
        <v>33</v>
      </c>
      <c r="I3648" s="16">
        <v>4.376</v>
      </c>
      <c r="J3648" s="11" t="s">
        <v>1444</v>
      </c>
      <c r="K3648" s="11" t="s">
        <v>61</v>
      </c>
      <c r="L3648" s="11" t="s">
        <v>36</v>
      </c>
      <c r="M3648" s="11" t="s">
        <v>28</v>
      </c>
      <c r="N3648" s="11" t="s">
        <v>56</v>
      </c>
      <c r="O3648" s="11" t="s">
        <v>650</v>
      </c>
      <c r="P3648" s="11" t="s">
        <v>38</v>
      </c>
      <c r="Q3648" s="20">
        <v>40444.0</v>
      </c>
      <c r="R3648" s="17">
        <f t="shared" si="2"/>
        <v>5.508181018</v>
      </c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>
        <f t="shared" si="8"/>
        <v>2</v>
      </c>
      <c r="AF3648" s="19">
        <f t="shared" si="13"/>
        <v>4</v>
      </c>
      <c r="AG3648" s="9"/>
      <c r="AH3648" s="9"/>
      <c r="AI3648" s="9"/>
    </row>
    <row r="3649" ht="15.0" customHeight="1">
      <c r="A3649" s="11">
        <v>3648.0</v>
      </c>
      <c r="B3649" s="12">
        <f t="shared" si="581"/>
        <v>40442</v>
      </c>
      <c r="C3649" s="13">
        <v>2010.0</v>
      </c>
      <c r="D3649" s="11" t="s">
        <v>32</v>
      </c>
      <c r="E3649" s="11">
        <v>7.0</v>
      </c>
      <c r="F3649" s="21" t="s">
        <v>621</v>
      </c>
      <c r="G3649" s="15">
        <v>0.08751178133836017</v>
      </c>
      <c r="H3649" s="11" t="s">
        <v>45</v>
      </c>
      <c r="I3649" s="16">
        <v>40.0</v>
      </c>
      <c r="J3649" s="11" t="s">
        <v>2081</v>
      </c>
      <c r="K3649" s="11" t="s">
        <v>117</v>
      </c>
      <c r="L3649" s="11" t="s">
        <v>36</v>
      </c>
      <c r="M3649" s="11" t="s">
        <v>49</v>
      </c>
      <c r="N3649" s="11" t="s">
        <v>50</v>
      </c>
      <c r="O3649" s="11" t="s">
        <v>623</v>
      </c>
      <c r="P3649" s="11" t="s">
        <v>52</v>
      </c>
      <c r="Q3649" s="20">
        <v>40444.0</v>
      </c>
      <c r="R3649" s="17">
        <f t="shared" si="2"/>
        <v>169.4490622</v>
      </c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>
        <f t="shared" si="8"/>
        <v>2</v>
      </c>
      <c r="AF3649" s="19" t="b">
        <f t="shared" si="13"/>
        <v>0</v>
      </c>
      <c r="AG3649" s="9"/>
      <c r="AH3649" s="9"/>
      <c r="AI3649" s="9"/>
    </row>
    <row r="3650" ht="15.0" customHeight="1">
      <c r="A3650" s="11">
        <v>3649.0</v>
      </c>
      <c r="B3650" s="12">
        <f t="shared" si="581"/>
        <v>40442</v>
      </c>
      <c r="C3650" s="13">
        <v>2010.0</v>
      </c>
      <c r="D3650" s="11" t="s">
        <v>23</v>
      </c>
      <c r="E3650" s="11">
        <v>41.0</v>
      </c>
      <c r="F3650" s="21" t="s">
        <v>158</v>
      </c>
      <c r="G3650" s="15">
        <v>0.01770635500365214</v>
      </c>
      <c r="H3650" s="11" t="s">
        <v>33</v>
      </c>
      <c r="I3650" s="16">
        <v>6.552</v>
      </c>
      <c r="J3650" s="11" t="s">
        <v>2436</v>
      </c>
      <c r="K3650" s="11" t="s">
        <v>35</v>
      </c>
      <c r="L3650" s="11" t="s">
        <v>48</v>
      </c>
      <c r="M3650" s="11" t="s">
        <v>28</v>
      </c>
      <c r="N3650" s="11" t="s">
        <v>56</v>
      </c>
      <c r="O3650" s="11" t="s">
        <v>637</v>
      </c>
      <c r="P3650" s="11" t="s">
        <v>38</v>
      </c>
      <c r="Q3650" s="20">
        <v>40444.0</v>
      </c>
      <c r="R3650" s="17">
        <f t="shared" si="2"/>
        <v>4.762159591</v>
      </c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>
        <f t="shared" si="8"/>
        <v>4</v>
      </c>
      <c r="AF3650" s="19">
        <f t="shared" si="13"/>
        <v>2</v>
      </c>
      <c r="AG3650" s="9"/>
      <c r="AH3650" s="9"/>
      <c r="AI3650" s="9"/>
    </row>
    <row r="3651" ht="15.0" customHeight="1">
      <c r="A3651" s="11">
        <v>3650.0</v>
      </c>
      <c r="B3651" s="12">
        <f t="shared" si="581"/>
        <v>40442</v>
      </c>
      <c r="C3651" s="13">
        <v>2010.0</v>
      </c>
      <c r="D3651" s="11" t="s">
        <v>44</v>
      </c>
      <c r="E3651" s="11">
        <v>16.0</v>
      </c>
      <c r="F3651" s="21" t="s">
        <v>889</v>
      </c>
      <c r="G3651" s="15">
        <v>0.08205750461619626</v>
      </c>
      <c r="H3651" s="11" t="s">
        <v>33</v>
      </c>
      <c r="I3651" s="16">
        <v>7.192</v>
      </c>
      <c r="J3651" s="11" t="s">
        <v>932</v>
      </c>
      <c r="K3651" s="11" t="s">
        <v>83</v>
      </c>
      <c r="L3651" s="11" t="s">
        <v>41</v>
      </c>
      <c r="M3651" s="11" t="s">
        <v>28</v>
      </c>
      <c r="N3651" s="11" t="s">
        <v>62</v>
      </c>
      <c r="O3651" s="11" t="s">
        <v>890</v>
      </c>
      <c r="P3651" s="11" t="s">
        <v>99</v>
      </c>
      <c r="Q3651" s="20">
        <v>40444.0</v>
      </c>
      <c r="R3651" s="17">
        <f t="shared" si="2"/>
        <v>28.55535515</v>
      </c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>
        <f t="shared" si="8"/>
        <v>3</v>
      </c>
      <c r="AF3651" s="19" t="b">
        <f t="shared" si="13"/>
        <v>0</v>
      </c>
      <c r="AG3651" s="9"/>
      <c r="AH3651" s="9"/>
      <c r="AI3651" s="9"/>
    </row>
    <row r="3652" ht="15.0" customHeight="1">
      <c r="A3652" s="11">
        <v>3651.0</v>
      </c>
      <c r="B3652" s="12">
        <f t="shared" si="581"/>
        <v>40442</v>
      </c>
      <c r="C3652" s="13">
        <v>2010.0</v>
      </c>
      <c r="D3652" s="11" t="s">
        <v>44</v>
      </c>
      <c r="E3652" s="11">
        <v>21.0</v>
      </c>
      <c r="F3652" s="21" t="s">
        <v>163</v>
      </c>
      <c r="G3652" s="15">
        <v>0.013063370537773091</v>
      </c>
      <c r="H3652" s="11" t="s">
        <v>45</v>
      </c>
      <c r="I3652" s="16">
        <v>20.976</v>
      </c>
      <c r="J3652" s="11" t="s">
        <v>613</v>
      </c>
      <c r="K3652" s="11" t="s">
        <v>65</v>
      </c>
      <c r="L3652" s="11" t="s">
        <v>48</v>
      </c>
      <c r="M3652" s="11" t="s">
        <v>49</v>
      </c>
      <c r="N3652" s="11" t="s">
        <v>156</v>
      </c>
      <c r="O3652" s="11" t="s">
        <v>2437</v>
      </c>
      <c r="P3652" s="11" t="s">
        <v>87</v>
      </c>
      <c r="Q3652" s="20">
        <v>40445.0</v>
      </c>
      <c r="R3652" s="17">
        <f t="shared" si="2"/>
        <v>27.95399309</v>
      </c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>
        <f t="shared" si="8"/>
        <v>4</v>
      </c>
      <c r="AF3652" s="19">
        <f t="shared" si="13"/>
        <v>5</v>
      </c>
      <c r="AG3652" s="9"/>
      <c r="AH3652" s="9"/>
      <c r="AI3652" s="9"/>
    </row>
    <row r="3653" ht="15.0" customHeight="1">
      <c r="A3653" s="11">
        <v>3652.0</v>
      </c>
      <c r="B3653" s="12">
        <f t="shared" si="581"/>
        <v>40442</v>
      </c>
      <c r="C3653" s="13">
        <v>2010.0</v>
      </c>
      <c r="D3653" s="11" t="s">
        <v>39</v>
      </c>
      <c r="E3653" s="11">
        <v>20.0</v>
      </c>
      <c r="F3653" s="21" t="s">
        <v>247</v>
      </c>
      <c r="G3653" s="15">
        <v>0.05793020745892792</v>
      </c>
      <c r="H3653" s="11" t="s">
        <v>33</v>
      </c>
      <c r="I3653" s="16">
        <v>1.592</v>
      </c>
      <c r="J3653" s="11" t="s">
        <v>713</v>
      </c>
      <c r="K3653" s="11" t="s">
        <v>714</v>
      </c>
      <c r="L3653" s="11" t="s">
        <v>27</v>
      </c>
      <c r="M3653" s="11" t="s">
        <v>66</v>
      </c>
      <c r="N3653" s="11" t="s">
        <v>67</v>
      </c>
      <c r="O3653" s="11" t="s">
        <v>249</v>
      </c>
      <c r="P3653" s="11" t="s">
        <v>99</v>
      </c>
      <c r="Q3653" s="20">
        <v>40445.0</v>
      </c>
      <c r="R3653" s="17">
        <f t="shared" si="2"/>
        <v>45.50950754</v>
      </c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>
        <f t="shared" si="8"/>
        <v>1</v>
      </c>
      <c r="AF3653" s="19" t="b">
        <f t="shared" si="13"/>
        <v>0</v>
      </c>
      <c r="AG3653" s="9"/>
      <c r="AH3653" s="9"/>
      <c r="AI3653" s="9"/>
    </row>
    <row r="3654" ht="15.0" customHeight="1">
      <c r="A3654" s="11">
        <v>3653.0</v>
      </c>
      <c r="B3654" s="12">
        <f t="shared" si="581"/>
        <v>40442</v>
      </c>
      <c r="C3654" s="13">
        <v>2010.0</v>
      </c>
      <c r="D3654" s="11" t="s">
        <v>39</v>
      </c>
      <c r="E3654" s="11">
        <v>19.0</v>
      </c>
      <c r="F3654" s="21" t="s">
        <v>93</v>
      </c>
      <c r="G3654" s="15">
        <v>0.08549693251533746</v>
      </c>
      <c r="H3654" s="11" t="s">
        <v>33</v>
      </c>
      <c r="I3654" s="16">
        <v>4.664000000000001</v>
      </c>
      <c r="J3654" s="11" t="s">
        <v>713</v>
      </c>
      <c r="K3654" s="11" t="s">
        <v>714</v>
      </c>
      <c r="L3654" s="11" t="s">
        <v>27</v>
      </c>
      <c r="M3654" s="11" t="s">
        <v>28</v>
      </c>
      <c r="N3654" s="11" t="s">
        <v>56</v>
      </c>
      <c r="O3654" s="11" t="s">
        <v>95</v>
      </c>
      <c r="P3654" s="11" t="s">
        <v>58</v>
      </c>
      <c r="Q3654" s="20">
        <v>40445.0</v>
      </c>
      <c r="R3654" s="17">
        <f t="shared" si="2"/>
        <v>12.74451475</v>
      </c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>
        <f t="shared" si="8"/>
        <v>1</v>
      </c>
      <c r="AF3654" s="19" t="b">
        <f t="shared" si="13"/>
        <v>0</v>
      </c>
      <c r="AG3654" s="9"/>
      <c r="AH3654" s="9"/>
      <c r="AI3654" s="9"/>
    </row>
    <row r="3655" ht="15.0" customHeight="1">
      <c r="A3655" s="11">
        <v>3654.0</v>
      </c>
      <c r="B3655" s="12">
        <f t="shared" ref="B3655:B3657" si="582">DATE(2012,12,31)-831</f>
        <v>40443</v>
      </c>
      <c r="C3655" s="13">
        <v>2010.0</v>
      </c>
      <c r="D3655" s="11" t="s">
        <v>23</v>
      </c>
      <c r="E3655" s="11">
        <v>26.0</v>
      </c>
      <c r="F3655" s="21" t="s">
        <v>498</v>
      </c>
      <c r="G3655" s="15">
        <v>0.07987745539736886</v>
      </c>
      <c r="H3655" s="11" t="s">
        <v>45</v>
      </c>
      <c r="I3655" s="16">
        <v>59.48</v>
      </c>
      <c r="J3655" s="11" t="s">
        <v>2350</v>
      </c>
      <c r="K3655" s="11" t="s">
        <v>61</v>
      </c>
      <c r="L3655" s="11" t="s">
        <v>36</v>
      </c>
      <c r="M3655" s="11" t="s">
        <v>49</v>
      </c>
      <c r="N3655" s="11" t="s">
        <v>50</v>
      </c>
      <c r="O3655" s="11" t="s">
        <v>1959</v>
      </c>
      <c r="P3655" s="11" t="s">
        <v>52</v>
      </c>
      <c r="Q3655" s="20">
        <v>40445.0</v>
      </c>
      <c r="R3655" s="17">
        <f t="shared" si="2"/>
        <v>203.9175583</v>
      </c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>
        <f t="shared" si="8"/>
        <v>2</v>
      </c>
      <c r="AF3655" s="19">
        <f t="shared" si="13"/>
        <v>4</v>
      </c>
      <c r="AG3655" s="9"/>
      <c r="AH3655" s="9"/>
      <c r="AI3655" s="9"/>
    </row>
    <row r="3656" ht="15.0" customHeight="1">
      <c r="A3656" s="11">
        <v>3655.0</v>
      </c>
      <c r="B3656" s="12">
        <f t="shared" si="582"/>
        <v>40443</v>
      </c>
      <c r="C3656" s="13">
        <v>2010.0</v>
      </c>
      <c r="D3656" s="11" t="s">
        <v>44</v>
      </c>
      <c r="E3656" s="11">
        <v>46.0</v>
      </c>
      <c r="F3656" s="21" t="s">
        <v>178</v>
      </c>
      <c r="G3656" s="15">
        <v>0.03099942598380001</v>
      </c>
      <c r="H3656" s="11" t="s">
        <v>33</v>
      </c>
      <c r="I3656" s="16">
        <v>7.192</v>
      </c>
      <c r="J3656" s="11" t="s">
        <v>1036</v>
      </c>
      <c r="K3656" s="11" t="s">
        <v>65</v>
      </c>
      <c r="L3656" s="11" t="s">
        <v>36</v>
      </c>
      <c r="M3656" s="11" t="s">
        <v>66</v>
      </c>
      <c r="N3656" s="11" t="s">
        <v>80</v>
      </c>
      <c r="O3656" s="11" t="s">
        <v>1329</v>
      </c>
      <c r="P3656" s="11" t="s">
        <v>38</v>
      </c>
      <c r="Q3656" s="20">
        <v>40445.0</v>
      </c>
      <c r="R3656" s="17">
        <f t="shared" si="2"/>
        <v>94.1946078</v>
      </c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>
        <f t="shared" si="8"/>
        <v>2</v>
      </c>
      <c r="AF3656" s="19">
        <f t="shared" si="13"/>
        <v>5</v>
      </c>
      <c r="AG3656" s="9"/>
      <c r="AH3656" s="9"/>
      <c r="AI3656" s="9"/>
    </row>
    <row r="3657" ht="15.0" customHeight="1">
      <c r="A3657" s="11">
        <v>3656.0</v>
      </c>
      <c r="B3657" s="12">
        <f t="shared" si="582"/>
        <v>40443</v>
      </c>
      <c r="C3657" s="13">
        <v>2010.0</v>
      </c>
      <c r="D3657" s="11" t="s">
        <v>44</v>
      </c>
      <c r="E3657" s="11">
        <v>33.0</v>
      </c>
      <c r="F3657" s="21" t="s">
        <v>322</v>
      </c>
      <c r="G3657" s="15">
        <v>0.05014271490209095</v>
      </c>
      <c r="H3657" s="11" t="s">
        <v>33</v>
      </c>
      <c r="I3657" s="16">
        <v>2.3920000000000003</v>
      </c>
      <c r="J3657" s="11" t="s">
        <v>345</v>
      </c>
      <c r="K3657" s="11" t="s">
        <v>65</v>
      </c>
      <c r="L3657" s="11" t="s">
        <v>27</v>
      </c>
      <c r="M3657" s="11" t="s">
        <v>28</v>
      </c>
      <c r="N3657" s="11" t="s">
        <v>42</v>
      </c>
      <c r="O3657" s="11" t="s">
        <v>2146</v>
      </c>
      <c r="P3657" s="11" t="s">
        <v>38</v>
      </c>
      <c r="Q3657" s="20">
        <v>40445.0</v>
      </c>
      <c r="R3657" s="17">
        <f t="shared" si="2"/>
        <v>14.35044386</v>
      </c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>
        <f t="shared" si="8"/>
        <v>1</v>
      </c>
      <c r="AF3657" s="19">
        <f t="shared" si="13"/>
        <v>5</v>
      </c>
      <c r="AG3657" s="9"/>
      <c r="AH3657" s="9"/>
      <c r="AI3657" s="9"/>
    </row>
    <row r="3658" ht="15.0" customHeight="1">
      <c r="A3658" s="11">
        <v>3657.0</v>
      </c>
      <c r="B3658" s="12">
        <f t="shared" ref="B3658:B3664" si="583">DATE(2012,12,31)-830</f>
        <v>40444</v>
      </c>
      <c r="C3658" s="13">
        <v>2010.0</v>
      </c>
      <c r="D3658" s="11" t="s">
        <v>44</v>
      </c>
      <c r="E3658" s="11">
        <v>27.0</v>
      </c>
      <c r="F3658" s="21" t="s">
        <v>270</v>
      </c>
      <c r="G3658" s="15">
        <v>0.07572753865440865</v>
      </c>
      <c r="H3658" s="11" t="s">
        <v>33</v>
      </c>
      <c r="I3658" s="16">
        <v>1.592</v>
      </c>
      <c r="J3658" s="11" t="s">
        <v>1865</v>
      </c>
      <c r="K3658" s="11" t="s">
        <v>65</v>
      </c>
      <c r="L3658" s="11" t="s">
        <v>48</v>
      </c>
      <c r="M3658" s="11" t="s">
        <v>66</v>
      </c>
      <c r="N3658" s="11" t="s">
        <v>67</v>
      </c>
      <c r="O3658" s="11" t="s">
        <v>2438</v>
      </c>
      <c r="P3658" s="11" t="s">
        <v>99</v>
      </c>
      <c r="Q3658" s="20">
        <v>40446.0</v>
      </c>
      <c r="R3658" s="17">
        <f t="shared" si="2"/>
        <v>83.74647918</v>
      </c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>
        <f t="shared" si="8"/>
        <v>4</v>
      </c>
      <c r="AF3658" s="19">
        <f t="shared" si="13"/>
        <v>5</v>
      </c>
      <c r="AG3658" s="9"/>
      <c r="AH3658" s="9"/>
      <c r="AI3658" s="9"/>
    </row>
    <row r="3659" ht="15.0" customHeight="1">
      <c r="A3659" s="11">
        <v>3658.0</v>
      </c>
      <c r="B3659" s="12">
        <f t="shared" si="583"/>
        <v>40444</v>
      </c>
      <c r="C3659" s="13">
        <v>2010.0</v>
      </c>
      <c r="D3659" s="11" t="s">
        <v>23</v>
      </c>
      <c r="E3659" s="11">
        <v>20.0</v>
      </c>
      <c r="F3659" s="21" t="s">
        <v>242</v>
      </c>
      <c r="G3659" s="15">
        <v>0.043089809213587675</v>
      </c>
      <c r="H3659" s="11" t="s">
        <v>45</v>
      </c>
      <c r="I3659" s="16">
        <v>21.480000000000004</v>
      </c>
      <c r="J3659" s="11" t="s">
        <v>829</v>
      </c>
      <c r="K3659" s="11" t="s">
        <v>83</v>
      </c>
      <c r="L3659" s="11" t="s">
        <v>36</v>
      </c>
      <c r="M3659" s="11" t="s">
        <v>49</v>
      </c>
      <c r="N3659" s="11" t="s">
        <v>156</v>
      </c>
      <c r="O3659" s="11" t="s">
        <v>1719</v>
      </c>
      <c r="P3659" s="11" t="s">
        <v>87</v>
      </c>
      <c r="Q3659" s="20">
        <v>40446.0</v>
      </c>
      <c r="R3659" s="17">
        <f t="shared" si="2"/>
        <v>62.02691857</v>
      </c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>
        <f t="shared" si="8"/>
        <v>2</v>
      </c>
      <c r="AF3659" s="19" t="b">
        <f t="shared" si="13"/>
        <v>0</v>
      </c>
      <c r="AG3659" s="9"/>
      <c r="AH3659" s="9"/>
      <c r="AI3659" s="9"/>
    </row>
    <row r="3660" ht="15.0" customHeight="1">
      <c r="A3660" s="11">
        <v>3659.0</v>
      </c>
      <c r="B3660" s="12">
        <f t="shared" si="583"/>
        <v>40444</v>
      </c>
      <c r="C3660" s="13">
        <v>2010.0</v>
      </c>
      <c r="D3660" s="11" t="s">
        <v>23</v>
      </c>
      <c r="E3660" s="11">
        <v>34.0</v>
      </c>
      <c r="F3660" s="21" t="s">
        <v>2065</v>
      </c>
      <c r="G3660" s="15">
        <v>0.09410736238218817</v>
      </c>
      <c r="H3660" s="11" t="s">
        <v>33</v>
      </c>
      <c r="I3660" s="16">
        <v>10.608</v>
      </c>
      <c r="J3660" s="11" t="s">
        <v>829</v>
      </c>
      <c r="K3660" s="11" t="s">
        <v>83</v>
      </c>
      <c r="L3660" s="11" t="s">
        <v>36</v>
      </c>
      <c r="M3660" s="11" t="s">
        <v>28</v>
      </c>
      <c r="N3660" s="11" t="s">
        <v>56</v>
      </c>
      <c r="O3660" s="11" t="s">
        <v>2066</v>
      </c>
      <c r="P3660" s="11" t="s">
        <v>38</v>
      </c>
      <c r="Q3660" s="20">
        <v>40446.0</v>
      </c>
      <c r="R3660" s="17">
        <f t="shared" si="2"/>
        <v>124.8247583</v>
      </c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>
        <f t="shared" si="8"/>
        <v>2</v>
      </c>
      <c r="AF3660" s="19" t="b">
        <f t="shared" si="13"/>
        <v>0</v>
      </c>
      <c r="AG3660" s="9"/>
      <c r="AH3660" s="9"/>
      <c r="AI3660" s="9"/>
    </row>
    <row r="3661" ht="15.0" customHeight="1">
      <c r="A3661" s="11">
        <v>3660.0</v>
      </c>
      <c r="B3661" s="12">
        <f t="shared" si="583"/>
        <v>40444</v>
      </c>
      <c r="C3661" s="13">
        <v>2010.0</v>
      </c>
      <c r="D3661" s="11" t="s">
        <v>32</v>
      </c>
      <c r="E3661" s="11">
        <v>43.0</v>
      </c>
      <c r="F3661" s="21" t="s">
        <v>838</v>
      </c>
      <c r="G3661" s="15">
        <v>0.035562914610912294</v>
      </c>
      <c r="H3661" s="11" t="s">
        <v>33</v>
      </c>
      <c r="I3661" s="16">
        <v>15.991999999999999</v>
      </c>
      <c r="J3661" s="11" t="s">
        <v>1152</v>
      </c>
      <c r="K3661" s="11" t="s">
        <v>65</v>
      </c>
      <c r="L3661" s="11" t="s">
        <v>48</v>
      </c>
      <c r="M3661" s="11" t="s">
        <v>66</v>
      </c>
      <c r="N3661" s="11" t="s">
        <v>67</v>
      </c>
      <c r="O3661" s="11" t="s">
        <v>845</v>
      </c>
      <c r="P3661" s="11" t="s">
        <v>38</v>
      </c>
      <c r="Q3661" s="20">
        <v>40446.0</v>
      </c>
      <c r="R3661" s="17">
        <f t="shared" si="2"/>
        <v>153.3363344</v>
      </c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>
        <f t="shared" si="8"/>
        <v>4</v>
      </c>
      <c r="AF3661" s="19">
        <f t="shared" si="13"/>
        <v>5</v>
      </c>
      <c r="AG3661" s="9"/>
      <c r="AH3661" s="9"/>
      <c r="AI3661" s="9"/>
    </row>
    <row r="3662" ht="15.0" customHeight="1">
      <c r="A3662" s="11">
        <v>3661.0</v>
      </c>
      <c r="B3662" s="12">
        <f t="shared" si="583"/>
        <v>40444</v>
      </c>
      <c r="C3662" s="13">
        <v>2010.0</v>
      </c>
      <c r="D3662" s="11" t="s">
        <v>23</v>
      </c>
      <c r="E3662" s="11">
        <v>23.0</v>
      </c>
      <c r="F3662" s="21" t="s">
        <v>752</v>
      </c>
      <c r="G3662" s="15">
        <v>0.07463386415130732</v>
      </c>
      <c r="H3662" s="11" t="s">
        <v>33</v>
      </c>
      <c r="I3662" s="16">
        <v>19.592</v>
      </c>
      <c r="J3662" s="11" t="s">
        <v>780</v>
      </c>
      <c r="K3662" s="11" t="s">
        <v>83</v>
      </c>
      <c r="L3662" s="11" t="s">
        <v>48</v>
      </c>
      <c r="M3662" s="11" t="s">
        <v>66</v>
      </c>
      <c r="N3662" s="11" t="s">
        <v>170</v>
      </c>
      <c r="O3662" s="11" t="s">
        <v>753</v>
      </c>
      <c r="P3662" s="11" t="s">
        <v>31</v>
      </c>
      <c r="Q3662" s="20">
        <v>40446.0</v>
      </c>
      <c r="R3662" s="17">
        <f t="shared" si="2"/>
        <v>859.5800065</v>
      </c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>
        <f t="shared" si="8"/>
        <v>4</v>
      </c>
      <c r="AF3662" s="19" t="b">
        <f t="shared" si="13"/>
        <v>0</v>
      </c>
      <c r="AG3662" s="9"/>
      <c r="AH3662" s="9"/>
      <c r="AI3662" s="9"/>
    </row>
    <row r="3663" ht="15.0" customHeight="1">
      <c r="A3663" s="11">
        <v>3662.0</v>
      </c>
      <c r="B3663" s="12">
        <f t="shared" si="583"/>
        <v>40444</v>
      </c>
      <c r="C3663" s="13">
        <v>2010.0</v>
      </c>
      <c r="D3663" s="11" t="s">
        <v>23</v>
      </c>
      <c r="E3663" s="11">
        <v>24.0</v>
      </c>
      <c r="F3663" s="21" t="s">
        <v>2113</v>
      </c>
      <c r="G3663" s="15">
        <v>0.04897101107706803</v>
      </c>
      <c r="H3663" s="11" t="s">
        <v>33</v>
      </c>
      <c r="I3663" s="16">
        <v>4.008</v>
      </c>
      <c r="J3663" s="11" t="s">
        <v>1907</v>
      </c>
      <c r="K3663" s="11" t="s">
        <v>61</v>
      </c>
      <c r="L3663" s="11" t="s">
        <v>36</v>
      </c>
      <c r="M3663" s="11" t="s">
        <v>28</v>
      </c>
      <c r="N3663" s="11" t="s">
        <v>236</v>
      </c>
      <c r="O3663" s="11" t="s">
        <v>2114</v>
      </c>
      <c r="P3663" s="11" t="s">
        <v>38</v>
      </c>
      <c r="Q3663" s="20">
        <v>40446.0</v>
      </c>
      <c r="R3663" s="17">
        <f t="shared" si="2"/>
        <v>98.80430372</v>
      </c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>
        <f t="shared" si="8"/>
        <v>2</v>
      </c>
      <c r="AF3663" s="19">
        <f t="shared" si="13"/>
        <v>4</v>
      </c>
      <c r="AG3663" s="9"/>
      <c r="AH3663" s="9"/>
      <c r="AI3663" s="9"/>
    </row>
    <row r="3664" ht="15.0" customHeight="1">
      <c r="A3664" s="11">
        <v>3663.0</v>
      </c>
      <c r="B3664" s="12">
        <f t="shared" si="583"/>
        <v>40444</v>
      </c>
      <c r="C3664" s="13">
        <v>2010.0</v>
      </c>
      <c r="D3664" s="11" t="s">
        <v>23</v>
      </c>
      <c r="E3664" s="11">
        <v>48.0</v>
      </c>
      <c r="F3664" s="21" t="s">
        <v>100</v>
      </c>
      <c r="G3664" s="15">
        <v>0.07464381280290422</v>
      </c>
      <c r="H3664" s="11" t="s">
        <v>33</v>
      </c>
      <c r="I3664" s="16">
        <v>7.192</v>
      </c>
      <c r="J3664" s="11" t="s">
        <v>499</v>
      </c>
      <c r="K3664" s="11" t="s">
        <v>83</v>
      </c>
      <c r="L3664" s="11" t="s">
        <v>41</v>
      </c>
      <c r="M3664" s="11" t="s">
        <v>66</v>
      </c>
      <c r="N3664" s="11" t="s">
        <v>80</v>
      </c>
      <c r="O3664" s="11" t="s">
        <v>615</v>
      </c>
      <c r="P3664" s="11" t="s">
        <v>38</v>
      </c>
      <c r="Q3664" s="20">
        <v>40446.0</v>
      </c>
      <c r="R3664" s="17">
        <f t="shared" si="2"/>
        <v>738.256569</v>
      </c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>
        <f t="shared" si="8"/>
        <v>3</v>
      </c>
      <c r="AF3664" s="19" t="b">
        <f t="shared" si="13"/>
        <v>0</v>
      </c>
      <c r="AG3664" s="9"/>
      <c r="AH3664" s="9"/>
      <c r="AI3664" s="9"/>
    </row>
    <row r="3665" ht="15.0" customHeight="1">
      <c r="A3665" s="11">
        <v>3664.0</v>
      </c>
      <c r="B3665" s="12">
        <f t="shared" ref="B3665:B3674" si="584">DATE(2012,12,31)-829</f>
        <v>40445</v>
      </c>
      <c r="C3665" s="13">
        <v>2010.0</v>
      </c>
      <c r="D3665" s="11" t="s">
        <v>102</v>
      </c>
      <c r="E3665" s="11">
        <v>15.0</v>
      </c>
      <c r="F3665" s="21" t="s">
        <v>737</v>
      </c>
      <c r="G3665" s="15">
        <v>0.04096075600472499</v>
      </c>
      <c r="H3665" s="11" t="s">
        <v>33</v>
      </c>
      <c r="I3665" s="16">
        <v>3.192</v>
      </c>
      <c r="J3665" s="11" t="s">
        <v>2304</v>
      </c>
      <c r="K3665" s="11" t="s">
        <v>26</v>
      </c>
      <c r="L3665" s="11" t="s">
        <v>48</v>
      </c>
      <c r="M3665" s="11" t="s">
        <v>28</v>
      </c>
      <c r="N3665" s="11" t="s">
        <v>197</v>
      </c>
      <c r="O3665" s="11" t="s">
        <v>739</v>
      </c>
      <c r="P3665" s="11" t="s">
        <v>38</v>
      </c>
      <c r="Q3665" s="20">
        <v>40446.0</v>
      </c>
      <c r="R3665" s="17">
        <f t="shared" si="2"/>
        <v>29.92969673</v>
      </c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>
        <f t="shared" si="8"/>
        <v>4</v>
      </c>
      <c r="AF3665" s="19">
        <f t="shared" si="13"/>
        <v>1</v>
      </c>
      <c r="AG3665" s="9"/>
      <c r="AH3665" s="9"/>
      <c r="AI3665" s="9"/>
    </row>
    <row r="3666" ht="15.0" customHeight="1">
      <c r="A3666" s="11">
        <v>3665.0</v>
      </c>
      <c r="B3666" s="12">
        <f t="shared" si="584"/>
        <v>40445</v>
      </c>
      <c r="C3666" s="13">
        <v>2010.0</v>
      </c>
      <c r="D3666" s="11" t="s">
        <v>102</v>
      </c>
      <c r="E3666" s="11">
        <v>6.0</v>
      </c>
      <c r="F3666" s="21" t="s">
        <v>1670</v>
      </c>
      <c r="G3666" s="15">
        <v>0.04338880484114959</v>
      </c>
      <c r="H3666" s="11" t="s">
        <v>33</v>
      </c>
      <c r="I3666" s="16">
        <v>1.4320000000000002</v>
      </c>
      <c r="J3666" s="11" t="s">
        <v>2304</v>
      </c>
      <c r="K3666" s="11" t="s">
        <v>26</v>
      </c>
      <c r="L3666" s="11" t="s">
        <v>48</v>
      </c>
      <c r="M3666" s="11" t="s">
        <v>28</v>
      </c>
      <c r="N3666" s="11" t="s">
        <v>56</v>
      </c>
      <c r="O3666" s="11" t="s">
        <v>1671</v>
      </c>
      <c r="P3666" s="11" t="s">
        <v>58</v>
      </c>
      <c r="Q3666" s="20">
        <v>40447.0</v>
      </c>
      <c r="R3666" s="17">
        <f t="shared" si="2"/>
        <v>2.743560908</v>
      </c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>
        <f t="shared" si="8"/>
        <v>4</v>
      </c>
      <c r="AF3666" s="19">
        <f t="shared" si="13"/>
        <v>1</v>
      </c>
      <c r="AG3666" s="9"/>
      <c r="AH3666" s="9"/>
      <c r="AI3666" s="9"/>
    </row>
    <row r="3667" ht="15.0" customHeight="1">
      <c r="A3667" s="11">
        <v>3666.0</v>
      </c>
      <c r="B3667" s="12">
        <f t="shared" si="584"/>
        <v>40445</v>
      </c>
      <c r="C3667" s="13">
        <v>2010.0</v>
      </c>
      <c r="D3667" s="11" t="s">
        <v>102</v>
      </c>
      <c r="E3667" s="11">
        <v>27.0</v>
      </c>
      <c r="F3667" s="21" t="s">
        <v>144</v>
      </c>
      <c r="G3667" s="15">
        <v>0.06758832565284166</v>
      </c>
      <c r="H3667" s="11" t="s">
        <v>33</v>
      </c>
      <c r="I3667" s="16">
        <v>4.0</v>
      </c>
      <c r="J3667" s="11" t="s">
        <v>2304</v>
      </c>
      <c r="K3667" s="11" t="s">
        <v>26</v>
      </c>
      <c r="L3667" s="11" t="s">
        <v>48</v>
      </c>
      <c r="M3667" s="11" t="s">
        <v>28</v>
      </c>
      <c r="N3667" s="11" t="s">
        <v>442</v>
      </c>
      <c r="O3667" s="11" t="s">
        <v>1883</v>
      </c>
      <c r="P3667" s="11" t="s">
        <v>58</v>
      </c>
      <c r="Q3667" s="20">
        <v>40447.0</v>
      </c>
      <c r="R3667" s="17">
        <f t="shared" si="2"/>
        <v>4.102611367</v>
      </c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>
        <f t="shared" si="8"/>
        <v>4</v>
      </c>
      <c r="AF3667" s="19">
        <f t="shared" si="13"/>
        <v>1</v>
      </c>
      <c r="AG3667" s="9"/>
      <c r="AH3667" s="9"/>
      <c r="AI3667" s="9"/>
    </row>
    <row r="3668" ht="15.0" customHeight="1">
      <c r="A3668" s="11">
        <v>3667.0</v>
      </c>
      <c r="B3668" s="12">
        <f t="shared" si="584"/>
        <v>40445</v>
      </c>
      <c r="C3668" s="13">
        <v>2010.0</v>
      </c>
      <c r="D3668" s="11" t="s">
        <v>32</v>
      </c>
      <c r="E3668" s="11">
        <v>12.0</v>
      </c>
      <c r="F3668" s="21" t="s">
        <v>93</v>
      </c>
      <c r="G3668" s="15">
        <v>0.027270811380400654</v>
      </c>
      <c r="H3668" s="11" t="s">
        <v>33</v>
      </c>
      <c r="I3668" s="16">
        <v>1.1119999999999999</v>
      </c>
      <c r="J3668" s="11" t="s">
        <v>2329</v>
      </c>
      <c r="K3668" s="11" t="s">
        <v>35</v>
      </c>
      <c r="L3668" s="11" t="s">
        <v>27</v>
      </c>
      <c r="M3668" s="11" t="s">
        <v>28</v>
      </c>
      <c r="N3668" s="11" t="s">
        <v>236</v>
      </c>
      <c r="O3668" s="11" t="s">
        <v>367</v>
      </c>
      <c r="P3668" s="11" t="s">
        <v>38</v>
      </c>
      <c r="Q3668" s="20">
        <v>40447.0</v>
      </c>
      <c r="R3668" s="17">
        <f t="shared" si="2"/>
        <v>2.51742314</v>
      </c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>
        <f t="shared" si="8"/>
        <v>1</v>
      </c>
      <c r="AF3668" s="19">
        <f t="shared" si="13"/>
        <v>2</v>
      </c>
      <c r="AG3668" s="9"/>
      <c r="AH3668" s="9"/>
      <c r="AI3668" s="9"/>
    </row>
    <row r="3669" ht="15.0" customHeight="1">
      <c r="A3669" s="11">
        <v>3668.0</v>
      </c>
      <c r="B3669" s="12">
        <f t="shared" si="584"/>
        <v>40445</v>
      </c>
      <c r="C3669" s="13">
        <v>2010.0</v>
      </c>
      <c r="D3669" s="11" t="s">
        <v>102</v>
      </c>
      <c r="E3669" s="11">
        <v>46.0</v>
      </c>
      <c r="F3669" s="21" t="s">
        <v>1911</v>
      </c>
      <c r="G3669" s="15">
        <v>0.09476258050431177</v>
      </c>
      <c r="H3669" s="11" t="s">
        <v>24</v>
      </c>
      <c r="I3669" s="16">
        <v>11.776000000000002</v>
      </c>
      <c r="J3669" s="11" t="s">
        <v>992</v>
      </c>
      <c r="K3669" s="11" t="s">
        <v>61</v>
      </c>
      <c r="L3669" s="11" t="s">
        <v>48</v>
      </c>
      <c r="M3669" s="11" t="s">
        <v>28</v>
      </c>
      <c r="N3669" s="11" t="s">
        <v>236</v>
      </c>
      <c r="O3669" s="11" t="s">
        <v>1912</v>
      </c>
      <c r="P3669" s="11" t="s">
        <v>38</v>
      </c>
      <c r="Q3669" s="20">
        <v>40447.0</v>
      </c>
      <c r="R3669" s="17">
        <f t="shared" si="2"/>
        <v>157.1709417</v>
      </c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>
        <f t="shared" si="8"/>
        <v>4</v>
      </c>
      <c r="AF3669" s="19">
        <f t="shared" si="13"/>
        <v>4</v>
      </c>
      <c r="AG3669" s="9"/>
      <c r="AH3669" s="9"/>
      <c r="AI3669" s="9"/>
    </row>
    <row r="3670" ht="15.0" customHeight="1">
      <c r="A3670" s="11">
        <v>3669.0</v>
      </c>
      <c r="B3670" s="12">
        <f t="shared" si="584"/>
        <v>40445</v>
      </c>
      <c r="C3670" s="13">
        <v>2010.0</v>
      </c>
      <c r="D3670" s="11" t="s">
        <v>102</v>
      </c>
      <c r="E3670" s="11">
        <v>45.0</v>
      </c>
      <c r="F3670" s="21" t="s">
        <v>284</v>
      </c>
      <c r="G3670" s="15">
        <v>0.0685188968335037</v>
      </c>
      <c r="H3670" s="11" t="s">
        <v>33</v>
      </c>
      <c r="I3670" s="16">
        <v>1.192</v>
      </c>
      <c r="J3670" s="11" t="s">
        <v>992</v>
      </c>
      <c r="K3670" s="11" t="s">
        <v>61</v>
      </c>
      <c r="L3670" s="11" t="s">
        <v>48</v>
      </c>
      <c r="M3670" s="11" t="s">
        <v>28</v>
      </c>
      <c r="N3670" s="11" t="s">
        <v>42</v>
      </c>
      <c r="O3670" s="11" t="s">
        <v>2299</v>
      </c>
      <c r="P3670" s="11" t="s">
        <v>38</v>
      </c>
      <c r="Q3670" s="20">
        <v>40447.0</v>
      </c>
      <c r="R3670" s="17">
        <f t="shared" si="2"/>
        <v>6.24837524</v>
      </c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>
        <f t="shared" si="8"/>
        <v>4</v>
      </c>
      <c r="AF3670" s="19">
        <f t="shared" si="13"/>
        <v>4</v>
      </c>
      <c r="AG3670" s="9"/>
      <c r="AH3670" s="9"/>
      <c r="AI3670" s="9"/>
    </row>
    <row r="3671" ht="15.0" customHeight="1">
      <c r="A3671" s="11">
        <v>3670.0</v>
      </c>
      <c r="B3671" s="12">
        <f t="shared" si="584"/>
        <v>40445</v>
      </c>
      <c r="C3671" s="13">
        <v>2010.0</v>
      </c>
      <c r="D3671" s="11" t="s">
        <v>23</v>
      </c>
      <c r="E3671" s="11">
        <v>7.0</v>
      </c>
      <c r="F3671" s="21" t="s">
        <v>1191</v>
      </c>
      <c r="G3671" s="15">
        <v>0.052248081951052475</v>
      </c>
      <c r="H3671" s="11" t="s">
        <v>33</v>
      </c>
      <c r="I3671" s="16">
        <v>4.08</v>
      </c>
      <c r="J3671" s="11" t="s">
        <v>326</v>
      </c>
      <c r="K3671" s="11" t="s">
        <v>35</v>
      </c>
      <c r="L3671" s="11" t="s">
        <v>36</v>
      </c>
      <c r="M3671" s="11" t="s">
        <v>28</v>
      </c>
      <c r="N3671" s="11" t="s">
        <v>197</v>
      </c>
      <c r="O3671" s="11" t="s">
        <v>1193</v>
      </c>
      <c r="P3671" s="11" t="s">
        <v>75</v>
      </c>
      <c r="Q3671" s="20">
        <v>40447.0</v>
      </c>
      <c r="R3671" s="17">
        <f t="shared" si="2"/>
        <v>17.32964382</v>
      </c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>
        <f t="shared" si="8"/>
        <v>2</v>
      </c>
      <c r="AF3671" s="19">
        <f t="shared" si="13"/>
        <v>2</v>
      </c>
      <c r="AG3671" s="9"/>
      <c r="AH3671" s="9"/>
      <c r="AI3671" s="9"/>
    </row>
    <row r="3672" ht="15.0" customHeight="1">
      <c r="A3672" s="11">
        <v>3671.0</v>
      </c>
      <c r="B3672" s="12">
        <f t="shared" si="584"/>
        <v>40445</v>
      </c>
      <c r="C3672" s="13">
        <v>2010.0</v>
      </c>
      <c r="D3672" s="11" t="s">
        <v>32</v>
      </c>
      <c r="E3672" s="11">
        <v>39.0</v>
      </c>
      <c r="F3672" s="21" t="s">
        <v>562</v>
      </c>
      <c r="G3672" s="15">
        <v>0.04802262637277064</v>
      </c>
      <c r="H3672" s="11" t="s">
        <v>45</v>
      </c>
      <c r="I3672" s="16">
        <v>20.8</v>
      </c>
      <c r="J3672" s="11" t="s">
        <v>1560</v>
      </c>
      <c r="K3672" s="11" t="s">
        <v>26</v>
      </c>
      <c r="L3672" s="11" t="s">
        <v>27</v>
      </c>
      <c r="M3672" s="11" t="s">
        <v>49</v>
      </c>
      <c r="N3672" s="11" t="s">
        <v>50</v>
      </c>
      <c r="O3672" s="11" t="s">
        <v>1649</v>
      </c>
      <c r="P3672" s="11" t="s">
        <v>52</v>
      </c>
      <c r="Q3672" s="20">
        <v>40447.0</v>
      </c>
      <c r="R3672" s="17">
        <f t="shared" si="2"/>
        <v>939.1256791</v>
      </c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>
        <f t="shared" si="8"/>
        <v>1</v>
      </c>
      <c r="AF3672" s="19">
        <f t="shared" si="13"/>
        <v>1</v>
      </c>
      <c r="AG3672" s="9"/>
      <c r="AH3672" s="9"/>
      <c r="AI3672" s="9"/>
    </row>
    <row r="3673" ht="15.0" customHeight="1">
      <c r="A3673" s="11">
        <v>3672.0</v>
      </c>
      <c r="B3673" s="12">
        <f t="shared" si="584"/>
        <v>40445</v>
      </c>
      <c r="C3673" s="13">
        <v>2010.0</v>
      </c>
      <c r="D3673" s="11" t="s">
        <v>39</v>
      </c>
      <c r="E3673" s="11">
        <v>13.0</v>
      </c>
      <c r="F3673" s="21" t="s">
        <v>402</v>
      </c>
      <c r="G3673" s="15">
        <v>0.050830324909747336</v>
      </c>
      <c r="H3673" s="11" t="s">
        <v>33</v>
      </c>
      <c r="I3673" s="16">
        <v>3.7680000000000002</v>
      </c>
      <c r="J3673" s="11" t="s">
        <v>1572</v>
      </c>
      <c r="K3673" s="11" t="s">
        <v>83</v>
      </c>
      <c r="L3673" s="11" t="s">
        <v>27</v>
      </c>
      <c r="M3673" s="11" t="s">
        <v>28</v>
      </c>
      <c r="N3673" s="11" t="s">
        <v>42</v>
      </c>
      <c r="O3673" s="11" t="s">
        <v>404</v>
      </c>
      <c r="P3673" s="11" t="s">
        <v>38</v>
      </c>
      <c r="Q3673" s="20">
        <v>40447.0</v>
      </c>
      <c r="R3673" s="17">
        <f t="shared" si="2"/>
        <v>5.34572361</v>
      </c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>
        <f t="shared" si="8"/>
        <v>1</v>
      </c>
      <c r="AF3673" s="19" t="b">
        <f t="shared" si="13"/>
        <v>0</v>
      </c>
      <c r="AG3673" s="9"/>
      <c r="AH3673" s="9"/>
      <c r="AI3673" s="9"/>
    </row>
    <row r="3674" ht="15.0" customHeight="1">
      <c r="A3674" s="11">
        <v>3673.0</v>
      </c>
      <c r="B3674" s="12">
        <f t="shared" si="584"/>
        <v>40445</v>
      </c>
      <c r="C3674" s="13">
        <v>2010.0</v>
      </c>
      <c r="D3674" s="11" t="s">
        <v>32</v>
      </c>
      <c r="E3674" s="11">
        <v>47.0</v>
      </c>
      <c r="F3674" s="21" t="s">
        <v>908</v>
      </c>
      <c r="G3674" s="15">
        <v>0.09483357644874686</v>
      </c>
      <c r="H3674" s="11" t="s">
        <v>33</v>
      </c>
      <c r="I3674" s="16">
        <v>6.872</v>
      </c>
      <c r="J3674" s="11" t="s">
        <v>337</v>
      </c>
      <c r="K3674" s="11" t="s">
        <v>117</v>
      </c>
      <c r="L3674" s="11" t="s">
        <v>48</v>
      </c>
      <c r="M3674" s="11" t="s">
        <v>66</v>
      </c>
      <c r="N3674" s="11" t="s">
        <v>80</v>
      </c>
      <c r="O3674" s="11" t="s">
        <v>909</v>
      </c>
      <c r="P3674" s="11" t="s">
        <v>75</v>
      </c>
      <c r="Q3674" s="20">
        <v>40447.0</v>
      </c>
      <c r="R3674" s="17">
        <f t="shared" si="2"/>
        <v>129.4641432</v>
      </c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>
        <f t="shared" si="8"/>
        <v>4</v>
      </c>
      <c r="AF3674" s="19" t="b">
        <f t="shared" si="13"/>
        <v>0</v>
      </c>
      <c r="AG3674" s="9"/>
      <c r="AH3674" s="9"/>
      <c r="AI3674" s="9"/>
    </row>
    <row r="3675" ht="15.0" customHeight="1">
      <c r="A3675" s="11">
        <v>3674.0</v>
      </c>
      <c r="B3675" s="12">
        <f t="shared" ref="B3675:B3683" si="585">DATE(2012,12,31)-828</f>
        <v>40446</v>
      </c>
      <c r="C3675" s="13">
        <v>2010.0</v>
      </c>
      <c r="D3675" s="11" t="s">
        <v>102</v>
      </c>
      <c r="E3675" s="11">
        <v>38.0</v>
      </c>
      <c r="F3675" s="21" t="s">
        <v>178</v>
      </c>
      <c r="G3675" s="15">
        <v>0.05855750487329421</v>
      </c>
      <c r="H3675" s="11" t="s">
        <v>33</v>
      </c>
      <c r="I3675" s="16">
        <v>7.192</v>
      </c>
      <c r="J3675" s="11" t="s">
        <v>2301</v>
      </c>
      <c r="K3675" s="11" t="s">
        <v>83</v>
      </c>
      <c r="L3675" s="11" t="s">
        <v>27</v>
      </c>
      <c r="M3675" s="11" t="s">
        <v>66</v>
      </c>
      <c r="N3675" s="11" t="s">
        <v>80</v>
      </c>
      <c r="O3675" s="11" t="s">
        <v>1263</v>
      </c>
      <c r="P3675" s="11" t="s">
        <v>38</v>
      </c>
      <c r="Q3675" s="20">
        <v>40447.0</v>
      </c>
      <c r="R3675" s="17">
        <f t="shared" si="2"/>
        <v>147.0608493</v>
      </c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>
        <f t="shared" si="8"/>
        <v>1</v>
      </c>
      <c r="AF3675" s="19" t="b">
        <f t="shared" si="13"/>
        <v>0</v>
      </c>
      <c r="AG3675" s="9"/>
      <c r="AH3675" s="9"/>
      <c r="AI3675" s="9"/>
    </row>
    <row r="3676" ht="15.0" customHeight="1">
      <c r="A3676" s="11">
        <v>3675.0</v>
      </c>
      <c r="B3676" s="12">
        <f t="shared" si="585"/>
        <v>40446</v>
      </c>
      <c r="C3676" s="13">
        <v>2010.0</v>
      </c>
      <c r="D3676" s="11" t="s">
        <v>102</v>
      </c>
      <c r="E3676" s="11">
        <v>44.0</v>
      </c>
      <c r="F3676" s="21" t="s">
        <v>158</v>
      </c>
      <c r="G3676" s="15">
        <v>0.08060314404876473</v>
      </c>
      <c r="H3676" s="11" t="s">
        <v>33</v>
      </c>
      <c r="I3676" s="16">
        <v>4.976</v>
      </c>
      <c r="J3676" s="11" t="s">
        <v>1137</v>
      </c>
      <c r="K3676" s="11" t="s">
        <v>83</v>
      </c>
      <c r="L3676" s="11" t="s">
        <v>41</v>
      </c>
      <c r="M3676" s="11" t="s">
        <v>28</v>
      </c>
      <c r="N3676" s="11" t="s">
        <v>56</v>
      </c>
      <c r="O3676" s="11" t="s">
        <v>1216</v>
      </c>
      <c r="P3676" s="11" t="s">
        <v>38</v>
      </c>
      <c r="Q3676" s="20">
        <v>40447.0</v>
      </c>
      <c r="R3676" s="17">
        <f t="shared" si="2"/>
        <v>23.09892661</v>
      </c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>
        <f t="shared" si="8"/>
        <v>3</v>
      </c>
      <c r="AF3676" s="19" t="b">
        <f t="shared" si="13"/>
        <v>0</v>
      </c>
      <c r="AG3676" s="9"/>
      <c r="AH3676" s="9"/>
      <c r="AI3676" s="9"/>
    </row>
    <row r="3677" ht="15.0" customHeight="1">
      <c r="A3677" s="11">
        <v>3676.0</v>
      </c>
      <c r="B3677" s="12">
        <f t="shared" si="585"/>
        <v>40446</v>
      </c>
      <c r="C3677" s="13">
        <v>2010.0</v>
      </c>
      <c r="D3677" s="11" t="s">
        <v>102</v>
      </c>
      <c r="E3677" s="11">
        <v>8.0</v>
      </c>
      <c r="F3677" s="21" t="s">
        <v>521</v>
      </c>
      <c r="G3677" s="15">
        <v>0.055107296137339064</v>
      </c>
      <c r="H3677" s="11" t="s">
        <v>45</v>
      </c>
      <c r="I3677" s="16">
        <v>55.712</v>
      </c>
      <c r="J3677" s="11" t="s">
        <v>1137</v>
      </c>
      <c r="K3677" s="11" t="s">
        <v>83</v>
      </c>
      <c r="L3677" s="11" t="s">
        <v>41</v>
      </c>
      <c r="M3677" s="11" t="s">
        <v>49</v>
      </c>
      <c r="N3677" s="11" t="s">
        <v>85</v>
      </c>
      <c r="O3677" s="11" t="s">
        <v>522</v>
      </c>
      <c r="P3677" s="11" t="s">
        <v>87</v>
      </c>
      <c r="Q3677" s="20">
        <v>40447.0</v>
      </c>
      <c r="R3677" s="17">
        <f t="shared" si="2"/>
        <v>99.485863</v>
      </c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>
        <f t="shared" si="8"/>
        <v>3</v>
      </c>
      <c r="AF3677" s="19" t="b">
        <f t="shared" si="13"/>
        <v>0</v>
      </c>
      <c r="AG3677" s="9"/>
      <c r="AH3677" s="9"/>
      <c r="AI3677" s="9"/>
    </row>
    <row r="3678" ht="15.0" customHeight="1">
      <c r="A3678" s="11">
        <v>3677.0</v>
      </c>
      <c r="B3678" s="12">
        <f t="shared" si="585"/>
        <v>40446</v>
      </c>
      <c r="C3678" s="13">
        <v>2010.0</v>
      </c>
      <c r="D3678" s="11" t="s">
        <v>44</v>
      </c>
      <c r="E3678" s="11">
        <v>37.0</v>
      </c>
      <c r="F3678" s="21" t="s">
        <v>176</v>
      </c>
      <c r="G3678" s="15">
        <v>0.021691606099472713</v>
      </c>
      <c r="H3678" s="11" t="s">
        <v>33</v>
      </c>
      <c r="I3678" s="16">
        <v>11.616</v>
      </c>
      <c r="J3678" s="11" t="s">
        <v>1165</v>
      </c>
      <c r="K3678" s="11" t="s">
        <v>35</v>
      </c>
      <c r="L3678" s="11" t="s">
        <v>48</v>
      </c>
      <c r="M3678" s="11" t="s">
        <v>66</v>
      </c>
      <c r="N3678" s="11" t="s">
        <v>67</v>
      </c>
      <c r="O3678" s="11" t="s">
        <v>177</v>
      </c>
      <c r="P3678" s="11" t="s">
        <v>38</v>
      </c>
      <c r="Q3678" s="20">
        <v>40448.0</v>
      </c>
      <c r="R3678" s="17">
        <f t="shared" si="2"/>
        <v>59.56332825</v>
      </c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>
        <f t="shared" si="8"/>
        <v>4</v>
      </c>
      <c r="AF3678" s="19">
        <f t="shared" si="13"/>
        <v>2</v>
      </c>
      <c r="AG3678" s="9"/>
      <c r="AH3678" s="9"/>
      <c r="AI3678" s="9"/>
    </row>
    <row r="3679" ht="15.0" customHeight="1">
      <c r="A3679" s="11">
        <v>3678.0</v>
      </c>
      <c r="B3679" s="12">
        <f t="shared" si="585"/>
        <v>40446</v>
      </c>
      <c r="C3679" s="13">
        <v>2010.0</v>
      </c>
      <c r="D3679" s="11" t="s">
        <v>102</v>
      </c>
      <c r="E3679" s="11">
        <v>21.0</v>
      </c>
      <c r="F3679" s="21" t="s">
        <v>218</v>
      </c>
      <c r="G3679" s="15">
        <v>0.02498891352549879</v>
      </c>
      <c r="H3679" s="11" t="s">
        <v>33</v>
      </c>
      <c r="I3679" s="16">
        <v>1.592</v>
      </c>
      <c r="J3679" s="11" t="s">
        <v>2062</v>
      </c>
      <c r="K3679" s="11" t="s">
        <v>117</v>
      </c>
      <c r="L3679" s="11" t="s">
        <v>41</v>
      </c>
      <c r="M3679" s="11" t="s">
        <v>66</v>
      </c>
      <c r="N3679" s="11" t="s">
        <v>67</v>
      </c>
      <c r="O3679" s="11" t="s">
        <v>749</v>
      </c>
      <c r="P3679" s="11" t="s">
        <v>99</v>
      </c>
      <c r="Q3679" s="20">
        <v>40448.0</v>
      </c>
      <c r="R3679" s="17">
        <f t="shared" si="2"/>
        <v>4.395349978</v>
      </c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>
        <f t="shared" si="8"/>
        <v>3</v>
      </c>
      <c r="AF3679" s="19" t="b">
        <f t="shared" si="13"/>
        <v>0</v>
      </c>
      <c r="AG3679" s="9"/>
      <c r="AH3679" s="9"/>
      <c r="AI3679" s="9"/>
    </row>
    <row r="3680" ht="15.0" customHeight="1">
      <c r="A3680" s="11">
        <v>3679.0</v>
      </c>
      <c r="B3680" s="12">
        <f t="shared" si="585"/>
        <v>40446</v>
      </c>
      <c r="C3680" s="13">
        <v>2010.0</v>
      </c>
      <c r="D3680" s="11" t="s">
        <v>102</v>
      </c>
      <c r="E3680" s="11">
        <v>12.0</v>
      </c>
      <c r="F3680" s="21" t="s">
        <v>130</v>
      </c>
      <c r="G3680" s="15">
        <v>0.0058170280274987985</v>
      </c>
      <c r="H3680" s="11" t="s">
        <v>33</v>
      </c>
      <c r="I3680" s="16">
        <v>5.2</v>
      </c>
      <c r="J3680" s="11" t="s">
        <v>2062</v>
      </c>
      <c r="K3680" s="11" t="s">
        <v>117</v>
      </c>
      <c r="L3680" s="11" t="s">
        <v>41</v>
      </c>
      <c r="M3680" s="11" t="s">
        <v>66</v>
      </c>
      <c r="N3680" s="11" t="s">
        <v>67</v>
      </c>
      <c r="O3680" s="11" t="s">
        <v>1464</v>
      </c>
      <c r="P3680" s="11" t="s">
        <v>38</v>
      </c>
      <c r="Q3680" s="20">
        <v>40448.0</v>
      </c>
      <c r="R3680" s="17">
        <f t="shared" si="2"/>
        <v>2.187202538</v>
      </c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>
        <f t="shared" si="8"/>
        <v>3</v>
      </c>
      <c r="AF3680" s="19" t="b">
        <f t="shared" si="13"/>
        <v>0</v>
      </c>
      <c r="AG3680" s="9"/>
      <c r="AH3680" s="9"/>
      <c r="AI3680" s="9"/>
    </row>
    <row r="3681" ht="15.0" customHeight="1">
      <c r="A3681" s="11">
        <v>3680.0</v>
      </c>
      <c r="B3681" s="12">
        <f t="shared" si="585"/>
        <v>40446</v>
      </c>
      <c r="C3681" s="13">
        <v>2010.0</v>
      </c>
      <c r="D3681" s="11" t="s">
        <v>102</v>
      </c>
      <c r="E3681" s="11">
        <v>46.0</v>
      </c>
      <c r="F3681" s="21" t="s">
        <v>1136</v>
      </c>
      <c r="G3681" s="15">
        <v>0.06117501107665047</v>
      </c>
      <c r="H3681" s="11" t="s">
        <v>24</v>
      </c>
      <c r="I3681" s="16">
        <v>6.064</v>
      </c>
      <c r="J3681" s="11" t="s">
        <v>2062</v>
      </c>
      <c r="K3681" s="11" t="s">
        <v>117</v>
      </c>
      <c r="L3681" s="11" t="s">
        <v>41</v>
      </c>
      <c r="M3681" s="11" t="s">
        <v>49</v>
      </c>
      <c r="N3681" s="11" t="s">
        <v>73</v>
      </c>
      <c r="O3681" s="11" t="s">
        <v>2284</v>
      </c>
      <c r="P3681" s="11" t="s">
        <v>38</v>
      </c>
      <c r="Q3681" s="20">
        <v>40448.0</v>
      </c>
      <c r="R3681" s="17">
        <f t="shared" si="2"/>
        <v>64.81272194</v>
      </c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>
        <f t="shared" si="8"/>
        <v>3</v>
      </c>
      <c r="AF3681" s="19" t="b">
        <f t="shared" si="13"/>
        <v>0</v>
      </c>
      <c r="AG3681" s="9"/>
      <c r="AH3681" s="9"/>
      <c r="AI3681" s="9"/>
    </row>
    <row r="3682" ht="15.0" customHeight="1">
      <c r="A3682" s="11">
        <v>3681.0</v>
      </c>
      <c r="B3682" s="12">
        <f t="shared" si="585"/>
        <v>40446</v>
      </c>
      <c r="C3682" s="13">
        <v>2010.0</v>
      </c>
      <c r="D3682" s="11" t="s">
        <v>44</v>
      </c>
      <c r="E3682" s="11">
        <v>32.0</v>
      </c>
      <c r="F3682" s="21" t="s">
        <v>856</v>
      </c>
      <c r="G3682" s="15">
        <v>0.08417317246273963</v>
      </c>
      <c r="H3682" s="11" t="s">
        <v>33</v>
      </c>
      <c r="I3682" s="16">
        <v>1.04</v>
      </c>
      <c r="J3682" s="11" t="s">
        <v>2439</v>
      </c>
      <c r="K3682" s="11" t="s">
        <v>35</v>
      </c>
      <c r="L3682" s="11" t="s">
        <v>41</v>
      </c>
      <c r="M3682" s="11" t="s">
        <v>28</v>
      </c>
      <c r="N3682" s="11" t="s">
        <v>56</v>
      </c>
      <c r="O3682" s="11" t="s">
        <v>858</v>
      </c>
      <c r="P3682" s="11" t="s">
        <v>58</v>
      </c>
      <c r="Q3682" s="20">
        <v>40448.0</v>
      </c>
      <c r="R3682" s="17">
        <f t="shared" si="2"/>
        <v>10.86170617</v>
      </c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>
        <f t="shared" si="8"/>
        <v>3</v>
      </c>
      <c r="AF3682" s="19">
        <f t="shared" si="13"/>
        <v>2</v>
      </c>
      <c r="AG3682" s="9"/>
      <c r="AH3682" s="9"/>
      <c r="AI3682" s="9"/>
    </row>
    <row r="3683" ht="15.0" customHeight="1">
      <c r="A3683" s="11">
        <v>3682.0</v>
      </c>
      <c r="B3683" s="12">
        <f t="shared" si="585"/>
        <v>40446</v>
      </c>
      <c r="C3683" s="13">
        <v>2010.0</v>
      </c>
      <c r="D3683" s="11" t="s">
        <v>44</v>
      </c>
      <c r="E3683" s="11">
        <v>35.0</v>
      </c>
      <c r="F3683" s="21" t="s">
        <v>869</v>
      </c>
      <c r="G3683" s="15">
        <v>0.06704499040782239</v>
      </c>
      <c r="H3683" s="11" t="s">
        <v>24</v>
      </c>
      <c r="I3683" s="16">
        <v>8.624</v>
      </c>
      <c r="J3683" s="11" t="s">
        <v>2439</v>
      </c>
      <c r="K3683" s="11" t="s">
        <v>35</v>
      </c>
      <c r="L3683" s="11" t="s">
        <v>41</v>
      </c>
      <c r="M3683" s="11" t="s">
        <v>66</v>
      </c>
      <c r="N3683" s="11" t="s">
        <v>80</v>
      </c>
      <c r="O3683" s="11" t="s">
        <v>1713</v>
      </c>
      <c r="P3683" s="11" t="s">
        <v>38</v>
      </c>
      <c r="Q3683" s="20">
        <v>40448.0</v>
      </c>
      <c r="R3683" s="17">
        <f t="shared" si="2"/>
        <v>202.1489597</v>
      </c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>
        <f t="shared" si="8"/>
        <v>3</v>
      </c>
      <c r="AF3683" s="19">
        <f t="shared" si="13"/>
        <v>2</v>
      </c>
      <c r="AG3683" s="9"/>
      <c r="AH3683" s="9"/>
      <c r="AI3683" s="9"/>
    </row>
    <row r="3684" ht="15.0" customHeight="1">
      <c r="A3684" s="11">
        <v>3683.0</v>
      </c>
      <c r="B3684" s="12">
        <f t="shared" ref="B3684:B3695" si="586">DATE(2012,12,31)-827</f>
        <v>40447</v>
      </c>
      <c r="C3684" s="13">
        <v>2010.0</v>
      </c>
      <c r="D3684" s="11" t="s">
        <v>44</v>
      </c>
      <c r="E3684" s="11">
        <v>20.0</v>
      </c>
      <c r="F3684" s="21" t="s">
        <v>178</v>
      </c>
      <c r="G3684" s="15">
        <v>0.01234280599686731</v>
      </c>
      <c r="H3684" s="11" t="s">
        <v>24</v>
      </c>
      <c r="I3684" s="16">
        <v>6.152000000000001</v>
      </c>
      <c r="J3684" s="11" t="s">
        <v>385</v>
      </c>
      <c r="K3684" s="11" t="s">
        <v>35</v>
      </c>
      <c r="L3684" s="11" t="s">
        <v>41</v>
      </c>
      <c r="M3684" s="11" t="s">
        <v>66</v>
      </c>
      <c r="N3684" s="11" t="s">
        <v>80</v>
      </c>
      <c r="O3684" s="11" t="s">
        <v>2286</v>
      </c>
      <c r="P3684" s="11" t="s">
        <v>38</v>
      </c>
      <c r="Q3684" s="20">
        <v>40448.0</v>
      </c>
      <c r="R3684" s="17">
        <f t="shared" si="2"/>
        <v>16.34375125</v>
      </c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>
        <f t="shared" si="8"/>
        <v>3</v>
      </c>
      <c r="AF3684" s="19">
        <f t="shared" si="13"/>
        <v>2</v>
      </c>
      <c r="AG3684" s="9"/>
      <c r="AH3684" s="9"/>
      <c r="AI3684" s="9"/>
    </row>
    <row r="3685" ht="15.0" customHeight="1">
      <c r="A3685" s="11">
        <v>3684.0</v>
      </c>
      <c r="B3685" s="12">
        <f t="shared" si="586"/>
        <v>40447</v>
      </c>
      <c r="C3685" s="13">
        <v>2010.0</v>
      </c>
      <c r="D3685" s="11" t="s">
        <v>44</v>
      </c>
      <c r="E3685" s="11">
        <v>7.0</v>
      </c>
      <c r="F3685" s="21" t="s">
        <v>135</v>
      </c>
      <c r="G3685" s="15">
        <v>0.06067415730337083</v>
      </c>
      <c r="H3685" s="11" t="s">
        <v>33</v>
      </c>
      <c r="I3685" s="16">
        <v>3.9600000000000004</v>
      </c>
      <c r="J3685" s="11" t="s">
        <v>563</v>
      </c>
      <c r="K3685" s="11" t="s">
        <v>83</v>
      </c>
      <c r="L3685" s="11" t="s">
        <v>36</v>
      </c>
      <c r="M3685" s="11" t="s">
        <v>49</v>
      </c>
      <c r="N3685" s="11" t="s">
        <v>73</v>
      </c>
      <c r="O3685" s="11" t="s">
        <v>136</v>
      </c>
      <c r="P3685" s="11" t="s">
        <v>99</v>
      </c>
      <c r="Q3685" s="20">
        <v>40448.0</v>
      </c>
      <c r="R3685" s="17">
        <f t="shared" si="2"/>
        <v>3.04341573</v>
      </c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>
        <f t="shared" si="8"/>
        <v>2</v>
      </c>
      <c r="AF3685" s="19" t="b">
        <f t="shared" si="13"/>
        <v>0</v>
      </c>
      <c r="AG3685" s="9"/>
      <c r="AH3685" s="9"/>
      <c r="AI3685" s="9"/>
    </row>
    <row r="3686" ht="15.0" customHeight="1">
      <c r="A3686" s="11">
        <v>3685.0</v>
      </c>
      <c r="B3686" s="12">
        <f t="shared" si="586"/>
        <v>40447</v>
      </c>
      <c r="C3686" s="13">
        <v>2010.0</v>
      </c>
      <c r="D3686" s="11" t="s">
        <v>44</v>
      </c>
      <c r="E3686" s="11">
        <v>48.0</v>
      </c>
      <c r="F3686" s="21" t="s">
        <v>747</v>
      </c>
      <c r="G3686" s="15">
        <v>0.03758971406639794</v>
      </c>
      <c r="H3686" s="11" t="s">
        <v>33</v>
      </c>
      <c r="I3686" s="16">
        <v>2.3120000000000003</v>
      </c>
      <c r="J3686" s="11" t="s">
        <v>232</v>
      </c>
      <c r="K3686" s="11" t="s">
        <v>47</v>
      </c>
      <c r="L3686" s="11" t="s">
        <v>36</v>
      </c>
      <c r="M3686" s="11" t="s">
        <v>28</v>
      </c>
      <c r="N3686" s="11" t="s">
        <v>62</v>
      </c>
      <c r="O3686" s="11" t="s">
        <v>1491</v>
      </c>
      <c r="P3686" s="11" t="s">
        <v>99</v>
      </c>
      <c r="Q3686" s="20">
        <v>40448.0</v>
      </c>
      <c r="R3686" s="17">
        <f t="shared" si="2"/>
        <v>18.85169268</v>
      </c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>
        <f t="shared" si="8"/>
        <v>2</v>
      </c>
      <c r="AF3686" s="19">
        <f t="shared" si="13"/>
        <v>3</v>
      </c>
      <c r="AG3686" s="9"/>
      <c r="AH3686" s="9"/>
      <c r="AI3686" s="9"/>
    </row>
    <row r="3687" ht="15.0" customHeight="1">
      <c r="A3687" s="11">
        <v>3686.0</v>
      </c>
      <c r="B3687" s="12">
        <f t="shared" si="586"/>
        <v>40447</v>
      </c>
      <c r="C3687" s="13">
        <v>2010.0</v>
      </c>
      <c r="D3687" s="11" t="s">
        <v>102</v>
      </c>
      <c r="E3687" s="11">
        <v>37.0</v>
      </c>
      <c r="F3687" s="21" t="s">
        <v>319</v>
      </c>
      <c r="G3687" s="15">
        <v>0.11639762107051829</v>
      </c>
      <c r="H3687" s="11" t="s">
        <v>33</v>
      </c>
      <c r="I3687" s="16">
        <v>0.4</v>
      </c>
      <c r="J3687" s="11" t="s">
        <v>251</v>
      </c>
      <c r="K3687" s="11" t="s">
        <v>65</v>
      </c>
      <c r="L3687" s="11" t="s">
        <v>41</v>
      </c>
      <c r="M3687" s="11" t="s">
        <v>28</v>
      </c>
      <c r="N3687" s="11" t="s">
        <v>188</v>
      </c>
      <c r="O3687" s="11" t="s">
        <v>2440</v>
      </c>
      <c r="P3687" s="11" t="s">
        <v>38</v>
      </c>
      <c r="Q3687" s="20">
        <v>40448.0</v>
      </c>
      <c r="R3687" s="17">
        <f t="shared" si="2"/>
        <v>12.10535259</v>
      </c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>
        <f t="shared" si="8"/>
        <v>3</v>
      </c>
      <c r="AF3687" s="19">
        <f t="shared" si="13"/>
        <v>5</v>
      </c>
      <c r="AG3687" s="9"/>
      <c r="AH3687" s="9"/>
      <c r="AI3687" s="9"/>
    </row>
    <row r="3688" ht="15.0" customHeight="1">
      <c r="A3688" s="11">
        <v>3687.0</v>
      </c>
      <c r="B3688" s="12">
        <f t="shared" si="586"/>
        <v>40447</v>
      </c>
      <c r="C3688" s="13">
        <v>2010.0</v>
      </c>
      <c r="D3688" s="11" t="s">
        <v>23</v>
      </c>
      <c r="E3688" s="11">
        <v>11.0</v>
      </c>
      <c r="F3688" s="21" t="s">
        <v>277</v>
      </c>
      <c r="G3688" s="15">
        <v>0.09651741293532344</v>
      </c>
      <c r="H3688" s="11" t="s">
        <v>33</v>
      </c>
      <c r="I3688" s="16">
        <v>0.5599999999999999</v>
      </c>
      <c r="J3688" s="11" t="s">
        <v>1377</v>
      </c>
      <c r="K3688" s="11" t="s">
        <v>47</v>
      </c>
      <c r="L3688" s="11" t="s">
        <v>48</v>
      </c>
      <c r="M3688" s="11" t="s">
        <v>28</v>
      </c>
      <c r="N3688" s="11" t="s">
        <v>62</v>
      </c>
      <c r="O3688" s="11" t="s">
        <v>1413</v>
      </c>
      <c r="P3688" s="11" t="s">
        <v>58</v>
      </c>
      <c r="Q3688" s="20">
        <v>40448.0</v>
      </c>
      <c r="R3688" s="17">
        <f t="shared" si="2"/>
        <v>1.752756219</v>
      </c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>
        <f t="shared" si="8"/>
        <v>4</v>
      </c>
      <c r="AF3688" s="19">
        <f t="shared" si="13"/>
        <v>3</v>
      </c>
      <c r="AG3688" s="9"/>
      <c r="AH3688" s="9"/>
      <c r="AI3688" s="9"/>
    </row>
    <row r="3689" ht="15.0" customHeight="1">
      <c r="A3689" s="11">
        <v>3688.0</v>
      </c>
      <c r="B3689" s="12">
        <f t="shared" si="586"/>
        <v>40447</v>
      </c>
      <c r="C3689" s="13">
        <v>2010.0</v>
      </c>
      <c r="D3689" s="11" t="s">
        <v>44</v>
      </c>
      <c r="E3689" s="11">
        <v>6.0</v>
      </c>
      <c r="F3689" s="21" t="s">
        <v>544</v>
      </c>
      <c r="G3689" s="15">
        <v>0.0638653788708553</v>
      </c>
      <c r="H3689" s="11" t="s">
        <v>45</v>
      </c>
      <c r="I3689" s="16">
        <v>64.16000000000001</v>
      </c>
      <c r="J3689" s="11" t="s">
        <v>1288</v>
      </c>
      <c r="K3689" s="11" t="s">
        <v>83</v>
      </c>
      <c r="L3689" s="11" t="s">
        <v>48</v>
      </c>
      <c r="M3689" s="11" t="s">
        <v>49</v>
      </c>
      <c r="N3689" s="11" t="s">
        <v>85</v>
      </c>
      <c r="O3689" s="11" t="s">
        <v>545</v>
      </c>
      <c r="P3689" s="11" t="s">
        <v>87</v>
      </c>
      <c r="Q3689" s="20">
        <v>40449.0</v>
      </c>
      <c r="R3689" s="17">
        <f t="shared" si="2"/>
        <v>60.0436746</v>
      </c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>
        <f t="shared" si="8"/>
        <v>4</v>
      </c>
      <c r="AF3689" s="19" t="b">
        <f t="shared" si="13"/>
        <v>0</v>
      </c>
      <c r="AG3689" s="9"/>
      <c r="AH3689" s="9"/>
      <c r="AI3689" s="9"/>
    </row>
    <row r="3690" ht="15.0" customHeight="1">
      <c r="A3690" s="11">
        <v>3689.0</v>
      </c>
      <c r="B3690" s="12">
        <f t="shared" si="586"/>
        <v>40447</v>
      </c>
      <c r="C3690" s="13">
        <v>2010.0</v>
      </c>
      <c r="D3690" s="11" t="s">
        <v>102</v>
      </c>
      <c r="E3690" s="11">
        <v>46.0</v>
      </c>
      <c r="F3690" s="21" t="s">
        <v>461</v>
      </c>
      <c r="G3690" s="15">
        <v>0.09219643166464561</v>
      </c>
      <c r="H3690" s="11" t="s">
        <v>45</v>
      </c>
      <c r="I3690" s="16">
        <v>11.200000000000001</v>
      </c>
      <c r="J3690" s="11" t="s">
        <v>2319</v>
      </c>
      <c r="K3690" s="11" t="s">
        <v>61</v>
      </c>
      <c r="L3690" s="11" t="s">
        <v>48</v>
      </c>
      <c r="M3690" s="11" t="s">
        <v>66</v>
      </c>
      <c r="N3690" s="11" t="s">
        <v>69</v>
      </c>
      <c r="O3690" s="11" t="s">
        <v>779</v>
      </c>
      <c r="P3690" s="11" t="s">
        <v>52</v>
      </c>
      <c r="Q3690" s="20">
        <v>40449.0</v>
      </c>
      <c r="R3690" s="17">
        <f t="shared" si="2"/>
        <v>386.5427594</v>
      </c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>
        <f t="shared" si="8"/>
        <v>4</v>
      </c>
      <c r="AF3690" s="19">
        <f t="shared" si="13"/>
        <v>4</v>
      </c>
      <c r="AG3690" s="9"/>
      <c r="AH3690" s="9"/>
      <c r="AI3690" s="9"/>
    </row>
    <row r="3691" ht="15.0" customHeight="1">
      <c r="A3691" s="11">
        <v>3690.0</v>
      </c>
      <c r="B3691" s="12">
        <f t="shared" si="586"/>
        <v>40447</v>
      </c>
      <c r="C3691" s="13">
        <v>2010.0</v>
      </c>
      <c r="D3691" s="11" t="s">
        <v>102</v>
      </c>
      <c r="E3691" s="11">
        <v>31.0</v>
      </c>
      <c r="F3691" s="21" t="s">
        <v>178</v>
      </c>
      <c r="G3691" s="15">
        <v>0.049257934110868366</v>
      </c>
      <c r="H3691" s="11" t="s">
        <v>33</v>
      </c>
      <c r="I3691" s="16">
        <v>3.192</v>
      </c>
      <c r="J3691" s="11" t="s">
        <v>2319</v>
      </c>
      <c r="K3691" s="11" t="s">
        <v>61</v>
      </c>
      <c r="L3691" s="11" t="s">
        <v>48</v>
      </c>
      <c r="M3691" s="11" t="s">
        <v>66</v>
      </c>
      <c r="N3691" s="11" t="s">
        <v>80</v>
      </c>
      <c r="O3691" s="11" t="s">
        <v>587</v>
      </c>
      <c r="P3691" s="11" t="s">
        <v>38</v>
      </c>
      <c r="Q3691" s="20">
        <v>40450.0</v>
      </c>
      <c r="R3691" s="17">
        <f t="shared" si="2"/>
        <v>100.7862649</v>
      </c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>
        <f t="shared" si="8"/>
        <v>4</v>
      </c>
      <c r="AF3691" s="19">
        <f t="shared" si="13"/>
        <v>4</v>
      </c>
      <c r="AG3691" s="9"/>
      <c r="AH3691" s="9"/>
      <c r="AI3691" s="9"/>
    </row>
    <row r="3692" ht="15.0" customHeight="1">
      <c r="A3692" s="11">
        <v>3691.0</v>
      </c>
      <c r="B3692" s="12">
        <f t="shared" si="586"/>
        <v>40447</v>
      </c>
      <c r="C3692" s="13">
        <v>2010.0</v>
      </c>
      <c r="D3692" s="11" t="s">
        <v>39</v>
      </c>
      <c r="E3692" s="11">
        <v>9.0</v>
      </c>
      <c r="F3692" s="21" t="s">
        <v>270</v>
      </c>
      <c r="G3692" s="15">
        <v>0.09393005624847155</v>
      </c>
      <c r="H3692" s="11" t="s">
        <v>24</v>
      </c>
      <c r="I3692" s="16">
        <v>2.3920000000000003</v>
      </c>
      <c r="J3692" s="11" t="s">
        <v>2441</v>
      </c>
      <c r="K3692" s="11" t="s">
        <v>35</v>
      </c>
      <c r="L3692" s="11" t="s">
        <v>48</v>
      </c>
      <c r="M3692" s="11" t="s">
        <v>28</v>
      </c>
      <c r="N3692" s="11" t="s">
        <v>42</v>
      </c>
      <c r="O3692" s="11" t="s">
        <v>43</v>
      </c>
      <c r="P3692" s="11" t="s">
        <v>38</v>
      </c>
      <c r="Q3692" s="20">
        <v>40450.0</v>
      </c>
      <c r="R3692" s="17">
        <f t="shared" si="2"/>
        <v>34.8003344</v>
      </c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>
        <f t="shared" si="8"/>
        <v>4</v>
      </c>
      <c r="AF3692" s="19">
        <f t="shared" si="13"/>
        <v>2</v>
      </c>
      <c r="AG3692" s="9"/>
      <c r="AH3692" s="9"/>
      <c r="AI3692" s="9"/>
    </row>
    <row r="3693" ht="15.0" customHeight="1">
      <c r="A3693" s="11">
        <v>3692.0</v>
      </c>
      <c r="B3693" s="12">
        <f t="shared" si="586"/>
        <v>40447</v>
      </c>
      <c r="C3693" s="13">
        <v>2010.0</v>
      </c>
      <c r="D3693" s="11" t="s">
        <v>39</v>
      </c>
      <c r="E3693" s="11">
        <v>26.0</v>
      </c>
      <c r="F3693" s="21" t="s">
        <v>810</v>
      </c>
      <c r="G3693" s="15">
        <v>0.019993176390310518</v>
      </c>
      <c r="H3693" s="11" t="s">
        <v>33</v>
      </c>
      <c r="I3693" s="16">
        <v>3.84</v>
      </c>
      <c r="J3693" s="11" t="s">
        <v>2084</v>
      </c>
      <c r="K3693" s="11" t="s">
        <v>61</v>
      </c>
      <c r="L3693" s="11" t="s">
        <v>48</v>
      </c>
      <c r="M3693" s="11" t="s">
        <v>28</v>
      </c>
      <c r="N3693" s="11" t="s">
        <v>236</v>
      </c>
      <c r="O3693" s="11" t="s">
        <v>1494</v>
      </c>
      <c r="P3693" s="11" t="s">
        <v>38</v>
      </c>
      <c r="Q3693" s="20">
        <v>40450.0</v>
      </c>
      <c r="R3693" s="17">
        <f t="shared" si="2"/>
        <v>5.742839986</v>
      </c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>
        <f t="shared" si="8"/>
        <v>4</v>
      </c>
      <c r="AF3693" s="19">
        <f t="shared" si="13"/>
        <v>4</v>
      </c>
      <c r="AG3693" s="9"/>
      <c r="AH3693" s="9"/>
      <c r="AI3693" s="9"/>
    </row>
    <row r="3694" ht="15.0" customHeight="1">
      <c r="A3694" s="11">
        <v>3693.0</v>
      </c>
      <c r="B3694" s="12">
        <f t="shared" si="586"/>
        <v>40447</v>
      </c>
      <c r="C3694" s="13">
        <v>2010.0</v>
      </c>
      <c r="D3694" s="11" t="s">
        <v>32</v>
      </c>
      <c r="E3694" s="11">
        <v>50.0</v>
      </c>
      <c r="F3694" s="21" t="s">
        <v>195</v>
      </c>
      <c r="G3694" s="15">
        <v>0.02452754322476889</v>
      </c>
      <c r="H3694" s="11" t="s">
        <v>33</v>
      </c>
      <c r="I3694" s="16">
        <v>2.8000000000000003</v>
      </c>
      <c r="J3694" s="11" t="s">
        <v>588</v>
      </c>
      <c r="K3694" s="11" t="s">
        <v>47</v>
      </c>
      <c r="L3694" s="11" t="s">
        <v>27</v>
      </c>
      <c r="M3694" s="11" t="s">
        <v>28</v>
      </c>
      <c r="N3694" s="11" t="s">
        <v>197</v>
      </c>
      <c r="O3694" s="11" t="s">
        <v>198</v>
      </c>
      <c r="P3694" s="11" t="s">
        <v>38</v>
      </c>
      <c r="Q3694" s="20">
        <v>40450.0</v>
      </c>
      <c r="R3694" s="17">
        <f t="shared" si="2"/>
        <v>17.85114596</v>
      </c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>
        <f t="shared" si="8"/>
        <v>1</v>
      </c>
      <c r="AF3694" s="19">
        <f t="shared" si="13"/>
        <v>3</v>
      </c>
      <c r="AG3694" s="9"/>
      <c r="AH3694" s="9"/>
      <c r="AI3694" s="9"/>
    </row>
    <row r="3695" ht="15.0" customHeight="1">
      <c r="A3695" s="11">
        <v>3694.0</v>
      </c>
      <c r="B3695" s="12">
        <f t="shared" si="586"/>
        <v>40447</v>
      </c>
      <c r="C3695" s="13">
        <v>2010.0</v>
      </c>
      <c r="D3695" s="11" t="s">
        <v>32</v>
      </c>
      <c r="E3695" s="11">
        <v>45.0</v>
      </c>
      <c r="F3695" s="21" t="s">
        <v>869</v>
      </c>
      <c r="G3695" s="15">
        <v>0.07515902243053224</v>
      </c>
      <c r="H3695" s="11" t="s">
        <v>33</v>
      </c>
      <c r="I3695" s="16">
        <v>2.0</v>
      </c>
      <c r="J3695" s="11" t="s">
        <v>588</v>
      </c>
      <c r="K3695" s="11" t="s">
        <v>47</v>
      </c>
      <c r="L3695" s="11" t="s">
        <v>27</v>
      </c>
      <c r="M3695" s="11" t="s">
        <v>66</v>
      </c>
      <c r="N3695" s="11" t="s">
        <v>80</v>
      </c>
      <c r="O3695" s="11" t="s">
        <v>2182</v>
      </c>
      <c r="P3695" s="11" t="s">
        <v>38</v>
      </c>
      <c r="Q3695" s="20">
        <v>40450.0</v>
      </c>
      <c r="R3695" s="17">
        <f t="shared" si="2"/>
        <v>290.6775193</v>
      </c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>
        <f t="shared" si="8"/>
        <v>1</v>
      </c>
      <c r="AF3695" s="19">
        <f t="shared" si="13"/>
        <v>3</v>
      </c>
      <c r="AG3695" s="9"/>
      <c r="AH3695" s="9"/>
      <c r="AI3695" s="9"/>
    </row>
    <row r="3696" ht="15.0" customHeight="1">
      <c r="A3696" s="11">
        <v>3695.0</v>
      </c>
      <c r="B3696" s="12">
        <f t="shared" ref="B3696:B3697" si="587">DATE(2012,12,31)-826</f>
        <v>40448</v>
      </c>
      <c r="C3696" s="13">
        <v>2010.0</v>
      </c>
      <c r="D3696" s="11" t="s">
        <v>44</v>
      </c>
      <c r="E3696" s="11">
        <v>8.0</v>
      </c>
      <c r="F3696" s="21" t="s">
        <v>308</v>
      </c>
      <c r="G3696" s="15">
        <v>0.04945956783247947</v>
      </c>
      <c r="H3696" s="11" t="s">
        <v>45</v>
      </c>
      <c r="I3696" s="16">
        <v>14.288</v>
      </c>
      <c r="J3696" s="11" t="s">
        <v>1842</v>
      </c>
      <c r="K3696" s="11" t="s">
        <v>65</v>
      </c>
      <c r="L3696" s="11" t="s">
        <v>48</v>
      </c>
      <c r="M3696" s="11" t="s">
        <v>66</v>
      </c>
      <c r="N3696" s="11" t="s">
        <v>69</v>
      </c>
      <c r="O3696" s="11" t="s">
        <v>309</v>
      </c>
      <c r="P3696" s="11" t="s">
        <v>52</v>
      </c>
      <c r="Q3696" s="20">
        <v>40451.0</v>
      </c>
      <c r="R3696" s="17">
        <f t="shared" si="2"/>
        <v>105.5213945</v>
      </c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>
        <f t="shared" si="8"/>
        <v>4</v>
      </c>
      <c r="AF3696" s="19">
        <f t="shared" si="13"/>
        <v>5</v>
      </c>
      <c r="AG3696" s="9"/>
      <c r="AH3696" s="9"/>
      <c r="AI3696" s="9"/>
    </row>
    <row r="3697" ht="15.0" customHeight="1">
      <c r="A3697" s="11">
        <v>3696.0</v>
      </c>
      <c r="B3697" s="12">
        <f t="shared" si="587"/>
        <v>40448</v>
      </c>
      <c r="C3697" s="13">
        <v>2010.0</v>
      </c>
      <c r="D3697" s="11" t="s">
        <v>44</v>
      </c>
      <c r="E3697" s="11">
        <v>26.0</v>
      </c>
      <c r="F3697" s="21" t="s">
        <v>2442</v>
      </c>
      <c r="G3697" s="15">
        <v>0.02504686308803079</v>
      </c>
      <c r="H3697" s="11" t="s">
        <v>45</v>
      </c>
      <c r="I3697" s="16">
        <v>44.648</v>
      </c>
      <c r="J3697" s="11" t="s">
        <v>934</v>
      </c>
      <c r="K3697" s="11" t="s">
        <v>61</v>
      </c>
      <c r="L3697" s="11" t="s">
        <v>41</v>
      </c>
      <c r="M3697" s="11" t="s">
        <v>49</v>
      </c>
      <c r="N3697" s="11" t="s">
        <v>156</v>
      </c>
      <c r="O3697" s="11" t="s">
        <v>2443</v>
      </c>
      <c r="P3697" s="11" t="s">
        <v>87</v>
      </c>
      <c r="Q3697" s="20">
        <v>40451.0</v>
      </c>
      <c r="R3697" s="17">
        <f t="shared" si="2"/>
        <v>54.4530826</v>
      </c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>
        <f t="shared" si="8"/>
        <v>3</v>
      </c>
      <c r="AF3697" s="19">
        <f t="shared" si="13"/>
        <v>4</v>
      </c>
      <c r="AG3697" s="9"/>
      <c r="AH3697" s="9"/>
      <c r="AI3697" s="9"/>
    </row>
    <row r="3698" ht="15.0" customHeight="1">
      <c r="A3698" s="11">
        <v>3697.0</v>
      </c>
      <c r="B3698" s="12">
        <f t="shared" ref="B3698:B3701" si="588">DATE(2012,12,31)-825</f>
        <v>40449</v>
      </c>
      <c r="C3698" s="13">
        <v>2010.0</v>
      </c>
      <c r="D3698" s="11" t="s">
        <v>44</v>
      </c>
      <c r="E3698" s="11">
        <v>38.0</v>
      </c>
      <c r="F3698" s="21" t="s">
        <v>221</v>
      </c>
      <c r="G3698" s="15">
        <v>0.04247848537005174</v>
      </c>
      <c r="H3698" s="11" t="s">
        <v>24</v>
      </c>
      <c r="I3698" s="16">
        <v>6.840000000000001</v>
      </c>
      <c r="J3698" s="11" t="s">
        <v>2318</v>
      </c>
      <c r="K3698" s="11" t="s">
        <v>35</v>
      </c>
      <c r="L3698" s="11" t="s">
        <v>27</v>
      </c>
      <c r="M3698" s="11" t="s">
        <v>49</v>
      </c>
      <c r="N3698" s="11" t="s">
        <v>73</v>
      </c>
      <c r="O3698" s="11" t="s">
        <v>223</v>
      </c>
      <c r="P3698" s="11" t="s">
        <v>38</v>
      </c>
      <c r="Q3698" s="20">
        <v>40451.0</v>
      </c>
      <c r="R3698" s="17">
        <f t="shared" si="2"/>
        <v>47.26326196</v>
      </c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>
        <f t="shared" si="8"/>
        <v>1</v>
      </c>
      <c r="AF3698" s="19">
        <f t="shared" si="13"/>
        <v>2</v>
      </c>
      <c r="AG3698" s="9"/>
      <c r="AH3698" s="9"/>
      <c r="AI3698" s="9"/>
    </row>
    <row r="3699" ht="15.0" customHeight="1">
      <c r="A3699" s="11">
        <v>3698.0</v>
      </c>
      <c r="B3699" s="12">
        <f t="shared" si="588"/>
        <v>40449</v>
      </c>
      <c r="C3699" s="13">
        <v>2010.0</v>
      </c>
      <c r="D3699" s="11" t="s">
        <v>39</v>
      </c>
      <c r="E3699" s="11">
        <v>15.0</v>
      </c>
      <c r="F3699" s="21" t="s">
        <v>694</v>
      </c>
      <c r="G3699" s="15">
        <v>0.02591630196936557</v>
      </c>
      <c r="H3699" s="11" t="s">
        <v>33</v>
      </c>
      <c r="I3699" s="16">
        <v>1.592</v>
      </c>
      <c r="J3699" s="11" t="s">
        <v>803</v>
      </c>
      <c r="K3699" s="11" t="s">
        <v>61</v>
      </c>
      <c r="L3699" s="11" t="s">
        <v>36</v>
      </c>
      <c r="M3699" s="11" t="s">
        <v>66</v>
      </c>
      <c r="N3699" s="11" t="s">
        <v>67</v>
      </c>
      <c r="O3699" s="11" t="s">
        <v>695</v>
      </c>
      <c r="P3699" s="11" t="s">
        <v>99</v>
      </c>
      <c r="Q3699" s="20">
        <v>40451.0</v>
      </c>
      <c r="R3699" s="17">
        <f t="shared" si="2"/>
        <v>15.35779322</v>
      </c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>
        <f t="shared" si="8"/>
        <v>2</v>
      </c>
      <c r="AF3699" s="19">
        <f t="shared" si="13"/>
        <v>4</v>
      </c>
      <c r="AG3699" s="9"/>
      <c r="AH3699" s="9"/>
      <c r="AI3699" s="9"/>
    </row>
    <row r="3700" ht="15.0" customHeight="1">
      <c r="A3700" s="11">
        <v>3699.0</v>
      </c>
      <c r="B3700" s="12">
        <f t="shared" si="588"/>
        <v>40449</v>
      </c>
      <c r="C3700" s="13">
        <v>2010.0</v>
      </c>
      <c r="D3700" s="11" t="s">
        <v>44</v>
      </c>
      <c r="E3700" s="11">
        <v>44.0</v>
      </c>
      <c r="F3700" s="21" t="s">
        <v>493</v>
      </c>
      <c r="G3700" s="15">
        <v>0.020001586135064926</v>
      </c>
      <c r="H3700" s="11" t="s">
        <v>33</v>
      </c>
      <c r="I3700" s="16">
        <v>15.991999999999999</v>
      </c>
      <c r="J3700" s="11" t="s">
        <v>211</v>
      </c>
      <c r="K3700" s="11" t="s">
        <v>35</v>
      </c>
      <c r="L3700" s="11" t="s">
        <v>27</v>
      </c>
      <c r="M3700" s="11" t="s">
        <v>28</v>
      </c>
      <c r="N3700" s="11" t="s">
        <v>42</v>
      </c>
      <c r="O3700" s="11" t="s">
        <v>495</v>
      </c>
      <c r="P3700" s="11" t="s">
        <v>38</v>
      </c>
      <c r="Q3700" s="20">
        <v>40451.0</v>
      </c>
      <c r="R3700" s="17">
        <f t="shared" si="2"/>
        <v>370.74124</v>
      </c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>
        <f t="shared" si="8"/>
        <v>1</v>
      </c>
      <c r="AF3700" s="19">
        <f t="shared" si="13"/>
        <v>2</v>
      </c>
      <c r="AG3700" s="9"/>
      <c r="AH3700" s="9"/>
      <c r="AI3700" s="9"/>
    </row>
    <row r="3701" ht="15.0" customHeight="1">
      <c r="A3701" s="11">
        <v>3700.0</v>
      </c>
      <c r="B3701" s="12">
        <f t="shared" si="588"/>
        <v>40449</v>
      </c>
      <c r="C3701" s="13">
        <v>2010.0</v>
      </c>
      <c r="D3701" s="11" t="s">
        <v>44</v>
      </c>
      <c r="E3701" s="11">
        <v>48.0</v>
      </c>
      <c r="F3701" s="21" t="s">
        <v>1646</v>
      </c>
      <c r="G3701" s="15">
        <v>0.04231581445011285</v>
      </c>
      <c r="H3701" s="11" t="s">
        <v>33</v>
      </c>
      <c r="I3701" s="16">
        <v>5.632000000000001</v>
      </c>
      <c r="J3701" s="11" t="s">
        <v>211</v>
      </c>
      <c r="K3701" s="11" t="s">
        <v>35</v>
      </c>
      <c r="L3701" s="11" t="s">
        <v>27</v>
      </c>
      <c r="M3701" s="11" t="s">
        <v>28</v>
      </c>
      <c r="N3701" s="11" t="s">
        <v>29</v>
      </c>
      <c r="O3701" s="11" t="s">
        <v>1647</v>
      </c>
      <c r="P3701" s="11" t="s">
        <v>38</v>
      </c>
      <c r="Q3701" s="20">
        <v>40451.0</v>
      </c>
      <c r="R3701" s="17">
        <f t="shared" si="2"/>
        <v>34.15867953</v>
      </c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>
        <f t="shared" si="8"/>
        <v>1</v>
      </c>
      <c r="AF3701" s="19">
        <f t="shared" si="13"/>
        <v>2</v>
      </c>
      <c r="AG3701" s="9"/>
      <c r="AH3701" s="9"/>
      <c r="AI3701" s="9"/>
    </row>
    <row r="3702" ht="15.0" customHeight="1">
      <c r="A3702" s="11">
        <v>3701.0</v>
      </c>
      <c r="B3702" s="12">
        <f t="shared" ref="B3702:B3711" si="589">DATE(2012,12,31)-824</f>
        <v>40450</v>
      </c>
      <c r="C3702" s="13">
        <v>2010.0</v>
      </c>
      <c r="D3702" s="11" t="s">
        <v>39</v>
      </c>
      <c r="E3702" s="11">
        <v>38.0</v>
      </c>
      <c r="F3702" s="21" t="s">
        <v>2119</v>
      </c>
      <c r="G3702" s="15">
        <v>0.07450566621023358</v>
      </c>
      <c r="H3702" s="11" t="s">
        <v>33</v>
      </c>
      <c r="I3702" s="16">
        <v>15.991999999999999</v>
      </c>
      <c r="J3702" s="11" t="s">
        <v>152</v>
      </c>
      <c r="K3702" s="11" t="s">
        <v>61</v>
      </c>
      <c r="L3702" s="11" t="s">
        <v>48</v>
      </c>
      <c r="M3702" s="11" t="s">
        <v>28</v>
      </c>
      <c r="N3702" s="11" t="s">
        <v>197</v>
      </c>
      <c r="O3702" s="11" t="s">
        <v>2120</v>
      </c>
      <c r="P3702" s="11" t="s">
        <v>38</v>
      </c>
      <c r="Q3702" s="20">
        <v>40452.0</v>
      </c>
      <c r="R3702" s="17">
        <f t="shared" si="2"/>
        <v>820.8283286</v>
      </c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>
        <f t="shared" si="8"/>
        <v>4</v>
      </c>
      <c r="AF3702" s="19">
        <f t="shared" si="13"/>
        <v>4</v>
      </c>
      <c r="AG3702" s="9"/>
      <c r="AH3702" s="9"/>
      <c r="AI3702" s="9"/>
    </row>
    <row r="3703" ht="15.0" customHeight="1">
      <c r="A3703" s="11">
        <v>3702.0</v>
      </c>
      <c r="B3703" s="12">
        <f t="shared" si="589"/>
        <v>40450</v>
      </c>
      <c r="C3703" s="13">
        <v>2010.0</v>
      </c>
      <c r="D3703" s="11" t="s">
        <v>39</v>
      </c>
      <c r="E3703" s="11">
        <v>50.0</v>
      </c>
      <c r="F3703" s="21" t="s">
        <v>158</v>
      </c>
      <c r="G3703" s="15">
        <v>0.08822041045825132</v>
      </c>
      <c r="H3703" s="11" t="s">
        <v>33</v>
      </c>
      <c r="I3703" s="16">
        <v>4.32</v>
      </c>
      <c r="J3703" s="11" t="s">
        <v>152</v>
      </c>
      <c r="K3703" s="11" t="s">
        <v>61</v>
      </c>
      <c r="L3703" s="11" t="s">
        <v>48</v>
      </c>
      <c r="M3703" s="11" t="s">
        <v>28</v>
      </c>
      <c r="N3703" s="11" t="s">
        <v>56</v>
      </c>
      <c r="O3703" s="11" t="s">
        <v>972</v>
      </c>
      <c r="P3703" s="11" t="s">
        <v>38</v>
      </c>
      <c r="Q3703" s="20">
        <v>40452.0</v>
      </c>
      <c r="R3703" s="17">
        <f t="shared" si="2"/>
        <v>28.61164352</v>
      </c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>
        <f t="shared" si="8"/>
        <v>4</v>
      </c>
      <c r="AF3703" s="19">
        <f t="shared" si="13"/>
        <v>4</v>
      </c>
      <c r="AG3703" s="9"/>
      <c r="AH3703" s="9"/>
      <c r="AI3703" s="9"/>
    </row>
    <row r="3704" ht="15.0" customHeight="1">
      <c r="A3704" s="11">
        <v>3703.0</v>
      </c>
      <c r="B3704" s="12">
        <f t="shared" si="589"/>
        <v>40450</v>
      </c>
      <c r="C3704" s="13">
        <v>2010.0</v>
      </c>
      <c r="D3704" s="11" t="s">
        <v>32</v>
      </c>
      <c r="E3704" s="11">
        <v>28.0</v>
      </c>
      <c r="F3704" s="21" t="s">
        <v>461</v>
      </c>
      <c r="G3704" s="15">
        <v>0.08525419501941633</v>
      </c>
      <c r="H3704" s="11" t="s">
        <v>45</v>
      </c>
      <c r="I3704" s="16">
        <v>22.400000000000002</v>
      </c>
      <c r="J3704" s="11" t="s">
        <v>2039</v>
      </c>
      <c r="K3704" s="11" t="s">
        <v>83</v>
      </c>
      <c r="L3704" s="11" t="s">
        <v>41</v>
      </c>
      <c r="M3704" s="11" t="s">
        <v>66</v>
      </c>
      <c r="N3704" s="11" t="s">
        <v>69</v>
      </c>
      <c r="O3704" s="11" t="s">
        <v>1600</v>
      </c>
      <c r="P3704" s="11" t="s">
        <v>52</v>
      </c>
      <c r="Q3704" s="20">
        <v>40452.0</v>
      </c>
      <c r="R3704" s="17">
        <f t="shared" si="2"/>
        <v>218.8986711</v>
      </c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>
        <f t="shared" si="8"/>
        <v>3</v>
      </c>
      <c r="AF3704" s="19" t="b">
        <f t="shared" si="13"/>
        <v>0</v>
      </c>
      <c r="AG3704" s="9"/>
      <c r="AH3704" s="9"/>
      <c r="AI3704" s="9"/>
    </row>
    <row r="3705" ht="15.0" customHeight="1">
      <c r="A3705" s="11">
        <v>3704.0</v>
      </c>
      <c r="B3705" s="12">
        <f t="shared" si="589"/>
        <v>40450</v>
      </c>
      <c r="C3705" s="13">
        <v>2010.0</v>
      </c>
      <c r="D3705" s="11" t="s">
        <v>23</v>
      </c>
      <c r="E3705" s="11">
        <v>13.0</v>
      </c>
      <c r="F3705" s="21" t="s">
        <v>766</v>
      </c>
      <c r="G3705" s="15">
        <v>0.0970970411752535</v>
      </c>
      <c r="H3705" s="11" t="s">
        <v>45</v>
      </c>
      <c r="I3705" s="16">
        <v>43.792</v>
      </c>
      <c r="J3705" s="11" t="s">
        <v>274</v>
      </c>
      <c r="K3705" s="11" t="s">
        <v>35</v>
      </c>
      <c r="L3705" s="11" t="s">
        <v>48</v>
      </c>
      <c r="M3705" s="11" t="s">
        <v>49</v>
      </c>
      <c r="N3705" s="11" t="s">
        <v>156</v>
      </c>
      <c r="O3705" s="11" t="s">
        <v>767</v>
      </c>
      <c r="P3705" s="11" t="s">
        <v>87</v>
      </c>
      <c r="Q3705" s="20">
        <v>40452.0</v>
      </c>
      <c r="R3705" s="17">
        <f t="shared" si="2"/>
        <v>169.4821086</v>
      </c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>
        <f t="shared" si="8"/>
        <v>4</v>
      </c>
      <c r="AF3705" s="19">
        <f t="shared" si="13"/>
        <v>2</v>
      </c>
      <c r="AG3705" s="9"/>
      <c r="AH3705" s="9"/>
      <c r="AI3705" s="9"/>
    </row>
    <row r="3706" ht="15.0" customHeight="1">
      <c r="A3706" s="11">
        <v>3705.0</v>
      </c>
      <c r="B3706" s="12">
        <f t="shared" si="589"/>
        <v>40450</v>
      </c>
      <c r="C3706" s="13">
        <v>2010.0</v>
      </c>
      <c r="D3706" s="11" t="s">
        <v>44</v>
      </c>
      <c r="E3706" s="11">
        <v>25.0</v>
      </c>
      <c r="F3706" s="21" t="s">
        <v>629</v>
      </c>
      <c r="G3706" s="15">
        <v>0.014633632050606126</v>
      </c>
      <c r="H3706" s="11" t="s">
        <v>24</v>
      </c>
      <c r="I3706" s="16">
        <v>4.424</v>
      </c>
      <c r="J3706" s="11" t="s">
        <v>1332</v>
      </c>
      <c r="K3706" s="11" t="s">
        <v>35</v>
      </c>
      <c r="L3706" s="11" t="s">
        <v>41</v>
      </c>
      <c r="M3706" s="11" t="s">
        <v>66</v>
      </c>
      <c r="N3706" s="11" t="s">
        <v>67</v>
      </c>
      <c r="O3706" s="11" t="s">
        <v>1610</v>
      </c>
      <c r="P3706" s="11" t="s">
        <v>99</v>
      </c>
      <c r="Q3706" s="20">
        <v>40452.0</v>
      </c>
      <c r="R3706" s="17">
        <f t="shared" si="2"/>
        <v>2.735377037</v>
      </c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>
        <f t="shared" si="8"/>
        <v>3</v>
      </c>
      <c r="AF3706" s="19">
        <f t="shared" si="13"/>
        <v>2</v>
      </c>
      <c r="AG3706" s="9"/>
      <c r="AH3706" s="9"/>
      <c r="AI3706" s="9"/>
    </row>
    <row r="3707" ht="15.0" customHeight="1">
      <c r="A3707" s="11">
        <v>3706.0</v>
      </c>
      <c r="B3707" s="12">
        <f t="shared" si="589"/>
        <v>40450</v>
      </c>
      <c r="C3707" s="13">
        <v>2010.0</v>
      </c>
      <c r="D3707" s="11" t="s">
        <v>44</v>
      </c>
      <c r="E3707" s="11">
        <v>4.0</v>
      </c>
      <c r="F3707" s="21" t="s">
        <v>397</v>
      </c>
      <c r="G3707" s="15">
        <v>0.04327868852459011</v>
      </c>
      <c r="H3707" s="11" t="s">
        <v>33</v>
      </c>
      <c r="I3707" s="16">
        <v>1.592</v>
      </c>
      <c r="J3707" s="11" t="s">
        <v>1332</v>
      </c>
      <c r="K3707" s="11" t="s">
        <v>35</v>
      </c>
      <c r="L3707" s="11" t="s">
        <v>41</v>
      </c>
      <c r="M3707" s="11" t="s">
        <v>66</v>
      </c>
      <c r="N3707" s="11" t="s">
        <v>67</v>
      </c>
      <c r="O3707" s="11" t="s">
        <v>502</v>
      </c>
      <c r="P3707" s="11" t="s">
        <v>99</v>
      </c>
      <c r="Q3707" s="20">
        <v>40452.0</v>
      </c>
      <c r="R3707" s="17">
        <f t="shared" si="2"/>
        <v>5.556637377</v>
      </c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>
        <f t="shared" si="8"/>
        <v>3</v>
      </c>
      <c r="AF3707" s="19">
        <f t="shared" si="13"/>
        <v>2</v>
      </c>
      <c r="AG3707" s="9"/>
      <c r="AH3707" s="9"/>
      <c r="AI3707" s="9"/>
    </row>
    <row r="3708" ht="15.0" customHeight="1">
      <c r="A3708" s="11">
        <v>3707.0</v>
      </c>
      <c r="B3708" s="12">
        <f t="shared" si="589"/>
        <v>40450</v>
      </c>
      <c r="C3708" s="13">
        <v>2010.0</v>
      </c>
      <c r="D3708" s="11" t="s">
        <v>23</v>
      </c>
      <c r="E3708" s="11">
        <v>28.0</v>
      </c>
      <c r="F3708" s="21" t="s">
        <v>264</v>
      </c>
      <c r="G3708" s="15">
        <v>0.010940711462450708</v>
      </c>
      <c r="H3708" s="11" t="s">
        <v>33</v>
      </c>
      <c r="I3708" s="16">
        <v>6.632</v>
      </c>
      <c r="J3708" s="11" t="s">
        <v>2063</v>
      </c>
      <c r="K3708" s="11" t="s">
        <v>83</v>
      </c>
      <c r="L3708" s="11" t="s">
        <v>48</v>
      </c>
      <c r="M3708" s="11" t="s">
        <v>28</v>
      </c>
      <c r="N3708" s="11" t="s">
        <v>236</v>
      </c>
      <c r="O3708" s="11" t="s">
        <v>265</v>
      </c>
      <c r="P3708" s="11" t="s">
        <v>38</v>
      </c>
      <c r="Q3708" s="20">
        <v>40452.0</v>
      </c>
      <c r="R3708" s="17">
        <f t="shared" si="2"/>
        <v>2.737716111</v>
      </c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>
        <f t="shared" si="8"/>
        <v>4</v>
      </c>
      <c r="AF3708" s="19" t="b">
        <f t="shared" si="13"/>
        <v>0</v>
      </c>
      <c r="AG3708" s="9"/>
      <c r="AH3708" s="9"/>
      <c r="AI3708" s="9"/>
    </row>
    <row r="3709" ht="15.0" customHeight="1">
      <c r="A3709" s="11">
        <v>3708.0</v>
      </c>
      <c r="B3709" s="12">
        <f t="shared" si="589"/>
        <v>40450</v>
      </c>
      <c r="C3709" s="13">
        <v>2010.0</v>
      </c>
      <c r="D3709" s="11" t="s">
        <v>102</v>
      </c>
      <c r="E3709" s="11">
        <v>10.0</v>
      </c>
      <c r="F3709" s="21" t="s">
        <v>154</v>
      </c>
      <c r="G3709" s="15">
        <v>0.04865655587824035</v>
      </c>
      <c r="H3709" s="11" t="s">
        <v>45</v>
      </c>
      <c r="I3709" s="16">
        <v>35.64</v>
      </c>
      <c r="J3709" s="11" t="s">
        <v>2271</v>
      </c>
      <c r="K3709" s="11" t="s">
        <v>35</v>
      </c>
      <c r="L3709" s="11" t="s">
        <v>48</v>
      </c>
      <c r="M3709" s="11" t="s">
        <v>49</v>
      </c>
      <c r="N3709" s="11" t="s">
        <v>156</v>
      </c>
      <c r="O3709" s="11" t="s">
        <v>157</v>
      </c>
      <c r="P3709" s="11" t="s">
        <v>87</v>
      </c>
      <c r="Q3709" s="20">
        <v>40452.0</v>
      </c>
      <c r="R3709" s="17">
        <f t="shared" si="2"/>
        <v>430.3497204</v>
      </c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>
        <f t="shared" si="8"/>
        <v>4</v>
      </c>
      <c r="AF3709" s="19">
        <f t="shared" si="13"/>
        <v>2</v>
      </c>
      <c r="AG3709" s="9"/>
      <c r="AH3709" s="9"/>
      <c r="AI3709" s="9"/>
    </row>
    <row r="3710" ht="15.0" customHeight="1">
      <c r="A3710" s="11">
        <v>3709.0</v>
      </c>
      <c r="B3710" s="12">
        <f t="shared" si="589"/>
        <v>40450</v>
      </c>
      <c r="C3710" s="13">
        <v>2010.0</v>
      </c>
      <c r="D3710" s="11" t="s">
        <v>102</v>
      </c>
      <c r="E3710" s="11">
        <v>41.0</v>
      </c>
      <c r="F3710" s="21" t="s">
        <v>952</v>
      </c>
      <c r="G3710" s="15">
        <v>0.06574418260417426</v>
      </c>
      <c r="H3710" s="11" t="s">
        <v>24</v>
      </c>
      <c r="I3710" s="16">
        <v>19.592</v>
      </c>
      <c r="J3710" s="11" t="s">
        <v>2271</v>
      </c>
      <c r="K3710" s="11" t="s">
        <v>35</v>
      </c>
      <c r="L3710" s="11" t="s">
        <v>48</v>
      </c>
      <c r="M3710" s="11" t="s">
        <v>66</v>
      </c>
      <c r="N3710" s="11" t="s">
        <v>170</v>
      </c>
      <c r="O3710" s="11" t="s">
        <v>2110</v>
      </c>
      <c r="P3710" s="11" t="s">
        <v>31</v>
      </c>
      <c r="Q3710" s="20">
        <v>40453.0</v>
      </c>
      <c r="R3710" s="17">
        <f t="shared" si="2"/>
        <v>1618.325401</v>
      </c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>
        <f t="shared" si="8"/>
        <v>4</v>
      </c>
      <c r="AF3710" s="19">
        <f t="shared" si="13"/>
        <v>2</v>
      </c>
      <c r="AG3710" s="9"/>
      <c r="AH3710" s="9"/>
      <c r="AI3710" s="9"/>
    </row>
    <row r="3711" ht="15.0" customHeight="1">
      <c r="A3711" s="11">
        <v>3710.0</v>
      </c>
      <c r="B3711" s="12">
        <f t="shared" si="589"/>
        <v>40450</v>
      </c>
      <c r="C3711" s="13">
        <v>2010.0</v>
      </c>
      <c r="D3711" s="11" t="s">
        <v>39</v>
      </c>
      <c r="E3711" s="11">
        <v>39.0</v>
      </c>
      <c r="F3711" s="21" t="s">
        <v>461</v>
      </c>
      <c r="G3711" s="15">
        <v>0.049092221717158185</v>
      </c>
      <c r="H3711" s="11" t="s">
        <v>45</v>
      </c>
      <c r="I3711" s="16">
        <v>11.200000000000001</v>
      </c>
      <c r="J3711" s="11" t="s">
        <v>2052</v>
      </c>
      <c r="K3711" s="11" t="s">
        <v>65</v>
      </c>
      <c r="L3711" s="11" t="s">
        <v>48</v>
      </c>
      <c r="M3711" s="11" t="s">
        <v>66</v>
      </c>
      <c r="N3711" s="11" t="s">
        <v>69</v>
      </c>
      <c r="O3711" s="11" t="s">
        <v>779</v>
      </c>
      <c r="P3711" s="11" t="s">
        <v>52</v>
      </c>
      <c r="Q3711" s="20">
        <v>40453.0</v>
      </c>
      <c r="R3711" s="17">
        <f t="shared" si="2"/>
        <v>174.5866681</v>
      </c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>
        <f t="shared" si="8"/>
        <v>4</v>
      </c>
      <c r="AF3711" s="19">
        <f t="shared" si="13"/>
        <v>5</v>
      </c>
      <c r="AG3711" s="9"/>
      <c r="AH3711" s="9"/>
      <c r="AI3711" s="9"/>
    </row>
    <row r="3712" ht="15.0" customHeight="1">
      <c r="A3712" s="11">
        <v>3711.0</v>
      </c>
      <c r="B3712" s="12">
        <f t="shared" ref="B3712:B3718" si="590">DATE(2012,12,31)-823</f>
        <v>40451</v>
      </c>
      <c r="C3712" s="13">
        <v>2010.0</v>
      </c>
      <c r="D3712" s="11" t="s">
        <v>23</v>
      </c>
      <c r="E3712" s="11">
        <v>36.0</v>
      </c>
      <c r="F3712" s="21" t="s">
        <v>619</v>
      </c>
      <c r="G3712" s="15">
        <v>0.02261916353175469</v>
      </c>
      <c r="H3712" s="11" t="s">
        <v>33</v>
      </c>
      <c r="I3712" s="16">
        <v>15.991999999999999</v>
      </c>
      <c r="J3712" s="11" t="s">
        <v>1825</v>
      </c>
      <c r="K3712" s="11" t="s">
        <v>65</v>
      </c>
      <c r="L3712" s="11" t="s">
        <v>36</v>
      </c>
      <c r="M3712" s="11" t="s">
        <v>28</v>
      </c>
      <c r="N3712" s="11" t="s">
        <v>236</v>
      </c>
      <c r="O3712" s="11" t="s">
        <v>1755</v>
      </c>
      <c r="P3712" s="11" t="s">
        <v>38</v>
      </c>
      <c r="Q3712" s="20">
        <v>40453.0</v>
      </c>
      <c r="R3712" s="17">
        <f t="shared" si="2"/>
        <v>49.95197979</v>
      </c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>
        <f t="shared" si="8"/>
        <v>2</v>
      </c>
      <c r="AF3712" s="19">
        <f t="shared" si="13"/>
        <v>5</v>
      </c>
      <c r="AG3712" s="9"/>
      <c r="AH3712" s="9"/>
      <c r="AI3712" s="9"/>
    </row>
    <row r="3713" ht="15.0" customHeight="1">
      <c r="A3713" s="11">
        <v>3712.0</v>
      </c>
      <c r="B3713" s="12">
        <f t="shared" si="590"/>
        <v>40451</v>
      </c>
      <c r="C3713" s="13">
        <v>2010.0</v>
      </c>
      <c r="D3713" s="11" t="s">
        <v>23</v>
      </c>
      <c r="E3713" s="11">
        <v>46.0</v>
      </c>
      <c r="F3713" s="21" t="s">
        <v>245</v>
      </c>
      <c r="G3713" s="15">
        <v>0.04344504504504498</v>
      </c>
      <c r="H3713" s="11" t="s">
        <v>33</v>
      </c>
      <c r="I3713" s="16">
        <v>1.888</v>
      </c>
      <c r="J3713" s="11" t="s">
        <v>1825</v>
      </c>
      <c r="K3713" s="11" t="s">
        <v>65</v>
      </c>
      <c r="L3713" s="11" t="s">
        <v>36</v>
      </c>
      <c r="M3713" s="11" t="s">
        <v>28</v>
      </c>
      <c r="N3713" s="11" t="s">
        <v>62</v>
      </c>
      <c r="O3713" s="11" t="s">
        <v>246</v>
      </c>
      <c r="P3713" s="11" t="s">
        <v>58</v>
      </c>
      <c r="Q3713" s="20">
        <v>40453.0</v>
      </c>
      <c r="R3713" s="17">
        <f t="shared" si="2"/>
        <v>23.06445307</v>
      </c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>
        <f t="shared" si="8"/>
        <v>2</v>
      </c>
      <c r="AF3713" s="19">
        <f t="shared" si="13"/>
        <v>5</v>
      </c>
      <c r="AG3713" s="9"/>
      <c r="AH3713" s="9"/>
      <c r="AI3713" s="9"/>
    </row>
    <row r="3714" ht="15.0" customHeight="1">
      <c r="A3714" s="11">
        <v>3713.0</v>
      </c>
      <c r="B3714" s="12">
        <f t="shared" si="590"/>
        <v>40451</v>
      </c>
      <c r="C3714" s="13">
        <v>2010.0</v>
      </c>
      <c r="D3714" s="11" t="s">
        <v>39</v>
      </c>
      <c r="E3714" s="11">
        <v>38.0</v>
      </c>
      <c r="F3714" s="21" t="s">
        <v>1207</v>
      </c>
      <c r="G3714" s="15">
        <v>0.011009785072742516</v>
      </c>
      <c r="H3714" s="11" t="s">
        <v>45</v>
      </c>
      <c r="I3714" s="16">
        <v>18.864</v>
      </c>
      <c r="J3714" s="11" t="s">
        <v>904</v>
      </c>
      <c r="K3714" s="11" t="s">
        <v>61</v>
      </c>
      <c r="L3714" s="11" t="s">
        <v>27</v>
      </c>
      <c r="M3714" s="11" t="s">
        <v>49</v>
      </c>
      <c r="N3714" s="11" t="s">
        <v>156</v>
      </c>
      <c r="O3714" s="11" t="s">
        <v>2444</v>
      </c>
      <c r="P3714" s="11" t="s">
        <v>87</v>
      </c>
      <c r="Q3714" s="20">
        <v>40453.0</v>
      </c>
      <c r="R3714" s="17">
        <f t="shared" si="2"/>
        <v>75.89115313</v>
      </c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>
        <f t="shared" si="8"/>
        <v>1</v>
      </c>
      <c r="AF3714" s="19">
        <f t="shared" si="13"/>
        <v>4</v>
      </c>
      <c r="AG3714" s="9"/>
      <c r="AH3714" s="9"/>
      <c r="AI3714" s="9"/>
    </row>
    <row r="3715" ht="15.0" customHeight="1">
      <c r="A3715" s="11">
        <v>3714.0</v>
      </c>
      <c r="B3715" s="12">
        <f t="shared" si="590"/>
        <v>40451</v>
      </c>
      <c r="C3715" s="13">
        <v>2010.0</v>
      </c>
      <c r="D3715" s="11" t="s">
        <v>102</v>
      </c>
      <c r="E3715" s="11">
        <v>6.0</v>
      </c>
      <c r="F3715" s="21" t="s">
        <v>350</v>
      </c>
      <c r="G3715" s="15">
        <v>0.03284427284427275</v>
      </c>
      <c r="H3715" s="11" t="s">
        <v>33</v>
      </c>
      <c r="I3715" s="16">
        <v>13.496000000000002</v>
      </c>
      <c r="J3715" s="11" t="s">
        <v>689</v>
      </c>
      <c r="K3715" s="11" t="s">
        <v>117</v>
      </c>
      <c r="L3715" s="11" t="s">
        <v>36</v>
      </c>
      <c r="M3715" s="11" t="s">
        <v>28</v>
      </c>
      <c r="N3715" s="11" t="s">
        <v>56</v>
      </c>
      <c r="O3715" s="11" t="s">
        <v>1630</v>
      </c>
      <c r="P3715" s="11" t="s">
        <v>38</v>
      </c>
      <c r="Q3715" s="20">
        <v>40453.0</v>
      </c>
      <c r="R3715" s="17">
        <f t="shared" si="2"/>
        <v>4.936362831</v>
      </c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>
        <f t="shared" si="8"/>
        <v>2</v>
      </c>
      <c r="AF3715" s="19" t="b">
        <f t="shared" si="13"/>
        <v>0</v>
      </c>
      <c r="AG3715" s="9"/>
      <c r="AH3715" s="9"/>
      <c r="AI3715" s="9"/>
    </row>
    <row r="3716" ht="15.0" customHeight="1">
      <c r="A3716" s="11">
        <v>3715.0</v>
      </c>
      <c r="B3716" s="12">
        <f t="shared" si="590"/>
        <v>40451</v>
      </c>
      <c r="C3716" s="13">
        <v>2010.0</v>
      </c>
      <c r="D3716" s="11" t="s">
        <v>44</v>
      </c>
      <c r="E3716" s="11">
        <v>3.0</v>
      </c>
      <c r="F3716" s="21" t="s">
        <v>126</v>
      </c>
      <c r="G3716" s="15">
        <v>0.11743589743589734</v>
      </c>
      <c r="H3716" s="11" t="s">
        <v>33</v>
      </c>
      <c r="I3716" s="16">
        <v>5.952000000000001</v>
      </c>
      <c r="J3716" s="11" t="s">
        <v>1707</v>
      </c>
      <c r="K3716" s="11" t="s">
        <v>35</v>
      </c>
      <c r="L3716" s="11" t="s">
        <v>41</v>
      </c>
      <c r="M3716" s="11" t="s">
        <v>28</v>
      </c>
      <c r="N3716" s="11" t="s">
        <v>56</v>
      </c>
      <c r="O3716" s="11" t="s">
        <v>1230</v>
      </c>
      <c r="P3716" s="11" t="s">
        <v>38</v>
      </c>
      <c r="Q3716" s="20">
        <v>40454.0</v>
      </c>
      <c r="R3716" s="17">
        <f t="shared" si="2"/>
        <v>2.425286154</v>
      </c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>
        <f t="shared" si="8"/>
        <v>3</v>
      </c>
      <c r="AF3716" s="19">
        <f t="shared" si="13"/>
        <v>2</v>
      </c>
      <c r="AG3716" s="9"/>
      <c r="AH3716" s="9"/>
      <c r="AI3716" s="9"/>
    </row>
    <row r="3717" ht="15.0" customHeight="1">
      <c r="A3717" s="11">
        <v>3716.0</v>
      </c>
      <c r="B3717" s="12">
        <f t="shared" si="590"/>
        <v>40451</v>
      </c>
      <c r="C3717" s="13">
        <v>2010.0</v>
      </c>
      <c r="D3717" s="11" t="s">
        <v>44</v>
      </c>
      <c r="E3717" s="11">
        <v>9.0</v>
      </c>
      <c r="F3717" s="21" t="s">
        <v>1074</v>
      </c>
      <c r="G3717" s="15">
        <v>0.01650294695481329</v>
      </c>
      <c r="H3717" s="11" t="s">
        <v>33</v>
      </c>
      <c r="I3717" s="16">
        <v>0.5599999999999999</v>
      </c>
      <c r="J3717" s="11" t="s">
        <v>1564</v>
      </c>
      <c r="K3717" s="11" t="s">
        <v>35</v>
      </c>
      <c r="L3717" s="11" t="s">
        <v>36</v>
      </c>
      <c r="M3717" s="11" t="s">
        <v>28</v>
      </c>
      <c r="N3717" s="11" t="s">
        <v>62</v>
      </c>
      <c r="O3717" s="11" t="s">
        <v>2445</v>
      </c>
      <c r="P3717" s="11" t="s">
        <v>58</v>
      </c>
      <c r="Q3717" s="20">
        <v>40454.0</v>
      </c>
      <c r="R3717" s="17">
        <f t="shared" si="2"/>
        <v>0.8261375246</v>
      </c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>
        <f t="shared" si="8"/>
        <v>2</v>
      </c>
      <c r="AF3717" s="19">
        <f t="shared" si="13"/>
        <v>2</v>
      </c>
      <c r="AG3717" s="9"/>
      <c r="AH3717" s="9"/>
      <c r="AI3717" s="9"/>
    </row>
    <row r="3718" ht="15.0" customHeight="1">
      <c r="A3718" s="11">
        <v>3717.0</v>
      </c>
      <c r="B3718" s="12">
        <f t="shared" si="590"/>
        <v>40451</v>
      </c>
      <c r="C3718" s="13">
        <v>2010.0</v>
      </c>
      <c r="D3718" s="11" t="s">
        <v>44</v>
      </c>
      <c r="E3718" s="11">
        <v>25.0</v>
      </c>
      <c r="F3718" s="21" t="s">
        <v>1015</v>
      </c>
      <c r="G3718" s="15">
        <v>0.048291098115659625</v>
      </c>
      <c r="H3718" s="11" t="s">
        <v>33</v>
      </c>
      <c r="I3718" s="16">
        <v>3.968</v>
      </c>
      <c r="J3718" s="11" t="s">
        <v>1564</v>
      </c>
      <c r="K3718" s="11" t="s">
        <v>35</v>
      </c>
      <c r="L3718" s="11" t="s">
        <v>36</v>
      </c>
      <c r="M3718" s="11" t="s">
        <v>28</v>
      </c>
      <c r="N3718" s="11" t="s">
        <v>56</v>
      </c>
      <c r="O3718" s="11" t="s">
        <v>2173</v>
      </c>
      <c r="P3718" s="11" t="s">
        <v>38</v>
      </c>
      <c r="Q3718" s="20">
        <v>40454.0</v>
      </c>
      <c r="R3718" s="17">
        <f t="shared" si="2"/>
        <v>7.073100559</v>
      </c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>
        <f t="shared" si="8"/>
        <v>2</v>
      </c>
      <c r="AF3718" s="19">
        <f t="shared" si="13"/>
        <v>2</v>
      </c>
      <c r="AG3718" s="9"/>
      <c r="AH3718" s="9"/>
      <c r="AI3718" s="9"/>
    </row>
    <row r="3719" ht="15.0" customHeight="1">
      <c r="A3719" s="11">
        <v>3718.0</v>
      </c>
      <c r="B3719" s="12">
        <f t="shared" ref="B3719:B3720" si="591">DATE(2012,12,31)-822</f>
        <v>40452</v>
      </c>
      <c r="C3719" s="13">
        <v>2010.0</v>
      </c>
      <c r="D3719" s="11" t="s">
        <v>23</v>
      </c>
      <c r="E3719" s="11">
        <v>22.0</v>
      </c>
      <c r="F3719" s="21" t="s">
        <v>696</v>
      </c>
      <c r="G3719" s="15">
        <v>0.04052107279693495</v>
      </c>
      <c r="H3719" s="11" t="s">
        <v>33</v>
      </c>
      <c r="I3719" s="16">
        <v>4.024</v>
      </c>
      <c r="J3719" s="11" t="s">
        <v>465</v>
      </c>
      <c r="K3719" s="11" t="s">
        <v>61</v>
      </c>
      <c r="L3719" s="11" t="s">
        <v>41</v>
      </c>
      <c r="M3719" s="11" t="s">
        <v>28</v>
      </c>
      <c r="N3719" s="11" t="s">
        <v>29</v>
      </c>
      <c r="O3719" s="11" t="s">
        <v>698</v>
      </c>
      <c r="P3719" s="11" t="s">
        <v>38</v>
      </c>
      <c r="Q3719" s="20">
        <v>40454.0</v>
      </c>
      <c r="R3719" s="17">
        <f t="shared" si="2"/>
        <v>10.14744913</v>
      </c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>
        <f t="shared" si="8"/>
        <v>3</v>
      </c>
      <c r="AF3719" s="19">
        <f t="shared" si="13"/>
        <v>4</v>
      </c>
      <c r="AG3719" s="9"/>
      <c r="AH3719" s="9"/>
      <c r="AI3719" s="9"/>
    </row>
    <row r="3720" ht="15.0" customHeight="1">
      <c r="A3720" s="11">
        <v>3719.0</v>
      </c>
      <c r="B3720" s="12">
        <f t="shared" si="591"/>
        <v>40452</v>
      </c>
      <c r="C3720" s="13">
        <v>2010.0</v>
      </c>
      <c r="D3720" s="11" t="s">
        <v>32</v>
      </c>
      <c r="E3720" s="11">
        <v>45.0</v>
      </c>
      <c r="F3720" s="21" t="s">
        <v>333</v>
      </c>
      <c r="G3720" s="15">
        <v>0.042658875091307544</v>
      </c>
      <c r="H3720" s="11" t="s">
        <v>24</v>
      </c>
      <c r="I3720" s="16">
        <v>0.5599999999999999</v>
      </c>
      <c r="J3720" s="11" t="s">
        <v>1731</v>
      </c>
      <c r="K3720" s="11" t="s">
        <v>35</v>
      </c>
      <c r="L3720" s="11" t="s">
        <v>27</v>
      </c>
      <c r="M3720" s="11" t="s">
        <v>28</v>
      </c>
      <c r="N3720" s="11" t="s">
        <v>62</v>
      </c>
      <c r="O3720" s="11" t="s">
        <v>480</v>
      </c>
      <c r="P3720" s="11" t="s">
        <v>58</v>
      </c>
      <c r="Q3720" s="20">
        <v>40454.0</v>
      </c>
      <c r="R3720" s="17">
        <f t="shared" si="2"/>
        <v>5.590872169</v>
      </c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>
        <f t="shared" si="8"/>
        <v>1</v>
      </c>
      <c r="AF3720" s="19">
        <f t="shared" si="13"/>
        <v>2</v>
      </c>
      <c r="AG3720" s="9"/>
      <c r="AH3720" s="9"/>
      <c r="AI3720" s="9"/>
    </row>
    <row r="3721" ht="15.0" customHeight="1">
      <c r="A3721" s="11">
        <v>3720.0</v>
      </c>
      <c r="B3721" s="12">
        <f t="shared" ref="B3721:B3725" si="592">DATE(2012,12,31)-821</f>
        <v>40453</v>
      </c>
      <c r="C3721" s="13">
        <v>2010.0</v>
      </c>
      <c r="D3721" s="11" t="s">
        <v>23</v>
      </c>
      <c r="E3721" s="11">
        <v>23.0</v>
      </c>
      <c r="F3721" s="21" t="s">
        <v>316</v>
      </c>
      <c r="G3721" s="15">
        <v>0.03312089023773395</v>
      </c>
      <c r="H3721" s="11" t="s">
        <v>33</v>
      </c>
      <c r="I3721" s="16">
        <v>7.152</v>
      </c>
      <c r="J3721" s="11" t="s">
        <v>1744</v>
      </c>
      <c r="K3721" s="11" t="s">
        <v>61</v>
      </c>
      <c r="L3721" s="11" t="s">
        <v>36</v>
      </c>
      <c r="M3721" s="11" t="s">
        <v>28</v>
      </c>
      <c r="N3721" s="11" t="s">
        <v>42</v>
      </c>
      <c r="O3721" s="11" t="s">
        <v>1126</v>
      </c>
      <c r="P3721" s="11" t="s">
        <v>38</v>
      </c>
      <c r="Q3721" s="20">
        <v>40455.0</v>
      </c>
      <c r="R3721" s="17">
        <f t="shared" si="2"/>
        <v>6.331124411</v>
      </c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>
        <f t="shared" si="8"/>
        <v>2</v>
      </c>
      <c r="AF3721" s="19">
        <f t="shared" si="13"/>
        <v>4</v>
      </c>
      <c r="AG3721" s="9"/>
      <c r="AH3721" s="9"/>
      <c r="AI3721" s="9"/>
    </row>
    <row r="3722" ht="15.0" customHeight="1">
      <c r="A3722" s="11">
        <v>3721.0</v>
      </c>
      <c r="B3722" s="12">
        <f t="shared" si="592"/>
        <v>40453</v>
      </c>
      <c r="C3722" s="13">
        <v>2010.0</v>
      </c>
      <c r="D3722" s="11" t="s">
        <v>32</v>
      </c>
      <c r="E3722" s="11">
        <v>48.0</v>
      </c>
      <c r="F3722" s="21" t="s">
        <v>158</v>
      </c>
      <c r="G3722" s="15">
        <v>0.06443783462224846</v>
      </c>
      <c r="H3722" s="11" t="s">
        <v>33</v>
      </c>
      <c r="I3722" s="16">
        <v>7.336</v>
      </c>
      <c r="J3722" s="11" t="s">
        <v>1550</v>
      </c>
      <c r="K3722" s="11" t="s">
        <v>61</v>
      </c>
      <c r="L3722" s="11" t="s">
        <v>27</v>
      </c>
      <c r="M3722" s="11" t="s">
        <v>28</v>
      </c>
      <c r="N3722" s="11" t="s">
        <v>56</v>
      </c>
      <c r="O3722" s="11" t="s">
        <v>241</v>
      </c>
      <c r="P3722" s="11" t="s">
        <v>38</v>
      </c>
      <c r="Q3722" s="20">
        <v>40455.0</v>
      </c>
      <c r="R3722" s="17">
        <f t="shared" si="2"/>
        <v>20.26801875</v>
      </c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>
        <f t="shared" si="8"/>
        <v>1</v>
      </c>
      <c r="AF3722" s="19">
        <f t="shared" si="13"/>
        <v>4</v>
      </c>
      <c r="AG3722" s="9"/>
      <c r="AH3722" s="9"/>
      <c r="AI3722" s="9"/>
    </row>
    <row r="3723" ht="15.0" customHeight="1">
      <c r="A3723" s="11">
        <v>3722.0</v>
      </c>
      <c r="B3723" s="12">
        <f t="shared" si="592"/>
        <v>40453</v>
      </c>
      <c r="C3723" s="13">
        <v>2010.0</v>
      </c>
      <c r="D3723" s="11" t="s">
        <v>32</v>
      </c>
      <c r="E3723" s="11">
        <v>19.0</v>
      </c>
      <c r="F3723" s="21" t="s">
        <v>924</v>
      </c>
      <c r="G3723" s="15">
        <v>0.032039911308203994</v>
      </c>
      <c r="H3723" s="11" t="s">
        <v>33</v>
      </c>
      <c r="I3723" s="16">
        <v>1.72</v>
      </c>
      <c r="J3723" s="11" t="s">
        <v>882</v>
      </c>
      <c r="K3723" s="11" t="s">
        <v>65</v>
      </c>
      <c r="L3723" s="11" t="s">
        <v>48</v>
      </c>
      <c r="M3723" s="11" t="s">
        <v>28</v>
      </c>
      <c r="N3723" s="11" t="s">
        <v>56</v>
      </c>
      <c r="O3723" s="11" t="s">
        <v>57</v>
      </c>
      <c r="P3723" s="11" t="s">
        <v>58</v>
      </c>
      <c r="Q3723" s="20">
        <v>40455.0</v>
      </c>
      <c r="R3723" s="17">
        <f t="shared" si="2"/>
        <v>5.594809313</v>
      </c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>
        <f t="shared" si="8"/>
        <v>4</v>
      </c>
      <c r="AF3723" s="19">
        <f t="shared" si="13"/>
        <v>5</v>
      </c>
      <c r="AG3723" s="9"/>
      <c r="AH3723" s="9"/>
      <c r="AI3723" s="9"/>
    </row>
    <row r="3724" ht="15.0" customHeight="1">
      <c r="A3724" s="11">
        <v>3723.0</v>
      </c>
      <c r="B3724" s="12">
        <f t="shared" si="592"/>
        <v>40453</v>
      </c>
      <c r="C3724" s="13">
        <v>2010.0</v>
      </c>
      <c r="D3724" s="11" t="s">
        <v>32</v>
      </c>
      <c r="E3724" s="11">
        <v>6.0</v>
      </c>
      <c r="F3724" s="21" t="s">
        <v>130</v>
      </c>
      <c r="G3724" s="15">
        <v>0.07139340226489428</v>
      </c>
      <c r="H3724" s="11" t="s">
        <v>24</v>
      </c>
      <c r="I3724" s="16">
        <v>3.2</v>
      </c>
      <c r="J3724" s="11" t="s">
        <v>2434</v>
      </c>
      <c r="K3724" s="11" t="s">
        <v>65</v>
      </c>
      <c r="L3724" s="11" t="s">
        <v>27</v>
      </c>
      <c r="M3724" s="11" t="s">
        <v>66</v>
      </c>
      <c r="N3724" s="11" t="s">
        <v>67</v>
      </c>
      <c r="O3724" s="11" t="s">
        <v>1926</v>
      </c>
      <c r="P3724" s="11" t="s">
        <v>38</v>
      </c>
      <c r="Q3724" s="20">
        <v>40455.0</v>
      </c>
      <c r="R3724" s="17">
        <f t="shared" si="2"/>
        <v>13.46479567</v>
      </c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>
        <f t="shared" si="8"/>
        <v>1</v>
      </c>
      <c r="AF3724" s="19">
        <f t="shared" si="13"/>
        <v>5</v>
      </c>
      <c r="AG3724" s="9"/>
      <c r="AH3724" s="9"/>
      <c r="AI3724" s="9"/>
    </row>
    <row r="3725" ht="15.0" customHeight="1">
      <c r="A3725" s="11">
        <v>3724.0</v>
      </c>
      <c r="B3725" s="12">
        <f t="shared" si="592"/>
        <v>40453</v>
      </c>
      <c r="C3725" s="13">
        <v>2010.0</v>
      </c>
      <c r="D3725" s="11" t="s">
        <v>32</v>
      </c>
      <c r="E3725" s="11">
        <v>20.0</v>
      </c>
      <c r="F3725" s="21" t="s">
        <v>952</v>
      </c>
      <c r="G3725" s="15">
        <v>0.06593460232086361</v>
      </c>
      <c r="H3725" s="11" t="s">
        <v>33</v>
      </c>
      <c r="I3725" s="16">
        <v>19.592</v>
      </c>
      <c r="J3725" s="11" t="s">
        <v>2434</v>
      </c>
      <c r="K3725" s="11" t="s">
        <v>65</v>
      </c>
      <c r="L3725" s="11" t="s">
        <v>27</v>
      </c>
      <c r="M3725" s="11" t="s">
        <v>66</v>
      </c>
      <c r="N3725" s="11" t="s">
        <v>170</v>
      </c>
      <c r="O3725" s="11" t="s">
        <v>2110</v>
      </c>
      <c r="P3725" s="11" t="s">
        <v>31</v>
      </c>
      <c r="Q3725" s="20">
        <v>40455.0</v>
      </c>
      <c r="R3725" s="17">
        <f t="shared" si="2"/>
        <v>792.3751494</v>
      </c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>
        <f t="shared" si="8"/>
        <v>1</v>
      </c>
      <c r="AF3725" s="19">
        <f t="shared" si="13"/>
        <v>5</v>
      </c>
      <c r="AG3725" s="9"/>
      <c r="AH3725" s="9"/>
      <c r="AI3725" s="9"/>
    </row>
    <row r="3726" ht="15.0" customHeight="1">
      <c r="A3726" s="11">
        <v>3725.0</v>
      </c>
      <c r="B3726" s="12">
        <f t="shared" ref="B3726:B3730" si="593">DATE(2012,12,31)-820</f>
        <v>40454</v>
      </c>
      <c r="C3726" s="13">
        <v>2010.0</v>
      </c>
      <c r="D3726" s="11" t="s">
        <v>23</v>
      </c>
      <c r="E3726" s="11">
        <v>48.0</v>
      </c>
      <c r="F3726" s="21" t="s">
        <v>762</v>
      </c>
      <c r="G3726" s="15">
        <v>0.08932235592146918</v>
      </c>
      <c r="H3726" s="11" t="s">
        <v>24</v>
      </c>
      <c r="I3726" s="16">
        <v>3.9840000000000004</v>
      </c>
      <c r="J3726" s="11" t="s">
        <v>1224</v>
      </c>
      <c r="K3726" s="11" t="s">
        <v>61</v>
      </c>
      <c r="L3726" s="11" t="s">
        <v>48</v>
      </c>
      <c r="M3726" s="11" t="s">
        <v>28</v>
      </c>
      <c r="N3726" s="11" t="s">
        <v>197</v>
      </c>
      <c r="O3726" s="11" t="s">
        <v>1001</v>
      </c>
      <c r="P3726" s="11" t="s">
        <v>38</v>
      </c>
      <c r="Q3726" s="20">
        <v>40455.0</v>
      </c>
      <c r="R3726" s="17">
        <f t="shared" si="2"/>
        <v>51.37678997</v>
      </c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>
        <f t="shared" si="8"/>
        <v>4</v>
      </c>
      <c r="AF3726" s="19">
        <f t="shared" si="13"/>
        <v>4</v>
      </c>
      <c r="AG3726" s="9"/>
      <c r="AH3726" s="9"/>
      <c r="AI3726" s="9"/>
    </row>
    <row r="3727" ht="15.0" customHeight="1">
      <c r="A3727" s="11">
        <v>3726.0</v>
      </c>
      <c r="B3727" s="12">
        <f t="shared" si="593"/>
        <v>40454</v>
      </c>
      <c r="C3727" s="13">
        <v>2010.0</v>
      </c>
      <c r="D3727" s="11" t="s">
        <v>32</v>
      </c>
      <c r="E3727" s="11">
        <v>5.0</v>
      </c>
      <c r="F3727" s="21" t="s">
        <v>1670</v>
      </c>
      <c r="G3727" s="15">
        <v>0.08104166666666665</v>
      </c>
      <c r="H3727" s="11" t="s">
        <v>33</v>
      </c>
      <c r="I3727" s="16">
        <v>1.4320000000000002</v>
      </c>
      <c r="J3727" s="11" t="s">
        <v>1841</v>
      </c>
      <c r="K3727" s="11" t="s">
        <v>61</v>
      </c>
      <c r="L3727" s="11" t="s">
        <v>36</v>
      </c>
      <c r="M3727" s="11" t="s">
        <v>28</v>
      </c>
      <c r="N3727" s="11" t="s">
        <v>56</v>
      </c>
      <c r="O3727" s="11" t="s">
        <v>1671</v>
      </c>
      <c r="P3727" s="11" t="s">
        <v>58</v>
      </c>
      <c r="Q3727" s="20">
        <v>40455.0</v>
      </c>
      <c r="R3727" s="17">
        <f t="shared" si="2"/>
        <v>4.2896975</v>
      </c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>
        <f t="shared" si="8"/>
        <v>2</v>
      </c>
      <c r="AF3727" s="19">
        <f t="shared" si="13"/>
        <v>4</v>
      </c>
      <c r="AG3727" s="9"/>
      <c r="AH3727" s="9"/>
      <c r="AI3727" s="9"/>
    </row>
    <row r="3728" ht="15.0" customHeight="1">
      <c r="A3728" s="11">
        <v>3727.0</v>
      </c>
      <c r="B3728" s="12">
        <f t="shared" si="593"/>
        <v>40454</v>
      </c>
      <c r="C3728" s="13">
        <v>2010.0</v>
      </c>
      <c r="D3728" s="11" t="s">
        <v>44</v>
      </c>
      <c r="E3728" s="11">
        <v>37.0</v>
      </c>
      <c r="F3728" s="21" t="s">
        <v>810</v>
      </c>
      <c r="G3728" s="15">
        <v>0.07370294318959611</v>
      </c>
      <c r="H3728" s="11" t="s">
        <v>24</v>
      </c>
      <c r="I3728" s="16">
        <v>2.696</v>
      </c>
      <c r="J3728" s="11" t="s">
        <v>1294</v>
      </c>
      <c r="K3728" s="11" t="s">
        <v>47</v>
      </c>
      <c r="L3728" s="11" t="s">
        <v>27</v>
      </c>
      <c r="M3728" s="11" t="s">
        <v>28</v>
      </c>
      <c r="N3728" s="11" t="s">
        <v>442</v>
      </c>
      <c r="O3728" s="11" t="s">
        <v>1111</v>
      </c>
      <c r="P3728" s="11" t="s">
        <v>99</v>
      </c>
      <c r="Q3728" s="20">
        <v>40455.0</v>
      </c>
      <c r="R3728" s="17">
        <f t="shared" si="2"/>
        <v>29.92310012</v>
      </c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>
        <f t="shared" si="8"/>
        <v>1</v>
      </c>
      <c r="AF3728" s="19">
        <f t="shared" si="13"/>
        <v>3</v>
      </c>
      <c r="AG3728" s="9"/>
      <c r="AH3728" s="9"/>
      <c r="AI3728" s="9"/>
    </row>
    <row r="3729" ht="15.0" customHeight="1">
      <c r="A3729" s="11">
        <v>3728.0</v>
      </c>
      <c r="B3729" s="12">
        <f t="shared" si="593"/>
        <v>40454</v>
      </c>
      <c r="C3729" s="13">
        <v>2010.0</v>
      </c>
      <c r="D3729" s="11" t="s">
        <v>23</v>
      </c>
      <c r="E3729" s="11">
        <v>18.0</v>
      </c>
      <c r="F3729" s="21" t="s">
        <v>766</v>
      </c>
      <c r="G3729" s="15">
        <v>0.05950687529634894</v>
      </c>
      <c r="H3729" s="11" t="s">
        <v>45</v>
      </c>
      <c r="I3729" s="16">
        <v>24.0</v>
      </c>
      <c r="J3729" s="11" t="s">
        <v>2405</v>
      </c>
      <c r="K3729" s="11" t="s">
        <v>61</v>
      </c>
      <c r="L3729" s="11" t="s">
        <v>27</v>
      </c>
      <c r="M3729" s="11" t="s">
        <v>49</v>
      </c>
      <c r="N3729" s="11" t="s">
        <v>50</v>
      </c>
      <c r="O3729" s="11" t="s">
        <v>1150</v>
      </c>
      <c r="P3729" s="11" t="s">
        <v>52</v>
      </c>
      <c r="Q3729" s="20">
        <v>40455.0</v>
      </c>
      <c r="R3729" s="17">
        <f t="shared" si="2"/>
        <v>141.6382646</v>
      </c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>
        <f t="shared" si="8"/>
        <v>1</v>
      </c>
      <c r="AF3729" s="19">
        <f t="shared" si="13"/>
        <v>4</v>
      </c>
      <c r="AG3729" s="9"/>
      <c r="AH3729" s="9"/>
      <c r="AI3729" s="9"/>
    </row>
    <row r="3730" ht="15.0" customHeight="1">
      <c r="A3730" s="11">
        <v>3729.0</v>
      </c>
      <c r="B3730" s="12">
        <f t="shared" si="593"/>
        <v>40454</v>
      </c>
      <c r="C3730" s="13">
        <v>2010.0</v>
      </c>
      <c r="D3730" s="11" t="s">
        <v>39</v>
      </c>
      <c r="E3730" s="11">
        <v>36.0</v>
      </c>
      <c r="F3730" s="21" t="s">
        <v>119</v>
      </c>
      <c r="G3730" s="15">
        <v>0.1310491367861885</v>
      </c>
      <c r="H3730" s="11" t="s">
        <v>33</v>
      </c>
      <c r="I3730" s="16">
        <v>0.6320000000000001</v>
      </c>
      <c r="J3730" s="11" t="s">
        <v>2427</v>
      </c>
      <c r="K3730" s="11" t="s">
        <v>65</v>
      </c>
      <c r="L3730" s="11" t="s">
        <v>27</v>
      </c>
      <c r="M3730" s="11" t="s">
        <v>28</v>
      </c>
      <c r="N3730" s="11" t="s">
        <v>216</v>
      </c>
      <c r="O3730" s="11" t="s">
        <v>2446</v>
      </c>
      <c r="P3730" s="11" t="s">
        <v>58</v>
      </c>
      <c r="Q3730" s="20">
        <v>40455.0</v>
      </c>
      <c r="R3730" s="17">
        <f t="shared" si="2"/>
        <v>8.574807118</v>
      </c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>
        <f t="shared" si="8"/>
        <v>1</v>
      </c>
      <c r="AF3730" s="19">
        <f t="shared" si="13"/>
        <v>5</v>
      </c>
      <c r="AG3730" s="9"/>
      <c r="AH3730" s="9"/>
      <c r="AI3730" s="9"/>
    </row>
    <row r="3731" ht="15.0" customHeight="1">
      <c r="A3731" s="11">
        <v>3730.0</v>
      </c>
      <c r="B3731" s="12">
        <f t="shared" ref="B3731:B3738" si="594">DATE(2012,12,31)-819</f>
        <v>40455</v>
      </c>
      <c r="C3731" s="13">
        <v>2010.0</v>
      </c>
      <c r="D3731" s="11" t="s">
        <v>39</v>
      </c>
      <c r="E3731" s="11">
        <v>30.0</v>
      </c>
      <c r="F3731" s="21" t="s">
        <v>379</v>
      </c>
      <c r="G3731" s="15">
        <v>0.061204431017119795</v>
      </c>
      <c r="H3731" s="11" t="s">
        <v>33</v>
      </c>
      <c r="I3731" s="16">
        <v>1.1119999999999999</v>
      </c>
      <c r="J3731" s="11" t="s">
        <v>1722</v>
      </c>
      <c r="K3731" s="11" t="s">
        <v>26</v>
      </c>
      <c r="L3731" s="11" t="s">
        <v>27</v>
      </c>
      <c r="M3731" s="11" t="s">
        <v>28</v>
      </c>
      <c r="N3731" s="11" t="s">
        <v>236</v>
      </c>
      <c r="O3731" s="11" t="s">
        <v>885</v>
      </c>
      <c r="P3731" s="11" t="s">
        <v>38</v>
      </c>
      <c r="Q3731" s="20">
        <v>40455.0</v>
      </c>
      <c r="R3731" s="17">
        <f t="shared" si="2"/>
        <v>28.52811975</v>
      </c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>
        <f t="shared" si="8"/>
        <v>1</v>
      </c>
      <c r="AF3731" s="19">
        <f t="shared" si="13"/>
        <v>1</v>
      </c>
      <c r="AG3731" s="9"/>
      <c r="AH3731" s="9"/>
      <c r="AI3731" s="9"/>
    </row>
    <row r="3732" ht="15.0" customHeight="1">
      <c r="A3732" s="11">
        <v>3731.0</v>
      </c>
      <c r="B3732" s="12">
        <f t="shared" si="594"/>
        <v>40455</v>
      </c>
      <c r="C3732" s="13">
        <v>2010.0</v>
      </c>
      <c r="D3732" s="11" t="s">
        <v>39</v>
      </c>
      <c r="E3732" s="11">
        <v>15.0</v>
      </c>
      <c r="F3732" s="21" t="s">
        <v>137</v>
      </c>
      <c r="G3732" s="15">
        <v>0.05840413650465357</v>
      </c>
      <c r="H3732" s="11" t="s">
        <v>45</v>
      </c>
      <c r="I3732" s="16">
        <v>12.808000000000002</v>
      </c>
      <c r="J3732" s="11" t="s">
        <v>639</v>
      </c>
      <c r="K3732" s="11" t="s">
        <v>35</v>
      </c>
      <c r="L3732" s="11" t="s">
        <v>48</v>
      </c>
      <c r="M3732" s="11" t="s">
        <v>49</v>
      </c>
      <c r="N3732" s="11" t="s">
        <v>85</v>
      </c>
      <c r="O3732" s="11" t="s">
        <v>127</v>
      </c>
      <c r="P3732" s="11" t="s">
        <v>87</v>
      </c>
      <c r="Q3732" s="20">
        <v>40456.0</v>
      </c>
      <c r="R3732" s="17">
        <f t="shared" si="2"/>
        <v>132.9458032</v>
      </c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>
        <f t="shared" si="8"/>
        <v>4</v>
      </c>
      <c r="AF3732" s="19">
        <f t="shared" si="13"/>
        <v>2</v>
      </c>
      <c r="AG3732" s="9"/>
      <c r="AH3732" s="9"/>
      <c r="AI3732" s="9"/>
    </row>
    <row r="3733" ht="15.0" customHeight="1">
      <c r="A3733" s="11">
        <v>3732.0</v>
      </c>
      <c r="B3733" s="12">
        <f t="shared" si="594"/>
        <v>40455</v>
      </c>
      <c r="C3733" s="13">
        <v>2010.0</v>
      </c>
      <c r="D3733" s="11" t="s">
        <v>39</v>
      </c>
      <c r="E3733" s="11">
        <v>24.0</v>
      </c>
      <c r="F3733" s="21" t="s">
        <v>425</v>
      </c>
      <c r="G3733" s="15">
        <v>0.015228182546036952</v>
      </c>
      <c r="H3733" s="11" t="s">
        <v>33</v>
      </c>
      <c r="I3733" s="16">
        <v>7.192</v>
      </c>
      <c r="J3733" s="11" t="s">
        <v>2447</v>
      </c>
      <c r="K3733" s="11" t="s">
        <v>35</v>
      </c>
      <c r="L3733" s="11" t="s">
        <v>27</v>
      </c>
      <c r="M3733" s="11" t="s">
        <v>49</v>
      </c>
      <c r="N3733" s="11" t="s">
        <v>73</v>
      </c>
      <c r="O3733" s="11" t="s">
        <v>2448</v>
      </c>
      <c r="P3733" s="11" t="s">
        <v>99</v>
      </c>
      <c r="Q3733" s="20">
        <v>40457.0</v>
      </c>
      <c r="R3733" s="17">
        <f t="shared" si="2"/>
        <v>7.492143987</v>
      </c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>
        <f t="shared" si="8"/>
        <v>1</v>
      </c>
      <c r="AF3733" s="19">
        <f t="shared" si="13"/>
        <v>2</v>
      </c>
      <c r="AG3733" s="9"/>
      <c r="AH3733" s="9"/>
      <c r="AI3733" s="9"/>
    </row>
    <row r="3734" ht="15.0" customHeight="1">
      <c r="A3734" s="11">
        <v>3733.0</v>
      </c>
      <c r="B3734" s="12">
        <f t="shared" si="594"/>
        <v>40455</v>
      </c>
      <c r="C3734" s="13">
        <v>2010.0</v>
      </c>
      <c r="D3734" s="11" t="s">
        <v>102</v>
      </c>
      <c r="E3734" s="11">
        <v>37.0</v>
      </c>
      <c r="F3734" s="21" t="s">
        <v>2192</v>
      </c>
      <c r="G3734" s="15">
        <v>0.0757281105990783</v>
      </c>
      <c r="H3734" s="11" t="s">
        <v>33</v>
      </c>
      <c r="I3734" s="16">
        <v>5.5040000000000004</v>
      </c>
      <c r="J3734" s="11" t="s">
        <v>1384</v>
      </c>
      <c r="K3734" s="11" t="s">
        <v>35</v>
      </c>
      <c r="L3734" s="11" t="s">
        <v>36</v>
      </c>
      <c r="M3734" s="11" t="s">
        <v>28</v>
      </c>
      <c r="N3734" s="11" t="s">
        <v>29</v>
      </c>
      <c r="O3734" s="11" t="s">
        <v>2193</v>
      </c>
      <c r="P3734" s="11" t="s">
        <v>38</v>
      </c>
      <c r="Q3734" s="20">
        <v>40457.0</v>
      </c>
      <c r="R3734" s="17">
        <f t="shared" si="2"/>
        <v>182.2627195</v>
      </c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>
        <f t="shared" si="8"/>
        <v>2</v>
      </c>
      <c r="AF3734" s="19">
        <f t="shared" si="13"/>
        <v>2</v>
      </c>
      <c r="AG3734" s="9"/>
      <c r="AH3734" s="9"/>
      <c r="AI3734" s="9"/>
    </row>
    <row r="3735" ht="15.0" customHeight="1">
      <c r="A3735" s="11">
        <v>3734.0</v>
      </c>
      <c r="B3735" s="12">
        <f t="shared" si="594"/>
        <v>40455</v>
      </c>
      <c r="C3735" s="13">
        <v>2010.0</v>
      </c>
      <c r="D3735" s="11" t="s">
        <v>44</v>
      </c>
      <c r="E3735" s="11">
        <v>32.0</v>
      </c>
      <c r="F3735" s="21" t="s">
        <v>126</v>
      </c>
      <c r="G3735" s="15">
        <v>0.04699350265800348</v>
      </c>
      <c r="H3735" s="11" t="s">
        <v>33</v>
      </c>
      <c r="I3735" s="16">
        <v>4.544</v>
      </c>
      <c r="J3735" s="11" t="s">
        <v>928</v>
      </c>
      <c r="K3735" s="11" t="s">
        <v>61</v>
      </c>
      <c r="L3735" s="11" t="s">
        <v>27</v>
      </c>
      <c r="M3735" s="11" t="s">
        <v>28</v>
      </c>
      <c r="N3735" s="11" t="s">
        <v>42</v>
      </c>
      <c r="O3735" s="11" t="s">
        <v>1022</v>
      </c>
      <c r="P3735" s="11" t="s">
        <v>38</v>
      </c>
      <c r="Q3735" s="20">
        <v>40458.0</v>
      </c>
      <c r="R3735" s="17">
        <f t="shared" si="2"/>
        <v>7.582119693</v>
      </c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>
        <f t="shared" si="8"/>
        <v>1</v>
      </c>
      <c r="AF3735" s="19">
        <f t="shared" si="13"/>
        <v>4</v>
      </c>
      <c r="AG3735" s="9"/>
      <c r="AH3735" s="9"/>
      <c r="AI3735" s="9"/>
    </row>
    <row r="3736" ht="15.0" customHeight="1">
      <c r="A3736" s="11">
        <v>3735.0</v>
      </c>
      <c r="B3736" s="12">
        <f t="shared" si="594"/>
        <v>40455</v>
      </c>
      <c r="C3736" s="13">
        <v>2010.0</v>
      </c>
      <c r="D3736" s="11" t="s">
        <v>44</v>
      </c>
      <c r="E3736" s="11">
        <v>34.0</v>
      </c>
      <c r="F3736" s="21" t="s">
        <v>183</v>
      </c>
      <c r="G3736" s="15">
        <v>0.06617417824466289</v>
      </c>
      <c r="H3736" s="11" t="s">
        <v>33</v>
      </c>
      <c r="I3736" s="16">
        <v>10.544</v>
      </c>
      <c r="J3736" s="11" t="s">
        <v>928</v>
      </c>
      <c r="K3736" s="11" t="s">
        <v>61</v>
      </c>
      <c r="L3736" s="11" t="s">
        <v>27</v>
      </c>
      <c r="M3736" s="11" t="s">
        <v>28</v>
      </c>
      <c r="N3736" s="11" t="s">
        <v>42</v>
      </c>
      <c r="O3736" s="11" t="s">
        <v>185</v>
      </c>
      <c r="P3736" s="11" t="s">
        <v>38</v>
      </c>
      <c r="Q3736" s="20">
        <v>40458.0</v>
      </c>
      <c r="R3736" s="17">
        <f t="shared" si="2"/>
        <v>36.47150129</v>
      </c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>
        <f t="shared" si="8"/>
        <v>1</v>
      </c>
      <c r="AF3736" s="19">
        <f t="shared" si="13"/>
        <v>4</v>
      </c>
      <c r="AG3736" s="9"/>
      <c r="AH3736" s="9"/>
      <c r="AI3736" s="9"/>
    </row>
    <row r="3737" ht="15.0" customHeight="1">
      <c r="A3737" s="11">
        <v>3736.0</v>
      </c>
      <c r="B3737" s="12">
        <f t="shared" si="594"/>
        <v>40455</v>
      </c>
      <c r="C3737" s="13">
        <v>2010.0</v>
      </c>
      <c r="D3737" s="11" t="s">
        <v>44</v>
      </c>
      <c r="E3737" s="11">
        <v>48.0</v>
      </c>
      <c r="F3737" s="21" t="s">
        <v>1878</v>
      </c>
      <c r="G3737" s="15">
        <v>0.047255197348598885</v>
      </c>
      <c r="H3737" s="11" t="s">
        <v>33</v>
      </c>
      <c r="I3737" s="16">
        <v>4.216</v>
      </c>
      <c r="J3737" s="11" t="s">
        <v>928</v>
      </c>
      <c r="K3737" s="11" t="s">
        <v>61</v>
      </c>
      <c r="L3737" s="11" t="s">
        <v>27</v>
      </c>
      <c r="M3737" s="11" t="s">
        <v>28</v>
      </c>
      <c r="N3737" s="11" t="s">
        <v>42</v>
      </c>
      <c r="O3737" s="11" t="s">
        <v>1879</v>
      </c>
      <c r="P3737" s="11" t="s">
        <v>38</v>
      </c>
      <c r="Q3737" s="20">
        <v>40458.0</v>
      </c>
      <c r="R3737" s="17">
        <f t="shared" si="2"/>
        <v>14.94284948</v>
      </c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>
        <f t="shared" si="8"/>
        <v>1</v>
      </c>
      <c r="AF3737" s="19">
        <f t="shared" si="13"/>
        <v>4</v>
      </c>
      <c r="AG3737" s="9"/>
      <c r="AH3737" s="9"/>
      <c r="AI3737" s="9"/>
    </row>
    <row r="3738" ht="15.0" customHeight="1">
      <c r="A3738" s="11">
        <v>3737.0</v>
      </c>
      <c r="B3738" s="12">
        <f t="shared" si="594"/>
        <v>40455</v>
      </c>
      <c r="C3738" s="13">
        <v>2010.0</v>
      </c>
      <c r="D3738" s="11" t="s">
        <v>44</v>
      </c>
      <c r="E3738" s="11">
        <v>24.0</v>
      </c>
      <c r="F3738" s="21" t="s">
        <v>158</v>
      </c>
      <c r="G3738" s="15">
        <v>0.10084889643463478</v>
      </c>
      <c r="H3738" s="11" t="s">
        <v>33</v>
      </c>
      <c r="I3738" s="16">
        <v>5.28</v>
      </c>
      <c r="J3738" s="11" t="s">
        <v>928</v>
      </c>
      <c r="K3738" s="11" t="s">
        <v>61</v>
      </c>
      <c r="L3738" s="11" t="s">
        <v>27</v>
      </c>
      <c r="M3738" s="11" t="s">
        <v>28</v>
      </c>
      <c r="N3738" s="11" t="s">
        <v>56</v>
      </c>
      <c r="O3738" s="11" t="s">
        <v>543</v>
      </c>
      <c r="P3738" s="11" t="s">
        <v>38</v>
      </c>
      <c r="Q3738" s="20">
        <v>40458.0</v>
      </c>
      <c r="R3738" s="17">
        <f t="shared" si="2"/>
        <v>16.02287267</v>
      </c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>
        <f t="shared" si="8"/>
        <v>1</v>
      </c>
      <c r="AF3738" s="19">
        <f t="shared" si="13"/>
        <v>4</v>
      </c>
      <c r="AG3738" s="9"/>
      <c r="AH3738" s="9"/>
      <c r="AI3738" s="9"/>
    </row>
    <row r="3739" ht="15.0" customHeight="1">
      <c r="A3739" s="11">
        <v>3738.0</v>
      </c>
      <c r="B3739" s="12">
        <f t="shared" ref="B3739:B3740" si="595">DATE(2012,12,31)-818</f>
        <v>40456</v>
      </c>
      <c r="C3739" s="13">
        <v>2010.0</v>
      </c>
      <c r="D3739" s="11" t="s">
        <v>44</v>
      </c>
      <c r="E3739" s="11">
        <v>6.0</v>
      </c>
      <c r="F3739" s="21" t="s">
        <v>372</v>
      </c>
      <c r="G3739" s="15">
        <v>0.10957722174288194</v>
      </c>
      <c r="H3739" s="11" t="s">
        <v>33</v>
      </c>
      <c r="I3739" s="16">
        <v>9.0</v>
      </c>
      <c r="J3739" s="11" t="s">
        <v>222</v>
      </c>
      <c r="K3739" s="11" t="s">
        <v>65</v>
      </c>
      <c r="L3739" s="11" t="s">
        <v>48</v>
      </c>
      <c r="M3739" s="11" t="s">
        <v>28</v>
      </c>
      <c r="N3739" s="11" t="s">
        <v>29</v>
      </c>
      <c r="O3739" s="11" t="s">
        <v>1741</v>
      </c>
      <c r="P3739" s="11" t="s">
        <v>38</v>
      </c>
      <c r="Q3739" s="20">
        <v>40459.0</v>
      </c>
      <c r="R3739" s="17">
        <f t="shared" si="2"/>
        <v>11.30836928</v>
      </c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>
        <f t="shared" si="8"/>
        <v>4</v>
      </c>
      <c r="AF3739" s="19">
        <f t="shared" si="13"/>
        <v>5</v>
      </c>
      <c r="AG3739" s="9"/>
      <c r="AH3739" s="9"/>
      <c r="AI3739" s="9"/>
    </row>
    <row r="3740" ht="15.0" customHeight="1">
      <c r="A3740" s="11">
        <v>3739.0</v>
      </c>
      <c r="B3740" s="12">
        <f t="shared" si="595"/>
        <v>40456</v>
      </c>
      <c r="C3740" s="13">
        <v>2010.0</v>
      </c>
      <c r="D3740" s="11" t="s">
        <v>44</v>
      </c>
      <c r="E3740" s="11">
        <v>11.0</v>
      </c>
      <c r="F3740" s="21" t="s">
        <v>810</v>
      </c>
      <c r="G3740" s="15">
        <v>0.03229559748427665</v>
      </c>
      <c r="H3740" s="11" t="s">
        <v>33</v>
      </c>
      <c r="I3740" s="16">
        <v>3.192</v>
      </c>
      <c r="J3740" s="11" t="s">
        <v>222</v>
      </c>
      <c r="K3740" s="11" t="s">
        <v>65</v>
      </c>
      <c r="L3740" s="11" t="s">
        <v>48</v>
      </c>
      <c r="M3740" s="11" t="s">
        <v>28</v>
      </c>
      <c r="N3740" s="11" t="s">
        <v>197</v>
      </c>
      <c r="O3740" s="11" t="s">
        <v>1322</v>
      </c>
      <c r="P3740" s="11" t="s">
        <v>38</v>
      </c>
      <c r="Q3740" s="20">
        <v>40459.0</v>
      </c>
      <c r="R3740" s="17">
        <f t="shared" si="2"/>
        <v>3.975329686</v>
      </c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>
        <f t="shared" si="8"/>
        <v>4</v>
      </c>
      <c r="AF3740" s="19">
        <f t="shared" si="13"/>
        <v>5</v>
      </c>
      <c r="AG3740" s="9"/>
      <c r="AH3740" s="9"/>
      <c r="AI3740" s="9"/>
    </row>
    <row r="3741" ht="15.0" customHeight="1">
      <c r="A3741" s="11">
        <v>3740.0</v>
      </c>
      <c r="B3741" s="12">
        <f t="shared" ref="B3741:B3748" si="596">DATE(2012,12,31)-817</f>
        <v>40457</v>
      </c>
      <c r="C3741" s="13">
        <v>2010.0</v>
      </c>
      <c r="D3741" s="11" t="s">
        <v>32</v>
      </c>
      <c r="E3741" s="11">
        <v>31.0</v>
      </c>
      <c r="F3741" s="21" t="s">
        <v>2310</v>
      </c>
      <c r="G3741" s="15">
        <v>0.03608891313241519</v>
      </c>
      <c r="H3741" s="11" t="s">
        <v>45</v>
      </c>
      <c r="I3741" s="16">
        <v>37.272000000000006</v>
      </c>
      <c r="J3741" s="11" t="s">
        <v>1938</v>
      </c>
      <c r="K3741" s="11" t="s">
        <v>26</v>
      </c>
      <c r="L3741" s="11" t="s">
        <v>27</v>
      </c>
      <c r="M3741" s="11" t="s">
        <v>49</v>
      </c>
      <c r="N3741" s="11" t="s">
        <v>85</v>
      </c>
      <c r="O3741" s="11" t="s">
        <v>2312</v>
      </c>
      <c r="P3741" s="11" t="s">
        <v>87</v>
      </c>
      <c r="Q3741" s="20">
        <v>40459.0</v>
      </c>
      <c r="R3741" s="17">
        <f t="shared" si="2"/>
        <v>51.01788601</v>
      </c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>
        <f t="shared" si="8"/>
        <v>1</v>
      </c>
      <c r="AF3741" s="19">
        <f t="shared" si="13"/>
        <v>1</v>
      </c>
      <c r="AG3741" s="9"/>
      <c r="AH3741" s="9"/>
      <c r="AI3741" s="9"/>
    </row>
    <row r="3742" ht="15.0" customHeight="1">
      <c r="A3742" s="11">
        <v>3741.0</v>
      </c>
      <c r="B3742" s="12">
        <f t="shared" si="596"/>
        <v>40457</v>
      </c>
      <c r="C3742" s="13">
        <v>2010.0</v>
      </c>
      <c r="D3742" s="11" t="s">
        <v>44</v>
      </c>
      <c r="E3742" s="11">
        <v>35.0</v>
      </c>
      <c r="F3742" s="21" t="s">
        <v>527</v>
      </c>
      <c r="G3742" s="15">
        <v>0.04056591171291517</v>
      </c>
      <c r="H3742" s="11" t="s">
        <v>33</v>
      </c>
      <c r="I3742" s="16">
        <v>1.592</v>
      </c>
      <c r="J3742" s="11" t="s">
        <v>541</v>
      </c>
      <c r="K3742" s="11" t="s">
        <v>65</v>
      </c>
      <c r="L3742" s="11" t="s">
        <v>27</v>
      </c>
      <c r="M3742" s="11" t="s">
        <v>66</v>
      </c>
      <c r="N3742" s="11" t="s">
        <v>67</v>
      </c>
      <c r="O3742" s="11" t="s">
        <v>529</v>
      </c>
      <c r="P3742" s="11" t="s">
        <v>99</v>
      </c>
      <c r="Q3742" s="20">
        <v>40459.0</v>
      </c>
      <c r="R3742" s="17">
        <f t="shared" si="2"/>
        <v>64.09787257</v>
      </c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>
        <f t="shared" si="8"/>
        <v>1</v>
      </c>
      <c r="AF3742" s="19">
        <f t="shared" si="13"/>
        <v>5</v>
      </c>
      <c r="AG3742" s="9"/>
      <c r="AH3742" s="9"/>
      <c r="AI3742" s="9"/>
    </row>
    <row r="3743" ht="15.0" customHeight="1">
      <c r="A3743" s="11">
        <v>3742.0</v>
      </c>
      <c r="B3743" s="12">
        <f t="shared" si="596"/>
        <v>40457</v>
      </c>
      <c r="C3743" s="13">
        <v>2010.0</v>
      </c>
      <c r="D3743" s="11" t="s">
        <v>39</v>
      </c>
      <c r="E3743" s="11">
        <v>33.0</v>
      </c>
      <c r="F3743" s="21" t="s">
        <v>1005</v>
      </c>
      <c r="G3743" s="15">
        <v>0.0803238866396762</v>
      </c>
      <c r="H3743" s="11" t="s">
        <v>33</v>
      </c>
      <c r="I3743" s="16">
        <v>1.6079999999999999</v>
      </c>
      <c r="J3743" s="11" t="s">
        <v>719</v>
      </c>
      <c r="K3743" s="11" t="s">
        <v>61</v>
      </c>
      <c r="L3743" s="11" t="s">
        <v>48</v>
      </c>
      <c r="M3743" s="11" t="s">
        <v>28</v>
      </c>
      <c r="N3743" s="11" t="s">
        <v>56</v>
      </c>
      <c r="O3743" s="11" t="s">
        <v>1007</v>
      </c>
      <c r="P3743" s="11" t="s">
        <v>58</v>
      </c>
      <c r="Q3743" s="20">
        <v>40459.0</v>
      </c>
      <c r="R3743" s="17">
        <f t="shared" si="2"/>
        <v>23.72028632</v>
      </c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>
        <f t="shared" si="8"/>
        <v>4</v>
      </c>
      <c r="AF3743" s="19">
        <f t="shared" si="13"/>
        <v>4</v>
      </c>
      <c r="AG3743" s="9"/>
      <c r="AH3743" s="9"/>
      <c r="AI3743" s="9"/>
    </row>
    <row r="3744" ht="15.0" customHeight="1">
      <c r="A3744" s="11">
        <v>3743.0</v>
      </c>
      <c r="B3744" s="12">
        <f t="shared" si="596"/>
        <v>40457</v>
      </c>
      <c r="C3744" s="13">
        <v>2010.0</v>
      </c>
      <c r="D3744" s="11" t="s">
        <v>44</v>
      </c>
      <c r="E3744" s="11">
        <v>42.0</v>
      </c>
      <c r="F3744" s="21" t="s">
        <v>290</v>
      </c>
      <c r="G3744" s="15">
        <v>0.07856850715746419</v>
      </c>
      <c r="H3744" s="11" t="s">
        <v>33</v>
      </c>
      <c r="I3744" s="16">
        <v>3.8320000000000003</v>
      </c>
      <c r="J3744" s="11" t="s">
        <v>546</v>
      </c>
      <c r="K3744" s="11" t="s">
        <v>61</v>
      </c>
      <c r="L3744" s="11" t="s">
        <v>48</v>
      </c>
      <c r="M3744" s="11" t="s">
        <v>28</v>
      </c>
      <c r="N3744" s="11" t="s">
        <v>56</v>
      </c>
      <c r="O3744" s="11" t="s">
        <v>1012</v>
      </c>
      <c r="P3744" s="11" t="s">
        <v>38</v>
      </c>
      <c r="Q3744" s="20">
        <v>40459.0</v>
      </c>
      <c r="R3744" s="17">
        <f t="shared" si="2"/>
        <v>14.16055918</v>
      </c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>
        <f t="shared" si="8"/>
        <v>4</v>
      </c>
      <c r="AF3744" s="19">
        <f t="shared" si="13"/>
        <v>4</v>
      </c>
      <c r="AG3744" s="9"/>
      <c r="AH3744" s="9"/>
      <c r="AI3744" s="9"/>
    </row>
    <row r="3745" ht="15.0" customHeight="1">
      <c r="A3745" s="11">
        <v>3744.0</v>
      </c>
      <c r="B3745" s="12">
        <f t="shared" si="596"/>
        <v>40457</v>
      </c>
      <c r="C3745" s="13">
        <v>2010.0</v>
      </c>
      <c r="D3745" s="11" t="s">
        <v>23</v>
      </c>
      <c r="E3745" s="11">
        <v>30.0</v>
      </c>
      <c r="F3745" s="21" t="s">
        <v>513</v>
      </c>
      <c r="G3745" s="15">
        <v>0.09247376199652034</v>
      </c>
      <c r="H3745" s="11" t="s">
        <v>45</v>
      </c>
      <c r="I3745" s="16">
        <v>24.0</v>
      </c>
      <c r="J3745" s="11" t="s">
        <v>1715</v>
      </c>
      <c r="K3745" s="11" t="s">
        <v>26</v>
      </c>
      <c r="L3745" s="11" t="s">
        <v>41</v>
      </c>
      <c r="M3745" s="11" t="s">
        <v>49</v>
      </c>
      <c r="N3745" s="11" t="s">
        <v>50</v>
      </c>
      <c r="O3745" s="11" t="s">
        <v>515</v>
      </c>
      <c r="P3745" s="11" t="s">
        <v>52</v>
      </c>
      <c r="Q3745" s="20">
        <v>40459.0</v>
      </c>
      <c r="R3745" s="17">
        <f t="shared" si="2"/>
        <v>448.5902194</v>
      </c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>
        <f t="shared" si="8"/>
        <v>3</v>
      </c>
      <c r="AF3745" s="19">
        <f t="shared" si="13"/>
        <v>1</v>
      </c>
      <c r="AG3745" s="9"/>
      <c r="AH3745" s="9"/>
      <c r="AI3745" s="9"/>
    </row>
    <row r="3746" ht="15.0" customHeight="1">
      <c r="A3746" s="11">
        <v>3745.0</v>
      </c>
      <c r="B3746" s="12">
        <f t="shared" si="596"/>
        <v>40457</v>
      </c>
      <c r="C3746" s="13">
        <v>2010.0</v>
      </c>
      <c r="D3746" s="11" t="s">
        <v>23</v>
      </c>
      <c r="E3746" s="11">
        <v>16.0</v>
      </c>
      <c r="F3746" s="21" t="s">
        <v>389</v>
      </c>
      <c r="G3746" s="15">
        <v>0.006370767751404405</v>
      </c>
      <c r="H3746" s="11" t="s">
        <v>45</v>
      </c>
      <c r="I3746" s="16">
        <v>44.912000000000006</v>
      </c>
      <c r="J3746" s="11" t="s">
        <v>1715</v>
      </c>
      <c r="K3746" s="11" t="s">
        <v>26</v>
      </c>
      <c r="L3746" s="11" t="s">
        <v>41</v>
      </c>
      <c r="M3746" s="11" t="s">
        <v>66</v>
      </c>
      <c r="N3746" s="11" t="s">
        <v>69</v>
      </c>
      <c r="O3746" s="11" t="s">
        <v>390</v>
      </c>
      <c r="P3746" s="11" t="s">
        <v>87</v>
      </c>
      <c r="Q3746" s="20">
        <v>40459.0</v>
      </c>
      <c r="R3746" s="17">
        <f t="shared" si="2"/>
        <v>12.50780478</v>
      </c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>
        <f t="shared" si="8"/>
        <v>3</v>
      </c>
      <c r="AF3746" s="19">
        <f t="shared" si="13"/>
        <v>1</v>
      </c>
      <c r="AG3746" s="9"/>
      <c r="AH3746" s="9"/>
      <c r="AI3746" s="9"/>
    </row>
    <row r="3747" ht="15.0" customHeight="1">
      <c r="A3747" s="11">
        <v>3746.0</v>
      </c>
      <c r="B3747" s="12">
        <f t="shared" si="596"/>
        <v>40457</v>
      </c>
      <c r="C3747" s="13">
        <v>2010.0</v>
      </c>
      <c r="D3747" s="11" t="s">
        <v>23</v>
      </c>
      <c r="E3747" s="11">
        <v>34.0</v>
      </c>
      <c r="F3747" s="21" t="s">
        <v>142</v>
      </c>
      <c r="G3747" s="15">
        <v>0.022821576763485587</v>
      </c>
      <c r="H3747" s="11" t="s">
        <v>33</v>
      </c>
      <c r="I3747" s="16">
        <v>4.0</v>
      </c>
      <c r="J3747" s="11" t="s">
        <v>1715</v>
      </c>
      <c r="K3747" s="11" t="s">
        <v>26</v>
      </c>
      <c r="L3747" s="11" t="s">
        <v>41</v>
      </c>
      <c r="M3747" s="11" t="s">
        <v>66</v>
      </c>
      <c r="N3747" s="11" t="s">
        <v>80</v>
      </c>
      <c r="O3747" s="11" t="s">
        <v>540</v>
      </c>
      <c r="P3747" s="11" t="s">
        <v>38</v>
      </c>
      <c r="Q3747" s="20">
        <v>40459.0</v>
      </c>
      <c r="R3747" s="17">
        <f t="shared" si="2"/>
        <v>27.9473029</v>
      </c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>
        <f t="shared" si="8"/>
        <v>3</v>
      </c>
      <c r="AF3747" s="19">
        <f t="shared" si="13"/>
        <v>1</v>
      </c>
      <c r="AG3747" s="9"/>
      <c r="AH3747" s="9"/>
      <c r="AI3747" s="9"/>
    </row>
    <row r="3748" ht="15.0" customHeight="1">
      <c r="A3748" s="11">
        <v>3747.0</v>
      </c>
      <c r="B3748" s="12">
        <f t="shared" si="596"/>
        <v>40457</v>
      </c>
      <c r="C3748" s="13">
        <v>2010.0</v>
      </c>
      <c r="D3748" s="11" t="s">
        <v>44</v>
      </c>
      <c r="E3748" s="11">
        <v>33.0</v>
      </c>
      <c r="F3748" s="21" t="s">
        <v>869</v>
      </c>
      <c r="G3748" s="15">
        <v>0.03499609158946777</v>
      </c>
      <c r="H3748" s="11" t="s">
        <v>33</v>
      </c>
      <c r="I3748" s="16">
        <v>2.232</v>
      </c>
      <c r="J3748" s="11" t="s">
        <v>2449</v>
      </c>
      <c r="K3748" s="11" t="s">
        <v>35</v>
      </c>
      <c r="L3748" s="11" t="s">
        <v>48</v>
      </c>
      <c r="M3748" s="11" t="s">
        <v>66</v>
      </c>
      <c r="N3748" s="11" t="s">
        <v>80</v>
      </c>
      <c r="O3748" s="11" t="s">
        <v>2403</v>
      </c>
      <c r="P3748" s="11" t="s">
        <v>38</v>
      </c>
      <c r="Q3748" s="20">
        <v>40459.0</v>
      </c>
      <c r="R3748" s="17">
        <f t="shared" si="2"/>
        <v>99.28153211</v>
      </c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>
        <f t="shared" si="8"/>
        <v>4</v>
      </c>
      <c r="AF3748" s="19">
        <f t="shared" si="13"/>
        <v>2</v>
      </c>
      <c r="AG3748" s="9"/>
      <c r="AH3748" s="9"/>
      <c r="AI3748" s="9"/>
    </row>
    <row r="3749" ht="15.0" customHeight="1">
      <c r="A3749" s="11">
        <v>3748.0</v>
      </c>
      <c r="B3749" s="12">
        <f t="shared" ref="B3749:B3757" si="597">DATE(2012,12,31)-816</f>
        <v>40458</v>
      </c>
      <c r="C3749" s="13">
        <v>2010.0</v>
      </c>
      <c r="D3749" s="11" t="s">
        <v>32</v>
      </c>
      <c r="E3749" s="11">
        <v>37.0</v>
      </c>
      <c r="F3749" s="21" t="s">
        <v>1362</v>
      </c>
      <c r="G3749" s="15">
        <v>0.0387927272727273</v>
      </c>
      <c r="H3749" s="11" t="s">
        <v>33</v>
      </c>
      <c r="I3749" s="16">
        <v>2.3920000000000003</v>
      </c>
      <c r="J3749" s="11" t="s">
        <v>2241</v>
      </c>
      <c r="K3749" s="11" t="s">
        <v>83</v>
      </c>
      <c r="L3749" s="11" t="s">
        <v>41</v>
      </c>
      <c r="M3749" s="11" t="s">
        <v>28</v>
      </c>
      <c r="N3749" s="11" t="s">
        <v>42</v>
      </c>
      <c r="O3749" s="11" t="s">
        <v>1363</v>
      </c>
      <c r="P3749" s="11" t="s">
        <v>38</v>
      </c>
      <c r="Q3749" s="20">
        <v>40459.0</v>
      </c>
      <c r="R3749" s="17">
        <f t="shared" si="2"/>
        <v>61.52495511</v>
      </c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>
        <f t="shared" si="8"/>
        <v>3</v>
      </c>
      <c r="AF3749" s="19" t="b">
        <f t="shared" si="13"/>
        <v>0</v>
      </c>
      <c r="AG3749" s="9"/>
      <c r="AH3749" s="9"/>
      <c r="AI3749" s="9"/>
    </row>
    <row r="3750" ht="15.0" customHeight="1">
      <c r="A3750" s="11">
        <v>3749.0</v>
      </c>
      <c r="B3750" s="12">
        <f t="shared" si="597"/>
        <v>40458</v>
      </c>
      <c r="C3750" s="13">
        <v>2010.0</v>
      </c>
      <c r="D3750" s="11" t="s">
        <v>32</v>
      </c>
      <c r="E3750" s="11">
        <v>30.0</v>
      </c>
      <c r="F3750" s="21" t="s">
        <v>1136</v>
      </c>
      <c r="G3750" s="15">
        <v>0.061778800595641094</v>
      </c>
      <c r="H3750" s="11" t="s">
        <v>33</v>
      </c>
      <c r="I3750" s="16">
        <v>6.064</v>
      </c>
      <c r="J3750" s="11" t="s">
        <v>2241</v>
      </c>
      <c r="K3750" s="11" t="s">
        <v>83</v>
      </c>
      <c r="L3750" s="11" t="s">
        <v>41</v>
      </c>
      <c r="M3750" s="11" t="s">
        <v>49</v>
      </c>
      <c r="N3750" s="11" t="s">
        <v>73</v>
      </c>
      <c r="O3750" s="11" t="s">
        <v>2284</v>
      </c>
      <c r="P3750" s="11" t="s">
        <v>38</v>
      </c>
      <c r="Q3750" s="20">
        <v>40460.0</v>
      </c>
      <c r="R3750" s="17">
        <f t="shared" si="2"/>
        <v>42.81666266</v>
      </c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>
        <f t="shared" si="8"/>
        <v>3</v>
      </c>
      <c r="AF3750" s="19" t="b">
        <f t="shared" si="13"/>
        <v>0</v>
      </c>
      <c r="AG3750" s="9"/>
      <c r="AH3750" s="9"/>
      <c r="AI3750" s="9"/>
    </row>
    <row r="3751" ht="15.0" customHeight="1">
      <c r="A3751" s="11">
        <v>3750.0</v>
      </c>
      <c r="B3751" s="12">
        <f t="shared" si="597"/>
        <v>40458</v>
      </c>
      <c r="C3751" s="13">
        <v>2010.0</v>
      </c>
      <c r="D3751" s="11" t="s">
        <v>23</v>
      </c>
      <c r="E3751" s="11">
        <v>24.0</v>
      </c>
      <c r="F3751" s="21" t="s">
        <v>128</v>
      </c>
      <c r="G3751" s="15">
        <v>0.07496406837711367</v>
      </c>
      <c r="H3751" s="11" t="s">
        <v>33</v>
      </c>
      <c r="I3751" s="16">
        <v>3.3600000000000003</v>
      </c>
      <c r="J3751" s="11" t="s">
        <v>180</v>
      </c>
      <c r="K3751" s="11" t="s">
        <v>35</v>
      </c>
      <c r="L3751" s="11" t="s">
        <v>36</v>
      </c>
      <c r="M3751" s="11" t="s">
        <v>66</v>
      </c>
      <c r="N3751" s="11" t="s">
        <v>80</v>
      </c>
      <c r="O3751" s="11" t="s">
        <v>774</v>
      </c>
      <c r="P3751" s="11" t="s">
        <v>38</v>
      </c>
      <c r="Q3751" s="20">
        <v>40460.0</v>
      </c>
      <c r="R3751" s="17">
        <f t="shared" si="2"/>
        <v>226.7633083</v>
      </c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>
        <f t="shared" si="8"/>
        <v>2</v>
      </c>
      <c r="AF3751" s="19">
        <f t="shared" si="13"/>
        <v>2</v>
      </c>
      <c r="AG3751" s="9"/>
      <c r="AH3751" s="9"/>
      <c r="AI3751" s="9"/>
    </row>
    <row r="3752" ht="15.0" customHeight="1">
      <c r="A3752" s="11">
        <v>3751.0</v>
      </c>
      <c r="B3752" s="12">
        <f t="shared" si="597"/>
        <v>40458</v>
      </c>
      <c r="C3752" s="13">
        <v>2010.0</v>
      </c>
      <c r="D3752" s="11" t="s">
        <v>32</v>
      </c>
      <c r="E3752" s="11">
        <v>35.0</v>
      </c>
      <c r="F3752" s="21" t="s">
        <v>2450</v>
      </c>
      <c r="G3752" s="15">
        <v>0.07648859484546265</v>
      </c>
      <c r="H3752" s="11" t="s">
        <v>33</v>
      </c>
      <c r="I3752" s="16">
        <v>4.24</v>
      </c>
      <c r="J3752" s="11" t="s">
        <v>510</v>
      </c>
      <c r="K3752" s="11" t="s">
        <v>35</v>
      </c>
      <c r="L3752" s="11" t="s">
        <v>27</v>
      </c>
      <c r="M3752" s="11" t="s">
        <v>49</v>
      </c>
      <c r="N3752" s="11" t="s">
        <v>50</v>
      </c>
      <c r="O3752" s="11" t="s">
        <v>2451</v>
      </c>
      <c r="P3752" s="11" t="s">
        <v>75</v>
      </c>
      <c r="Q3752" s="20">
        <v>40460.0</v>
      </c>
      <c r="R3752" s="17">
        <f t="shared" si="2"/>
        <v>71.53519344</v>
      </c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>
        <f t="shared" si="8"/>
        <v>1</v>
      </c>
      <c r="AF3752" s="19">
        <f t="shared" si="13"/>
        <v>2</v>
      </c>
      <c r="AG3752" s="9"/>
      <c r="AH3752" s="9"/>
      <c r="AI3752" s="9"/>
    </row>
    <row r="3753" ht="15.0" customHeight="1">
      <c r="A3753" s="11">
        <v>3752.0</v>
      </c>
      <c r="B3753" s="12">
        <f t="shared" si="597"/>
        <v>40458</v>
      </c>
      <c r="C3753" s="13">
        <v>2010.0</v>
      </c>
      <c r="D3753" s="11" t="s">
        <v>32</v>
      </c>
      <c r="E3753" s="11">
        <v>27.0</v>
      </c>
      <c r="F3753" s="21" t="s">
        <v>2327</v>
      </c>
      <c r="G3753" s="15">
        <v>0.08265476854433922</v>
      </c>
      <c r="H3753" s="11" t="s">
        <v>33</v>
      </c>
      <c r="I3753" s="16">
        <v>4.960000000000001</v>
      </c>
      <c r="J3753" s="11" t="s">
        <v>510</v>
      </c>
      <c r="K3753" s="11" t="s">
        <v>35</v>
      </c>
      <c r="L3753" s="11" t="s">
        <v>27</v>
      </c>
      <c r="M3753" s="11" t="s">
        <v>49</v>
      </c>
      <c r="N3753" s="11" t="s">
        <v>73</v>
      </c>
      <c r="O3753" s="11" t="s">
        <v>2328</v>
      </c>
      <c r="P3753" s="11" t="s">
        <v>58</v>
      </c>
      <c r="Q3753" s="20">
        <v>40460.0</v>
      </c>
      <c r="R3753" s="17">
        <f t="shared" si="2"/>
        <v>27.19011266</v>
      </c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>
        <f t="shared" si="8"/>
        <v>1</v>
      </c>
      <c r="AF3753" s="19">
        <f t="shared" si="13"/>
        <v>2</v>
      </c>
      <c r="AG3753" s="9"/>
      <c r="AH3753" s="9"/>
      <c r="AI3753" s="9"/>
    </row>
    <row r="3754" ht="15.0" customHeight="1">
      <c r="A3754" s="11">
        <v>3753.0</v>
      </c>
      <c r="B3754" s="12">
        <f t="shared" si="597"/>
        <v>40458</v>
      </c>
      <c r="C3754" s="13">
        <v>2010.0</v>
      </c>
      <c r="D3754" s="11" t="s">
        <v>32</v>
      </c>
      <c r="E3754" s="11">
        <v>31.0</v>
      </c>
      <c r="F3754" s="21" t="s">
        <v>96</v>
      </c>
      <c r="G3754" s="15">
        <v>0.08554484188698812</v>
      </c>
      <c r="H3754" s="11" t="s">
        <v>24</v>
      </c>
      <c r="I3754" s="16">
        <v>1.592</v>
      </c>
      <c r="J3754" s="11" t="s">
        <v>510</v>
      </c>
      <c r="K3754" s="11" t="s">
        <v>35</v>
      </c>
      <c r="L3754" s="11" t="s">
        <v>27</v>
      </c>
      <c r="M3754" s="11" t="s">
        <v>66</v>
      </c>
      <c r="N3754" s="11" t="s">
        <v>67</v>
      </c>
      <c r="O3754" s="11" t="s">
        <v>98</v>
      </c>
      <c r="P3754" s="11" t="s">
        <v>99</v>
      </c>
      <c r="Q3754" s="20">
        <v>40460.0</v>
      </c>
      <c r="R3754" s="17">
        <f t="shared" si="2"/>
        <v>75.44986619</v>
      </c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>
        <f t="shared" si="8"/>
        <v>1</v>
      </c>
      <c r="AF3754" s="19">
        <f t="shared" si="13"/>
        <v>2</v>
      </c>
      <c r="AG3754" s="9"/>
      <c r="AH3754" s="9"/>
      <c r="AI3754" s="9"/>
    </row>
    <row r="3755" ht="15.0" customHeight="1">
      <c r="A3755" s="11">
        <v>3754.0</v>
      </c>
      <c r="B3755" s="12">
        <f t="shared" si="597"/>
        <v>40458</v>
      </c>
      <c r="C3755" s="13">
        <v>2010.0</v>
      </c>
      <c r="D3755" s="11" t="s">
        <v>39</v>
      </c>
      <c r="E3755" s="11">
        <v>49.0</v>
      </c>
      <c r="F3755" s="21" t="s">
        <v>702</v>
      </c>
      <c r="G3755" s="15">
        <v>0.04947169811320754</v>
      </c>
      <c r="H3755" s="11" t="s">
        <v>33</v>
      </c>
      <c r="I3755" s="16">
        <v>5.5120000000000005</v>
      </c>
      <c r="J3755" s="11" t="s">
        <v>1674</v>
      </c>
      <c r="K3755" s="11" t="s">
        <v>117</v>
      </c>
      <c r="L3755" s="11" t="s">
        <v>27</v>
      </c>
      <c r="M3755" s="11" t="s">
        <v>28</v>
      </c>
      <c r="N3755" s="11" t="s">
        <v>197</v>
      </c>
      <c r="O3755" s="11" t="s">
        <v>704</v>
      </c>
      <c r="P3755" s="11" t="s">
        <v>38</v>
      </c>
      <c r="Q3755" s="20">
        <v>40460.0</v>
      </c>
      <c r="R3755" s="17">
        <f t="shared" si="2"/>
        <v>9.96914083</v>
      </c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>
        <f t="shared" si="8"/>
        <v>1</v>
      </c>
      <c r="AF3755" s="19" t="b">
        <f t="shared" si="13"/>
        <v>0</v>
      </c>
      <c r="AG3755" s="9"/>
      <c r="AH3755" s="9"/>
      <c r="AI3755" s="9"/>
    </row>
    <row r="3756" ht="15.0" customHeight="1">
      <c r="A3756" s="11">
        <v>3755.0</v>
      </c>
      <c r="B3756" s="12">
        <f t="shared" si="597"/>
        <v>40458</v>
      </c>
      <c r="C3756" s="13">
        <v>2010.0</v>
      </c>
      <c r="D3756" s="11" t="s">
        <v>39</v>
      </c>
      <c r="E3756" s="11">
        <v>18.0</v>
      </c>
      <c r="F3756" s="21" t="s">
        <v>838</v>
      </c>
      <c r="G3756" s="15">
        <v>0.03212121212121216</v>
      </c>
      <c r="H3756" s="11" t="s">
        <v>33</v>
      </c>
      <c r="I3756" s="16">
        <v>15.991999999999999</v>
      </c>
      <c r="J3756" s="11" t="s">
        <v>1674</v>
      </c>
      <c r="K3756" s="11" t="s">
        <v>117</v>
      </c>
      <c r="L3756" s="11" t="s">
        <v>27</v>
      </c>
      <c r="M3756" s="11" t="s">
        <v>66</v>
      </c>
      <c r="N3756" s="11" t="s">
        <v>69</v>
      </c>
      <c r="O3756" s="11" t="s">
        <v>840</v>
      </c>
      <c r="P3756" s="11" t="s">
        <v>38</v>
      </c>
      <c r="Q3756" s="20">
        <v>40460.0</v>
      </c>
      <c r="R3756" s="17">
        <f t="shared" si="2"/>
        <v>58.27404606</v>
      </c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>
        <f t="shared" si="8"/>
        <v>1</v>
      </c>
      <c r="AF3756" s="19" t="b">
        <f t="shared" si="13"/>
        <v>0</v>
      </c>
      <c r="AG3756" s="9"/>
      <c r="AH3756" s="9"/>
      <c r="AI3756" s="9"/>
    </row>
    <row r="3757" ht="15.0" customHeight="1">
      <c r="A3757" s="11">
        <v>3756.0</v>
      </c>
      <c r="B3757" s="12">
        <f t="shared" si="597"/>
        <v>40458</v>
      </c>
      <c r="C3757" s="13">
        <v>2010.0</v>
      </c>
      <c r="D3757" s="11" t="s">
        <v>39</v>
      </c>
      <c r="E3757" s="11">
        <v>27.0</v>
      </c>
      <c r="F3757" s="21" t="s">
        <v>245</v>
      </c>
      <c r="G3757" s="15">
        <v>0.020830235439900834</v>
      </c>
      <c r="H3757" s="11" t="s">
        <v>33</v>
      </c>
      <c r="I3757" s="16">
        <v>5.5760000000000005</v>
      </c>
      <c r="J3757" s="11" t="s">
        <v>1674</v>
      </c>
      <c r="K3757" s="11" t="s">
        <v>117</v>
      </c>
      <c r="L3757" s="11" t="s">
        <v>27</v>
      </c>
      <c r="M3757" s="11" t="s">
        <v>28</v>
      </c>
      <c r="N3757" s="11" t="s">
        <v>236</v>
      </c>
      <c r="O3757" s="11" t="s">
        <v>376</v>
      </c>
      <c r="P3757" s="11" t="s">
        <v>38</v>
      </c>
      <c r="Q3757" s="20">
        <v>40460.0</v>
      </c>
      <c r="R3757" s="17">
        <f t="shared" si="2"/>
        <v>6.583937497</v>
      </c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>
        <f t="shared" si="8"/>
        <v>1</v>
      </c>
      <c r="AF3757" s="19" t="b">
        <f t="shared" si="13"/>
        <v>0</v>
      </c>
      <c r="AG3757" s="9"/>
      <c r="AH3757" s="9"/>
      <c r="AI3757" s="9"/>
    </row>
    <row r="3758" ht="15.0" customHeight="1">
      <c r="A3758" s="11">
        <v>3757.0</v>
      </c>
      <c r="B3758" s="12">
        <f t="shared" ref="B3758:B3762" si="598">DATE(2012,12,31)-815</f>
        <v>40459</v>
      </c>
      <c r="C3758" s="13">
        <v>2010.0</v>
      </c>
      <c r="D3758" s="11" t="s">
        <v>23</v>
      </c>
      <c r="E3758" s="11">
        <v>8.0</v>
      </c>
      <c r="F3758" s="21" t="s">
        <v>1548</v>
      </c>
      <c r="G3758" s="15">
        <v>0.026334716459197736</v>
      </c>
      <c r="H3758" s="11" t="s">
        <v>33</v>
      </c>
      <c r="I3758" s="16">
        <v>1.592</v>
      </c>
      <c r="J3758" s="11" t="s">
        <v>703</v>
      </c>
      <c r="K3758" s="11" t="s">
        <v>35</v>
      </c>
      <c r="L3758" s="11" t="s">
        <v>41</v>
      </c>
      <c r="M3758" s="11" t="s">
        <v>66</v>
      </c>
      <c r="N3758" s="11" t="s">
        <v>67</v>
      </c>
      <c r="O3758" s="11" t="s">
        <v>1549</v>
      </c>
      <c r="P3758" s="11" t="s">
        <v>99</v>
      </c>
      <c r="Q3758" s="20">
        <v>40461.0</v>
      </c>
      <c r="R3758" s="17">
        <f t="shared" si="2"/>
        <v>3.7077174</v>
      </c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>
        <f t="shared" si="8"/>
        <v>3</v>
      </c>
      <c r="AF3758" s="19">
        <f t="shared" si="13"/>
        <v>2</v>
      </c>
      <c r="AG3758" s="9"/>
      <c r="AH3758" s="9"/>
      <c r="AI3758" s="9"/>
    </row>
    <row r="3759" ht="15.0" customHeight="1">
      <c r="A3759" s="11">
        <v>3758.0</v>
      </c>
      <c r="B3759" s="12">
        <f t="shared" si="598"/>
        <v>40459</v>
      </c>
      <c r="C3759" s="13">
        <v>2010.0</v>
      </c>
      <c r="D3759" s="11" t="s">
        <v>23</v>
      </c>
      <c r="E3759" s="11">
        <v>31.0</v>
      </c>
      <c r="F3759" s="21" t="s">
        <v>356</v>
      </c>
      <c r="G3759" s="15">
        <v>0.005475819032761297</v>
      </c>
      <c r="H3759" s="11" t="s">
        <v>33</v>
      </c>
      <c r="I3759" s="16">
        <v>1.592</v>
      </c>
      <c r="J3759" s="11" t="s">
        <v>1108</v>
      </c>
      <c r="K3759" s="11" t="s">
        <v>47</v>
      </c>
      <c r="L3759" s="11" t="s">
        <v>27</v>
      </c>
      <c r="M3759" s="11" t="s">
        <v>66</v>
      </c>
      <c r="N3759" s="11" t="s">
        <v>67</v>
      </c>
      <c r="O3759" s="11" t="s">
        <v>358</v>
      </c>
      <c r="P3759" s="11" t="s">
        <v>99</v>
      </c>
      <c r="Q3759" s="20">
        <v>40461.0</v>
      </c>
      <c r="R3759" s="17">
        <f t="shared" si="2"/>
        <v>2.7926239</v>
      </c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>
        <f t="shared" si="8"/>
        <v>1</v>
      </c>
      <c r="AF3759" s="19">
        <f t="shared" si="13"/>
        <v>3</v>
      </c>
      <c r="AG3759" s="9"/>
      <c r="AH3759" s="9"/>
      <c r="AI3759" s="9"/>
    </row>
    <row r="3760" ht="15.0" customHeight="1">
      <c r="A3760" s="11">
        <v>3759.0</v>
      </c>
      <c r="B3760" s="12">
        <f t="shared" si="598"/>
        <v>40459</v>
      </c>
      <c r="C3760" s="13">
        <v>2010.0</v>
      </c>
      <c r="D3760" s="11" t="s">
        <v>44</v>
      </c>
      <c r="E3760" s="11">
        <v>8.0</v>
      </c>
      <c r="F3760" s="21" t="s">
        <v>1479</v>
      </c>
      <c r="G3760" s="15">
        <v>0.09819639278557112</v>
      </c>
      <c r="H3760" s="11" t="s">
        <v>33</v>
      </c>
      <c r="I3760" s="16">
        <v>3.6</v>
      </c>
      <c r="J3760" s="11" t="s">
        <v>2452</v>
      </c>
      <c r="K3760" s="11" t="s">
        <v>65</v>
      </c>
      <c r="L3760" s="11" t="s">
        <v>41</v>
      </c>
      <c r="M3760" s="11" t="s">
        <v>28</v>
      </c>
      <c r="N3760" s="11" t="s">
        <v>197</v>
      </c>
      <c r="O3760" s="11" t="s">
        <v>1480</v>
      </c>
      <c r="P3760" s="11" t="s">
        <v>38</v>
      </c>
      <c r="Q3760" s="20">
        <v>40461.0</v>
      </c>
      <c r="R3760" s="17">
        <f t="shared" si="2"/>
        <v>8.837675351</v>
      </c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>
        <f t="shared" si="8"/>
        <v>3</v>
      </c>
      <c r="AF3760" s="19">
        <f t="shared" si="13"/>
        <v>5</v>
      </c>
      <c r="AG3760" s="9"/>
      <c r="AH3760" s="9"/>
      <c r="AI3760" s="9"/>
    </row>
    <row r="3761" ht="15.0" customHeight="1">
      <c r="A3761" s="11">
        <v>3760.0</v>
      </c>
      <c r="B3761" s="12">
        <f t="shared" si="598"/>
        <v>40459</v>
      </c>
      <c r="C3761" s="13">
        <v>2010.0</v>
      </c>
      <c r="D3761" s="11" t="s">
        <v>23</v>
      </c>
      <c r="E3761" s="11">
        <v>25.0</v>
      </c>
      <c r="F3761" s="21" t="s">
        <v>1151</v>
      </c>
      <c r="G3761" s="15">
        <v>0.05203008768648974</v>
      </c>
      <c r="H3761" s="11" t="s">
        <v>45</v>
      </c>
      <c r="I3761" s="16">
        <v>33.6</v>
      </c>
      <c r="J3761" s="11" t="s">
        <v>626</v>
      </c>
      <c r="K3761" s="11" t="s">
        <v>61</v>
      </c>
      <c r="L3761" s="11" t="s">
        <v>27</v>
      </c>
      <c r="M3761" s="11" t="s">
        <v>49</v>
      </c>
      <c r="N3761" s="11" t="s">
        <v>50</v>
      </c>
      <c r="O3761" s="11" t="s">
        <v>1153</v>
      </c>
      <c r="P3761" s="11" t="s">
        <v>52</v>
      </c>
      <c r="Q3761" s="20">
        <v>40461.0</v>
      </c>
      <c r="R3761" s="17">
        <f t="shared" si="2"/>
        <v>118.685833</v>
      </c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>
        <f t="shared" si="8"/>
        <v>1</v>
      </c>
      <c r="AF3761" s="19">
        <f t="shared" si="13"/>
        <v>4</v>
      </c>
      <c r="AG3761" s="9"/>
      <c r="AH3761" s="9"/>
      <c r="AI3761" s="9"/>
    </row>
    <row r="3762" ht="15.0" customHeight="1">
      <c r="A3762" s="11">
        <v>3761.0</v>
      </c>
      <c r="B3762" s="12">
        <f t="shared" si="598"/>
        <v>40459</v>
      </c>
      <c r="C3762" s="13">
        <v>2010.0</v>
      </c>
      <c r="D3762" s="11" t="s">
        <v>23</v>
      </c>
      <c r="E3762" s="11">
        <v>6.0</v>
      </c>
      <c r="F3762" s="21" t="s">
        <v>1156</v>
      </c>
      <c r="G3762" s="15">
        <v>0.021846505348426453</v>
      </c>
      <c r="H3762" s="11" t="s">
        <v>33</v>
      </c>
      <c r="I3762" s="16">
        <v>6.464</v>
      </c>
      <c r="J3762" s="11" t="s">
        <v>1629</v>
      </c>
      <c r="K3762" s="11" t="s">
        <v>65</v>
      </c>
      <c r="L3762" s="11" t="s">
        <v>41</v>
      </c>
      <c r="M3762" s="11" t="s">
        <v>66</v>
      </c>
      <c r="N3762" s="11" t="s">
        <v>80</v>
      </c>
      <c r="O3762" s="11" t="s">
        <v>1794</v>
      </c>
      <c r="P3762" s="11" t="s">
        <v>38</v>
      </c>
      <c r="Q3762" s="20">
        <v>40461.0</v>
      </c>
      <c r="R3762" s="17">
        <f t="shared" si="2"/>
        <v>20.57643691</v>
      </c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>
        <f t="shared" si="8"/>
        <v>3</v>
      </c>
      <c r="AF3762" s="19">
        <f t="shared" si="13"/>
        <v>5</v>
      </c>
      <c r="AG3762" s="9"/>
      <c r="AH3762" s="9"/>
      <c r="AI3762" s="9"/>
    </row>
    <row r="3763" ht="15.0" customHeight="1">
      <c r="A3763" s="11">
        <v>3762.0</v>
      </c>
      <c r="B3763" s="12">
        <f t="shared" ref="B3763:B3777" si="599">DATE(2012,12,31)-814</f>
        <v>40460</v>
      </c>
      <c r="C3763" s="13">
        <v>2010.0</v>
      </c>
      <c r="D3763" s="11" t="s">
        <v>44</v>
      </c>
      <c r="E3763" s="11">
        <v>39.0</v>
      </c>
      <c r="F3763" s="21" t="s">
        <v>259</v>
      </c>
      <c r="G3763" s="15">
        <v>0.034252275682704635</v>
      </c>
      <c r="H3763" s="11" t="s">
        <v>33</v>
      </c>
      <c r="I3763" s="16">
        <v>4.896000000000001</v>
      </c>
      <c r="J3763" s="11" t="s">
        <v>800</v>
      </c>
      <c r="K3763" s="11" t="s">
        <v>61</v>
      </c>
      <c r="L3763" s="11" t="s">
        <v>41</v>
      </c>
      <c r="M3763" s="11" t="s">
        <v>28</v>
      </c>
      <c r="N3763" s="11" t="s">
        <v>197</v>
      </c>
      <c r="O3763" s="11" t="s">
        <v>1029</v>
      </c>
      <c r="P3763" s="11" t="s">
        <v>75</v>
      </c>
      <c r="Q3763" s="20">
        <v>40461.0</v>
      </c>
      <c r="R3763" s="17">
        <f t="shared" si="2"/>
        <v>15.26267704</v>
      </c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>
        <f t="shared" si="8"/>
        <v>3</v>
      </c>
      <c r="AF3763" s="19">
        <f t="shared" si="13"/>
        <v>4</v>
      </c>
      <c r="AG3763" s="9"/>
      <c r="AH3763" s="9"/>
      <c r="AI3763" s="9"/>
    </row>
    <row r="3764" ht="15.0" customHeight="1">
      <c r="A3764" s="11">
        <v>3763.0</v>
      </c>
      <c r="B3764" s="12">
        <f t="shared" si="599"/>
        <v>40460</v>
      </c>
      <c r="C3764" s="13">
        <v>2010.0</v>
      </c>
      <c r="D3764" s="11" t="s">
        <v>44</v>
      </c>
      <c r="E3764" s="11">
        <v>50.0</v>
      </c>
      <c r="F3764" s="21" t="s">
        <v>1904</v>
      </c>
      <c r="G3764" s="15">
        <v>0.07491517424023895</v>
      </c>
      <c r="H3764" s="11" t="s">
        <v>33</v>
      </c>
      <c r="I3764" s="16">
        <v>15.991999999999999</v>
      </c>
      <c r="J3764" s="11" t="s">
        <v>800</v>
      </c>
      <c r="K3764" s="11" t="s">
        <v>65</v>
      </c>
      <c r="L3764" s="11" t="s">
        <v>41</v>
      </c>
      <c r="M3764" s="11" t="s">
        <v>28</v>
      </c>
      <c r="N3764" s="11" t="s">
        <v>29</v>
      </c>
      <c r="O3764" s="11" t="s">
        <v>1905</v>
      </c>
      <c r="P3764" s="11" t="s">
        <v>38</v>
      </c>
      <c r="Q3764" s="20">
        <v>40462.0</v>
      </c>
      <c r="R3764" s="17">
        <f t="shared" si="2"/>
        <v>528.6008701</v>
      </c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>
        <f t="shared" si="8"/>
        <v>3</v>
      </c>
      <c r="AF3764" s="19">
        <f t="shared" si="13"/>
        <v>5</v>
      </c>
      <c r="AG3764" s="9"/>
      <c r="AH3764" s="9"/>
      <c r="AI3764" s="9"/>
    </row>
    <row r="3765" ht="15.0" customHeight="1">
      <c r="A3765" s="11">
        <v>3764.0</v>
      </c>
      <c r="B3765" s="12">
        <f t="shared" si="599"/>
        <v>40460</v>
      </c>
      <c r="C3765" s="13">
        <v>2010.0</v>
      </c>
      <c r="D3765" s="11" t="s">
        <v>32</v>
      </c>
      <c r="E3765" s="11">
        <v>22.0</v>
      </c>
      <c r="F3765" s="21" t="s">
        <v>290</v>
      </c>
      <c r="G3765" s="15">
        <v>0.057231968810916044</v>
      </c>
      <c r="H3765" s="11" t="s">
        <v>33</v>
      </c>
      <c r="I3765" s="16">
        <v>4.328</v>
      </c>
      <c r="J3765" s="11" t="s">
        <v>2236</v>
      </c>
      <c r="K3765" s="11" t="s">
        <v>35</v>
      </c>
      <c r="L3765" s="11" t="s">
        <v>27</v>
      </c>
      <c r="M3765" s="11" t="s">
        <v>28</v>
      </c>
      <c r="N3765" s="11" t="s">
        <v>42</v>
      </c>
      <c r="O3765" s="11" t="s">
        <v>1475</v>
      </c>
      <c r="P3765" s="11" t="s">
        <v>38</v>
      </c>
      <c r="Q3765" s="20">
        <v>40462.0</v>
      </c>
      <c r="R3765" s="17">
        <f t="shared" si="2"/>
        <v>5.535933879</v>
      </c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>
        <f t="shared" si="8"/>
        <v>1</v>
      </c>
      <c r="AF3765" s="19">
        <f t="shared" si="13"/>
        <v>2</v>
      </c>
      <c r="AG3765" s="9"/>
      <c r="AH3765" s="9"/>
      <c r="AI3765" s="9"/>
    </row>
    <row r="3766" ht="15.0" customHeight="1">
      <c r="A3766" s="11">
        <v>3765.0</v>
      </c>
      <c r="B3766" s="12">
        <f t="shared" si="599"/>
        <v>40460</v>
      </c>
      <c r="C3766" s="13">
        <v>2010.0</v>
      </c>
      <c r="D3766" s="11" t="s">
        <v>23</v>
      </c>
      <c r="E3766" s="11">
        <v>1.0</v>
      </c>
      <c r="F3766" s="21" t="s">
        <v>1437</v>
      </c>
      <c r="G3766" s="15">
        <v>0.08506179473401404</v>
      </c>
      <c r="H3766" s="11" t="s">
        <v>45</v>
      </c>
      <c r="I3766" s="16">
        <v>55.64</v>
      </c>
      <c r="J3766" s="11" t="s">
        <v>2016</v>
      </c>
      <c r="K3766" s="11" t="s">
        <v>35</v>
      </c>
      <c r="L3766" s="11" t="s">
        <v>36</v>
      </c>
      <c r="M3766" s="11" t="s">
        <v>49</v>
      </c>
      <c r="N3766" s="11" t="s">
        <v>50</v>
      </c>
      <c r="O3766" s="11" t="s">
        <v>1438</v>
      </c>
      <c r="P3766" s="11" t="s">
        <v>52</v>
      </c>
      <c r="Q3766" s="20">
        <v>40462.0</v>
      </c>
      <c r="R3766" s="17">
        <f t="shared" si="2"/>
        <v>28.96694358</v>
      </c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>
        <f t="shared" si="8"/>
        <v>2</v>
      </c>
      <c r="AF3766" s="19">
        <f t="shared" si="13"/>
        <v>2</v>
      </c>
      <c r="AG3766" s="9"/>
      <c r="AH3766" s="9"/>
      <c r="AI3766" s="9"/>
    </row>
    <row r="3767" ht="15.0" customHeight="1">
      <c r="A3767" s="11">
        <v>3766.0</v>
      </c>
      <c r="B3767" s="12">
        <f t="shared" si="599"/>
        <v>40460</v>
      </c>
      <c r="C3767" s="13">
        <v>2010.0</v>
      </c>
      <c r="D3767" s="11" t="s">
        <v>23</v>
      </c>
      <c r="E3767" s="11">
        <v>31.0</v>
      </c>
      <c r="F3767" s="21" t="s">
        <v>270</v>
      </c>
      <c r="G3767" s="15">
        <v>0.0225898617511521</v>
      </c>
      <c r="H3767" s="11" t="s">
        <v>33</v>
      </c>
      <c r="I3767" s="16">
        <v>4.688000000000001</v>
      </c>
      <c r="J3767" s="11" t="s">
        <v>2016</v>
      </c>
      <c r="K3767" s="11" t="s">
        <v>35</v>
      </c>
      <c r="L3767" s="11" t="s">
        <v>36</v>
      </c>
      <c r="M3767" s="11" t="s">
        <v>28</v>
      </c>
      <c r="N3767" s="11" t="s">
        <v>56</v>
      </c>
      <c r="O3767" s="11" t="s">
        <v>2366</v>
      </c>
      <c r="P3767" s="11" t="s">
        <v>38</v>
      </c>
      <c r="Q3767" s="20">
        <v>40462.0</v>
      </c>
      <c r="R3767" s="17">
        <f t="shared" si="2"/>
        <v>28.74758699</v>
      </c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>
        <f t="shared" si="8"/>
        <v>2</v>
      </c>
      <c r="AF3767" s="19">
        <f t="shared" si="13"/>
        <v>2</v>
      </c>
      <c r="AG3767" s="9"/>
      <c r="AH3767" s="9"/>
      <c r="AI3767" s="9"/>
    </row>
    <row r="3768" ht="15.0" customHeight="1">
      <c r="A3768" s="11">
        <v>3767.0</v>
      </c>
      <c r="B3768" s="12">
        <f t="shared" si="599"/>
        <v>40460</v>
      </c>
      <c r="C3768" s="13">
        <v>2010.0</v>
      </c>
      <c r="D3768" s="11" t="s">
        <v>23</v>
      </c>
      <c r="E3768" s="11">
        <v>40.0</v>
      </c>
      <c r="F3768" s="21" t="s">
        <v>583</v>
      </c>
      <c r="G3768" s="15">
        <v>0.025149218697605797</v>
      </c>
      <c r="H3768" s="11" t="s">
        <v>33</v>
      </c>
      <c r="I3768" s="16">
        <v>55.2</v>
      </c>
      <c r="J3768" s="11" t="s">
        <v>2016</v>
      </c>
      <c r="K3768" s="11" t="s">
        <v>35</v>
      </c>
      <c r="L3768" s="11" t="s">
        <v>36</v>
      </c>
      <c r="M3768" s="11" t="s">
        <v>49</v>
      </c>
      <c r="N3768" s="11" t="s">
        <v>85</v>
      </c>
      <c r="O3768" s="11" t="s">
        <v>585</v>
      </c>
      <c r="P3768" s="11" t="s">
        <v>31</v>
      </c>
      <c r="Q3768" s="20">
        <v>40462.0</v>
      </c>
      <c r="R3768" s="17">
        <f t="shared" si="2"/>
        <v>73.1138086</v>
      </c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>
        <f t="shared" si="8"/>
        <v>2</v>
      </c>
      <c r="AF3768" s="19">
        <f t="shared" si="13"/>
        <v>2</v>
      </c>
      <c r="AG3768" s="9"/>
      <c r="AH3768" s="9"/>
      <c r="AI3768" s="9"/>
    </row>
    <row r="3769" ht="15.0" customHeight="1">
      <c r="A3769" s="11">
        <v>3768.0</v>
      </c>
      <c r="B3769" s="12">
        <f t="shared" si="599"/>
        <v>40460</v>
      </c>
      <c r="C3769" s="13">
        <v>2010.0</v>
      </c>
      <c r="D3769" s="11" t="s">
        <v>44</v>
      </c>
      <c r="E3769" s="11">
        <v>9.0</v>
      </c>
      <c r="F3769" s="21" t="s">
        <v>565</v>
      </c>
      <c r="G3769" s="15">
        <v>0.0318853731343283</v>
      </c>
      <c r="H3769" s="11" t="s">
        <v>33</v>
      </c>
      <c r="I3769" s="16">
        <v>15.991999999999999</v>
      </c>
      <c r="J3769" s="11" t="s">
        <v>1527</v>
      </c>
      <c r="K3769" s="11" t="s">
        <v>47</v>
      </c>
      <c r="L3769" s="11" t="s">
        <v>27</v>
      </c>
      <c r="M3769" s="11" t="s">
        <v>28</v>
      </c>
      <c r="N3769" s="11" t="s">
        <v>29</v>
      </c>
      <c r="O3769" s="11" t="s">
        <v>566</v>
      </c>
      <c r="P3769" s="11" t="s">
        <v>38</v>
      </c>
      <c r="Q3769" s="20">
        <v>40462.0</v>
      </c>
      <c r="R3769" s="17">
        <f t="shared" si="2"/>
        <v>51.70506599</v>
      </c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>
        <f t="shared" si="8"/>
        <v>1</v>
      </c>
      <c r="AF3769" s="19">
        <f t="shared" si="13"/>
        <v>3</v>
      </c>
      <c r="AG3769" s="9"/>
      <c r="AH3769" s="9"/>
      <c r="AI3769" s="9"/>
    </row>
    <row r="3770" ht="15.0" customHeight="1">
      <c r="A3770" s="11">
        <v>3769.0</v>
      </c>
      <c r="B3770" s="12">
        <f t="shared" si="599"/>
        <v>40460</v>
      </c>
      <c r="C3770" s="13">
        <v>2010.0</v>
      </c>
      <c r="D3770" s="11" t="s">
        <v>39</v>
      </c>
      <c r="E3770" s="11">
        <v>14.0</v>
      </c>
      <c r="F3770" s="21" t="s">
        <v>1548</v>
      </c>
      <c r="G3770" s="15">
        <v>0.07089048882152331</v>
      </c>
      <c r="H3770" s="11" t="s">
        <v>33</v>
      </c>
      <c r="I3770" s="16">
        <v>1.592</v>
      </c>
      <c r="J3770" s="11" t="s">
        <v>235</v>
      </c>
      <c r="K3770" s="11" t="s">
        <v>61</v>
      </c>
      <c r="L3770" s="11" t="s">
        <v>48</v>
      </c>
      <c r="M3770" s="11" t="s">
        <v>66</v>
      </c>
      <c r="N3770" s="11" t="s">
        <v>67</v>
      </c>
      <c r="O3770" s="11" t="s">
        <v>1549</v>
      </c>
      <c r="P3770" s="11" t="s">
        <v>99</v>
      </c>
      <c r="Q3770" s="20">
        <v>40462.0</v>
      </c>
      <c r="R3770" s="17">
        <f t="shared" si="2"/>
        <v>17.38178074</v>
      </c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>
        <f t="shared" si="8"/>
        <v>4</v>
      </c>
      <c r="AF3770" s="19">
        <f t="shared" si="13"/>
        <v>4</v>
      </c>
      <c r="AG3770" s="9"/>
      <c r="AH3770" s="9"/>
      <c r="AI3770" s="9"/>
    </row>
    <row r="3771" ht="15.0" customHeight="1">
      <c r="A3771" s="11">
        <v>3770.0</v>
      </c>
      <c r="B3771" s="12">
        <f t="shared" si="599"/>
        <v>40460</v>
      </c>
      <c r="C3771" s="13">
        <v>2010.0</v>
      </c>
      <c r="D3771" s="11" t="s">
        <v>39</v>
      </c>
      <c r="E3771" s="11">
        <v>24.0</v>
      </c>
      <c r="F3771" s="21" t="s">
        <v>178</v>
      </c>
      <c r="G3771" s="15">
        <v>0.03151965864065825</v>
      </c>
      <c r="H3771" s="11" t="s">
        <v>33</v>
      </c>
      <c r="I3771" s="16">
        <v>7.192</v>
      </c>
      <c r="J3771" s="11" t="s">
        <v>235</v>
      </c>
      <c r="K3771" s="11" t="s">
        <v>61</v>
      </c>
      <c r="L3771" s="11" t="s">
        <v>48</v>
      </c>
      <c r="M3771" s="11" t="s">
        <v>66</v>
      </c>
      <c r="N3771" s="11" t="s">
        <v>80</v>
      </c>
      <c r="O3771" s="11" t="s">
        <v>1875</v>
      </c>
      <c r="P3771" s="11" t="s">
        <v>38</v>
      </c>
      <c r="Q3771" s="20">
        <v>40462.0</v>
      </c>
      <c r="R3771" s="17">
        <f t="shared" si="2"/>
        <v>50.07818149</v>
      </c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>
        <f t="shared" si="8"/>
        <v>4</v>
      </c>
      <c r="AF3771" s="19">
        <f t="shared" si="13"/>
        <v>4</v>
      </c>
      <c r="AG3771" s="9"/>
      <c r="AH3771" s="9"/>
      <c r="AI3771" s="9"/>
    </row>
    <row r="3772" ht="15.0" customHeight="1">
      <c r="A3772" s="11">
        <v>3771.0</v>
      </c>
      <c r="B3772" s="12">
        <f t="shared" si="599"/>
        <v>40460</v>
      </c>
      <c r="C3772" s="13">
        <v>2010.0</v>
      </c>
      <c r="D3772" s="11" t="s">
        <v>32</v>
      </c>
      <c r="E3772" s="11">
        <v>32.0</v>
      </c>
      <c r="F3772" s="21" t="s">
        <v>619</v>
      </c>
      <c r="G3772" s="15">
        <v>0.08649749953695127</v>
      </c>
      <c r="H3772" s="11" t="s">
        <v>45</v>
      </c>
      <c r="I3772" s="16">
        <v>24.0</v>
      </c>
      <c r="J3772" s="11" t="s">
        <v>323</v>
      </c>
      <c r="K3772" s="11" t="s">
        <v>61</v>
      </c>
      <c r="L3772" s="11" t="s">
        <v>48</v>
      </c>
      <c r="M3772" s="11" t="s">
        <v>49</v>
      </c>
      <c r="N3772" s="11" t="s">
        <v>50</v>
      </c>
      <c r="O3772" s="11" t="s">
        <v>1028</v>
      </c>
      <c r="P3772" s="11" t="s">
        <v>52</v>
      </c>
      <c r="Q3772" s="20">
        <v>40462.0</v>
      </c>
      <c r="R3772" s="17">
        <f t="shared" si="2"/>
        <v>170.6422671</v>
      </c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>
        <f t="shared" si="8"/>
        <v>4</v>
      </c>
      <c r="AF3772" s="19">
        <f t="shared" si="13"/>
        <v>4</v>
      </c>
      <c r="AG3772" s="9"/>
      <c r="AH3772" s="9"/>
      <c r="AI3772" s="9"/>
    </row>
    <row r="3773" ht="15.0" customHeight="1">
      <c r="A3773" s="11">
        <v>3772.0</v>
      </c>
      <c r="B3773" s="12">
        <f t="shared" si="599"/>
        <v>40460</v>
      </c>
      <c r="C3773" s="13">
        <v>2010.0</v>
      </c>
      <c r="D3773" s="11" t="s">
        <v>32</v>
      </c>
      <c r="E3773" s="11">
        <v>19.0</v>
      </c>
      <c r="F3773" s="21" t="s">
        <v>838</v>
      </c>
      <c r="G3773" s="15">
        <v>0.09357768622436886</v>
      </c>
      <c r="H3773" s="11" t="s">
        <v>33</v>
      </c>
      <c r="I3773" s="16">
        <v>15.991999999999999</v>
      </c>
      <c r="J3773" s="11" t="s">
        <v>323</v>
      </c>
      <c r="K3773" s="11" t="s">
        <v>61</v>
      </c>
      <c r="L3773" s="11" t="s">
        <v>48</v>
      </c>
      <c r="M3773" s="11" t="s">
        <v>66</v>
      </c>
      <c r="N3773" s="11" t="s">
        <v>67</v>
      </c>
      <c r="O3773" s="11" t="s">
        <v>2263</v>
      </c>
      <c r="P3773" s="11" t="s">
        <v>38</v>
      </c>
      <c r="Q3773" s="20">
        <v>40462.0</v>
      </c>
      <c r="R3773" s="17">
        <f t="shared" si="2"/>
        <v>179.1163006</v>
      </c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>
        <f t="shared" si="8"/>
        <v>4</v>
      </c>
      <c r="AF3773" s="19">
        <f t="shared" si="13"/>
        <v>4</v>
      </c>
      <c r="AG3773" s="9"/>
      <c r="AH3773" s="9"/>
      <c r="AI3773" s="9"/>
    </row>
    <row r="3774" ht="15.0" customHeight="1">
      <c r="A3774" s="11">
        <v>3773.0</v>
      </c>
      <c r="B3774" s="12">
        <f t="shared" si="599"/>
        <v>40460</v>
      </c>
      <c r="C3774" s="13">
        <v>2010.0</v>
      </c>
      <c r="D3774" s="11" t="s">
        <v>32</v>
      </c>
      <c r="E3774" s="11">
        <v>44.0</v>
      </c>
      <c r="F3774" s="21" t="s">
        <v>186</v>
      </c>
      <c r="G3774" s="15">
        <v>0.05376081424936398</v>
      </c>
      <c r="H3774" s="11" t="s">
        <v>33</v>
      </c>
      <c r="I3774" s="16">
        <v>5.5360000000000005</v>
      </c>
      <c r="J3774" s="11" t="s">
        <v>323</v>
      </c>
      <c r="K3774" s="11" t="s">
        <v>61</v>
      </c>
      <c r="L3774" s="11" t="s">
        <v>48</v>
      </c>
      <c r="M3774" s="11" t="s">
        <v>49</v>
      </c>
      <c r="N3774" s="11" t="s">
        <v>73</v>
      </c>
      <c r="O3774" s="11" t="s">
        <v>2344</v>
      </c>
      <c r="P3774" s="11" t="s">
        <v>38</v>
      </c>
      <c r="Q3774" s="20">
        <v>40463.0</v>
      </c>
      <c r="R3774" s="17">
        <f t="shared" si="2"/>
        <v>9.996070758</v>
      </c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>
        <f t="shared" si="8"/>
        <v>4</v>
      </c>
      <c r="AF3774" s="19">
        <f t="shared" si="13"/>
        <v>4</v>
      </c>
      <c r="AG3774" s="9"/>
      <c r="AH3774" s="9"/>
      <c r="AI3774" s="9"/>
    </row>
    <row r="3775" ht="15.0" customHeight="1">
      <c r="A3775" s="11">
        <v>3774.0</v>
      </c>
      <c r="B3775" s="12">
        <f t="shared" si="599"/>
        <v>40460</v>
      </c>
      <c r="C3775" s="13">
        <v>2010.0</v>
      </c>
      <c r="D3775" s="11" t="s">
        <v>32</v>
      </c>
      <c r="E3775" s="11">
        <v>15.0</v>
      </c>
      <c r="F3775" s="21" t="s">
        <v>126</v>
      </c>
      <c r="G3775" s="15">
        <v>0.08744405182567734</v>
      </c>
      <c r="H3775" s="11" t="s">
        <v>33</v>
      </c>
      <c r="I3775" s="16">
        <v>3.976</v>
      </c>
      <c r="J3775" s="11" t="s">
        <v>323</v>
      </c>
      <c r="K3775" s="11" t="s">
        <v>61</v>
      </c>
      <c r="L3775" s="11" t="s">
        <v>48</v>
      </c>
      <c r="M3775" s="11" t="s">
        <v>28</v>
      </c>
      <c r="N3775" s="11" t="s">
        <v>42</v>
      </c>
      <c r="O3775" s="11" t="s">
        <v>1609</v>
      </c>
      <c r="P3775" s="11" t="s">
        <v>38</v>
      </c>
      <c r="Q3775" s="20">
        <v>40463.0</v>
      </c>
      <c r="R3775" s="17">
        <f t="shared" si="2"/>
        <v>6.774815359</v>
      </c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>
        <f t="shared" si="8"/>
        <v>4</v>
      </c>
      <c r="AF3775" s="19">
        <f t="shared" si="13"/>
        <v>4</v>
      </c>
      <c r="AG3775" s="9"/>
      <c r="AH3775" s="9"/>
      <c r="AI3775" s="9"/>
    </row>
    <row r="3776" ht="15.0" customHeight="1">
      <c r="A3776" s="11">
        <v>3775.0</v>
      </c>
      <c r="B3776" s="12">
        <f t="shared" si="599"/>
        <v>40460</v>
      </c>
      <c r="C3776" s="13">
        <v>2010.0</v>
      </c>
      <c r="D3776" s="11" t="s">
        <v>32</v>
      </c>
      <c r="E3776" s="11">
        <v>28.0</v>
      </c>
      <c r="F3776" s="21" t="s">
        <v>1559</v>
      </c>
      <c r="G3776" s="15">
        <v>0.09223744292237442</v>
      </c>
      <c r="H3776" s="11" t="s">
        <v>33</v>
      </c>
      <c r="I3776" s="16">
        <v>0.5599999999999999</v>
      </c>
      <c r="J3776" s="11" t="s">
        <v>323</v>
      </c>
      <c r="K3776" s="11" t="s">
        <v>61</v>
      </c>
      <c r="L3776" s="11" t="s">
        <v>48</v>
      </c>
      <c r="M3776" s="11" t="s">
        <v>28</v>
      </c>
      <c r="N3776" s="11" t="s">
        <v>216</v>
      </c>
      <c r="O3776" s="11" t="s">
        <v>1561</v>
      </c>
      <c r="P3776" s="11" t="s">
        <v>58</v>
      </c>
      <c r="Q3776" s="20">
        <v>40463.0</v>
      </c>
      <c r="R3776" s="17">
        <f t="shared" si="2"/>
        <v>3.667360731</v>
      </c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>
        <f t="shared" si="8"/>
        <v>4</v>
      </c>
      <c r="AF3776" s="19">
        <f t="shared" si="13"/>
        <v>4</v>
      </c>
      <c r="AG3776" s="9"/>
      <c r="AH3776" s="9"/>
      <c r="AI3776" s="9"/>
    </row>
    <row r="3777" ht="15.0" customHeight="1">
      <c r="A3777" s="11">
        <v>3776.0</v>
      </c>
      <c r="B3777" s="12">
        <f t="shared" si="599"/>
        <v>40460</v>
      </c>
      <c r="C3777" s="13">
        <v>2010.0</v>
      </c>
      <c r="D3777" s="11" t="s">
        <v>39</v>
      </c>
      <c r="E3777" s="11">
        <v>29.0</v>
      </c>
      <c r="F3777" s="21" t="s">
        <v>126</v>
      </c>
      <c r="G3777" s="15">
        <v>0.1106097560975609</v>
      </c>
      <c r="H3777" s="11" t="s">
        <v>33</v>
      </c>
      <c r="I3777" s="16">
        <v>3.7600000000000002</v>
      </c>
      <c r="J3777" s="11" t="s">
        <v>953</v>
      </c>
      <c r="K3777" s="11" t="s">
        <v>65</v>
      </c>
      <c r="L3777" s="11" t="s">
        <v>27</v>
      </c>
      <c r="M3777" s="11" t="s">
        <v>28</v>
      </c>
      <c r="N3777" s="11" t="s">
        <v>56</v>
      </c>
      <c r="O3777" s="11" t="s">
        <v>1730</v>
      </c>
      <c r="P3777" s="11" t="s">
        <v>38</v>
      </c>
      <c r="Q3777" s="20">
        <v>40463.0</v>
      </c>
      <c r="R3777" s="17">
        <f t="shared" si="2"/>
        <v>16.13353902</v>
      </c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>
        <f t="shared" si="8"/>
        <v>1</v>
      </c>
      <c r="AF3777" s="19">
        <f t="shared" si="13"/>
        <v>5</v>
      </c>
      <c r="AG3777" s="9"/>
      <c r="AH3777" s="9"/>
      <c r="AI3777" s="9"/>
    </row>
    <row r="3778" ht="15.0" customHeight="1">
      <c r="A3778" s="11">
        <v>3777.0</v>
      </c>
      <c r="B3778" s="12">
        <f t="shared" ref="B3778:B3784" si="600">DATE(2012,12,31)-813</f>
        <v>40461</v>
      </c>
      <c r="C3778" s="13">
        <v>2010.0</v>
      </c>
      <c r="D3778" s="11" t="s">
        <v>102</v>
      </c>
      <c r="E3778" s="11">
        <v>39.0</v>
      </c>
      <c r="F3778" s="21" t="s">
        <v>881</v>
      </c>
      <c r="G3778" s="15">
        <v>0.07881619937694707</v>
      </c>
      <c r="H3778" s="11" t="s">
        <v>33</v>
      </c>
      <c r="I3778" s="16">
        <v>3.2</v>
      </c>
      <c r="J3778" s="11" t="s">
        <v>2187</v>
      </c>
      <c r="K3778" s="11" t="s">
        <v>26</v>
      </c>
      <c r="L3778" s="11" t="s">
        <v>36</v>
      </c>
      <c r="M3778" s="11" t="s">
        <v>49</v>
      </c>
      <c r="N3778" s="11" t="s">
        <v>73</v>
      </c>
      <c r="O3778" s="11" t="s">
        <v>883</v>
      </c>
      <c r="P3778" s="11" t="s">
        <v>58</v>
      </c>
      <c r="Q3778" s="20">
        <v>40463.0</v>
      </c>
      <c r="R3778" s="17">
        <f t="shared" si="2"/>
        <v>23.30595016</v>
      </c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>
        <f t="shared" si="8"/>
        <v>2</v>
      </c>
      <c r="AF3778" s="19">
        <f t="shared" si="13"/>
        <v>1</v>
      </c>
      <c r="AG3778" s="9"/>
      <c r="AH3778" s="9"/>
      <c r="AI3778" s="9"/>
    </row>
    <row r="3779" ht="15.0" customHeight="1">
      <c r="A3779" s="11">
        <v>3778.0</v>
      </c>
      <c r="B3779" s="12">
        <f t="shared" si="600"/>
        <v>40461</v>
      </c>
      <c r="C3779" s="13">
        <v>2010.0</v>
      </c>
      <c r="D3779" s="11" t="s">
        <v>39</v>
      </c>
      <c r="E3779" s="11">
        <v>43.0</v>
      </c>
      <c r="F3779" s="21" t="s">
        <v>552</v>
      </c>
      <c r="G3779" s="15">
        <v>0.012903633491311227</v>
      </c>
      <c r="H3779" s="11" t="s">
        <v>33</v>
      </c>
      <c r="I3779" s="16">
        <v>2.8160000000000003</v>
      </c>
      <c r="J3779" s="11" t="s">
        <v>904</v>
      </c>
      <c r="K3779" s="11" t="s">
        <v>61</v>
      </c>
      <c r="L3779" s="11" t="s">
        <v>27</v>
      </c>
      <c r="M3779" s="11" t="s">
        <v>66</v>
      </c>
      <c r="N3779" s="11" t="s">
        <v>67</v>
      </c>
      <c r="O3779" s="11" t="s">
        <v>1445</v>
      </c>
      <c r="P3779" s="11" t="s">
        <v>99</v>
      </c>
      <c r="Q3779" s="20">
        <v>40464.0</v>
      </c>
      <c r="R3779" s="17">
        <f t="shared" si="2"/>
        <v>4.031301561</v>
      </c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>
        <f t="shared" si="8"/>
        <v>1</v>
      </c>
      <c r="AF3779" s="19">
        <f t="shared" si="13"/>
        <v>4</v>
      </c>
      <c r="AG3779" s="9"/>
      <c r="AH3779" s="9"/>
      <c r="AI3779" s="9"/>
    </row>
    <row r="3780" ht="15.0" customHeight="1">
      <c r="A3780" s="11">
        <v>3779.0</v>
      </c>
      <c r="B3780" s="12">
        <f t="shared" si="600"/>
        <v>40461</v>
      </c>
      <c r="C3780" s="13">
        <v>2010.0</v>
      </c>
      <c r="D3780" s="11" t="s">
        <v>44</v>
      </c>
      <c r="E3780" s="11">
        <v>2.0</v>
      </c>
      <c r="F3780" s="21" t="s">
        <v>204</v>
      </c>
      <c r="G3780" s="15">
        <v>0.11771428571428569</v>
      </c>
      <c r="H3780" s="11" t="s">
        <v>33</v>
      </c>
      <c r="I3780" s="16">
        <v>0.776</v>
      </c>
      <c r="J3780" s="11" t="s">
        <v>581</v>
      </c>
      <c r="K3780" s="11" t="s">
        <v>47</v>
      </c>
      <c r="L3780" s="11" t="s">
        <v>36</v>
      </c>
      <c r="M3780" s="11" t="s">
        <v>28</v>
      </c>
      <c r="N3780" s="11" t="s">
        <v>62</v>
      </c>
      <c r="O3780" s="11" t="s">
        <v>206</v>
      </c>
      <c r="P3780" s="11" t="s">
        <v>58</v>
      </c>
      <c r="Q3780" s="20">
        <v>40464.0</v>
      </c>
      <c r="R3780" s="17">
        <f t="shared" si="2"/>
        <v>0.7270034286</v>
      </c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>
        <f t="shared" si="8"/>
        <v>2</v>
      </c>
      <c r="AF3780" s="19">
        <f t="shared" si="13"/>
        <v>3</v>
      </c>
      <c r="AG3780" s="9"/>
      <c r="AH3780" s="9"/>
      <c r="AI3780" s="9"/>
    </row>
    <row r="3781" ht="15.0" customHeight="1">
      <c r="A3781" s="11">
        <v>3780.0</v>
      </c>
      <c r="B3781" s="12">
        <f t="shared" si="600"/>
        <v>40461</v>
      </c>
      <c r="C3781" s="13">
        <v>2010.0</v>
      </c>
      <c r="D3781" s="11" t="s">
        <v>44</v>
      </c>
      <c r="E3781" s="11">
        <v>8.0</v>
      </c>
      <c r="F3781" s="21" t="s">
        <v>103</v>
      </c>
      <c r="G3781" s="15">
        <v>0.06666666666666661</v>
      </c>
      <c r="H3781" s="11" t="s">
        <v>33</v>
      </c>
      <c r="I3781" s="16">
        <v>6.0</v>
      </c>
      <c r="J3781" s="11" t="s">
        <v>581</v>
      </c>
      <c r="K3781" s="11" t="s">
        <v>47</v>
      </c>
      <c r="L3781" s="11" t="s">
        <v>36</v>
      </c>
      <c r="M3781" s="11" t="s">
        <v>28</v>
      </c>
      <c r="N3781" s="11" t="s">
        <v>56</v>
      </c>
      <c r="O3781" s="11" t="s">
        <v>1701</v>
      </c>
      <c r="P3781" s="11" t="s">
        <v>38</v>
      </c>
      <c r="Q3781" s="20">
        <v>40464.0</v>
      </c>
      <c r="R3781" s="17">
        <f t="shared" si="2"/>
        <v>3.546666667</v>
      </c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>
        <f t="shared" si="8"/>
        <v>2</v>
      </c>
      <c r="AF3781" s="19">
        <f t="shared" si="13"/>
        <v>3</v>
      </c>
      <c r="AG3781" s="9"/>
      <c r="AH3781" s="9"/>
      <c r="AI3781" s="9"/>
    </row>
    <row r="3782" ht="15.0" customHeight="1">
      <c r="A3782" s="11">
        <v>3781.0</v>
      </c>
      <c r="B3782" s="12">
        <f t="shared" si="600"/>
        <v>40461</v>
      </c>
      <c r="C3782" s="13">
        <v>2010.0</v>
      </c>
      <c r="D3782" s="11" t="s">
        <v>44</v>
      </c>
      <c r="E3782" s="11">
        <v>48.0</v>
      </c>
      <c r="F3782" s="21" t="s">
        <v>391</v>
      </c>
      <c r="G3782" s="15">
        <v>0.03900591401422009</v>
      </c>
      <c r="H3782" s="11" t="s">
        <v>33</v>
      </c>
      <c r="I3782" s="16">
        <v>2.8000000000000003</v>
      </c>
      <c r="J3782" s="11" t="s">
        <v>581</v>
      </c>
      <c r="K3782" s="11" t="s">
        <v>47</v>
      </c>
      <c r="L3782" s="11" t="s">
        <v>36</v>
      </c>
      <c r="M3782" s="11" t="s">
        <v>28</v>
      </c>
      <c r="N3782" s="11" t="s">
        <v>197</v>
      </c>
      <c r="O3782" s="11" t="s">
        <v>393</v>
      </c>
      <c r="P3782" s="11" t="s">
        <v>38</v>
      </c>
      <c r="Q3782" s="20">
        <v>40464.0</v>
      </c>
      <c r="R3782" s="17">
        <f t="shared" si="2"/>
        <v>112.8207057</v>
      </c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>
        <f t="shared" si="8"/>
        <v>2</v>
      </c>
      <c r="AF3782" s="19">
        <f t="shared" si="13"/>
        <v>3</v>
      </c>
      <c r="AG3782" s="9"/>
      <c r="AH3782" s="9"/>
      <c r="AI3782" s="9"/>
    </row>
    <row r="3783" ht="15.0" customHeight="1">
      <c r="A3783" s="11">
        <v>3782.0</v>
      </c>
      <c r="B3783" s="12">
        <f t="shared" si="600"/>
        <v>40461</v>
      </c>
      <c r="C3783" s="13">
        <v>2010.0</v>
      </c>
      <c r="D3783" s="11" t="s">
        <v>39</v>
      </c>
      <c r="E3783" s="11">
        <v>12.0</v>
      </c>
      <c r="F3783" s="21" t="s">
        <v>319</v>
      </c>
      <c r="G3783" s="15">
        <v>0.1079480519480521</v>
      </c>
      <c r="H3783" s="11" t="s">
        <v>33</v>
      </c>
      <c r="I3783" s="16">
        <v>0.7440000000000001</v>
      </c>
      <c r="J3783" s="11" t="s">
        <v>2365</v>
      </c>
      <c r="K3783" s="11" t="s">
        <v>117</v>
      </c>
      <c r="L3783" s="11" t="s">
        <v>48</v>
      </c>
      <c r="M3783" s="11" t="s">
        <v>28</v>
      </c>
      <c r="N3783" s="11" t="s">
        <v>62</v>
      </c>
      <c r="O3783" s="11" t="s">
        <v>1427</v>
      </c>
      <c r="P3783" s="11" t="s">
        <v>58</v>
      </c>
      <c r="Q3783" s="20">
        <v>40464.0</v>
      </c>
      <c r="R3783" s="17">
        <f t="shared" si="2"/>
        <v>3.707367896</v>
      </c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>
        <f t="shared" si="8"/>
        <v>4</v>
      </c>
      <c r="AF3783" s="19" t="b">
        <f t="shared" si="13"/>
        <v>0</v>
      </c>
      <c r="AG3783" s="9"/>
      <c r="AH3783" s="9"/>
      <c r="AI3783" s="9"/>
    </row>
    <row r="3784" ht="15.0" customHeight="1">
      <c r="A3784" s="11">
        <v>3783.0</v>
      </c>
      <c r="B3784" s="12">
        <f t="shared" si="600"/>
        <v>40461</v>
      </c>
      <c r="C3784" s="13">
        <v>2010.0</v>
      </c>
      <c r="D3784" s="11" t="s">
        <v>23</v>
      </c>
      <c r="E3784" s="11">
        <v>13.0</v>
      </c>
      <c r="F3784" s="21" t="s">
        <v>119</v>
      </c>
      <c r="G3784" s="15">
        <v>0.13387755102040805</v>
      </c>
      <c r="H3784" s="11" t="s">
        <v>33</v>
      </c>
      <c r="I3784" s="16">
        <v>2.064</v>
      </c>
      <c r="J3784" s="11" t="s">
        <v>1625</v>
      </c>
      <c r="K3784" s="11" t="s">
        <v>35</v>
      </c>
      <c r="L3784" s="11" t="s">
        <v>36</v>
      </c>
      <c r="M3784" s="11" t="s">
        <v>28</v>
      </c>
      <c r="N3784" s="11" t="s">
        <v>216</v>
      </c>
      <c r="O3784" s="11" t="s">
        <v>1619</v>
      </c>
      <c r="P3784" s="11" t="s">
        <v>58</v>
      </c>
      <c r="Q3784" s="20">
        <v>40464.0</v>
      </c>
      <c r="R3784" s="17">
        <f t="shared" si="2"/>
        <v>3.409057959</v>
      </c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>
        <f t="shared" si="8"/>
        <v>2</v>
      </c>
      <c r="AF3784" s="19">
        <f t="shared" si="13"/>
        <v>2</v>
      </c>
      <c r="AG3784" s="9"/>
      <c r="AH3784" s="9"/>
      <c r="AI3784" s="9"/>
    </row>
    <row r="3785" ht="15.0" customHeight="1">
      <c r="A3785" s="11">
        <v>3784.0</v>
      </c>
      <c r="B3785" s="12">
        <f t="shared" ref="B3785:B3789" si="601">DATE(2012,12,31)-812</f>
        <v>40462</v>
      </c>
      <c r="C3785" s="13">
        <v>2010.0</v>
      </c>
      <c r="D3785" s="11" t="s">
        <v>102</v>
      </c>
      <c r="E3785" s="11">
        <v>28.0</v>
      </c>
      <c r="F3785" s="21" t="s">
        <v>256</v>
      </c>
      <c r="G3785" s="15">
        <v>0.02412228325770247</v>
      </c>
      <c r="H3785" s="11" t="s">
        <v>33</v>
      </c>
      <c r="I3785" s="16">
        <v>5.4</v>
      </c>
      <c r="J3785" s="11" t="s">
        <v>1581</v>
      </c>
      <c r="K3785" s="11" t="s">
        <v>61</v>
      </c>
      <c r="L3785" s="11" t="s">
        <v>36</v>
      </c>
      <c r="M3785" s="11" t="s">
        <v>28</v>
      </c>
      <c r="N3785" s="11" t="s">
        <v>197</v>
      </c>
      <c r="O3785" s="11" t="s">
        <v>257</v>
      </c>
      <c r="P3785" s="11" t="s">
        <v>75</v>
      </c>
      <c r="Q3785" s="20">
        <v>40464.0</v>
      </c>
      <c r="R3785" s="17">
        <f t="shared" si="2"/>
        <v>9.856364939</v>
      </c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>
        <f t="shared" si="8"/>
        <v>2</v>
      </c>
      <c r="AF3785" s="19">
        <f t="shared" si="13"/>
        <v>4</v>
      </c>
      <c r="AG3785" s="9"/>
      <c r="AH3785" s="9"/>
      <c r="AI3785" s="9"/>
    </row>
    <row r="3786" ht="15.0" customHeight="1">
      <c r="A3786" s="11">
        <v>3785.0</v>
      </c>
      <c r="B3786" s="12">
        <f t="shared" si="601"/>
        <v>40462</v>
      </c>
      <c r="C3786" s="13">
        <v>2010.0</v>
      </c>
      <c r="D3786" s="11" t="s">
        <v>32</v>
      </c>
      <c r="E3786" s="11">
        <v>24.0</v>
      </c>
      <c r="F3786" s="21" t="s">
        <v>619</v>
      </c>
      <c r="G3786" s="15">
        <v>0.03659006290923097</v>
      </c>
      <c r="H3786" s="11" t="s">
        <v>33</v>
      </c>
      <c r="I3786" s="16">
        <v>39.2</v>
      </c>
      <c r="J3786" s="11" t="s">
        <v>2099</v>
      </c>
      <c r="K3786" s="11" t="s">
        <v>83</v>
      </c>
      <c r="L3786" s="11" t="s">
        <v>48</v>
      </c>
      <c r="M3786" s="11" t="s">
        <v>28</v>
      </c>
      <c r="N3786" s="11" t="s">
        <v>197</v>
      </c>
      <c r="O3786" s="11" t="s">
        <v>620</v>
      </c>
      <c r="P3786" s="11" t="s">
        <v>31</v>
      </c>
      <c r="Q3786" s="20">
        <v>40464.0</v>
      </c>
      <c r="R3786" s="17">
        <f t="shared" si="2"/>
        <v>54.91436641</v>
      </c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>
        <f t="shared" si="8"/>
        <v>4</v>
      </c>
      <c r="AF3786" s="19" t="b">
        <f t="shared" si="13"/>
        <v>0</v>
      </c>
      <c r="AG3786" s="9"/>
      <c r="AH3786" s="9"/>
      <c r="AI3786" s="9"/>
    </row>
    <row r="3787" ht="15.0" customHeight="1">
      <c r="A3787" s="11">
        <v>3786.0</v>
      </c>
      <c r="B3787" s="12">
        <f t="shared" si="601"/>
        <v>40462</v>
      </c>
      <c r="C3787" s="13">
        <v>2010.0</v>
      </c>
      <c r="D3787" s="11" t="s">
        <v>32</v>
      </c>
      <c r="E3787" s="11">
        <v>23.0</v>
      </c>
      <c r="F3787" s="21" t="s">
        <v>1567</v>
      </c>
      <c r="G3787" s="15">
        <v>0.021865529891107367</v>
      </c>
      <c r="H3787" s="11" t="s">
        <v>33</v>
      </c>
      <c r="I3787" s="16">
        <v>55.2</v>
      </c>
      <c r="J3787" s="11" t="s">
        <v>2099</v>
      </c>
      <c r="K3787" s="11" t="s">
        <v>83</v>
      </c>
      <c r="L3787" s="11" t="s">
        <v>48</v>
      </c>
      <c r="M3787" s="11" t="s">
        <v>49</v>
      </c>
      <c r="N3787" s="11" t="s">
        <v>85</v>
      </c>
      <c r="O3787" s="11" t="s">
        <v>1568</v>
      </c>
      <c r="P3787" s="11" t="s">
        <v>31</v>
      </c>
      <c r="Q3787" s="20">
        <v>40464.0</v>
      </c>
      <c r="R3787" s="17">
        <f t="shared" si="2"/>
        <v>147.5026781</v>
      </c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>
        <f t="shared" si="8"/>
        <v>4</v>
      </c>
      <c r="AF3787" s="19" t="b">
        <f t="shared" si="13"/>
        <v>0</v>
      </c>
      <c r="AG3787" s="9"/>
      <c r="AH3787" s="9"/>
      <c r="AI3787" s="9"/>
    </row>
    <row r="3788" ht="15.0" customHeight="1">
      <c r="A3788" s="11">
        <v>3787.0</v>
      </c>
      <c r="B3788" s="12">
        <f t="shared" si="601"/>
        <v>40462</v>
      </c>
      <c r="C3788" s="13">
        <v>2010.0</v>
      </c>
      <c r="D3788" s="11" t="s">
        <v>32</v>
      </c>
      <c r="E3788" s="11">
        <v>44.0</v>
      </c>
      <c r="F3788" s="21" t="s">
        <v>668</v>
      </c>
      <c r="G3788" s="15">
        <v>0.10345741968383469</v>
      </c>
      <c r="H3788" s="11" t="s">
        <v>33</v>
      </c>
      <c r="I3788" s="16">
        <v>4.024</v>
      </c>
      <c r="J3788" s="11" t="s">
        <v>2099</v>
      </c>
      <c r="K3788" s="11" t="s">
        <v>83</v>
      </c>
      <c r="L3788" s="11" t="s">
        <v>48</v>
      </c>
      <c r="M3788" s="11" t="s">
        <v>66</v>
      </c>
      <c r="N3788" s="11" t="s">
        <v>80</v>
      </c>
      <c r="O3788" s="11" t="s">
        <v>1603</v>
      </c>
      <c r="P3788" s="11" t="s">
        <v>75</v>
      </c>
      <c r="Q3788" s="20">
        <v>40464.0</v>
      </c>
      <c r="R3788" s="17">
        <f t="shared" si="2"/>
        <v>36.37811174</v>
      </c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>
        <f t="shared" si="8"/>
        <v>4</v>
      </c>
      <c r="AF3788" s="19" t="b">
        <f t="shared" si="13"/>
        <v>0</v>
      </c>
      <c r="AG3788" s="9"/>
      <c r="AH3788" s="9"/>
      <c r="AI3788" s="9"/>
    </row>
    <row r="3789" ht="15.0" customHeight="1">
      <c r="A3789" s="11">
        <v>3788.0</v>
      </c>
      <c r="B3789" s="12">
        <f t="shared" si="601"/>
        <v>40462</v>
      </c>
      <c r="C3789" s="13">
        <v>2010.0</v>
      </c>
      <c r="D3789" s="11" t="s">
        <v>102</v>
      </c>
      <c r="E3789" s="11">
        <v>46.0</v>
      </c>
      <c r="F3789" s="21" t="s">
        <v>1562</v>
      </c>
      <c r="G3789" s="15">
        <v>0.02011297690278582</v>
      </c>
      <c r="H3789" s="11" t="s">
        <v>24</v>
      </c>
      <c r="I3789" s="16">
        <v>15.991999999999999</v>
      </c>
      <c r="J3789" s="11" t="s">
        <v>900</v>
      </c>
      <c r="K3789" s="11" t="s">
        <v>61</v>
      </c>
      <c r="L3789" s="11" t="s">
        <v>48</v>
      </c>
      <c r="M3789" s="11" t="s">
        <v>28</v>
      </c>
      <c r="N3789" s="11" t="s">
        <v>29</v>
      </c>
      <c r="O3789" s="11" t="s">
        <v>1563</v>
      </c>
      <c r="P3789" s="11" t="s">
        <v>38</v>
      </c>
      <c r="Q3789" s="20">
        <v>40464.0</v>
      </c>
      <c r="R3789" s="17">
        <f t="shared" si="2"/>
        <v>153.1641808</v>
      </c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>
        <f t="shared" si="8"/>
        <v>4</v>
      </c>
      <c r="AF3789" s="19">
        <f t="shared" si="13"/>
        <v>4</v>
      </c>
      <c r="AG3789" s="9"/>
      <c r="AH3789" s="9"/>
      <c r="AI3789" s="9"/>
    </row>
    <row r="3790" ht="15.0" customHeight="1">
      <c r="A3790" s="11">
        <v>3789.0</v>
      </c>
      <c r="B3790" s="12">
        <f t="shared" ref="B3790:B3800" si="602">DATE(2012,12,31)-811</f>
        <v>40463</v>
      </c>
      <c r="C3790" s="13">
        <v>2010.0</v>
      </c>
      <c r="D3790" s="11" t="s">
        <v>23</v>
      </c>
      <c r="E3790" s="11">
        <v>47.0</v>
      </c>
      <c r="F3790" s="21" t="s">
        <v>270</v>
      </c>
      <c r="G3790" s="15">
        <v>0.06742995637421229</v>
      </c>
      <c r="H3790" s="11" t="s">
        <v>33</v>
      </c>
      <c r="I3790" s="16">
        <v>1.592</v>
      </c>
      <c r="J3790" s="11" t="s">
        <v>514</v>
      </c>
      <c r="K3790" s="11" t="s">
        <v>61</v>
      </c>
      <c r="L3790" s="11" t="s">
        <v>27</v>
      </c>
      <c r="M3790" s="11" t="s">
        <v>66</v>
      </c>
      <c r="N3790" s="11" t="s">
        <v>67</v>
      </c>
      <c r="O3790" s="11" t="s">
        <v>2453</v>
      </c>
      <c r="P3790" s="11" t="s">
        <v>99</v>
      </c>
      <c r="Q3790" s="20">
        <v>40465.0</v>
      </c>
      <c r="R3790" s="17">
        <f t="shared" si="2"/>
        <v>129.7279536</v>
      </c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>
        <f t="shared" si="8"/>
        <v>1</v>
      </c>
      <c r="AF3790" s="19">
        <f t="shared" si="13"/>
        <v>4</v>
      </c>
      <c r="AG3790" s="9"/>
      <c r="AH3790" s="9"/>
      <c r="AI3790" s="9"/>
    </row>
    <row r="3791" ht="15.0" customHeight="1">
      <c r="A3791" s="11">
        <v>3790.0</v>
      </c>
      <c r="B3791" s="12">
        <f t="shared" si="602"/>
        <v>40463</v>
      </c>
      <c r="C3791" s="13">
        <v>2010.0</v>
      </c>
      <c r="D3791" s="11" t="s">
        <v>23</v>
      </c>
      <c r="E3791" s="11">
        <v>42.0</v>
      </c>
      <c r="F3791" s="21" t="s">
        <v>569</v>
      </c>
      <c r="G3791" s="15">
        <v>0.020146659682872003</v>
      </c>
      <c r="H3791" s="11" t="s">
        <v>24</v>
      </c>
      <c r="I3791" s="16">
        <v>3.3600000000000003</v>
      </c>
      <c r="J3791" s="11" t="s">
        <v>514</v>
      </c>
      <c r="K3791" s="11" t="s">
        <v>61</v>
      </c>
      <c r="L3791" s="11" t="s">
        <v>27</v>
      </c>
      <c r="M3791" s="11" t="s">
        <v>66</v>
      </c>
      <c r="N3791" s="11" t="s">
        <v>80</v>
      </c>
      <c r="O3791" s="11" t="s">
        <v>2067</v>
      </c>
      <c r="P3791" s="11" t="s">
        <v>38</v>
      </c>
      <c r="Q3791" s="20">
        <v>40465.0</v>
      </c>
      <c r="R3791" s="17">
        <f t="shared" si="2"/>
        <v>165.8303793</v>
      </c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>
        <f t="shared" si="8"/>
        <v>1</v>
      </c>
      <c r="AF3791" s="19">
        <f t="shared" si="13"/>
        <v>4</v>
      </c>
      <c r="AG3791" s="9"/>
      <c r="AH3791" s="9"/>
      <c r="AI3791" s="9"/>
    </row>
    <row r="3792" ht="15.0" customHeight="1">
      <c r="A3792" s="11">
        <v>3791.0</v>
      </c>
      <c r="B3792" s="12">
        <f t="shared" si="602"/>
        <v>40463</v>
      </c>
      <c r="C3792" s="13">
        <v>2010.0</v>
      </c>
      <c r="D3792" s="11" t="s">
        <v>39</v>
      </c>
      <c r="E3792" s="11">
        <v>9.0</v>
      </c>
      <c r="F3792" s="21" t="s">
        <v>1084</v>
      </c>
      <c r="G3792" s="15">
        <v>0.07458980044345892</v>
      </c>
      <c r="H3792" s="11" t="s">
        <v>33</v>
      </c>
      <c r="I3792" s="16">
        <v>2.136</v>
      </c>
      <c r="J3792" s="11" t="s">
        <v>1145</v>
      </c>
      <c r="K3792" s="11" t="s">
        <v>65</v>
      </c>
      <c r="L3792" s="11" t="s">
        <v>48</v>
      </c>
      <c r="M3792" s="11" t="s">
        <v>28</v>
      </c>
      <c r="N3792" s="11" t="s">
        <v>197</v>
      </c>
      <c r="O3792" s="11" t="s">
        <v>1096</v>
      </c>
      <c r="P3792" s="11" t="s">
        <v>31</v>
      </c>
      <c r="Q3792" s="20">
        <v>40465.0</v>
      </c>
      <c r="R3792" s="17">
        <f t="shared" si="2"/>
        <v>3.113079911</v>
      </c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>
        <f t="shared" si="8"/>
        <v>4</v>
      </c>
      <c r="AF3792" s="19">
        <f t="shared" si="13"/>
        <v>5</v>
      </c>
      <c r="AG3792" s="9"/>
      <c r="AH3792" s="9"/>
      <c r="AI3792" s="9"/>
    </row>
    <row r="3793" ht="15.0" customHeight="1">
      <c r="A3793" s="11">
        <v>3792.0</v>
      </c>
      <c r="B3793" s="12">
        <f t="shared" si="602"/>
        <v>40463</v>
      </c>
      <c r="C3793" s="13">
        <v>2010.0</v>
      </c>
      <c r="D3793" s="11" t="s">
        <v>39</v>
      </c>
      <c r="E3793" s="11">
        <v>39.0</v>
      </c>
      <c r="F3793" s="21" t="s">
        <v>122</v>
      </c>
      <c r="G3793" s="15">
        <v>0.04207033531954672</v>
      </c>
      <c r="H3793" s="11" t="s">
        <v>33</v>
      </c>
      <c r="I3793" s="16">
        <v>4.792000000000001</v>
      </c>
      <c r="J3793" s="11" t="s">
        <v>1145</v>
      </c>
      <c r="K3793" s="11" t="s">
        <v>65</v>
      </c>
      <c r="L3793" s="11" t="s">
        <v>48</v>
      </c>
      <c r="M3793" s="11" t="s">
        <v>66</v>
      </c>
      <c r="N3793" s="11" t="s">
        <v>67</v>
      </c>
      <c r="O3793" s="11" t="s">
        <v>1485</v>
      </c>
      <c r="P3793" s="11" t="s">
        <v>38</v>
      </c>
      <c r="Q3793" s="20">
        <v>40465.0</v>
      </c>
      <c r="R3793" s="17">
        <f t="shared" si="2"/>
        <v>34.49313137</v>
      </c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>
        <f t="shared" si="8"/>
        <v>4</v>
      </c>
      <c r="AF3793" s="19">
        <f t="shared" si="13"/>
        <v>5</v>
      </c>
      <c r="AG3793" s="9"/>
      <c r="AH3793" s="9"/>
      <c r="AI3793" s="9"/>
    </row>
    <row r="3794" ht="15.0" customHeight="1">
      <c r="A3794" s="11">
        <v>3793.0</v>
      </c>
      <c r="B3794" s="12">
        <f t="shared" si="602"/>
        <v>40463</v>
      </c>
      <c r="C3794" s="13">
        <v>2010.0</v>
      </c>
      <c r="D3794" s="11" t="s">
        <v>39</v>
      </c>
      <c r="E3794" s="11">
        <v>3.0</v>
      </c>
      <c r="F3794" s="21" t="s">
        <v>186</v>
      </c>
      <c r="G3794" s="15">
        <v>0.099290780141844</v>
      </c>
      <c r="H3794" s="11" t="s">
        <v>33</v>
      </c>
      <c r="I3794" s="16">
        <v>0.4</v>
      </c>
      <c r="J3794" s="11" t="s">
        <v>2052</v>
      </c>
      <c r="K3794" s="11" t="s">
        <v>65</v>
      </c>
      <c r="L3794" s="11" t="s">
        <v>27</v>
      </c>
      <c r="M3794" s="11" t="s">
        <v>28</v>
      </c>
      <c r="N3794" s="11" t="s">
        <v>188</v>
      </c>
      <c r="O3794" s="11" t="s">
        <v>1968</v>
      </c>
      <c r="P3794" s="11" t="s">
        <v>38</v>
      </c>
      <c r="Q3794" s="20">
        <v>40465.0</v>
      </c>
      <c r="R3794" s="17">
        <f t="shared" si="2"/>
        <v>1.260992908</v>
      </c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>
        <f t="shared" si="8"/>
        <v>1</v>
      </c>
      <c r="AF3794" s="19">
        <f t="shared" si="13"/>
        <v>5</v>
      </c>
      <c r="AG3794" s="9"/>
      <c r="AH3794" s="9"/>
      <c r="AI3794" s="9"/>
    </row>
    <row r="3795" ht="15.0" customHeight="1">
      <c r="A3795" s="11">
        <v>3794.0</v>
      </c>
      <c r="B3795" s="12">
        <f t="shared" si="602"/>
        <v>40463</v>
      </c>
      <c r="C3795" s="13">
        <v>2010.0</v>
      </c>
      <c r="D3795" s="11" t="s">
        <v>39</v>
      </c>
      <c r="E3795" s="11">
        <v>22.0</v>
      </c>
      <c r="F3795" s="21" t="s">
        <v>1166</v>
      </c>
      <c r="G3795" s="15">
        <v>0.08231578947368422</v>
      </c>
      <c r="H3795" s="11" t="s">
        <v>33</v>
      </c>
      <c r="I3795" s="16">
        <v>1.2160000000000002</v>
      </c>
      <c r="J3795" s="11" t="s">
        <v>2052</v>
      </c>
      <c r="K3795" s="11" t="s">
        <v>65</v>
      </c>
      <c r="L3795" s="11" t="s">
        <v>27</v>
      </c>
      <c r="M3795" s="11" t="s">
        <v>28</v>
      </c>
      <c r="N3795" s="11" t="s">
        <v>56</v>
      </c>
      <c r="O3795" s="11" t="s">
        <v>2334</v>
      </c>
      <c r="P3795" s="11" t="s">
        <v>58</v>
      </c>
      <c r="Q3795" s="20">
        <v>40465.0</v>
      </c>
      <c r="R3795" s="17">
        <f t="shared" si="2"/>
        <v>8.611548632</v>
      </c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>
        <f t="shared" si="8"/>
        <v>1</v>
      </c>
      <c r="AF3795" s="19">
        <f t="shared" si="13"/>
        <v>5</v>
      </c>
      <c r="AG3795" s="9"/>
      <c r="AH3795" s="9"/>
      <c r="AI3795" s="9"/>
    </row>
    <row r="3796" ht="15.0" customHeight="1">
      <c r="A3796" s="11">
        <v>3795.0</v>
      </c>
      <c r="B3796" s="12">
        <f t="shared" si="602"/>
        <v>40463</v>
      </c>
      <c r="C3796" s="13">
        <v>2010.0</v>
      </c>
      <c r="D3796" s="11" t="s">
        <v>39</v>
      </c>
      <c r="E3796" s="11">
        <v>3.0</v>
      </c>
      <c r="F3796" s="21" t="s">
        <v>1144</v>
      </c>
      <c r="G3796" s="15">
        <v>0.06848196649352545</v>
      </c>
      <c r="H3796" s="11" t="s">
        <v>33</v>
      </c>
      <c r="I3796" s="16">
        <v>15.991999999999999</v>
      </c>
      <c r="J3796" s="11" t="s">
        <v>2052</v>
      </c>
      <c r="K3796" s="11" t="s">
        <v>65</v>
      </c>
      <c r="L3796" s="11" t="s">
        <v>27</v>
      </c>
      <c r="M3796" s="11" t="s">
        <v>28</v>
      </c>
      <c r="N3796" s="11" t="s">
        <v>29</v>
      </c>
      <c r="O3796" s="11" t="s">
        <v>1146</v>
      </c>
      <c r="P3796" s="11" t="s">
        <v>38</v>
      </c>
      <c r="Q3796" s="20">
        <v>40465.0</v>
      </c>
      <c r="R3796" s="17">
        <f t="shared" si="2"/>
        <v>87.19754008</v>
      </c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>
        <f t="shared" si="8"/>
        <v>1</v>
      </c>
      <c r="AF3796" s="19">
        <f t="shared" si="13"/>
        <v>5</v>
      </c>
      <c r="AG3796" s="9"/>
      <c r="AH3796" s="9"/>
      <c r="AI3796" s="9"/>
    </row>
    <row r="3797" ht="15.0" customHeight="1">
      <c r="A3797" s="11">
        <v>3796.0</v>
      </c>
      <c r="B3797" s="12">
        <f t="shared" si="602"/>
        <v>40463</v>
      </c>
      <c r="C3797" s="13">
        <v>2010.0</v>
      </c>
      <c r="D3797" s="11" t="s">
        <v>102</v>
      </c>
      <c r="E3797" s="11">
        <v>45.0</v>
      </c>
      <c r="F3797" s="21" t="s">
        <v>834</v>
      </c>
      <c r="G3797" s="15">
        <v>0.029809708821224946</v>
      </c>
      <c r="H3797" s="11" t="s">
        <v>45</v>
      </c>
      <c r="I3797" s="16">
        <v>38.608000000000004</v>
      </c>
      <c r="J3797" s="11" t="s">
        <v>1773</v>
      </c>
      <c r="K3797" s="11" t="s">
        <v>61</v>
      </c>
      <c r="L3797" s="11" t="s">
        <v>48</v>
      </c>
      <c r="M3797" s="11" t="s">
        <v>66</v>
      </c>
      <c r="N3797" s="11" t="s">
        <v>69</v>
      </c>
      <c r="O3797" s="11" t="s">
        <v>835</v>
      </c>
      <c r="P3797" s="11" t="s">
        <v>87</v>
      </c>
      <c r="Q3797" s="20">
        <v>40466.0</v>
      </c>
      <c r="R3797" s="17">
        <f t="shared" si="2"/>
        <v>538.9329452</v>
      </c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>
        <f t="shared" si="8"/>
        <v>4</v>
      </c>
      <c r="AF3797" s="19">
        <f t="shared" si="13"/>
        <v>4</v>
      </c>
      <c r="AG3797" s="9"/>
      <c r="AH3797" s="9"/>
      <c r="AI3797" s="9"/>
    </row>
    <row r="3798" ht="15.0" customHeight="1">
      <c r="A3798" s="11">
        <v>3797.0</v>
      </c>
      <c r="B3798" s="12">
        <f t="shared" si="602"/>
        <v>40463</v>
      </c>
      <c r="C3798" s="13">
        <v>2010.0</v>
      </c>
      <c r="D3798" s="11" t="s">
        <v>102</v>
      </c>
      <c r="E3798" s="11">
        <v>4.0</v>
      </c>
      <c r="F3798" s="21" t="s">
        <v>126</v>
      </c>
      <c r="G3798" s="15">
        <v>0.11662835249042147</v>
      </c>
      <c r="H3798" s="11" t="s">
        <v>24</v>
      </c>
      <c r="I3798" s="16">
        <v>3.4560000000000004</v>
      </c>
      <c r="J3798" s="11" t="s">
        <v>1450</v>
      </c>
      <c r="K3798" s="11" t="s">
        <v>65</v>
      </c>
      <c r="L3798" s="11" t="s">
        <v>48</v>
      </c>
      <c r="M3798" s="11" t="s">
        <v>66</v>
      </c>
      <c r="N3798" s="11" t="s">
        <v>67</v>
      </c>
      <c r="O3798" s="11" t="s">
        <v>2181</v>
      </c>
      <c r="P3798" s="11" t="s">
        <v>99</v>
      </c>
      <c r="Q3798" s="20">
        <v>40466.0</v>
      </c>
      <c r="R3798" s="17">
        <f t="shared" si="2"/>
        <v>2.688983295</v>
      </c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>
        <f t="shared" si="8"/>
        <v>4</v>
      </c>
      <c r="AF3798" s="19">
        <f t="shared" si="13"/>
        <v>5</v>
      </c>
      <c r="AG3798" s="9"/>
      <c r="AH3798" s="9"/>
      <c r="AI3798" s="9"/>
    </row>
    <row r="3799" ht="15.0" customHeight="1">
      <c r="A3799" s="11">
        <v>3798.0</v>
      </c>
      <c r="B3799" s="12">
        <f t="shared" si="602"/>
        <v>40463</v>
      </c>
      <c r="C3799" s="13">
        <v>2010.0</v>
      </c>
      <c r="D3799" s="11" t="s">
        <v>44</v>
      </c>
      <c r="E3799" s="11">
        <v>22.0</v>
      </c>
      <c r="F3799" s="21" t="s">
        <v>1038</v>
      </c>
      <c r="G3799" s="15">
        <v>0.04057712126417043</v>
      </c>
      <c r="H3799" s="11" t="s">
        <v>24</v>
      </c>
      <c r="I3799" s="16">
        <v>4.064</v>
      </c>
      <c r="J3799" s="11" t="s">
        <v>2058</v>
      </c>
      <c r="K3799" s="11" t="s">
        <v>83</v>
      </c>
      <c r="L3799" s="11" t="s">
        <v>27</v>
      </c>
      <c r="M3799" s="11" t="s">
        <v>28</v>
      </c>
      <c r="N3799" s="11" t="s">
        <v>56</v>
      </c>
      <c r="O3799" s="11" t="s">
        <v>1040</v>
      </c>
      <c r="P3799" s="11" t="s">
        <v>58</v>
      </c>
      <c r="Q3799" s="20">
        <v>40466.0</v>
      </c>
      <c r="R3799" s="17">
        <f t="shared" si="2"/>
        <v>33.99810913</v>
      </c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>
        <f t="shared" si="8"/>
        <v>1</v>
      </c>
      <c r="AF3799" s="19" t="b">
        <f t="shared" si="13"/>
        <v>0</v>
      </c>
      <c r="AG3799" s="9"/>
      <c r="AH3799" s="9"/>
      <c r="AI3799" s="9"/>
    </row>
    <row r="3800" ht="15.0" customHeight="1">
      <c r="A3800" s="11">
        <v>3799.0</v>
      </c>
      <c r="B3800" s="12">
        <f t="shared" si="602"/>
        <v>40463</v>
      </c>
      <c r="C3800" s="13">
        <v>2010.0</v>
      </c>
      <c r="D3800" s="11" t="s">
        <v>44</v>
      </c>
      <c r="E3800" s="11">
        <v>26.0</v>
      </c>
      <c r="F3800" s="21" t="s">
        <v>869</v>
      </c>
      <c r="G3800" s="15">
        <v>0.03505431410569742</v>
      </c>
      <c r="H3800" s="11" t="s">
        <v>33</v>
      </c>
      <c r="I3800" s="16">
        <v>2.232</v>
      </c>
      <c r="J3800" s="11" t="s">
        <v>2058</v>
      </c>
      <c r="K3800" s="11" t="s">
        <v>83</v>
      </c>
      <c r="L3800" s="11" t="s">
        <v>27</v>
      </c>
      <c r="M3800" s="11" t="s">
        <v>66</v>
      </c>
      <c r="N3800" s="11" t="s">
        <v>80</v>
      </c>
      <c r="O3800" s="11" t="s">
        <v>2403</v>
      </c>
      <c r="P3800" s="11" t="s">
        <v>38</v>
      </c>
      <c r="Q3800" s="20">
        <v>40466.0</v>
      </c>
      <c r="R3800" s="17">
        <f t="shared" si="2"/>
        <v>78.36854635</v>
      </c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>
        <f t="shared" si="8"/>
        <v>1</v>
      </c>
      <c r="AF3800" s="19" t="b">
        <f t="shared" si="13"/>
        <v>0</v>
      </c>
      <c r="AG3800" s="9"/>
      <c r="AH3800" s="9"/>
      <c r="AI3800" s="9"/>
    </row>
    <row r="3801" ht="15.0" customHeight="1">
      <c r="A3801" s="11">
        <v>3800.0</v>
      </c>
      <c r="B3801" s="12">
        <f t="shared" ref="B3801:B3804" si="603">DATE(2012,12,31)-810</f>
        <v>40464</v>
      </c>
      <c r="C3801" s="13">
        <v>2010.0</v>
      </c>
      <c r="D3801" s="11" t="s">
        <v>44</v>
      </c>
      <c r="E3801" s="11">
        <v>6.0</v>
      </c>
      <c r="F3801" s="21" t="s">
        <v>2454</v>
      </c>
      <c r="G3801" s="15">
        <v>0.0640887934121018</v>
      </c>
      <c r="H3801" s="11" t="s">
        <v>33</v>
      </c>
      <c r="I3801" s="16">
        <v>28.0</v>
      </c>
      <c r="J3801" s="11" t="s">
        <v>2081</v>
      </c>
      <c r="K3801" s="11" t="s">
        <v>117</v>
      </c>
      <c r="L3801" s="11" t="s">
        <v>36</v>
      </c>
      <c r="M3801" s="11" t="s">
        <v>28</v>
      </c>
      <c r="N3801" s="11" t="s">
        <v>29</v>
      </c>
      <c r="O3801" s="11" t="s">
        <v>2455</v>
      </c>
      <c r="P3801" s="11" t="s">
        <v>31</v>
      </c>
      <c r="Q3801" s="20">
        <v>40466.0</v>
      </c>
      <c r="R3801" s="17">
        <f t="shared" si="2"/>
        <v>16.7528106</v>
      </c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>
        <f t="shared" si="8"/>
        <v>2</v>
      </c>
      <c r="AF3801" s="19" t="b">
        <f t="shared" si="13"/>
        <v>0</v>
      </c>
      <c r="AG3801" s="9"/>
      <c r="AH3801" s="9"/>
      <c r="AI3801" s="9"/>
    </row>
    <row r="3802" ht="15.0" customHeight="1">
      <c r="A3802" s="11">
        <v>3801.0</v>
      </c>
      <c r="B3802" s="12">
        <f t="shared" si="603"/>
        <v>40464</v>
      </c>
      <c r="C3802" s="13">
        <v>2010.0</v>
      </c>
      <c r="D3802" s="11" t="s">
        <v>102</v>
      </c>
      <c r="E3802" s="11">
        <v>29.0</v>
      </c>
      <c r="F3802" s="21" t="s">
        <v>943</v>
      </c>
      <c r="G3802" s="15">
        <v>0.083205505576054</v>
      </c>
      <c r="H3802" s="11" t="s">
        <v>33</v>
      </c>
      <c r="I3802" s="16">
        <v>3.2</v>
      </c>
      <c r="J3802" s="11" t="s">
        <v>412</v>
      </c>
      <c r="K3802" s="11" t="s">
        <v>35</v>
      </c>
      <c r="L3802" s="11" t="s">
        <v>27</v>
      </c>
      <c r="M3802" s="11" t="s">
        <v>66</v>
      </c>
      <c r="N3802" s="11" t="s">
        <v>67</v>
      </c>
      <c r="O3802" s="11" t="s">
        <v>944</v>
      </c>
      <c r="P3802" s="11" t="s">
        <v>38</v>
      </c>
      <c r="Q3802" s="20">
        <v>40466.0</v>
      </c>
      <c r="R3802" s="17">
        <f t="shared" si="2"/>
        <v>368.0013101</v>
      </c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>
        <f t="shared" si="8"/>
        <v>1</v>
      </c>
      <c r="AF3802" s="19">
        <f t="shared" si="13"/>
        <v>2</v>
      </c>
      <c r="AG3802" s="9"/>
      <c r="AH3802" s="9"/>
      <c r="AI3802" s="9"/>
    </row>
    <row r="3803" ht="15.0" customHeight="1">
      <c r="A3803" s="11">
        <v>3802.0</v>
      </c>
      <c r="B3803" s="12">
        <f t="shared" si="603"/>
        <v>40464</v>
      </c>
      <c r="C3803" s="13">
        <v>2010.0</v>
      </c>
      <c r="D3803" s="11" t="s">
        <v>23</v>
      </c>
      <c r="E3803" s="11">
        <v>22.0</v>
      </c>
      <c r="F3803" s="21" t="s">
        <v>481</v>
      </c>
      <c r="G3803" s="15">
        <v>0.06748409485251605</v>
      </c>
      <c r="H3803" s="11" t="s">
        <v>33</v>
      </c>
      <c r="I3803" s="16">
        <v>1.592</v>
      </c>
      <c r="J3803" s="11" t="s">
        <v>1712</v>
      </c>
      <c r="K3803" s="11" t="s">
        <v>35</v>
      </c>
      <c r="L3803" s="11" t="s">
        <v>41</v>
      </c>
      <c r="M3803" s="11" t="s">
        <v>66</v>
      </c>
      <c r="N3803" s="11" t="s">
        <v>67</v>
      </c>
      <c r="O3803" s="11" t="s">
        <v>1631</v>
      </c>
      <c r="P3803" s="11" t="s">
        <v>99</v>
      </c>
      <c r="Q3803" s="20">
        <v>40467.0</v>
      </c>
      <c r="R3803" s="17">
        <f t="shared" si="2"/>
        <v>65.28357349</v>
      </c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>
        <f t="shared" si="8"/>
        <v>3</v>
      </c>
      <c r="AF3803" s="19">
        <f t="shared" si="13"/>
        <v>2</v>
      </c>
      <c r="AG3803" s="9"/>
      <c r="AH3803" s="9"/>
      <c r="AI3803" s="9"/>
    </row>
    <row r="3804" ht="15.0" customHeight="1">
      <c r="A3804" s="11">
        <v>3803.0</v>
      </c>
      <c r="B3804" s="12">
        <f t="shared" si="603"/>
        <v>40464</v>
      </c>
      <c r="C3804" s="13">
        <v>2010.0</v>
      </c>
      <c r="D3804" s="11" t="s">
        <v>102</v>
      </c>
      <c r="E3804" s="11">
        <v>1.0</v>
      </c>
      <c r="F3804" s="21" t="s">
        <v>493</v>
      </c>
      <c r="G3804" s="15">
        <v>0.07398897838066981</v>
      </c>
      <c r="H3804" s="11" t="s">
        <v>33</v>
      </c>
      <c r="I3804" s="16">
        <v>15.991999999999999</v>
      </c>
      <c r="J3804" s="11" t="s">
        <v>1061</v>
      </c>
      <c r="K3804" s="11" t="s">
        <v>26</v>
      </c>
      <c r="L3804" s="11" t="s">
        <v>36</v>
      </c>
      <c r="M3804" s="11" t="s">
        <v>28</v>
      </c>
      <c r="N3804" s="11" t="s">
        <v>42</v>
      </c>
      <c r="O3804" s="11" t="s">
        <v>495</v>
      </c>
      <c r="P3804" s="11" t="s">
        <v>38</v>
      </c>
      <c r="Q3804" s="20">
        <v>40467.0</v>
      </c>
      <c r="R3804" s="17">
        <f t="shared" si="2"/>
        <v>32.32519274</v>
      </c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>
        <f t="shared" si="8"/>
        <v>2</v>
      </c>
      <c r="AF3804" s="19">
        <f t="shared" si="13"/>
        <v>1</v>
      </c>
      <c r="AG3804" s="9"/>
      <c r="AH3804" s="9"/>
      <c r="AI3804" s="9"/>
    </row>
    <row r="3805" ht="15.0" customHeight="1">
      <c r="A3805" s="11">
        <v>3804.0</v>
      </c>
      <c r="B3805" s="12">
        <f t="shared" ref="B3805:B3809" si="604">DATE(2012,12,31)-809</f>
        <v>40465</v>
      </c>
      <c r="C3805" s="13">
        <v>2010.0</v>
      </c>
      <c r="D3805" s="11" t="s">
        <v>102</v>
      </c>
      <c r="E3805" s="11">
        <v>1.0</v>
      </c>
      <c r="F3805" s="21" t="s">
        <v>513</v>
      </c>
      <c r="G3805" s="15">
        <v>0.07780548628428925</v>
      </c>
      <c r="H3805" s="11" t="s">
        <v>45</v>
      </c>
      <c r="I3805" s="16">
        <v>24.0</v>
      </c>
      <c r="J3805" s="11" t="s">
        <v>34</v>
      </c>
      <c r="K3805" s="11" t="s">
        <v>35</v>
      </c>
      <c r="L3805" s="11" t="s">
        <v>36</v>
      </c>
      <c r="M3805" s="11" t="s">
        <v>49</v>
      </c>
      <c r="N3805" s="11" t="s">
        <v>50</v>
      </c>
      <c r="O3805" s="11" t="s">
        <v>515</v>
      </c>
      <c r="P3805" s="11" t="s">
        <v>52</v>
      </c>
      <c r="Q3805" s="20">
        <v>40467.0</v>
      </c>
      <c r="R3805" s="17">
        <f t="shared" si="2"/>
        <v>14.38623441</v>
      </c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>
        <f t="shared" si="8"/>
        <v>2</v>
      </c>
      <c r="AF3805" s="19">
        <f t="shared" si="13"/>
        <v>2</v>
      </c>
      <c r="AG3805" s="9"/>
      <c r="AH3805" s="9"/>
      <c r="AI3805" s="9"/>
    </row>
    <row r="3806" ht="15.0" customHeight="1">
      <c r="A3806" s="11">
        <v>3805.0</v>
      </c>
      <c r="B3806" s="12">
        <f t="shared" si="604"/>
        <v>40465</v>
      </c>
      <c r="C3806" s="13">
        <v>2010.0</v>
      </c>
      <c r="D3806" s="11" t="s">
        <v>32</v>
      </c>
      <c r="E3806" s="11">
        <v>10.0</v>
      </c>
      <c r="F3806" s="21" t="s">
        <v>1050</v>
      </c>
      <c r="G3806" s="15">
        <v>0.02537313432835811</v>
      </c>
      <c r="H3806" s="11" t="s">
        <v>33</v>
      </c>
      <c r="I3806" s="16">
        <v>12.08</v>
      </c>
      <c r="J3806" s="11" t="s">
        <v>152</v>
      </c>
      <c r="K3806" s="11" t="s">
        <v>61</v>
      </c>
      <c r="L3806" s="11" t="s">
        <v>27</v>
      </c>
      <c r="M3806" s="11" t="s">
        <v>28</v>
      </c>
      <c r="N3806" s="11" t="s">
        <v>42</v>
      </c>
      <c r="O3806" s="11" t="s">
        <v>1052</v>
      </c>
      <c r="P3806" s="11" t="s">
        <v>38</v>
      </c>
      <c r="Q3806" s="20">
        <v>40467.0</v>
      </c>
      <c r="R3806" s="17">
        <f t="shared" si="2"/>
        <v>5.964716418</v>
      </c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>
        <f t="shared" si="8"/>
        <v>1</v>
      </c>
      <c r="AF3806" s="19">
        <f t="shared" si="13"/>
        <v>4</v>
      </c>
      <c r="AG3806" s="9"/>
      <c r="AH3806" s="9"/>
      <c r="AI3806" s="9"/>
    </row>
    <row r="3807" ht="15.0" customHeight="1">
      <c r="A3807" s="11">
        <v>3806.0</v>
      </c>
      <c r="B3807" s="12">
        <f t="shared" si="604"/>
        <v>40465</v>
      </c>
      <c r="C3807" s="13">
        <v>2010.0</v>
      </c>
      <c r="D3807" s="11" t="s">
        <v>32</v>
      </c>
      <c r="E3807" s="11">
        <v>39.0</v>
      </c>
      <c r="F3807" s="21" t="s">
        <v>130</v>
      </c>
      <c r="G3807" s="15">
        <v>0.026974896064872113</v>
      </c>
      <c r="H3807" s="11" t="s">
        <v>24</v>
      </c>
      <c r="I3807" s="16">
        <v>5.2</v>
      </c>
      <c r="J3807" s="11" t="s">
        <v>152</v>
      </c>
      <c r="K3807" s="11" t="s">
        <v>61</v>
      </c>
      <c r="L3807" s="11" t="s">
        <v>27</v>
      </c>
      <c r="M3807" s="11" t="s">
        <v>66</v>
      </c>
      <c r="N3807" s="11" t="s">
        <v>67</v>
      </c>
      <c r="O3807" s="11" t="s">
        <v>1305</v>
      </c>
      <c r="P3807" s="11" t="s">
        <v>38</v>
      </c>
      <c r="Q3807" s="20">
        <v>40467.0</v>
      </c>
      <c r="R3807" s="17">
        <f t="shared" si="2"/>
        <v>32.64771671</v>
      </c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>
        <f t="shared" si="8"/>
        <v>1</v>
      </c>
      <c r="AF3807" s="19">
        <f t="shared" si="13"/>
        <v>4</v>
      </c>
      <c r="AG3807" s="9"/>
      <c r="AH3807" s="9"/>
      <c r="AI3807" s="9"/>
    </row>
    <row r="3808" ht="15.0" customHeight="1">
      <c r="A3808" s="11">
        <v>3807.0</v>
      </c>
      <c r="B3808" s="12">
        <f t="shared" si="604"/>
        <v>40465</v>
      </c>
      <c r="C3808" s="13">
        <v>2010.0</v>
      </c>
      <c r="D3808" s="11" t="s">
        <v>32</v>
      </c>
      <c r="E3808" s="11">
        <v>12.0</v>
      </c>
      <c r="F3808" s="21" t="s">
        <v>569</v>
      </c>
      <c r="G3808" s="15">
        <v>0.08366999572533322</v>
      </c>
      <c r="H3808" s="11" t="s">
        <v>33</v>
      </c>
      <c r="I3808" s="16">
        <v>7.192</v>
      </c>
      <c r="J3808" s="11" t="s">
        <v>152</v>
      </c>
      <c r="K3808" s="11" t="s">
        <v>61</v>
      </c>
      <c r="L3808" s="11" t="s">
        <v>27</v>
      </c>
      <c r="M3808" s="11" t="s">
        <v>66</v>
      </c>
      <c r="N3808" s="11" t="s">
        <v>80</v>
      </c>
      <c r="O3808" s="11" t="s">
        <v>755</v>
      </c>
      <c r="P3808" s="11" t="s">
        <v>38</v>
      </c>
      <c r="Q3808" s="20">
        <v>40467.0</v>
      </c>
      <c r="R3808" s="17">
        <f t="shared" si="2"/>
        <v>197.2931806</v>
      </c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>
        <f t="shared" si="8"/>
        <v>1</v>
      </c>
      <c r="AF3808" s="19">
        <f t="shared" si="13"/>
        <v>4</v>
      </c>
      <c r="AG3808" s="9"/>
      <c r="AH3808" s="9"/>
      <c r="AI3808" s="9"/>
    </row>
    <row r="3809" ht="15.0" customHeight="1">
      <c r="A3809" s="11">
        <v>3808.0</v>
      </c>
      <c r="B3809" s="12">
        <f t="shared" si="604"/>
        <v>40465</v>
      </c>
      <c r="C3809" s="13">
        <v>2010.0</v>
      </c>
      <c r="D3809" s="11" t="s">
        <v>39</v>
      </c>
      <c r="E3809" s="11">
        <v>39.0</v>
      </c>
      <c r="F3809" s="21" t="s">
        <v>319</v>
      </c>
      <c r="G3809" s="15">
        <v>0.06191126279863493</v>
      </c>
      <c r="H3809" s="11" t="s">
        <v>33</v>
      </c>
      <c r="I3809" s="16">
        <v>0.7440000000000001</v>
      </c>
      <c r="J3809" s="11" t="s">
        <v>1634</v>
      </c>
      <c r="K3809" s="11" t="s">
        <v>65</v>
      </c>
      <c r="L3809" s="11" t="s">
        <v>41</v>
      </c>
      <c r="M3809" s="11" t="s">
        <v>28</v>
      </c>
      <c r="N3809" s="11" t="s">
        <v>62</v>
      </c>
      <c r="O3809" s="11" t="s">
        <v>1427</v>
      </c>
      <c r="P3809" s="11" t="s">
        <v>58</v>
      </c>
      <c r="Q3809" s="20">
        <v>40467.0</v>
      </c>
      <c r="R3809" s="17">
        <f t="shared" si="2"/>
        <v>6.806771877</v>
      </c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>
        <f t="shared" si="8"/>
        <v>3</v>
      </c>
      <c r="AF3809" s="19">
        <f t="shared" si="13"/>
        <v>5</v>
      </c>
      <c r="AG3809" s="9"/>
      <c r="AH3809" s="9"/>
      <c r="AI3809" s="9"/>
    </row>
    <row r="3810" ht="15.0" customHeight="1">
      <c r="A3810" s="11">
        <v>3809.0</v>
      </c>
      <c r="B3810" s="12">
        <f t="shared" ref="B3810:B3818" si="605">DATE(2012,12,31)-808</f>
        <v>40466</v>
      </c>
      <c r="C3810" s="13">
        <v>2010.0</v>
      </c>
      <c r="D3810" s="11" t="s">
        <v>44</v>
      </c>
      <c r="E3810" s="11">
        <v>34.0</v>
      </c>
      <c r="F3810" s="21" t="s">
        <v>1452</v>
      </c>
      <c r="G3810" s="15">
        <v>0.020427195380566768</v>
      </c>
      <c r="H3810" s="11" t="s">
        <v>45</v>
      </c>
      <c r="I3810" s="16">
        <v>39.2</v>
      </c>
      <c r="J3810" s="11" t="s">
        <v>232</v>
      </c>
      <c r="K3810" s="11" t="s">
        <v>47</v>
      </c>
      <c r="L3810" s="11" t="s">
        <v>41</v>
      </c>
      <c r="M3810" s="11" t="s">
        <v>66</v>
      </c>
      <c r="N3810" s="11" t="s">
        <v>170</v>
      </c>
      <c r="O3810" s="11" t="s">
        <v>1453</v>
      </c>
      <c r="P3810" s="11" t="s">
        <v>52</v>
      </c>
      <c r="Q3810" s="20">
        <v>40467.0</v>
      </c>
      <c r="R3810" s="17">
        <f t="shared" si="2"/>
        <v>313.2673829</v>
      </c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>
        <f t="shared" si="8"/>
        <v>3</v>
      </c>
      <c r="AF3810" s="19">
        <f t="shared" si="13"/>
        <v>3</v>
      </c>
      <c r="AG3810" s="9"/>
      <c r="AH3810" s="9"/>
      <c r="AI3810" s="9"/>
    </row>
    <row r="3811" ht="15.0" customHeight="1">
      <c r="A3811" s="11">
        <v>3810.0</v>
      </c>
      <c r="B3811" s="12">
        <f t="shared" si="605"/>
        <v>40466</v>
      </c>
      <c r="C3811" s="13">
        <v>2010.0</v>
      </c>
      <c r="D3811" s="11" t="s">
        <v>44</v>
      </c>
      <c r="E3811" s="11">
        <v>14.0</v>
      </c>
      <c r="F3811" s="21" t="s">
        <v>259</v>
      </c>
      <c r="G3811" s="15">
        <v>0.1038002171552659</v>
      </c>
      <c r="H3811" s="11" t="s">
        <v>33</v>
      </c>
      <c r="I3811" s="16">
        <v>6.88</v>
      </c>
      <c r="J3811" s="11" t="s">
        <v>232</v>
      </c>
      <c r="K3811" s="11" t="s">
        <v>47</v>
      </c>
      <c r="L3811" s="11" t="s">
        <v>41</v>
      </c>
      <c r="M3811" s="11" t="s">
        <v>28</v>
      </c>
      <c r="N3811" s="11" t="s">
        <v>29</v>
      </c>
      <c r="O3811" s="11" t="s">
        <v>1680</v>
      </c>
      <c r="P3811" s="11" t="s">
        <v>38</v>
      </c>
      <c r="Q3811" s="20">
        <v>40467.0</v>
      </c>
      <c r="R3811" s="17">
        <f t="shared" si="2"/>
        <v>17.13533985</v>
      </c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>
        <f t="shared" si="8"/>
        <v>3</v>
      </c>
      <c r="AF3811" s="19">
        <f t="shared" si="13"/>
        <v>3</v>
      </c>
      <c r="AG3811" s="9"/>
      <c r="AH3811" s="9"/>
      <c r="AI3811" s="9"/>
    </row>
    <row r="3812" ht="15.0" customHeight="1">
      <c r="A3812" s="11">
        <v>3811.0</v>
      </c>
      <c r="B3812" s="12">
        <f t="shared" si="605"/>
        <v>40466</v>
      </c>
      <c r="C3812" s="13">
        <v>2010.0</v>
      </c>
      <c r="D3812" s="11" t="s">
        <v>44</v>
      </c>
      <c r="E3812" s="11">
        <v>28.0</v>
      </c>
      <c r="F3812" s="21" t="s">
        <v>834</v>
      </c>
      <c r="G3812" s="15">
        <v>0.09184077917261291</v>
      </c>
      <c r="H3812" s="11" t="s">
        <v>45</v>
      </c>
      <c r="I3812" s="16">
        <v>38.608000000000004</v>
      </c>
      <c r="J3812" s="11" t="s">
        <v>232</v>
      </c>
      <c r="K3812" s="11" t="s">
        <v>47</v>
      </c>
      <c r="L3812" s="11" t="s">
        <v>41</v>
      </c>
      <c r="M3812" s="11" t="s">
        <v>66</v>
      </c>
      <c r="N3812" s="11" t="s">
        <v>69</v>
      </c>
      <c r="O3812" s="11" t="s">
        <v>835</v>
      </c>
      <c r="P3812" s="11" t="s">
        <v>87</v>
      </c>
      <c r="Q3812" s="20">
        <v>40468.0</v>
      </c>
      <c r="R3812" s="17">
        <f t="shared" si="2"/>
        <v>1034.476903</v>
      </c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>
        <f t="shared" si="8"/>
        <v>3</v>
      </c>
      <c r="AF3812" s="19">
        <f t="shared" si="13"/>
        <v>3</v>
      </c>
      <c r="AG3812" s="9"/>
      <c r="AH3812" s="9"/>
      <c r="AI3812" s="9"/>
    </row>
    <row r="3813" ht="15.0" customHeight="1">
      <c r="A3813" s="11">
        <v>3812.0</v>
      </c>
      <c r="B3813" s="12">
        <f t="shared" si="605"/>
        <v>40466</v>
      </c>
      <c r="C3813" s="13">
        <v>2010.0</v>
      </c>
      <c r="D3813" s="11" t="s">
        <v>44</v>
      </c>
      <c r="E3813" s="11">
        <v>36.0</v>
      </c>
      <c r="F3813" s="21" t="s">
        <v>889</v>
      </c>
      <c r="G3813" s="15">
        <v>0.005918314924222896</v>
      </c>
      <c r="H3813" s="11" t="s">
        <v>33</v>
      </c>
      <c r="I3813" s="16">
        <v>7.192</v>
      </c>
      <c r="J3813" s="11" t="s">
        <v>232</v>
      </c>
      <c r="K3813" s="11" t="s">
        <v>47</v>
      </c>
      <c r="L3813" s="11" t="s">
        <v>41</v>
      </c>
      <c r="M3813" s="11" t="s">
        <v>28</v>
      </c>
      <c r="N3813" s="11" t="s">
        <v>62</v>
      </c>
      <c r="O3813" s="11" t="s">
        <v>890</v>
      </c>
      <c r="P3813" s="11" t="s">
        <v>99</v>
      </c>
      <c r="Q3813" s="20">
        <v>40468.0</v>
      </c>
      <c r="R3813" s="17">
        <f t="shared" si="2"/>
        <v>4.580728405</v>
      </c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>
        <f t="shared" si="8"/>
        <v>3</v>
      </c>
      <c r="AF3813" s="19">
        <f t="shared" si="13"/>
        <v>3</v>
      </c>
      <c r="AG3813" s="9"/>
      <c r="AH3813" s="9"/>
      <c r="AI3813" s="9"/>
    </row>
    <row r="3814" ht="15.0" customHeight="1">
      <c r="A3814" s="11">
        <v>3813.0</v>
      </c>
      <c r="B3814" s="12">
        <f t="shared" si="605"/>
        <v>40466</v>
      </c>
      <c r="C3814" s="13">
        <v>2010.0</v>
      </c>
      <c r="D3814" s="11" t="s">
        <v>39</v>
      </c>
      <c r="E3814" s="11">
        <v>26.0</v>
      </c>
      <c r="F3814" s="21" t="s">
        <v>762</v>
      </c>
      <c r="G3814" s="15">
        <v>0.046885644768856434</v>
      </c>
      <c r="H3814" s="11" t="s">
        <v>33</v>
      </c>
      <c r="I3814" s="16">
        <v>3.9840000000000004</v>
      </c>
      <c r="J3814" s="11" t="s">
        <v>689</v>
      </c>
      <c r="K3814" s="11" t="s">
        <v>117</v>
      </c>
      <c r="L3814" s="11" t="s">
        <v>36</v>
      </c>
      <c r="M3814" s="11" t="s">
        <v>28</v>
      </c>
      <c r="N3814" s="11" t="s">
        <v>197</v>
      </c>
      <c r="O3814" s="11" t="s">
        <v>1001</v>
      </c>
      <c r="P3814" s="11" t="s">
        <v>38</v>
      </c>
      <c r="Q3814" s="20">
        <v>40468.0</v>
      </c>
      <c r="R3814" s="17">
        <f t="shared" si="2"/>
        <v>14.6932109</v>
      </c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>
        <f t="shared" si="8"/>
        <v>2</v>
      </c>
      <c r="AF3814" s="19" t="b">
        <f t="shared" si="13"/>
        <v>0</v>
      </c>
      <c r="AG3814" s="9"/>
      <c r="AH3814" s="9"/>
      <c r="AI3814" s="9"/>
    </row>
    <row r="3815" ht="15.0" customHeight="1">
      <c r="A3815" s="11">
        <v>3814.0</v>
      </c>
      <c r="B3815" s="12">
        <f t="shared" si="605"/>
        <v>40466</v>
      </c>
      <c r="C3815" s="13">
        <v>2010.0</v>
      </c>
      <c r="D3815" s="11" t="s">
        <v>39</v>
      </c>
      <c r="E3815" s="11">
        <v>34.0</v>
      </c>
      <c r="F3815" s="21" t="s">
        <v>1184</v>
      </c>
      <c r="G3815" s="15">
        <v>0.08499008473048505</v>
      </c>
      <c r="H3815" s="11" t="s">
        <v>24</v>
      </c>
      <c r="I3815" s="16">
        <v>5.312</v>
      </c>
      <c r="J3815" s="11" t="s">
        <v>689</v>
      </c>
      <c r="K3815" s="11" t="s">
        <v>117</v>
      </c>
      <c r="L3815" s="11" t="s">
        <v>36</v>
      </c>
      <c r="M3815" s="11" t="s">
        <v>28</v>
      </c>
      <c r="N3815" s="11" t="s">
        <v>29</v>
      </c>
      <c r="O3815" s="11" t="s">
        <v>1186</v>
      </c>
      <c r="P3815" s="11" t="s">
        <v>38</v>
      </c>
      <c r="Q3815" s="20">
        <v>40468.0</v>
      </c>
      <c r="R3815" s="17">
        <f t="shared" si="2"/>
        <v>86.27445489</v>
      </c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>
        <f t="shared" si="8"/>
        <v>2</v>
      </c>
      <c r="AF3815" s="19" t="b">
        <f t="shared" si="13"/>
        <v>0</v>
      </c>
      <c r="AG3815" s="9"/>
      <c r="AH3815" s="9"/>
      <c r="AI3815" s="9"/>
    </row>
    <row r="3816" ht="15.0" customHeight="1">
      <c r="A3816" s="11">
        <v>3815.0</v>
      </c>
      <c r="B3816" s="12">
        <f t="shared" si="605"/>
        <v>40466</v>
      </c>
      <c r="C3816" s="13">
        <v>2010.0</v>
      </c>
      <c r="D3816" s="11" t="s">
        <v>39</v>
      </c>
      <c r="E3816" s="11">
        <v>23.0</v>
      </c>
      <c r="F3816" s="21" t="s">
        <v>1774</v>
      </c>
      <c r="G3816" s="15">
        <v>0.031169946960066502</v>
      </c>
      <c r="H3816" s="11" t="s">
        <v>33</v>
      </c>
      <c r="I3816" s="16">
        <v>15.991999999999999</v>
      </c>
      <c r="J3816" s="11" t="s">
        <v>689</v>
      </c>
      <c r="K3816" s="11" t="s">
        <v>117</v>
      </c>
      <c r="L3816" s="11" t="s">
        <v>36</v>
      </c>
      <c r="M3816" s="11" t="s">
        <v>28</v>
      </c>
      <c r="N3816" s="11" t="s">
        <v>29</v>
      </c>
      <c r="O3816" s="11" t="s">
        <v>1775</v>
      </c>
      <c r="P3816" s="11" t="s">
        <v>38</v>
      </c>
      <c r="Q3816" s="20">
        <v>40469.0</v>
      </c>
      <c r="R3816" s="17">
        <f t="shared" si="2"/>
        <v>68.89156741</v>
      </c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>
        <f t="shared" si="8"/>
        <v>2</v>
      </c>
      <c r="AF3816" s="19" t="b">
        <f t="shared" si="13"/>
        <v>0</v>
      </c>
      <c r="AG3816" s="9"/>
      <c r="AH3816" s="9"/>
      <c r="AI3816" s="9"/>
    </row>
    <row r="3817" ht="15.0" customHeight="1">
      <c r="A3817" s="11">
        <v>3816.0</v>
      </c>
      <c r="B3817" s="12">
        <f t="shared" si="605"/>
        <v>40466</v>
      </c>
      <c r="C3817" s="13">
        <v>2010.0</v>
      </c>
      <c r="D3817" s="11" t="s">
        <v>44</v>
      </c>
      <c r="E3817" s="11">
        <v>31.0</v>
      </c>
      <c r="F3817" s="21" t="s">
        <v>1548</v>
      </c>
      <c r="G3817" s="15">
        <v>0.061592367736340047</v>
      </c>
      <c r="H3817" s="11" t="s">
        <v>33</v>
      </c>
      <c r="I3817" s="16">
        <v>1.592</v>
      </c>
      <c r="J3817" s="11" t="s">
        <v>533</v>
      </c>
      <c r="K3817" s="11" t="s">
        <v>35</v>
      </c>
      <c r="L3817" s="11" t="s">
        <v>48</v>
      </c>
      <c r="M3817" s="11" t="s">
        <v>66</v>
      </c>
      <c r="N3817" s="11" t="s">
        <v>67</v>
      </c>
      <c r="O3817" s="11" t="s">
        <v>1549</v>
      </c>
      <c r="P3817" s="11" t="s">
        <v>99</v>
      </c>
      <c r="Q3817" s="20">
        <v>40469.0</v>
      </c>
      <c r="R3817" s="17">
        <f t="shared" si="2"/>
        <v>33.32097821</v>
      </c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>
        <f t="shared" si="8"/>
        <v>4</v>
      </c>
      <c r="AF3817" s="19">
        <f t="shared" si="13"/>
        <v>2</v>
      </c>
      <c r="AG3817" s="9"/>
      <c r="AH3817" s="9"/>
      <c r="AI3817" s="9"/>
    </row>
    <row r="3818" ht="15.0" customHeight="1">
      <c r="A3818" s="11">
        <v>3817.0</v>
      </c>
      <c r="B3818" s="12">
        <f t="shared" si="605"/>
        <v>40466</v>
      </c>
      <c r="C3818" s="13">
        <v>2010.0</v>
      </c>
      <c r="D3818" s="11" t="s">
        <v>44</v>
      </c>
      <c r="E3818" s="11">
        <v>32.0</v>
      </c>
      <c r="F3818" s="21" t="s">
        <v>2094</v>
      </c>
      <c r="G3818" s="15">
        <v>0.05875453188313076</v>
      </c>
      <c r="H3818" s="11" t="s">
        <v>24</v>
      </c>
      <c r="I3818" s="16">
        <v>8.6</v>
      </c>
      <c r="J3818" s="11" t="s">
        <v>533</v>
      </c>
      <c r="K3818" s="11" t="s">
        <v>35</v>
      </c>
      <c r="L3818" s="11" t="s">
        <v>48</v>
      </c>
      <c r="M3818" s="11" t="s">
        <v>28</v>
      </c>
      <c r="N3818" s="11" t="s">
        <v>56</v>
      </c>
      <c r="O3818" s="11" t="s">
        <v>2096</v>
      </c>
      <c r="P3818" s="11" t="s">
        <v>38</v>
      </c>
      <c r="Q3818" s="20">
        <v>40469.0</v>
      </c>
      <c r="R3818" s="17">
        <f t="shared" si="2"/>
        <v>103.7252506</v>
      </c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>
        <f t="shared" si="8"/>
        <v>4</v>
      </c>
      <c r="AF3818" s="19">
        <f t="shared" si="13"/>
        <v>2</v>
      </c>
      <c r="AG3818" s="9"/>
      <c r="AH3818" s="9"/>
      <c r="AI3818" s="9"/>
    </row>
    <row r="3819" ht="15.0" customHeight="1">
      <c r="A3819" s="11">
        <v>3818.0</v>
      </c>
      <c r="B3819" s="12">
        <f t="shared" ref="B3819:B3825" si="606">DATE(2012,12,31)-807</f>
        <v>40467</v>
      </c>
      <c r="C3819" s="13">
        <v>2010.0</v>
      </c>
      <c r="D3819" s="11" t="s">
        <v>44</v>
      </c>
      <c r="E3819" s="11">
        <v>9.0</v>
      </c>
      <c r="F3819" s="21" t="s">
        <v>287</v>
      </c>
      <c r="G3819" s="15">
        <v>0.05807020702070193</v>
      </c>
      <c r="H3819" s="11" t="s">
        <v>33</v>
      </c>
      <c r="I3819" s="16">
        <v>3.3840000000000003</v>
      </c>
      <c r="J3819" s="11" t="s">
        <v>2165</v>
      </c>
      <c r="K3819" s="11" t="s">
        <v>83</v>
      </c>
      <c r="L3819" s="11" t="s">
        <v>48</v>
      </c>
      <c r="M3819" s="11" t="s">
        <v>66</v>
      </c>
      <c r="N3819" s="11" t="s">
        <v>80</v>
      </c>
      <c r="O3819" s="11" t="s">
        <v>1718</v>
      </c>
      <c r="P3819" s="11" t="s">
        <v>38</v>
      </c>
      <c r="Q3819" s="20">
        <v>40469.0</v>
      </c>
      <c r="R3819" s="17">
        <f t="shared" si="2"/>
        <v>60.76954252</v>
      </c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>
        <f t="shared" si="8"/>
        <v>4</v>
      </c>
      <c r="AF3819" s="19" t="b">
        <f t="shared" si="13"/>
        <v>0</v>
      </c>
      <c r="AG3819" s="9"/>
      <c r="AH3819" s="9"/>
      <c r="AI3819" s="9"/>
    </row>
    <row r="3820" ht="15.0" customHeight="1">
      <c r="A3820" s="11">
        <v>3819.0</v>
      </c>
      <c r="B3820" s="12">
        <f t="shared" si="606"/>
        <v>40467</v>
      </c>
      <c r="C3820" s="13">
        <v>2010.0</v>
      </c>
      <c r="D3820" s="11" t="s">
        <v>23</v>
      </c>
      <c r="E3820" s="11">
        <v>3.0</v>
      </c>
      <c r="F3820" s="21" t="s">
        <v>1154</v>
      </c>
      <c r="G3820" s="15">
        <v>0.10414358974358985</v>
      </c>
      <c r="H3820" s="11" t="s">
        <v>33</v>
      </c>
      <c r="I3820" s="16">
        <v>15.991999999999999</v>
      </c>
      <c r="J3820" s="11" t="s">
        <v>1252</v>
      </c>
      <c r="K3820" s="11" t="s">
        <v>35</v>
      </c>
      <c r="L3820" s="11" t="s">
        <v>27</v>
      </c>
      <c r="M3820" s="11" t="s">
        <v>28</v>
      </c>
      <c r="N3820" s="11" t="s">
        <v>29</v>
      </c>
      <c r="O3820" s="11" t="s">
        <v>1155</v>
      </c>
      <c r="P3820" s="11" t="s">
        <v>38</v>
      </c>
      <c r="Q3820" s="20">
        <v>40469.0</v>
      </c>
      <c r="R3820" s="17">
        <f t="shared" si="2"/>
        <v>18.19305198</v>
      </c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>
        <f t="shared" si="8"/>
        <v>1</v>
      </c>
      <c r="AF3820" s="19">
        <f t="shared" si="13"/>
        <v>2</v>
      </c>
      <c r="AG3820" s="9"/>
      <c r="AH3820" s="9"/>
      <c r="AI3820" s="9"/>
    </row>
    <row r="3821" ht="15.0" customHeight="1">
      <c r="A3821" s="11">
        <v>3820.0</v>
      </c>
      <c r="B3821" s="12">
        <f t="shared" si="606"/>
        <v>40467</v>
      </c>
      <c r="C3821" s="13">
        <v>2010.0</v>
      </c>
      <c r="D3821" s="11" t="s">
        <v>23</v>
      </c>
      <c r="E3821" s="11">
        <v>31.0</v>
      </c>
      <c r="F3821" s="21" t="s">
        <v>790</v>
      </c>
      <c r="G3821" s="15">
        <v>0.0492831541218638</v>
      </c>
      <c r="H3821" s="11" t="s">
        <v>33</v>
      </c>
      <c r="I3821" s="16">
        <v>3.2</v>
      </c>
      <c r="J3821" s="11" t="s">
        <v>1252</v>
      </c>
      <c r="K3821" s="11" t="s">
        <v>35</v>
      </c>
      <c r="L3821" s="11" t="s">
        <v>27</v>
      </c>
      <c r="M3821" s="11" t="s">
        <v>66</v>
      </c>
      <c r="N3821" s="11" t="s">
        <v>67</v>
      </c>
      <c r="O3821" s="11" t="s">
        <v>791</v>
      </c>
      <c r="P3821" s="11" t="s">
        <v>38</v>
      </c>
      <c r="Q3821" s="20">
        <v>40470.0</v>
      </c>
      <c r="R3821" s="17">
        <f t="shared" si="2"/>
        <v>47.06048387</v>
      </c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>
        <f t="shared" si="8"/>
        <v>1</v>
      </c>
      <c r="AF3821" s="19">
        <f t="shared" si="13"/>
        <v>2</v>
      </c>
      <c r="AG3821" s="9"/>
      <c r="AH3821" s="9"/>
      <c r="AI3821" s="9"/>
    </row>
    <row r="3822" ht="15.0" customHeight="1">
      <c r="A3822" s="11">
        <v>3821.0</v>
      </c>
      <c r="B3822" s="12">
        <f t="shared" si="606"/>
        <v>40467</v>
      </c>
      <c r="C3822" s="13">
        <v>2010.0</v>
      </c>
      <c r="D3822" s="11" t="s">
        <v>23</v>
      </c>
      <c r="E3822" s="11">
        <v>47.0</v>
      </c>
      <c r="F3822" s="21" t="s">
        <v>126</v>
      </c>
      <c r="G3822" s="15">
        <v>0.08869227784245233</v>
      </c>
      <c r="H3822" s="11" t="s">
        <v>24</v>
      </c>
      <c r="I3822" s="16">
        <v>4.544</v>
      </c>
      <c r="J3822" s="11" t="s">
        <v>1252</v>
      </c>
      <c r="K3822" s="11" t="s">
        <v>35</v>
      </c>
      <c r="L3822" s="11" t="s">
        <v>27</v>
      </c>
      <c r="M3822" s="11" t="s">
        <v>28</v>
      </c>
      <c r="N3822" s="11" t="s">
        <v>42</v>
      </c>
      <c r="O3822" s="11" t="s">
        <v>1022</v>
      </c>
      <c r="P3822" s="11" t="s">
        <v>38</v>
      </c>
      <c r="Q3822" s="20">
        <v>40470.0</v>
      </c>
      <c r="R3822" s="17">
        <f t="shared" si="2"/>
        <v>20.8288493</v>
      </c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>
        <f t="shared" si="8"/>
        <v>1</v>
      </c>
      <c r="AF3822" s="19">
        <f t="shared" si="13"/>
        <v>2</v>
      </c>
      <c r="AG3822" s="9"/>
      <c r="AH3822" s="9"/>
      <c r="AI3822" s="9"/>
    </row>
    <row r="3823" ht="15.0" customHeight="1">
      <c r="A3823" s="11">
        <v>3822.0</v>
      </c>
      <c r="B3823" s="12">
        <f t="shared" si="606"/>
        <v>40467</v>
      </c>
      <c r="C3823" s="13">
        <v>2010.0</v>
      </c>
      <c r="D3823" s="11" t="s">
        <v>44</v>
      </c>
      <c r="E3823" s="11">
        <v>33.0</v>
      </c>
      <c r="F3823" s="21" t="s">
        <v>1504</v>
      </c>
      <c r="G3823" s="15">
        <v>0.029787717457230724</v>
      </c>
      <c r="H3823" s="11" t="s">
        <v>24</v>
      </c>
      <c r="I3823" s="16">
        <v>15.991999999999999</v>
      </c>
      <c r="J3823" s="11" t="s">
        <v>2084</v>
      </c>
      <c r="K3823" s="11" t="s">
        <v>61</v>
      </c>
      <c r="L3823" s="11" t="s">
        <v>48</v>
      </c>
      <c r="M3823" s="11" t="s">
        <v>28</v>
      </c>
      <c r="N3823" s="11" t="s">
        <v>42</v>
      </c>
      <c r="O3823" s="11" t="s">
        <v>1505</v>
      </c>
      <c r="P3823" s="11" t="s">
        <v>38</v>
      </c>
      <c r="Q3823" s="20">
        <v>40471.0</v>
      </c>
      <c r="R3823" s="17">
        <f t="shared" si="2"/>
        <v>300.1914419</v>
      </c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>
        <f t="shared" si="8"/>
        <v>4</v>
      </c>
      <c r="AF3823" s="19">
        <f t="shared" si="13"/>
        <v>4</v>
      </c>
      <c r="AG3823" s="9"/>
      <c r="AH3823" s="9"/>
      <c r="AI3823" s="9"/>
    </row>
    <row r="3824" ht="15.0" customHeight="1">
      <c r="A3824" s="11">
        <v>3823.0</v>
      </c>
      <c r="B3824" s="12">
        <f t="shared" si="606"/>
        <v>40467</v>
      </c>
      <c r="C3824" s="13">
        <v>2010.0</v>
      </c>
      <c r="D3824" s="11" t="s">
        <v>102</v>
      </c>
      <c r="E3824" s="11">
        <v>4.0</v>
      </c>
      <c r="F3824" s="21" t="s">
        <v>413</v>
      </c>
      <c r="G3824" s="15">
        <v>0.05999999999999998</v>
      </c>
      <c r="H3824" s="11" t="s">
        <v>24</v>
      </c>
      <c r="I3824" s="16">
        <v>4.816</v>
      </c>
      <c r="J3824" s="11" t="s">
        <v>873</v>
      </c>
      <c r="K3824" s="11" t="s">
        <v>83</v>
      </c>
      <c r="L3824" s="11" t="s">
        <v>41</v>
      </c>
      <c r="M3824" s="11" t="s">
        <v>49</v>
      </c>
      <c r="N3824" s="11" t="s">
        <v>73</v>
      </c>
      <c r="O3824" s="11" t="s">
        <v>1102</v>
      </c>
      <c r="P3824" s="11" t="s">
        <v>75</v>
      </c>
      <c r="Q3824" s="20">
        <v>40471.0</v>
      </c>
      <c r="R3824" s="17">
        <f t="shared" si="2"/>
        <v>2.61696</v>
      </c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>
        <f t="shared" si="8"/>
        <v>3</v>
      </c>
      <c r="AF3824" s="19" t="b">
        <f t="shared" si="13"/>
        <v>0</v>
      </c>
      <c r="AG3824" s="9"/>
      <c r="AH3824" s="9"/>
      <c r="AI3824" s="9"/>
    </row>
    <row r="3825" ht="15.0" customHeight="1">
      <c r="A3825" s="11">
        <v>3824.0</v>
      </c>
      <c r="B3825" s="12">
        <f t="shared" si="606"/>
        <v>40467</v>
      </c>
      <c r="C3825" s="13">
        <v>2010.0</v>
      </c>
      <c r="D3825" s="11" t="s">
        <v>102</v>
      </c>
      <c r="E3825" s="11">
        <v>2.0</v>
      </c>
      <c r="F3825" s="21" t="s">
        <v>2456</v>
      </c>
      <c r="G3825" s="15">
        <v>0.06583222370173107</v>
      </c>
      <c r="H3825" s="11" t="s">
        <v>45</v>
      </c>
      <c r="I3825" s="16">
        <v>43.44800000000001</v>
      </c>
      <c r="J3825" s="11" t="s">
        <v>873</v>
      </c>
      <c r="K3825" s="11" t="s">
        <v>83</v>
      </c>
      <c r="L3825" s="11" t="s">
        <v>41</v>
      </c>
      <c r="M3825" s="11" t="s">
        <v>49</v>
      </c>
      <c r="N3825" s="11" t="s">
        <v>50</v>
      </c>
      <c r="O3825" s="11" t="s">
        <v>2457</v>
      </c>
      <c r="P3825" s="11" t="s">
        <v>52</v>
      </c>
      <c r="Q3825" s="20">
        <v>40471.0</v>
      </c>
      <c r="R3825" s="17">
        <f t="shared" si="2"/>
        <v>36.94820389</v>
      </c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>
        <f t="shared" si="8"/>
        <v>3</v>
      </c>
      <c r="AF3825" s="19" t="b">
        <f t="shared" si="13"/>
        <v>0</v>
      </c>
      <c r="AG3825" s="9"/>
      <c r="AH3825" s="9"/>
      <c r="AI3825" s="9"/>
    </row>
    <row r="3826" ht="15.0" customHeight="1">
      <c r="A3826" s="11">
        <v>3825.0</v>
      </c>
      <c r="B3826" s="12">
        <f>DATE(2012,12,31)-806</f>
        <v>40468</v>
      </c>
      <c r="C3826" s="13">
        <v>2010.0</v>
      </c>
      <c r="D3826" s="11" t="s">
        <v>39</v>
      </c>
      <c r="E3826" s="11">
        <v>48.0</v>
      </c>
      <c r="F3826" s="21" t="s">
        <v>328</v>
      </c>
      <c r="G3826" s="15">
        <v>0.011717739252578204</v>
      </c>
      <c r="H3826" s="11" t="s">
        <v>45</v>
      </c>
      <c r="I3826" s="16">
        <v>24.0</v>
      </c>
      <c r="J3826" s="11" t="s">
        <v>239</v>
      </c>
      <c r="K3826" s="11" t="s">
        <v>61</v>
      </c>
      <c r="L3826" s="11" t="s">
        <v>48</v>
      </c>
      <c r="M3826" s="11" t="s">
        <v>49</v>
      </c>
      <c r="N3826" s="11" t="s">
        <v>50</v>
      </c>
      <c r="O3826" s="11" t="s">
        <v>2458</v>
      </c>
      <c r="P3826" s="11" t="s">
        <v>52</v>
      </c>
      <c r="Q3826" s="20">
        <v>40471.0</v>
      </c>
      <c r="R3826" s="17">
        <f t="shared" si="2"/>
        <v>62.65709533</v>
      </c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>
        <f t="shared" si="8"/>
        <v>4</v>
      </c>
      <c r="AF3826" s="19">
        <f t="shared" si="13"/>
        <v>4</v>
      </c>
      <c r="AG3826" s="9"/>
      <c r="AH3826" s="9"/>
      <c r="AI3826" s="9"/>
    </row>
    <row r="3827" ht="15.0" customHeight="1">
      <c r="A3827" s="11">
        <v>3826.0</v>
      </c>
      <c r="B3827" s="12">
        <f t="shared" ref="B3827:B3832" si="607">DATE(2012,12,31)-805</f>
        <v>40469</v>
      </c>
      <c r="C3827" s="13">
        <v>2010.0</v>
      </c>
      <c r="D3827" s="11" t="s">
        <v>44</v>
      </c>
      <c r="E3827" s="11">
        <v>31.0</v>
      </c>
      <c r="F3827" s="21" t="s">
        <v>705</v>
      </c>
      <c r="G3827" s="15">
        <v>0.06952303961196438</v>
      </c>
      <c r="H3827" s="11" t="s">
        <v>33</v>
      </c>
      <c r="I3827" s="16">
        <v>0.4</v>
      </c>
      <c r="J3827" s="11" t="s">
        <v>1332</v>
      </c>
      <c r="K3827" s="11" t="s">
        <v>35</v>
      </c>
      <c r="L3827" s="11" t="s">
        <v>41</v>
      </c>
      <c r="M3827" s="11" t="s">
        <v>28</v>
      </c>
      <c r="N3827" s="11" t="s">
        <v>188</v>
      </c>
      <c r="O3827" s="11" t="s">
        <v>706</v>
      </c>
      <c r="P3827" s="11" t="s">
        <v>38</v>
      </c>
      <c r="Q3827" s="20">
        <v>40471.0</v>
      </c>
      <c r="R3827" s="17">
        <f t="shared" si="2"/>
        <v>8.002101859</v>
      </c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>
        <f t="shared" si="8"/>
        <v>3</v>
      </c>
      <c r="AF3827" s="19">
        <f t="shared" si="13"/>
        <v>2</v>
      </c>
      <c r="AG3827" s="9"/>
      <c r="AH3827" s="9"/>
      <c r="AI3827" s="9"/>
    </row>
    <row r="3828" ht="15.0" customHeight="1">
      <c r="A3828" s="11">
        <v>3827.0</v>
      </c>
      <c r="B3828" s="12">
        <f t="shared" si="607"/>
        <v>40469</v>
      </c>
      <c r="C3828" s="13">
        <v>2010.0</v>
      </c>
      <c r="D3828" s="11" t="s">
        <v>32</v>
      </c>
      <c r="E3828" s="11">
        <v>5.0</v>
      </c>
      <c r="F3828" s="21" t="s">
        <v>183</v>
      </c>
      <c r="G3828" s="15">
        <v>0.09217577706323682</v>
      </c>
      <c r="H3828" s="11" t="s">
        <v>33</v>
      </c>
      <c r="I3828" s="16">
        <v>5.2</v>
      </c>
      <c r="J3828" s="11" t="s">
        <v>1056</v>
      </c>
      <c r="K3828" s="11" t="s">
        <v>65</v>
      </c>
      <c r="L3828" s="11" t="s">
        <v>48</v>
      </c>
      <c r="M3828" s="11" t="s">
        <v>66</v>
      </c>
      <c r="N3828" s="11" t="s">
        <v>67</v>
      </c>
      <c r="O3828" s="11" t="s">
        <v>941</v>
      </c>
      <c r="P3828" s="11" t="s">
        <v>38</v>
      </c>
      <c r="Q3828" s="20">
        <v>40471.0</v>
      </c>
      <c r="R3828" s="17">
        <f t="shared" si="2"/>
        <v>7.807288317</v>
      </c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>
        <f t="shared" si="8"/>
        <v>4</v>
      </c>
      <c r="AF3828" s="19">
        <f t="shared" si="13"/>
        <v>5</v>
      </c>
      <c r="AG3828" s="9"/>
      <c r="AH3828" s="9"/>
      <c r="AI3828" s="9"/>
    </row>
    <row r="3829" ht="15.0" customHeight="1">
      <c r="A3829" s="11">
        <v>3828.0</v>
      </c>
      <c r="B3829" s="12">
        <f t="shared" si="607"/>
        <v>40469</v>
      </c>
      <c r="C3829" s="13">
        <v>2010.0</v>
      </c>
      <c r="D3829" s="11" t="s">
        <v>44</v>
      </c>
      <c r="E3829" s="11">
        <v>3.0</v>
      </c>
      <c r="F3829" s="21" t="s">
        <v>270</v>
      </c>
      <c r="G3829" s="15">
        <v>0.0605291005291007</v>
      </c>
      <c r="H3829" s="11" t="s">
        <v>33</v>
      </c>
      <c r="I3829" s="16">
        <v>1.592</v>
      </c>
      <c r="J3829" s="11" t="s">
        <v>2043</v>
      </c>
      <c r="K3829" s="11" t="s">
        <v>83</v>
      </c>
      <c r="L3829" s="11" t="s">
        <v>48</v>
      </c>
      <c r="M3829" s="11" t="s">
        <v>66</v>
      </c>
      <c r="N3829" s="11" t="s">
        <v>67</v>
      </c>
      <c r="O3829" s="11" t="s">
        <v>2438</v>
      </c>
      <c r="P3829" s="11" t="s">
        <v>99</v>
      </c>
      <c r="Q3829" s="20">
        <v>40471.0</v>
      </c>
      <c r="R3829" s="17">
        <f t="shared" si="2"/>
        <v>7.523282963</v>
      </c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>
        <f t="shared" si="8"/>
        <v>4</v>
      </c>
      <c r="AF3829" s="19" t="b">
        <f t="shared" si="13"/>
        <v>0</v>
      </c>
      <c r="AG3829" s="9"/>
      <c r="AH3829" s="9"/>
      <c r="AI3829" s="9"/>
    </row>
    <row r="3830" ht="15.0" customHeight="1">
      <c r="A3830" s="11">
        <v>3829.0</v>
      </c>
      <c r="B3830" s="12">
        <f t="shared" si="607"/>
        <v>40469</v>
      </c>
      <c r="C3830" s="13">
        <v>2010.0</v>
      </c>
      <c r="D3830" s="11" t="s">
        <v>44</v>
      </c>
      <c r="E3830" s="11">
        <v>37.0</v>
      </c>
      <c r="F3830" s="21" t="s">
        <v>245</v>
      </c>
      <c r="G3830" s="15">
        <v>0.06545849630595386</v>
      </c>
      <c r="H3830" s="11" t="s">
        <v>33</v>
      </c>
      <c r="I3830" s="16">
        <v>4.576</v>
      </c>
      <c r="J3830" s="11" t="s">
        <v>253</v>
      </c>
      <c r="K3830" s="11" t="s">
        <v>61</v>
      </c>
      <c r="L3830" s="11" t="s">
        <v>36</v>
      </c>
      <c r="M3830" s="11" t="s">
        <v>28</v>
      </c>
      <c r="N3830" s="11" t="s">
        <v>236</v>
      </c>
      <c r="O3830" s="11" t="s">
        <v>376</v>
      </c>
      <c r="P3830" s="11" t="s">
        <v>38</v>
      </c>
      <c r="Q3830" s="20">
        <v>40471.0</v>
      </c>
      <c r="R3830" s="17">
        <f t="shared" si="2"/>
        <v>28.15212826</v>
      </c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>
        <f t="shared" si="8"/>
        <v>2</v>
      </c>
      <c r="AF3830" s="19">
        <f t="shared" si="13"/>
        <v>4</v>
      </c>
      <c r="AG3830" s="9"/>
      <c r="AH3830" s="9"/>
      <c r="AI3830" s="9"/>
    </row>
    <row r="3831" ht="15.0" customHeight="1">
      <c r="A3831" s="11">
        <v>3830.0</v>
      </c>
      <c r="B3831" s="12">
        <f t="shared" si="607"/>
        <v>40469</v>
      </c>
      <c r="C3831" s="13">
        <v>2010.0</v>
      </c>
      <c r="D3831" s="11" t="s">
        <v>44</v>
      </c>
      <c r="E3831" s="11">
        <v>30.0</v>
      </c>
      <c r="F3831" s="21" t="s">
        <v>238</v>
      </c>
      <c r="G3831" s="15">
        <v>0.07320293398533007</v>
      </c>
      <c r="H3831" s="11" t="s">
        <v>33</v>
      </c>
      <c r="I3831" s="16">
        <v>1.6239999999999999</v>
      </c>
      <c r="J3831" s="11" t="s">
        <v>253</v>
      </c>
      <c r="K3831" s="11" t="s">
        <v>61</v>
      </c>
      <c r="L3831" s="11" t="s">
        <v>36</v>
      </c>
      <c r="M3831" s="11" t="s">
        <v>49</v>
      </c>
      <c r="N3831" s="11" t="s">
        <v>73</v>
      </c>
      <c r="O3831" s="11" t="s">
        <v>1583</v>
      </c>
      <c r="P3831" s="11" t="s">
        <v>58</v>
      </c>
      <c r="Q3831" s="20">
        <v>40472.0</v>
      </c>
      <c r="R3831" s="17">
        <f t="shared" si="2"/>
        <v>11.09932166</v>
      </c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>
        <f t="shared" si="8"/>
        <v>2</v>
      </c>
      <c r="AF3831" s="19">
        <f t="shared" si="13"/>
        <v>4</v>
      </c>
      <c r="AG3831" s="9"/>
      <c r="AH3831" s="9"/>
      <c r="AI3831" s="9"/>
    </row>
    <row r="3832" ht="15.0" customHeight="1">
      <c r="A3832" s="11">
        <v>3831.0</v>
      </c>
      <c r="B3832" s="12">
        <f t="shared" si="607"/>
        <v>40469</v>
      </c>
      <c r="C3832" s="13">
        <v>2010.0</v>
      </c>
      <c r="D3832" s="11" t="s">
        <v>44</v>
      </c>
      <c r="E3832" s="11">
        <v>17.0</v>
      </c>
      <c r="F3832" s="21" t="s">
        <v>702</v>
      </c>
      <c r="G3832" s="15">
        <v>0.10241758241758248</v>
      </c>
      <c r="H3832" s="11" t="s">
        <v>33</v>
      </c>
      <c r="I3832" s="16">
        <v>5.5120000000000005</v>
      </c>
      <c r="J3832" s="11" t="s">
        <v>253</v>
      </c>
      <c r="K3832" s="11" t="s">
        <v>61</v>
      </c>
      <c r="L3832" s="11" t="s">
        <v>36</v>
      </c>
      <c r="M3832" s="11" t="s">
        <v>28</v>
      </c>
      <c r="N3832" s="11" t="s">
        <v>197</v>
      </c>
      <c r="O3832" s="11" t="s">
        <v>704</v>
      </c>
      <c r="P3832" s="11" t="s">
        <v>38</v>
      </c>
      <c r="Q3832" s="20">
        <v>40472.0</v>
      </c>
      <c r="R3832" s="17">
        <f t="shared" si="2"/>
        <v>7.528921319</v>
      </c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>
        <f t="shared" si="8"/>
        <v>2</v>
      </c>
      <c r="AF3832" s="19">
        <f t="shared" si="13"/>
        <v>4</v>
      </c>
      <c r="AG3832" s="9"/>
      <c r="AH3832" s="9"/>
      <c r="AI3832" s="9"/>
    </row>
    <row r="3833" ht="15.0" customHeight="1">
      <c r="A3833" s="11">
        <v>3832.0</v>
      </c>
      <c r="B3833" s="12">
        <f t="shared" ref="B3833:B3835" si="608">DATE(2012,12,31)-804</f>
        <v>40470</v>
      </c>
      <c r="C3833" s="13">
        <v>2010.0</v>
      </c>
      <c r="D3833" s="11" t="s">
        <v>44</v>
      </c>
      <c r="E3833" s="11">
        <v>33.0</v>
      </c>
      <c r="F3833" s="21" t="s">
        <v>377</v>
      </c>
      <c r="G3833" s="15">
        <v>0.048478363123236126</v>
      </c>
      <c r="H3833" s="11" t="s">
        <v>33</v>
      </c>
      <c r="I3833" s="16">
        <v>4.648</v>
      </c>
      <c r="J3833" s="11" t="s">
        <v>366</v>
      </c>
      <c r="K3833" s="11" t="s">
        <v>35</v>
      </c>
      <c r="L3833" s="11" t="s">
        <v>48</v>
      </c>
      <c r="M3833" s="11" t="s">
        <v>28</v>
      </c>
      <c r="N3833" s="11" t="s">
        <v>56</v>
      </c>
      <c r="O3833" s="11" t="s">
        <v>378</v>
      </c>
      <c r="P3833" s="11" t="s">
        <v>38</v>
      </c>
      <c r="Q3833" s="20">
        <v>40472.0</v>
      </c>
      <c r="R3833" s="17">
        <f t="shared" si="2"/>
        <v>78.454862</v>
      </c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>
        <f t="shared" si="8"/>
        <v>4</v>
      </c>
      <c r="AF3833" s="19">
        <f t="shared" si="13"/>
        <v>2</v>
      </c>
      <c r="AG3833" s="9"/>
      <c r="AH3833" s="9"/>
      <c r="AI3833" s="9"/>
    </row>
    <row r="3834" ht="15.0" customHeight="1">
      <c r="A3834" s="11">
        <v>3833.0</v>
      </c>
      <c r="B3834" s="12">
        <f t="shared" si="608"/>
        <v>40470</v>
      </c>
      <c r="C3834" s="13">
        <v>2010.0</v>
      </c>
      <c r="D3834" s="11" t="s">
        <v>23</v>
      </c>
      <c r="E3834" s="11">
        <v>12.0</v>
      </c>
      <c r="F3834" s="21" t="s">
        <v>158</v>
      </c>
      <c r="G3834" s="15">
        <v>0.08880446927374294</v>
      </c>
      <c r="H3834" s="11" t="s">
        <v>33</v>
      </c>
      <c r="I3834" s="16">
        <v>4.752000000000001</v>
      </c>
      <c r="J3834" s="11" t="s">
        <v>1133</v>
      </c>
      <c r="K3834" s="11" t="s">
        <v>83</v>
      </c>
      <c r="L3834" s="11" t="s">
        <v>27</v>
      </c>
      <c r="M3834" s="11" t="s">
        <v>28</v>
      </c>
      <c r="N3834" s="11" t="s">
        <v>56</v>
      </c>
      <c r="O3834" s="11" t="s">
        <v>2186</v>
      </c>
      <c r="P3834" s="11" t="s">
        <v>38</v>
      </c>
      <c r="Q3834" s="20">
        <v>40473.0</v>
      </c>
      <c r="R3834" s="17">
        <f t="shared" si="2"/>
        <v>7.242182078</v>
      </c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>
        <f t="shared" si="8"/>
        <v>1</v>
      </c>
      <c r="AF3834" s="19" t="b">
        <f t="shared" si="13"/>
        <v>0</v>
      </c>
      <c r="AG3834" s="9"/>
      <c r="AH3834" s="9"/>
      <c r="AI3834" s="9"/>
    </row>
    <row r="3835" ht="15.0" customHeight="1">
      <c r="A3835" s="11">
        <v>3834.0</v>
      </c>
      <c r="B3835" s="12">
        <f t="shared" si="608"/>
        <v>40470</v>
      </c>
      <c r="C3835" s="13">
        <v>2010.0</v>
      </c>
      <c r="D3835" s="11" t="s">
        <v>102</v>
      </c>
      <c r="E3835" s="11">
        <v>29.0</v>
      </c>
      <c r="F3835" s="21" t="s">
        <v>306</v>
      </c>
      <c r="G3835" s="15">
        <v>0.09716494048539204</v>
      </c>
      <c r="H3835" s="11" t="s">
        <v>33</v>
      </c>
      <c r="I3835" s="16">
        <v>6.944</v>
      </c>
      <c r="J3835" s="11" t="s">
        <v>1989</v>
      </c>
      <c r="K3835" s="11" t="s">
        <v>65</v>
      </c>
      <c r="L3835" s="11" t="s">
        <v>36</v>
      </c>
      <c r="M3835" s="11" t="s">
        <v>28</v>
      </c>
      <c r="N3835" s="11" t="s">
        <v>56</v>
      </c>
      <c r="O3835" s="11" t="s">
        <v>401</v>
      </c>
      <c r="P3835" s="11" t="s">
        <v>38</v>
      </c>
      <c r="Q3835" s="20">
        <v>40473.0</v>
      </c>
      <c r="R3835" s="17">
        <f t="shared" si="2"/>
        <v>56.7486005</v>
      </c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>
        <f t="shared" si="8"/>
        <v>2</v>
      </c>
      <c r="AF3835" s="19">
        <f t="shared" si="13"/>
        <v>5</v>
      </c>
      <c r="AG3835" s="9"/>
      <c r="AH3835" s="9"/>
      <c r="AI3835" s="9"/>
    </row>
    <row r="3836" ht="15.0" customHeight="1">
      <c r="A3836" s="11">
        <v>3835.0</v>
      </c>
      <c r="B3836" s="12">
        <f t="shared" ref="B3836:B3843" si="609">DATE(2012,12,31)-803</f>
        <v>40471</v>
      </c>
      <c r="C3836" s="13">
        <v>2010.0</v>
      </c>
      <c r="D3836" s="11" t="s">
        <v>44</v>
      </c>
      <c r="E3836" s="11">
        <v>14.0</v>
      </c>
      <c r="F3836" s="21" t="s">
        <v>2230</v>
      </c>
      <c r="G3836" s="15">
        <v>0.0690586024261062</v>
      </c>
      <c r="H3836" s="11" t="s">
        <v>33</v>
      </c>
      <c r="I3836" s="16">
        <v>15.96</v>
      </c>
      <c r="J3836" s="11" t="s">
        <v>1310</v>
      </c>
      <c r="K3836" s="11" t="s">
        <v>83</v>
      </c>
      <c r="L3836" s="11" t="s">
        <v>48</v>
      </c>
      <c r="M3836" s="11" t="s">
        <v>28</v>
      </c>
      <c r="N3836" s="11" t="s">
        <v>197</v>
      </c>
      <c r="O3836" s="11" t="s">
        <v>2231</v>
      </c>
      <c r="P3836" s="11" t="s">
        <v>31</v>
      </c>
      <c r="Q3836" s="20">
        <v>40473.0</v>
      </c>
      <c r="R3836" s="17">
        <f t="shared" si="2"/>
        <v>75.25730258</v>
      </c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>
        <f t="shared" si="8"/>
        <v>4</v>
      </c>
      <c r="AF3836" s="19" t="b">
        <f t="shared" si="13"/>
        <v>0</v>
      </c>
      <c r="AG3836" s="9"/>
      <c r="AH3836" s="9"/>
      <c r="AI3836" s="9"/>
    </row>
    <row r="3837" ht="15.0" customHeight="1">
      <c r="A3837" s="11">
        <v>3836.0</v>
      </c>
      <c r="B3837" s="12">
        <f t="shared" si="609"/>
        <v>40471</v>
      </c>
      <c r="C3837" s="13">
        <v>2010.0</v>
      </c>
      <c r="D3837" s="11" t="s">
        <v>44</v>
      </c>
      <c r="E3837" s="11">
        <v>46.0</v>
      </c>
      <c r="F3837" s="21" t="s">
        <v>1015</v>
      </c>
      <c r="G3837" s="15">
        <v>0.019108838568298127</v>
      </c>
      <c r="H3837" s="11" t="s">
        <v>33</v>
      </c>
      <c r="I3837" s="16">
        <v>6.368</v>
      </c>
      <c r="J3837" s="11" t="s">
        <v>1310</v>
      </c>
      <c r="K3837" s="11" t="s">
        <v>83</v>
      </c>
      <c r="L3837" s="11" t="s">
        <v>48</v>
      </c>
      <c r="M3837" s="11" t="s">
        <v>28</v>
      </c>
      <c r="N3837" s="11" t="s">
        <v>56</v>
      </c>
      <c r="O3837" s="11" t="s">
        <v>1531</v>
      </c>
      <c r="P3837" s="11" t="s">
        <v>38</v>
      </c>
      <c r="Q3837" s="20">
        <v>40474.0</v>
      </c>
      <c r="R3837" s="17">
        <f t="shared" si="2"/>
        <v>5.132022557</v>
      </c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>
        <f t="shared" si="8"/>
        <v>4</v>
      </c>
      <c r="AF3837" s="19" t="b">
        <f t="shared" si="13"/>
        <v>0</v>
      </c>
      <c r="AG3837" s="9"/>
      <c r="AH3837" s="9"/>
      <c r="AI3837" s="9"/>
    </row>
    <row r="3838" ht="15.0" customHeight="1">
      <c r="A3838" s="11">
        <v>3837.0</v>
      </c>
      <c r="B3838" s="12">
        <f t="shared" si="609"/>
        <v>40471</v>
      </c>
      <c r="C3838" s="13">
        <v>2010.0</v>
      </c>
      <c r="D3838" s="11" t="s">
        <v>44</v>
      </c>
      <c r="E3838" s="11">
        <v>13.0</v>
      </c>
      <c r="F3838" s="21" t="s">
        <v>766</v>
      </c>
      <c r="G3838" s="15">
        <v>0.07179367189577242</v>
      </c>
      <c r="H3838" s="11" t="s">
        <v>45</v>
      </c>
      <c r="I3838" s="16">
        <v>43.792</v>
      </c>
      <c r="J3838" s="11" t="s">
        <v>1938</v>
      </c>
      <c r="K3838" s="11" t="s">
        <v>26</v>
      </c>
      <c r="L3838" s="11" t="s">
        <v>41</v>
      </c>
      <c r="M3838" s="11" t="s">
        <v>49</v>
      </c>
      <c r="N3838" s="11" t="s">
        <v>156</v>
      </c>
      <c r="O3838" s="11" t="s">
        <v>767</v>
      </c>
      <c r="P3838" s="11" t="s">
        <v>87</v>
      </c>
      <c r="Q3838" s="20">
        <v>40474.0</v>
      </c>
      <c r="R3838" s="17">
        <f t="shared" si="2"/>
        <v>125.3152799</v>
      </c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>
        <f t="shared" si="8"/>
        <v>3</v>
      </c>
      <c r="AF3838" s="19">
        <f t="shared" si="13"/>
        <v>1</v>
      </c>
      <c r="AG3838" s="9"/>
      <c r="AH3838" s="9"/>
      <c r="AI3838" s="9"/>
    </row>
    <row r="3839" ht="15.0" customHeight="1">
      <c r="A3839" s="11">
        <v>3838.0</v>
      </c>
      <c r="B3839" s="12">
        <f t="shared" si="609"/>
        <v>40471</v>
      </c>
      <c r="C3839" s="13">
        <v>2010.0</v>
      </c>
      <c r="D3839" s="11" t="s">
        <v>44</v>
      </c>
      <c r="E3839" s="11">
        <v>50.0</v>
      </c>
      <c r="F3839" s="21" t="s">
        <v>1166</v>
      </c>
      <c r="G3839" s="15">
        <v>0.052641660015961725</v>
      </c>
      <c r="H3839" s="11" t="s">
        <v>33</v>
      </c>
      <c r="I3839" s="16">
        <v>2.408</v>
      </c>
      <c r="J3839" s="11" t="s">
        <v>1938</v>
      </c>
      <c r="K3839" s="11" t="s">
        <v>26</v>
      </c>
      <c r="L3839" s="11" t="s">
        <v>41</v>
      </c>
      <c r="M3839" s="11" t="s">
        <v>28</v>
      </c>
      <c r="N3839" s="11" t="s">
        <v>56</v>
      </c>
      <c r="O3839" s="11" t="s">
        <v>2060</v>
      </c>
      <c r="P3839" s="11" t="s">
        <v>58</v>
      </c>
      <c r="Q3839" s="20">
        <v>40474.0</v>
      </c>
      <c r="R3839" s="17">
        <f t="shared" si="2"/>
        <v>12.49755122</v>
      </c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>
        <f t="shared" si="8"/>
        <v>3</v>
      </c>
      <c r="AF3839" s="19">
        <f t="shared" si="13"/>
        <v>1</v>
      </c>
      <c r="AG3839" s="9"/>
      <c r="AH3839" s="9"/>
      <c r="AI3839" s="9"/>
    </row>
    <row r="3840" ht="15.0" customHeight="1">
      <c r="A3840" s="11">
        <v>3839.0</v>
      </c>
      <c r="B3840" s="12">
        <f t="shared" si="609"/>
        <v>40471</v>
      </c>
      <c r="C3840" s="13">
        <v>2010.0</v>
      </c>
      <c r="D3840" s="11" t="s">
        <v>102</v>
      </c>
      <c r="E3840" s="11">
        <v>35.0</v>
      </c>
      <c r="F3840" s="21" t="s">
        <v>2459</v>
      </c>
      <c r="G3840" s="15">
        <v>0.04781816413651095</v>
      </c>
      <c r="H3840" s="11" t="s">
        <v>45</v>
      </c>
      <c r="I3840" s="16">
        <v>12.847999999999999</v>
      </c>
      <c r="J3840" s="11" t="s">
        <v>494</v>
      </c>
      <c r="K3840" s="11" t="s">
        <v>83</v>
      </c>
      <c r="L3840" s="11" t="s">
        <v>48</v>
      </c>
      <c r="M3840" s="11" t="s">
        <v>66</v>
      </c>
      <c r="N3840" s="11" t="s">
        <v>69</v>
      </c>
      <c r="O3840" s="11" t="s">
        <v>2460</v>
      </c>
      <c r="P3840" s="11" t="s">
        <v>52</v>
      </c>
      <c r="Q3840" s="20">
        <v>40474.0</v>
      </c>
      <c r="R3840" s="17">
        <f t="shared" si="2"/>
        <v>1357.765593</v>
      </c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>
        <f t="shared" si="8"/>
        <v>4</v>
      </c>
      <c r="AF3840" s="19" t="b">
        <f t="shared" si="13"/>
        <v>0</v>
      </c>
      <c r="AG3840" s="9"/>
      <c r="AH3840" s="9"/>
      <c r="AI3840" s="9"/>
    </row>
    <row r="3841" ht="15.0" customHeight="1">
      <c r="A3841" s="11">
        <v>3840.0</v>
      </c>
      <c r="B3841" s="12">
        <f t="shared" si="609"/>
        <v>40471</v>
      </c>
      <c r="C3841" s="13">
        <v>2010.0</v>
      </c>
      <c r="D3841" s="11" t="s">
        <v>102</v>
      </c>
      <c r="E3841" s="11">
        <v>43.0</v>
      </c>
      <c r="F3841" s="21" t="s">
        <v>513</v>
      </c>
      <c r="G3841" s="15">
        <v>0.030573557732563112</v>
      </c>
      <c r="H3841" s="11" t="s">
        <v>45</v>
      </c>
      <c r="I3841" s="16">
        <v>28.016000000000005</v>
      </c>
      <c r="J3841" s="11" t="s">
        <v>2232</v>
      </c>
      <c r="K3841" s="11" t="s">
        <v>35</v>
      </c>
      <c r="L3841" s="11" t="s">
        <v>27</v>
      </c>
      <c r="M3841" s="11" t="s">
        <v>49</v>
      </c>
      <c r="N3841" s="11" t="s">
        <v>156</v>
      </c>
      <c r="O3841" s="11" t="s">
        <v>923</v>
      </c>
      <c r="P3841" s="11" t="s">
        <v>87</v>
      </c>
      <c r="Q3841" s="20">
        <v>40474.0</v>
      </c>
      <c r="R3841" s="17">
        <f t="shared" si="2"/>
        <v>212.3858227</v>
      </c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>
        <f t="shared" si="8"/>
        <v>1</v>
      </c>
      <c r="AF3841" s="19">
        <f t="shared" si="13"/>
        <v>2</v>
      </c>
      <c r="AG3841" s="9"/>
      <c r="AH3841" s="9"/>
      <c r="AI3841" s="9"/>
    </row>
    <row r="3842" ht="15.0" customHeight="1">
      <c r="A3842" s="11">
        <v>3841.0</v>
      </c>
      <c r="B3842" s="12">
        <f t="shared" si="609"/>
        <v>40471</v>
      </c>
      <c r="C3842" s="13">
        <v>2010.0</v>
      </c>
      <c r="D3842" s="11" t="s">
        <v>44</v>
      </c>
      <c r="E3842" s="11">
        <v>4.0</v>
      </c>
      <c r="F3842" s="21" t="s">
        <v>135</v>
      </c>
      <c r="G3842" s="15">
        <v>0.13664864864864867</v>
      </c>
      <c r="H3842" s="11" t="s">
        <v>24</v>
      </c>
      <c r="I3842" s="16">
        <v>5.5440000000000005</v>
      </c>
      <c r="J3842" s="11" t="s">
        <v>2183</v>
      </c>
      <c r="K3842" s="11" t="s">
        <v>117</v>
      </c>
      <c r="L3842" s="11" t="s">
        <v>36</v>
      </c>
      <c r="M3842" s="11" t="s">
        <v>28</v>
      </c>
      <c r="N3842" s="11" t="s">
        <v>56</v>
      </c>
      <c r="O3842" s="11" t="s">
        <v>554</v>
      </c>
      <c r="P3842" s="11" t="s">
        <v>38</v>
      </c>
      <c r="Q3842" s="20">
        <v>40475.0</v>
      </c>
      <c r="R3842" s="17">
        <f t="shared" si="2"/>
        <v>4.365104432</v>
      </c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>
        <f t="shared" si="8"/>
        <v>2</v>
      </c>
      <c r="AF3842" s="19" t="b">
        <f t="shared" si="13"/>
        <v>0</v>
      </c>
      <c r="AG3842" s="9"/>
      <c r="AH3842" s="9"/>
      <c r="AI3842" s="9"/>
    </row>
    <row r="3843" ht="15.0" customHeight="1">
      <c r="A3843" s="11">
        <v>3842.0</v>
      </c>
      <c r="B3843" s="12">
        <f t="shared" si="609"/>
        <v>40471</v>
      </c>
      <c r="C3843" s="13">
        <v>2010.0</v>
      </c>
      <c r="D3843" s="11" t="s">
        <v>44</v>
      </c>
      <c r="E3843" s="11">
        <v>27.0</v>
      </c>
      <c r="F3843" s="21" t="s">
        <v>415</v>
      </c>
      <c r="G3843" s="15">
        <v>0.0284615384615385</v>
      </c>
      <c r="H3843" s="11" t="s">
        <v>33</v>
      </c>
      <c r="I3843" s="16">
        <v>0.792</v>
      </c>
      <c r="J3843" s="11" t="s">
        <v>2183</v>
      </c>
      <c r="K3843" s="11" t="s">
        <v>117</v>
      </c>
      <c r="L3843" s="11" t="s">
        <v>36</v>
      </c>
      <c r="M3843" s="11" t="s">
        <v>28</v>
      </c>
      <c r="N3843" s="11" t="s">
        <v>216</v>
      </c>
      <c r="O3843" s="11" t="s">
        <v>1940</v>
      </c>
      <c r="P3843" s="11" t="s">
        <v>58</v>
      </c>
      <c r="Q3843" s="20">
        <v>40475.0</v>
      </c>
      <c r="R3843" s="17">
        <f t="shared" si="2"/>
        <v>3.019541538</v>
      </c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>
        <f t="shared" si="8"/>
        <v>2</v>
      </c>
      <c r="AF3843" s="19" t="b">
        <f t="shared" si="13"/>
        <v>0</v>
      </c>
      <c r="AG3843" s="9"/>
      <c r="AH3843" s="9"/>
      <c r="AI3843" s="9"/>
    </row>
    <row r="3844" ht="15.0" customHeight="1">
      <c r="A3844" s="11">
        <v>3843.0</v>
      </c>
      <c r="B3844" s="12">
        <f t="shared" ref="B3844:B3846" si="610">DATE(2012,12,31)-802</f>
        <v>40472</v>
      </c>
      <c r="C3844" s="13">
        <v>2010.0</v>
      </c>
      <c r="D3844" s="11" t="s">
        <v>44</v>
      </c>
      <c r="E3844" s="11">
        <v>14.0</v>
      </c>
      <c r="F3844" s="21" t="s">
        <v>144</v>
      </c>
      <c r="G3844" s="15">
        <v>0.0948509485094849</v>
      </c>
      <c r="H3844" s="11" t="s">
        <v>33</v>
      </c>
      <c r="I3844" s="16">
        <v>4.0</v>
      </c>
      <c r="J3844" s="11" t="s">
        <v>1013</v>
      </c>
      <c r="K3844" s="11" t="s">
        <v>35</v>
      </c>
      <c r="L3844" s="11" t="s">
        <v>41</v>
      </c>
      <c r="M3844" s="11" t="s">
        <v>28</v>
      </c>
      <c r="N3844" s="11" t="s">
        <v>442</v>
      </c>
      <c r="O3844" s="11" t="s">
        <v>1883</v>
      </c>
      <c r="P3844" s="11" t="s">
        <v>58</v>
      </c>
      <c r="Q3844" s="20">
        <v>40475.0</v>
      </c>
      <c r="R3844" s="17">
        <f t="shared" si="2"/>
        <v>3.16802168</v>
      </c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>
        <f t="shared" si="8"/>
        <v>3</v>
      </c>
      <c r="AF3844" s="19">
        <f t="shared" si="13"/>
        <v>2</v>
      </c>
      <c r="AG3844" s="9"/>
      <c r="AH3844" s="9"/>
      <c r="AI3844" s="9"/>
    </row>
    <row r="3845" ht="15.0" customHeight="1">
      <c r="A3845" s="11">
        <v>3844.0</v>
      </c>
      <c r="B3845" s="12">
        <f t="shared" si="610"/>
        <v>40472</v>
      </c>
      <c r="C3845" s="13">
        <v>2010.0</v>
      </c>
      <c r="D3845" s="11" t="s">
        <v>44</v>
      </c>
      <c r="E3845" s="11">
        <v>29.0</v>
      </c>
      <c r="F3845" s="21" t="s">
        <v>521</v>
      </c>
      <c r="G3845" s="15">
        <v>0.021949981655864106</v>
      </c>
      <c r="H3845" s="11" t="s">
        <v>45</v>
      </c>
      <c r="I3845" s="16">
        <v>55.712</v>
      </c>
      <c r="J3845" s="11" t="s">
        <v>1013</v>
      </c>
      <c r="K3845" s="11" t="s">
        <v>35</v>
      </c>
      <c r="L3845" s="11" t="s">
        <v>41</v>
      </c>
      <c r="M3845" s="11" t="s">
        <v>49</v>
      </c>
      <c r="N3845" s="11" t="s">
        <v>85</v>
      </c>
      <c r="O3845" s="11" t="s">
        <v>522</v>
      </c>
      <c r="P3845" s="11" t="s">
        <v>87</v>
      </c>
      <c r="Q3845" s="20">
        <v>40475.0</v>
      </c>
      <c r="R3845" s="17">
        <f t="shared" si="2"/>
        <v>140.436246</v>
      </c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>
        <f t="shared" si="8"/>
        <v>3</v>
      </c>
      <c r="AF3845" s="19">
        <f t="shared" si="13"/>
        <v>2</v>
      </c>
      <c r="AG3845" s="9"/>
      <c r="AH3845" s="9"/>
      <c r="AI3845" s="9"/>
    </row>
    <row r="3846" ht="15.0" customHeight="1">
      <c r="A3846" s="11">
        <v>3845.0</v>
      </c>
      <c r="B3846" s="12">
        <f t="shared" si="610"/>
        <v>40472</v>
      </c>
      <c r="C3846" s="13">
        <v>2010.0</v>
      </c>
      <c r="D3846" s="11" t="s">
        <v>102</v>
      </c>
      <c r="E3846" s="11">
        <v>14.0</v>
      </c>
      <c r="F3846" s="21" t="s">
        <v>2461</v>
      </c>
      <c r="G3846" s="15">
        <v>0.030653301071552005</v>
      </c>
      <c r="H3846" s="11" t="s">
        <v>33</v>
      </c>
      <c r="I3846" s="16">
        <v>10.232</v>
      </c>
      <c r="J3846" s="11" t="s">
        <v>525</v>
      </c>
      <c r="K3846" s="11" t="s">
        <v>65</v>
      </c>
      <c r="L3846" s="11" t="s">
        <v>41</v>
      </c>
      <c r="M3846" s="11" t="s">
        <v>28</v>
      </c>
      <c r="N3846" s="11" t="s">
        <v>42</v>
      </c>
      <c r="O3846" s="11" t="s">
        <v>2462</v>
      </c>
      <c r="P3846" s="11" t="s">
        <v>38</v>
      </c>
      <c r="Q3846" s="20">
        <v>40476.0</v>
      </c>
      <c r="R3846" s="17">
        <f t="shared" si="2"/>
        <v>8.596166526</v>
      </c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>
        <f t="shared" si="8"/>
        <v>3</v>
      </c>
      <c r="AF3846" s="19">
        <f t="shared" si="13"/>
        <v>5</v>
      </c>
      <c r="AG3846" s="9"/>
      <c r="AH3846" s="9"/>
      <c r="AI3846" s="9"/>
    </row>
    <row r="3847" ht="15.0" customHeight="1">
      <c r="A3847" s="11">
        <v>3846.0</v>
      </c>
      <c r="B3847" s="12">
        <f t="shared" ref="B3847:B3854" si="611">DATE(2012,12,31)-801</f>
        <v>40473</v>
      </c>
      <c r="C3847" s="13">
        <v>2010.0</v>
      </c>
      <c r="D3847" s="11" t="s">
        <v>39</v>
      </c>
      <c r="E3847" s="11">
        <v>11.0</v>
      </c>
      <c r="F3847" s="21" t="s">
        <v>130</v>
      </c>
      <c r="G3847" s="15">
        <v>0.09757544224765864</v>
      </c>
      <c r="H3847" s="11" t="s">
        <v>33</v>
      </c>
      <c r="I3847" s="16">
        <v>6.992000000000001</v>
      </c>
      <c r="J3847" s="11" t="s">
        <v>1496</v>
      </c>
      <c r="K3847" s="11" t="s">
        <v>61</v>
      </c>
      <c r="L3847" s="11" t="s">
        <v>48</v>
      </c>
      <c r="M3847" s="11" t="s">
        <v>28</v>
      </c>
      <c r="N3847" s="11" t="s">
        <v>56</v>
      </c>
      <c r="O3847" s="11" t="s">
        <v>776</v>
      </c>
      <c r="P3847" s="11" t="s">
        <v>38</v>
      </c>
      <c r="Q3847" s="20">
        <v>40476.0</v>
      </c>
      <c r="R3847" s="17">
        <f t="shared" si="2"/>
        <v>33.84814031</v>
      </c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>
        <f t="shared" si="8"/>
        <v>4</v>
      </c>
      <c r="AF3847" s="19">
        <f t="shared" si="13"/>
        <v>4</v>
      </c>
      <c r="AG3847" s="9"/>
      <c r="AH3847" s="9"/>
      <c r="AI3847" s="9"/>
    </row>
    <row r="3848" ht="15.0" customHeight="1">
      <c r="A3848" s="11">
        <v>3847.0</v>
      </c>
      <c r="B3848" s="12">
        <f t="shared" si="611"/>
        <v>40473</v>
      </c>
      <c r="C3848" s="13">
        <v>2010.0</v>
      </c>
      <c r="D3848" s="11" t="s">
        <v>23</v>
      </c>
      <c r="E3848" s="11">
        <v>8.0</v>
      </c>
      <c r="F3848" s="21" t="s">
        <v>784</v>
      </c>
      <c r="G3848" s="15">
        <v>0.03865144637385781</v>
      </c>
      <c r="H3848" s="11" t="s">
        <v>33</v>
      </c>
      <c r="I3848" s="16">
        <v>19.592</v>
      </c>
      <c r="J3848" s="11" t="s">
        <v>1094</v>
      </c>
      <c r="K3848" s="11" t="s">
        <v>65</v>
      </c>
      <c r="L3848" s="11" t="s">
        <v>27</v>
      </c>
      <c r="M3848" s="11" t="s">
        <v>66</v>
      </c>
      <c r="N3848" s="11" t="s">
        <v>170</v>
      </c>
      <c r="O3848" s="11" t="s">
        <v>785</v>
      </c>
      <c r="P3848" s="11" t="s">
        <v>31</v>
      </c>
      <c r="Q3848" s="20">
        <v>40476.0</v>
      </c>
      <c r="R3848" s="17">
        <f t="shared" si="2"/>
        <v>1082.966836</v>
      </c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>
        <f t="shared" si="8"/>
        <v>1</v>
      </c>
      <c r="AF3848" s="19">
        <f t="shared" si="13"/>
        <v>5</v>
      </c>
      <c r="AG3848" s="9"/>
      <c r="AH3848" s="9"/>
      <c r="AI3848" s="9"/>
    </row>
    <row r="3849" ht="15.0" customHeight="1">
      <c r="A3849" s="11">
        <v>3848.0</v>
      </c>
      <c r="B3849" s="12">
        <f t="shared" si="611"/>
        <v>40473</v>
      </c>
      <c r="C3849" s="13">
        <v>2010.0</v>
      </c>
      <c r="D3849" s="11" t="s">
        <v>23</v>
      </c>
      <c r="E3849" s="11">
        <v>6.0</v>
      </c>
      <c r="F3849" s="21" t="s">
        <v>1970</v>
      </c>
      <c r="G3849" s="15">
        <v>0.03599139945779212</v>
      </c>
      <c r="H3849" s="11" t="s">
        <v>33</v>
      </c>
      <c r="I3849" s="16">
        <v>28.0</v>
      </c>
      <c r="J3849" s="11" t="s">
        <v>1196</v>
      </c>
      <c r="K3849" s="11" t="s">
        <v>61</v>
      </c>
      <c r="L3849" s="11" t="s">
        <v>41</v>
      </c>
      <c r="M3849" s="11" t="s">
        <v>28</v>
      </c>
      <c r="N3849" s="11" t="s">
        <v>29</v>
      </c>
      <c r="O3849" s="11" t="s">
        <v>1971</v>
      </c>
      <c r="P3849" s="11" t="s">
        <v>31</v>
      </c>
      <c r="Q3849" s="20">
        <v>40476.0</v>
      </c>
      <c r="R3849" s="17">
        <f t="shared" si="2"/>
        <v>37.11433112</v>
      </c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>
        <f t="shared" si="8"/>
        <v>3</v>
      </c>
      <c r="AF3849" s="19">
        <f t="shared" si="13"/>
        <v>4</v>
      </c>
      <c r="AG3849" s="9"/>
      <c r="AH3849" s="9"/>
      <c r="AI3849" s="9"/>
    </row>
    <row r="3850" ht="15.0" customHeight="1">
      <c r="A3850" s="11">
        <v>3849.0</v>
      </c>
      <c r="B3850" s="12">
        <f t="shared" si="611"/>
        <v>40473</v>
      </c>
      <c r="C3850" s="13">
        <v>2010.0</v>
      </c>
      <c r="D3850" s="11" t="s">
        <v>32</v>
      </c>
      <c r="E3850" s="11">
        <v>9.0</v>
      </c>
      <c r="F3850" s="21" t="s">
        <v>486</v>
      </c>
      <c r="G3850" s="15">
        <v>0.10316981132075478</v>
      </c>
      <c r="H3850" s="11" t="s">
        <v>24</v>
      </c>
      <c r="I3850" s="16">
        <v>1.6320000000000001</v>
      </c>
      <c r="J3850" s="11" t="s">
        <v>648</v>
      </c>
      <c r="K3850" s="11" t="s">
        <v>35</v>
      </c>
      <c r="L3850" s="11" t="s">
        <v>27</v>
      </c>
      <c r="M3850" s="11" t="s">
        <v>28</v>
      </c>
      <c r="N3850" s="11" t="s">
        <v>56</v>
      </c>
      <c r="O3850" s="11" t="s">
        <v>1340</v>
      </c>
      <c r="P3850" s="11" t="s">
        <v>58</v>
      </c>
      <c r="Q3850" s="20">
        <v>40476.0</v>
      </c>
      <c r="R3850" s="17">
        <f t="shared" si="2"/>
        <v>4.903867472</v>
      </c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>
        <f t="shared" si="8"/>
        <v>1</v>
      </c>
      <c r="AF3850" s="19">
        <f t="shared" si="13"/>
        <v>2</v>
      </c>
      <c r="AG3850" s="9"/>
      <c r="AH3850" s="9"/>
      <c r="AI3850" s="9"/>
    </row>
    <row r="3851" ht="15.0" customHeight="1">
      <c r="A3851" s="11">
        <v>3850.0</v>
      </c>
      <c r="B3851" s="12">
        <f t="shared" si="611"/>
        <v>40473</v>
      </c>
      <c r="C3851" s="13">
        <v>2010.0</v>
      </c>
      <c r="D3851" s="11" t="s">
        <v>32</v>
      </c>
      <c r="E3851" s="11">
        <v>6.0</v>
      </c>
      <c r="F3851" s="21" t="s">
        <v>577</v>
      </c>
      <c r="G3851" s="15">
        <v>0.00822450612345391</v>
      </c>
      <c r="H3851" s="11" t="s">
        <v>45</v>
      </c>
      <c r="I3851" s="16">
        <v>53.336000000000006</v>
      </c>
      <c r="J3851" s="11" t="s">
        <v>648</v>
      </c>
      <c r="K3851" s="11" t="s">
        <v>35</v>
      </c>
      <c r="L3851" s="11" t="s">
        <v>27</v>
      </c>
      <c r="M3851" s="11" t="s">
        <v>49</v>
      </c>
      <c r="N3851" s="11" t="s">
        <v>85</v>
      </c>
      <c r="O3851" s="11" t="s">
        <v>579</v>
      </c>
      <c r="P3851" s="11" t="s">
        <v>87</v>
      </c>
      <c r="Q3851" s="20">
        <v>40476.0</v>
      </c>
      <c r="R3851" s="17">
        <f t="shared" si="2"/>
        <v>13.2540877</v>
      </c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>
        <f t="shared" si="8"/>
        <v>1</v>
      </c>
      <c r="AF3851" s="19">
        <f t="shared" si="13"/>
        <v>2</v>
      </c>
      <c r="AG3851" s="9"/>
      <c r="AH3851" s="9"/>
      <c r="AI3851" s="9"/>
    </row>
    <row r="3852" ht="15.0" customHeight="1">
      <c r="A3852" s="11">
        <v>3851.0</v>
      </c>
      <c r="B3852" s="12">
        <f t="shared" si="611"/>
        <v>40473</v>
      </c>
      <c r="C3852" s="13">
        <v>2010.0</v>
      </c>
      <c r="D3852" s="11" t="s">
        <v>32</v>
      </c>
      <c r="E3852" s="11">
        <v>24.0</v>
      </c>
      <c r="F3852" s="21" t="s">
        <v>1789</v>
      </c>
      <c r="G3852" s="15">
        <v>0.04827622565910157</v>
      </c>
      <c r="H3852" s="11" t="s">
        <v>33</v>
      </c>
      <c r="I3852" s="16">
        <v>15.991999999999999</v>
      </c>
      <c r="J3852" s="11" t="s">
        <v>648</v>
      </c>
      <c r="K3852" s="11" t="s">
        <v>35</v>
      </c>
      <c r="L3852" s="11" t="s">
        <v>27</v>
      </c>
      <c r="M3852" s="11" t="s">
        <v>28</v>
      </c>
      <c r="N3852" s="11" t="s">
        <v>42</v>
      </c>
      <c r="O3852" s="11" t="s">
        <v>1790</v>
      </c>
      <c r="P3852" s="11" t="s">
        <v>38</v>
      </c>
      <c r="Q3852" s="20">
        <v>40476.0</v>
      </c>
      <c r="R3852" s="17">
        <f t="shared" si="2"/>
        <v>427.0317955</v>
      </c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>
        <f t="shared" si="8"/>
        <v>1</v>
      </c>
      <c r="AF3852" s="19">
        <f t="shared" si="13"/>
        <v>2</v>
      </c>
      <c r="AG3852" s="9"/>
      <c r="AH3852" s="9"/>
      <c r="AI3852" s="9"/>
    </row>
    <row r="3853" ht="15.0" customHeight="1">
      <c r="A3853" s="11">
        <v>3852.0</v>
      </c>
      <c r="B3853" s="12">
        <f t="shared" si="611"/>
        <v>40473</v>
      </c>
      <c r="C3853" s="13">
        <v>2010.0</v>
      </c>
      <c r="D3853" s="11" t="s">
        <v>32</v>
      </c>
      <c r="E3853" s="11">
        <v>49.0</v>
      </c>
      <c r="F3853" s="21" t="s">
        <v>186</v>
      </c>
      <c r="G3853" s="15">
        <v>0.07235023041474663</v>
      </c>
      <c r="H3853" s="11" t="s">
        <v>33</v>
      </c>
      <c r="I3853" s="16">
        <v>0.4</v>
      </c>
      <c r="J3853" s="11" t="s">
        <v>648</v>
      </c>
      <c r="K3853" s="11" t="s">
        <v>35</v>
      </c>
      <c r="L3853" s="11" t="s">
        <v>27</v>
      </c>
      <c r="M3853" s="11" t="s">
        <v>28</v>
      </c>
      <c r="N3853" s="11" t="s">
        <v>188</v>
      </c>
      <c r="O3853" s="11" t="s">
        <v>1968</v>
      </c>
      <c r="P3853" s="11" t="s">
        <v>38</v>
      </c>
      <c r="Q3853" s="20">
        <v>40476.0</v>
      </c>
      <c r="R3853" s="17">
        <f t="shared" si="2"/>
        <v>14.56410138</v>
      </c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>
        <f t="shared" si="8"/>
        <v>1</v>
      </c>
      <c r="AF3853" s="19">
        <f t="shared" si="13"/>
        <v>2</v>
      </c>
      <c r="AG3853" s="9"/>
      <c r="AH3853" s="9"/>
      <c r="AI3853" s="9"/>
    </row>
    <row r="3854" ht="15.0" customHeight="1">
      <c r="A3854" s="11">
        <v>3853.0</v>
      </c>
      <c r="B3854" s="12">
        <f t="shared" si="611"/>
        <v>40473</v>
      </c>
      <c r="C3854" s="13">
        <v>2010.0</v>
      </c>
      <c r="D3854" s="11" t="s">
        <v>32</v>
      </c>
      <c r="E3854" s="11">
        <v>36.0</v>
      </c>
      <c r="F3854" s="21" t="s">
        <v>834</v>
      </c>
      <c r="G3854" s="15">
        <v>0.030334316814857962</v>
      </c>
      <c r="H3854" s="11" t="s">
        <v>45</v>
      </c>
      <c r="I3854" s="16">
        <v>61.096000000000004</v>
      </c>
      <c r="J3854" s="11" t="s">
        <v>648</v>
      </c>
      <c r="K3854" s="11" t="s">
        <v>35</v>
      </c>
      <c r="L3854" s="11" t="s">
        <v>27</v>
      </c>
      <c r="M3854" s="11" t="s">
        <v>49</v>
      </c>
      <c r="N3854" s="11" t="s">
        <v>85</v>
      </c>
      <c r="O3854" s="11" t="s">
        <v>1115</v>
      </c>
      <c r="P3854" s="11" t="s">
        <v>87</v>
      </c>
      <c r="Q3854" s="20">
        <v>40477.0</v>
      </c>
      <c r="R3854" s="17">
        <f t="shared" si="2"/>
        <v>439.6502994</v>
      </c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>
        <f t="shared" si="8"/>
        <v>1</v>
      </c>
      <c r="AF3854" s="19">
        <f t="shared" si="13"/>
        <v>2</v>
      </c>
      <c r="AG3854" s="9"/>
      <c r="AH3854" s="9"/>
      <c r="AI3854" s="9"/>
    </row>
    <row r="3855" ht="15.0" customHeight="1">
      <c r="A3855" s="11">
        <v>3854.0</v>
      </c>
      <c r="B3855" s="12">
        <f t="shared" ref="B3855:B3863" si="612">DATE(2012,12,31)-800</f>
        <v>40474</v>
      </c>
      <c r="C3855" s="13">
        <v>2010.0</v>
      </c>
      <c r="D3855" s="11" t="s">
        <v>44</v>
      </c>
      <c r="E3855" s="11">
        <v>47.0</v>
      </c>
      <c r="F3855" s="21" t="s">
        <v>270</v>
      </c>
      <c r="G3855" s="15">
        <v>0.040960286296535676</v>
      </c>
      <c r="H3855" s="11" t="s">
        <v>33</v>
      </c>
      <c r="I3855" s="16">
        <v>7.192</v>
      </c>
      <c r="J3855" s="11" t="s">
        <v>1492</v>
      </c>
      <c r="K3855" s="11" t="s">
        <v>35</v>
      </c>
      <c r="L3855" s="11" t="s">
        <v>36</v>
      </c>
      <c r="M3855" s="11" t="s">
        <v>28</v>
      </c>
      <c r="N3855" s="11" t="s">
        <v>62</v>
      </c>
      <c r="O3855" s="11" t="s">
        <v>1847</v>
      </c>
      <c r="P3855" s="11" t="s">
        <v>99</v>
      </c>
      <c r="Q3855" s="20">
        <v>40477.0</v>
      </c>
      <c r="R3855" s="17">
        <f t="shared" si="2"/>
        <v>79.03254473</v>
      </c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>
        <f t="shared" si="8"/>
        <v>2</v>
      </c>
      <c r="AF3855" s="19">
        <f t="shared" si="13"/>
        <v>2</v>
      </c>
      <c r="AG3855" s="9"/>
      <c r="AH3855" s="9"/>
      <c r="AI3855" s="9"/>
    </row>
    <row r="3856" ht="15.0" customHeight="1">
      <c r="A3856" s="11">
        <v>3855.0</v>
      </c>
      <c r="B3856" s="12">
        <f t="shared" si="612"/>
        <v>40474</v>
      </c>
      <c r="C3856" s="13">
        <v>2010.0</v>
      </c>
      <c r="D3856" s="11" t="s">
        <v>44</v>
      </c>
      <c r="E3856" s="11">
        <v>12.0</v>
      </c>
      <c r="F3856" s="21" t="s">
        <v>865</v>
      </c>
      <c r="G3856" s="15">
        <v>0.09301679731243001</v>
      </c>
      <c r="H3856" s="11" t="s">
        <v>45</v>
      </c>
      <c r="I3856" s="16">
        <v>19.008000000000003</v>
      </c>
      <c r="J3856" s="11" t="s">
        <v>2271</v>
      </c>
      <c r="K3856" s="11" t="s">
        <v>35</v>
      </c>
      <c r="L3856" s="11" t="s">
        <v>48</v>
      </c>
      <c r="M3856" s="11" t="s">
        <v>49</v>
      </c>
      <c r="N3856" s="11" t="s">
        <v>50</v>
      </c>
      <c r="O3856" s="11" t="s">
        <v>866</v>
      </c>
      <c r="P3856" s="11" t="s">
        <v>52</v>
      </c>
      <c r="Q3856" s="20">
        <v>40477.0</v>
      </c>
      <c r="R3856" s="17">
        <f t="shared" si="2"/>
        <v>226.0129582</v>
      </c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>
        <f t="shared" si="8"/>
        <v>4</v>
      </c>
      <c r="AF3856" s="19">
        <f t="shared" si="13"/>
        <v>2</v>
      </c>
      <c r="AG3856" s="9"/>
      <c r="AH3856" s="9"/>
      <c r="AI3856" s="9"/>
    </row>
    <row r="3857" ht="15.0" customHeight="1">
      <c r="A3857" s="11">
        <v>3856.0</v>
      </c>
      <c r="B3857" s="12">
        <f t="shared" si="612"/>
        <v>40474</v>
      </c>
      <c r="C3857" s="13">
        <v>2010.0</v>
      </c>
      <c r="D3857" s="11" t="s">
        <v>44</v>
      </c>
      <c r="E3857" s="11">
        <v>4.0</v>
      </c>
      <c r="F3857" s="21" t="s">
        <v>415</v>
      </c>
      <c r="G3857" s="15">
        <v>0.043294117647058865</v>
      </c>
      <c r="H3857" s="11" t="s">
        <v>24</v>
      </c>
      <c r="I3857" s="16">
        <v>0.664</v>
      </c>
      <c r="J3857" s="11" t="s">
        <v>2271</v>
      </c>
      <c r="K3857" s="11" t="s">
        <v>35</v>
      </c>
      <c r="L3857" s="11" t="s">
        <v>48</v>
      </c>
      <c r="M3857" s="11" t="s">
        <v>28</v>
      </c>
      <c r="N3857" s="11" t="s">
        <v>62</v>
      </c>
      <c r="O3857" s="11" t="s">
        <v>1493</v>
      </c>
      <c r="P3857" s="11" t="s">
        <v>58</v>
      </c>
      <c r="Q3857" s="20">
        <v>40477.0</v>
      </c>
      <c r="R3857" s="17">
        <f t="shared" si="2"/>
        <v>0.7041355294</v>
      </c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>
        <f t="shared" si="8"/>
        <v>4</v>
      </c>
      <c r="AF3857" s="19">
        <f t="shared" si="13"/>
        <v>2</v>
      </c>
      <c r="AG3857" s="9"/>
      <c r="AH3857" s="9"/>
      <c r="AI3857" s="9"/>
    </row>
    <row r="3858" ht="15.0" customHeight="1">
      <c r="A3858" s="11">
        <v>3857.0</v>
      </c>
      <c r="B3858" s="12">
        <f t="shared" si="612"/>
        <v>40474</v>
      </c>
      <c r="C3858" s="13">
        <v>2010.0</v>
      </c>
      <c r="D3858" s="11" t="s">
        <v>44</v>
      </c>
      <c r="E3858" s="11">
        <v>19.0</v>
      </c>
      <c r="F3858" s="21" t="s">
        <v>195</v>
      </c>
      <c r="G3858" s="15">
        <v>0.06264735601212519</v>
      </c>
      <c r="H3858" s="11" t="s">
        <v>33</v>
      </c>
      <c r="I3858" s="16">
        <v>2.8000000000000003</v>
      </c>
      <c r="J3858" s="11" t="s">
        <v>2271</v>
      </c>
      <c r="K3858" s="11" t="s">
        <v>35</v>
      </c>
      <c r="L3858" s="11" t="s">
        <v>48</v>
      </c>
      <c r="M3858" s="11" t="s">
        <v>28</v>
      </c>
      <c r="N3858" s="11" t="s">
        <v>197</v>
      </c>
      <c r="O3858" s="11" t="s">
        <v>198</v>
      </c>
      <c r="P3858" s="11" t="s">
        <v>38</v>
      </c>
      <c r="Q3858" s="20">
        <v>40477.0</v>
      </c>
      <c r="R3858" s="17">
        <f t="shared" si="2"/>
        <v>17.43475918</v>
      </c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>
        <f t="shared" si="8"/>
        <v>4</v>
      </c>
      <c r="AF3858" s="19">
        <f t="shared" si="13"/>
        <v>2</v>
      </c>
      <c r="AG3858" s="9"/>
      <c r="AH3858" s="9"/>
      <c r="AI3858" s="9"/>
    </row>
    <row r="3859" ht="15.0" customHeight="1">
      <c r="A3859" s="11">
        <v>3858.0</v>
      </c>
      <c r="B3859" s="12">
        <f t="shared" si="612"/>
        <v>40474</v>
      </c>
      <c r="C3859" s="13">
        <v>2010.0</v>
      </c>
      <c r="D3859" s="11" t="s">
        <v>44</v>
      </c>
      <c r="E3859" s="11">
        <v>23.0</v>
      </c>
      <c r="F3859" s="21" t="s">
        <v>264</v>
      </c>
      <c r="G3859" s="15">
        <v>0.012269469660774066</v>
      </c>
      <c r="H3859" s="11" t="s">
        <v>33</v>
      </c>
      <c r="I3859" s="16">
        <v>6.632</v>
      </c>
      <c r="J3859" s="11" t="s">
        <v>2271</v>
      </c>
      <c r="K3859" s="11" t="s">
        <v>35</v>
      </c>
      <c r="L3859" s="11" t="s">
        <v>48</v>
      </c>
      <c r="M3859" s="11" t="s">
        <v>28</v>
      </c>
      <c r="N3859" s="11" t="s">
        <v>236</v>
      </c>
      <c r="O3859" s="11" t="s">
        <v>265</v>
      </c>
      <c r="P3859" s="11" t="s">
        <v>38</v>
      </c>
      <c r="Q3859" s="20">
        <v>40477.0</v>
      </c>
      <c r="R3859" s="17">
        <f t="shared" si="2"/>
        <v>2.536492002</v>
      </c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>
        <f t="shared" si="8"/>
        <v>4</v>
      </c>
      <c r="AF3859" s="19">
        <f t="shared" si="13"/>
        <v>2</v>
      </c>
      <c r="AG3859" s="9"/>
      <c r="AH3859" s="9"/>
      <c r="AI3859" s="9"/>
    </row>
    <row r="3860" ht="15.0" customHeight="1">
      <c r="A3860" s="11">
        <v>3859.0</v>
      </c>
      <c r="B3860" s="12">
        <f t="shared" si="612"/>
        <v>40474</v>
      </c>
      <c r="C3860" s="13">
        <v>2010.0</v>
      </c>
      <c r="D3860" s="11" t="s">
        <v>44</v>
      </c>
      <c r="E3860" s="11">
        <v>15.0</v>
      </c>
      <c r="F3860" s="21" t="s">
        <v>565</v>
      </c>
      <c r="G3860" s="15">
        <v>0.03092551927715177</v>
      </c>
      <c r="H3860" s="11" t="s">
        <v>33</v>
      </c>
      <c r="I3860" s="16">
        <v>15.991999999999999</v>
      </c>
      <c r="J3860" s="11" t="s">
        <v>2271</v>
      </c>
      <c r="K3860" s="11" t="s">
        <v>35</v>
      </c>
      <c r="L3860" s="11" t="s">
        <v>48</v>
      </c>
      <c r="M3860" s="11" t="s">
        <v>28</v>
      </c>
      <c r="N3860" s="11" t="s">
        <v>29</v>
      </c>
      <c r="O3860" s="11" t="s">
        <v>566</v>
      </c>
      <c r="P3860" s="11" t="s">
        <v>38</v>
      </c>
      <c r="Q3860" s="20">
        <v>40477.0</v>
      </c>
      <c r="R3860" s="17">
        <f t="shared" si="2"/>
        <v>83.25125049</v>
      </c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>
        <f t="shared" si="8"/>
        <v>4</v>
      </c>
      <c r="AF3860" s="19">
        <f t="shared" si="13"/>
        <v>2</v>
      </c>
      <c r="AG3860" s="9"/>
      <c r="AH3860" s="9"/>
      <c r="AI3860" s="9"/>
    </row>
    <row r="3861" ht="15.0" customHeight="1">
      <c r="A3861" s="11">
        <v>3860.0</v>
      </c>
      <c r="B3861" s="12">
        <f t="shared" si="612"/>
        <v>40474</v>
      </c>
      <c r="C3861" s="13">
        <v>2010.0</v>
      </c>
      <c r="D3861" s="11" t="s">
        <v>44</v>
      </c>
      <c r="E3861" s="11">
        <v>23.0</v>
      </c>
      <c r="F3861" s="21" t="s">
        <v>325</v>
      </c>
      <c r="G3861" s="15">
        <v>0.07272934472934478</v>
      </c>
      <c r="H3861" s="11" t="s">
        <v>33</v>
      </c>
      <c r="I3861" s="16">
        <v>1.736</v>
      </c>
      <c r="J3861" s="11" t="s">
        <v>1858</v>
      </c>
      <c r="K3861" s="11" t="s">
        <v>61</v>
      </c>
      <c r="L3861" s="11" t="s">
        <v>41</v>
      </c>
      <c r="M3861" s="11" t="s">
        <v>28</v>
      </c>
      <c r="N3861" s="11" t="s">
        <v>56</v>
      </c>
      <c r="O3861" s="11" t="s">
        <v>327</v>
      </c>
      <c r="P3861" s="11" t="s">
        <v>58</v>
      </c>
      <c r="Q3861" s="20">
        <v>40477.0</v>
      </c>
      <c r="R3861" s="17">
        <f t="shared" si="2"/>
        <v>11.83568264</v>
      </c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>
        <f t="shared" si="8"/>
        <v>3</v>
      </c>
      <c r="AF3861" s="19">
        <f t="shared" si="13"/>
        <v>4</v>
      </c>
      <c r="AG3861" s="9"/>
      <c r="AH3861" s="9"/>
      <c r="AI3861" s="9"/>
    </row>
    <row r="3862" ht="15.0" customHeight="1">
      <c r="A3862" s="11">
        <v>3861.0</v>
      </c>
      <c r="B3862" s="12">
        <f t="shared" si="612"/>
        <v>40474</v>
      </c>
      <c r="C3862" s="13">
        <v>2010.0</v>
      </c>
      <c r="D3862" s="11" t="s">
        <v>44</v>
      </c>
      <c r="E3862" s="11">
        <v>33.0</v>
      </c>
      <c r="F3862" s="21" t="s">
        <v>256</v>
      </c>
      <c r="G3862" s="15">
        <v>0.07990051654868961</v>
      </c>
      <c r="H3862" s="11" t="s">
        <v>33</v>
      </c>
      <c r="I3862" s="16">
        <v>5.736000000000001</v>
      </c>
      <c r="J3862" s="11" t="s">
        <v>1858</v>
      </c>
      <c r="K3862" s="11" t="s">
        <v>61</v>
      </c>
      <c r="L3862" s="11" t="s">
        <v>41</v>
      </c>
      <c r="M3862" s="11" t="s">
        <v>28</v>
      </c>
      <c r="N3862" s="11" t="s">
        <v>42</v>
      </c>
      <c r="O3862" s="11" t="s">
        <v>1946</v>
      </c>
      <c r="P3862" s="11" t="s">
        <v>38</v>
      </c>
      <c r="Q3862" s="20">
        <v>40478.0</v>
      </c>
      <c r="R3862" s="17">
        <f t="shared" si="2"/>
        <v>38.42703483</v>
      </c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>
        <f t="shared" si="8"/>
        <v>3</v>
      </c>
      <c r="AF3862" s="19">
        <f t="shared" si="13"/>
        <v>4</v>
      </c>
      <c r="AG3862" s="9"/>
      <c r="AH3862" s="9"/>
      <c r="AI3862" s="9"/>
    </row>
    <row r="3863" ht="15.0" customHeight="1">
      <c r="A3863" s="11">
        <v>3862.0</v>
      </c>
      <c r="B3863" s="12">
        <f t="shared" si="612"/>
        <v>40474</v>
      </c>
      <c r="C3863" s="13">
        <v>2010.0</v>
      </c>
      <c r="D3863" s="11" t="s">
        <v>23</v>
      </c>
      <c r="E3863" s="11">
        <v>36.0</v>
      </c>
      <c r="F3863" s="21" t="s">
        <v>178</v>
      </c>
      <c r="G3863" s="15">
        <v>0.05819291916108321</v>
      </c>
      <c r="H3863" s="11" t="s">
        <v>33</v>
      </c>
      <c r="I3863" s="16">
        <v>3.12</v>
      </c>
      <c r="J3863" s="11" t="s">
        <v>1602</v>
      </c>
      <c r="K3863" s="11" t="s">
        <v>117</v>
      </c>
      <c r="L3863" s="11" t="s">
        <v>36</v>
      </c>
      <c r="M3863" s="11" t="s">
        <v>66</v>
      </c>
      <c r="N3863" s="11" t="s">
        <v>80</v>
      </c>
      <c r="O3863" s="11" t="s">
        <v>2029</v>
      </c>
      <c r="P3863" s="11" t="s">
        <v>38</v>
      </c>
      <c r="Q3863" s="20">
        <v>40478.0</v>
      </c>
      <c r="R3863" s="17">
        <f t="shared" si="2"/>
        <v>138.2384433</v>
      </c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>
        <f t="shared" si="8"/>
        <v>2</v>
      </c>
      <c r="AF3863" s="19" t="b">
        <f t="shared" si="13"/>
        <v>0</v>
      </c>
      <c r="AG3863" s="9"/>
      <c r="AH3863" s="9"/>
      <c r="AI3863" s="9"/>
    </row>
    <row r="3864" ht="15.0" customHeight="1">
      <c r="A3864" s="11">
        <v>3863.0</v>
      </c>
      <c r="B3864" s="12">
        <f t="shared" ref="B3864:B3869" si="613">DATE(2012,12,31)-799</f>
        <v>40475</v>
      </c>
      <c r="C3864" s="13">
        <v>2010.0</v>
      </c>
      <c r="D3864" s="11" t="s">
        <v>39</v>
      </c>
      <c r="E3864" s="11">
        <v>19.0</v>
      </c>
      <c r="F3864" s="21" t="s">
        <v>1659</v>
      </c>
      <c r="G3864" s="15">
        <v>0.05856763925729457</v>
      </c>
      <c r="H3864" s="11" t="s">
        <v>33</v>
      </c>
      <c r="I3864" s="16">
        <v>1.368</v>
      </c>
      <c r="J3864" s="11" t="s">
        <v>1941</v>
      </c>
      <c r="K3864" s="11" t="s">
        <v>61</v>
      </c>
      <c r="L3864" s="11" t="s">
        <v>48</v>
      </c>
      <c r="M3864" s="11" t="s">
        <v>28</v>
      </c>
      <c r="N3864" s="11" t="s">
        <v>56</v>
      </c>
      <c r="O3864" s="11" t="s">
        <v>2342</v>
      </c>
      <c r="P3864" s="11" t="s">
        <v>58</v>
      </c>
      <c r="Q3864" s="20">
        <v>40478.0</v>
      </c>
      <c r="R3864" s="17">
        <f t="shared" si="2"/>
        <v>8.31473061</v>
      </c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>
        <f t="shared" si="8"/>
        <v>4</v>
      </c>
      <c r="AF3864" s="19">
        <f t="shared" si="13"/>
        <v>4</v>
      </c>
      <c r="AG3864" s="9"/>
      <c r="AH3864" s="9"/>
      <c r="AI3864" s="9"/>
    </row>
    <row r="3865" ht="15.0" customHeight="1">
      <c r="A3865" s="11">
        <v>3864.0</v>
      </c>
      <c r="B3865" s="12">
        <f t="shared" si="613"/>
        <v>40475</v>
      </c>
      <c r="C3865" s="13">
        <v>2010.0</v>
      </c>
      <c r="D3865" s="11" t="s">
        <v>32</v>
      </c>
      <c r="E3865" s="11">
        <v>50.0</v>
      </c>
      <c r="F3865" s="21" t="s">
        <v>569</v>
      </c>
      <c r="G3865" s="15">
        <v>0.05711563814124453</v>
      </c>
      <c r="H3865" s="11" t="s">
        <v>33</v>
      </c>
      <c r="I3865" s="16">
        <v>3.3600000000000003</v>
      </c>
      <c r="J3865" s="11" t="s">
        <v>373</v>
      </c>
      <c r="K3865" s="11" t="s">
        <v>83</v>
      </c>
      <c r="L3865" s="11" t="s">
        <v>48</v>
      </c>
      <c r="M3865" s="11" t="s">
        <v>66</v>
      </c>
      <c r="N3865" s="11" t="s">
        <v>80</v>
      </c>
      <c r="O3865" s="11" t="s">
        <v>1834</v>
      </c>
      <c r="P3865" s="11" t="s">
        <v>38</v>
      </c>
      <c r="Q3865" s="20">
        <v>40478.0</v>
      </c>
      <c r="R3865" s="17">
        <f t="shared" si="2"/>
        <v>559.6395841</v>
      </c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>
        <f t="shared" si="8"/>
        <v>4</v>
      </c>
      <c r="AF3865" s="19" t="b">
        <f t="shared" si="13"/>
        <v>0</v>
      </c>
      <c r="AG3865" s="9"/>
      <c r="AH3865" s="9"/>
      <c r="AI3865" s="9"/>
    </row>
    <row r="3866" ht="15.0" customHeight="1">
      <c r="A3866" s="11">
        <v>3865.0</v>
      </c>
      <c r="B3866" s="12">
        <f t="shared" si="613"/>
        <v>40475</v>
      </c>
      <c r="C3866" s="13">
        <v>2010.0</v>
      </c>
      <c r="D3866" s="11" t="s">
        <v>32</v>
      </c>
      <c r="E3866" s="11">
        <v>7.0</v>
      </c>
      <c r="F3866" s="21" t="s">
        <v>1327</v>
      </c>
      <c r="G3866" s="15">
        <v>0.060096573925040336</v>
      </c>
      <c r="H3866" s="11" t="s">
        <v>33</v>
      </c>
      <c r="I3866" s="16">
        <v>15.991999999999999</v>
      </c>
      <c r="J3866" s="11" t="s">
        <v>373</v>
      </c>
      <c r="K3866" s="11" t="s">
        <v>83</v>
      </c>
      <c r="L3866" s="11" t="s">
        <v>48</v>
      </c>
      <c r="M3866" s="11" t="s">
        <v>28</v>
      </c>
      <c r="N3866" s="11" t="s">
        <v>42</v>
      </c>
      <c r="O3866" s="11" t="s">
        <v>1328</v>
      </c>
      <c r="P3866" s="11" t="s">
        <v>38</v>
      </c>
      <c r="Q3866" s="20">
        <v>40478.0</v>
      </c>
      <c r="R3866" s="17">
        <f t="shared" si="2"/>
        <v>73.69594783</v>
      </c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>
        <f t="shared" si="8"/>
        <v>4</v>
      </c>
      <c r="AF3866" s="19" t="b">
        <f t="shared" si="13"/>
        <v>0</v>
      </c>
      <c r="AG3866" s="9"/>
      <c r="AH3866" s="9"/>
      <c r="AI3866" s="9"/>
    </row>
    <row r="3867" ht="15.0" customHeight="1">
      <c r="A3867" s="11">
        <v>3866.0</v>
      </c>
      <c r="B3867" s="12">
        <f t="shared" si="613"/>
        <v>40475</v>
      </c>
      <c r="C3867" s="13">
        <v>2010.0</v>
      </c>
      <c r="D3867" s="11" t="s">
        <v>39</v>
      </c>
      <c r="E3867" s="11">
        <v>15.0</v>
      </c>
      <c r="F3867" s="21" t="s">
        <v>204</v>
      </c>
      <c r="G3867" s="15">
        <v>0.06099099099099096</v>
      </c>
      <c r="H3867" s="11" t="s">
        <v>33</v>
      </c>
      <c r="I3867" s="16">
        <v>1.192</v>
      </c>
      <c r="J3867" s="11" t="s">
        <v>1405</v>
      </c>
      <c r="K3867" s="11" t="s">
        <v>35</v>
      </c>
      <c r="L3867" s="11" t="s">
        <v>48</v>
      </c>
      <c r="M3867" s="11" t="s">
        <v>28</v>
      </c>
      <c r="N3867" s="11" t="s">
        <v>42</v>
      </c>
      <c r="O3867" s="11" t="s">
        <v>2463</v>
      </c>
      <c r="P3867" s="11" t="s">
        <v>38</v>
      </c>
      <c r="Q3867" s="20">
        <v>40478.0</v>
      </c>
      <c r="R3867" s="17">
        <f t="shared" si="2"/>
        <v>2.542836396</v>
      </c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>
        <f t="shared" si="8"/>
        <v>4</v>
      </c>
      <c r="AF3867" s="19">
        <f t="shared" si="13"/>
        <v>2</v>
      </c>
      <c r="AG3867" s="9"/>
      <c r="AH3867" s="9"/>
      <c r="AI3867" s="9"/>
    </row>
    <row r="3868" ht="15.0" customHeight="1">
      <c r="A3868" s="11">
        <v>3867.0</v>
      </c>
      <c r="B3868" s="12">
        <f t="shared" si="613"/>
        <v>40475</v>
      </c>
      <c r="C3868" s="13">
        <v>2010.0</v>
      </c>
      <c r="D3868" s="11" t="s">
        <v>39</v>
      </c>
      <c r="E3868" s="11">
        <v>7.0</v>
      </c>
      <c r="F3868" s="21" t="s">
        <v>299</v>
      </c>
      <c r="G3868" s="15">
        <v>0.027826086956521764</v>
      </c>
      <c r="H3868" s="11" t="s">
        <v>33</v>
      </c>
      <c r="I3868" s="16">
        <v>2.0</v>
      </c>
      <c r="J3868" s="11" t="s">
        <v>1405</v>
      </c>
      <c r="K3868" s="11" t="s">
        <v>35</v>
      </c>
      <c r="L3868" s="11" t="s">
        <v>48</v>
      </c>
      <c r="M3868" s="11" t="s">
        <v>28</v>
      </c>
      <c r="N3868" s="11" t="s">
        <v>236</v>
      </c>
      <c r="O3868" s="11" t="s">
        <v>1408</v>
      </c>
      <c r="P3868" s="11" t="s">
        <v>38</v>
      </c>
      <c r="Q3868" s="20">
        <v>40478.0</v>
      </c>
      <c r="R3868" s="17">
        <f t="shared" si="2"/>
        <v>1.555478261</v>
      </c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>
        <f t="shared" si="8"/>
        <v>4</v>
      </c>
      <c r="AF3868" s="19">
        <f t="shared" si="13"/>
        <v>2</v>
      </c>
      <c r="AG3868" s="9"/>
      <c r="AH3868" s="9"/>
      <c r="AI3868" s="9"/>
    </row>
    <row r="3869" ht="15.0" customHeight="1">
      <c r="A3869" s="11">
        <v>3868.0</v>
      </c>
      <c r="B3869" s="12">
        <f t="shared" si="613"/>
        <v>40475</v>
      </c>
      <c r="C3869" s="13">
        <v>2010.0</v>
      </c>
      <c r="D3869" s="11" t="s">
        <v>32</v>
      </c>
      <c r="E3869" s="11">
        <v>2.0</v>
      </c>
      <c r="F3869" s="21" t="s">
        <v>158</v>
      </c>
      <c r="G3869" s="15">
        <v>0.10820276497695848</v>
      </c>
      <c r="H3869" s="11" t="s">
        <v>33</v>
      </c>
      <c r="I3869" s="16">
        <v>6.552</v>
      </c>
      <c r="J3869" s="11" t="s">
        <v>1024</v>
      </c>
      <c r="K3869" s="11" t="s">
        <v>26</v>
      </c>
      <c r="L3869" s="11" t="s">
        <v>36</v>
      </c>
      <c r="M3869" s="11" t="s">
        <v>28</v>
      </c>
      <c r="N3869" s="11" t="s">
        <v>56</v>
      </c>
      <c r="O3869" s="11" t="s">
        <v>637</v>
      </c>
      <c r="P3869" s="11" t="s">
        <v>38</v>
      </c>
      <c r="Q3869" s="20">
        <v>40479.0</v>
      </c>
      <c r="R3869" s="17">
        <f t="shared" si="2"/>
        <v>2.093939908</v>
      </c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>
        <f t="shared" si="8"/>
        <v>2</v>
      </c>
      <c r="AF3869" s="19">
        <f t="shared" si="13"/>
        <v>1</v>
      </c>
      <c r="AG3869" s="9"/>
      <c r="AH3869" s="9"/>
      <c r="AI3869" s="9"/>
    </row>
    <row r="3870" ht="15.0" customHeight="1">
      <c r="A3870" s="11">
        <v>3869.0</v>
      </c>
      <c r="B3870" s="12">
        <f t="shared" ref="B3870:B3872" si="614">DATE(2012,12,31)-798</f>
        <v>40476</v>
      </c>
      <c r="C3870" s="13">
        <v>2010.0</v>
      </c>
      <c r="D3870" s="11" t="s">
        <v>44</v>
      </c>
      <c r="E3870" s="11">
        <v>27.0</v>
      </c>
      <c r="F3870" s="21" t="s">
        <v>838</v>
      </c>
      <c r="G3870" s="15">
        <v>0.08470786668465784</v>
      </c>
      <c r="H3870" s="11" t="s">
        <v>33</v>
      </c>
      <c r="I3870" s="16">
        <v>15.991999999999999</v>
      </c>
      <c r="J3870" s="11" t="s">
        <v>1572</v>
      </c>
      <c r="K3870" s="11" t="s">
        <v>83</v>
      </c>
      <c r="L3870" s="11" t="s">
        <v>27</v>
      </c>
      <c r="M3870" s="11" t="s">
        <v>66</v>
      </c>
      <c r="N3870" s="11" t="s">
        <v>67</v>
      </c>
      <c r="O3870" s="11" t="s">
        <v>845</v>
      </c>
      <c r="P3870" s="11" t="s">
        <v>38</v>
      </c>
      <c r="Q3870" s="20">
        <v>40479.0</v>
      </c>
      <c r="R3870" s="17">
        <f t="shared" si="2"/>
        <v>229.837177</v>
      </c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>
        <f t="shared" si="8"/>
        <v>1</v>
      </c>
      <c r="AF3870" s="19" t="b">
        <f t="shared" si="13"/>
        <v>0</v>
      </c>
      <c r="AG3870" s="9"/>
      <c r="AH3870" s="9"/>
      <c r="AI3870" s="9"/>
    </row>
    <row r="3871" ht="15.0" customHeight="1">
      <c r="A3871" s="11">
        <v>3870.0</v>
      </c>
      <c r="B3871" s="12">
        <f t="shared" si="614"/>
        <v>40476</v>
      </c>
      <c r="C3871" s="13">
        <v>2010.0</v>
      </c>
      <c r="D3871" s="11" t="s">
        <v>32</v>
      </c>
      <c r="E3871" s="11">
        <v>31.0</v>
      </c>
      <c r="F3871" s="21" t="s">
        <v>394</v>
      </c>
      <c r="G3871" s="15">
        <v>0.09290668647232356</v>
      </c>
      <c r="H3871" s="11" t="s">
        <v>45</v>
      </c>
      <c r="I3871" s="16">
        <v>28.872000000000003</v>
      </c>
      <c r="J3871" s="11" t="s">
        <v>1018</v>
      </c>
      <c r="K3871" s="11" t="s">
        <v>61</v>
      </c>
      <c r="L3871" s="11" t="s">
        <v>41</v>
      </c>
      <c r="M3871" s="11" t="s">
        <v>49</v>
      </c>
      <c r="N3871" s="11" t="s">
        <v>156</v>
      </c>
      <c r="O3871" s="11" t="s">
        <v>1194</v>
      </c>
      <c r="P3871" s="11" t="s">
        <v>87</v>
      </c>
      <c r="Q3871" s="20">
        <v>40479.0</v>
      </c>
      <c r="R3871" s="17">
        <f t="shared" si="2"/>
        <v>408.4895177</v>
      </c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>
        <f t="shared" si="8"/>
        <v>3</v>
      </c>
      <c r="AF3871" s="19">
        <f t="shared" si="13"/>
        <v>4</v>
      </c>
      <c r="AG3871" s="9"/>
      <c r="AH3871" s="9"/>
      <c r="AI3871" s="9"/>
    </row>
    <row r="3872" ht="15.0" customHeight="1">
      <c r="A3872" s="11">
        <v>3871.0</v>
      </c>
      <c r="B3872" s="12">
        <f t="shared" si="614"/>
        <v>40476</v>
      </c>
      <c r="C3872" s="13">
        <v>2010.0</v>
      </c>
      <c r="D3872" s="11" t="s">
        <v>32</v>
      </c>
      <c r="E3872" s="11">
        <v>16.0</v>
      </c>
      <c r="F3872" s="21" t="s">
        <v>100</v>
      </c>
      <c r="G3872" s="15">
        <v>0.020316027088036145</v>
      </c>
      <c r="H3872" s="11" t="s">
        <v>33</v>
      </c>
      <c r="I3872" s="16">
        <v>4.0</v>
      </c>
      <c r="J3872" s="11" t="s">
        <v>1018</v>
      </c>
      <c r="K3872" s="11" t="s">
        <v>61</v>
      </c>
      <c r="L3872" s="11" t="s">
        <v>41</v>
      </c>
      <c r="M3872" s="11" t="s">
        <v>66</v>
      </c>
      <c r="N3872" s="11" t="s">
        <v>80</v>
      </c>
      <c r="O3872" s="11" t="s">
        <v>2025</v>
      </c>
      <c r="P3872" s="11" t="s">
        <v>38</v>
      </c>
      <c r="Q3872" s="20">
        <v>40479.0</v>
      </c>
      <c r="R3872" s="17">
        <f t="shared" si="2"/>
        <v>67.01038375</v>
      </c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>
        <f t="shared" si="8"/>
        <v>3</v>
      </c>
      <c r="AF3872" s="19">
        <f t="shared" si="13"/>
        <v>4</v>
      </c>
      <c r="AG3872" s="9"/>
      <c r="AH3872" s="9"/>
      <c r="AI3872" s="9"/>
    </row>
    <row r="3873" ht="15.0" customHeight="1">
      <c r="A3873" s="11">
        <v>3872.0</v>
      </c>
      <c r="B3873" s="12">
        <f t="shared" ref="B3873:B3883" si="615">DATE(2012,12,31)-797</f>
        <v>40477</v>
      </c>
      <c r="C3873" s="13">
        <v>2010.0</v>
      </c>
      <c r="D3873" s="11" t="s">
        <v>39</v>
      </c>
      <c r="E3873" s="11">
        <v>47.0</v>
      </c>
      <c r="F3873" s="21" t="s">
        <v>481</v>
      </c>
      <c r="G3873" s="15">
        <v>0.05912387530673461</v>
      </c>
      <c r="H3873" s="11" t="s">
        <v>33</v>
      </c>
      <c r="I3873" s="16">
        <v>7.192</v>
      </c>
      <c r="J3873" s="11" t="s">
        <v>1664</v>
      </c>
      <c r="K3873" s="11" t="s">
        <v>35</v>
      </c>
      <c r="L3873" s="11" t="s">
        <v>48</v>
      </c>
      <c r="M3873" s="11" t="s">
        <v>28</v>
      </c>
      <c r="N3873" s="11" t="s">
        <v>62</v>
      </c>
      <c r="O3873" s="11" t="s">
        <v>482</v>
      </c>
      <c r="P3873" s="11" t="s">
        <v>99</v>
      </c>
      <c r="Q3873" s="20">
        <v>40479.0</v>
      </c>
      <c r="R3873" s="17">
        <f t="shared" si="2"/>
        <v>122.4155108</v>
      </c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>
        <f t="shared" si="8"/>
        <v>4</v>
      </c>
      <c r="AF3873" s="19">
        <f t="shared" si="13"/>
        <v>2</v>
      </c>
      <c r="AG3873" s="9"/>
      <c r="AH3873" s="9"/>
      <c r="AI3873" s="9"/>
    </row>
    <row r="3874" ht="15.0" customHeight="1">
      <c r="A3874" s="11">
        <v>3873.0</v>
      </c>
      <c r="B3874" s="12">
        <f t="shared" si="615"/>
        <v>40477</v>
      </c>
      <c r="C3874" s="13">
        <v>2010.0</v>
      </c>
      <c r="D3874" s="11" t="s">
        <v>39</v>
      </c>
      <c r="E3874" s="11">
        <v>11.0</v>
      </c>
      <c r="F3874" s="21" t="s">
        <v>128</v>
      </c>
      <c r="G3874" s="15">
        <v>0.05836220898754729</v>
      </c>
      <c r="H3874" s="11" t="s">
        <v>33</v>
      </c>
      <c r="I3874" s="16">
        <v>6.464</v>
      </c>
      <c r="J3874" s="11" t="s">
        <v>1664</v>
      </c>
      <c r="K3874" s="11" t="s">
        <v>35</v>
      </c>
      <c r="L3874" s="11" t="s">
        <v>48</v>
      </c>
      <c r="M3874" s="11" t="s">
        <v>66</v>
      </c>
      <c r="N3874" s="11" t="s">
        <v>80</v>
      </c>
      <c r="O3874" s="11" t="s">
        <v>1508</v>
      </c>
      <c r="P3874" s="11" t="s">
        <v>38</v>
      </c>
      <c r="Q3874" s="20">
        <v>40479.0</v>
      </c>
      <c r="R3874" s="17">
        <f t="shared" si="2"/>
        <v>81.20307655</v>
      </c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>
        <f t="shared" si="8"/>
        <v>4</v>
      </c>
      <c r="AF3874" s="19">
        <f t="shared" si="13"/>
        <v>2</v>
      </c>
      <c r="AG3874" s="9"/>
      <c r="AH3874" s="9"/>
      <c r="AI3874" s="9"/>
    </row>
    <row r="3875" ht="15.0" customHeight="1">
      <c r="A3875" s="11">
        <v>3874.0</v>
      </c>
      <c r="B3875" s="12">
        <f t="shared" si="615"/>
        <v>40477</v>
      </c>
      <c r="C3875" s="13">
        <v>2010.0</v>
      </c>
      <c r="D3875" s="11" t="s">
        <v>32</v>
      </c>
      <c r="E3875" s="11">
        <v>17.0</v>
      </c>
      <c r="F3875" s="21" t="s">
        <v>428</v>
      </c>
      <c r="G3875" s="15">
        <v>0.03214492753623194</v>
      </c>
      <c r="H3875" s="11" t="s">
        <v>33</v>
      </c>
      <c r="I3875" s="16">
        <v>8.728</v>
      </c>
      <c r="J3875" s="11" t="s">
        <v>2039</v>
      </c>
      <c r="K3875" s="11" t="s">
        <v>83</v>
      </c>
      <c r="L3875" s="11" t="s">
        <v>27</v>
      </c>
      <c r="M3875" s="11" t="s">
        <v>28</v>
      </c>
      <c r="N3875" s="11" t="s">
        <v>42</v>
      </c>
      <c r="O3875" s="11" t="s">
        <v>1642</v>
      </c>
      <c r="P3875" s="11" t="s">
        <v>38</v>
      </c>
      <c r="Q3875" s="20">
        <v>40479.0</v>
      </c>
      <c r="R3875" s="17">
        <f t="shared" si="2"/>
        <v>8.586810203</v>
      </c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>
        <f t="shared" si="8"/>
        <v>1</v>
      </c>
      <c r="AF3875" s="19" t="b">
        <f t="shared" si="13"/>
        <v>0</v>
      </c>
      <c r="AG3875" s="9"/>
      <c r="AH3875" s="9"/>
      <c r="AI3875" s="9"/>
    </row>
    <row r="3876" ht="15.0" customHeight="1">
      <c r="A3876" s="11">
        <v>3875.0</v>
      </c>
      <c r="B3876" s="12">
        <f t="shared" si="615"/>
        <v>40477</v>
      </c>
      <c r="C3876" s="13">
        <v>2010.0</v>
      </c>
      <c r="D3876" s="11" t="s">
        <v>32</v>
      </c>
      <c r="E3876" s="11">
        <v>40.0</v>
      </c>
      <c r="F3876" s="21" t="s">
        <v>740</v>
      </c>
      <c r="G3876" s="15">
        <v>0.011057224723700394</v>
      </c>
      <c r="H3876" s="11" t="s">
        <v>45</v>
      </c>
      <c r="I3876" s="16">
        <v>43.93600000000001</v>
      </c>
      <c r="J3876" s="11" t="s">
        <v>2039</v>
      </c>
      <c r="K3876" s="11" t="s">
        <v>83</v>
      </c>
      <c r="L3876" s="11" t="s">
        <v>27</v>
      </c>
      <c r="M3876" s="11" t="s">
        <v>49</v>
      </c>
      <c r="N3876" s="11" t="s">
        <v>156</v>
      </c>
      <c r="O3876" s="11" t="s">
        <v>1070</v>
      </c>
      <c r="P3876" s="11" t="s">
        <v>87</v>
      </c>
      <c r="Q3876" s="20">
        <v>40479.0</v>
      </c>
      <c r="R3876" s="17">
        <f t="shared" si="2"/>
        <v>133.570567</v>
      </c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>
        <f t="shared" si="8"/>
        <v>1</v>
      </c>
      <c r="AF3876" s="19" t="b">
        <f t="shared" si="13"/>
        <v>0</v>
      </c>
      <c r="AG3876" s="9"/>
      <c r="AH3876" s="9"/>
      <c r="AI3876" s="9"/>
    </row>
    <row r="3877" ht="15.0" customHeight="1">
      <c r="A3877" s="11">
        <v>3876.0</v>
      </c>
      <c r="B3877" s="12">
        <f t="shared" si="615"/>
        <v>40477</v>
      </c>
      <c r="C3877" s="13">
        <v>2010.0</v>
      </c>
      <c r="D3877" s="11" t="s">
        <v>102</v>
      </c>
      <c r="E3877" s="11">
        <v>8.0</v>
      </c>
      <c r="F3877" s="21" t="s">
        <v>1219</v>
      </c>
      <c r="G3877" s="15">
        <v>0.07222984002611807</v>
      </c>
      <c r="H3877" s="11" t="s">
        <v>33</v>
      </c>
      <c r="I3877" s="16">
        <v>6.5760000000000005</v>
      </c>
      <c r="J3877" s="11" t="s">
        <v>588</v>
      </c>
      <c r="K3877" s="11" t="s">
        <v>47</v>
      </c>
      <c r="L3877" s="11" t="s">
        <v>27</v>
      </c>
      <c r="M3877" s="11" t="s">
        <v>28</v>
      </c>
      <c r="N3877" s="11" t="s">
        <v>29</v>
      </c>
      <c r="O3877" s="11" t="s">
        <v>1735</v>
      </c>
      <c r="P3877" s="11" t="s">
        <v>38</v>
      </c>
      <c r="Q3877" s="20">
        <v>40479.0</v>
      </c>
      <c r="R3877" s="17">
        <f t="shared" si="2"/>
        <v>20.52598702</v>
      </c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>
        <f t="shared" si="8"/>
        <v>1</v>
      </c>
      <c r="AF3877" s="19">
        <f t="shared" si="13"/>
        <v>3</v>
      </c>
      <c r="AG3877" s="9"/>
      <c r="AH3877" s="9"/>
      <c r="AI3877" s="9"/>
    </row>
    <row r="3878" ht="15.0" customHeight="1">
      <c r="A3878" s="11">
        <v>3877.0</v>
      </c>
      <c r="B3878" s="12">
        <f t="shared" si="615"/>
        <v>40477</v>
      </c>
      <c r="C3878" s="13">
        <v>2010.0</v>
      </c>
      <c r="D3878" s="11" t="s">
        <v>102</v>
      </c>
      <c r="E3878" s="11">
        <v>8.0</v>
      </c>
      <c r="F3878" s="21" t="s">
        <v>428</v>
      </c>
      <c r="G3878" s="15">
        <v>0.06623376623376616</v>
      </c>
      <c r="H3878" s="11" t="s">
        <v>45</v>
      </c>
      <c r="I3878" s="16">
        <v>22.200000000000003</v>
      </c>
      <c r="J3878" s="11" t="s">
        <v>588</v>
      </c>
      <c r="K3878" s="11" t="s">
        <v>47</v>
      </c>
      <c r="L3878" s="11" t="s">
        <v>27</v>
      </c>
      <c r="M3878" s="11" t="s">
        <v>49</v>
      </c>
      <c r="N3878" s="11" t="s">
        <v>85</v>
      </c>
      <c r="O3878" s="11" t="s">
        <v>1668</v>
      </c>
      <c r="P3878" s="11" t="s">
        <v>87</v>
      </c>
      <c r="Q3878" s="20">
        <v>40479.0</v>
      </c>
      <c r="R3878" s="17">
        <f t="shared" si="2"/>
        <v>9.524415584</v>
      </c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>
        <f t="shared" si="8"/>
        <v>1</v>
      </c>
      <c r="AF3878" s="19">
        <f t="shared" si="13"/>
        <v>3</v>
      </c>
      <c r="AG3878" s="9"/>
      <c r="AH3878" s="9"/>
      <c r="AI3878" s="9"/>
    </row>
    <row r="3879" ht="15.0" customHeight="1">
      <c r="A3879" s="11">
        <v>3878.0</v>
      </c>
      <c r="B3879" s="12">
        <f t="shared" si="615"/>
        <v>40477</v>
      </c>
      <c r="C3879" s="13">
        <v>2010.0</v>
      </c>
      <c r="D3879" s="11" t="s">
        <v>23</v>
      </c>
      <c r="E3879" s="11">
        <v>31.0</v>
      </c>
      <c r="F3879" s="21" t="s">
        <v>103</v>
      </c>
      <c r="G3879" s="15">
        <v>0.09599607458292439</v>
      </c>
      <c r="H3879" s="11" t="s">
        <v>24</v>
      </c>
      <c r="I3879" s="16">
        <v>1.336</v>
      </c>
      <c r="J3879" s="11" t="s">
        <v>196</v>
      </c>
      <c r="K3879" s="11" t="s">
        <v>65</v>
      </c>
      <c r="L3879" s="11" t="s">
        <v>27</v>
      </c>
      <c r="M3879" s="11" t="s">
        <v>28</v>
      </c>
      <c r="N3879" s="11" t="s">
        <v>62</v>
      </c>
      <c r="O3879" s="11" t="s">
        <v>2044</v>
      </c>
      <c r="P3879" s="11" t="s">
        <v>58</v>
      </c>
      <c r="Q3879" s="20">
        <v>40479.0</v>
      </c>
      <c r="R3879" s="17">
        <f t="shared" si="2"/>
        <v>17.6859328</v>
      </c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>
        <f t="shared" si="8"/>
        <v>1</v>
      </c>
      <c r="AF3879" s="19">
        <f t="shared" si="13"/>
        <v>5</v>
      </c>
      <c r="AG3879" s="9"/>
      <c r="AH3879" s="9"/>
      <c r="AI3879" s="9"/>
    </row>
    <row r="3880" ht="15.0" customHeight="1">
      <c r="A3880" s="11">
        <v>3879.0</v>
      </c>
      <c r="B3880" s="12">
        <f t="shared" si="615"/>
        <v>40477</v>
      </c>
      <c r="C3880" s="13">
        <v>2010.0</v>
      </c>
      <c r="D3880" s="11" t="s">
        <v>23</v>
      </c>
      <c r="E3880" s="11">
        <v>36.0</v>
      </c>
      <c r="F3880" s="21" t="s">
        <v>319</v>
      </c>
      <c r="G3880" s="15">
        <v>0.06580645161290323</v>
      </c>
      <c r="H3880" s="11" t="s">
        <v>33</v>
      </c>
      <c r="I3880" s="16">
        <v>0.5599999999999999</v>
      </c>
      <c r="J3880" s="11" t="s">
        <v>196</v>
      </c>
      <c r="K3880" s="11" t="s">
        <v>65</v>
      </c>
      <c r="L3880" s="11" t="s">
        <v>27</v>
      </c>
      <c r="M3880" s="11" t="s">
        <v>28</v>
      </c>
      <c r="N3880" s="11" t="s">
        <v>62</v>
      </c>
      <c r="O3880" s="11" t="s">
        <v>383</v>
      </c>
      <c r="P3880" s="11" t="s">
        <v>58</v>
      </c>
      <c r="Q3880" s="20">
        <v>40480.0</v>
      </c>
      <c r="R3880" s="17">
        <f t="shared" si="2"/>
        <v>6.670141935</v>
      </c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>
        <f t="shared" si="8"/>
        <v>1</v>
      </c>
      <c r="AF3880" s="19">
        <f t="shared" si="13"/>
        <v>5</v>
      </c>
      <c r="AG3880" s="9"/>
      <c r="AH3880" s="9"/>
      <c r="AI3880" s="9"/>
    </row>
    <row r="3881" ht="15.0" customHeight="1">
      <c r="A3881" s="11">
        <v>3880.0</v>
      </c>
      <c r="B3881" s="12">
        <f t="shared" si="615"/>
        <v>40477</v>
      </c>
      <c r="C3881" s="13">
        <v>2010.0</v>
      </c>
      <c r="D3881" s="11" t="s">
        <v>23</v>
      </c>
      <c r="E3881" s="11">
        <v>14.0</v>
      </c>
      <c r="F3881" s="21" t="s">
        <v>2464</v>
      </c>
      <c r="G3881" s="15">
        <v>0.04700904924197895</v>
      </c>
      <c r="H3881" s="11" t="s">
        <v>33</v>
      </c>
      <c r="I3881" s="16">
        <v>55.2</v>
      </c>
      <c r="J3881" s="11" t="s">
        <v>196</v>
      </c>
      <c r="K3881" s="11" t="s">
        <v>65</v>
      </c>
      <c r="L3881" s="11" t="s">
        <v>27</v>
      </c>
      <c r="M3881" s="11" t="s">
        <v>49</v>
      </c>
      <c r="N3881" s="11" t="s">
        <v>85</v>
      </c>
      <c r="O3881" s="11" t="s">
        <v>2404</v>
      </c>
      <c r="P3881" s="11" t="s">
        <v>31</v>
      </c>
      <c r="Q3881" s="20">
        <v>40480.0</v>
      </c>
      <c r="R3881" s="17">
        <f t="shared" si="2"/>
        <v>76.23927606</v>
      </c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>
        <f t="shared" si="8"/>
        <v>1</v>
      </c>
      <c r="AF3881" s="19">
        <f t="shared" si="13"/>
        <v>5</v>
      </c>
      <c r="AG3881" s="9"/>
      <c r="AH3881" s="9"/>
      <c r="AI3881" s="9"/>
    </row>
    <row r="3882" ht="15.0" customHeight="1">
      <c r="A3882" s="11">
        <v>3881.0</v>
      </c>
      <c r="B3882" s="12">
        <f t="shared" si="615"/>
        <v>40477</v>
      </c>
      <c r="C3882" s="13">
        <v>2010.0</v>
      </c>
      <c r="D3882" s="11" t="s">
        <v>44</v>
      </c>
      <c r="E3882" s="11">
        <v>38.0</v>
      </c>
      <c r="F3882" s="21" t="s">
        <v>985</v>
      </c>
      <c r="G3882" s="15">
        <v>0.06768151708014021</v>
      </c>
      <c r="H3882" s="11" t="s">
        <v>33</v>
      </c>
      <c r="I3882" s="16">
        <v>7.192</v>
      </c>
      <c r="J3882" s="11" t="s">
        <v>2086</v>
      </c>
      <c r="K3882" s="11" t="s">
        <v>83</v>
      </c>
      <c r="L3882" s="11" t="s">
        <v>41</v>
      </c>
      <c r="M3882" s="11" t="s">
        <v>49</v>
      </c>
      <c r="N3882" s="11" t="s">
        <v>73</v>
      </c>
      <c r="O3882" s="11" t="s">
        <v>986</v>
      </c>
      <c r="P3882" s="11" t="s">
        <v>99</v>
      </c>
      <c r="Q3882" s="20">
        <v>40481.0</v>
      </c>
      <c r="R3882" s="17">
        <f t="shared" si="2"/>
        <v>48.58125151</v>
      </c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>
        <f t="shared" si="8"/>
        <v>3</v>
      </c>
      <c r="AF3882" s="19" t="b">
        <f t="shared" si="13"/>
        <v>0</v>
      </c>
      <c r="AG3882" s="9"/>
      <c r="AH3882" s="9"/>
      <c r="AI3882" s="9"/>
    </row>
    <row r="3883" ht="15.0" customHeight="1">
      <c r="A3883" s="11">
        <v>3882.0</v>
      </c>
      <c r="B3883" s="12">
        <f t="shared" si="615"/>
        <v>40477</v>
      </c>
      <c r="C3883" s="13">
        <v>2010.0</v>
      </c>
      <c r="D3883" s="11" t="s">
        <v>44</v>
      </c>
      <c r="E3883" s="11">
        <v>38.0</v>
      </c>
      <c r="F3883" s="21" t="s">
        <v>1911</v>
      </c>
      <c r="G3883" s="15">
        <v>0.05197181152411231</v>
      </c>
      <c r="H3883" s="11" t="s">
        <v>33</v>
      </c>
      <c r="I3883" s="16">
        <v>11.776000000000002</v>
      </c>
      <c r="J3883" s="11" t="s">
        <v>673</v>
      </c>
      <c r="K3883" s="11" t="s">
        <v>61</v>
      </c>
      <c r="L3883" s="11" t="s">
        <v>27</v>
      </c>
      <c r="M3883" s="11" t="s">
        <v>28</v>
      </c>
      <c r="N3883" s="11" t="s">
        <v>236</v>
      </c>
      <c r="O3883" s="11" t="s">
        <v>1912</v>
      </c>
      <c r="P3883" s="11" t="s">
        <v>38</v>
      </c>
      <c r="Q3883" s="20">
        <v>40481.0</v>
      </c>
      <c r="R3883" s="17">
        <f t="shared" si="2"/>
        <v>71.31447245</v>
      </c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>
        <f t="shared" si="8"/>
        <v>1</v>
      </c>
      <c r="AF3883" s="19">
        <f t="shared" si="13"/>
        <v>4</v>
      </c>
      <c r="AG3883" s="9"/>
      <c r="AH3883" s="9"/>
      <c r="AI3883" s="9"/>
    </row>
    <row r="3884" ht="15.0" customHeight="1">
      <c r="A3884" s="11">
        <v>3883.0</v>
      </c>
      <c r="B3884" s="12">
        <f t="shared" ref="B3884:B3886" si="616">DATE(2012,12,31)-796</f>
        <v>40478</v>
      </c>
      <c r="C3884" s="13">
        <v>2010.0</v>
      </c>
      <c r="D3884" s="11" t="s">
        <v>44</v>
      </c>
      <c r="E3884" s="11">
        <v>17.0</v>
      </c>
      <c r="F3884" s="21" t="s">
        <v>762</v>
      </c>
      <c r="G3884" s="15">
        <v>0.08358951577076844</v>
      </c>
      <c r="H3884" s="11" t="s">
        <v>24</v>
      </c>
      <c r="I3884" s="16">
        <v>3.9840000000000004</v>
      </c>
      <c r="J3884" s="11" t="s">
        <v>456</v>
      </c>
      <c r="K3884" s="11" t="s">
        <v>35</v>
      </c>
      <c r="L3884" s="11" t="s">
        <v>27</v>
      </c>
      <c r="M3884" s="11" t="s">
        <v>28</v>
      </c>
      <c r="N3884" s="11" t="s">
        <v>197</v>
      </c>
      <c r="O3884" s="11" t="s">
        <v>1001</v>
      </c>
      <c r="P3884" s="11" t="s">
        <v>38</v>
      </c>
      <c r="Q3884" s="20">
        <v>40481.0</v>
      </c>
      <c r="R3884" s="17">
        <f t="shared" si="2"/>
        <v>17.24317967</v>
      </c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>
        <f t="shared" si="8"/>
        <v>1</v>
      </c>
      <c r="AF3884" s="19">
        <f t="shared" si="13"/>
        <v>2</v>
      </c>
      <c r="AG3884" s="9"/>
      <c r="AH3884" s="9"/>
      <c r="AI3884" s="9"/>
    </row>
    <row r="3885" ht="15.0" customHeight="1">
      <c r="A3885" s="11">
        <v>3884.0</v>
      </c>
      <c r="B3885" s="12">
        <f t="shared" si="616"/>
        <v>40478</v>
      </c>
      <c r="C3885" s="13">
        <v>2010.0</v>
      </c>
      <c r="D3885" s="11" t="s">
        <v>102</v>
      </c>
      <c r="E3885" s="11">
        <v>14.0</v>
      </c>
      <c r="F3885" s="21" t="s">
        <v>1191</v>
      </c>
      <c r="G3885" s="15">
        <v>0.026714852607709758</v>
      </c>
      <c r="H3885" s="11" t="s">
        <v>33</v>
      </c>
      <c r="I3885" s="16">
        <v>4.08</v>
      </c>
      <c r="J3885" s="11" t="s">
        <v>1222</v>
      </c>
      <c r="K3885" s="11" t="s">
        <v>83</v>
      </c>
      <c r="L3885" s="11" t="s">
        <v>48</v>
      </c>
      <c r="M3885" s="11" t="s">
        <v>28</v>
      </c>
      <c r="N3885" s="11" t="s">
        <v>197</v>
      </c>
      <c r="O3885" s="11" t="s">
        <v>1193</v>
      </c>
      <c r="P3885" s="11" t="s">
        <v>75</v>
      </c>
      <c r="Q3885" s="20">
        <v>40481.0</v>
      </c>
      <c r="R3885" s="17">
        <f t="shared" si="2"/>
        <v>17.61256803</v>
      </c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>
        <f t="shared" si="8"/>
        <v>4</v>
      </c>
      <c r="AF3885" s="19" t="b">
        <f t="shared" si="13"/>
        <v>0</v>
      </c>
      <c r="AG3885" s="9"/>
      <c r="AH3885" s="9"/>
      <c r="AI3885" s="9"/>
    </row>
    <row r="3886" ht="15.0" customHeight="1">
      <c r="A3886" s="11">
        <v>3885.0</v>
      </c>
      <c r="B3886" s="12">
        <f t="shared" si="616"/>
        <v>40478</v>
      </c>
      <c r="C3886" s="13">
        <v>2010.0</v>
      </c>
      <c r="D3886" s="11" t="s">
        <v>102</v>
      </c>
      <c r="E3886" s="11">
        <v>41.0</v>
      </c>
      <c r="F3886" s="21" t="s">
        <v>758</v>
      </c>
      <c r="G3886" s="15">
        <v>0.0987951807228916</v>
      </c>
      <c r="H3886" s="11" t="s">
        <v>24</v>
      </c>
      <c r="I3886" s="16">
        <v>2.0</v>
      </c>
      <c r="J3886" s="11" t="s">
        <v>1222</v>
      </c>
      <c r="K3886" s="11" t="s">
        <v>83</v>
      </c>
      <c r="L3886" s="11" t="s">
        <v>48</v>
      </c>
      <c r="M3886" s="11" t="s">
        <v>28</v>
      </c>
      <c r="N3886" s="11" t="s">
        <v>236</v>
      </c>
      <c r="O3886" s="11" t="s">
        <v>1171</v>
      </c>
      <c r="P3886" s="11" t="s">
        <v>38</v>
      </c>
      <c r="Q3886" s="20">
        <v>40481.0</v>
      </c>
      <c r="R3886" s="17">
        <f t="shared" si="2"/>
        <v>14.77975904</v>
      </c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>
        <f t="shared" si="8"/>
        <v>4</v>
      </c>
      <c r="AF3886" s="19" t="b">
        <f t="shared" si="13"/>
        <v>0</v>
      </c>
      <c r="AG3886" s="9"/>
      <c r="AH3886" s="9"/>
      <c r="AI3886" s="9"/>
    </row>
    <row r="3887" ht="15.0" customHeight="1">
      <c r="A3887" s="11">
        <v>3886.0</v>
      </c>
      <c r="B3887" s="12">
        <f>DATE(2012,12,31)-795</f>
        <v>40479</v>
      </c>
      <c r="C3887" s="13">
        <v>2010.0</v>
      </c>
      <c r="D3887" s="11" t="s">
        <v>23</v>
      </c>
      <c r="E3887" s="11">
        <v>21.0</v>
      </c>
      <c r="F3887" s="21" t="s">
        <v>319</v>
      </c>
      <c r="G3887" s="15">
        <v>0.038782343987823466</v>
      </c>
      <c r="H3887" s="11" t="s">
        <v>24</v>
      </c>
      <c r="I3887" s="16">
        <v>4.352</v>
      </c>
      <c r="J3887" s="11" t="s">
        <v>2295</v>
      </c>
      <c r="K3887" s="11" t="s">
        <v>26</v>
      </c>
      <c r="L3887" s="11" t="s">
        <v>41</v>
      </c>
      <c r="M3887" s="11" t="s">
        <v>28</v>
      </c>
      <c r="N3887" s="11" t="s">
        <v>42</v>
      </c>
      <c r="O3887" s="11" t="s">
        <v>2345</v>
      </c>
      <c r="P3887" s="11" t="s">
        <v>38</v>
      </c>
      <c r="Q3887" s="20">
        <v>40481.0</v>
      </c>
      <c r="R3887" s="17">
        <f t="shared" si="2"/>
        <v>2.449182588</v>
      </c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>
        <f t="shared" si="8"/>
        <v>3</v>
      </c>
      <c r="AF3887" s="19">
        <f t="shared" si="13"/>
        <v>1</v>
      </c>
      <c r="AG3887" s="9"/>
      <c r="AH3887" s="9"/>
      <c r="AI3887" s="9"/>
    </row>
    <row r="3888" ht="15.0" customHeight="1">
      <c r="A3888" s="11">
        <v>3887.0</v>
      </c>
      <c r="B3888" s="12">
        <f t="shared" ref="B3888:B3895" si="617">DATE(2012,12,31)-794</f>
        <v>40480</v>
      </c>
      <c r="C3888" s="13">
        <v>2010.0</v>
      </c>
      <c r="D3888" s="11" t="s">
        <v>23</v>
      </c>
      <c r="E3888" s="11">
        <v>9.0</v>
      </c>
      <c r="F3888" s="21" t="s">
        <v>130</v>
      </c>
      <c r="G3888" s="15">
        <v>0.007010164738871562</v>
      </c>
      <c r="H3888" s="11" t="s">
        <v>33</v>
      </c>
      <c r="I3888" s="16">
        <v>5.2</v>
      </c>
      <c r="J3888" s="11" t="s">
        <v>879</v>
      </c>
      <c r="K3888" s="11" t="s">
        <v>61</v>
      </c>
      <c r="L3888" s="11" t="s">
        <v>27</v>
      </c>
      <c r="M3888" s="11" t="s">
        <v>66</v>
      </c>
      <c r="N3888" s="11" t="s">
        <v>67</v>
      </c>
      <c r="O3888" s="11" t="s">
        <v>1305</v>
      </c>
      <c r="P3888" s="11" t="s">
        <v>38</v>
      </c>
      <c r="Q3888" s="20">
        <v>40481.0</v>
      </c>
      <c r="R3888" s="17">
        <f t="shared" si="2"/>
        <v>1.985979671</v>
      </c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>
        <f t="shared" si="8"/>
        <v>1</v>
      </c>
      <c r="AF3888" s="19">
        <f t="shared" si="13"/>
        <v>4</v>
      </c>
      <c r="AG3888" s="9"/>
      <c r="AH3888" s="9"/>
      <c r="AI3888" s="9"/>
    </row>
    <row r="3889" ht="15.0" customHeight="1">
      <c r="A3889" s="11">
        <v>3888.0</v>
      </c>
      <c r="B3889" s="12">
        <f t="shared" si="617"/>
        <v>40480</v>
      </c>
      <c r="C3889" s="13">
        <v>2010.0</v>
      </c>
      <c r="D3889" s="11" t="s">
        <v>23</v>
      </c>
      <c r="E3889" s="11">
        <v>30.0</v>
      </c>
      <c r="F3889" s="21" t="s">
        <v>115</v>
      </c>
      <c r="G3889" s="15">
        <v>0.04203469414373285</v>
      </c>
      <c r="H3889" s="11" t="s">
        <v>45</v>
      </c>
      <c r="I3889" s="16">
        <v>45.36000000000001</v>
      </c>
      <c r="J3889" s="11" t="s">
        <v>879</v>
      </c>
      <c r="K3889" s="11" t="s">
        <v>61</v>
      </c>
      <c r="L3889" s="11" t="s">
        <v>27</v>
      </c>
      <c r="M3889" s="11" t="s">
        <v>49</v>
      </c>
      <c r="N3889" s="11" t="s">
        <v>156</v>
      </c>
      <c r="O3889" s="11" t="s">
        <v>2465</v>
      </c>
      <c r="P3889" s="11" t="s">
        <v>87</v>
      </c>
      <c r="Q3889" s="20">
        <v>40481.0</v>
      </c>
      <c r="R3889" s="17">
        <f t="shared" si="2"/>
        <v>154.3665294</v>
      </c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>
        <f t="shared" si="8"/>
        <v>1</v>
      </c>
      <c r="AF3889" s="19">
        <f t="shared" si="13"/>
        <v>4</v>
      </c>
      <c r="AG3889" s="9"/>
      <c r="AH3889" s="9"/>
      <c r="AI3889" s="9"/>
    </row>
    <row r="3890" ht="15.0" customHeight="1">
      <c r="A3890" s="11">
        <v>3889.0</v>
      </c>
      <c r="B3890" s="12">
        <f t="shared" si="617"/>
        <v>40480</v>
      </c>
      <c r="C3890" s="13">
        <v>2010.0</v>
      </c>
      <c r="D3890" s="11" t="s">
        <v>23</v>
      </c>
      <c r="E3890" s="11">
        <v>39.0</v>
      </c>
      <c r="F3890" s="21" t="s">
        <v>2367</v>
      </c>
      <c r="G3890" s="15">
        <v>0.0203731504249169</v>
      </c>
      <c r="H3890" s="11" t="s">
        <v>24</v>
      </c>
      <c r="I3890" s="16">
        <v>15.991999999999999</v>
      </c>
      <c r="J3890" s="11" t="s">
        <v>535</v>
      </c>
      <c r="K3890" s="11" t="s">
        <v>35</v>
      </c>
      <c r="L3890" s="11" t="s">
        <v>48</v>
      </c>
      <c r="M3890" s="11" t="s">
        <v>28</v>
      </c>
      <c r="N3890" s="11" t="s">
        <v>197</v>
      </c>
      <c r="O3890" s="11" t="s">
        <v>2368</v>
      </c>
      <c r="P3890" s="11" t="s">
        <v>38</v>
      </c>
      <c r="Q3890" s="20">
        <v>40481.0</v>
      </c>
      <c r="R3890" s="17">
        <f t="shared" si="2"/>
        <v>185.0593489</v>
      </c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>
        <f t="shared" si="8"/>
        <v>4</v>
      </c>
      <c r="AF3890" s="19">
        <f t="shared" si="13"/>
        <v>2</v>
      </c>
      <c r="AG3890" s="9"/>
      <c r="AH3890" s="9"/>
      <c r="AI3890" s="9"/>
    </row>
    <row r="3891" ht="15.0" customHeight="1">
      <c r="A3891" s="11">
        <v>3890.0</v>
      </c>
      <c r="B3891" s="12">
        <f t="shared" si="617"/>
        <v>40480</v>
      </c>
      <c r="C3891" s="13">
        <v>2010.0</v>
      </c>
      <c r="D3891" s="11" t="s">
        <v>23</v>
      </c>
      <c r="E3891" s="11">
        <v>31.0</v>
      </c>
      <c r="F3891" s="21" t="s">
        <v>1839</v>
      </c>
      <c r="G3891" s="15">
        <v>0.07678669097538746</v>
      </c>
      <c r="H3891" s="11" t="s">
        <v>33</v>
      </c>
      <c r="I3891" s="16">
        <v>1.1119999999999999</v>
      </c>
      <c r="J3891" s="11" t="s">
        <v>535</v>
      </c>
      <c r="K3891" s="11" t="s">
        <v>35</v>
      </c>
      <c r="L3891" s="11" t="s">
        <v>48</v>
      </c>
      <c r="M3891" s="11" t="s">
        <v>28</v>
      </c>
      <c r="N3891" s="11" t="s">
        <v>236</v>
      </c>
      <c r="O3891" s="11" t="s">
        <v>1840</v>
      </c>
      <c r="P3891" s="11" t="s">
        <v>38</v>
      </c>
      <c r="Q3891" s="20">
        <v>40481.0</v>
      </c>
      <c r="R3891" s="17">
        <f t="shared" si="2"/>
        <v>62.21349847</v>
      </c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>
        <f t="shared" si="8"/>
        <v>4</v>
      </c>
      <c r="AF3891" s="19">
        <f t="shared" si="13"/>
        <v>2</v>
      </c>
      <c r="AG3891" s="9"/>
      <c r="AH3891" s="9"/>
      <c r="AI3891" s="9"/>
    </row>
    <row r="3892" ht="15.0" customHeight="1">
      <c r="A3892" s="11">
        <v>3891.0</v>
      </c>
      <c r="B3892" s="12">
        <f t="shared" si="617"/>
        <v>40480</v>
      </c>
      <c r="C3892" s="13">
        <v>2010.0</v>
      </c>
      <c r="D3892" s="11" t="s">
        <v>23</v>
      </c>
      <c r="E3892" s="11">
        <v>4.0</v>
      </c>
      <c r="F3892" s="21" t="s">
        <v>1396</v>
      </c>
      <c r="G3892" s="15">
        <v>0.025371428571428517</v>
      </c>
      <c r="H3892" s="11" t="s">
        <v>33</v>
      </c>
      <c r="I3892" s="16">
        <v>7.024</v>
      </c>
      <c r="J3892" s="11" t="s">
        <v>535</v>
      </c>
      <c r="K3892" s="11" t="s">
        <v>35</v>
      </c>
      <c r="L3892" s="11" t="s">
        <v>48</v>
      </c>
      <c r="M3892" s="11" t="s">
        <v>28</v>
      </c>
      <c r="N3892" s="11" t="s">
        <v>29</v>
      </c>
      <c r="O3892" s="11" t="s">
        <v>1397</v>
      </c>
      <c r="P3892" s="11" t="s">
        <v>38</v>
      </c>
      <c r="Q3892" s="20">
        <v>40482.0</v>
      </c>
      <c r="R3892" s="17">
        <f t="shared" si="2"/>
        <v>1.730940343</v>
      </c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>
        <f t="shared" si="8"/>
        <v>4</v>
      </c>
      <c r="AF3892" s="19">
        <f t="shared" si="13"/>
        <v>2</v>
      </c>
      <c r="AG3892" s="9"/>
      <c r="AH3892" s="9"/>
      <c r="AI3892" s="9"/>
    </row>
    <row r="3893" ht="15.0" customHeight="1">
      <c r="A3893" s="11">
        <v>3892.0</v>
      </c>
      <c r="B3893" s="12">
        <f t="shared" si="617"/>
        <v>40480</v>
      </c>
      <c r="C3893" s="13">
        <v>2010.0</v>
      </c>
      <c r="D3893" s="11" t="s">
        <v>23</v>
      </c>
      <c r="E3893" s="11">
        <v>45.0</v>
      </c>
      <c r="F3893" s="21" t="s">
        <v>103</v>
      </c>
      <c r="G3893" s="15">
        <v>0.1063973509933775</v>
      </c>
      <c r="H3893" s="11" t="s">
        <v>33</v>
      </c>
      <c r="I3893" s="16">
        <v>4.368</v>
      </c>
      <c r="J3893" s="11" t="s">
        <v>1903</v>
      </c>
      <c r="K3893" s="11" t="s">
        <v>65</v>
      </c>
      <c r="L3893" s="11" t="s">
        <v>48</v>
      </c>
      <c r="M3893" s="11" t="s">
        <v>28</v>
      </c>
      <c r="N3893" s="11" t="s">
        <v>56</v>
      </c>
      <c r="O3893" s="11" t="s">
        <v>693</v>
      </c>
      <c r="P3893" s="11" t="s">
        <v>38</v>
      </c>
      <c r="Q3893" s="20">
        <v>40482.0</v>
      </c>
      <c r="R3893" s="17">
        <f t="shared" si="2"/>
        <v>28.71324032</v>
      </c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>
        <f t="shared" si="8"/>
        <v>4</v>
      </c>
      <c r="AF3893" s="19">
        <f t="shared" si="13"/>
        <v>5</v>
      </c>
      <c r="AG3893" s="9"/>
      <c r="AH3893" s="9"/>
      <c r="AI3893" s="9"/>
    </row>
    <row r="3894" ht="15.0" customHeight="1">
      <c r="A3894" s="11">
        <v>3893.0</v>
      </c>
      <c r="B3894" s="12">
        <f t="shared" si="617"/>
        <v>40480</v>
      </c>
      <c r="C3894" s="13">
        <v>2010.0</v>
      </c>
      <c r="D3894" s="11" t="s">
        <v>39</v>
      </c>
      <c r="E3894" s="11">
        <v>7.0</v>
      </c>
      <c r="F3894" s="21" t="s">
        <v>654</v>
      </c>
      <c r="G3894" s="15">
        <v>0.059683966035867966</v>
      </c>
      <c r="H3894" s="11" t="s">
        <v>45</v>
      </c>
      <c r="I3894" s="16">
        <v>32.152</v>
      </c>
      <c r="J3894" s="11" t="s">
        <v>2185</v>
      </c>
      <c r="K3894" s="11" t="s">
        <v>26</v>
      </c>
      <c r="L3894" s="11" t="s">
        <v>27</v>
      </c>
      <c r="M3894" s="11" t="s">
        <v>49</v>
      </c>
      <c r="N3894" s="11" t="s">
        <v>85</v>
      </c>
      <c r="O3894" s="11" t="s">
        <v>655</v>
      </c>
      <c r="P3894" s="11" t="s">
        <v>87</v>
      </c>
      <c r="Q3894" s="20">
        <v>40482.0</v>
      </c>
      <c r="R3894" s="17">
        <f t="shared" si="2"/>
        <v>147.3926577</v>
      </c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>
        <f t="shared" si="8"/>
        <v>1</v>
      </c>
      <c r="AF3894" s="19">
        <f t="shared" si="13"/>
        <v>1</v>
      </c>
      <c r="AG3894" s="9"/>
      <c r="AH3894" s="9"/>
      <c r="AI3894" s="9"/>
    </row>
    <row r="3895" ht="15.0" customHeight="1">
      <c r="A3895" s="11">
        <v>3894.0</v>
      </c>
      <c r="B3895" s="12">
        <f t="shared" si="617"/>
        <v>40480</v>
      </c>
      <c r="C3895" s="13">
        <v>2010.0</v>
      </c>
      <c r="D3895" s="11" t="s">
        <v>32</v>
      </c>
      <c r="E3895" s="11">
        <v>14.0</v>
      </c>
      <c r="F3895" s="21" t="s">
        <v>362</v>
      </c>
      <c r="G3895" s="15">
        <v>0.10236505974454045</v>
      </c>
      <c r="H3895" s="11" t="s">
        <v>33</v>
      </c>
      <c r="I3895" s="16">
        <v>10.656</v>
      </c>
      <c r="J3895" s="11" t="s">
        <v>823</v>
      </c>
      <c r="K3895" s="11" t="s">
        <v>61</v>
      </c>
      <c r="L3895" s="11" t="s">
        <v>36</v>
      </c>
      <c r="M3895" s="11" t="s">
        <v>28</v>
      </c>
      <c r="N3895" s="11" t="s">
        <v>197</v>
      </c>
      <c r="O3895" s="11" t="s">
        <v>364</v>
      </c>
      <c r="P3895" s="11" t="s">
        <v>38</v>
      </c>
      <c r="Q3895" s="20">
        <v>40482.0</v>
      </c>
      <c r="R3895" s="17">
        <f t="shared" si="2"/>
        <v>22.30084246</v>
      </c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>
        <f t="shared" si="8"/>
        <v>2</v>
      </c>
      <c r="AF3895" s="19">
        <f t="shared" si="13"/>
        <v>4</v>
      </c>
      <c r="AG3895" s="9"/>
      <c r="AH3895" s="9"/>
      <c r="AI3895" s="9"/>
    </row>
    <row r="3896" ht="15.0" customHeight="1">
      <c r="A3896" s="11">
        <v>3895.0</v>
      </c>
      <c r="B3896" s="12">
        <f t="shared" ref="B3896:B3905" si="618">DATE(2012,12,31)-793</f>
        <v>40481</v>
      </c>
      <c r="C3896" s="13">
        <v>2010.0</v>
      </c>
      <c r="D3896" s="11" t="s">
        <v>23</v>
      </c>
      <c r="E3896" s="11">
        <v>38.0</v>
      </c>
      <c r="F3896" s="21" t="s">
        <v>397</v>
      </c>
      <c r="G3896" s="15">
        <v>0.009017008703984784</v>
      </c>
      <c r="H3896" s="11" t="s">
        <v>45</v>
      </c>
      <c r="I3896" s="16">
        <v>36.408</v>
      </c>
      <c r="J3896" s="11" t="s">
        <v>2391</v>
      </c>
      <c r="K3896" s="11" t="s">
        <v>47</v>
      </c>
      <c r="L3896" s="11" t="s">
        <v>48</v>
      </c>
      <c r="M3896" s="11" t="s">
        <v>49</v>
      </c>
      <c r="N3896" s="11" t="s">
        <v>85</v>
      </c>
      <c r="O3896" s="11" t="s">
        <v>399</v>
      </c>
      <c r="P3896" s="11" t="s">
        <v>87</v>
      </c>
      <c r="Q3896" s="20">
        <v>40482.0</v>
      </c>
      <c r="R3896" s="17">
        <f t="shared" si="2"/>
        <v>11.19017994</v>
      </c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>
        <f t="shared" si="8"/>
        <v>4</v>
      </c>
      <c r="AF3896" s="19">
        <f t="shared" si="13"/>
        <v>3</v>
      </c>
      <c r="AG3896" s="9"/>
      <c r="AH3896" s="9"/>
      <c r="AI3896" s="9"/>
    </row>
    <row r="3897" ht="15.0" customHeight="1">
      <c r="A3897" s="11">
        <v>3896.0</v>
      </c>
      <c r="B3897" s="12">
        <f t="shared" si="618"/>
        <v>40481</v>
      </c>
      <c r="C3897" s="13">
        <v>2010.0</v>
      </c>
      <c r="D3897" s="11" t="s">
        <v>23</v>
      </c>
      <c r="E3897" s="11">
        <v>35.0</v>
      </c>
      <c r="F3897" s="21" t="s">
        <v>956</v>
      </c>
      <c r="G3897" s="15">
        <v>0.10190899001109865</v>
      </c>
      <c r="H3897" s="11" t="s">
        <v>33</v>
      </c>
      <c r="I3897" s="16">
        <v>4.336</v>
      </c>
      <c r="J3897" s="11" t="s">
        <v>2391</v>
      </c>
      <c r="K3897" s="11" t="s">
        <v>47</v>
      </c>
      <c r="L3897" s="11" t="s">
        <v>48</v>
      </c>
      <c r="M3897" s="11" t="s">
        <v>28</v>
      </c>
      <c r="N3897" s="11" t="s">
        <v>42</v>
      </c>
      <c r="O3897" s="11" t="s">
        <v>1189</v>
      </c>
      <c r="P3897" s="11" t="s">
        <v>38</v>
      </c>
      <c r="Q3897" s="20">
        <v>40482.0</v>
      </c>
      <c r="R3897" s="17">
        <f t="shared" si="2"/>
        <v>16.49254331</v>
      </c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>
        <f t="shared" si="8"/>
        <v>4</v>
      </c>
      <c r="AF3897" s="19">
        <f t="shared" si="13"/>
        <v>3</v>
      </c>
      <c r="AG3897" s="9"/>
      <c r="AH3897" s="9"/>
      <c r="AI3897" s="9"/>
    </row>
    <row r="3898" ht="15.0" customHeight="1">
      <c r="A3898" s="11">
        <v>3897.0</v>
      </c>
      <c r="B3898" s="12">
        <f t="shared" si="618"/>
        <v>40481</v>
      </c>
      <c r="C3898" s="13">
        <v>2010.0</v>
      </c>
      <c r="D3898" s="11" t="s">
        <v>32</v>
      </c>
      <c r="E3898" s="11">
        <v>45.0</v>
      </c>
      <c r="F3898" s="21" t="s">
        <v>440</v>
      </c>
      <c r="G3898" s="15">
        <v>0.0773845230953808</v>
      </c>
      <c r="H3898" s="11" t="s">
        <v>33</v>
      </c>
      <c r="I3898" s="16">
        <v>1.6</v>
      </c>
      <c r="J3898" s="11" t="s">
        <v>563</v>
      </c>
      <c r="K3898" s="11" t="s">
        <v>83</v>
      </c>
      <c r="L3898" s="11" t="s">
        <v>36</v>
      </c>
      <c r="M3898" s="11" t="s">
        <v>28</v>
      </c>
      <c r="N3898" s="11" t="s">
        <v>56</v>
      </c>
      <c r="O3898" s="11" t="s">
        <v>489</v>
      </c>
      <c r="P3898" s="11" t="s">
        <v>58</v>
      </c>
      <c r="Q3898" s="20">
        <v>40482.0</v>
      </c>
      <c r="R3898" s="17">
        <f t="shared" si="2"/>
        <v>23.8034793</v>
      </c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>
        <f t="shared" si="8"/>
        <v>2</v>
      </c>
      <c r="AF3898" s="19" t="b">
        <f t="shared" si="13"/>
        <v>0</v>
      </c>
      <c r="AG3898" s="9"/>
      <c r="AH3898" s="9"/>
      <c r="AI3898" s="9"/>
    </row>
    <row r="3899" ht="15.0" customHeight="1">
      <c r="A3899" s="11">
        <v>3898.0</v>
      </c>
      <c r="B3899" s="12">
        <f t="shared" si="618"/>
        <v>40481</v>
      </c>
      <c r="C3899" s="13">
        <v>2010.0</v>
      </c>
      <c r="D3899" s="11" t="s">
        <v>32</v>
      </c>
      <c r="E3899" s="11">
        <v>15.0</v>
      </c>
      <c r="F3899" s="21" t="s">
        <v>1944</v>
      </c>
      <c r="G3899" s="15">
        <v>0.03708235294117648</v>
      </c>
      <c r="H3899" s="11" t="s">
        <v>33</v>
      </c>
      <c r="I3899" s="16">
        <v>3.4240000000000004</v>
      </c>
      <c r="J3899" s="11" t="s">
        <v>563</v>
      </c>
      <c r="K3899" s="11" t="s">
        <v>83</v>
      </c>
      <c r="L3899" s="11" t="s">
        <v>36</v>
      </c>
      <c r="M3899" s="11" t="s">
        <v>28</v>
      </c>
      <c r="N3899" s="11" t="s">
        <v>62</v>
      </c>
      <c r="O3899" s="11" t="s">
        <v>2466</v>
      </c>
      <c r="P3899" s="11" t="s">
        <v>58</v>
      </c>
      <c r="Q3899" s="20">
        <v>40482.0</v>
      </c>
      <c r="R3899" s="17">
        <f t="shared" si="2"/>
        <v>1.517558212</v>
      </c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>
        <f t="shared" si="8"/>
        <v>2</v>
      </c>
      <c r="AF3899" s="19" t="b">
        <f t="shared" si="13"/>
        <v>0</v>
      </c>
      <c r="AG3899" s="9"/>
      <c r="AH3899" s="9"/>
      <c r="AI3899" s="9"/>
    </row>
    <row r="3900" ht="15.0" customHeight="1">
      <c r="A3900" s="11">
        <v>3899.0</v>
      </c>
      <c r="B3900" s="12">
        <f t="shared" si="618"/>
        <v>40481</v>
      </c>
      <c r="C3900" s="13">
        <v>2010.0</v>
      </c>
      <c r="D3900" s="11" t="s">
        <v>32</v>
      </c>
      <c r="E3900" s="11">
        <v>4.0</v>
      </c>
      <c r="F3900" s="21" t="s">
        <v>1233</v>
      </c>
      <c r="G3900" s="15">
        <v>0.03060924004405534</v>
      </c>
      <c r="H3900" s="11" t="s">
        <v>33</v>
      </c>
      <c r="I3900" s="16">
        <v>9.096</v>
      </c>
      <c r="J3900" s="11" t="s">
        <v>563</v>
      </c>
      <c r="K3900" s="11" t="s">
        <v>83</v>
      </c>
      <c r="L3900" s="11" t="s">
        <v>36</v>
      </c>
      <c r="M3900" s="11" t="s">
        <v>28</v>
      </c>
      <c r="N3900" s="11" t="s">
        <v>29</v>
      </c>
      <c r="O3900" s="11" t="s">
        <v>1234</v>
      </c>
      <c r="P3900" s="11" t="s">
        <v>38</v>
      </c>
      <c r="Q3900" s="20">
        <v>40482.0</v>
      </c>
      <c r="R3900" s="17">
        <f t="shared" si="2"/>
        <v>51.18770969</v>
      </c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>
        <f t="shared" si="8"/>
        <v>2</v>
      </c>
      <c r="AF3900" s="19" t="b">
        <f t="shared" si="13"/>
        <v>0</v>
      </c>
      <c r="AG3900" s="9"/>
      <c r="AH3900" s="9"/>
      <c r="AI3900" s="9"/>
    </row>
    <row r="3901" ht="15.0" customHeight="1">
      <c r="A3901" s="11">
        <v>3900.0</v>
      </c>
      <c r="B3901" s="12">
        <f t="shared" si="618"/>
        <v>40481</v>
      </c>
      <c r="C3901" s="13">
        <v>2010.0</v>
      </c>
      <c r="D3901" s="11" t="s">
        <v>32</v>
      </c>
      <c r="E3901" s="11">
        <v>49.0</v>
      </c>
      <c r="F3901" s="21" t="s">
        <v>126</v>
      </c>
      <c r="G3901" s="15">
        <v>0.029196499602227425</v>
      </c>
      <c r="H3901" s="11" t="s">
        <v>33</v>
      </c>
      <c r="I3901" s="16">
        <v>3.9600000000000004</v>
      </c>
      <c r="J3901" s="11" t="s">
        <v>563</v>
      </c>
      <c r="K3901" s="11" t="s">
        <v>83</v>
      </c>
      <c r="L3901" s="11" t="s">
        <v>36</v>
      </c>
      <c r="M3901" s="11" t="s">
        <v>28</v>
      </c>
      <c r="N3901" s="11" t="s">
        <v>42</v>
      </c>
      <c r="O3901" s="11" t="s">
        <v>1350</v>
      </c>
      <c r="P3901" s="11" t="s">
        <v>38</v>
      </c>
      <c r="Q3901" s="20">
        <v>40483.0</v>
      </c>
      <c r="R3901" s="17">
        <f t="shared" si="2"/>
        <v>7.125697693</v>
      </c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>
        <f t="shared" si="8"/>
        <v>2</v>
      </c>
      <c r="AF3901" s="19" t="b">
        <f t="shared" si="13"/>
        <v>0</v>
      </c>
      <c r="AG3901" s="9"/>
      <c r="AH3901" s="9"/>
      <c r="AI3901" s="9"/>
    </row>
    <row r="3902" ht="15.0" customHeight="1">
      <c r="A3902" s="11">
        <v>3901.0</v>
      </c>
      <c r="B3902" s="12">
        <f t="shared" si="618"/>
        <v>40481</v>
      </c>
      <c r="C3902" s="13">
        <v>2010.0</v>
      </c>
      <c r="D3902" s="11" t="s">
        <v>44</v>
      </c>
      <c r="E3902" s="11">
        <v>43.0</v>
      </c>
      <c r="F3902" s="21" t="s">
        <v>481</v>
      </c>
      <c r="G3902" s="15">
        <v>0.09339648820630585</v>
      </c>
      <c r="H3902" s="11" t="s">
        <v>33</v>
      </c>
      <c r="I3902" s="16">
        <v>7.192</v>
      </c>
      <c r="J3902" s="11" t="s">
        <v>681</v>
      </c>
      <c r="K3902" s="11" t="s">
        <v>61</v>
      </c>
      <c r="L3902" s="11" t="s">
        <v>48</v>
      </c>
      <c r="M3902" s="11" t="s">
        <v>28</v>
      </c>
      <c r="N3902" s="11" t="s">
        <v>62</v>
      </c>
      <c r="O3902" s="11" t="s">
        <v>482</v>
      </c>
      <c r="P3902" s="11" t="s">
        <v>99</v>
      </c>
      <c r="Q3902" s="20">
        <v>40483.0</v>
      </c>
      <c r="R3902" s="17">
        <f t="shared" si="2"/>
        <v>176.9762583</v>
      </c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>
        <f t="shared" si="8"/>
        <v>4</v>
      </c>
      <c r="AF3902" s="19">
        <f t="shared" si="13"/>
        <v>4</v>
      </c>
      <c r="AG3902" s="9"/>
      <c r="AH3902" s="9"/>
      <c r="AI3902" s="9"/>
    </row>
    <row r="3903" ht="15.0" customHeight="1">
      <c r="A3903" s="11">
        <v>3902.0</v>
      </c>
      <c r="B3903" s="12">
        <f t="shared" si="618"/>
        <v>40481</v>
      </c>
      <c r="C3903" s="13">
        <v>2010.0</v>
      </c>
      <c r="D3903" s="11" t="s">
        <v>39</v>
      </c>
      <c r="E3903" s="11">
        <v>5.0</v>
      </c>
      <c r="F3903" s="21" t="s">
        <v>256</v>
      </c>
      <c r="G3903" s="15">
        <v>0.04679802955665021</v>
      </c>
      <c r="H3903" s="11" t="s">
        <v>33</v>
      </c>
      <c r="I3903" s="16">
        <v>5.4</v>
      </c>
      <c r="J3903" s="11" t="s">
        <v>703</v>
      </c>
      <c r="K3903" s="11" t="s">
        <v>35</v>
      </c>
      <c r="L3903" s="11" t="s">
        <v>41</v>
      </c>
      <c r="M3903" s="11" t="s">
        <v>28</v>
      </c>
      <c r="N3903" s="11" t="s">
        <v>197</v>
      </c>
      <c r="O3903" s="11" t="s">
        <v>257</v>
      </c>
      <c r="P3903" s="11" t="s">
        <v>75</v>
      </c>
      <c r="Q3903" s="20">
        <v>40483.0</v>
      </c>
      <c r="R3903" s="17">
        <f t="shared" si="2"/>
        <v>3.622167488</v>
      </c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>
        <f t="shared" si="8"/>
        <v>3</v>
      </c>
      <c r="AF3903" s="19">
        <f t="shared" si="13"/>
        <v>2</v>
      </c>
      <c r="AG3903" s="9"/>
      <c r="AH3903" s="9"/>
      <c r="AI3903" s="9"/>
    </row>
    <row r="3904" ht="15.0" customHeight="1">
      <c r="A3904" s="11">
        <v>3903.0</v>
      </c>
      <c r="B3904" s="12">
        <f t="shared" si="618"/>
        <v>40481</v>
      </c>
      <c r="C3904" s="13">
        <v>2010.0</v>
      </c>
      <c r="D3904" s="11" t="s">
        <v>39</v>
      </c>
      <c r="E3904" s="11">
        <v>9.0</v>
      </c>
      <c r="F3904" s="21" t="s">
        <v>493</v>
      </c>
      <c r="G3904" s="15">
        <v>0.039637474438918435</v>
      </c>
      <c r="H3904" s="11" t="s">
        <v>33</v>
      </c>
      <c r="I3904" s="16">
        <v>15.991999999999999</v>
      </c>
      <c r="J3904" s="11" t="s">
        <v>703</v>
      </c>
      <c r="K3904" s="11" t="s">
        <v>35</v>
      </c>
      <c r="L3904" s="11" t="s">
        <v>41</v>
      </c>
      <c r="M3904" s="11" t="s">
        <v>28</v>
      </c>
      <c r="N3904" s="11" t="s">
        <v>42</v>
      </c>
      <c r="O3904" s="11" t="s">
        <v>495</v>
      </c>
      <c r="P3904" s="11" t="s">
        <v>38</v>
      </c>
      <c r="Q3904" s="20">
        <v>40483.0</v>
      </c>
      <c r="R3904" s="17">
        <f t="shared" si="2"/>
        <v>150.7845994</v>
      </c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>
        <f t="shared" si="8"/>
        <v>3</v>
      </c>
      <c r="AF3904" s="19">
        <f t="shared" si="13"/>
        <v>2</v>
      </c>
      <c r="AG3904" s="9"/>
      <c r="AH3904" s="9"/>
      <c r="AI3904" s="9"/>
    </row>
    <row r="3905" ht="15.0" customHeight="1">
      <c r="A3905" s="11">
        <v>3904.0</v>
      </c>
      <c r="B3905" s="12">
        <f t="shared" si="618"/>
        <v>40481</v>
      </c>
      <c r="C3905" s="13">
        <v>2010.0</v>
      </c>
      <c r="D3905" s="11" t="s">
        <v>44</v>
      </c>
      <c r="E3905" s="11">
        <v>8.0</v>
      </c>
      <c r="F3905" s="21" t="s">
        <v>126</v>
      </c>
      <c r="G3905" s="15">
        <v>0.09896414342629488</v>
      </c>
      <c r="H3905" s="11" t="s">
        <v>33</v>
      </c>
      <c r="I3905" s="16">
        <v>6.032</v>
      </c>
      <c r="J3905" s="11" t="s">
        <v>602</v>
      </c>
      <c r="K3905" s="11" t="s">
        <v>26</v>
      </c>
      <c r="L3905" s="11" t="s">
        <v>48</v>
      </c>
      <c r="M3905" s="11" t="s">
        <v>28</v>
      </c>
      <c r="N3905" s="11" t="s">
        <v>56</v>
      </c>
      <c r="O3905" s="11" t="s">
        <v>842</v>
      </c>
      <c r="P3905" s="11" t="s">
        <v>38</v>
      </c>
      <c r="Q3905" s="20">
        <v>40483.0</v>
      </c>
      <c r="R3905" s="17">
        <f t="shared" si="2"/>
        <v>4.476346135</v>
      </c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>
        <f t="shared" si="8"/>
        <v>4</v>
      </c>
      <c r="AF3905" s="19">
        <f t="shared" si="13"/>
        <v>1</v>
      </c>
      <c r="AG3905" s="9"/>
      <c r="AH3905" s="9"/>
      <c r="AI3905" s="9"/>
    </row>
    <row r="3906" ht="15.0" customHeight="1">
      <c r="A3906" s="11">
        <v>3905.0</v>
      </c>
      <c r="B3906" s="12">
        <f t="shared" ref="B3906:B3914" si="619">DATE(2012,12,31)-792</f>
        <v>40482</v>
      </c>
      <c r="C3906" s="13">
        <v>2010.0</v>
      </c>
      <c r="D3906" s="11" t="s">
        <v>32</v>
      </c>
      <c r="E3906" s="11">
        <v>50.0</v>
      </c>
      <c r="F3906" s="21" t="s">
        <v>306</v>
      </c>
      <c r="G3906" s="15">
        <v>0.08865649963689179</v>
      </c>
      <c r="H3906" s="11" t="s">
        <v>33</v>
      </c>
      <c r="I3906" s="16">
        <v>8.936</v>
      </c>
      <c r="J3906" s="11" t="s">
        <v>340</v>
      </c>
      <c r="K3906" s="11" t="s">
        <v>26</v>
      </c>
      <c r="L3906" s="11" t="s">
        <v>36</v>
      </c>
      <c r="M3906" s="11" t="s">
        <v>49</v>
      </c>
      <c r="N3906" s="11" t="s">
        <v>73</v>
      </c>
      <c r="O3906" s="11" t="s">
        <v>125</v>
      </c>
      <c r="P3906" s="11" t="s">
        <v>31</v>
      </c>
      <c r="Q3906" s="20">
        <v>40483.0</v>
      </c>
      <c r="R3906" s="17">
        <f t="shared" si="2"/>
        <v>89.00545162</v>
      </c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>
        <f t="shared" si="8"/>
        <v>2</v>
      </c>
      <c r="AF3906" s="19">
        <f t="shared" si="13"/>
        <v>1</v>
      </c>
      <c r="AG3906" s="9"/>
      <c r="AH3906" s="9"/>
      <c r="AI3906" s="9"/>
    </row>
    <row r="3907" ht="15.0" customHeight="1">
      <c r="A3907" s="11">
        <v>3906.0</v>
      </c>
      <c r="B3907" s="12">
        <f t="shared" si="619"/>
        <v>40482</v>
      </c>
      <c r="C3907" s="13">
        <v>2010.0</v>
      </c>
      <c r="D3907" s="11" t="s">
        <v>102</v>
      </c>
      <c r="E3907" s="11">
        <v>8.0</v>
      </c>
      <c r="F3907" s="21" t="s">
        <v>428</v>
      </c>
      <c r="G3907" s="15">
        <v>0.038127090301003266</v>
      </c>
      <c r="H3907" s="11" t="s">
        <v>45</v>
      </c>
      <c r="I3907" s="16">
        <v>22.200000000000003</v>
      </c>
      <c r="J3907" s="11" t="s">
        <v>1061</v>
      </c>
      <c r="K3907" s="11" t="s">
        <v>26</v>
      </c>
      <c r="L3907" s="11" t="s">
        <v>36</v>
      </c>
      <c r="M3907" s="11" t="s">
        <v>49</v>
      </c>
      <c r="N3907" s="11" t="s">
        <v>85</v>
      </c>
      <c r="O3907" s="11" t="s">
        <v>1668</v>
      </c>
      <c r="P3907" s="11" t="s">
        <v>87</v>
      </c>
      <c r="Q3907" s="20">
        <v>40483.0</v>
      </c>
      <c r="R3907" s="17">
        <f t="shared" si="2"/>
        <v>5.482675585</v>
      </c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>
        <f t="shared" si="8"/>
        <v>2</v>
      </c>
      <c r="AF3907" s="19">
        <f t="shared" si="13"/>
        <v>1</v>
      </c>
      <c r="AG3907" s="9"/>
      <c r="AH3907" s="9"/>
      <c r="AI3907" s="9"/>
    </row>
    <row r="3908" ht="15.0" customHeight="1">
      <c r="A3908" s="11">
        <v>3907.0</v>
      </c>
      <c r="B3908" s="12">
        <f t="shared" si="619"/>
        <v>40482</v>
      </c>
      <c r="C3908" s="13">
        <v>2010.0</v>
      </c>
      <c r="D3908" s="11" t="s">
        <v>102</v>
      </c>
      <c r="E3908" s="11">
        <v>23.0</v>
      </c>
      <c r="F3908" s="21" t="s">
        <v>473</v>
      </c>
      <c r="G3908" s="15">
        <v>0.0695407496733997</v>
      </c>
      <c r="H3908" s="11" t="s">
        <v>33</v>
      </c>
      <c r="I3908" s="16">
        <v>8.200000000000001</v>
      </c>
      <c r="J3908" s="11" t="s">
        <v>1061</v>
      </c>
      <c r="K3908" s="11" t="s">
        <v>26</v>
      </c>
      <c r="L3908" s="11" t="s">
        <v>36</v>
      </c>
      <c r="M3908" s="11" t="s">
        <v>66</v>
      </c>
      <c r="N3908" s="11" t="s">
        <v>67</v>
      </c>
      <c r="O3908" s="11" t="s">
        <v>2008</v>
      </c>
      <c r="P3908" s="11" t="s">
        <v>38</v>
      </c>
      <c r="Q3908" s="20">
        <v>40483.0</v>
      </c>
      <c r="R3908" s="17">
        <f t="shared" si="2"/>
        <v>64.38778012</v>
      </c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>
        <f t="shared" si="8"/>
        <v>2</v>
      </c>
      <c r="AF3908" s="19">
        <f t="shared" si="13"/>
        <v>1</v>
      </c>
      <c r="AG3908" s="9"/>
      <c r="AH3908" s="9"/>
      <c r="AI3908" s="9"/>
    </row>
    <row r="3909" ht="15.0" customHeight="1">
      <c r="A3909" s="11">
        <v>3908.0</v>
      </c>
      <c r="B3909" s="12">
        <f t="shared" si="619"/>
        <v>40482</v>
      </c>
      <c r="C3909" s="13">
        <v>2010.0</v>
      </c>
      <c r="D3909" s="11" t="s">
        <v>102</v>
      </c>
      <c r="E3909" s="11">
        <v>1.0</v>
      </c>
      <c r="F3909" s="21" t="s">
        <v>178</v>
      </c>
      <c r="G3909" s="15">
        <v>0.07904040404040392</v>
      </c>
      <c r="H3909" s="11" t="s">
        <v>24</v>
      </c>
      <c r="I3909" s="16">
        <v>7.040000000000001</v>
      </c>
      <c r="J3909" s="11" t="s">
        <v>1061</v>
      </c>
      <c r="K3909" s="11" t="s">
        <v>26</v>
      </c>
      <c r="L3909" s="11" t="s">
        <v>36</v>
      </c>
      <c r="M3909" s="11" t="s">
        <v>66</v>
      </c>
      <c r="N3909" s="11" t="s">
        <v>80</v>
      </c>
      <c r="O3909" s="11" t="s">
        <v>812</v>
      </c>
      <c r="P3909" s="11" t="s">
        <v>38</v>
      </c>
      <c r="Q3909" s="20">
        <v>40483.0</v>
      </c>
      <c r="R3909" s="17">
        <f t="shared" si="2"/>
        <v>5.765207071</v>
      </c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>
        <f t="shared" si="8"/>
        <v>2</v>
      </c>
      <c r="AF3909" s="19">
        <f t="shared" si="13"/>
        <v>1</v>
      </c>
      <c r="AG3909" s="9"/>
      <c r="AH3909" s="9"/>
      <c r="AI3909" s="9"/>
    </row>
    <row r="3910" ht="15.0" customHeight="1">
      <c r="A3910" s="11">
        <v>3909.0</v>
      </c>
      <c r="B3910" s="12">
        <f t="shared" si="619"/>
        <v>40482</v>
      </c>
      <c r="C3910" s="13">
        <v>2010.0</v>
      </c>
      <c r="D3910" s="11" t="s">
        <v>102</v>
      </c>
      <c r="E3910" s="11">
        <v>40.0</v>
      </c>
      <c r="F3910" s="21" t="s">
        <v>126</v>
      </c>
      <c r="G3910" s="15">
        <v>0.045483103284150325</v>
      </c>
      <c r="H3910" s="11" t="s">
        <v>33</v>
      </c>
      <c r="I3910" s="16">
        <v>4.544</v>
      </c>
      <c r="J3910" s="11" t="s">
        <v>2009</v>
      </c>
      <c r="K3910" s="11" t="s">
        <v>65</v>
      </c>
      <c r="L3910" s="11" t="s">
        <v>41</v>
      </c>
      <c r="M3910" s="11" t="s">
        <v>28</v>
      </c>
      <c r="N3910" s="11" t="s">
        <v>42</v>
      </c>
      <c r="O3910" s="11" t="s">
        <v>1022</v>
      </c>
      <c r="P3910" s="11" t="s">
        <v>38</v>
      </c>
      <c r="Q3910" s="20">
        <v>40483.0</v>
      </c>
      <c r="R3910" s="17">
        <f t="shared" si="2"/>
        <v>9.121363465</v>
      </c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>
        <f t="shared" si="8"/>
        <v>3</v>
      </c>
      <c r="AF3910" s="19">
        <f t="shared" si="13"/>
        <v>5</v>
      </c>
      <c r="AG3910" s="9"/>
      <c r="AH3910" s="9"/>
      <c r="AI3910" s="9"/>
    </row>
    <row r="3911" ht="15.0" customHeight="1">
      <c r="A3911" s="11">
        <v>3910.0</v>
      </c>
      <c r="B3911" s="12">
        <f t="shared" si="619"/>
        <v>40482</v>
      </c>
      <c r="C3911" s="13">
        <v>2010.0</v>
      </c>
      <c r="D3911" s="11" t="s">
        <v>102</v>
      </c>
      <c r="E3911" s="11">
        <v>48.0</v>
      </c>
      <c r="F3911" s="21" t="s">
        <v>306</v>
      </c>
      <c r="G3911" s="15">
        <v>0.014967159277504166</v>
      </c>
      <c r="H3911" s="11" t="s">
        <v>33</v>
      </c>
      <c r="I3911" s="16">
        <v>4.616</v>
      </c>
      <c r="J3911" s="11" t="s">
        <v>2009</v>
      </c>
      <c r="K3911" s="11" t="s">
        <v>65</v>
      </c>
      <c r="L3911" s="11" t="s">
        <v>41</v>
      </c>
      <c r="M3911" s="11" t="s">
        <v>28</v>
      </c>
      <c r="N3911" s="11" t="s">
        <v>56</v>
      </c>
      <c r="O3911" s="11" t="s">
        <v>1169</v>
      </c>
      <c r="P3911" s="11" t="s">
        <v>38</v>
      </c>
      <c r="Q3911" s="20">
        <v>40483.0</v>
      </c>
      <c r="R3911" s="17">
        <f t="shared" si="2"/>
        <v>14.36571895</v>
      </c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>
        <f t="shared" si="8"/>
        <v>3</v>
      </c>
      <c r="AF3911" s="19">
        <f t="shared" si="13"/>
        <v>5</v>
      </c>
      <c r="AG3911" s="9"/>
      <c r="AH3911" s="9"/>
      <c r="AI3911" s="9"/>
    </row>
    <row r="3912" ht="15.0" customHeight="1">
      <c r="A3912" s="11">
        <v>3911.0</v>
      </c>
      <c r="B3912" s="12">
        <f t="shared" si="619"/>
        <v>40482</v>
      </c>
      <c r="C3912" s="13">
        <v>2010.0</v>
      </c>
      <c r="D3912" s="11" t="s">
        <v>102</v>
      </c>
      <c r="E3912" s="11">
        <v>46.0</v>
      </c>
      <c r="F3912" s="21" t="s">
        <v>319</v>
      </c>
      <c r="G3912" s="15">
        <v>0.10847691247415582</v>
      </c>
      <c r="H3912" s="11" t="s">
        <v>33</v>
      </c>
      <c r="I3912" s="16">
        <v>0.5599999999999999</v>
      </c>
      <c r="J3912" s="11" t="s">
        <v>2441</v>
      </c>
      <c r="K3912" s="11" t="s">
        <v>35</v>
      </c>
      <c r="L3912" s="11" t="s">
        <v>48</v>
      </c>
      <c r="M3912" s="11" t="s">
        <v>28</v>
      </c>
      <c r="N3912" s="11" t="s">
        <v>62</v>
      </c>
      <c r="O3912" s="11" t="s">
        <v>383</v>
      </c>
      <c r="P3912" s="11" t="s">
        <v>58</v>
      </c>
      <c r="Q3912" s="20">
        <v>40483.0</v>
      </c>
      <c r="R3912" s="17">
        <f t="shared" si="2"/>
        <v>14.0325734</v>
      </c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>
        <f t="shared" si="8"/>
        <v>4</v>
      </c>
      <c r="AF3912" s="19">
        <f t="shared" si="13"/>
        <v>2</v>
      </c>
      <c r="AG3912" s="9"/>
      <c r="AH3912" s="9"/>
      <c r="AI3912" s="9"/>
    </row>
    <row r="3913" ht="15.0" customHeight="1">
      <c r="A3913" s="11">
        <v>3912.0</v>
      </c>
      <c r="B3913" s="12">
        <f t="shared" si="619"/>
        <v>40482</v>
      </c>
      <c r="C3913" s="13">
        <v>2010.0</v>
      </c>
      <c r="D3913" s="11" t="s">
        <v>32</v>
      </c>
      <c r="E3913" s="11">
        <v>25.0</v>
      </c>
      <c r="F3913" s="21" t="s">
        <v>782</v>
      </c>
      <c r="G3913" s="15">
        <v>0.02233655968755306</v>
      </c>
      <c r="H3913" s="11" t="s">
        <v>33</v>
      </c>
      <c r="I3913" s="16">
        <v>3.9920000000000004</v>
      </c>
      <c r="J3913" s="11" t="s">
        <v>1210</v>
      </c>
      <c r="K3913" s="11" t="s">
        <v>47</v>
      </c>
      <c r="L3913" s="11" t="s">
        <v>36</v>
      </c>
      <c r="M3913" s="11" t="s">
        <v>66</v>
      </c>
      <c r="N3913" s="11" t="s">
        <v>80</v>
      </c>
      <c r="O3913" s="11" t="s">
        <v>783</v>
      </c>
      <c r="P3913" s="11" t="s">
        <v>38</v>
      </c>
      <c r="Q3913" s="20">
        <v>40484.0</v>
      </c>
      <c r="R3913" s="17">
        <f t="shared" si="2"/>
        <v>25.72036979</v>
      </c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>
        <f t="shared" si="8"/>
        <v>2</v>
      </c>
      <c r="AF3913" s="19">
        <f t="shared" si="13"/>
        <v>3</v>
      </c>
      <c r="AG3913" s="9"/>
      <c r="AH3913" s="9"/>
      <c r="AI3913" s="9"/>
    </row>
    <row r="3914" ht="15.0" customHeight="1">
      <c r="A3914" s="11">
        <v>3913.0</v>
      </c>
      <c r="B3914" s="12">
        <f t="shared" si="619"/>
        <v>40482</v>
      </c>
      <c r="C3914" s="13">
        <v>2010.0</v>
      </c>
      <c r="D3914" s="11" t="s">
        <v>102</v>
      </c>
      <c r="E3914" s="11">
        <v>38.0</v>
      </c>
      <c r="F3914" s="21" t="s">
        <v>147</v>
      </c>
      <c r="G3914" s="15">
        <v>0.09635153129161125</v>
      </c>
      <c r="H3914" s="11" t="s">
        <v>33</v>
      </c>
      <c r="I3914" s="16">
        <v>3.2640000000000002</v>
      </c>
      <c r="J3914" s="11" t="s">
        <v>1636</v>
      </c>
      <c r="K3914" s="11" t="s">
        <v>61</v>
      </c>
      <c r="L3914" s="11" t="s">
        <v>48</v>
      </c>
      <c r="M3914" s="11" t="s">
        <v>49</v>
      </c>
      <c r="N3914" s="11" t="s">
        <v>73</v>
      </c>
      <c r="O3914" s="11" t="s">
        <v>458</v>
      </c>
      <c r="P3914" s="11" t="s">
        <v>99</v>
      </c>
      <c r="Q3914" s="20">
        <v>40484.0</v>
      </c>
      <c r="R3914" s="17">
        <f t="shared" si="2"/>
        <v>6.53880032</v>
      </c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>
        <f t="shared" si="8"/>
        <v>4</v>
      </c>
      <c r="AF3914" s="19">
        <f t="shared" si="13"/>
        <v>4</v>
      </c>
      <c r="AG3914" s="9"/>
      <c r="AH3914" s="9"/>
      <c r="AI3914" s="9"/>
    </row>
    <row r="3915" ht="15.0" customHeight="1">
      <c r="A3915" s="11">
        <v>3914.0</v>
      </c>
      <c r="B3915" s="12">
        <f t="shared" ref="B3915:B3925" si="620">DATE(2012,12,31)-791</f>
        <v>40483</v>
      </c>
      <c r="C3915" s="13">
        <v>2010.0</v>
      </c>
      <c r="D3915" s="11" t="s">
        <v>39</v>
      </c>
      <c r="E3915" s="11">
        <v>37.0</v>
      </c>
      <c r="F3915" s="21" t="s">
        <v>103</v>
      </c>
      <c r="G3915" s="15">
        <v>0.021537132987910067</v>
      </c>
      <c r="H3915" s="11" t="s">
        <v>33</v>
      </c>
      <c r="I3915" s="16">
        <v>8.312000000000001</v>
      </c>
      <c r="J3915" s="11" t="s">
        <v>1636</v>
      </c>
      <c r="K3915" s="11" t="s">
        <v>61</v>
      </c>
      <c r="L3915" s="11" t="s">
        <v>48</v>
      </c>
      <c r="M3915" s="11" t="s">
        <v>28</v>
      </c>
      <c r="N3915" s="11" t="s">
        <v>56</v>
      </c>
      <c r="O3915" s="11" t="s">
        <v>2400</v>
      </c>
      <c r="P3915" s="11" t="s">
        <v>38</v>
      </c>
      <c r="Q3915" s="20">
        <v>40484.0</v>
      </c>
      <c r="R3915" s="17">
        <f t="shared" si="2"/>
        <v>4.880572781</v>
      </c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>
        <f t="shared" si="8"/>
        <v>4</v>
      </c>
      <c r="AF3915" s="19">
        <f t="shared" si="13"/>
        <v>4</v>
      </c>
      <c r="AG3915" s="9"/>
      <c r="AH3915" s="9"/>
      <c r="AI3915" s="9"/>
    </row>
    <row r="3916" ht="15.0" customHeight="1">
      <c r="A3916" s="11">
        <v>3915.0</v>
      </c>
      <c r="B3916" s="12">
        <f t="shared" si="620"/>
        <v>40483</v>
      </c>
      <c r="C3916" s="13">
        <v>2010.0</v>
      </c>
      <c r="D3916" s="11" t="s">
        <v>44</v>
      </c>
      <c r="E3916" s="11">
        <v>11.0</v>
      </c>
      <c r="F3916" s="21" t="s">
        <v>891</v>
      </c>
      <c r="G3916" s="15">
        <v>0.06389344262295087</v>
      </c>
      <c r="H3916" s="11" t="s">
        <v>33</v>
      </c>
      <c r="I3916" s="16">
        <v>2.2640000000000002</v>
      </c>
      <c r="J3916" s="11" t="s">
        <v>525</v>
      </c>
      <c r="K3916" s="11" t="s">
        <v>65</v>
      </c>
      <c r="L3916" s="11" t="s">
        <v>48</v>
      </c>
      <c r="M3916" s="11" t="s">
        <v>66</v>
      </c>
      <c r="N3916" s="11" t="s">
        <v>67</v>
      </c>
      <c r="O3916" s="11" t="s">
        <v>893</v>
      </c>
      <c r="P3916" s="11" t="s">
        <v>99</v>
      </c>
      <c r="Q3916" s="20">
        <v>40484.0</v>
      </c>
      <c r="R3916" s="17">
        <f t="shared" si="2"/>
        <v>5.837560492</v>
      </c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>
        <f t="shared" si="8"/>
        <v>4</v>
      </c>
      <c r="AF3916" s="19">
        <f t="shared" si="13"/>
        <v>5</v>
      </c>
      <c r="AG3916" s="9"/>
      <c r="AH3916" s="9"/>
      <c r="AI3916" s="9"/>
    </row>
    <row r="3917" ht="15.0" customHeight="1">
      <c r="A3917" s="11">
        <v>3916.0</v>
      </c>
      <c r="B3917" s="12">
        <f t="shared" si="620"/>
        <v>40483</v>
      </c>
      <c r="C3917" s="13">
        <v>2010.0</v>
      </c>
      <c r="D3917" s="11" t="s">
        <v>44</v>
      </c>
      <c r="E3917" s="11">
        <v>8.0</v>
      </c>
      <c r="F3917" s="21" t="s">
        <v>2467</v>
      </c>
      <c r="G3917" s="15">
        <v>0.06041551579200191</v>
      </c>
      <c r="H3917" s="11" t="s">
        <v>33</v>
      </c>
      <c r="I3917" s="16">
        <v>11.192</v>
      </c>
      <c r="J3917" s="11" t="s">
        <v>525</v>
      </c>
      <c r="K3917" s="11" t="s">
        <v>65</v>
      </c>
      <c r="L3917" s="11" t="s">
        <v>48</v>
      </c>
      <c r="M3917" s="11" t="s">
        <v>66</v>
      </c>
      <c r="N3917" s="11" t="s">
        <v>69</v>
      </c>
      <c r="O3917" s="11" t="s">
        <v>2468</v>
      </c>
      <c r="P3917" s="11" t="s">
        <v>75</v>
      </c>
      <c r="Q3917" s="20">
        <v>40484.0</v>
      </c>
      <c r="R3917" s="17">
        <f t="shared" si="2"/>
        <v>47.26861623</v>
      </c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>
        <f t="shared" si="8"/>
        <v>4</v>
      </c>
      <c r="AF3917" s="19">
        <f t="shared" si="13"/>
        <v>5</v>
      </c>
      <c r="AG3917" s="9"/>
      <c r="AH3917" s="9"/>
      <c r="AI3917" s="9"/>
    </row>
    <row r="3918" ht="15.0" customHeight="1">
      <c r="A3918" s="11">
        <v>3917.0</v>
      </c>
      <c r="B3918" s="12">
        <f t="shared" si="620"/>
        <v>40483</v>
      </c>
      <c r="C3918" s="13">
        <v>2010.0</v>
      </c>
      <c r="D3918" s="11" t="s">
        <v>23</v>
      </c>
      <c r="E3918" s="11">
        <v>46.0</v>
      </c>
      <c r="F3918" s="21" t="s">
        <v>2138</v>
      </c>
      <c r="G3918" s="15">
        <v>0.014700000000000083</v>
      </c>
      <c r="H3918" s="11" t="s">
        <v>33</v>
      </c>
      <c r="I3918" s="16">
        <v>3.7439999999999998</v>
      </c>
      <c r="J3918" s="11" t="s">
        <v>2402</v>
      </c>
      <c r="K3918" s="11" t="s">
        <v>65</v>
      </c>
      <c r="L3918" s="11" t="s">
        <v>48</v>
      </c>
      <c r="M3918" s="11" t="s">
        <v>28</v>
      </c>
      <c r="N3918" s="11" t="s">
        <v>442</v>
      </c>
      <c r="O3918" s="11" t="s">
        <v>2139</v>
      </c>
      <c r="P3918" s="11" t="s">
        <v>99</v>
      </c>
      <c r="Q3918" s="20">
        <v>40484.0</v>
      </c>
      <c r="R3918" s="17">
        <f t="shared" si="2"/>
        <v>6.9522768</v>
      </c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>
        <f t="shared" si="8"/>
        <v>4</v>
      </c>
      <c r="AF3918" s="19">
        <f t="shared" si="13"/>
        <v>5</v>
      </c>
      <c r="AG3918" s="9"/>
      <c r="AH3918" s="9"/>
      <c r="AI3918" s="9"/>
    </row>
    <row r="3919" ht="15.0" customHeight="1">
      <c r="A3919" s="11">
        <v>3918.0</v>
      </c>
      <c r="B3919" s="12">
        <f t="shared" si="620"/>
        <v>40483</v>
      </c>
      <c r="C3919" s="13">
        <v>2010.0</v>
      </c>
      <c r="D3919" s="11" t="s">
        <v>44</v>
      </c>
      <c r="E3919" s="11">
        <v>43.0</v>
      </c>
      <c r="F3919" s="21" t="s">
        <v>2469</v>
      </c>
      <c r="G3919" s="15">
        <v>0.02112863417695054</v>
      </c>
      <c r="H3919" s="11" t="s">
        <v>33</v>
      </c>
      <c r="I3919" s="16">
        <v>0.792</v>
      </c>
      <c r="J3919" s="11" t="s">
        <v>2043</v>
      </c>
      <c r="K3919" s="11" t="s">
        <v>83</v>
      </c>
      <c r="L3919" s="11" t="s">
        <v>48</v>
      </c>
      <c r="M3919" s="11" t="s">
        <v>28</v>
      </c>
      <c r="N3919" s="11" t="s">
        <v>197</v>
      </c>
      <c r="O3919" s="11" t="s">
        <v>2470</v>
      </c>
      <c r="P3919" s="11" t="s">
        <v>38</v>
      </c>
      <c r="Q3919" s="20">
        <v>40485.0</v>
      </c>
      <c r="R3919" s="17">
        <f t="shared" si="2"/>
        <v>49.44083494</v>
      </c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>
        <f t="shared" si="8"/>
        <v>4</v>
      </c>
      <c r="AF3919" s="19" t="b">
        <f t="shared" si="13"/>
        <v>0</v>
      </c>
      <c r="AG3919" s="9"/>
      <c r="AH3919" s="9"/>
      <c r="AI3919" s="9"/>
    </row>
    <row r="3920" ht="15.0" customHeight="1">
      <c r="A3920" s="11">
        <v>3919.0</v>
      </c>
      <c r="B3920" s="12">
        <f t="shared" si="620"/>
        <v>40483</v>
      </c>
      <c r="C3920" s="13">
        <v>2010.0</v>
      </c>
      <c r="D3920" s="11" t="s">
        <v>44</v>
      </c>
      <c r="E3920" s="11">
        <v>26.0</v>
      </c>
      <c r="F3920" s="21" t="s">
        <v>743</v>
      </c>
      <c r="G3920" s="15">
        <v>0.040860525555876506</v>
      </c>
      <c r="H3920" s="11" t="s">
        <v>33</v>
      </c>
      <c r="I3920" s="16">
        <v>5.2</v>
      </c>
      <c r="J3920" s="11" t="s">
        <v>2043</v>
      </c>
      <c r="K3920" s="11" t="s">
        <v>83</v>
      </c>
      <c r="L3920" s="11" t="s">
        <v>48</v>
      </c>
      <c r="M3920" s="11" t="s">
        <v>66</v>
      </c>
      <c r="N3920" s="11" t="s">
        <v>67</v>
      </c>
      <c r="O3920" s="11" t="s">
        <v>1864</v>
      </c>
      <c r="P3920" s="11" t="s">
        <v>38</v>
      </c>
      <c r="Q3920" s="20">
        <v>40485.0</v>
      </c>
      <c r="R3920" s="17">
        <f t="shared" si="2"/>
        <v>54.28729425</v>
      </c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>
        <f t="shared" si="8"/>
        <v>4</v>
      </c>
      <c r="AF3920" s="19" t="b">
        <f t="shared" si="13"/>
        <v>0</v>
      </c>
      <c r="AG3920" s="9"/>
      <c r="AH3920" s="9"/>
      <c r="AI3920" s="9"/>
    </row>
    <row r="3921" ht="15.0" customHeight="1">
      <c r="A3921" s="11">
        <v>3920.0</v>
      </c>
      <c r="B3921" s="12">
        <f t="shared" si="620"/>
        <v>40483</v>
      </c>
      <c r="C3921" s="13">
        <v>2010.0</v>
      </c>
      <c r="D3921" s="11" t="s">
        <v>44</v>
      </c>
      <c r="E3921" s="11">
        <v>41.0</v>
      </c>
      <c r="F3921" s="21" t="s">
        <v>135</v>
      </c>
      <c r="G3921" s="15">
        <v>0.08888888888888888</v>
      </c>
      <c r="H3921" s="11" t="s">
        <v>33</v>
      </c>
      <c r="I3921" s="16">
        <v>4.920000000000001</v>
      </c>
      <c r="J3921" s="11" t="s">
        <v>2043</v>
      </c>
      <c r="K3921" s="11" t="s">
        <v>83</v>
      </c>
      <c r="L3921" s="11" t="s">
        <v>48</v>
      </c>
      <c r="M3921" s="11" t="s">
        <v>28</v>
      </c>
      <c r="N3921" s="11" t="s">
        <v>56</v>
      </c>
      <c r="O3921" s="11" t="s">
        <v>2393</v>
      </c>
      <c r="P3921" s="11" t="s">
        <v>38</v>
      </c>
      <c r="Q3921" s="20">
        <v>40485.0</v>
      </c>
      <c r="R3921" s="17">
        <f t="shared" si="2"/>
        <v>24.49066667</v>
      </c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>
        <f t="shared" si="8"/>
        <v>4</v>
      </c>
      <c r="AF3921" s="19" t="b">
        <f t="shared" si="13"/>
        <v>0</v>
      </c>
      <c r="AG3921" s="9"/>
      <c r="AH3921" s="9"/>
      <c r="AI3921" s="9"/>
    </row>
    <row r="3922" ht="15.0" customHeight="1">
      <c r="A3922" s="11">
        <v>3921.0</v>
      </c>
      <c r="B3922" s="12">
        <f t="shared" si="620"/>
        <v>40483</v>
      </c>
      <c r="C3922" s="13">
        <v>2010.0</v>
      </c>
      <c r="D3922" s="11" t="s">
        <v>44</v>
      </c>
      <c r="E3922" s="11">
        <v>32.0</v>
      </c>
      <c r="F3922" s="21" t="s">
        <v>782</v>
      </c>
      <c r="G3922" s="15">
        <v>0.021814312317105584</v>
      </c>
      <c r="H3922" s="11" t="s">
        <v>33</v>
      </c>
      <c r="I3922" s="16">
        <v>2.0</v>
      </c>
      <c r="J3922" s="11" t="s">
        <v>2043</v>
      </c>
      <c r="K3922" s="11" t="s">
        <v>83</v>
      </c>
      <c r="L3922" s="11" t="s">
        <v>48</v>
      </c>
      <c r="M3922" s="11" t="s">
        <v>66</v>
      </c>
      <c r="N3922" s="11" t="s">
        <v>80</v>
      </c>
      <c r="O3922" s="11" t="s">
        <v>2226</v>
      </c>
      <c r="P3922" s="11" t="s">
        <v>38</v>
      </c>
      <c r="Q3922" s="20">
        <v>40486.0</v>
      </c>
      <c r="R3922" s="17">
        <f t="shared" si="2"/>
        <v>32.08449056</v>
      </c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>
        <f t="shared" si="8"/>
        <v>4</v>
      </c>
      <c r="AF3922" s="19" t="b">
        <f t="shared" si="13"/>
        <v>0</v>
      </c>
      <c r="AG3922" s="9"/>
      <c r="AH3922" s="9"/>
      <c r="AI3922" s="9"/>
    </row>
    <row r="3923" ht="15.0" customHeight="1">
      <c r="A3923" s="11">
        <v>3922.0</v>
      </c>
      <c r="B3923" s="12">
        <f t="shared" si="620"/>
        <v>40483</v>
      </c>
      <c r="C3923" s="13">
        <v>2010.0</v>
      </c>
      <c r="D3923" s="11" t="s">
        <v>44</v>
      </c>
      <c r="E3923" s="11">
        <v>5.0</v>
      </c>
      <c r="F3923" s="21" t="s">
        <v>469</v>
      </c>
      <c r="G3923" s="15">
        <v>0.07535590877677953</v>
      </c>
      <c r="H3923" s="11" t="s">
        <v>33</v>
      </c>
      <c r="I3923" s="16">
        <v>4.296</v>
      </c>
      <c r="J3923" s="11" t="s">
        <v>2043</v>
      </c>
      <c r="K3923" s="11" t="s">
        <v>83</v>
      </c>
      <c r="L3923" s="11" t="s">
        <v>48</v>
      </c>
      <c r="M3923" s="11" t="s">
        <v>28</v>
      </c>
      <c r="N3923" s="11" t="s">
        <v>197</v>
      </c>
      <c r="O3923" s="11" t="s">
        <v>1931</v>
      </c>
      <c r="P3923" s="11" t="s">
        <v>75</v>
      </c>
      <c r="Q3923" s="20">
        <v>40487.0</v>
      </c>
      <c r="R3923" s="17">
        <f t="shared" si="2"/>
        <v>10.08231917</v>
      </c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>
        <f t="shared" si="8"/>
        <v>4</v>
      </c>
      <c r="AF3923" s="19" t="b">
        <f t="shared" si="13"/>
        <v>0</v>
      </c>
      <c r="AG3923" s="9"/>
      <c r="AH3923" s="9"/>
      <c r="AI3923" s="9"/>
    </row>
    <row r="3924" ht="15.0" customHeight="1">
      <c r="A3924" s="11">
        <v>3923.0</v>
      </c>
      <c r="B3924" s="12">
        <f t="shared" si="620"/>
        <v>40483</v>
      </c>
      <c r="C3924" s="13">
        <v>2010.0</v>
      </c>
      <c r="D3924" s="11" t="s">
        <v>44</v>
      </c>
      <c r="E3924" s="11">
        <v>1.0</v>
      </c>
      <c r="F3924" s="21" t="s">
        <v>1158</v>
      </c>
      <c r="G3924" s="15">
        <v>0.08941176470588226</v>
      </c>
      <c r="H3924" s="11" t="s">
        <v>33</v>
      </c>
      <c r="I3924" s="16">
        <v>1.144</v>
      </c>
      <c r="J3924" s="11" t="s">
        <v>2043</v>
      </c>
      <c r="K3924" s="11" t="s">
        <v>83</v>
      </c>
      <c r="L3924" s="11" t="s">
        <v>48</v>
      </c>
      <c r="M3924" s="11" t="s">
        <v>28</v>
      </c>
      <c r="N3924" s="11" t="s">
        <v>216</v>
      </c>
      <c r="O3924" s="11" t="s">
        <v>2471</v>
      </c>
      <c r="P3924" s="11" t="s">
        <v>58</v>
      </c>
      <c r="Q3924" s="20">
        <v>40487.0</v>
      </c>
      <c r="R3924" s="17">
        <f t="shared" si="2"/>
        <v>0.4152282353</v>
      </c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>
        <f t="shared" si="8"/>
        <v>4</v>
      </c>
      <c r="AF3924" s="19" t="b">
        <f t="shared" si="13"/>
        <v>0</v>
      </c>
      <c r="AG3924" s="9"/>
      <c r="AH3924" s="9"/>
      <c r="AI3924" s="9"/>
    </row>
    <row r="3925" ht="15.0" customHeight="1">
      <c r="A3925" s="11">
        <v>3924.0</v>
      </c>
      <c r="B3925" s="12">
        <f t="shared" si="620"/>
        <v>40483</v>
      </c>
      <c r="C3925" s="13">
        <v>2010.0</v>
      </c>
      <c r="D3925" s="11" t="s">
        <v>32</v>
      </c>
      <c r="E3925" s="11">
        <v>38.0</v>
      </c>
      <c r="F3925" s="21" t="s">
        <v>336</v>
      </c>
      <c r="G3925" s="15">
        <v>0.039273670557717265</v>
      </c>
      <c r="H3925" s="11" t="s">
        <v>33</v>
      </c>
      <c r="I3925" s="16">
        <v>1.816</v>
      </c>
      <c r="J3925" s="11" t="s">
        <v>803</v>
      </c>
      <c r="K3925" s="11" t="s">
        <v>61</v>
      </c>
      <c r="L3925" s="11" t="s">
        <v>36</v>
      </c>
      <c r="M3925" s="11" t="s">
        <v>28</v>
      </c>
      <c r="N3925" s="11" t="s">
        <v>62</v>
      </c>
      <c r="O3925" s="11" t="s">
        <v>1391</v>
      </c>
      <c r="P3925" s="11" t="s">
        <v>58</v>
      </c>
      <c r="Q3925" s="20">
        <v>40487.0</v>
      </c>
      <c r="R3925" s="17">
        <f t="shared" si="2"/>
        <v>8.727237977</v>
      </c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>
        <f t="shared" si="8"/>
        <v>2</v>
      </c>
      <c r="AF3925" s="19">
        <f t="shared" si="13"/>
        <v>4</v>
      </c>
      <c r="AG3925" s="9"/>
      <c r="AH3925" s="9"/>
      <c r="AI3925" s="9"/>
    </row>
    <row r="3926" ht="15.0" customHeight="1">
      <c r="A3926" s="11">
        <v>3925.0</v>
      </c>
      <c r="B3926" s="12">
        <f t="shared" ref="B3926:B3928" si="621">DATE(2012,12,31)-789</f>
        <v>40485</v>
      </c>
      <c r="C3926" s="13">
        <v>2010.0</v>
      </c>
      <c r="D3926" s="11" t="s">
        <v>32</v>
      </c>
      <c r="E3926" s="11">
        <v>14.0</v>
      </c>
      <c r="F3926" s="21" t="s">
        <v>408</v>
      </c>
      <c r="G3926" s="15">
        <v>0.09199400161494972</v>
      </c>
      <c r="H3926" s="11" t="s">
        <v>45</v>
      </c>
      <c r="I3926" s="16">
        <v>18.552000000000003</v>
      </c>
      <c r="J3926" s="11" t="s">
        <v>613</v>
      </c>
      <c r="K3926" s="11" t="s">
        <v>65</v>
      </c>
      <c r="L3926" s="11" t="s">
        <v>48</v>
      </c>
      <c r="M3926" s="11" t="s">
        <v>28</v>
      </c>
      <c r="N3926" s="11" t="s">
        <v>197</v>
      </c>
      <c r="O3926" s="11" t="s">
        <v>409</v>
      </c>
      <c r="P3926" s="11" t="s">
        <v>52</v>
      </c>
      <c r="Q3926" s="20">
        <v>40487.0</v>
      </c>
      <c r="R3926" s="17">
        <f t="shared" si="2"/>
        <v>362.0655758</v>
      </c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>
        <f t="shared" si="8"/>
        <v>4</v>
      </c>
      <c r="AF3926" s="19">
        <f t="shared" si="13"/>
        <v>5</v>
      </c>
      <c r="AG3926" s="9"/>
      <c r="AH3926" s="9"/>
      <c r="AI3926" s="9"/>
    </row>
    <row r="3927" ht="15.0" customHeight="1">
      <c r="A3927" s="11">
        <v>3926.0</v>
      </c>
      <c r="B3927" s="12">
        <f t="shared" si="621"/>
        <v>40485</v>
      </c>
      <c r="C3927" s="13">
        <v>2010.0</v>
      </c>
      <c r="D3927" s="11" t="s">
        <v>32</v>
      </c>
      <c r="E3927" s="11">
        <v>22.0</v>
      </c>
      <c r="F3927" s="21" t="s">
        <v>610</v>
      </c>
      <c r="G3927" s="15">
        <v>0.07542625169147513</v>
      </c>
      <c r="H3927" s="11" t="s">
        <v>33</v>
      </c>
      <c r="I3927" s="16">
        <v>4.904</v>
      </c>
      <c r="J3927" s="11" t="s">
        <v>613</v>
      </c>
      <c r="K3927" s="11" t="s">
        <v>65</v>
      </c>
      <c r="L3927" s="11" t="s">
        <v>48</v>
      </c>
      <c r="M3927" s="11" t="s">
        <v>28</v>
      </c>
      <c r="N3927" s="11" t="s">
        <v>29</v>
      </c>
      <c r="O3927" s="11" t="s">
        <v>1969</v>
      </c>
      <c r="P3927" s="11" t="s">
        <v>38</v>
      </c>
      <c r="Q3927" s="20">
        <v>40487.0</v>
      </c>
      <c r="R3927" s="17">
        <f t="shared" si="2"/>
        <v>20.61429629</v>
      </c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>
        <f t="shared" si="8"/>
        <v>4</v>
      </c>
      <c r="AF3927" s="19">
        <f t="shared" si="13"/>
        <v>5</v>
      </c>
      <c r="AG3927" s="9"/>
      <c r="AH3927" s="9"/>
      <c r="AI3927" s="9"/>
    </row>
    <row r="3928" ht="15.0" customHeight="1">
      <c r="A3928" s="11">
        <v>3927.0</v>
      </c>
      <c r="B3928" s="12">
        <f t="shared" si="621"/>
        <v>40485</v>
      </c>
      <c r="C3928" s="13">
        <v>2010.0</v>
      </c>
      <c r="D3928" s="11" t="s">
        <v>32</v>
      </c>
      <c r="E3928" s="11">
        <v>1.0</v>
      </c>
      <c r="F3928" s="21" t="s">
        <v>1665</v>
      </c>
      <c r="G3928" s="15">
        <v>0.0943813064259161</v>
      </c>
      <c r="H3928" s="11" t="s">
        <v>45</v>
      </c>
      <c r="I3928" s="16">
        <v>44.24</v>
      </c>
      <c r="J3928" s="11" t="s">
        <v>711</v>
      </c>
      <c r="K3928" s="11" t="s">
        <v>83</v>
      </c>
      <c r="L3928" s="11" t="s">
        <v>36</v>
      </c>
      <c r="M3928" s="11" t="s">
        <v>66</v>
      </c>
      <c r="N3928" s="11" t="s">
        <v>69</v>
      </c>
      <c r="O3928" s="11" t="s">
        <v>1666</v>
      </c>
      <c r="P3928" s="11" t="s">
        <v>52</v>
      </c>
      <c r="Q3928" s="20">
        <v>40488.0</v>
      </c>
      <c r="R3928" s="17">
        <f t="shared" si="2"/>
        <v>80.47327711</v>
      </c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>
        <f t="shared" si="8"/>
        <v>2</v>
      </c>
      <c r="AF3928" s="19" t="b">
        <f t="shared" si="13"/>
        <v>0</v>
      </c>
      <c r="AG3928" s="9"/>
      <c r="AH3928" s="9"/>
      <c r="AI3928" s="9"/>
    </row>
    <row r="3929" ht="15.0" customHeight="1">
      <c r="A3929" s="11">
        <v>3928.0</v>
      </c>
      <c r="B3929" s="12">
        <f t="shared" ref="B3929:B3935" si="622">DATE(2012,12,31)-788</f>
        <v>40486</v>
      </c>
      <c r="C3929" s="13">
        <v>2010.0</v>
      </c>
      <c r="D3929" s="11" t="s">
        <v>44</v>
      </c>
      <c r="E3929" s="11">
        <v>35.0</v>
      </c>
      <c r="F3929" s="21" t="s">
        <v>137</v>
      </c>
      <c r="G3929" s="15">
        <v>0.05045995016019943</v>
      </c>
      <c r="H3929" s="11" t="s">
        <v>45</v>
      </c>
      <c r="I3929" s="16">
        <v>53.016</v>
      </c>
      <c r="J3929" s="11" t="s">
        <v>2472</v>
      </c>
      <c r="K3929" s="11" t="s">
        <v>47</v>
      </c>
      <c r="L3929" s="11" t="s">
        <v>36</v>
      </c>
      <c r="M3929" s="11" t="s">
        <v>49</v>
      </c>
      <c r="N3929" s="11" t="s">
        <v>156</v>
      </c>
      <c r="O3929" s="11" t="s">
        <v>1553</v>
      </c>
      <c r="P3929" s="11" t="s">
        <v>87</v>
      </c>
      <c r="Q3929" s="20">
        <v>40488.0</v>
      </c>
      <c r="R3929" s="17">
        <f t="shared" si="2"/>
        <v>269.1794115</v>
      </c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>
        <f t="shared" si="8"/>
        <v>2</v>
      </c>
      <c r="AF3929" s="19">
        <f t="shared" si="13"/>
        <v>3</v>
      </c>
      <c r="AG3929" s="9"/>
      <c r="AH3929" s="9"/>
      <c r="AI3929" s="9"/>
    </row>
    <row r="3930" ht="15.0" customHeight="1">
      <c r="A3930" s="11">
        <v>3929.0</v>
      </c>
      <c r="B3930" s="12">
        <f t="shared" si="622"/>
        <v>40486</v>
      </c>
      <c r="C3930" s="13">
        <v>2010.0</v>
      </c>
      <c r="D3930" s="11" t="s">
        <v>32</v>
      </c>
      <c r="E3930" s="11">
        <v>36.0</v>
      </c>
      <c r="F3930" s="21" t="s">
        <v>552</v>
      </c>
      <c r="G3930" s="15">
        <v>0.06513249651324968</v>
      </c>
      <c r="H3930" s="11" t="s">
        <v>33</v>
      </c>
      <c r="I3930" s="16">
        <v>8.92</v>
      </c>
      <c r="J3930" s="11" t="s">
        <v>878</v>
      </c>
      <c r="K3930" s="11" t="s">
        <v>61</v>
      </c>
      <c r="L3930" s="11" t="s">
        <v>48</v>
      </c>
      <c r="M3930" s="11" t="s">
        <v>28</v>
      </c>
      <c r="N3930" s="11" t="s">
        <v>56</v>
      </c>
      <c r="O3930" s="11" t="s">
        <v>553</v>
      </c>
      <c r="P3930" s="11" t="s">
        <v>38</v>
      </c>
      <c r="Q3930" s="20">
        <v>40488.0</v>
      </c>
      <c r="R3930" s="17">
        <f t="shared" si="2"/>
        <v>17.46332497</v>
      </c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>
        <f t="shared" si="8"/>
        <v>4</v>
      </c>
      <c r="AF3930" s="19">
        <f t="shared" si="13"/>
        <v>4</v>
      </c>
      <c r="AG3930" s="9"/>
      <c r="AH3930" s="9"/>
      <c r="AI3930" s="9"/>
    </row>
    <row r="3931" ht="15.0" customHeight="1">
      <c r="A3931" s="11">
        <v>3930.0</v>
      </c>
      <c r="B3931" s="12">
        <f t="shared" si="622"/>
        <v>40486</v>
      </c>
      <c r="C3931" s="13">
        <v>2010.0</v>
      </c>
      <c r="D3931" s="11" t="s">
        <v>32</v>
      </c>
      <c r="E3931" s="11">
        <v>23.0</v>
      </c>
      <c r="F3931" s="21" t="s">
        <v>1071</v>
      </c>
      <c r="G3931" s="15">
        <v>0.08160499331252787</v>
      </c>
      <c r="H3931" s="11" t="s">
        <v>24</v>
      </c>
      <c r="I3931" s="16">
        <v>7.192</v>
      </c>
      <c r="J3931" s="11" t="s">
        <v>2384</v>
      </c>
      <c r="K3931" s="11" t="s">
        <v>61</v>
      </c>
      <c r="L3931" s="11" t="s">
        <v>27</v>
      </c>
      <c r="M3931" s="11" t="s">
        <v>49</v>
      </c>
      <c r="N3931" s="11" t="s">
        <v>73</v>
      </c>
      <c r="O3931" s="11" t="s">
        <v>1073</v>
      </c>
      <c r="P3931" s="11" t="s">
        <v>99</v>
      </c>
      <c r="Q3931" s="20">
        <v>40488.0</v>
      </c>
      <c r="R3931" s="17">
        <f t="shared" si="2"/>
        <v>33.6206044</v>
      </c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>
        <f t="shared" si="8"/>
        <v>1</v>
      </c>
      <c r="AF3931" s="19">
        <f t="shared" si="13"/>
        <v>4</v>
      </c>
      <c r="AG3931" s="9"/>
      <c r="AH3931" s="9"/>
      <c r="AI3931" s="9"/>
    </row>
    <row r="3932" ht="15.0" customHeight="1">
      <c r="A3932" s="11">
        <v>3931.0</v>
      </c>
      <c r="B3932" s="12">
        <f t="shared" si="622"/>
        <v>40486</v>
      </c>
      <c r="C3932" s="13">
        <v>2010.0</v>
      </c>
      <c r="D3932" s="11" t="s">
        <v>32</v>
      </c>
      <c r="E3932" s="11">
        <v>36.0</v>
      </c>
      <c r="F3932" s="21" t="s">
        <v>218</v>
      </c>
      <c r="G3932" s="15">
        <v>0.007685245901639325</v>
      </c>
      <c r="H3932" s="11" t="s">
        <v>24</v>
      </c>
      <c r="I3932" s="16">
        <v>3.8560000000000003</v>
      </c>
      <c r="J3932" s="11" t="s">
        <v>2384</v>
      </c>
      <c r="K3932" s="11" t="s">
        <v>61</v>
      </c>
      <c r="L3932" s="11" t="s">
        <v>27</v>
      </c>
      <c r="M3932" s="11" t="s">
        <v>28</v>
      </c>
      <c r="N3932" s="11" t="s">
        <v>56</v>
      </c>
      <c r="O3932" s="11" t="s">
        <v>560</v>
      </c>
      <c r="P3932" s="11" t="s">
        <v>38</v>
      </c>
      <c r="Q3932" s="20">
        <v>40488.0</v>
      </c>
      <c r="R3932" s="17">
        <f t="shared" si="2"/>
        <v>2.325985784</v>
      </c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>
        <f t="shared" si="8"/>
        <v>1</v>
      </c>
      <c r="AF3932" s="19">
        <f t="shared" si="13"/>
        <v>4</v>
      </c>
      <c r="AG3932" s="9"/>
      <c r="AH3932" s="9"/>
      <c r="AI3932" s="9"/>
    </row>
    <row r="3933" ht="15.0" customHeight="1">
      <c r="A3933" s="11">
        <v>3932.0</v>
      </c>
      <c r="B3933" s="12">
        <f t="shared" si="622"/>
        <v>40486</v>
      </c>
      <c r="C3933" s="13">
        <v>2010.0</v>
      </c>
      <c r="D3933" s="11" t="s">
        <v>32</v>
      </c>
      <c r="E3933" s="11">
        <v>22.0</v>
      </c>
      <c r="F3933" s="21" t="s">
        <v>100</v>
      </c>
      <c r="G3933" s="15">
        <v>0.020149608682492288</v>
      </c>
      <c r="H3933" s="11" t="s">
        <v>33</v>
      </c>
      <c r="I3933" s="16">
        <v>2.4000000000000004</v>
      </c>
      <c r="J3933" s="11" t="s">
        <v>2384</v>
      </c>
      <c r="K3933" s="11" t="s">
        <v>61</v>
      </c>
      <c r="L3933" s="11" t="s">
        <v>27</v>
      </c>
      <c r="M3933" s="11" t="s">
        <v>66</v>
      </c>
      <c r="N3933" s="11" t="s">
        <v>80</v>
      </c>
      <c r="O3933" s="11" t="s">
        <v>1595</v>
      </c>
      <c r="P3933" s="11" t="s">
        <v>38</v>
      </c>
      <c r="Q3933" s="20">
        <v>40488.0</v>
      </c>
      <c r="R3933" s="17">
        <f t="shared" si="2"/>
        <v>91.32205647</v>
      </c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>
        <f t="shared" si="8"/>
        <v>1</v>
      </c>
      <c r="AF3933" s="19">
        <f t="shared" si="13"/>
        <v>4</v>
      </c>
      <c r="AG3933" s="9"/>
      <c r="AH3933" s="9"/>
      <c r="AI3933" s="9"/>
    </row>
    <row r="3934" ht="15.0" customHeight="1">
      <c r="A3934" s="11">
        <v>3933.0</v>
      </c>
      <c r="B3934" s="12">
        <f t="shared" si="622"/>
        <v>40486</v>
      </c>
      <c r="C3934" s="13">
        <v>2010.0</v>
      </c>
      <c r="D3934" s="11" t="s">
        <v>39</v>
      </c>
      <c r="E3934" s="11">
        <v>35.0</v>
      </c>
      <c r="F3934" s="21" t="s">
        <v>336</v>
      </c>
      <c r="G3934" s="15">
        <v>0.017533718689787987</v>
      </c>
      <c r="H3934" s="11" t="s">
        <v>33</v>
      </c>
      <c r="I3934" s="16">
        <v>0.96</v>
      </c>
      <c r="J3934" s="11" t="s">
        <v>1550</v>
      </c>
      <c r="K3934" s="11" t="s">
        <v>61</v>
      </c>
      <c r="L3934" s="11" t="s">
        <v>27</v>
      </c>
      <c r="M3934" s="11" t="s">
        <v>28</v>
      </c>
      <c r="N3934" s="11" t="s">
        <v>62</v>
      </c>
      <c r="O3934" s="11" t="s">
        <v>1540</v>
      </c>
      <c r="P3934" s="11" t="s">
        <v>58</v>
      </c>
      <c r="Q3934" s="20">
        <v>40488.0</v>
      </c>
      <c r="R3934" s="17">
        <f t="shared" si="2"/>
        <v>3.576177264</v>
      </c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>
        <f t="shared" si="8"/>
        <v>1</v>
      </c>
      <c r="AF3934" s="19">
        <f t="shared" si="13"/>
        <v>4</v>
      </c>
      <c r="AG3934" s="9"/>
      <c r="AH3934" s="9"/>
      <c r="AI3934" s="9"/>
    </row>
    <row r="3935" ht="15.0" customHeight="1">
      <c r="A3935" s="11">
        <v>3934.0</v>
      </c>
      <c r="B3935" s="12">
        <f t="shared" si="622"/>
        <v>40486</v>
      </c>
      <c r="C3935" s="13">
        <v>2010.0</v>
      </c>
      <c r="D3935" s="11" t="s">
        <v>23</v>
      </c>
      <c r="E3935" s="11">
        <v>23.0</v>
      </c>
      <c r="F3935" s="21" t="s">
        <v>178</v>
      </c>
      <c r="G3935" s="15">
        <v>0.05835606248450291</v>
      </c>
      <c r="H3935" s="11" t="s">
        <v>33</v>
      </c>
      <c r="I3935" s="16">
        <v>3.3600000000000003</v>
      </c>
      <c r="J3935" s="11" t="s">
        <v>1623</v>
      </c>
      <c r="K3935" s="11" t="s">
        <v>35</v>
      </c>
      <c r="L3935" s="11" t="s">
        <v>48</v>
      </c>
      <c r="M3935" s="11" t="s">
        <v>66</v>
      </c>
      <c r="N3935" s="11" t="s">
        <v>80</v>
      </c>
      <c r="O3935" s="11" t="s">
        <v>1690</v>
      </c>
      <c r="P3935" s="11" t="s">
        <v>38</v>
      </c>
      <c r="Q3935" s="20">
        <v>40488.0</v>
      </c>
      <c r="R3935" s="17">
        <f t="shared" si="2"/>
        <v>88.64636028</v>
      </c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>
        <f t="shared" si="8"/>
        <v>4</v>
      </c>
      <c r="AF3935" s="19">
        <f t="shared" si="13"/>
        <v>2</v>
      </c>
      <c r="AG3935" s="9"/>
      <c r="AH3935" s="9"/>
      <c r="AI3935" s="9"/>
    </row>
    <row r="3936" ht="15.0" customHeight="1">
      <c r="A3936" s="11">
        <v>3935.0</v>
      </c>
      <c r="B3936" s="12">
        <f t="shared" ref="B3936:B3939" si="623">DATE(2012,12,31)-787</f>
        <v>40487</v>
      </c>
      <c r="C3936" s="13">
        <v>2010.0</v>
      </c>
      <c r="D3936" s="11" t="s">
        <v>23</v>
      </c>
      <c r="E3936" s="11">
        <v>29.0</v>
      </c>
      <c r="F3936" s="21" t="s">
        <v>2473</v>
      </c>
      <c r="G3936" s="15">
        <v>0.09173281413808596</v>
      </c>
      <c r="H3936" s="11" t="s">
        <v>33</v>
      </c>
      <c r="I3936" s="16">
        <v>3.6</v>
      </c>
      <c r="J3936" s="11" t="s">
        <v>1221</v>
      </c>
      <c r="K3936" s="11" t="s">
        <v>61</v>
      </c>
      <c r="L3936" s="11" t="s">
        <v>48</v>
      </c>
      <c r="M3936" s="11" t="s">
        <v>28</v>
      </c>
      <c r="N3936" s="11" t="s">
        <v>197</v>
      </c>
      <c r="O3936" s="11" t="s">
        <v>2474</v>
      </c>
      <c r="P3936" s="11" t="s">
        <v>38</v>
      </c>
      <c r="Q3936" s="20">
        <v>40489.0</v>
      </c>
      <c r="R3936" s="17">
        <f t="shared" si="2"/>
        <v>111.2627303</v>
      </c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>
        <f t="shared" si="8"/>
        <v>4</v>
      </c>
      <c r="AF3936" s="19">
        <f t="shared" si="13"/>
        <v>4</v>
      </c>
      <c r="AG3936" s="9"/>
      <c r="AH3936" s="9"/>
      <c r="AI3936" s="9"/>
    </row>
    <row r="3937" ht="15.0" customHeight="1">
      <c r="A3937" s="11">
        <v>3936.0</v>
      </c>
      <c r="B3937" s="12">
        <f t="shared" si="623"/>
        <v>40487</v>
      </c>
      <c r="C3937" s="13">
        <v>2010.0</v>
      </c>
      <c r="D3937" s="11" t="s">
        <v>23</v>
      </c>
      <c r="E3937" s="11">
        <v>43.0</v>
      </c>
      <c r="F3937" s="21" t="s">
        <v>619</v>
      </c>
      <c r="G3937" s="15">
        <v>0.0934549083026529</v>
      </c>
      <c r="H3937" s="11" t="s">
        <v>33</v>
      </c>
      <c r="I3937" s="16">
        <v>15.991999999999999</v>
      </c>
      <c r="J3937" s="11" t="s">
        <v>1221</v>
      </c>
      <c r="K3937" s="11" t="s">
        <v>61</v>
      </c>
      <c r="L3937" s="11" t="s">
        <v>48</v>
      </c>
      <c r="M3937" s="11" t="s">
        <v>28</v>
      </c>
      <c r="N3937" s="11" t="s">
        <v>236</v>
      </c>
      <c r="O3937" s="11" t="s">
        <v>1755</v>
      </c>
      <c r="P3937" s="11" t="s">
        <v>38</v>
      </c>
      <c r="Q3937" s="20">
        <v>40489.0</v>
      </c>
      <c r="R3937" s="17">
        <f t="shared" si="2"/>
        <v>246.2248993</v>
      </c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>
        <f t="shared" si="8"/>
        <v>4</v>
      </c>
      <c r="AF3937" s="19">
        <f t="shared" si="13"/>
        <v>4</v>
      </c>
      <c r="AG3937" s="9"/>
      <c r="AH3937" s="9"/>
      <c r="AI3937" s="9"/>
    </row>
    <row r="3938" ht="15.0" customHeight="1">
      <c r="A3938" s="11">
        <v>3937.0</v>
      </c>
      <c r="B3938" s="12">
        <f t="shared" si="623"/>
        <v>40487</v>
      </c>
      <c r="C3938" s="13">
        <v>2010.0</v>
      </c>
      <c r="D3938" s="11" t="s">
        <v>23</v>
      </c>
      <c r="E3938" s="11">
        <v>31.0</v>
      </c>
      <c r="F3938" s="21" t="s">
        <v>440</v>
      </c>
      <c r="G3938" s="15">
        <v>0.006078521939953953</v>
      </c>
      <c r="H3938" s="11" t="s">
        <v>33</v>
      </c>
      <c r="I3938" s="16">
        <v>4.384</v>
      </c>
      <c r="J3938" s="11" t="s">
        <v>1507</v>
      </c>
      <c r="K3938" s="11" t="s">
        <v>61</v>
      </c>
      <c r="L3938" s="11" t="s">
        <v>36</v>
      </c>
      <c r="M3938" s="11" t="s">
        <v>28</v>
      </c>
      <c r="N3938" s="11" t="s">
        <v>42</v>
      </c>
      <c r="O3938" s="11" t="s">
        <v>2379</v>
      </c>
      <c r="P3938" s="11" t="s">
        <v>38</v>
      </c>
      <c r="Q3938" s="20">
        <v>40489.0</v>
      </c>
      <c r="R3938" s="17">
        <f t="shared" si="2"/>
        <v>1.308000665</v>
      </c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>
        <f t="shared" si="8"/>
        <v>2</v>
      </c>
      <c r="AF3938" s="19">
        <f t="shared" si="13"/>
        <v>4</v>
      </c>
      <c r="AG3938" s="9"/>
      <c r="AH3938" s="9"/>
      <c r="AI3938" s="9"/>
    </row>
    <row r="3939" ht="15.0" customHeight="1">
      <c r="A3939" s="11">
        <v>3938.0</v>
      </c>
      <c r="B3939" s="12">
        <f t="shared" si="623"/>
        <v>40487</v>
      </c>
      <c r="C3939" s="13">
        <v>2010.0</v>
      </c>
      <c r="D3939" s="11" t="s">
        <v>32</v>
      </c>
      <c r="E3939" s="11">
        <v>28.0</v>
      </c>
      <c r="F3939" s="21" t="s">
        <v>158</v>
      </c>
      <c r="G3939" s="15">
        <v>0.03095435684647297</v>
      </c>
      <c r="H3939" s="11" t="s">
        <v>33</v>
      </c>
      <c r="I3939" s="16">
        <v>7.632</v>
      </c>
      <c r="J3939" s="11" t="s">
        <v>823</v>
      </c>
      <c r="K3939" s="11" t="s">
        <v>61</v>
      </c>
      <c r="L3939" s="11" t="s">
        <v>36</v>
      </c>
      <c r="M3939" s="11" t="s">
        <v>28</v>
      </c>
      <c r="N3939" s="11" t="s">
        <v>56</v>
      </c>
      <c r="O3939" s="11" t="s">
        <v>1474</v>
      </c>
      <c r="P3939" s="11" t="s">
        <v>38</v>
      </c>
      <c r="Q3939" s="20">
        <v>40489.0</v>
      </c>
      <c r="R3939" s="17">
        <f t="shared" si="2"/>
        <v>5.783264398</v>
      </c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>
        <f t="shared" si="8"/>
        <v>2</v>
      </c>
      <c r="AF3939" s="19">
        <f t="shared" si="13"/>
        <v>4</v>
      </c>
      <c r="AG3939" s="9"/>
      <c r="AH3939" s="9"/>
      <c r="AI3939" s="9"/>
    </row>
    <row r="3940" ht="15.0" customHeight="1">
      <c r="A3940" s="11">
        <v>3939.0</v>
      </c>
      <c r="B3940" s="12">
        <f t="shared" ref="B3940:B3945" si="624">DATE(2012,12,31)-786</f>
        <v>40488</v>
      </c>
      <c r="C3940" s="13">
        <v>2010.0</v>
      </c>
      <c r="D3940" s="11" t="s">
        <v>23</v>
      </c>
      <c r="E3940" s="11">
        <v>8.0</v>
      </c>
      <c r="F3940" s="21" t="s">
        <v>1900</v>
      </c>
      <c r="G3940" s="15">
        <v>0.09403868269733388</v>
      </c>
      <c r="H3940" s="11" t="s">
        <v>45</v>
      </c>
      <c r="I3940" s="16">
        <v>34.856</v>
      </c>
      <c r="J3940" s="11" t="s">
        <v>2475</v>
      </c>
      <c r="K3940" s="11" t="s">
        <v>35</v>
      </c>
      <c r="L3940" s="11" t="s">
        <v>41</v>
      </c>
      <c r="M3940" s="11" t="s">
        <v>49</v>
      </c>
      <c r="N3940" s="11" t="s">
        <v>85</v>
      </c>
      <c r="O3940" s="11" t="s">
        <v>1902</v>
      </c>
      <c r="P3940" s="11" t="s">
        <v>87</v>
      </c>
      <c r="Q3940" s="20">
        <v>40490.0</v>
      </c>
      <c r="R3940" s="17">
        <f t="shared" si="2"/>
        <v>244.4682257</v>
      </c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>
        <f t="shared" si="8"/>
        <v>3</v>
      </c>
      <c r="AF3940" s="19">
        <f t="shared" si="13"/>
        <v>2</v>
      </c>
      <c r="AG3940" s="9"/>
      <c r="AH3940" s="9"/>
      <c r="AI3940" s="9"/>
    </row>
    <row r="3941" ht="15.0" customHeight="1">
      <c r="A3941" s="11">
        <v>3940.0</v>
      </c>
      <c r="B3941" s="12">
        <f t="shared" si="624"/>
        <v>40488</v>
      </c>
      <c r="C3941" s="13">
        <v>2010.0</v>
      </c>
      <c r="D3941" s="11" t="s">
        <v>44</v>
      </c>
      <c r="E3941" s="11">
        <v>23.0</v>
      </c>
      <c r="F3941" s="21" t="s">
        <v>210</v>
      </c>
      <c r="G3941" s="15">
        <v>0.06647482014388476</v>
      </c>
      <c r="H3941" s="11" t="s">
        <v>33</v>
      </c>
      <c r="I3941" s="16">
        <v>5.08</v>
      </c>
      <c r="J3941" s="11" t="s">
        <v>1472</v>
      </c>
      <c r="K3941" s="11" t="s">
        <v>83</v>
      </c>
      <c r="L3941" s="11" t="s">
        <v>48</v>
      </c>
      <c r="M3941" s="11" t="s">
        <v>28</v>
      </c>
      <c r="N3941" s="11" t="s">
        <v>236</v>
      </c>
      <c r="O3941" s="11" t="s">
        <v>1846</v>
      </c>
      <c r="P3941" s="11" t="s">
        <v>38</v>
      </c>
      <c r="Q3941" s="20">
        <v>40490.0</v>
      </c>
      <c r="R3941" s="17">
        <f t="shared" si="2"/>
        <v>4.312886331</v>
      </c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>
        <f t="shared" si="8"/>
        <v>4</v>
      </c>
      <c r="AF3941" s="19" t="b">
        <f t="shared" si="13"/>
        <v>0</v>
      </c>
      <c r="AG3941" s="9"/>
      <c r="AH3941" s="9"/>
      <c r="AI3941" s="9"/>
    </row>
    <row r="3942" ht="15.0" customHeight="1">
      <c r="A3942" s="11">
        <v>3941.0</v>
      </c>
      <c r="B3942" s="12">
        <f t="shared" si="624"/>
        <v>40488</v>
      </c>
      <c r="C3942" s="13">
        <v>2010.0</v>
      </c>
      <c r="D3942" s="11" t="s">
        <v>44</v>
      </c>
      <c r="E3942" s="11">
        <v>46.0</v>
      </c>
      <c r="F3942" s="21" t="s">
        <v>1207</v>
      </c>
      <c r="G3942" s="15">
        <v>0.035512143414786534</v>
      </c>
      <c r="H3942" s="11" t="s">
        <v>45</v>
      </c>
      <c r="I3942" s="16">
        <v>44.19200000000001</v>
      </c>
      <c r="J3942" s="11" t="s">
        <v>567</v>
      </c>
      <c r="K3942" s="11" t="s">
        <v>35</v>
      </c>
      <c r="L3942" s="11" t="s">
        <v>36</v>
      </c>
      <c r="M3942" s="11" t="s">
        <v>28</v>
      </c>
      <c r="N3942" s="11" t="s">
        <v>197</v>
      </c>
      <c r="O3942" s="11" t="s">
        <v>2133</v>
      </c>
      <c r="P3942" s="11" t="s">
        <v>52</v>
      </c>
      <c r="Q3942" s="20">
        <v>40490.0</v>
      </c>
      <c r="R3942" s="17">
        <f t="shared" si="2"/>
        <v>297.0801029</v>
      </c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>
        <f t="shared" si="8"/>
        <v>2</v>
      </c>
      <c r="AF3942" s="19">
        <f t="shared" si="13"/>
        <v>2</v>
      </c>
      <c r="AG3942" s="9"/>
      <c r="AH3942" s="9"/>
      <c r="AI3942" s="9"/>
    </row>
    <row r="3943" ht="15.0" customHeight="1">
      <c r="A3943" s="11">
        <v>3942.0</v>
      </c>
      <c r="B3943" s="12">
        <f t="shared" si="624"/>
        <v>40488</v>
      </c>
      <c r="C3943" s="13">
        <v>2010.0</v>
      </c>
      <c r="D3943" s="11" t="s">
        <v>44</v>
      </c>
      <c r="E3943" s="11">
        <v>43.0</v>
      </c>
      <c r="F3943" s="21" t="s">
        <v>322</v>
      </c>
      <c r="G3943" s="15">
        <v>0.06569709127382144</v>
      </c>
      <c r="H3943" s="11" t="s">
        <v>33</v>
      </c>
      <c r="I3943" s="16">
        <v>2.8000000000000003</v>
      </c>
      <c r="J3943" s="11" t="s">
        <v>567</v>
      </c>
      <c r="K3943" s="11" t="s">
        <v>35</v>
      </c>
      <c r="L3943" s="11" t="s">
        <v>36</v>
      </c>
      <c r="M3943" s="11" t="s">
        <v>28</v>
      </c>
      <c r="N3943" s="11" t="s">
        <v>197</v>
      </c>
      <c r="O3943" s="11" t="s">
        <v>2172</v>
      </c>
      <c r="P3943" s="11" t="s">
        <v>38</v>
      </c>
      <c r="Q3943" s="20">
        <v>40490.0</v>
      </c>
      <c r="R3943" s="17">
        <f t="shared" si="2"/>
        <v>24.47873621</v>
      </c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>
        <f t="shared" si="8"/>
        <v>2</v>
      </c>
      <c r="AF3943" s="19">
        <f t="shared" si="13"/>
        <v>2</v>
      </c>
      <c r="AG3943" s="9"/>
      <c r="AH3943" s="9"/>
      <c r="AI3943" s="9"/>
    </row>
    <row r="3944" ht="15.0" customHeight="1">
      <c r="A3944" s="11">
        <v>3943.0</v>
      </c>
      <c r="B3944" s="12">
        <f t="shared" si="624"/>
        <v>40488</v>
      </c>
      <c r="C3944" s="13">
        <v>2010.0</v>
      </c>
      <c r="D3944" s="11" t="s">
        <v>44</v>
      </c>
      <c r="E3944" s="11">
        <v>27.0</v>
      </c>
      <c r="F3944" s="21" t="s">
        <v>103</v>
      </c>
      <c r="G3944" s="15">
        <v>0.05395894428152486</v>
      </c>
      <c r="H3944" s="11" t="s">
        <v>33</v>
      </c>
      <c r="I3944" s="16">
        <v>2.0</v>
      </c>
      <c r="J3944" s="11" t="s">
        <v>567</v>
      </c>
      <c r="K3944" s="11" t="s">
        <v>35</v>
      </c>
      <c r="L3944" s="11" t="s">
        <v>36</v>
      </c>
      <c r="M3944" s="11" t="s">
        <v>28</v>
      </c>
      <c r="N3944" s="11" t="s">
        <v>236</v>
      </c>
      <c r="O3944" s="11" t="s">
        <v>1164</v>
      </c>
      <c r="P3944" s="11" t="s">
        <v>38</v>
      </c>
      <c r="Q3944" s="20">
        <v>40490.0</v>
      </c>
      <c r="R3944" s="17">
        <f t="shared" si="2"/>
        <v>8.703577713</v>
      </c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>
        <f t="shared" si="8"/>
        <v>2</v>
      </c>
      <c r="AF3944" s="19">
        <f t="shared" si="13"/>
        <v>2</v>
      </c>
      <c r="AG3944" s="9"/>
      <c r="AH3944" s="9"/>
      <c r="AI3944" s="9"/>
    </row>
    <row r="3945" ht="15.0" customHeight="1">
      <c r="A3945" s="11">
        <v>3944.0</v>
      </c>
      <c r="B3945" s="12">
        <f t="shared" si="624"/>
        <v>40488</v>
      </c>
      <c r="C3945" s="13">
        <v>2010.0</v>
      </c>
      <c r="D3945" s="11" t="s">
        <v>44</v>
      </c>
      <c r="E3945" s="11">
        <v>39.0</v>
      </c>
      <c r="F3945" s="21" t="s">
        <v>319</v>
      </c>
      <c r="G3945" s="15">
        <v>0.037752414398595356</v>
      </c>
      <c r="H3945" s="11" t="s">
        <v>33</v>
      </c>
      <c r="I3945" s="16">
        <v>0.4</v>
      </c>
      <c r="J3945" s="11" t="s">
        <v>567</v>
      </c>
      <c r="K3945" s="11" t="s">
        <v>35</v>
      </c>
      <c r="L3945" s="11" t="s">
        <v>36</v>
      </c>
      <c r="M3945" s="11" t="s">
        <v>28</v>
      </c>
      <c r="N3945" s="11" t="s">
        <v>188</v>
      </c>
      <c r="O3945" s="11" t="s">
        <v>901</v>
      </c>
      <c r="P3945" s="11" t="s">
        <v>38</v>
      </c>
      <c r="Q3945" s="20">
        <v>40491.0</v>
      </c>
      <c r="R3945" s="17">
        <f t="shared" si="2"/>
        <v>4.137664618</v>
      </c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>
        <f t="shared" si="8"/>
        <v>2</v>
      </c>
      <c r="AF3945" s="19">
        <f t="shared" si="13"/>
        <v>2</v>
      </c>
      <c r="AG3945" s="9"/>
      <c r="AH3945" s="9"/>
      <c r="AI3945" s="9"/>
    </row>
    <row r="3946" ht="15.0" customHeight="1">
      <c r="A3946" s="11">
        <v>3945.0</v>
      </c>
      <c r="B3946" s="12">
        <f t="shared" ref="B3946:B3948" si="625">DATE(2012,12,31)-785</f>
        <v>40489</v>
      </c>
      <c r="C3946" s="13">
        <v>2010.0</v>
      </c>
      <c r="D3946" s="11" t="s">
        <v>39</v>
      </c>
      <c r="E3946" s="11">
        <v>22.0</v>
      </c>
      <c r="F3946" s="21" t="s">
        <v>336</v>
      </c>
      <c r="G3946" s="15">
        <v>0.06451798561151093</v>
      </c>
      <c r="H3946" s="11" t="s">
        <v>33</v>
      </c>
      <c r="I3946" s="16">
        <v>2.4320000000000004</v>
      </c>
      <c r="J3946" s="11" t="s">
        <v>910</v>
      </c>
      <c r="K3946" s="11" t="s">
        <v>117</v>
      </c>
      <c r="L3946" s="11" t="s">
        <v>48</v>
      </c>
      <c r="M3946" s="11" t="s">
        <v>28</v>
      </c>
      <c r="N3946" s="11" t="s">
        <v>56</v>
      </c>
      <c r="O3946" s="11" t="s">
        <v>2223</v>
      </c>
      <c r="P3946" s="11" t="s">
        <v>58</v>
      </c>
      <c r="Q3946" s="20">
        <v>40491.0</v>
      </c>
      <c r="R3946" s="17">
        <f t="shared" si="2"/>
        <v>8.389402705</v>
      </c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>
        <f t="shared" si="8"/>
        <v>4</v>
      </c>
      <c r="AF3946" s="19" t="b">
        <f t="shared" si="13"/>
        <v>0</v>
      </c>
      <c r="AG3946" s="9"/>
      <c r="AH3946" s="9"/>
      <c r="AI3946" s="9"/>
    </row>
    <row r="3947" ht="15.0" customHeight="1">
      <c r="A3947" s="11">
        <v>3946.0</v>
      </c>
      <c r="B3947" s="12">
        <f t="shared" si="625"/>
        <v>40489</v>
      </c>
      <c r="C3947" s="13">
        <v>2010.0</v>
      </c>
      <c r="D3947" s="11" t="s">
        <v>102</v>
      </c>
      <c r="E3947" s="11">
        <v>35.0</v>
      </c>
      <c r="F3947" s="21" t="s">
        <v>1904</v>
      </c>
      <c r="G3947" s="15">
        <v>0.048720080043100064</v>
      </c>
      <c r="H3947" s="11" t="s">
        <v>33</v>
      </c>
      <c r="I3947" s="16">
        <v>15.991999999999999</v>
      </c>
      <c r="J3947" s="11" t="s">
        <v>1240</v>
      </c>
      <c r="K3947" s="11" t="s">
        <v>35</v>
      </c>
      <c r="L3947" s="11" t="s">
        <v>41</v>
      </c>
      <c r="M3947" s="11" t="s">
        <v>28</v>
      </c>
      <c r="N3947" s="11" t="s">
        <v>29</v>
      </c>
      <c r="O3947" s="11" t="s">
        <v>1905</v>
      </c>
      <c r="P3947" s="11" t="s">
        <v>38</v>
      </c>
      <c r="Q3947" s="20">
        <v>40491.0</v>
      </c>
      <c r="R3947" s="17">
        <f t="shared" si="2"/>
        <v>240.871686</v>
      </c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>
        <f t="shared" si="8"/>
        <v>3</v>
      </c>
      <c r="AF3947" s="19">
        <f t="shared" si="13"/>
        <v>2</v>
      </c>
      <c r="AG3947" s="9"/>
      <c r="AH3947" s="9"/>
      <c r="AI3947" s="9"/>
    </row>
    <row r="3948" ht="15.0" customHeight="1">
      <c r="A3948" s="11">
        <v>3947.0</v>
      </c>
      <c r="B3948" s="12">
        <f t="shared" si="625"/>
        <v>40489</v>
      </c>
      <c r="C3948" s="13">
        <v>2010.0</v>
      </c>
      <c r="D3948" s="11" t="s">
        <v>102</v>
      </c>
      <c r="E3948" s="11">
        <v>23.0</v>
      </c>
      <c r="F3948" s="21" t="s">
        <v>1158</v>
      </c>
      <c r="G3948" s="15">
        <v>0.08451544195953149</v>
      </c>
      <c r="H3948" s="11" t="s">
        <v>33</v>
      </c>
      <c r="I3948" s="16">
        <v>5.464</v>
      </c>
      <c r="J3948" s="11" t="s">
        <v>2476</v>
      </c>
      <c r="K3948" s="11" t="s">
        <v>61</v>
      </c>
      <c r="L3948" s="11" t="s">
        <v>48</v>
      </c>
      <c r="M3948" s="11" t="s">
        <v>28</v>
      </c>
      <c r="N3948" s="11" t="s">
        <v>42</v>
      </c>
      <c r="O3948" s="11" t="s">
        <v>1577</v>
      </c>
      <c r="P3948" s="11" t="s">
        <v>38</v>
      </c>
      <c r="Q3948" s="20">
        <v>40491.0</v>
      </c>
      <c r="R3948" s="17">
        <f t="shared" si="2"/>
        <v>7.265285453</v>
      </c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>
        <f t="shared" si="8"/>
        <v>4</v>
      </c>
      <c r="AF3948" s="19">
        <f t="shared" si="13"/>
        <v>4</v>
      </c>
      <c r="AG3948" s="9"/>
      <c r="AH3948" s="9"/>
      <c r="AI3948" s="9"/>
    </row>
    <row r="3949" ht="15.0" customHeight="1">
      <c r="A3949" s="11">
        <v>3948.0</v>
      </c>
      <c r="B3949" s="12">
        <f t="shared" ref="B3949:B3955" si="626">DATE(2012,12,31)-784</f>
        <v>40490</v>
      </c>
      <c r="C3949" s="13">
        <v>2010.0</v>
      </c>
      <c r="D3949" s="11" t="s">
        <v>44</v>
      </c>
      <c r="E3949" s="11">
        <v>28.0</v>
      </c>
      <c r="F3949" s="21" t="s">
        <v>344</v>
      </c>
      <c r="G3949" s="15">
        <v>0.04630412890231621</v>
      </c>
      <c r="H3949" s="11" t="s">
        <v>33</v>
      </c>
      <c r="I3949" s="16">
        <v>3.608</v>
      </c>
      <c r="J3949" s="11" t="s">
        <v>353</v>
      </c>
      <c r="K3949" s="11" t="s">
        <v>714</v>
      </c>
      <c r="L3949" s="11" t="s">
        <v>41</v>
      </c>
      <c r="M3949" s="11" t="s">
        <v>28</v>
      </c>
      <c r="N3949" s="11" t="s">
        <v>29</v>
      </c>
      <c r="O3949" s="11" t="s">
        <v>929</v>
      </c>
      <c r="P3949" s="11" t="s">
        <v>38</v>
      </c>
      <c r="Q3949" s="20">
        <v>40491.0</v>
      </c>
      <c r="R3949" s="17">
        <f t="shared" si="2"/>
        <v>17.54037446</v>
      </c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>
        <f t="shared" si="8"/>
        <v>3</v>
      </c>
      <c r="AF3949" s="19" t="b">
        <f t="shared" si="13"/>
        <v>0</v>
      </c>
      <c r="AG3949" s="9"/>
      <c r="AH3949" s="9"/>
      <c r="AI3949" s="9"/>
    </row>
    <row r="3950" ht="15.0" customHeight="1">
      <c r="A3950" s="11">
        <v>3949.0</v>
      </c>
      <c r="B3950" s="12">
        <f t="shared" si="626"/>
        <v>40490</v>
      </c>
      <c r="C3950" s="13">
        <v>2010.0</v>
      </c>
      <c r="D3950" s="11" t="s">
        <v>32</v>
      </c>
      <c r="E3950" s="11">
        <v>45.0</v>
      </c>
      <c r="F3950" s="21" t="s">
        <v>137</v>
      </c>
      <c r="G3950" s="15">
        <v>0.07493954601710934</v>
      </c>
      <c r="H3950" s="11" t="s">
        <v>33</v>
      </c>
      <c r="I3950" s="16">
        <v>11.192</v>
      </c>
      <c r="J3950" s="11" t="s">
        <v>1906</v>
      </c>
      <c r="K3950" s="11" t="s">
        <v>61</v>
      </c>
      <c r="L3950" s="11" t="s">
        <v>41</v>
      </c>
      <c r="M3950" s="11" t="s">
        <v>66</v>
      </c>
      <c r="N3950" s="11" t="s">
        <v>69</v>
      </c>
      <c r="O3950" s="11" t="s">
        <v>468</v>
      </c>
      <c r="P3950" s="11" t="s">
        <v>75</v>
      </c>
      <c r="Q3950" s="20">
        <v>40491.0</v>
      </c>
      <c r="R3950" s="17">
        <f t="shared" si="2"/>
        <v>509.7157106</v>
      </c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>
        <f t="shared" si="8"/>
        <v>3</v>
      </c>
      <c r="AF3950" s="19">
        <f t="shared" si="13"/>
        <v>4</v>
      </c>
      <c r="AG3950" s="9"/>
      <c r="AH3950" s="9"/>
      <c r="AI3950" s="9"/>
    </row>
    <row r="3951" ht="15.0" customHeight="1">
      <c r="A3951" s="11">
        <v>3950.0</v>
      </c>
      <c r="B3951" s="12">
        <f t="shared" si="626"/>
        <v>40490</v>
      </c>
      <c r="C3951" s="13">
        <v>2010.0</v>
      </c>
      <c r="D3951" s="11" t="s">
        <v>32</v>
      </c>
      <c r="E3951" s="11">
        <v>1.0</v>
      </c>
      <c r="F3951" s="21" t="s">
        <v>926</v>
      </c>
      <c r="G3951" s="15">
        <v>0.12715789473684214</v>
      </c>
      <c r="H3951" s="11" t="s">
        <v>33</v>
      </c>
      <c r="I3951" s="16">
        <v>3.9840000000000004</v>
      </c>
      <c r="J3951" s="11" t="s">
        <v>1906</v>
      </c>
      <c r="K3951" s="11" t="s">
        <v>61</v>
      </c>
      <c r="L3951" s="11" t="s">
        <v>41</v>
      </c>
      <c r="M3951" s="11" t="s">
        <v>49</v>
      </c>
      <c r="N3951" s="11" t="s">
        <v>73</v>
      </c>
      <c r="O3951" s="11" t="s">
        <v>927</v>
      </c>
      <c r="P3951" s="11" t="s">
        <v>99</v>
      </c>
      <c r="Q3951" s="20">
        <v>40491.0</v>
      </c>
      <c r="R3951" s="17">
        <f t="shared" si="2"/>
        <v>2.108786526</v>
      </c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>
        <f t="shared" si="8"/>
        <v>3</v>
      </c>
      <c r="AF3951" s="19">
        <f t="shared" si="13"/>
        <v>4</v>
      </c>
      <c r="AG3951" s="9"/>
      <c r="AH3951" s="9"/>
      <c r="AI3951" s="9"/>
    </row>
    <row r="3952" ht="15.0" customHeight="1">
      <c r="A3952" s="11">
        <v>3951.0</v>
      </c>
      <c r="B3952" s="12">
        <f t="shared" si="626"/>
        <v>40490</v>
      </c>
      <c r="C3952" s="13">
        <v>2010.0</v>
      </c>
      <c r="D3952" s="11" t="s">
        <v>39</v>
      </c>
      <c r="E3952" s="11">
        <v>43.0</v>
      </c>
      <c r="F3952" s="21" t="s">
        <v>372</v>
      </c>
      <c r="G3952" s="15">
        <v>0.08521103896103903</v>
      </c>
      <c r="H3952" s="11" t="s">
        <v>33</v>
      </c>
      <c r="I3952" s="16">
        <v>1.1119999999999999</v>
      </c>
      <c r="J3952" s="11" t="s">
        <v>1907</v>
      </c>
      <c r="K3952" s="11" t="s">
        <v>61</v>
      </c>
      <c r="L3952" s="11" t="s">
        <v>36</v>
      </c>
      <c r="M3952" s="11" t="s">
        <v>28</v>
      </c>
      <c r="N3952" s="11" t="s">
        <v>236</v>
      </c>
      <c r="O3952" s="11" t="s">
        <v>374</v>
      </c>
      <c r="P3952" s="11" t="s">
        <v>38</v>
      </c>
      <c r="Q3952" s="20">
        <v>40491.0</v>
      </c>
      <c r="R3952" s="17">
        <f t="shared" si="2"/>
        <v>57.62072708</v>
      </c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>
        <f t="shared" si="8"/>
        <v>2</v>
      </c>
      <c r="AF3952" s="19">
        <f t="shared" si="13"/>
        <v>4</v>
      </c>
      <c r="AG3952" s="9"/>
      <c r="AH3952" s="9"/>
      <c r="AI3952" s="9"/>
    </row>
    <row r="3953" ht="15.0" customHeight="1">
      <c r="A3953" s="11">
        <v>3952.0</v>
      </c>
      <c r="B3953" s="12">
        <f t="shared" si="626"/>
        <v>40490</v>
      </c>
      <c r="C3953" s="13">
        <v>2010.0</v>
      </c>
      <c r="D3953" s="11" t="s">
        <v>39</v>
      </c>
      <c r="E3953" s="11">
        <v>39.0</v>
      </c>
      <c r="F3953" s="21" t="s">
        <v>394</v>
      </c>
      <c r="G3953" s="15">
        <v>0.09194036742636627</v>
      </c>
      <c r="H3953" s="11" t="s">
        <v>33</v>
      </c>
      <c r="I3953" s="16">
        <v>11.192</v>
      </c>
      <c r="J3953" s="11" t="s">
        <v>1907</v>
      </c>
      <c r="K3953" s="11" t="s">
        <v>61</v>
      </c>
      <c r="L3953" s="11" t="s">
        <v>36</v>
      </c>
      <c r="M3953" s="11" t="s">
        <v>66</v>
      </c>
      <c r="N3953" s="11" t="s">
        <v>69</v>
      </c>
      <c r="O3953" s="11" t="s">
        <v>2252</v>
      </c>
      <c r="P3953" s="11" t="s">
        <v>75</v>
      </c>
      <c r="Q3953" s="20">
        <v>40492.0</v>
      </c>
      <c r="R3953" s="17">
        <f t="shared" si="2"/>
        <v>506.2505096</v>
      </c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>
        <f t="shared" si="8"/>
        <v>2</v>
      </c>
      <c r="AF3953" s="19">
        <f t="shared" si="13"/>
        <v>4</v>
      </c>
      <c r="AG3953" s="9"/>
      <c r="AH3953" s="9"/>
      <c r="AI3953" s="9"/>
    </row>
    <row r="3954" ht="15.0" customHeight="1">
      <c r="A3954" s="11">
        <v>3953.0</v>
      </c>
      <c r="B3954" s="12">
        <f t="shared" si="626"/>
        <v>40490</v>
      </c>
      <c r="C3954" s="13">
        <v>2010.0</v>
      </c>
      <c r="D3954" s="11" t="s">
        <v>39</v>
      </c>
      <c r="E3954" s="11">
        <v>7.0</v>
      </c>
      <c r="F3954" s="21" t="s">
        <v>158</v>
      </c>
      <c r="G3954" s="15">
        <v>0.10891228070175436</v>
      </c>
      <c r="H3954" s="11" t="s">
        <v>33</v>
      </c>
      <c r="I3954" s="16">
        <v>5.992000000000001</v>
      </c>
      <c r="J3954" s="11" t="s">
        <v>1907</v>
      </c>
      <c r="K3954" s="11" t="s">
        <v>61</v>
      </c>
      <c r="L3954" s="11" t="s">
        <v>36</v>
      </c>
      <c r="M3954" s="11" t="s">
        <v>28</v>
      </c>
      <c r="N3954" s="11" t="s">
        <v>56</v>
      </c>
      <c r="O3954" s="11" t="s">
        <v>1042</v>
      </c>
      <c r="P3954" s="11" t="s">
        <v>38</v>
      </c>
      <c r="Q3954" s="20">
        <v>40492.0</v>
      </c>
      <c r="R3954" s="17">
        <f t="shared" si="2"/>
        <v>5.531872561</v>
      </c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>
        <f t="shared" si="8"/>
        <v>2</v>
      </c>
      <c r="AF3954" s="19">
        <f t="shared" si="13"/>
        <v>4</v>
      </c>
      <c r="AG3954" s="9"/>
      <c r="AH3954" s="9"/>
      <c r="AI3954" s="9"/>
    </row>
    <row r="3955" ht="15.0" customHeight="1">
      <c r="A3955" s="11">
        <v>3954.0</v>
      </c>
      <c r="B3955" s="12">
        <f t="shared" si="626"/>
        <v>40490</v>
      </c>
      <c r="C3955" s="13">
        <v>2010.0</v>
      </c>
      <c r="D3955" s="11" t="s">
        <v>23</v>
      </c>
      <c r="E3955" s="11">
        <v>14.0</v>
      </c>
      <c r="F3955" s="21" t="s">
        <v>93</v>
      </c>
      <c r="G3955" s="15">
        <v>0.04847863247863257</v>
      </c>
      <c r="H3955" s="11" t="s">
        <v>24</v>
      </c>
      <c r="I3955" s="16">
        <v>4.928000000000001</v>
      </c>
      <c r="J3955" s="11" t="s">
        <v>1972</v>
      </c>
      <c r="K3955" s="11" t="s">
        <v>61</v>
      </c>
      <c r="L3955" s="11" t="s">
        <v>27</v>
      </c>
      <c r="M3955" s="11" t="s">
        <v>28</v>
      </c>
      <c r="N3955" s="11" t="s">
        <v>42</v>
      </c>
      <c r="O3955" s="11" t="s">
        <v>134</v>
      </c>
      <c r="P3955" s="11" t="s">
        <v>38</v>
      </c>
      <c r="Q3955" s="20">
        <v>40492.0</v>
      </c>
      <c r="R3955" s="17">
        <f t="shared" si="2"/>
        <v>5.397029197</v>
      </c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>
        <f t="shared" si="8"/>
        <v>1</v>
      </c>
      <c r="AF3955" s="19">
        <f t="shared" si="13"/>
        <v>4</v>
      </c>
      <c r="AG3955" s="9"/>
      <c r="AH3955" s="9"/>
      <c r="AI3955" s="9"/>
    </row>
    <row r="3956" ht="15.0" customHeight="1">
      <c r="A3956" s="11">
        <v>3955.0</v>
      </c>
      <c r="B3956" s="12">
        <f t="shared" ref="B3956:B3964" si="627">DATE(2012,12,31)-783</f>
        <v>40491</v>
      </c>
      <c r="C3956" s="13">
        <v>2010.0</v>
      </c>
      <c r="D3956" s="11" t="s">
        <v>32</v>
      </c>
      <c r="E3956" s="11">
        <v>5.0</v>
      </c>
      <c r="F3956" s="21" t="s">
        <v>1182</v>
      </c>
      <c r="G3956" s="15">
        <v>0.13469816272965873</v>
      </c>
      <c r="H3956" s="11" t="s">
        <v>24</v>
      </c>
      <c r="I3956" s="16">
        <v>5.968</v>
      </c>
      <c r="J3956" s="11" t="s">
        <v>1476</v>
      </c>
      <c r="K3956" s="11" t="s">
        <v>65</v>
      </c>
      <c r="L3956" s="11" t="s">
        <v>36</v>
      </c>
      <c r="M3956" s="11" t="s">
        <v>28</v>
      </c>
      <c r="N3956" s="11" t="s">
        <v>42</v>
      </c>
      <c r="O3956" s="11" t="s">
        <v>1378</v>
      </c>
      <c r="P3956" s="11" t="s">
        <v>38</v>
      </c>
      <c r="Q3956" s="20">
        <v>40492.0</v>
      </c>
      <c r="R3956" s="17">
        <f t="shared" si="2"/>
        <v>4.440729029</v>
      </c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>
        <f t="shared" si="8"/>
        <v>2</v>
      </c>
      <c r="AF3956" s="19">
        <f t="shared" si="13"/>
        <v>5</v>
      </c>
      <c r="AG3956" s="9"/>
      <c r="AH3956" s="9"/>
      <c r="AI3956" s="9"/>
    </row>
    <row r="3957" ht="15.0" customHeight="1">
      <c r="A3957" s="11">
        <v>3956.0</v>
      </c>
      <c r="B3957" s="12">
        <f t="shared" si="627"/>
        <v>40491</v>
      </c>
      <c r="C3957" s="13">
        <v>2010.0</v>
      </c>
      <c r="D3957" s="11" t="s">
        <v>102</v>
      </c>
      <c r="E3957" s="11">
        <v>24.0</v>
      </c>
      <c r="F3957" s="21" t="s">
        <v>1038</v>
      </c>
      <c r="G3957" s="15">
        <v>0.08597180861623989</v>
      </c>
      <c r="H3957" s="11" t="s">
        <v>33</v>
      </c>
      <c r="I3957" s="16">
        <v>11.192</v>
      </c>
      <c r="J3957" s="11" t="s">
        <v>1811</v>
      </c>
      <c r="K3957" s="11" t="s">
        <v>65</v>
      </c>
      <c r="L3957" s="11" t="s">
        <v>48</v>
      </c>
      <c r="M3957" s="11" t="s">
        <v>49</v>
      </c>
      <c r="N3957" s="11" t="s">
        <v>73</v>
      </c>
      <c r="O3957" s="11" t="s">
        <v>2477</v>
      </c>
      <c r="P3957" s="11" t="s">
        <v>58</v>
      </c>
      <c r="Q3957" s="20">
        <v>40492.0</v>
      </c>
      <c r="R3957" s="17">
        <f t="shared" si="2"/>
        <v>79.1621536</v>
      </c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>
        <f t="shared" si="8"/>
        <v>4</v>
      </c>
      <c r="AF3957" s="19">
        <f t="shared" si="13"/>
        <v>5</v>
      </c>
      <c r="AG3957" s="9"/>
      <c r="AH3957" s="9"/>
      <c r="AI3957" s="9"/>
    </row>
    <row r="3958" ht="15.0" customHeight="1">
      <c r="A3958" s="11">
        <v>3957.0</v>
      </c>
      <c r="B3958" s="12">
        <f t="shared" si="627"/>
        <v>40491</v>
      </c>
      <c r="C3958" s="13">
        <v>2010.0</v>
      </c>
      <c r="D3958" s="11" t="s">
        <v>39</v>
      </c>
      <c r="E3958" s="11">
        <v>9.0</v>
      </c>
      <c r="F3958" s="21" t="s">
        <v>126</v>
      </c>
      <c r="G3958" s="15">
        <v>0.09172541743970307</v>
      </c>
      <c r="H3958" s="11" t="s">
        <v>33</v>
      </c>
      <c r="I3958" s="16">
        <v>4.856000000000001</v>
      </c>
      <c r="J3958" s="11" t="s">
        <v>392</v>
      </c>
      <c r="K3958" s="11" t="s">
        <v>65</v>
      </c>
      <c r="L3958" s="11" t="s">
        <v>41</v>
      </c>
      <c r="M3958" s="11" t="s">
        <v>28</v>
      </c>
      <c r="N3958" s="11" t="s">
        <v>56</v>
      </c>
      <c r="O3958" s="11" t="s">
        <v>1316</v>
      </c>
      <c r="P3958" s="11" t="s">
        <v>38</v>
      </c>
      <c r="Q3958" s="20">
        <v>40493.0</v>
      </c>
      <c r="R3958" s="17">
        <f t="shared" si="2"/>
        <v>4.490509536</v>
      </c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>
        <f t="shared" si="8"/>
        <v>3</v>
      </c>
      <c r="AF3958" s="19">
        <f t="shared" si="13"/>
        <v>5</v>
      </c>
      <c r="AG3958" s="9"/>
      <c r="AH3958" s="9"/>
      <c r="AI3958" s="9"/>
    </row>
    <row r="3959" ht="15.0" customHeight="1">
      <c r="A3959" s="11">
        <v>3958.0</v>
      </c>
      <c r="B3959" s="12">
        <f t="shared" si="627"/>
        <v>40491</v>
      </c>
      <c r="C3959" s="13">
        <v>2010.0</v>
      </c>
      <c r="D3959" s="11" t="s">
        <v>39</v>
      </c>
      <c r="E3959" s="11">
        <v>25.0</v>
      </c>
      <c r="F3959" s="21" t="s">
        <v>869</v>
      </c>
      <c r="G3959" s="15">
        <v>0.048685367111925996</v>
      </c>
      <c r="H3959" s="11" t="s">
        <v>24</v>
      </c>
      <c r="I3959" s="16">
        <v>0.792</v>
      </c>
      <c r="J3959" s="11" t="s">
        <v>392</v>
      </c>
      <c r="K3959" s="11" t="s">
        <v>65</v>
      </c>
      <c r="L3959" s="11" t="s">
        <v>41</v>
      </c>
      <c r="M3959" s="11" t="s">
        <v>66</v>
      </c>
      <c r="N3959" s="11" t="s">
        <v>80</v>
      </c>
      <c r="O3959" s="11" t="s">
        <v>870</v>
      </c>
      <c r="P3959" s="11" t="s">
        <v>58</v>
      </c>
      <c r="Q3959" s="20">
        <v>40493.0</v>
      </c>
      <c r="R3959" s="17">
        <f t="shared" si="2"/>
        <v>104.5903847</v>
      </c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>
        <f t="shared" si="8"/>
        <v>3</v>
      </c>
      <c r="AF3959" s="19">
        <f t="shared" si="13"/>
        <v>5</v>
      </c>
      <c r="AG3959" s="9"/>
      <c r="AH3959" s="9"/>
      <c r="AI3959" s="9"/>
    </row>
    <row r="3960" ht="15.0" customHeight="1">
      <c r="A3960" s="11">
        <v>3959.0</v>
      </c>
      <c r="B3960" s="12">
        <f t="shared" si="627"/>
        <v>40491</v>
      </c>
      <c r="C3960" s="13">
        <v>2010.0</v>
      </c>
      <c r="D3960" s="11" t="s">
        <v>32</v>
      </c>
      <c r="E3960" s="11">
        <v>33.0</v>
      </c>
      <c r="F3960" s="21" t="s">
        <v>1015</v>
      </c>
      <c r="G3960" s="15">
        <v>0.027995951417004103</v>
      </c>
      <c r="H3960" s="11" t="s">
        <v>33</v>
      </c>
      <c r="I3960" s="16">
        <v>3.968</v>
      </c>
      <c r="J3960" s="11" t="s">
        <v>1901</v>
      </c>
      <c r="K3960" s="11" t="s">
        <v>35</v>
      </c>
      <c r="L3960" s="11" t="s">
        <v>48</v>
      </c>
      <c r="M3960" s="11" t="s">
        <v>28</v>
      </c>
      <c r="N3960" s="11" t="s">
        <v>56</v>
      </c>
      <c r="O3960" s="11" t="s">
        <v>2173</v>
      </c>
      <c r="P3960" s="11" t="s">
        <v>38</v>
      </c>
      <c r="Q3960" s="20">
        <v>40493.0</v>
      </c>
      <c r="R3960" s="17">
        <f t="shared" si="2"/>
        <v>5.377126397</v>
      </c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>
        <f t="shared" si="8"/>
        <v>4</v>
      </c>
      <c r="AF3960" s="19">
        <f t="shared" si="13"/>
        <v>2</v>
      </c>
      <c r="AG3960" s="9"/>
      <c r="AH3960" s="9"/>
      <c r="AI3960" s="9"/>
    </row>
    <row r="3961" ht="15.0" customHeight="1">
      <c r="A3961" s="11">
        <v>3960.0</v>
      </c>
      <c r="B3961" s="12">
        <f t="shared" si="627"/>
        <v>40491</v>
      </c>
      <c r="C3961" s="13">
        <v>2010.0</v>
      </c>
      <c r="D3961" s="11" t="s">
        <v>39</v>
      </c>
      <c r="E3961" s="11">
        <v>20.0</v>
      </c>
      <c r="F3961" s="21" t="s">
        <v>147</v>
      </c>
      <c r="G3961" s="15">
        <v>0.05591511936339533</v>
      </c>
      <c r="H3961" s="11" t="s">
        <v>33</v>
      </c>
      <c r="I3961" s="16">
        <v>1.592</v>
      </c>
      <c r="J3961" s="11" t="s">
        <v>1681</v>
      </c>
      <c r="K3961" s="11" t="s">
        <v>61</v>
      </c>
      <c r="L3961" s="11" t="s">
        <v>41</v>
      </c>
      <c r="M3961" s="11" t="s">
        <v>66</v>
      </c>
      <c r="N3961" s="11" t="s">
        <v>67</v>
      </c>
      <c r="O3961" s="11" t="s">
        <v>149</v>
      </c>
      <c r="P3961" s="11" t="s">
        <v>99</v>
      </c>
      <c r="Q3961" s="20">
        <v>40493.0</v>
      </c>
      <c r="R3961" s="17">
        <f t="shared" si="2"/>
        <v>1.990130928</v>
      </c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>
        <f t="shared" si="8"/>
        <v>3</v>
      </c>
      <c r="AF3961" s="19">
        <f t="shared" si="13"/>
        <v>4</v>
      </c>
      <c r="AG3961" s="9"/>
      <c r="AH3961" s="9"/>
      <c r="AI3961" s="9"/>
    </row>
    <row r="3962" ht="15.0" customHeight="1">
      <c r="A3962" s="11">
        <v>3961.0</v>
      </c>
      <c r="B3962" s="12">
        <f t="shared" si="627"/>
        <v>40491</v>
      </c>
      <c r="C3962" s="13">
        <v>2010.0</v>
      </c>
      <c r="D3962" s="11" t="s">
        <v>102</v>
      </c>
      <c r="E3962" s="11">
        <v>43.0</v>
      </c>
      <c r="F3962" s="21" t="s">
        <v>490</v>
      </c>
      <c r="G3962" s="15">
        <v>0.08496502159868505</v>
      </c>
      <c r="H3962" s="11" t="s">
        <v>24</v>
      </c>
      <c r="I3962" s="16">
        <v>11.440000000000001</v>
      </c>
      <c r="J3962" s="11" t="s">
        <v>1543</v>
      </c>
      <c r="K3962" s="11" t="s">
        <v>61</v>
      </c>
      <c r="L3962" s="11" t="s">
        <v>48</v>
      </c>
      <c r="M3962" s="11" t="s">
        <v>28</v>
      </c>
      <c r="N3962" s="11" t="s">
        <v>56</v>
      </c>
      <c r="O3962" s="11" t="s">
        <v>492</v>
      </c>
      <c r="P3962" s="11" t="s">
        <v>38</v>
      </c>
      <c r="Q3962" s="20">
        <v>40493.0</v>
      </c>
      <c r="R3962" s="17">
        <f t="shared" si="2"/>
        <v>203.3756743</v>
      </c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>
        <f t="shared" si="8"/>
        <v>4</v>
      </c>
      <c r="AF3962" s="19">
        <f t="shared" si="13"/>
        <v>4</v>
      </c>
      <c r="AG3962" s="9"/>
      <c r="AH3962" s="9"/>
      <c r="AI3962" s="9"/>
    </row>
    <row r="3963" ht="15.0" customHeight="1">
      <c r="A3963" s="11">
        <v>3962.0</v>
      </c>
      <c r="B3963" s="12">
        <f t="shared" si="627"/>
        <v>40491</v>
      </c>
      <c r="C3963" s="13">
        <v>2010.0</v>
      </c>
      <c r="D3963" s="11" t="s">
        <v>44</v>
      </c>
      <c r="E3963" s="11">
        <v>29.0</v>
      </c>
      <c r="F3963" s="21" t="s">
        <v>536</v>
      </c>
      <c r="G3963" s="15">
        <v>0.02790559095658391</v>
      </c>
      <c r="H3963" s="11" t="s">
        <v>45</v>
      </c>
      <c r="I3963" s="16">
        <v>56.160000000000004</v>
      </c>
      <c r="J3963" s="11" t="s">
        <v>659</v>
      </c>
      <c r="K3963" s="11" t="s">
        <v>26</v>
      </c>
      <c r="L3963" s="11" t="s">
        <v>48</v>
      </c>
      <c r="M3963" s="11" t="s">
        <v>49</v>
      </c>
      <c r="N3963" s="11" t="s">
        <v>50</v>
      </c>
      <c r="O3963" s="11" t="s">
        <v>537</v>
      </c>
      <c r="P3963" s="11" t="s">
        <v>52</v>
      </c>
      <c r="Q3963" s="20">
        <v>40494.0</v>
      </c>
      <c r="R3963" s="17">
        <f t="shared" si="2"/>
        <v>101.0254947</v>
      </c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>
        <f t="shared" si="8"/>
        <v>4</v>
      </c>
      <c r="AF3963" s="19">
        <f t="shared" si="13"/>
        <v>1</v>
      </c>
      <c r="AG3963" s="9"/>
      <c r="AH3963" s="9"/>
      <c r="AI3963" s="9"/>
    </row>
    <row r="3964" ht="15.0" customHeight="1">
      <c r="A3964" s="11">
        <v>3963.0</v>
      </c>
      <c r="B3964" s="12">
        <f t="shared" si="627"/>
        <v>40491</v>
      </c>
      <c r="C3964" s="13">
        <v>2010.0</v>
      </c>
      <c r="D3964" s="11" t="s">
        <v>39</v>
      </c>
      <c r="E3964" s="11">
        <v>26.0</v>
      </c>
      <c r="F3964" s="21" t="s">
        <v>619</v>
      </c>
      <c r="G3964" s="15">
        <v>0.026693059804450844</v>
      </c>
      <c r="H3964" s="11" t="s">
        <v>24</v>
      </c>
      <c r="I3964" s="16">
        <v>39.2</v>
      </c>
      <c r="J3964" s="11" t="s">
        <v>1240</v>
      </c>
      <c r="K3964" s="11" t="s">
        <v>35</v>
      </c>
      <c r="L3964" s="11" t="s">
        <v>41</v>
      </c>
      <c r="M3964" s="11" t="s">
        <v>28</v>
      </c>
      <c r="N3964" s="11" t="s">
        <v>197</v>
      </c>
      <c r="O3964" s="11" t="s">
        <v>620</v>
      </c>
      <c r="P3964" s="11" t="s">
        <v>31</v>
      </c>
      <c r="Q3964" s="20">
        <v>40494.0</v>
      </c>
      <c r="R3964" s="17">
        <f t="shared" si="2"/>
        <v>43.31215884</v>
      </c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>
        <f t="shared" si="8"/>
        <v>3</v>
      </c>
      <c r="AF3964" s="19">
        <f t="shared" si="13"/>
        <v>2</v>
      </c>
      <c r="AG3964" s="9"/>
      <c r="AH3964" s="9"/>
      <c r="AI3964" s="9"/>
    </row>
    <row r="3965" ht="15.0" customHeight="1">
      <c r="A3965" s="11">
        <v>3964.0</v>
      </c>
      <c r="B3965" s="12">
        <f t="shared" ref="B3965:B3966" si="628">DATE(2012,12,31)-782</f>
        <v>40492</v>
      </c>
      <c r="C3965" s="13">
        <v>2010.0</v>
      </c>
      <c r="D3965" s="11" t="s">
        <v>39</v>
      </c>
      <c r="E3965" s="11">
        <v>25.0</v>
      </c>
      <c r="F3965" s="21" t="s">
        <v>428</v>
      </c>
      <c r="G3965" s="15">
        <v>0.006191696565863652</v>
      </c>
      <c r="H3965" s="11" t="s">
        <v>33</v>
      </c>
      <c r="I3965" s="16">
        <v>7.784000000000001</v>
      </c>
      <c r="J3965" s="11" t="s">
        <v>1546</v>
      </c>
      <c r="K3965" s="11" t="s">
        <v>117</v>
      </c>
      <c r="L3965" s="11" t="s">
        <v>41</v>
      </c>
      <c r="M3965" s="11" t="s">
        <v>28</v>
      </c>
      <c r="N3965" s="11" t="s">
        <v>42</v>
      </c>
      <c r="O3965" s="11" t="s">
        <v>430</v>
      </c>
      <c r="P3965" s="11" t="s">
        <v>38</v>
      </c>
      <c r="Q3965" s="20">
        <v>40494.0</v>
      </c>
      <c r="R3965" s="17">
        <f t="shared" si="2"/>
        <v>2.401040861</v>
      </c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>
        <f t="shared" si="8"/>
        <v>3</v>
      </c>
      <c r="AF3965" s="19" t="b">
        <f t="shared" si="13"/>
        <v>0</v>
      </c>
      <c r="AG3965" s="9"/>
      <c r="AH3965" s="9"/>
      <c r="AI3965" s="9"/>
    </row>
    <row r="3966" ht="15.0" customHeight="1">
      <c r="A3966" s="11">
        <v>3965.0</v>
      </c>
      <c r="B3966" s="12">
        <f t="shared" si="628"/>
        <v>40492</v>
      </c>
      <c r="C3966" s="13">
        <v>2010.0</v>
      </c>
      <c r="D3966" s="11" t="s">
        <v>39</v>
      </c>
      <c r="E3966" s="11">
        <v>19.0</v>
      </c>
      <c r="F3966" s="21" t="s">
        <v>490</v>
      </c>
      <c r="G3966" s="15">
        <v>0.07651915859300001</v>
      </c>
      <c r="H3966" s="11" t="s">
        <v>24</v>
      </c>
      <c r="I3966" s="16">
        <v>5.432</v>
      </c>
      <c r="J3966" s="11" t="s">
        <v>1235</v>
      </c>
      <c r="K3966" s="11" t="s">
        <v>35</v>
      </c>
      <c r="L3966" s="11" t="s">
        <v>41</v>
      </c>
      <c r="M3966" s="11" t="s">
        <v>28</v>
      </c>
      <c r="N3966" s="11" t="s">
        <v>56</v>
      </c>
      <c r="O3966" s="11" t="s">
        <v>761</v>
      </c>
      <c r="P3966" s="11" t="s">
        <v>38</v>
      </c>
      <c r="Q3966" s="20">
        <v>40494.0</v>
      </c>
      <c r="R3966" s="17">
        <f t="shared" si="2"/>
        <v>80.9597184</v>
      </c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>
        <f t="shared" si="8"/>
        <v>3</v>
      </c>
      <c r="AF3966" s="19">
        <f t="shared" si="13"/>
        <v>2</v>
      </c>
      <c r="AG3966" s="9"/>
      <c r="AH3966" s="9"/>
      <c r="AI3966" s="9"/>
    </row>
    <row r="3967" ht="15.0" customHeight="1">
      <c r="A3967" s="11">
        <v>3966.0</v>
      </c>
      <c r="B3967" s="12">
        <f t="shared" ref="B3967:B3968" si="629">DATE(2012,12,31)-781</f>
        <v>40493</v>
      </c>
      <c r="C3967" s="13">
        <v>2010.0</v>
      </c>
      <c r="D3967" s="11" t="s">
        <v>32</v>
      </c>
      <c r="E3967" s="11">
        <v>42.0</v>
      </c>
      <c r="F3967" s="21" t="s">
        <v>466</v>
      </c>
      <c r="G3967" s="15">
        <v>0.05175658720200753</v>
      </c>
      <c r="H3967" s="11" t="s">
        <v>33</v>
      </c>
      <c r="I3967" s="16">
        <v>4.0</v>
      </c>
      <c r="J3967" s="11" t="s">
        <v>491</v>
      </c>
      <c r="K3967" s="11" t="s">
        <v>47</v>
      </c>
      <c r="L3967" s="11" t="s">
        <v>48</v>
      </c>
      <c r="M3967" s="11" t="s">
        <v>49</v>
      </c>
      <c r="N3967" s="11" t="s">
        <v>73</v>
      </c>
      <c r="O3967" s="11" t="s">
        <v>467</v>
      </c>
      <c r="P3967" s="11" t="s">
        <v>99</v>
      </c>
      <c r="Q3967" s="20">
        <v>40495.0</v>
      </c>
      <c r="R3967" s="17">
        <f t="shared" si="2"/>
        <v>31.29203262</v>
      </c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>
        <f t="shared" si="8"/>
        <v>4</v>
      </c>
      <c r="AF3967" s="19">
        <f t="shared" si="13"/>
        <v>3</v>
      </c>
      <c r="AG3967" s="9"/>
      <c r="AH3967" s="9"/>
      <c r="AI3967" s="9"/>
    </row>
    <row r="3968" ht="15.0" customHeight="1">
      <c r="A3968" s="11">
        <v>3967.0</v>
      </c>
      <c r="B3968" s="12">
        <f t="shared" si="629"/>
        <v>40493</v>
      </c>
      <c r="C3968" s="13">
        <v>2010.0</v>
      </c>
      <c r="D3968" s="11" t="s">
        <v>32</v>
      </c>
      <c r="E3968" s="11">
        <v>44.0</v>
      </c>
      <c r="F3968" s="21" t="s">
        <v>130</v>
      </c>
      <c r="G3968" s="15">
        <v>0.027144991981338414</v>
      </c>
      <c r="H3968" s="11" t="s">
        <v>33</v>
      </c>
      <c r="I3968" s="16">
        <v>6.992000000000001</v>
      </c>
      <c r="J3968" s="11" t="s">
        <v>491</v>
      </c>
      <c r="K3968" s="11" t="s">
        <v>47</v>
      </c>
      <c r="L3968" s="11" t="s">
        <v>48</v>
      </c>
      <c r="M3968" s="11" t="s">
        <v>28</v>
      </c>
      <c r="N3968" s="11" t="s">
        <v>56</v>
      </c>
      <c r="O3968" s="11" t="s">
        <v>776</v>
      </c>
      <c r="P3968" s="11" t="s">
        <v>38</v>
      </c>
      <c r="Q3968" s="20">
        <v>40495.0</v>
      </c>
      <c r="R3968" s="17">
        <f t="shared" si="2"/>
        <v>37.09612888</v>
      </c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>
        <f t="shared" si="8"/>
        <v>4</v>
      </c>
      <c r="AF3968" s="19">
        <f t="shared" si="13"/>
        <v>3</v>
      </c>
      <c r="AG3968" s="9"/>
      <c r="AH3968" s="9"/>
      <c r="AI3968" s="9"/>
    </row>
    <row r="3969" ht="15.0" customHeight="1">
      <c r="A3969" s="11">
        <v>3968.0</v>
      </c>
      <c r="B3969" s="12">
        <f t="shared" ref="B3969:B3973" si="630">DATE(2012,12,31)-780</f>
        <v>40494</v>
      </c>
      <c r="C3969" s="13">
        <v>2010.0</v>
      </c>
      <c r="D3969" s="11" t="s">
        <v>32</v>
      </c>
      <c r="E3969" s="11">
        <v>3.0</v>
      </c>
      <c r="F3969" s="21" t="s">
        <v>1904</v>
      </c>
      <c r="G3969" s="15">
        <v>0.06693687988178165</v>
      </c>
      <c r="H3969" s="11" t="s">
        <v>33</v>
      </c>
      <c r="I3969" s="16">
        <v>19.592</v>
      </c>
      <c r="J3969" s="11" t="s">
        <v>1110</v>
      </c>
      <c r="K3969" s="11" t="s">
        <v>61</v>
      </c>
      <c r="L3969" s="11" t="s">
        <v>48</v>
      </c>
      <c r="M3969" s="11" t="s">
        <v>49</v>
      </c>
      <c r="N3969" s="11" t="s">
        <v>50</v>
      </c>
      <c r="O3969" s="11" t="s">
        <v>2054</v>
      </c>
      <c r="P3969" s="11" t="s">
        <v>31</v>
      </c>
      <c r="Q3969" s="20">
        <v>40495.0</v>
      </c>
      <c r="R3969" s="17">
        <f t="shared" si="2"/>
        <v>29.58556541</v>
      </c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>
        <f t="shared" si="8"/>
        <v>4</v>
      </c>
      <c r="AF3969" s="19">
        <f t="shared" si="13"/>
        <v>4</v>
      </c>
      <c r="AG3969" s="9"/>
      <c r="AH3969" s="9"/>
      <c r="AI3969" s="9"/>
    </row>
    <row r="3970" ht="15.0" customHeight="1">
      <c r="A3970" s="11">
        <v>3969.0</v>
      </c>
      <c r="B3970" s="12">
        <f t="shared" si="630"/>
        <v>40494</v>
      </c>
      <c r="C3970" s="13">
        <v>2010.0</v>
      </c>
      <c r="D3970" s="11" t="s">
        <v>32</v>
      </c>
      <c r="E3970" s="11">
        <v>14.0</v>
      </c>
      <c r="F3970" s="21" t="s">
        <v>569</v>
      </c>
      <c r="G3970" s="15">
        <v>0.07478014757909635</v>
      </c>
      <c r="H3970" s="11" t="s">
        <v>33</v>
      </c>
      <c r="I3970" s="16">
        <v>3.3600000000000003</v>
      </c>
      <c r="J3970" s="11" t="s">
        <v>1110</v>
      </c>
      <c r="K3970" s="11" t="s">
        <v>61</v>
      </c>
      <c r="L3970" s="11" t="s">
        <v>48</v>
      </c>
      <c r="M3970" s="11" t="s">
        <v>66</v>
      </c>
      <c r="N3970" s="11" t="s">
        <v>80</v>
      </c>
      <c r="O3970" s="11" t="s">
        <v>1834</v>
      </c>
      <c r="P3970" s="11" t="s">
        <v>38</v>
      </c>
      <c r="Q3970" s="20">
        <v>40495.0</v>
      </c>
      <c r="R3970" s="17">
        <f t="shared" si="2"/>
        <v>205.343294</v>
      </c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>
        <f t="shared" si="8"/>
        <v>4</v>
      </c>
      <c r="AF3970" s="19">
        <f t="shared" si="13"/>
        <v>4</v>
      </c>
      <c r="AG3970" s="9"/>
      <c r="AH3970" s="9"/>
      <c r="AI3970" s="9"/>
    </row>
    <row r="3971" ht="15.0" customHeight="1">
      <c r="A3971" s="11">
        <v>3970.0</v>
      </c>
      <c r="B3971" s="12">
        <f t="shared" si="630"/>
        <v>40494</v>
      </c>
      <c r="C3971" s="13">
        <v>2010.0</v>
      </c>
      <c r="D3971" s="11" t="s">
        <v>32</v>
      </c>
      <c r="E3971" s="11">
        <v>18.0</v>
      </c>
      <c r="F3971" s="21" t="s">
        <v>869</v>
      </c>
      <c r="G3971" s="15">
        <v>0.03516731251296824</v>
      </c>
      <c r="H3971" s="11" t="s">
        <v>33</v>
      </c>
      <c r="I3971" s="16">
        <v>2.232</v>
      </c>
      <c r="J3971" s="11" t="s">
        <v>1110</v>
      </c>
      <c r="K3971" s="11" t="s">
        <v>61</v>
      </c>
      <c r="L3971" s="11" t="s">
        <v>48</v>
      </c>
      <c r="M3971" s="11" t="s">
        <v>66</v>
      </c>
      <c r="N3971" s="11" t="s">
        <v>80</v>
      </c>
      <c r="O3971" s="11" t="s">
        <v>2403</v>
      </c>
      <c r="P3971" s="11" t="s">
        <v>38</v>
      </c>
      <c r="Q3971" s="20">
        <v>40495.0</v>
      </c>
      <c r="R3971" s="17">
        <f t="shared" si="2"/>
        <v>54.45419205</v>
      </c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>
        <f t="shared" si="8"/>
        <v>4</v>
      </c>
      <c r="AF3971" s="19">
        <f t="shared" si="13"/>
        <v>4</v>
      </c>
      <c r="AG3971" s="9"/>
      <c r="AH3971" s="9"/>
      <c r="AI3971" s="9"/>
    </row>
    <row r="3972" ht="15.0" customHeight="1">
      <c r="A3972" s="11">
        <v>3971.0</v>
      </c>
      <c r="B3972" s="12">
        <f t="shared" si="630"/>
        <v>40494</v>
      </c>
      <c r="C3972" s="13">
        <v>2010.0</v>
      </c>
      <c r="D3972" s="11" t="s">
        <v>23</v>
      </c>
      <c r="E3972" s="11">
        <v>15.0</v>
      </c>
      <c r="F3972" s="21" t="s">
        <v>259</v>
      </c>
      <c r="G3972" s="15">
        <v>0.04718286655683682</v>
      </c>
      <c r="H3972" s="11" t="s">
        <v>33</v>
      </c>
      <c r="I3972" s="16">
        <v>4.008</v>
      </c>
      <c r="J3972" s="11" t="s">
        <v>1130</v>
      </c>
      <c r="K3972" s="11" t="s">
        <v>61</v>
      </c>
      <c r="L3972" s="11" t="s">
        <v>36</v>
      </c>
      <c r="M3972" s="11" t="s">
        <v>28</v>
      </c>
      <c r="N3972" s="11" t="s">
        <v>56</v>
      </c>
      <c r="O3972" s="11" t="s">
        <v>260</v>
      </c>
      <c r="P3972" s="11" t="s">
        <v>38</v>
      </c>
      <c r="Q3972" s="20">
        <v>40495.0</v>
      </c>
      <c r="R3972" s="17">
        <f t="shared" si="2"/>
        <v>8.186604811</v>
      </c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>
        <f t="shared" si="8"/>
        <v>2</v>
      </c>
      <c r="AF3972" s="19">
        <f t="shared" si="13"/>
        <v>4</v>
      </c>
      <c r="AG3972" s="9"/>
      <c r="AH3972" s="9"/>
      <c r="AI3972" s="9"/>
    </row>
    <row r="3973" ht="15.0" customHeight="1">
      <c r="A3973" s="11">
        <v>3972.0</v>
      </c>
      <c r="B3973" s="12">
        <f t="shared" si="630"/>
        <v>40494</v>
      </c>
      <c r="C3973" s="13">
        <v>2010.0</v>
      </c>
      <c r="D3973" s="11" t="s">
        <v>23</v>
      </c>
      <c r="E3973" s="11">
        <v>42.0</v>
      </c>
      <c r="F3973" s="21" t="s">
        <v>178</v>
      </c>
      <c r="G3973" s="15">
        <v>0.092724776041326</v>
      </c>
      <c r="H3973" s="11" t="s">
        <v>33</v>
      </c>
      <c r="I3973" s="16">
        <v>7.192</v>
      </c>
      <c r="J3973" s="11" t="s">
        <v>1130</v>
      </c>
      <c r="K3973" s="11" t="s">
        <v>61</v>
      </c>
      <c r="L3973" s="11" t="s">
        <v>36</v>
      </c>
      <c r="M3973" s="11" t="s">
        <v>66</v>
      </c>
      <c r="N3973" s="11" t="s">
        <v>80</v>
      </c>
      <c r="O3973" s="11" t="s">
        <v>1329</v>
      </c>
      <c r="P3973" s="11" t="s">
        <v>38</v>
      </c>
      <c r="Q3973" s="20">
        <v>40496.0</v>
      </c>
      <c r="R3973" s="17">
        <f t="shared" si="2"/>
        <v>257.3105117</v>
      </c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>
        <f t="shared" si="8"/>
        <v>2</v>
      </c>
      <c r="AF3973" s="19">
        <f t="shared" si="13"/>
        <v>4</v>
      </c>
      <c r="AG3973" s="9"/>
      <c r="AH3973" s="9"/>
      <c r="AI3973" s="9"/>
    </row>
    <row r="3974" ht="15.0" customHeight="1">
      <c r="A3974" s="11">
        <v>3973.0</v>
      </c>
      <c r="B3974" s="12">
        <f t="shared" ref="B3974:B3983" si="631">DATE(2012,12,31)-779</f>
        <v>40495</v>
      </c>
      <c r="C3974" s="13">
        <v>2010.0</v>
      </c>
      <c r="D3974" s="11" t="s">
        <v>23</v>
      </c>
      <c r="E3974" s="11">
        <v>44.0</v>
      </c>
      <c r="F3974" s="21" t="s">
        <v>1160</v>
      </c>
      <c r="G3974" s="15">
        <v>0.06817379390298534</v>
      </c>
      <c r="H3974" s="11" t="s">
        <v>33</v>
      </c>
      <c r="I3974" s="16">
        <v>38.56</v>
      </c>
      <c r="J3974" s="11" t="s">
        <v>561</v>
      </c>
      <c r="K3974" s="11" t="s">
        <v>65</v>
      </c>
      <c r="L3974" s="11" t="s">
        <v>36</v>
      </c>
      <c r="M3974" s="11" t="s">
        <v>49</v>
      </c>
      <c r="N3974" s="11" t="s">
        <v>73</v>
      </c>
      <c r="O3974" s="11" t="s">
        <v>1161</v>
      </c>
      <c r="P3974" s="11" t="s">
        <v>75</v>
      </c>
      <c r="Q3974" s="20">
        <v>40496.0</v>
      </c>
      <c r="R3974" s="17">
        <f t="shared" si="2"/>
        <v>241.1007126</v>
      </c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>
        <f t="shared" si="8"/>
        <v>2</v>
      </c>
      <c r="AF3974" s="19">
        <f t="shared" si="13"/>
        <v>5</v>
      </c>
      <c r="AG3974" s="9"/>
      <c r="AH3974" s="9"/>
      <c r="AI3974" s="9"/>
    </row>
    <row r="3975" ht="15.0" customHeight="1">
      <c r="A3975" s="11">
        <v>3974.0</v>
      </c>
      <c r="B3975" s="12">
        <f t="shared" si="631"/>
        <v>40495</v>
      </c>
      <c r="C3975" s="13">
        <v>2010.0</v>
      </c>
      <c r="D3975" s="11" t="s">
        <v>23</v>
      </c>
      <c r="E3975" s="11">
        <v>37.0</v>
      </c>
      <c r="F3975" s="21" t="s">
        <v>1416</v>
      </c>
      <c r="G3975" s="15">
        <v>0.025812869056133177</v>
      </c>
      <c r="H3975" s="11" t="s">
        <v>45</v>
      </c>
      <c r="I3975" s="16">
        <v>41.536</v>
      </c>
      <c r="J3975" s="11" t="s">
        <v>561</v>
      </c>
      <c r="K3975" s="11" t="s">
        <v>65</v>
      </c>
      <c r="L3975" s="11" t="s">
        <v>36</v>
      </c>
      <c r="M3975" s="11" t="s">
        <v>49</v>
      </c>
      <c r="N3975" s="11" t="s">
        <v>85</v>
      </c>
      <c r="O3975" s="11" t="s">
        <v>1418</v>
      </c>
      <c r="P3975" s="11" t="s">
        <v>87</v>
      </c>
      <c r="Q3975" s="20">
        <v>40496.0</v>
      </c>
      <c r="R3975" s="17">
        <f t="shared" si="2"/>
        <v>140.4177744</v>
      </c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>
        <f t="shared" si="8"/>
        <v>2</v>
      </c>
      <c r="AF3975" s="19">
        <f t="shared" si="13"/>
        <v>5</v>
      </c>
      <c r="AG3975" s="9"/>
      <c r="AH3975" s="9"/>
      <c r="AI3975" s="9"/>
    </row>
    <row r="3976" ht="15.0" customHeight="1">
      <c r="A3976" s="11">
        <v>3975.0</v>
      </c>
      <c r="B3976" s="12">
        <f t="shared" si="631"/>
        <v>40495</v>
      </c>
      <c r="C3976" s="13">
        <v>2010.0</v>
      </c>
      <c r="D3976" s="11" t="s">
        <v>39</v>
      </c>
      <c r="E3976" s="11">
        <v>39.0</v>
      </c>
      <c r="F3976" s="21" t="s">
        <v>1970</v>
      </c>
      <c r="G3976" s="15">
        <v>0.03055423969682623</v>
      </c>
      <c r="H3976" s="11" t="s">
        <v>33</v>
      </c>
      <c r="I3976" s="16">
        <v>28.0</v>
      </c>
      <c r="J3976" s="11" t="s">
        <v>2079</v>
      </c>
      <c r="K3976" s="11" t="s">
        <v>61</v>
      </c>
      <c r="L3976" s="11" t="s">
        <v>48</v>
      </c>
      <c r="M3976" s="11" t="s">
        <v>28</v>
      </c>
      <c r="N3976" s="11" t="s">
        <v>29</v>
      </c>
      <c r="O3976" s="11" t="s">
        <v>1971</v>
      </c>
      <c r="P3976" s="11" t="s">
        <v>31</v>
      </c>
      <c r="Q3976" s="20">
        <v>40496.0</v>
      </c>
      <c r="R3976" s="17">
        <f t="shared" si="2"/>
        <v>200.0936049</v>
      </c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>
        <f t="shared" si="8"/>
        <v>4</v>
      </c>
      <c r="AF3976" s="19">
        <f t="shared" si="13"/>
        <v>4</v>
      </c>
      <c r="AG3976" s="9"/>
      <c r="AH3976" s="9"/>
      <c r="AI3976" s="9"/>
    </row>
    <row r="3977" ht="15.0" customHeight="1">
      <c r="A3977" s="11">
        <v>3976.0</v>
      </c>
      <c r="B3977" s="12">
        <f t="shared" si="631"/>
        <v>40495</v>
      </c>
      <c r="C3977" s="13">
        <v>2010.0</v>
      </c>
      <c r="D3977" s="11" t="s">
        <v>23</v>
      </c>
      <c r="E3977" s="11">
        <v>6.0</v>
      </c>
      <c r="F3977" s="21" t="s">
        <v>128</v>
      </c>
      <c r="G3977" s="15">
        <v>0.06805626911314967</v>
      </c>
      <c r="H3977" s="11" t="s">
        <v>33</v>
      </c>
      <c r="I3977" s="16">
        <v>6.464</v>
      </c>
      <c r="J3977" s="11" t="s">
        <v>588</v>
      </c>
      <c r="K3977" s="11" t="s">
        <v>47</v>
      </c>
      <c r="L3977" s="11" t="s">
        <v>27</v>
      </c>
      <c r="M3977" s="11" t="s">
        <v>66</v>
      </c>
      <c r="N3977" s="11" t="s">
        <v>80</v>
      </c>
      <c r="O3977" s="11" t="s">
        <v>2243</v>
      </c>
      <c r="P3977" s="11" t="s">
        <v>38</v>
      </c>
      <c r="Q3977" s="20">
        <v>40496.0</v>
      </c>
      <c r="R3977" s="17">
        <f t="shared" si="2"/>
        <v>51.84962141</v>
      </c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>
        <f t="shared" si="8"/>
        <v>1</v>
      </c>
      <c r="AF3977" s="19">
        <f t="shared" si="13"/>
        <v>3</v>
      </c>
      <c r="AG3977" s="9"/>
      <c r="AH3977" s="9"/>
      <c r="AI3977" s="9"/>
    </row>
    <row r="3978" ht="15.0" customHeight="1">
      <c r="A3978" s="11">
        <v>3977.0</v>
      </c>
      <c r="B3978" s="12">
        <f t="shared" si="631"/>
        <v>40495</v>
      </c>
      <c r="C3978" s="13">
        <v>2010.0</v>
      </c>
      <c r="D3978" s="11" t="s">
        <v>23</v>
      </c>
      <c r="E3978" s="11">
        <v>50.0</v>
      </c>
      <c r="F3978" s="21" t="s">
        <v>369</v>
      </c>
      <c r="G3978" s="15">
        <v>0.013021190716448028</v>
      </c>
      <c r="H3978" s="11" t="s">
        <v>45</v>
      </c>
      <c r="I3978" s="16">
        <v>29.288</v>
      </c>
      <c r="J3978" s="11" t="s">
        <v>588</v>
      </c>
      <c r="K3978" s="11" t="s">
        <v>47</v>
      </c>
      <c r="L3978" s="11" t="s">
        <v>27</v>
      </c>
      <c r="M3978" s="11" t="s">
        <v>49</v>
      </c>
      <c r="N3978" s="11" t="s">
        <v>156</v>
      </c>
      <c r="O3978" s="11" t="s">
        <v>1885</v>
      </c>
      <c r="P3978" s="11" t="s">
        <v>87</v>
      </c>
      <c r="Q3978" s="20">
        <v>40497.0</v>
      </c>
      <c r="R3978" s="17">
        <f t="shared" si="2"/>
        <v>38.20792366</v>
      </c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>
        <f t="shared" si="8"/>
        <v>1</v>
      </c>
      <c r="AF3978" s="19">
        <f t="shared" si="13"/>
        <v>3</v>
      </c>
      <c r="AG3978" s="9"/>
      <c r="AH3978" s="9"/>
      <c r="AI3978" s="9"/>
    </row>
    <row r="3979" ht="15.0" customHeight="1">
      <c r="A3979" s="11">
        <v>3978.0</v>
      </c>
      <c r="B3979" s="12">
        <f t="shared" si="631"/>
        <v>40495</v>
      </c>
      <c r="C3979" s="13">
        <v>2010.0</v>
      </c>
      <c r="D3979" s="11" t="s">
        <v>23</v>
      </c>
      <c r="E3979" s="11">
        <v>31.0</v>
      </c>
      <c r="F3979" s="21" t="s">
        <v>108</v>
      </c>
      <c r="G3979" s="15">
        <v>0.08333783175888443</v>
      </c>
      <c r="H3979" s="11" t="s">
        <v>33</v>
      </c>
      <c r="I3979" s="16">
        <v>16.968</v>
      </c>
      <c r="J3979" s="11" t="s">
        <v>588</v>
      </c>
      <c r="K3979" s="11" t="s">
        <v>47</v>
      </c>
      <c r="L3979" s="11" t="s">
        <v>27</v>
      </c>
      <c r="M3979" s="11" t="s">
        <v>49</v>
      </c>
      <c r="N3979" s="11" t="s">
        <v>73</v>
      </c>
      <c r="O3979" s="11" t="s">
        <v>109</v>
      </c>
      <c r="P3979" s="11" t="s">
        <v>31</v>
      </c>
      <c r="Q3979" s="20">
        <v>40497.0</v>
      </c>
      <c r="R3979" s="17">
        <f t="shared" si="2"/>
        <v>543.4266665</v>
      </c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>
        <f t="shared" si="8"/>
        <v>1</v>
      </c>
      <c r="AF3979" s="19">
        <f t="shared" si="13"/>
        <v>3</v>
      </c>
      <c r="AG3979" s="9"/>
      <c r="AH3979" s="9"/>
      <c r="AI3979" s="9"/>
    </row>
    <row r="3980" ht="15.0" customHeight="1">
      <c r="A3980" s="11">
        <v>3979.0</v>
      </c>
      <c r="B3980" s="12">
        <f t="shared" si="631"/>
        <v>40495</v>
      </c>
      <c r="C3980" s="13">
        <v>2010.0</v>
      </c>
      <c r="D3980" s="11" t="s">
        <v>102</v>
      </c>
      <c r="E3980" s="11">
        <v>27.0</v>
      </c>
      <c r="F3980" s="21" t="s">
        <v>632</v>
      </c>
      <c r="G3980" s="15">
        <v>0.010302375809935135</v>
      </c>
      <c r="H3980" s="11" t="s">
        <v>33</v>
      </c>
      <c r="I3980" s="16">
        <v>2.3920000000000003</v>
      </c>
      <c r="J3980" s="11" t="s">
        <v>2478</v>
      </c>
      <c r="K3980" s="11" t="s">
        <v>65</v>
      </c>
      <c r="L3980" s="11" t="s">
        <v>41</v>
      </c>
      <c r="M3980" s="11" t="s">
        <v>28</v>
      </c>
      <c r="N3980" s="11" t="s">
        <v>42</v>
      </c>
      <c r="O3980" s="11" t="s">
        <v>1576</v>
      </c>
      <c r="P3980" s="11" t="s">
        <v>38</v>
      </c>
      <c r="Q3980" s="20">
        <v>40497.0</v>
      </c>
      <c r="R3980" s="17">
        <f t="shared" si="2"/>
        <v>1.888343067</v>
      </c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>
        <f t="shared" si="8"/>
        <v>3</v>
      </c>
      <c r="AF3980" s="19">
        <f t="shared" si="13"/>
        <v>5</v>
      </c>
      <c r="AG3980" s="9"/>
      <c r="AH3980" s="9"/>
      <c r="AI3980" s="9"/>
    </row>
    <row r="3981" ht="15.0" customHeight="1">
      <c r="A3981" s="11">
        <v>3980.0</v>
      </c>
      <c r="B3981" s="12">
        <f t="shared" si="631"/>
        <v>40495</v>
      </c>
      <c r="C3981" s="13">
        <v>2010.0</v>
      </c>
      <c r="D3981" s="11" t="s">
        <v>39</v>
      </c>
      <c r="E3981" s="11">
        <v>8.0</v>
      </c>
      <c r="F3981" s="21" t="s">
        <v>336</v>
      </c>
      <c r="G3981" s="15">
        <v>0.10622144112478027</v>
      </c>
      <c r="H3981" s="11" t="s">
        <v>33</v>
      </c>
      <c r="I3981" s="16">
        <v>4.456</v>
      </c>
      <c r="J3981" s="11" t="s">
        <v>1884</v>
      </c>
      <c r="K3981" s="11" t="s">
        <v>117</v>
      </c>
      <c r="L3981" s="11" t="s">
        <v>48</v>
      </c>
      <c r="M3981" s="11" t="s">
        <v>49</v>
      </c>
      <c r="N3981" s="11" t="s">
        <v>73</v>
      </c>
      <c r="O3981" s="11" t="s">
        <v>2479</v>
      </c>
      <c r="P3981" s="11" t="s">
        <v>38</v>
      </c>
      <c r="Q3981" s="20">
        <v>40497.0</v>
      </c>
      <c r="R3981" s="17">
        <f t="shared" si="2"/>
        <v>5.40199761</v>
      </c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>
        <f t="shared" si="8"/>
        <v>4</v>
      </c>
      <c r="AF3981" s="19" t="b">
        <f t="shared" si="13"/>
        <v>0</v>
      </c>
      <c r="AG3981" s="9"/>
      <c r="AH3981" s="9"/>
      <c r="AI3981" s="9"/>
    </row>
    <row r="3982" ht="15.0" customHeight="1">
      <c r="A3982" s="11">
        <v>3981.0</v>
      </c>
      <c r="B3982" s="12">
        <f t="shared" si="631"/>
        <v>40495</v>
      </c>
      <c r="C3982" s="13">
        <v>2010.0</v>
      </c>
      <c r="D3982" s="11" t="s">
        <v>102</v>
      </c>
      <c r="E3982" s="11">
        <v>8.0</v>
      </c>
      <c r="F3982" s="21" t="s">
        <v>394</v>
      </c>
      <c r="G3982" s="15">
        <v>0.0448843357567746</v>
      </c>
      <c r="H3982" s="11" t="s">
        <v>45</v>
      </c>
      <c r="I3982" s="16">
        <v>28.872000000000003</v>
      </c>
      <c r="J3982" s="11" t="s">
        <v>1450</v>
      </c>
      <c r="K3982" s="11" t="s">
        <v>65</v>
      </c>
      <c r="L3982" s="11" t="s">
        <v>48</v>
      </c>
      <c r="M3982" s="11" t="s">
        <v>49</v>
      </c>
      <c r="N3982" s="11" t="s">
        <v>156</v>
      </c>
      <c r="O3982" s="11" t="s">
        <v>1194</v>
      </c>
      <c r="P3982" s="11" t="s">
        <v>87</v>
      </c>
      <c r="Q3982" s="20">
        <v>40497.0</v>
      </c>
      <c r="R3982" s="17">
        <f t="shared" si="2"/>
        <v>51.88952381</v>
      </c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>
        <f t="shared" si="8"/>
        <v>4</v>
      </c>
      <c r="AF3982" s="19">
        <f t="shared" si="13"/>
        <v>5</v>
      </c>
      <c r="AG3982" s="9"/>
      <c r="AH3982" s="9"/>
      <c r="AI3982" s="9"/>
    </row>
    <row r="3983" ht="15.0" customHeight="1">
      <c r="A3983" s="11">
        <v>3982.0</v>
      </c>
      <c r="B3983" s="12">
        <f t="shared" si="631"/>
        <v>40495</v>
      </c>
      <c r="C3983" s="13">
        <v>2010.0</v>
      </c>
      <c r="D3983" s="11" t="s">
        <v>102</v>
      </c>
      <c r="E3983" s="11">
        <v>48.0</v>
      </c>
      <c r="F3983" s="21" t="s">
        <v>119</v>
      </c>
      <c r="G3983" s="15">
        <v>0.09827160493827153</v>
      </c>
      <c r="H3983" s="11" t="s">
        <v>33</v>
      </c>
      <c r="I3983" s="16">
        <v>1.2480000000000002</v>
      </c>
      <c r="J3983" s="11" t="s">
        <v>1450</v>
      </c>
      <c r="K3983" s="11" t="s">
        <v>65</v>
      </c>
      <c r="L3983" s="11" t="s">
        <v>48</v>
      </c>
      <c r="M3983" s="11" t="s">
        <v>28</v>
      </c>
      <c r="N3983" s="11" t="s">
        <v>216</v>
      </c>
      <c r="O3983" s="11" t="s">
        <v>2355</v>
      </c>
      <c r="P3983" s="11" t="s">
        <v>58</v>
      </c>
      <c r="Q3983" s="20">
        <v>40497.0</v>
      </c>
      <c r="R3983" s="17">
        <f t="shared" si="2"/>
        <v>8.61330963</v>
      </c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>
        <f t="shared" si="8"/>
        <v>4</v>
      </c>
      <c r="AF3983" s="19">
        <f t="shared" si="13"/>
        <v>5</v>
      </c>
      <c r="AG3983" s="9"/>
      <c r="AH3983" s="9"/>
      <c r="AI3983" s="9"/>
    </row>
    <row r="3984" ht="15.0" customHeight="1">
      <c r="A3984" s="11">
        <v>3983.0</v>
      </c>
      <c r="B3984" s="12">
        <f t="shared" ref="B3984:B3989" si="632">DATE(2012,12,31)-778</f>
        <v>40496</v>
      </c>
      <c r="C3984" s="13">
        <v>2010.0</v>
      </c>
      <c r="D3984" s="11" t="s">
        <v>39</v>
      </c>
      <c r="E3984" s="11">
        <v>12.0</v>
      </c>
      <c r="F3984" s="21" t="s">
        <v>768</v>
      </c>
      <c r="G3984" s="15">
        <v>0.012309820959127617</v>
      </c>
      <c r="H3984" s="11" t="s">
        <v>45</v>
      </c>
      <c r="I3984" s="16">
        <v>34.016000000000005</v>
      </c>
      <c r="J3984" s="11" t="s">
        <v>1684</v>
      </c>
      <c r="K3984" s="11" t="s">
        <v>47</v>
      </c>
      <c r="L3984" s="11" t="s">
        <v>48</v>
      </c>
      <c r="M3984" s="11" t="s">
        <v>28</v>
      </c>
      <c r="N3984" s="11" t="s">
        <v>197</v>
      </c>
      <c r="O3984" s="11" t="s">
        <v>770</v>
      </c>
      <c r="P3984" s="11" t="s">
        <v>52</v>
      </c>
      <c r="Q3984" s="20">
        <v>40497.0</v>
      </c>
      <c r="R3984" s="17">
        <f t="shared" si="2"/>
        <v>43.93640992</v>
      </c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>
        <f t="shared" si="8"/>
        <v>4</v>
      </c>
      <c r="AF3984" s="19">
        <f t="shared" si="13"/>
        <v>3</v>
      </c>
      <c r="AG3984" s="9"/>
      <c r="AH3984" s="9"/>
      <c r="AI3984" s="9"/>
    </row>
    <row r="3985" ht="15.0" customHeight="1">
      <c r="A3985" s="11">
        <v>3984.0</v>
      </c>
      <c r="B3985" s="12">
        <f t="shared" si="632"/>
        <v>40496</v>
      </c>
      <c r="C3985" s="13">
        <v>2010.0</v>
      </c>
      <c r="D3985" s="11" t="s">
        <v>39</v>
      </c>
      <c r="E3985" s="11">
        <v>9.0</v>
      </c>
      <c r="F3985" s="21" t="s">
        <v>619</v>
      </c>
      <c r="G3985" s="15">
        <v>0.09334428923582573</v>
      </c>
      <c r="H3985" s="11" t="s">
        <v>24</v>
      </c>
      <c r="I3985" s="16">
        <v>3.6</v>
      </c>
      <c r="J3985" s="11" t="s">
        <v>1684</v>
      </c>
      <c r="K3985" s="11" t="s">
        <v>47</v>
      </c>
      <c r="L3985" s="11" t="s">
        <v>48</v>
      </c>
      <c r="M3985" s="11" t="s">
        <v>28</v>
      </c>
      <c r="N3985" s="11" t="s">
        <v>197</v>
      </c>
      <c r="O3985" s="11" t="s">
        <v>1388</v>
      </c>
      <c r="P3985" s="11" t="s">
        <v>38</v>
      </c>
      <c r="Q3985" s="20">
        <v>40497.0</v>
      </c>
      <c r="R3985" s="17">
        <f t="shared" si="2"/>
        <v>51.49804437</v>
      </c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>
        <f t="shared" si="8"/>
        <v>4</v>
      </c>
      <c r="AF3985" s="19">
        <f t="shared" si="13"/>
        <v>3</v>
      </c>
      <c r="AG3985" s="9"/>
      <c r="AH3985" s="9"/>
      <c r="AI3985" s="9"/>
    </row>
    <row r="3986" ht="15.0" customHeight="1">
      <c r="A3986" s="11">
        <v>3985.0</v>
      </c>
      <c r="B3986" s="12">
        <f t="shared" si="632"/>
        <v>40496</v>
      </c>
      <c r="C3986" s="13">
        <v>2010.0</v>
      </c>
      <c r="D3986" s="11" t="s">
        <v>23</v>
      </c>
      <c r="E3986" s="11">
        <v>28.0</v>
      </c>
      <c r="F3986" s="21" t="s">
        <v>799</v>
      </c>
      <c r="G3986" s="15">
        <v>0.08471239959375873</v>
      </c>
      <c r="H3986" s="11" t="s">
        <v>45</v>
      </c>
      <c r="I3986" s="16">
        <v>65.584</v>
      </c>
      <c r="J3986" s="11" t="s">
        <v>1288</v>
      </c>
      <c r="K3986" s="11" t="s">
        <v>26</v>
      </c>
      <c r="L3986" s="11" t="s">
        <v>41</v>
      </c>
      <c r="M3986" s="11" t="s">
        <v>49</v>
      </c>
      <c r="N3986" s="11" t="s">
        <v>85</v>
      </c>
      <c r="O3986" s="11" t="s">
        <v>1323</v>
      </c>
      <c r="P3986" s="11" t="s">
        <v>87</v>
      </c>
      <c r="Q3986" s="20">
        <v>40497.0</v>
      </c>
      <c r="R3986" s="17">
        <f t="shared" si="2"/>
        <v>671.8357433</v>
      </c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>
        <f t="shared" si="8"/>
        <v>3</v>
      </c>
      <c r="AF3986" s="19">
        <f t="shared" si="13"/>
        <v>1</v>
      </c>
      <c r="AG3986" s="9"/>
      <c r="AH3986" s="9"/>
      <c r="AI3986" s="9"/>
    </row>
    <row r="3987" ht="15.0" customHeight="1">
      <c r="A3987" s="11">
        <v>3986.0</v>
      </c>
      <c r="B3987" s="12">
        <f t="shared" si="632"/>
        <v>40496</v>
      </c>
      <c r="C3987" s="13">
        <v>2010.0</v>
      </c>
      <c r="D3987" s="11" t="s">
        <v>44</v>
      </c>
      <c r="E3987" s="11">
        <v>28.0</v>
      </c>
      <c r="F3987" s="21" t="s">
        <v>122</v>
      </c>
      <c r="G3987" s="15">
        <v>0.06166560712015268</v>
      </c>
      <c r="H3987" s="11" t="s">
        <v>33</v>
      </c>
      <c r="I3987" s="16">
        <v>5.2</v>
      </c>
      <c r="J3987" s="11" t="s">
        <v>2360</v>
      </c>
      <c r="K3987" s="11" t="s">
        <v>35</v>
      </c>
      <c r="L3987" s="11" t="s">
        <v>41</v>
      </c>
      <c r="M3987" s="11" t="s">
        <v>66</v>
      </c>
      <c r="N3987" s="11" t="s">
        <v>67</v>
      </c>
      <c r="O3987" s="11" t="s">
        <v>2130</v>
      </c>
      <c r="P3987" s="11" t="s">
        <v>38</v>
      </c>
      <c r="Q3987" s="20">
        <v>40497.0</v>
      </c>
      <c r="R3987" s="17">
        <f t="shared" si="2"/>
        <v>36.40737444</v>
      </c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>
        <f t="shared" si="8"/>
        <v>3</v>
      </c>
      <c r="AF3987" s="19">
        <f t="shared" si="13"/>
        <v>2</v>
      </c>
      <c r="AG3987" s="9"/>
      <c r="AH3987" s="9"/>
      <c r="AI3987" s="9"/>
    </row>
    <row r="3988" ht="15.0" customHeight="1">
      <c r="A3988" s="11">
        <v>3987.0</v>
      </c>
      <c r="B3988" s="12">
        <f t="shared" si="632"/>
        <v>40496</v>
      </c>
      <c r="C3988" s="13">
        <v>2010.0</v>
      </c>
      <c r="D3988" s="11" t="s">
        <v>32</v>
      </c>
      <c r="E3988" s="11">
        <v>9.0</v>
      </c>
      <c r="F3988" s="21" t="s">
        <v>707</v>
      </c>
      <c r="G3988" s="15">
        <v>0.10335135135135143</v>
      </c>
      <c r="H3988" s="11" t="s">
        <v>33</v>
      </c>
      <c r="I3988" s="16">
        <v>4.128</v>
      </c>
      <c r="J3988" s="11" t="s">
        <v>1353</v>
      </c>
      <c r="K3988" s="11" t="s">
        <v>26</v>
      </c>
      <c r="L3988" s="11" t="s">
        <v>36</v>
      </c>
      <c r="M3988" s="11" t="s">
        <v>49</v>
      </c>
      <c r="N3988" s="11" t="s">
        <v>73</v>
      </c>
      <c r="O3988" s="11" t="s">
        <v>975</v>
      </c>
      <c r="P3988" s="11" t="s">
        <v>38</v>
      </c>
      <c r="Q3988" s="20">
        <v>40497.0</v>
      </c>
      <c r="R3988" s="17">
        <f t="shared" si="2"/>
        <v>10.2863533</v>
      </c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>
        <f t="shared" si="8"/>
        <v>2</v>
      </c>
      <c r="AF3988" s="19">
        <f t="shared" si="13"/>
        <v>1</v>
      </c>
      <c r="AG3988" s="9"/>
      <c r="AH3988" s="9"/>
      <c r="AI3988" s="9"/>
    </row>
    <row r="3989" ht="15.0" customHeight="1">
      <c r="A3989" s="11">
        <v>3988.0</v>
      </c>
      <c r="B3989" s="12">
        <f t="shared" si="632"/>
        <v>40496</v>
      </c>
      <c r="C3989" s="13">
        <v>2010.0</v>
      </c>
      <c r="D3989" s="11" t="s">
        <v>32</v>
      </c>
      <c r="E3989" s="11">
        <v>4.0</v>
      </c>
      <c r="F3989" s="21" t="s">
        <v>1254</v>
      </c>
      <c r="G3989" s="15">
        <v>0.06852713178294577</v>
      </c>
      <c r="H3989" s="11" t="s">
        <v>45</v>
      </c>
      <c r="I3989" s="16">
        <v>12.544</v>
      </c>
      <c r="J3989" s="11" t="s">
        <v>1353</v>
      </c>
      <c r="K3989" s="11" t="s">
        <v>26</v>
      </c>
      <c r="L3989" s="11" t="s">
        <v>36</v>
      </c>
      <c r="M3989" s="11" t="s">
        <v>49</v>
      </c>
      <c r="N3989" s="11" t="s">
        <v>73</v>
      </c>
      <c r="O3989" s="11" t="s">
        <v>1255</v>
      </c>
      <c r="P3989" s="11" t="s">
        <v>52</v>
      </c>
      <c r="Q3989" s="20">
        <v>40499.0</v>
      </c>
      <c r="R3989" s="17">
        <f t="shared" si="2"/>
        <v>7.41079814</v>
      </c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>
        <f t="shared" si="8"/>
        <v>2</v>
      </c>
      <c r="AF3989" s="19">
        <f t="shared" si="13"/>
        <v>1</v>
      </c>
      <c r="AG3989" s="9"/>
      <c r="AH3989" s="9"/>
      <c r="AI3989" s="9"/>
    </row>
    <row r="3990" ht="15.0" customHeight="1">
      <c r="A3990" s="11">
        <v>3989.0</v>
      </c>
      <c r="B3990" s="12">
        <f t="shared" ref="B3990:B3993" si="633">DATE(2012,12,31)-776</f>
        <v>40498</v>
      </c>
      <c r="C3990" s="13">
        <v>2010.0</v>
      </c>
      <c r="D3990" s="11" t="s">
        <v>102</v>
      </c>
      <c r="E3990" s="11">
        <v>6.0</v>
      </c>
      <c r="F3990" s="21" t="s">
        <v>1441</v>
      </c>
      <c r="G3990" s="15">
        <v>0.08789808917197446</v>
      </c>
      <c r="H3990" s="11" t="s">
        <v>24</v>
      </c>
      <c r="I3990" s="16">
        <v>4.4799999999999995</v>
      </c>
      <c r="J3990" s="11" t="s">
        <v>279</v>
      </c>
      <c r="K3990" s="11" t="s">
        <v>47</v>
      </c>
      <c r="L3990" s="11" t="s">
        <v>41</v>
      </c>
      <c r="M3990" s="11" t="s">
        <v>28</v>
      </c>
      <c r="N3990" s="11" t="s">
        <v>42</v>
      </c>
      <c r="O3990" s="11" t="s">
        <v>1443</v>
      </c>
      <c r="P3990" s="11" t="s">
        <v>38</v>
      </c>
      <c r="Q3990" s="20">
        <v>40499.0</v>
      </c>
      <c r="R3990" s="17">
        <f t="shared" si="2"/>
        <v>5.034802548</v>
      </c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>
        <f t="shared" si="8"/>
        <v>3</v>
      </c>
      <c r="AF3990" s="19">
        <f t="shared" si="13"/>
        <v>3</v>
      </c>
      <c r="AG3990" s="9"/>
      <c r="AH3990" s="9"/>
      <c r="AI3990" s="9"/>
    </row>
    <row r="3991" ht="15.0" customHeight="1">
      <c r="A3991" s="11">
        <v>3990.0</v>
      </c>
      <c r="B3991" s="12">
        <f t="shared" si="633"/>
        <v>40498</v>
      </c>
      <c r="C3991" s="13">
        <v>2010.0</v>
      </c>
      <c r="D3991" s="11" t="s">
        <v>102</v>
      </c>
      <c r="E3991" s="11">
        <v>10.0</v>
      </c>
      <c r="F3991" s="21" t="s">
        <v>1452</v>
      </c>
      <c r="G3991" s="15">
        <v>0.011162464985994554</v>
      </c>
      <c r="H3991" s="11" t="s">
        <v>33</v>
      </c>
      <c r="I3991" s="16">
        <v>19.592</v>
      </c>
      <c r="J3991" s="11" t="s">
        <v>279</v>
      </c>
      <c r="K3991" s="11" t="s">
        <v>47</v>
      </c>
      <c r="L3991" s="11" t="s">
        <v>41</v>
      </c>
      <c r="M3991" s="11" t="s">
        <v>66</v>
      </c>
      <c r="N3991" s="11" t="s">
        <v>170</v>
      </c>
      <c r="O3991" s="11" t="s">
        <v>1453</v>
      </c>
      <c r="P3991" s="11" t="s">
        <v>31</v>
      </c>
      <c r="Q3991" s="20">
        <v>40500.0</v>
      </c>
      <c r="R3991" s="17">
        <f t="shared" si="2"/>
        <v>50.43862499</v>
      </c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>
        <f t="shared" si="8"/>
        <v>3</v>
      </c>
      <c r="AF3991" s="19">
        <f t="shared" si="13"/>
        <v>3</v>
      </c>
      <c r="AG3991" s="9"/>
      <c r="AH3991" s="9"/>
      <c r="AI3991" s="9"/>
    </row>
    <row r="3992" ht="15.0" customHeight="1">
      <c r="A3992" s="11">
        <v>3991.0</v>
      </c>
      <c r="B3992" s="12">
        <f t="shared" si="633"/>
        <v>40498</v>
      </c>
      <c r="C3992" s="13">
        <v>2010.0</v>
      </c>
      <c r="D3992" s="11" t="s">
        <v>23</v>
      </c>
      <c r="E3992" s="11">
        <v>29.0</v>
      </c>
      <c r="F3992" s="21" t="s">
        <v>1367</v>
      </c>
      <c r="G3992" s="15">
        <v>0.011550675020993405</v>
      </c>
      <c r="H3992" s="11" t="s">
        <v>45</v>
      </c>
      <c r="I3992" s="16">
        <v>50.19200000000001</v>
      </c>
      <c r="J3992" s="11" t="s">
        <v>1884</v>
      </c>
      <c r="K3992" s="11" t="s">
        <v>117</v>
      </c>
      <c r="L3992" s="11" t="s">
        <v>48</v>
      </c>
      <c r="M3992" s="11" t="s">
        <v>49</v>
      </c>
      <c r="N3992" s="11" t="s">
        <v>85</v>
      </c>
      <c r="O3992" s="11" t="s">
        <v>1368</v>
      </c>
      <c r="P3992" s="11" t="s">
        <v>87</v>
      </c>
      <c r="Q3992" s="20">
        <v>40500.0</v>
      </c>
      <c r="R3992" s="17">
        <f t="shared" si="2"/>
        <v>88.37527725</v>
      </c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>
        <f t="shared" si="8"/>
        <v>4</v>
      </c>
      <c r="AF3992" s="19" t="b">
        <f t="shared" si="13"/>
        <v>0</v>
      </c>
      <c r="AG3992" s="9"/>
      <c r="AH3992" s="9"/>
      <c r="AI3992" s="9"/>
    </row>
    <row r="3993" ht="15.0" customHeight="1">
      <c r="A3993" s="11">
        <v>3992.0</v>
      </c>
      <c r="B3993" s="12">
        <f t="shared" si="633"/>
        <v>40498</v>
      </c>
      <c r="C3993" s="13">
        <v>2010.0</v>
      </c>
      <c r="D3993" s="11" t="s">
        <v>44</v>
      </c>
      <c r="E3993" s="11">
        <v>35.0</v>
      </c>
      <c r="F3993" s="21" t="s">
        <v>1336</v>
      </c>
      <c r="G3993" s="15">
        <v>0.057393062799787835</v>
      </c>
      <c r="H3993" s="11" t="s">
        <v>33</v>
      </c>
      <c r="I3993" s="16">
        <v>14.448</v>
      </c>
      <c r="J3993" s="11" t="s">
        <v>1863</v>
      </c>
      <c r="K3993" s="11" t="s">
        <v>65</v>
      </c>
      <c r="L3993" s="11" t="s">
        <v>27</v>
      </c>
      <c r="M3993" s="11" t="s">
        <v>49</v>
      </c>
      <c r="N3993" s="11" t="s">
        <v>50</v>
      </c>
      <c r="O3993" s="11" t="s">
        <v>1337</v>
      </c>
      <c r="P3993" s="11" t="s">
        <v>31</v>
      </c>
      <c r="Q3993" s="20">
        <v>40500.0</v>
      </c>
      <c r="R3993" s="17">
        <f t="shared" si="2"/>
        <v>438.7382841</v>
      </c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>
        <f t="shared" si="8"/>
        <v>1</v>
      </c>
      <c r="AF3993" s="19">
        <f t="shared" si="13"/>
        <v>5</v>
      </c>
      <c r="AG3993" s="9"/>
      <c r="AH3993" s="9"/>
      <c r="AI3993" s="9"/>
    </row>
    <row r="3994" ht="15.0" customHeight="1">
      <c r="A3994" s="11">
        <v>3993.0</v>
      </c>
      <c r="B3994" s="12">
        <f t="shared" ref="B3994:B4002" si="634">DATE(2012,12,31)-775</f>
        <v>40499</v>
      </c>
      <c r="C3994" s="13">
        <v>2010.0</v>
      </c>
      <c r="D3994" s="11" t="s">
        <v>32</v>
      </c>
      <c r="E3994" s="11">
        <v>42.0</v>
      </c>
      <c r="F3994" s="21" t="s">
        <v>676</v>
      </c>
      <c r="G3994" s="15">
        <v>0.06188169908693935</v>
      </c>
      <c r="H3994" s="11" t="s">
        <v>33</v>
      </c>
      <c r="I3994" s="16">
        <v>1.1119999999999999</v>
      </c>
      <c r="J3994" s="11" t="s">
        <v>1256</v>
      </c>
      <c r="K3994" s="11" t="s">
        <v>83</v>
      </c>
      <c r="L3994" s="11" t="s">
        <v>36</v>
      </c>
      <c r="M3994" s="11" t="s">
        <v>28</v>
      </c>
      <c r="N3994" s="11" t="s">
        <v>236</v>
      </c>
      <c r="O3994" s="11" t="s">
        <v>677</v>
      </c>
      <c r="P3994" s="11" t="s">
        <v>38</v>
      </c>
      <c r="Q3994" s="20">
        <v>40500.0</v>
      </c>
      <c r="R3994" s="17">
        <f t="shared" si="2"/>
        <v>14.62338807</v>
      </c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>
        <f t="shared" si="8"/>
        <v>2</v>
      </c>
      <c r="AF3994" s="19" t="b">
        <f t="shared" si="13"/>
        <v>0</v>
      </c>
      <c r="AG3994" s="9"/>
      <c r="AH3994" s="9"/>
      <c r="AI3994" s="9"/>
    </row>
    <row r="3995" ht="15.0" customHeight="1">
      <c r="A3995" s="11">
        <v>3994.0</v>
      </c>
      <c r="B3995" s="12">
        <f t="shared" si="634"/>
        <v>40499</v>
      </c>
      <c r="C3995" s="13">
        <v>2010.0</v>
      </c>
      <c r="D3995" s="11" t="s">
        <v>32</v>
      </c>
      <c r="E3995" s="11">
        <v>34.0</v>
      </c>
      <c r="F3995" s="21" t="s">
        <v>306</v>
      </c>
      <c r="G3995" s="15">
        <v>0.07182655826558271</v>
      </c>
      <c r="H3995" s="11" t="s">
        <v>24</v>
      </c>
      <c r="I3995" s="16">
        <v>8.392000000000001</v>
      </c>
      <c r="J3995" s="11" t="s">
        <v>1256</v>
      </c>
      <c r="K3995" s="11" t="s">
        <v>83</v>
      </c>
      <c r="L3995" s="11" t="s">
        <v>36</v>
      </c>
      <c r="M3995" s="11" t="s">
        <v>49</v>
      </c>
      <c r="N3995" s="11" t="s">
        <v>73</v>
      </c>
      <c r="O3995" s="11" t="s">
        <v>1135</v>
      </c>
      <c r="P3995" s="11" t="s">
        <v>38</v>
      </c>
      <c r="Q3995" s="20">
        <v>40500.0</v>
      </c>
      <c r="R3995" s="17">
        <f t="shared" si="2"/>
        <v>49.2006178</v>
      </c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>
        <f t="shared" si="8"/>
        <v>2</v>
      </c>
      <c r="AF3995" s="19" t="b">
        <f t="shared" si="13"/>
        <v>0</v>
      </c>
      <c r="AG3995" s="9"/>
      <c r="AH3995" s="9"/>
      <c r="AI3995" s="9"/>
    </row>
    <row r="3996" ht="15.0" customHeight="1">
      <c r="A3996" s="11">
        <v>3995.0</v>
      </c>
      <c r="B3996" s="12">
        <f t="shared" si="634"/>
        <v>40499</v>
      </c>
      <c r="C3996" s="13">
        <v>2010.0</v>
      </c>
      <c r="D3996" s="11" t="s">
        <v>23</v>
      </c>
      <c r="E3996" s="11">
        <v>28.0</v>
      </c>
      <c r="F3996" s="21" t="s">
        <v>838</v>
      </c>
      <c r="G3996" s="15">
        <v>0.05875535331905772</v>
      </c>
      <c r="H3996" s="11" t="s">
        <v>24</v>
      </c>
      <c r="I3996" s="16">
        <v>15.991999999999999</v>
      </c>
      <c r="J3996" s="11" t="s">
        <v>1896</v>
      </c>
      <c r="K3996" s="11" t="s">
        <v>61</v>
      </c>
      <c r="L3996" s="11" t="s">
        <v>48</v>
      </c>
      <c r="M3996" s="11" t="s">
        <v>66</v>
      </c>
      <c r="N3996" s="11" t="s">
        <v>67</v>
      </c>
      <c r="O3996" s="11" t="s">
        <v>845</v>
      </c>
      <c r="P3996" s="11" t="s">
        <v>38</v>
      </c>
      <c r="Q3996" s="20">
        <v>40501.0</v>
      </c>
      <c r="R3996" s="17">
        <f t="shared" si="2"/>
        <v>165.2900899</v>
      </c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>
        <f t="shared" si="8"/>
        <v>4</v>
      </c>
      <c r="AF3996" s="19">
        <f t="shared" si="13"/>
        <v>4</v>
      </c>
      <c r="AG3996" s="9"/>
      <c r="AH3996" s="9"/>
      <c r="AI3996" s="9"/>
    </row>
    <row r="3997" ht="15.0" customHeight="1">
      <c r="A3997" s="11">
        <v>3996.0</v>
      </c>
      <c r="B3997" s="12">
        <f t="shared" si="634"/>
        <v>40499</v>
      </c>
      <c r="C3997" s="13">
        <v>2010.0</v>
      </c>
      <c r="D3997" s="11" t="s">
        <v>23</v>
      </c>
      <c r="E3997" s="11">
        <v>12.0</v>
      </c>
      <c r="F3997" s="21" t="s">
        <v>103</v>
      </c>
      <c r="G3997" s="15">
        <v>0.038309114927344665</v>
      </c>
      <c r="H3997" s="11" t="s">
        <v>33</v>
      </c>
      <c r="I3997" s="16">
        <v>2.0</v>
      </c>
      <c r="J3997" s="11" t="s">
        <v>1896</v>
      </c>
      <c r="K3997" s="11" t="s">
        <v>61</v>
      </c>
      <c r="L3997" s="11" t="s">
        <v>48</v>
      </c>
      <c r="M3997" s="11" t="s">
        <v>28</v>
      </c>
      <c r="N3997" s="11" t="s">
        <v>236</v>
      </c>
      <c r="O3997" s="11" t="s">
        <v>1164</v>
      </c>
      <c r="P3997" s="11" t="s">
        <v>38</v>
      </c>
      <c r="Q3997" s="20">
        <v>40501.0</v>
      </c>
      <c r="R3997" s="17">
        <f t="shared" si="2"/>
        <v>2.788903567</v>
      </c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>
        <f t="shared" si="8"/>
        <v>4</v>
      </c>
      <c r="AF3997" s="19">
        <f t="shared" si="13"/>
        <v>4</v>
      </c>
      <c r="AG3997" s="9"/>
      <c r="AH3997" s="9"/>
      <c r="AI3997" s="9"/>
    </row>
    <row r="3998" ht="15.0" customHeight="1">
      <c r="A3998" s="11">
        <v>3997.0</v>
      </c>
      <c r="B3998" s="12">
        <f t="shared" si="634"/>
        <v>40499</v>
      </c>
      <c r="C3998" s="13">
        <v>2010.0</v>
      </c>
      <c r="D3998" s="11" t="s">
        <v>23</v>
      </c>
      <c r="E3998" s="11">
        <v>23.0</v>
      </c>
      <c r="F3998" s="21" t="s">
        <v>297</v>
      </c>
      <c r="G3998" s="15">
        <v>0.09541990987300276</v>
      </c>
      <c r="H3998" s="11" t="s">
        <v>33</v>
      </c>
      <c r="I3998" s="16">
        <v>4.608</v>
      </c>
      <c r="J3998" s="11" t="s">
        <v>961</v>
      </c>
      <c r="K3998" s="11" t="s">
        <v>83</v>
      </c>
      <c r="L3998" s="11" t="s">
        <v>36</v>
      </c>
      <c r="M3998" s="11" t="s">
        <v>66</v>
      </c>
      <c r="N3998" s="11" t="s">
        <v>69</v>
      </c>
      <c r="O3998" s="11" t="s">
        <v>2003</v>
      </c>
      <c r="P3998" s="11" t="s">
        <v>75</v>
      </c>
      <c r="Q3998" s="20">
        <v>40501.0</v>
      </c>
      <c r="R3998" s="17">
        <f t="shared" si="2"/>
        <v>21.06947946</v>
      </c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>
        <f t="shared" si="8"/>
        <v>2</v>
      </c>
      <c r="AF3998" s="19" t="b">
        <f t="shared" si="13"/>
        <v>0</v>
      </c>
      <c r="AG3998" s="9"/>
      <c r="AH3998" s="9"/>
      <c r="AI3998" s="9"/>
    </row>
    <row r="3999" ht="15.0" customHeight="1">
      <c r="A3999" s="11">
        <v>3998.0</v>
      </c>
      <c r="B3999" s="12">
        <f t="shared" si="634"/>
        <v>40499</v>
      </c>
      <c r="C3999" s="13">
        <v>2010.0</v>
      </c>
      <c r="D3999" s="11" t="s">
        <v>44</v>
      </c>
      <c r="E3999" s="11">
        <v>23.0</v>
      </c>
      <c r="F3999" s="21" t="s">
        <v>624</v>
      </c>
      <c r="G3999" s="15">
        <v>0.07449063789273258</v>
      </c>
      <c r="H3999" s="11" t="s">
        <v>33</v>
      </c>
      <c r="I3999" s="16">
        <v>4.128</v>
      </c>
      <c r="J3999" s="11" t="s">
        <v>494</v>
      </c>
      <c r="K3999" s="11" t="s">
        <v>83</v>
      </c>
      <c r="L3999" s="11" t="s">
        <v>48</v>
      </c>
      <c r="M3999" s="11" t="s">
        <v>49</v>
      </c>
      <c r="N3999" s="11" t="s">
        <v>73</v>
      </c>
      <c r="O3999" s="11" t="s">
        <v>1709</v>
      </c>
      <c r="P3999" s="11" t="s">
        <v>38</v>
      </c>
      <c r="Q3999" s="20">
        <v>40501.0</v>
      </c>
      <c r="R3999" s="17">
        <f t="shared" si="2"/>
        <v>21.72355575</v>
      </c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>
        <f t="shared" si="8"/>
        <v>4</v>
      </c>
      <c r="AF3999" s="19" t="b">
        <f t="shared" si="13"/>
        <v>0</v>
      </c>
      <c r="AG3999" s="9"/>
      <c r="AH3999" s="9"/>
      <c r="AI3999" s="9"/>
    </row>
    <row r="4000" ht="15.0" customHeight="1">
      <c r="A4000" s="11">
        <v>3999.0</v>
      </c>
      <c r="B4000" s="12">
        <f t="shared" si="634"/>
        <v>40499</v>
      </c>
      <c r="C4000" s="13">
        <v>2010.0</v>
      </c>
      <c r="D4000" s="11" t="s">
        <v>32</v>
      </c>
      <c r="E4000" s="11">
        <v>39.0</v>
      </c>
      <c r="F4000" s="21" t="s">
        <v>2367</v>
      </c>
      <c r="G4000" s="15">
        <v>0.04836372055697521</v>
      </c>
      <c r="H4000" s="11" t="s">
        <v>33</v>
      </c>
      <c r="I4000" s="16">
        <v>15.991999999999999</v>
      </c>
      <c r="J4000" s="11" t="s">
        <v>382</v>
      </c>
      <c r="K4000" s="11" t="s">
        <v>65</v>
      </c>
      <c r="L4000" s="11" t="s">
        <v>41</v>
      </c>
      <c r="M4000" s="11" t="s">
        <v>28</v>
      </c>
      <c r="N4000" s="11" t="s">
        <v>197</v>
      </c>
      <c r="O4000" s="11" t="s">
        <v>2368</v>
      </c>
      <c r="P4000" s="11" t="s">
        <v>38</v>
      </c>
      <c r="Q4000" s="20">
        <v>40501.0</v>
      </c>
      <c r="R4000" s="17">
        <f t="shared" si="2"/>
        <v>439.3114688</v>
      </c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>
        <f t="shared" si="8"/>
        <v>3</v>
      </c>
      <c r="AF4000" s="19">
        <f t="shared" si="13"/>
        <v>5</v>
      </c>
      <c r="AG4000" s="9"/>
      <c r="AH4000" s="9"/>
      <c r="AI4000" s="9"/>
    </row>
    <row r="4001" ht="15.0" customHeight="1">
      <c r="A4001" s="11">
        <v>4000.0</v>
      </c>
      <c r="B4001" s="12">
        <f t="shared" si="634"/>
        <v>40499</v>
      </c>
      <c r="C4001" s="13">
        <v>2010.0</v>
      </c>
      <c r="D4001" s="11" t="s">
        <v>32</v>
      </c>
      <c r="E4001" s="11">
        <v>37.0</v>
      </c>
      <c r="F4001" s="21" t="s">
        <v>523</v>
      </c>
      <c r="G4001" s="15">
        <v>0.0816158285243198</v>
      </c>
      <c r="H4001" s="11" t="s">
        <v>24</v>
      </c>
      <c r="I4001" s="16">
        <v>0.4</v>
      </c>
      <c r="J4001" s="11" t="s">
        <v>382</v>
      </c>
      <c r="K4001" s="11" t="s">
        <v>65</v>
      </c>
      <c r="L4001" s="11" t="s">
        <v>41</v>
      </c>
      <c r="M4001" s="11" t="s">
        <v>28</v>
      </c>
      <c r="N4001" s="11" t="s">
        <v>188</v>
      </c>
      <c r="O4001" s="11" t="s">
        <v>524</v>
      </c>
      <c r="P4001" s="11" t="s">
        <v>38</v>
      </c>
      <c r="Q4001" s="20">
        <v>40501.0</v>
      </c>
      <c r="R4001" s="17">
        <f t="shared" si="2"/>
        <v>9.092003298</v>
      </c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>
        <f t="shared" si="8"/>
        <v>3</v>
      </c>
      <c r="AF4001" s="19">
        <f t="shared" si="13"/>
        <v>5</v>
      </c>
      <c r="AG4001" s="9"/>
      <c r="AH4001" s="9"/>
      <c r="AI4001" s="9"/>
    </row>
    <row r="4002" ht="15.0" customHeight="1">
      <c r="A4002" s="11">
        <v>4001.0</v>
      </c>
      <c r="B4002" s="12">
        <f t="shared" si="634"/>
        <v>40499</v>
      </c>
      <c r="C4002" s="13">
        <v>2010.0</v>
      </c>
      <c r="D4002" s="11" t="s">
        <v>32</v>
      </c>
      <c r="E4002" s="11">
        <v>37.0</v>
      </c>
      <c r="F4002" s="21" t="s">
        <v>210</v>
      </c>
      <c r="G4002" s="15">
        <v>0.018844984802431606</v>
      </c>
      <c r="H4002" s="11" t="s">
        <v>33</v>
      </c>
      <c r="I4002" s="16">
        <v>0.6400000000000001</v>
      </c>
      <c r="J4002" s="11" t="s">
        <v>382</v>
      </c>
      <c r="K4002" s="11" t="s">
        <v>65</v>
      </c>
      <c r="L4002" s="11" t="s">
        <v>41</v>
      </c>
      <c r="M4002" s="11" t="s">
        <v>28</v>
      </c>
      <c r="N4002" s="11" t="s">
        <v>216</v>
      </c>
      <c r="O4002" s="11" t="s">
        <v>1290</v>
      </c>
      <c r="P4002" s="11" t="s">
        <v>58</v>
      </c>
      <c r="Q4002" s="20">
        <v>40501.0</v>
      </c>
      <c r="R4002" s="17">
        <f t="shared" si="2"/>
        <v>1.824948328</v>
      </c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>
        <f t="shared" si="8"/>
        <v>3</v>
      </c>
      <c r="AF4002" s="19">
        <f t="shared" si="13"/>
        <v>5</v>
      </c>
      <c r="AG4002" s="9"/>
      <c r="AH4002" s="9"/>
      <c r="AI4002" s="9"/>
    </row>
    <row r="4003" ht="15.0" customHeight="1">
      <c r="A4003" s="11">
        <v>4002.0</v>
      </c>
      <c r="B4003" s="12">
        <f t="shared" ref="B4003:B4013" si="635">DATE(2012,12,31)-774</f>
        <v>40500</v>
      </c>
      <c r="C4003" s="13">
        <v>2010.0</v>
      </c>
      <c r="D4003" s="11" t="s">
        <v>23</v>
      </c>
      <c r="E4003" s="11">
        <v>12.0</v>
      </c>
      <c r="F4003" s="21" t="s">
        <v>210</v>
      </c>
      <c r="G4003" s="15">
        <v>0.04242424242424238</v>
      </c>
      <c r="H4003" s="11" t="s">
        <v>33</v>
      </c>
      <c r="I4003" s="16">
        <v>0.4</v>
      </c>
      <c r="J4003" s="11" t="s">
        <v>2185</v>
      </c>
      <c r="K4003" s="11" t="s">
        <v>26</v>
      </c>
      <c r="L4003" s="11" t="s">
        <v>36</v>
      </c>
      <c r="M4003" s="11" t="s">
        <v>28</v>
      </c>
      <c r="N4003" s="11" t="s">
        <v>188</v>
      </c>
      <c r="O4003" s="11" t="s">
        <v>1356</v>
      </c>
      <c r="P4003" s="11" t="s">
        <v>38</v>
      </c>
      <c r="Q4003" s="20">
        <v>40501.0</v>
      </c>
      <c r="R4003" s="17">
        <f t="shared" si="2"/>
        <v>1.340606061</v>
      </c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>
        <f t="shared" si="8"/>
        <v>2</v>
      </c>
      <c r="AF4003" s="19">
        <f t="shared" si="13"/>
        <v>1</v>
      </c>
      <c r="AG4003" s="9"/>
      <c r="AH4003" s="9"/>
      <c r="AI4003" s="9"/>
    </row>
    <row r="4004" ht="15.0" customHeight="1">
      <c r="A4004" s="11">
        <v>4003.0</v>
      </c>
      <c r="B4004" s="12">
        <f t="shared" si="635"/>
        <v>40500</v>
      </c>
      <c r="C4004" s="13">
        <v>2010.0</v>
      </c>
      <c r="D4004" s="11" t="s">
        <v>23</v>
      </c>
      <c r="E4004" s="11">
        <v>33.0</v>
      </c>
      <c r="F4004" s="21" t="s">
        <v>103</v>
      </c>
      <c r="G4004" s="15">
        <v>0.023636363636363494</v>
      </c>
      <c r="H4004" s="11" t="s">
        <v>33</v>
      </c>
      <c r="I4004" s="16">
        <v>0.768</v>
      </c>
      <c r="J4004" s="11" t="s">
        <v>2185</v>
      </c>
      <c r="K4004" s="11" t="s">
        <v>26</v>
      </c>
      <c r="L4004" s="11" t="s">
        <v>36</v>
      </c>
      <c r="M4004" s="11" t="s">
        <v>28</v>
      </c>
      <c r="N4004" s="11" t="s">
        <v>62</v>
      </c>
      <c r="O4004" s="11" t="s">
        <v>691</v>
      </c>
      <c r="P4004" s="11" t="s">
        <v>58</v>
      </c>
      <c r="Q4004" s="20">
        <v>40501.0</v>
      </c>
      <c r="R4004" s="17">
        <f t="shared" si="2"/>
        <v>4.620152727</v>
      </c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>
        <f t="shared" si="8"/>
        <v>2</v>
      </c>
      <c r="AF4004" s="19">
        <f t="shared" si="13"/>
        <v>1</v>
      </c>
      <c r="AG4004" s="9"/>
      <c r="AH4004" s="9"/>
      <c r="AI4004" s="9"/>
    </row>
    <row r="4005" ht="15.0" customHeight="1">
      <c r="A4005" s="11">
        <v>4004.0</v>
      </c>
      <c r="B4005" s="12">
        <f t="shared" si="635"/>
        <v>40500</v>
      </c>
      <c r="C4005" s="13">
        <v>2010.0</v>
      </c>
      <c r="D4005" s="11" t="s">
        <v>32</v>
      </c>
      <c r="E4005" s="11">
        <v>30.0</v>
      </c>
      <c r="F4005" s="21" t="s">
        <v>1136</v>
      </c>
      <c r="G4005" s="15">
        <v>0.03301221738519876</v>
      </c>
      <c r="H4005" s="11" t="s">
        <v>33</v>
      </c>
      <c r="I4005" s="16">
        <v>1.592</v>
      </c>
      <c r="J4005" s="11" t="s">
        <v>1625</v>
      </c>
      <c r="K4005" s="11" t="s">
        <v>35</v>
      </c>
      <c r="L4005" s="11" t="s">
        <v>36</v>
      </c>
      <c r="M4005" s="11" t="s">
        <v>66</v>
      </c>
      <c r="N4005" s="11" t="s">
        <v>67</v>
      </c>
      <c r="O4005" s="11" t="s">
        <v>1138</v>
      </c>
      <c r="P4005" s="11" t="s">
        <v>99</v>
      </c>
      <c r="Q4005" s="20">
        <v>40501.0</v>
      </c>
      <c r="R4005" s="17">
        <f t="shared" si="2"/>
        <v>22.73194879</v>
      </c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>
        <f t="shared" si="8"/>
        <v>2</v>
      </c>
      <c r="AF4005" s="19">
        <f t="shared" si="13"/>
        <v>2</v>
      </c>
      <c r="AG4005" s="9"/>
      <c r="AH4005" s="9"/>
      <c r="AI4005" s="9"/>
    </row>
    <row r="4006" ht="15.0" customHeight="1">
      <c r="A4006" s="11">
        <v>4005.0</v>
      </c>
      <c r="B4006" s="12">
        <f t="shared" si="635"/>
        <v>40500</v>
      </c>
      <c r="C4006" s="13">
        <v>2010.0</v>
      </c>
      <c r="D4006" s="11" t="s">
        <v>32</v>
      </c>
      <c r="E4006" s="11">
        <v>41.0</v>
      </c>
      <c r="F4006" s="21" t="s">
        <v>705</v>
      </c>
      <c r="G4006" s="15">
        <v>0.04113350125944573</v>
      </c>
      <c r="H4006" s="11" t="s">
        <v>33</v>
      </c>
      <c r="I4006" s="16">
        <v>0.568</v>
      </c>
      <c r="J4006" s="11" t="s">
        <v>1625</v>
      </c>
      <c r="K4006" s="11" t="s">
        <v>35</v>
      </c>
      <c r="L4006" s="11" t="s">
        <v>36</v>
      </c>
      <c r="M4006" s="11" t="s">
        <v>28</v>
      </c>
      <c r="N4006" s="11" t="s">
        <v>216</v>
      </c>
      <c r="O4006" s="11" t="s">
        <v>2032</v>
      </c>
      <c r="P4006" s="11" t="s">
        <v>58</v>
      </c>
      <c r="Q4006" s="20">
        <v>40501.0</v>
      </c>
      <c r="R4006" s="17">
        <f t="shared" si="2"/>
        <v>6.26331597</v>
      </c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>
        <f t="shared" si="8"/>
        <v>2</v>
      </c>
      <c r="AF4006" s="19">
        <f t="shared" si="13"/>
        <v>2</v>
      </c>
      <c r="AG4006" s="9"/>
      <c r="AH4006" s="9"/>
      <c r="AI4006" s="9"/>
    </row>
    <row r="4007" ht="15.0" customHeight="1">
      <c r="A4007" s="11">
        <v>4006.0</v>
      </c>
      <c r="B4007" s="12">
        <f t="shared" si="635"/>
        <v>40500</v>
      </c>
      <c r="C4007" s="13">
        <v>2010.0</v>
      </c>
      <c r="D4007" s="11" t="s">
        <v>32</v>
      </c>
      <c r="E4007" s="11">
        <v>10.0</v>
      </c>
      <c r="F4007" s="21" t="s">
        <v>1219</v>
      </c>
      <c r="G4007" s="15">
        <v>0.03499999999999988</v>
      </c>
      <c r="H4007" s="11" t="s">
        <v>33</v>
      </c>
      <c r="I4007" s="16">
        <v>6.5760000000000005</v>
      </c>
      <c r="J4007" s="11" t="s">
        <v>1625</v>
      </c>
      <c r="K4007" s="11" t="s">
        <v>35</v>
      </c>
      <c r="L4007" s="11" t="s">
        <v>36</v>
      </c>
      <c r="M4007" s="11" t="s">
        <v>28</v>
      </c>
      <c r="N4007" s="11" t="s">
        <v>29</v>
      </c>
      <c r="O4007" s="11" t="s">
        <v>1735</v>
      </c>
      <c r="P4007" s="11" t="s">
        <v>38</v>
      </c>
      <c r="Q4007" s="20">
        <v>40501.0</v>
      </c>
      <c r="R4007" s="17">
        <f t="shared" si="2"/>
        <v>12.37516</v>
      </c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>
        <f t="shared" si="8"/>
        <v>2</v>
      </c>
      <c r="AF4007" s="19">
        <f t="shared" si="13"/>
        <v>2</v>
      </c>
      <c r="AG4007" s="9"/>
      <c r="AH4007" s="9"/>
      <c r="AI4007" s="9"/>
    </row>
    <row r="4008" ht="15.0" customHeight="1">
      <c r="A4008" s="11">
        <v>4007.0</v>
      </c>
      <c r="B4008" s="12">
        <f t="shared" si="635"/>
        <v>40500</v>
      </c>
      <c r="C4008" s="13">
        <v>2010.0</v>
      </c>
      <c r="D4008" s="11" t="s">
        <v>32</v>
      </c>
      <c r="E4008" s="11">
        <v>10.0</v>
      </c>
      <c r="F4008" s="21" t="s">
        <v>178</v>
      </c>
      <c r="G4008" s="15">
        <v>0.04131772865192892</v>
      </c>
      <c r="H4008" s="11" t="s">
        <v>33</v>
      </c>
      <c r="I4008" s="16">
        <v>4.5040000000000004</v>
      </c>
      <c r="J4008" s="11" t="s">
        <v>1625</v>
      </c>
      <c r="K4008" s="11" t="s">
        <v>35</v>
      </c>
      <c r="L4008" s="11" t="s">
        <v>36</v>
      </c>
      <c r="M4008" s="11" t="s">
        <v>66</v>
      </c>
      <c r="N4008" s="11" t="s">
        <v>80</v>
      </c>
      <c r="O4008" s="11" t="s">
        <v>1250</v>
      </c>
      <c r="P4008" s="11" t="s">
        <v>38</v>
      </c>
      <c r="Q4008" s="20">
        <v>40502.0</v>
      </c>
      <c r="R4008" s="17">
        <f t="shared" si="2"/>
        <v>27.41447823</v>
      </c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>
        <f t="shared" si="8"/>
        <v>2</v>
      </c>
      <c r="AF4008" s="19">
        <f t="shared" si="13"/>
        <v>2</v>
      </c>
      <c r="AG4008" s="9"/>
      <c r="AH4008" s="9"/>
      <c r="AI4008" s="9"/>
    </row>
    <row r="4009" ht="15.0" customHeight="1">
      <c r="A4009" s="11">
        <v>4008.0</v>
      </c>
      <c r="B4009" s="12">
        <f t="shared" si="635"/>
        <v>40500</v>
      </c>
      <c r="C4009" s="13">
        <v>2010.0</v>
      </c>
      <c r="D4009" s="11" t="s">
        <v>39</v>
      </c>
      <c r="E4009" s="11">
        <v>12.0</v>
      </c>
      <c r="F4009" s="21" t="s">
        <v>694</v>
      </c>
      <c r="G4009" s="15">
        <v>0.06799214145383116</v>
      </c>
      <c r="H4009" s="11" t="s">
        <v>33</v>
      </c>
      <c r="I4009" s="16">
        <v>1.592</v>
      </c>
      <c r="J4009" s="11" t="s">
        <v>1747</v>
      </c>
      <c r="K4009" s="11" t="s">
        <v>61</v>
      </c>
      <c r="L4009" s="11" t="s">
        <v>36</v>
      </c>
      <c r="M4009" s="11" t="s">
        <v>66</v>
      </c>
      <c r="N4009" s="11" t="s">
        <v>67</v>
      </c>
      <c r="O4009" s="11" t="s">
        <v>695</v>
      </c>
      <c r="P4009" s="11" t="s">
        <v>99</v>
      </c>
      <c r="Q4009" s="20">
        <v>40502.0</v>
      </c>
      <c r="R4009" s="17">
        <f t="shared" si="2"/>
        <v>32.25492797</v>
      </c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>
        <f t="shared" si="8"/>
        <v>2</v>
      </c>
      <c r="AF4009" s="19">
        <f t="shared" si="13"/>
        <v>4</v>
      </c>
      <c r="AG4009" s="9"/>
      <c r="AH4009" s="9"/>
      <c r="AI4009" s="9"/>
    </row>
    <row r="4010" ht="15.0" customHeight="1">
      <c r="A4010" s="11">
        <v>4009.0</v>
      </c>
      <c r="B4010" s="12">
        <f t="shared" si="635"/>
        <v>40500</v>
      </c>
      <c r="C4010" s="13">
        <v>2010.0</v>
      </c>
      <c r="D4010" s="11" t="s">
        <v>39</v>
      </c>
      <c r="E4010" s="11">
        <v>37.0</v>
      </c>
      <c r="F4010" s="21" t="s">
        <v>210</v>
      </c>
      <c r="G4010" s="15">
        <v>0.08695652173913034</v>
      </c>
      <c r="H4010" s="11" t="s">
        <v>24</v>
      </c>
      <c r="I4010" s="16">
        <v>0.4</v>
      </c>
      <c r="J4010" s="11" t="s">
        <v>1747</v>
      </c>
      <c r="K4010" s="11" t="s">
        <v>61</v>
      </c>
      <c r="L4010" s="11" t="s">
        <v>36</v>
      </c>
      <c r="M4010" s="11" t="s">
        <v>28</v>
      </c>
      <c r="N4010" s="11" t="s">
        <v>188</v>
      </c>
      <c r="O4010" s="11" t="s">
        <v>918</v>
      </c>
      <c r="P4010" s="11" t="s">
        <v>38</v>
      </c>
      <c r="Q4010" s="20">
        <v>40502.0</v>
      </c>
      <c r="R4010" s="17">
        <f t="shared" si="2"/>
        <v>8.4</v>
      </c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>
        <f t="shared" si="8"/>
        <v>2</v>
      </c>
      <c r="AF4010" s="19">
        <f t="shared" si="13"/>
        <v>4</v>
      </c>
      <c r="AG4010" s="9"/>
      <c r="AH4010" s="9"/>
      <c r="AI4010" s="9"/>
    </row>
    <row r="4011" ht="15.0" customHeight="1">
      <c r="A4011" s="11">
        <v>4010.0</v>
      </c>
      <c r="B4011" s="12">
        <f t="shared" si="635"/>
        <v>40500</v>
      </c>
      <c r="C4011" s="13">
        <v>2010.0</v>
      </c>
      <c r="D4011" s="11" t="s">
        <v>39</v>
      </c>
      <c r="E4011" s="11">
        <v>13.0</v>
      </c>
      <c r="F4011" s="21" t="s">
        <v>161</v>
      </c>
      <c r="G4011" s="15">
        <v>0.025050100200400615</v>
      </c>
      <c r="H4011" s="11" t="s">
        <v>33</v>
      </c>
      <c r="I4011" s="16">
        <v>28.0</v>
      </c>
      <c r="J4011" s="11" t="s">
        <v>1747</v>
      </c>
      <c r="K4011" s="11" t="s">
        <v>61</v>
      </c>
      <c r="L4011" s="11" t="s">
        <v>36</v>
      </c>
      <c r="M4011" s="11" t="s">
        <v>28</v>
      </c>
      <c r="N4011" s="11" t="s">
        <v>29</v>
      </c>
      <c r="O4011" s="11" t="s">
        <v>162</v>
      </c>
      <c r="P4011" s="11" t="s">
        <v>31</v>
      </c>
      <c r="Q4011" s="20">
        <v>40502.0</v>
      </c>
      <c r="R4011" s="17">
        <f t="shared" si="2"/>
        <v>7.312124248</v>
      </c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>
        <f t="shared" si="8"/>
        <v>2</v>
      </c>
      <c r="AF4011" s="19">
        <f t="shared" si="13"/>
        <v>4</v>
      </c>
      <c r="AG4011" s="9"/>
      <c r="AH4011" s="9"/>
      <c r="AI4011" s="9"/>
    </row>
    <row r="4012" ht="15.0" customHeight="1">
      <c r="A4012" s="11">
        <v>4011.0</v>
      </c>
      <c r="B4012" s="12">
        <f t="shared" si="635"/>
        <v>40500</v>
      </c>
      <c r="C4012" s="13">
        <v>2010.0</v>
      </c>
      <c r="D4012" s="11" t="s">
        <v>23</v>
      </c>
      <c r="E4012" s="11">
        <v>34.0</v>
      </c>
      <c r="F4012" s="21" t="s">
        <v>1244</v>
      </c>
      <c r="G4012" s="15">
        <v>0.06590115442263973</v>
      </c>
      <c r="H4012" s="11" t="s">
        <v>33</v>
      </c>
      <c r="I4012" s="16">
        <v>19.592</v>
      </c>
      <c r="J4012" s="11" t="s">
        <v>1170</v>
      </c>
      <c r="K4012" s="11" t="s">
        <v>61</v>
      </c>
      <c r="L4012" s="11" t="s">
        <v>27</v>
      </c>
      <c r="M4012" s="11" t="s">
        <v>49</v>
      </c>
      <c r="N4012" s="11" t="s">
        <v>50</v>
      </c>
      <c r="O4012" s="11" t="s">
        <v>1246</v>
      </c>
      <c r="P4012" s="11" t="s">
        <v>31</v>
      </c>
      <c r="Q4012" s="20">
        <v>40502.0</v>
      </c>
      <c r="R4012" s="17">
        <f t="shared" si="2"/>
        <v>620.1556964</v>
      </c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>
        <f t="shared" si="8"/>
        <v>1</v>
      </c>
      <c r="AF4012" s="19">
        <f t="shared" si="13"/>
        <v>4</v>
      </c>
      <c r="AG4012" s="9"/>
      <c r="AH4012" s="9"/>
      <c r="AI4012" s="9"/>
    </row>
    <row r="4013" ht="15.0" customHeight="1">
      <c r="A4013" s="11">
        <v>4012.0</v>
      </c>
      <c r="B4013" s="12">
        <f t="shared" si="635"/>
        <v>40500</v>
      </c>
      <c r="C4013" s="13">
        <v>2010.0</v>
      </c>
      <c r="D4013" s="11" t="s">
        <v>102</v>
      </c>
      <c r="E4013" s="11">
        <v>33.0</v>
      </c>
      <c r="F4013" s="21" t="s">
        <v>2442</v>
      </c>
      <c r="G4013" s="15">
        <v>0.05191938712126432</v>
      </c>
      <c r="H4013" s="11" t="s">
        <v>45</v>
      </c>
      <c r="I4013" s="16">
        <v>44.648</v>
      </c>
      <c r="J4013" s="11" t="s">
        <v>786</v>
      </c>
      <c r="K4013" s="11" t="s">
        <v>35</v>
      </c>
      <c r="L4013" s="11" t="s">
        <v>36</v>
      </c>
      <c r="M4013" s="11" t="s">
        <v>49</v>
      </c>
      <c r="N4013" s="11" t="s">
        <v>156</v>
      </c>
      <c r="O4013" s="11" t="s">
        <v>2443</v>
      </c>
      <c r="P4013" s="11" t="s">
        <v>87</v>
      </c>
      <c r="Q4013" s="20">
        <v>40502.0</v>
      </c>
      <c r="R4013" s="17">
        <f t="shared" si="2"/>
        <v>142.6406244</v>
      </c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>
        <f t="shared" si="8"/>
        <v>2</v>
      </c>
      <c r="AF4013" s="19">
        <f t="shared" si="13"/>
        <v>2</v>
      </c>
      <c r="AG4013" s="9"/>
      <c r="AH4013" s="9"/>
      <c r="AI4013" s="9"/>
    </row>
    <row r="4014" ht="15.0" customHeight="1">
      <c r="A4014" s="11">
        <v>4013.0</v>
      </c>
      <c r="B4014" s="12">
        <f t="shared" ref="B4014:B4018" si="636">DATE(2012,12,31)-773</f>
        <v>40501</v>
      </c>
      <c r="C4014" s="13">
        <v>2010.0</v>
      </c>
      <c r="D4014" s="11" t="s">
        <v>32</v>
      </c>
      <c r="E4014" s="11">
        <v>15.0</v>
      </c>
      <c r="F4014" s="21" t="s">
        <v>144</v>
      </c>
      <c r="G4014" s="15">
        <v>0.14938215102974842</v>
      </c>
      <c r="H4014" s="11" t="s">
        <v>33</v>
      </c>
      <c r="I4014" s="16">
        <v>5.672000000000001</v>
      </c>
      <c r="J4014" s="11" t="s">
        <v>657</v>
      </c>
      <c r="K4014" s="11" t="s">
        <v>47</v>
      </c>
      <c r="L4014" s="11" t="s">
        <v>41</v>
      </c>
      <c r="M4014" s="11" t="s">
        <v>28</v>
      </c>
      <c r="N4014" s="11" t="s">
        <v>56</v>
      </c>
      <c r="O4014" s="11" t="s">
        <v>2166</v>
      </c>
      <c r="P4014" s="11" t="s">
        <v>58</v>
      </c>
      <c r="Q4014" s="20">
        <v>40502.0</v>
      </c>
      <c r="R4014" s="17">
        <f t="shared" si="2"/>
        <v>5.552833318</v>
      </c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>
        <f t="shared" si="8"/>
        <v>3</v>
      </c>
      <c r="AF4014" s="19">
        <f t="shared" si="13"/>
        <v>3</v>
      </c>
      <c r="AG4014" s="9"/>
      <c r="AH4014" s="9"/>
      <c r="AI4014" s="9"/>
    </row>
    <row r="4015" ht="15.0" customHeight="1">
      <c r="A4015" s="11">
        <v>4014.0</v>
      </c>
      <c r="B4015" s="12">
        <f t="shared" si="636"/>
        <v>40501</v>
      </c>
      <c r="C4015" s="13">
        <v>2010.0</v>
      </c>
      <c r="D4015" s="11" t="s">
        <v>32</v>
      </c>
      <c r="E4015" s="11">
        <v>47.0</v>
      </c>
      <c r="F4015" s="21" t="s">
        <v>122</v>
      </c>
      <c r="G4015" s="15">
        <v>0.014644961549985007</v>
      </c>
      <c r="H4015" s="11" t="s">
        <v>33</v>
      </c>
      <c r="I4015" s="16">
        <v>4.336</v>
      </c>
      <c r="J4015" s="11" t="s">
        <v>657</v>
      </c>
      <c r="K4015" s="11" t="s">
        <v>47</v>
      </c>
      <c r="L4015" s="11" t="s">
        <v>41</v>
      </c>
      <c r="M4015" s="11" t="s">
        <v>28</v>
      </c>
      <c r="N4015" s="11" t="s">
        <v>29</v>
      </c>
      <c r="O4015" s="11" t="s">
        <v>2207</v>
      </c>
      <c r="P4015" s="11" t="s">
        <v>38</v>
      </c>
      <c r="Q4015" s="20">
        <v>40502.0</v>
      </c>
      <c r="R4015" s="17">
        <f t="shared" si="2"/>
        <v>14.44924628</v>
      </c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>
        <f t="shared" si="8"/>
        <v>3</v>
      </c>
      <c r="AF4015" s="19">
        <f t="shared" si="13"/>
        <v>3</v>
      </c>
      <c r="AG4015" s="9"/>
      <c r="AH4015" s="9"/>
      <c r="AI4015" s="9"/>
    </row>
    <row r="4016" ht="15.0" customHeight="1">
      <c r="A4016" s="11">
        <v>4015.0</v>
      </c>
      <c r="B4016" s="12">
        <f t="shared" si="636"/>
        <v>40501</v>
      </c>
      <c r="C4016" s="13">
        <v>2010.0</v>
      </c>
      <c r="D4016" s="11" t="s">
        <v>23</v>
      </c>
      <c r="E4016" s="11">
        <v>12.0</v>
      </c>
      <c r="F4016" s="21" t="s">
        <v>1699</v>
      </c>
      <c r="G4016" s="15">
        <v>0.06925457102672282</v>
      </c>
      <c r="H4016" s="11" t="s">
        <v>33</v>
      </c>
      <c r="I4016" s="16">
        <v>6.352</v>
      </c>
      <c r="J4016" s="11" t="s">
        <v>2104</v>
      </c>
      <c r="K4016" s="11" t="s">
        <v>47</v>
      </c>
      <c r="L4016" s="11" t="s">
        <v>48</v>
      </c>
      <c r="M4016" s="11" t="s">
        <v>49</v>
      </c>
      <c r="N4016" s="11" t="s">
        <v>73</v>
      </c>
      <c r="O4016" s="11" t="s">
        <v>1700</v>
      </c>
      <c r="P4016" s="11" t="s">
        <v>99</v>
      </c>
      <c r="Q4016" s="20">
        <v>40503.0</v>
      </c>
      <c r="R4016" s="17">
        <f t="shared" si="2"/>
        <v>9.165980985</v>
      </c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>
        <f t="shared" si="8"/>
        <v>4</v>
      </c>
      <c r="AF4016" s="19">
        <f t="shared" si="13"/>
        <v>3</v>
      </c>
      <c r="AG4016" s="9"/>
      <c r="AH4016" s="9"/>
      <c r="AI4016" s="9"/>
    </row>
    <row r="4017" ht="15.0" customHeight="1">
      <c r="A4017" s="11">
        <v>4016.0</v>
      </c>
      <c r="B4017" s="12">
        <f t="shared" si="636"/>
        <v>40501</v>
      </c>
      <c r="C4017" s="13">
        <v>2010.0</v>
      </c>
      <c r="D4017" s="11" t="s">
        <v>23</v>
      </c>
      <c r="E4017" s="11">
        <v>5.0</v>
      </c>
      <c r="F4017" s="21" t="s">
        <v>1739</v>
      </c>
      <c r="G4017" s="15">
        <v>0.0516650115855677</v>
      </c>
      <c r="H4017" s="11" t="s">
        <v>33</v>
      </c>
      <c r="I4017" s="16">
        <v>15.991999999999999</v>
      </c>
      <c r="J4017" s="11" t="s">
        <v>2104</v>
      </c>
      <c r="K4017" s="11" t="s">
        <v>47</v>
      </c>
      <c r="L4017" s="11" t="s">
        <v>48</v>
      </c>
      <c r="M4017" s="11" t="s">
        <v>28</v>
      </c>
      <c r="N4017" s="11" t="s">
        <v>29</v>
      </c>
      <c r="O4017" s="11" t="s">
        <v>1740</v>
      </c>
      <c r="P4017" s="11" t="s">
        <v>38</v>
      </c>
      <c r="Q4017" s="20">
        <v>40503.0</v>
      </c>
      <c r="R4017" s="17">
        <f t="shared" si="2"/>
        <v>14.8016125</v>
      </c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>
        <f t="shared" si="8"/>
        <v>4</v>
      </c>
      <c r="AF4017" s="19">
        <f t="shared" si="13"/>
        <v>3</v>
      </c>
      <c r="AG4017" s="9"/>
      <c r="AH4017" s="9"/>
      <c r="AI4017" s="9"/>
    </row>
    <row r="4018" ht="15.0" customHeight="1">
      <c r="A4018" s="11">
        <v>4017.0</v>
      </c>
      <c r="B4018" s="12">
        <f t="shared" si="636"/>
        <v>40501</v>
      </c>
      <c r="C4018" s="13">
        <v>2010.0</v>
      </c>
      <c r="D4018" s="11" t="s">
        <v>32</v>
      </c>
      <c r="E4018" s="11">
        <v>13.0</v>
      </c>
      <c r="F4018" s="21" t="s">
        <v>137</v>
      </c>
      <c r="G4018" s="15">
        <v>0.05223855092276151</v>
      </c>
      <c r="H4018" s="11" t="s">
        <v>45</v>
      </c>
      <c r="I4018" s="16">
        <v>34.968</v>
      </c>
      <c r="J4018" s="11" t="s">
        <v>174</v>
      </c>
      <c r="K4018" s="11" t="s">
        <v>35</v>
      </c>
      <c r="L4018" s="11" t="s">
        <v>36</v>
      </c>
      <c r="M4018" s="11" t="s">
        <v>49</v>
      </c>
      <c r="N4018" s="11" t="s">
        <v>50</v>
      </c>
      <c r="O4018" s="11" t="s">
        <v>1365</v>
      </c>
      <c r="P4018" s="11" t="s">
        <v>52</v>
      </c>
      <c r="Q4018" s="20">
        <v>40503.0</v>
      </c>
      <c r="R4018" s="17">
        <f t="shared" si="2"/>
        <v>104.303043</v>
      </c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>
        <f t="shared" si="8"/>
        <v>2</v>
      </c>
      <c r="AF4018" s="19">
        <f t="shared" si="13"/>
        <v>2</v>
      </c>
      <c r="AG4018" s="9"/>
      <c r="AH4018" s="9"/>
      <c r="AI4018" s="9"/>
    </row>
    <row r="4019" ht="15.0" customHeight="1">
      <c r="A4019" s="11">
        <v>4018.0</v>
      </c>
      <c r="B4019" s="12">
        <f t="shared" ref="B4019:B4021" si="637">DATE(2012,12,31)-772</f>
        <v>40502</v>
      </c>
      <c r="C4019" s="13">
        <v>2010.0</v>
      </c>
      <c r="D4019" s="11" t="s">
        <v>44</v>
      </c>
      <c r="E4019" s="11">
        <v>15.0</v>
      </c>
      <c r="F4019" s="21" t="s">
        <v>405</v>
      </c>
      <c r="G4019" s="15">
        <v>0.04171390903098217</v>
      </c>
      <c r="H4019" s="11" t="s">
        <v>33</v>
      </c>
      <c r="I4019" s="16">
        <v>19.592</v>
      </c>
      <c r="J4019" s="11" t="s">
        <v>1114</v>
      </c>
      <c r="K4019" s="11" t="s">
        <v>47</v>
      </c>
      <c r="L4019" s="11" t="s">
        <v>27</v>
      </c>
      <c r="M4019" s="11" t="s">
        <v>49</v>
      </c>
      <c r="N4019" s="11" t="s">
        <v>73</v>
      </c>
      <c r="O4019" s="11" t="s">
        <v>406</v>
      </c>
      <c r="P4019" s="11" t="s">
        <v>31</v>
      </c>
      <c r="Q4019" s="20">
        <v>40503.0</v>
      </c>
      <c r="R4019" s="17">
        <f t="shared" si="2"/>
        <v>66.70437822</v>
      </c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>
        <f t="shared" si="8"/>
        <v>1</v>
      </c>
      <c r="AF4019" s="19">
        <f t="shared" si="13"/>
        <v>3</v>
      </c>
      <c r="AG4019" s="9"/>
      <c r="AH4019" s="9"/>
      <c r="AI4019" s="9"/>
    </row>
    <row r="4020" ht="15.0" customHeight="1">
      <c r="A4020" s="11">
        <v>4019.0</v>
      </c>
      <c r="B4020" s="12">
        <f t="shared" si="637"/>
        <v>40502</v>
      </c>
      <c r="C4020" s="13">
        <v>2010.0</v>
      </c>
      <c r="D4020" s="11" t="s">
        <v>32</v>
      </c>
      <c r="E4020" s="11">
        <v>44.0</v>
      </c>
      <c r="F4020" s="21" t="s">
        <v>2278</v>
      </c>
      <c r="G4020" s="15">
        <v>0.024568210262828634</v>
      </c>
      <c r="H4020" s="11" t="s">
        <v>33</v>
      </c>
      <c r="I4020" s="16">
        <v>7.4959999999999996</v>
      </c>
      <c r="J4020" s="11" t="s">
        <v>1068</v>
      </c>
      <c r="K4020" s="11" t="s">
        <v>35</v>
      </c>
      <c r="L4020" s="11" t="s">
        <v>36</v>
      </c>
      <c r="M4020" s="11" t="s">
        <v>28</v>
      </c>
      <c r="N4020" s="11" t="s">
        <v>29</v>
      </c>
      <c r="O4020" s="11" t="s">
        <v>2279</v>
      </c>
      <c r="P4020" s="11" t="s">
        <v>38</v>
      </c>
      <c r="Q4020" s="20">
        <v>40504.0</v>
      </c>
      <c r="R4020" s="17">
        <f t="shared" si="2"/>
        <v>15.31818083</v>
      </c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>
        <f t="shared" si="8"/>
        <v>2</v>
      </c>
      <c r="AF4020" s="19">
        <f t="shared" si="13"/>
        <v>2</v>
      </c>
      <c r="AG4020" s="9"/>
      <c r="AH4020" s="9"/>
      <c r="AI4020" s="9"/>
    </row>
    <row r="4021" ht="15.0" customHeight="1">
      <c r="A4021" s="11">
        <v>4020.0</v>
      </c>
      <c r="B4021" s="12">
        <f t="shared" si="637"/>
        <v>40502</v>
      </c>
      <c r="C4021" s="13">
        <v>2010.0</v>
      </c>
      <c r="D4021" s="11" t="s">
        <v>102</v>
      </c>
      <c r="E4021" s="11">
        <v>34.0</v>
      </c>
      <c r="F4021" s="21" t="s">
        <v>245</v>
      </c>
      <c r="G4021" s="15">
        <v>0.07493351994401672</v>
      </c>
      <c r="H4021" s="11" t="s">
        <v>33</v>
      </c>
      <c r="I4021" s="16">
        <v>5.5760000000000005</v>
      </c>
      <c r="J4021" s="11" t="s">
        <v>1529</v>
      </c>
      <c r="K4021" s="11" t="s">
        <v>61</v>
      </c>
      <c r="L4021" s="11" t="s">
        <v>27</v>
      </c>
      <c r="M4021" s="11" t="s">
        <v>28</v>
      </c>
      <c r="N4021" s="11" t="s">
        <v>236</v>
      </c>
      <c r="O4021" s="11" t="s">
        <v>376</v>
      </c>
      <c r="P4021" s="11" t="s">
        <v>38</v>
      </c>
      <c r="Q4021" s="20">
        <v>40504.0</v>
      </c>
      <c r="R4021" s="17">
        <f t="shared" si="2"/>
        <v>29.71683561</v>
      </c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>
        <f t="shared" si="8"/>
        <v>1</v>
      </c>
      <c r="AF4021" s="19">
        <f t="shared" si="13"/>
        <v>4</v>
      </c>
      <c r="AG4021" s="9"/>
      <c r="AH4021" s="9"/>
      <c r="AI4021" s="9"/>
    </row>
    <row r="4022" ht="15.0" customHeight="1">
      <c r="A4022" s="11">
        <v>4021.0</v>
      </c>
      <c r="B4022" s="12">
        <f t="shared" ref="B4022:B4027" si="638">DATE(2012,12,31)-771</f>
        <v>40503</v>
      </c>
      <c r="C4022" s="13">
        <v>2010.0</v>
      </c>
      <c r="D4022" s="11" t="s">
        <v>102</v>
      </c>
      <c r="E4022" s="11">
        <v>40.0</v>
      </c>
      <c r="F4022" s="21" t="s">
        <v>1136</v>
      </c>
      <c r="G4022" s="15">
        <v>0.05244681944301722</v>
      </c>
      <c r="H4022" s="11" t="s">
        <v>33</v>
      </c>
      <c r="I4022" s="16">
        <v>6.064</v>
      </c>
      <c r="J4022" s="11" t="s">
        <v>274</v>
      </c>
      <c r="K4022" s="11" t="s">
        <v>35</v>
      </c>
      <c r="L4022" s="11" t="s">
        <v>48</v>
      </c>
      <c r="M4022" s="11" t="s">
        <v>49</v>
      </c>
      <c r="N4022" s="11" t="s">
        <v>73</v>
      </c>
      <c r="O4022" s="11" t="s">
        <v>2284</v>
      </c>
      <c r="P4022" s="11" t="s">
        <v>38</v>
      </c>
      <c r="Q4022" s="20">
        <v>40504.0</v>
      </c>
      <c r="R4022" s="17">
        <f t="shared" si="2"/>
        <v>48.35932412</v>
      </c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>
        <f t="shared" si="8"/>
        <v>4</v>
      </c>
      <c r="AF4022" s="19">
        <f t="shared" si="13"/>
        <v>2</v>
      </c>
      <c r="AG4022" s="9"/>
      <c r="AH4022" s="9"/>
      <c r="AI4022" s="9"/>
    </row>
    <row r="4023" ht="15.0" customHeight="1">
      <c r="A4023" s="11">
        <v>4022.0</v>
      </c>
      <c r="B4023" s="12">
        <f t="shared" si="638"/>
        <v>40503</v>
      </c>
      <c r="C4023" s="13">
        <v>2010.0</v>
      </c>
      <c r="D4023" s="11" t="s">
        <v>23</v>
      </c>
      <c r="E4023" s="11">
        <v>40.0</v>
      </c>
      <c r="F4023" s="21" t="s">
        <v>752</v>
      </c>
      <c r="G4023" s="15">
        <v>0.09129081465877315</v>
      </c>
      <c r="H4023" s="11" t="s">
        <v>24</v>
      </c>
      <c r="I4023" s="16">
        <v>19.592</v>
      </c>
      <c r="J4023" s="11" t="s">
        <v>2384</v>
      </c>
      <c r="K4023" s="11" t="s">
        <v>61</v>
      </c>
      <c r="L4023" s="11" t="s">
        <v>27</v>
      </c>
      <c r="M4023" s="11" t="s">
        <v>66</v>
      </c>
      <c r="N4023" s="11" t="s">
        <v>170</v>
      </c>
      <c r="O4023" s="11" t="s">
        <v>753</v>
      </c>
      <c r="P4023" s="11" t="s">
        <v>31</v>
      </c>
      <c r="Q4023" s="20">
        <v>40504.0</v>
      </c>
      <c r="R4023" s="17">
        <f t="shared" si="2"/>
        <v>1827.2397</v>
      </c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>
        <f t="shared" si="8"/>
        <v>1</v>
      </c>
      <c r="AF4023" s="19">
        <f t="shared" si="13"/>
        <v>4</v>
      </c>
      <c r="AG4023" s="9"/>
      <c r="AH4023" s="9"/>
      <c r="AI4023" s="9"/>
    </row>
    <row r="4024" ht="15.0" customHeight="1">
      <c r="A4024" s="11">
        <v>4023.0</v>
      </c>
      <c r="B4024" s="12">
        <f t="shared" si="638"/>
        <v>40503</v>
      </c>
      <c r="C4024" s="13">
        <v>2010.0</v>
      </c>
      <c r="D4024" s="11" t="s">
        <v>23</v>
      </c>
      <c r="E4024" s="11">
        <v>27.0</v>
      </c>
      <c r="F4024" s="21" t="s">
        <v>319</v>
      </c>
      <c r="G4024" s="15">
        <v>0.05382248520710061</v>
      </c>
      <c r="H4024" s="11" t="s">
        <v>33</v>
      </c>
      <c r="I4024" s="16">
        <v>4.352</v>
      </c>
      <c r="J4024" s="11" t="s">
        <v>561</v>
      </c>
      <c r="K4024" s="11" t="s">
        <v>65</v>
      </c>
      <c r="L4024" s="11" t="s">
        <v>36</v>
      </c>
      <c r="M4024" s="11" t="s">
        <v>28</v>
      </c>
      <c r="N4024" s="11" t="s">
        <v>42</v>
      </c>
      <c r="O4024" s="11" t="s">
        <v>2345</v>
      </c>
      <c r="P4024" s="11" t="s">
        <v>38</v>
      </c>
      <c r="Q4024" s="20">
        <v>40504.0</v>
      </c>
      <c r="R4024" s="17">
        <f t="shared" si="2"/>
        <v>4.303215337</v>
      </c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>
        <f t="shared" si="8"/>
        <v>2</v>
      </c>
      <c r="AF4024" s="19">
        <f t="shared" si="13"/>
        <v>5</v>
      </c>
      <c r="AG4024" s="9"/>
      <c r="AH4024" s="9"/>
      <c r="AI4024" s="9"/>
    </row>
    <row r="4025" ht="15.0" customHeight="1">
      <c r="A4025" s="11">
        <v>4024.0</v>
      </c>
      <c r="B4025" s="12">
        <f t="shared" si="638"/>
        <v>40503</v>
      </c>
      <c r="C4025" s="13">
        <v>2010.0</v>
      </c>
      <c r="D4025" s="11" t="s">
        <v>23</v>
      </c>
      <c r="E4025" s="11">
        <v>13.0</v>
      </c>
      <c r="F4025" s="21" t="s">
        <v>810</v>
      </c>
      <c r="G4025" s="15">
        <v>0.013450608930987817</v>
      </c>
      <c r="H4025" s="11" t="s">
        <v>33</v>
      </c>
      <c r="I4025" s="16">
        <v>4.112</v>
      </c>
      <c r="J4025" s="11" t="s">
        <v>561</v>
      </c>
      <c r="K4025" s="11" t="s">
        <v>65</v>
      </c>
      <c r="L4025" s="11" t="s">
        <v>36</v>
      </c>
      <c r="M4025" s="11" t="s">
        <v>28</v>
      </c>
      <c r="N4025" s="11" t="s">
        <v>42</v>
      </c>
      <c r="O4025" s="11" t="s">
        <v>1778</v>
      </c>
      <c r="P4025" s="11" t="s">
        <v>38</v>
      </c>
      <c r="Q4025" s="20">
        <v>40504.0</v>
      </c>
      <c r="R4025" s="17">
        <f t="shared" si="2"/>
        <v>1.961260189</v>
      </c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>
        <f t="shared" si="8"/>
        <v>2</v>
      </c>
      <c r="AF4025" s="19">
        <f t="shared" si="13"/>
        <v>5</v>
      </c>
      <c r="AG4025" s="9"/>
      <c r="AH4025" s="9"/>
      <c r="AI4025" s="9"/>
    </row>
    <row r="4026" ht="15.0" customHeight="1">
      <c r="A4026" s="11">
        <v>4025.0</v>
      </c>
      <c r="B4026" s="12">
        <f t="shared" si="638"/>
        <v>40503</v>
      </c>
      <c r="C4026" s="13">
        <v>2010.0</v>
      </c>
      <c r="D4026" s="11" t="s">
        <v>39</v>
      </c>
      <c r="E4026" s="11">
        <v>19.0</v>
      </c>
      <c r="F4026" s="21" t="s">
        <v>1156</v>
      </c>
      <c r="G4026" s="15">
        <v>0.04874288789789346</v>
      </c>
      <c r="H4026" s="11" t="s">
        <v>33</v>
      </c>
      <c r="I4026" s="16">
        <v>7.192</v>
      </c>
      <c r="J4026" s="11" t="s">
        <v>2169</v>
      </c>
      <c r="K4026" s="11" t="s">
        <v>26</v>
      </c>
      <c r="L4026" s="11" t="s">
        <v>48</v>
      </c>
      <c r="M4026" s="11" t="s">
        <v>66</v>
      </c>
      <c r="N4026" s="11" t="s">
        <v>80</v>
      </c>
      <c r="O4026" s="11" t="s">
        <v>2480</v>
      </c>
      <c r="P4026" s="11" t="s">
        <v>38</v>
      </c>
      <c r="Q4026" s="20">
        <v>40505.0</v>
      </c>
      <c r="R4026" s="17">
        <f t="shared" si="2"/>
        <v>144.7318671</v>
      </c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>
        <f t="shared" si="8"/>
        <v>4</v>
      </c>
      <c r="AF4026" s="19">
        <f t="shared" si="13"/>
        <v>1</v>
      </c>
      <c r="AG4026" s="9"/>
      <c r="AH4026" s="9"/>
      <c r="AI4026" s="9"/>
    </row>
    <row r="4027" ht="15.0" customHeight="1">
      <c r="A4027" s="11">
        <v>4026.0</v>
      </c>
      <c r="B4027" s="12">
        <f t="shared" si="638"/>
        <v>40503</v>
      </c>
      <c r="C4027" s="13">
        <v>2010.0</v>
      </c>
      <c r="D4027" s="11" t="s">
        <v>44</v>
      </c>
      <c r="E4027" s="11">
        <v>11.0</v>
      </c>
      <c r="F4027" s="21" t="s">
        <v>178</v>
      </c>
      <c r="G4027" s="15">
        <v>0.023168290404377286</v>
      </c>
      <c r="H4027" s="11" t="s">
        <v>33</v>
      </c>
      <c r="I4027" s="16">
        <v>7.040000000000001</v>
      </c>
      <c r="J4027" s="11" t="s">
        <v>1634</v>
      </c>
      <c r="K4027" s="11" t="s">
        <v>65</v>
      </c>
      <c r="L4027" s="11" t="s">
        <v>41</v>
      </c>
      <c r="M4027" s="11" t="s">
        <v>66</v>
      </c>
      <c r="N4027" s="11" t="s">
        <v>80</v>
      </c>
      <c r="O4027" s="11" t="s">
        <v>812</v>
      </c>
      <c r="P4027" s="11" t="s">
        <v>38</v>
      </c>
      <c r="Q4027" s="20">
        <v>40505.0</v>
      </c>
      <c r="R4027" s="17">
        <f t="shared" si="2"/>
        <v>16.95779848</v>
      </c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>
        <f t="shared" si="8"/>
        <v>3</v>
      </c>
      <c r="AF4027" s="19">
        <f t="shared" si="13"/>
        <v>5</v>
      </c>
      <c r="AG4027" s="9"/>
      <c r="AH4027" s="9"/>
      <c r="AI4027" s="9"/>
    </row>
    <row r="4028" ht="15.0" customHeight="1">
      <c r="A4028" s="11">
        <v>4027.0</v>
      </c>
      <c r="B4028" s="12">
        <f t="shared" ref="B4028:B4034" si="639">DATE(2012,12,31)-770</f>
        <v>40504</v>
      </c>
      <c r="C4028" s="13">
        <v>2010.0</v>
      </c>
      <c r="D4028" s="11" t="s">
        <v>32</v>
      </c>
      <c r="E4028" s="11">
        <v>25.0</v>
      </c>
      <c r="F4028" s="21" t="s">
        <v>952</v>
      </c>
      <c r="G4028" s="15">
        <v>0.05704701863666046</v>
      </c>
      <c r="H4028" s="11" t="s">
        <v>33</v>
      </c>
      <c r="I4028" s="16">
        <v>19.592</v>
      </c>
      <c r="J4028" s="11" t="s">
        <v>1948</v>
      </c>
      <c r="K4028" s="11" t="s">
        <v>61</v>
      </c>
      <c r="L4028" s="11" t="s">
        <v>41</v>
      </c>
      <c r="M4028" s="11" t="s">
        <v>66</v>
      </c>
      <c r="N4028" s="11" t="s">
        <v>170</v>
      </c>
      <c r="O4028" s="11" t="s">
        <v>954</v>
      </c>
      <c r="P4028" s="11" t="s">
        <v>31</v>
      </c>
      <c r="Q4028" s="20">
        <v>40505.0</v>
      </c>
      <c r="R4028" s="17">
        <f t="shared" si="2"/>
        <v>856.6803272</v>
      </c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>
        <f t="shared" si="8"/>
        <v>3</v>
      </c>
      <c r="AF4028" s="19">
        <f t="shared" si="13"/>
        <v>4</v>
      </c>
      <c r="AG4028" s="9"/>
      <c r="AH4028" s="9"/>
      <c r="AI4028" s="9"/>
    </row>
    <row r="4029" ht="15.0" customHeight="1">
      <c r="A4029" s="11">
        <v>4028.0</v>
      </c>
      <c r="B4029" s="12">
        <f t="shared" si="639"/>
        <v>40504</v>
      </c>
      <c r="C4029" s="13">
        <v>2010.0</v>
      </c>
      <c r="D4029" s="11" t="s">
        <v>32</v>
      </c>
      <c r="E4029" s="11">
        <v>38.0</v>
      </c>
      <c r="F4029" s="21" t="s">
        <v>290</v>
      </c>
      <c r="G4029" s="15">
        <v>0.07212598425196858</v>
      </c>
      <c r="H4029" s="11" t="s">
        <v>33</v>
      </c>
      <c r="I4029" s="16">
        <v>5.376</v>
      </c>
      <c r="J4029" s="11" t="s">
        <v>1948</v>
      </c>
      <c r="K4029" s="11" t="s">
        <v>61</v>
      </c>
      <c r="L4029" s="11" t="s">
        <v>41</v>
      </c>
      <c r="M4029" s="11" t="s">
        <v>28</v>
      </c>
      <c r="N4029" s="11" t="s">
        <v>56</v>
      </c>
      <c r="O4029" s="11" t="s">
        <v>2233</v>
      </c>
      <c r="P4029" s="11" t="s">
        <v>38</v>
      </c>
      <c r="Q4029" s="20">
        <v>40505.0</v>
      </c>
      <c r="R4029" s="17">
        <f t="shared" si="2"/>
        <v>11.89905638</v>
      </c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>
        <f t="shared" si="8"/>
        <v>3</v>
      </c>
      <c r="AF4029" s="19">
        <f t="shared" si="13"/>
        <v>4</v>
      </c>
      <c r="AG4029" s="9"/>
      <c r="AH4029" s="9"/>
      <c r="AI4029" s="9"/>
    </row>
    <row r="4030" ht="15.0" customHeight="1">
      <c r="A4030" s="11">
        <v>4029.0</v>
      </c>
      <c r="B4030" s="12">
        <f t="shared" si="639"/>
        <v>40504</v>
      </c>
      <c r="C4030" s="13">
        <v>2010.0</v>
      </c>
      <c r="D4030" s="11" t="s">
        <v>44</v>
      </c>
      <c r="E4030" s="11">
        <v>6.0</v>
      </c>
      <c r="F4030" s="21" t="s">
        <v>1156</v>
      </c>
      <c r="G4030" s="15">
        <v>0.012268678612595469</v>
      </c>
      <c r="H4030" s="11" t="s">
        <v>33</v>
      </c>
      <c r="I4030" s="16">
        <v>7.192</v>
      </c>
      <c r="J4030" s="11" t="s">
        <v>1017</v>
      </c>
      <c r="K4030" s="11" t="s">
        <v>117</v>
      </c>
      <c r="L4030" s="11" t="s">
        <v>48</v>
      </c>
      <c r="M4030" s="11" t="s">
        <v>66</v>
      </c>
      <c r="N4030" s="11" t="s">
        <v>80</v>
      </c>
      <c r="O4030" s="11" t="s">
        <v>2480</v>
      </c>
      <c r="P4030" s="11" t="s">
        <v>38</v>
      </c>
      <c r="Q4030" s="20">
        <v>40505.0</v>
      </c>
      <c r="R4030" s="17">
        <f t="shared" si="2"/>
        <v>11.56435831</v>
      </c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>
        <f t="shared" si="8"/>
        <v>4</v>
      </c>
      <c r="AF4030" s="19" t="b">
        <f t="shared" si="13"/>
        <v>0</v>
      </c>
      <c r="AG4030" s="9"/>
      <c r="AH4030" s="9"/>
      <c r="AI4030" s="9"/>
    </row>
    <row r="4031" ht="15.0" customHeight="1">
      <c r="A4031" s="11">
        <v>4030.0</v>
      </c>
      <c r="B4031" s="12">
        <f t="shared" si="639"/>
        <v>40504</v>
      </c>
      <c r="C4031" s="13">
        <v>2010.0</v>
      </c>
      <c r="D4031" s="11" t="s">
        <v>32</v>
      </c>
      <c r="E4031" s="11">
        <v>33.0</v>
      </c>
      <c r="F4031" s="21" t="s">
        <v>122</v>
      </c>
      <c r="G4031" s="15">
        <v>0.07823788546255514</v>
      </c>
      <c r="H4031" s="11" t="s">
        <v>33</v>
      </c>
      <c r="I4031" s="16">
        <v>0.792</v>
      </c>
      <c r="J4031" s="11" t="s">
        <v>1314</v>
      </c>
      <c r="K4031" s="11" t="s">
        <v>47</v>
      </c>
      <c r="L4031" s="11" t="s">
        <v>48</v>
      </c>
      <c r="M4031" s="11" t="s">
        <v>66</v>
      </c>
      <c r="N4031" s="11" t="s">
        <v>80</v>
      </c>
      <c r="O4031" s="11" t="s">
        <v>1721</v>
      </c>
      <c r="P4031" s="11" t="s">
        <v>99</v>
      </c>
      <c r="Q4031" s="20">
        <v>40505.0</v>
      </c>
      <c r="R4031" s="17">
        <f t="shared" si="2"/>
        <v>54.02263401</v>
      </c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>
        <f t="shared" si="8"/>
        <v>4</v>
      </c>
      <c r="AF4031" s="19">
        <f t="shared" si="13"/>
        <v>3</v>
      </c>
      <c r="AG4031" s="9"/>
      <c r="AH4031" s="9"/>
      <c r="AI4031" s="9"/>
    </row>
    <row r="4032" ht="15.0" customHeight="1">
      <c r="A4032" s="11">
        <v>4031.0</v>
      </c>
      <c r="B4032" s="12">
        <f t="shared" si="639"/>
        <v>40504</v>
      </c>
      <c r="C4032" s="13">
        <v>2010.0</v>
      </c>
      <c r="D4032" s="11" t="s">
        <v>32</v>
      </c>
      <c r="E4032" s="11">
        <v>13.0</v>
      </c>
      <c r="F4032" s="21" t="s">
        <v>413</v>
      </c>
      <c r="G4032" s="15">
        <v>0.019938366718027904</v>
      </c>
      <c r="H4032" s="11" t="s">
        <v>24</v>
      </c>
      <c r="I4032" s="16">
        <v>1.1119999999999999</v>
      </c>
      <c r="J4032" s="11" t="s">
        <v>1314</v>
      </c>
      <c r="K4032" s="11" t="s">
        <v>47</v>
      </c>
      <c r="L4032" s="11" t="s">
        <v>48</v>
      </c>
      <c r="M4032" s="11" t="s">
        <v>28</v>
      </c>
      <c r="N4032" s="11" t="s">
        <v>236</v>
      </c>
      <c r="O4032" s="11" t="s">
        <v>809</v>
      </c>
      <c r="P4032" s="11" t="s">
        <v>38</v>
      </c>
      <c r="Q4032" s="20">
        <v>40505.0</v>
      </c>
      <c r="R4032" s="17">
        <f t="shared" si="2"/>
        <v>2.536399507</v>
      </c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>
        <f t="shared" si="8"/>
        <v>4</v>
      </c>
      <c r="AF4032" s="19">
        <f t="shared" si="13"/>
        <v>3</v>
      </c>
      <c r="AG4032" s="9"/>
      <c r="AH4032" s="9"/>
      <c r="AI4032" s="9"/>
    </row>
    <row r="4033" ht="15.0" customHeight="1">
      <c r="A4033" s="11">
        <v>4032.0</v>
      </c>
      <c r="B4033" s="12">
        <f t="shared" si="639"/>
        <v>40504</v>
      </c>
      <c r="C4033" s="13">
        <v>2010.0</v>
      </c>
      <c r="D4033" s="11" t="s">
        <v>44</v>
      </c>
      <c r="E4033" s="11">
        <v>9.0</v>
      </c>
      <c r="F4033" s="21" t="s">
        <v>569</v>
      </c>
      <c r="G4033" s="15">
        <v>0.08340597758405978</v>
      </c>
      <c r="H4033" s="11" t="s">
        <v>33</v>
      </c>
      <c r="I4033" s="16">
        <v>3.3600000000000003</v>
      </c>
      <c r="J4033" s="11" t="s">
        <v>930</v>
      </c>
      <c r="K4033" s="11" t="s">
        <v>61</v>
      </c>
      <c r="L4033" s="11" t="s">
        <v>27</v>
      </c>
      <c r="M4033" s="11" t="s">
        <v>66</v>
      </c>
      <c r="N4033" s="11" t="s">
        <v>80</v>
      </c>
      <c r="O4033" s="11" t="s">
        <v>1834</v>
      </c>
      <c r="P4033" s="11" t="s">
        <v>38</v>
      </c>
      <c r="Q4033" s="20">
        <v>40506.0</v>
      </c>
      <c r="R4033" s="17">
        <f t="shared" si="2"/>
        <v>147.3333232</v>
      </c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>
        <f t="shared" si="8"/>
        <v>1</v>
      </c>
      <c r="AF4033" s="19">
        <f t="shared" si="13"/>
        <v>4</v>
      </c>
      <c r="AG4033" s="9"/>
      <c r="AH4033" s="9"/>
      <c r="AI4033" s="9"/>
    </row>
    <row r="4034" ht="15.0" customHeight="1">
      <c r="A4034" s="11">
        <v>4033.0</v>
      </c>
      <c r="B4034" s="12">
        <f t="shared" si="639"/>
        <v>40504</v>
      </c>
      <c r="C4034" s="13">
        <v>2010.0</v>
      </c>
      <c r="D4034" s="11" t="s">
        <v>23</v>
      </c>
      <c r="E4034" s="11">
        <v>11.0</v>
      </c>
      <c r="F4034" s="21" t="s">
        <v>2481</v>
      </c>
      <c r="G4034" s="15">
        <v>0.1360563380281689</v>
      </c>
      <c r="H4034" s="11" t="s">
        <v>33</v>
      </c>
      <c r="I4034" s="16">
        <v>2.368</v>
      </c>
      <c r="J4034" s="11" t="s">
        <v>329</v>
      </c>
      <c r="K4034" s="11" t="s">
        <v>26</v>
      </c>
      <c r="L4034" s="11" t="s">
        <v>41</v>
      </c>
      <c r="M4034" s="11" t="s">
        <v>66</v>
      </c>
      <c r="N4034" s="11" t="s">
        <v>67</v>
      </c>
      <c r="O4034" s="11" t="s">
        <v>2482</v>
      </c>
      <c r="P4034" s="11" t="s">
        <v>99</v>
      </c>
      <c r="Q4034" s="20">
        <v>40506.0</v>
      </c>
      <c r="R4034" s="17">
        <f t="shared" si="2"/>
        <v>1.669139155</v>
      </c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>
        <f t="shared" si="8"/>
        <v>3</v>
      </c>
      <c r="AF4034" s="19">
        <f t="shared" si="13"/>
        <v>1</v>
      </c>
      <c r="AG4034" s="9"/>
      <c r="AH4034" s="9"/>
      <c r="AI4034" s="9"/>
    </row>
    <row r="4035" ht="15.0" customHeight="1">
      <c r="A4035" s="11">
        <v>4034.0</v>
      </c>
      <c r="B4035" s="12">
        <f t="shared" ref="B4035:B4045" si="640">DATE(2012,12,31)-769</f>
        <v>40505</v>
      </c>
      <c r="C4035" s="13">
        <v>2010.0</v>
      </c>
      <c r="D4035" s="11" t="s">
        <v>102</v>
      </c>
      <c r="E4035" s="11">
        <v>45.0</v>
      </c>
      <c r="F4035" s="21" t="s">
        <v>290</v>
      </c>
      <c r="G4035" s="15">
        <v>0.03366218236173393</v>
      </c>
      <c r="H4035" s="11" t="s">
        <v>33</v>
      </c>
      <c r="I4035" s="16">
        <v>4.944</v>
      </c>
      <c r="J4035" s="11" t="s">
        <v>713</v>
      </c>
      <c r="K4035" s="11" t="s">
        <v>714</v>
      </c>
      <c r="L4035" s="11" t="s">
        <v>27</v>
      </c>
      <c r="M4035" s="11" t="s">
        <v>28</v>
      </c>
      <c r="N4035" s="11" t="s">
        <v>56</v>
      </c>
      <c r="O4035" s="11" t="s">
        <v>2369</v>
      </c>
      <c r="P4035" s="11" t="s">
        <v>38</v>
      </c>
      <c r="Q4035" s="20">
        <v>40506.0</v>
      </c>
      <c r="R4035" s="17">
        <f t="shared" si="2"/>
        <v>6.528578296</v>
      </c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>
        <f t="shared" si="8"/>
        <v>1</v>
      </c>
      <c r="AF4035" s="19" t="b">
        <f t="shared" si="13"/>
        <v>0</v>
      </c>
      <c r="AG4035" s="9"/>
      <c r="AH4035" s="9"/>
      <c r="AI4035" s="9"/>
    </row>
    <row r="4036" ht="15.0" customHeight="1">
      <c r="A4036" s="11">
        <v>4035.0</v>
      </c>
      <c r="B4036" s="12">
        <f t="shared" si="640"/>
        <v>40505</v>
      </c>
      <c r="C4036" s="13">
        <v>2010.0</v>
      </c>
      <c r="D4036" s="11" t="s">
        <v>102</v>
      </c>
      <c r="E4036" s="11">
        <v>32.0</v>
      </c>
      <c r="F4036" s="21" t="s">
        <v>415</v>
      </c>
      <c r="G4036" s="15">
        <v>0.053183520599251</v>
      </c>
      <c r="H4036" s="11" t="s">
        <v>33</v>
      </c>
      <c r="I4036" s="16">
        <v>1.6</v>
      </c>
      <c r="J4036" s="11" t="s">
        <v>713</v>
      </c>
      <c r="K4036" s="11" t="s">
        <v>714</v>
      </c>
      <c r="L4036" s="11" t="s">
        <v>27</v>
      </c>
      <c r="M4036" s="11" t="s">
        <v>28</v>
      </c>
      <c r="N4036" s="11" t="s">
        <v>216</v>
      </c>
      <c r="O4036" s="11" t="s">
        <v>1856</v>
      </c>
      <c r="P4036" s="11" t="s">
        <v>58</v>
      </c>
      <c r="Q4036" s="20">
        <v>40506.0</v>
      </c>
      <c r="R4036" s="17">
        <f t="shared" si="2"/>
        <v>6.722397004</v>
      </c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>
        <f t="shared" si="8"/>
        <v>1</v>
      </c>
      <c r="AF4036" s="19" t="b">
        <f t="shared" si="13"/>
        <v>0</v>
      </c>
      <c r="AG4036" s="9"/>
      <c r="AH4036" s="9"/>
      <c r="AI4036" s="9"/>
    </row>
    <row r="4037" ht="15.0" customHeight="1">
      <c r="A4037" s="11">
        <v>4036.0</v>
      </c>
      <c r="B4037" s="12">
        <f t="shared" si="640"/>
        <v>40505</v>
      </c>
      <c r="C4037" s="13">
        <v>2010.0</v>
      </c>
      <c r="D4037" s="11" t="s">
        <v>32</v>
      </c>
      <c r="E4037" s="11">
        <v>13.0</v>
      </c>
      <c r="F4037" s="21" t="s">
        <v>1223</v>
      </c>
      <c r="G4037" s="15">
        <v>0.09908472479901047</v>
      </c>
      <c r="H4037" s="11" t="s">
        <v>33</v>
      </c>
      <c r="I4037" s="16">
        <v>6.656000000000001</v>
      </c>
      <c r="J4037" s="11" t="s">
        <v>504</v>
      </c>
      <c r="K4037" s="11" t="s">
        <v>117</v>
      </c>
      <c r="L4037" s="11" t="s">
        <v>48</v>
      </c>
      <c r="M4037" s="11" t="s">
        <v>28</v>
      </c>
      <c r="N4037" s="11" t="s">
        <v>56</v>
      </c>
      <c r="O4037" s="11" t="s">
        <v>2376</v>
      </c>
      <c r="P4037" s="11" t="s">
        <v>58</v>
      </c>
      <c r="Q4037" s="20">
        <v>40506.0</v>
      </c>
      <c r="R4037" s="17">
        <f t="shared" si="2"/>
        <v>28.86892908</v>
      </c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>
        <f t="shared" si="8"/>
        <v>4</v>
      </c>
      <c r="AF4037" s="19" t="b">
        <f t="shared" si="13"/>
        <v>0</v>
      </c>
      <c r="AG4037" s="9"/>
      <c r="AH4037" s="9"/>
      <c r="AI4037" s="9"/>
    </row>
    <row r="4038" ht="15.0" customHeight="1">
      <c r="A4038" s="11">
        <v>4037.0</v>
      </c>
      <c r="B4038" s="12">
        <f t="shared" si="640"/>
        <v>40505</v>
      </c>
      <c r="C4038" s="13">
        <v>2010.0</v>
      </c>
      <c r="D4038" s="11" t="s">
        <v>32</v>
      </c>
      <c r="E4038" s="11">
        <v>43.0</v>
      </c>
      <c r="F4038" s="21" t="s">
        <v>569</v>
      </c>
      <c r="G4038" s="15">
        <v>0.08307668871866293</v>
      </c>
      <c r="H4038" s="11" t="s">
        <v>33</v>
      </c>
      <c r="I4038" s="16">
        <v>3.192</v>
      </c>
      <c r="J4038" s="11" t="s">
        <v>504</v>
      </c>
      <c r="K4038" s="11" t="s">
        <v>117</v>
      </c>
      <c r="L4038" s="11" t="s">
        <v>48</v>
      </c>
      <c r="M4038" s="11" t="s">
        <v>66</v>
      </c>
      <c r="N4038" s="11" t="s">
        <v>80</v>
      </c>
      <c r="O4038" s="11" t="s">
        <v>2483</v>
      </c>
      <c r="P4038" s="11" t="s">
        <v>38</v>
      </c>
      <c r="Q4038" s="20">
        <v>40507.0</v>
      </c>
      <c r="R4038" s="17">
        <f t="shared" si="2"/>
        <v>700.0782835</v>
      </c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>
        <f t="shared" si="8"/>
        <v>4</v>
      </c>
      <c r="AF4038" s="19" t="b">
        <f t="shared" si="13"/>
        <v>0</v>
      </c>
      <c r="AG4038" s="9"/>
      <c r="AH4038" s="9"/>
      <c r="AI4038" s="9"/>
    </row>
    <row r="4039" ht="15.0" customHeight="1">
      <c r="A4039" s="11">
        <v>4038.0</v>
      </c>
      <c r="B4039" s="12">
        <f t="shared" si="640"/>
        <v>40505</v>
      </c>
      <c r="C4039" s="13">
        <v>2010.0</v>
      </c>
      <c r="D4039" s="11" t="s">
        <v>23</v>
      </c>
      <c r="E4039" s="11">
        <v>35.0</v>
      </c>
      <c r="F4039" s="21" t="s">
        <v>440</v>
      </c>
      <c r="G4039" s="15">
        <v>0.01894394800974812</v>
      </c>
      <c r="H4039" s="11" t="s">
        <v>33</v>
      </c>
      <c r="I4039" s="16">
        <v>3.536</v>
      </c>
      <c r="J4039" s="11" t="s">
        <v>960</v>
      </c>
      <c r="K4039" s="11" t="s">
        <v>65</v>
      </c>
      <c r="L4039" s="11" t="s">
        <v>36</v>
      </c>
      <c r="M4039" s="11" t="s">
        <v>28</v>
      </c>
      <c r="N4039" s="11" t="s">
        <v>442</v>
      </c>
      <c r="O4039" s="11" t="s">
        <v>2484</v>
      </c>
      <c r="P4039" s="11" t="s">
        <v>99</v>
      </c>
      <c r="Q4039" s="20">
        <v>40507.0</v>
      </c>
      <c r="R4039" s="17">
        <f t="shared" si="2"/>
        <v>4.575645426</v>
      </c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>
        <f t="shared" si="8"/>
        <v>2</v>
      </c>
      <c r="AF4039" s="19">
        <f t="shared" si="13"/>
        <v>5</v>
      </c>
      <c r="AG4039" s="9"/>
      <c r="AH4039" s="9"/>
      <c r="AI4039" s="9"/>
    </row>
    <row r="4040" ht="15.0" customHeight="1">
      <c r="A4040" s="11">
        <v>4039.0</v>
      </c>
      <c r="B4040" s="12">
        <f t="shared" si="640"/>
        <v>40505</v>
      </c>
      <c r="C4040" s="13">
        <v>2010.0</v>
      </c>
      <c r="D4040" s="11" t="s">
        <v>23</v>
      </c>
      <c r="E4040" s="11">
        <v>29.0</v>
      </c>
      <c r="F4040" s="21" t="s">
        <v>336</v>
      </c>
      <c r="G4040" s="15">
        <v>0.08102229472539427</v>
      </c>
      <c r="H4040" s="11" t="s">
        <v>33</v>
      </c>
      <c r="I4040" s="16">
        <v>0.8</v>
      </c>
      <c r="J4040" s="11" t="s">
        <v>960</v>
      </c>
      <c r="K4040" s="11" t="s">
        <v>65</v>
      </c>
      <c r="L4040" s="11" t="s">
        <v>36</v>
      </c>
      <c r="M4040" s="11" t="s">
        <v>28</v>
      </c>
      <c r="N4040" s="11" t="s">
        <v>62</v>
      </c>
      <c r="O4040" s="11" t="s">
        <v>2107</v>
      </c>
      <c r="P4040" s="11" t="s">
        <v>58</v>
      </c>
      <c r="Q4040" s="20">
        <v>40507.0</v>
      </c>
      <c r="R4040" s="17">
        <f t="shared" si="2"/>
        <v>13.69276781</v>
      </c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>
        <f t="shared" si="8"/>
        <v>2</v>
      </c>
      <c r="AF4040" s="19">
        <f t="shared" si="13"/>
        <v>5</v>
      </c>
      <c r="AG4040" s="9"/>
      <c r="AH4040" s="9"/>
      <c r="AI4040" s="9"/>
    </row>
    <row r="4041" ht="15.0" customHeight="1">
      <c r="A4041" s="11">
        <v>4040.0</v>
      </c>
      <c r="B4041" s="12">
        <f t="shared" si="640"/>
        <v>40505</v>
      </c>
      <c r="C4041" s="13">
        <v>2010.0</v>
      </c>
      <c r="D4041" s="11" t="s">
        <v>23</v>
      </c>
      <c r="E4041" s="11">
        <v>31.0</v>
      </c>
      <c r="F4041" s="21" t="s">
        <v>1795</v>
      </c>
      <c r="G4041" s="15">
        <v>0.011432615330178229</v>
      </c>
      <c r="H4041" s="11" t="s">
        <v>45</v>
      </c>
      <c r="I4041" s="16">
        <v>49.408</v>
      </c>
      <c r="J4041" s="11" t="s">
        <v>960</v>
      </c>
      <c r="K4041" s="11" t="s">
        <v>65</v>
      </c>
      <c r="L4041" s="11" t="s">
        <v>36</v>
      </c>
      <c r="M4041" s="11" t="s">
        <v>49</v>
      </c>
      <c r="N4041" s="11" t="s">
        <v>85</v>
      </c>
      <c r="O4041" s="11" t="s">
        <v>1796</v>
      </c>
      <c r="P4041" s="11" t="s">
        <v>87</v>
      </c>
      <c r="Q4041" s="20">
        <v>40507.0</v>
      </c>
      <c r="R4041" s="17">
        <f t="shared" si="2"/>
        <v>102.209959</v>
      </c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>
        <f t="shared" si="8"/>
        <v>2</v>
      </c>
      <c r="AF4041" s="19">
        <f t="shared" si="13"/>
        <v>5</v>
      </c>
      <c r="AG4041" s="9"/>
      <c r="AH4041" s="9"/>
      <c r="AI4041" s="9"/>
    </row>
    <row r="4042" ht="15.0" customHeight="1">
      <c r="A4042" s="11">
        <v>4041.0</v>
      </c>
      <c r="B4042" s="12">
        <f t="shared" si="640"/>
        <v>40505</v>
      </c>
      <c r="C4042" s="13">
        <v>2010.0</v>
      </c>
      <c r="D4042" s="11" t="s">
        <v>102</v>
      </c>
      <c r="E4042" s="11">
        <v>1.0</v>
      </c>
      <c r="F4042" s="21" t="s">
        <v>328</v>
      </c>
      <c r="G4042" s="15">
        <v>0.12967741935483867</v>
      </c>
      <c r="H4042" s="11" t="s">
        <v>45</v>
      </c>
      <c r="I4042" s="16">
        <v>24.0</v>
      </c>
      <c r="J4042" s="11" t="s">
        <v>145</v>
      </c>
      <c r="K4042" s="11" t="s">
        <v>83</v>
      </c>
      <c r="L4042" s="11" t="s">
        <v>41</v>
      </c>
      <c r="M4042" s="11" t="s">
        <v>49</v>
      </c>
      <c r="N4042" s="11" t="s">
        <v>50</v>
      </c>
      <c r="O4042" s="11" t="s">
        <v>2458</v>
      </c>
      <c r="P4042" s="11" t="s">
        <v>52</v>
      </c>
      <c r="Q4042" s="20">
        <v>40507.0</v>
      </c>
      <c r="R4042" s="17">
        <f t="shared" si="2"/>
        <v>17.49348387</v>
      </c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>
        <f t="shared" si="8"/>
        <v>3</v>
      </c>
      <c r="AF4042" s="19" t="b">
        <f t="shared" si="13"/>
        <v>0</v>
      </c>
      <c r="AG4042" s="9"/>
      <c r="AH4042" s="9"/>
      <c r="AI4042" s="9"/>
    </row>
    <row r="4043" ht="15.0" customHeight="1">
      <c r="A4043" s="11">
        <v>4042.0</v>
      </c>
      <c r="B4043" s="12">
        <f t="shared" si="640"/>
        <v>40505</v>
      </c>
      <c r="C4043" s="13">
        <v>2010.0</v>
      </c>
      <c r="D4043" s="11" t="s">
        <v>102</v>
      </c>
      <c r="E4043" s="11">
        <v>19.0</v>
      </c>
      <c r="F4043" s="21" t="s">
        <v>1156</v>
      </c>
      <c r="G4043" s="15">
        <v>0.04873069776382398</v>
      </c>
      <c r="H4043" s="11" t="s">
        <v>33</v>
      </c>
      <c r="I4043" s="16">
        <v>7.192</v>
      </c>
      <c r="J4043" s="11" t="s">
        <v>145</v>
      </c>
      <c r="K4043" s="11" t="s">
        <v>83</v>
      </c>
      <c r="L4043" s="11" t="s">
        <v>41</v>
      </c>
      <c r="M4043" s="11" t="s">
        <v>66</v>
      </c>
      <c r="N4043" s="11" t="s">
        <v>80</v>
      </c>
      <c r="O4043" s="11" t="s">
        <v>2480</v>
      </c>
      <c r="P4043" s="11" t="s">
        <v>38</v>
      </c>
      <c r="Q4043" s="20">
        <v>40507.0</v>
      </c>
      <c r="R4043" s="17">
        <f t="shared" si="2"/>
        <v>144.695671</v>
      </c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>
        <f t="shared" si="8"/>
        <v>3</v>
      </c>
      <c r="AF4043" s="19" t="b">
        <f t="shared" si="13"/>
        <v>0</v>
      </c>
      <c r="AG4043" s="9"/>
      <c r="AH4043" s="9"/>
      <c r="AI4043" s="9"/>
    </row>
    <row r="4044" ht="15.0" customHeight="1">
      <c r="A4044" s="11">
        <v>4043.0</v>
      </c>
      <c r="B4044" s="12">
        <f t="shared" si="640"/>
        <v>40505</v>
      </c>
      <c r="C4044" s="13">
        <v>2010.0</v>
      </c>
      <c r="D4044" s="11" t="s">
        <v>23</v>
      </c>
      <c r="E4044" s="11">
        <v>43.0</v>
      </c>
      <c r="F4044" s="21" t="s">
        <v>142</v>
      </c>
      <c r="G4044" s="15">
        <v>0.059549128030625266</v>
      </c>
      <c r="H4044" s="11" t="s">
        <v>24</v>
      </c>
      <c r="I4044" s="16">
        <v>4.0</v>
      </c>
      <c r="J4044" s="11" t="s">
        <v>353</v>
      </c>
      <c r="K4044" s="11" t="s">
        <v>65</v>
      </c>
      <c r="L4044" s="11" t="s">
        <v>36</v>
      </c>
      <c r="M4044" s="11" t="s">
        <v>66</v>
      </c>
      <c r="N4044" s="11" t="s">
        <v>80</v>
      </c>
      <c r="O4044" s="11" t="s">
        <v>1859</v>
      </c>
      <c r="P4044" s="11" t="s">
        <v>58</v>
      </c>
      <c r="Q4044" s="20">
        <v>40507.0</v>
      </c>
      <c r="R4044" s="17">
        <f t="shared" si="2"/>
        <v>92.16418545</v>
      </c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>
        <f t="shared" si="8"/>
        <v>2</v>
      </c>
      <c r="AF4044" s="19">
        <f t="shared" si="13"/>
        <v>5</v>
      </c>
      <c r="AG4044" s="9"/>
      <c r="AH4044" s="9"/>
      <c r="AI4044" s="9"/>
    </row>
    <row r="4045" ht="15.0" customHeight="1">
      <c r="A4045" s="11">
        <v>4044.0</v>
      </c>
      <c r="B4045" s="12">
        <f t="shared" si="640"/>
        <v>40505</v>
      </c>
      <c r="C4045" s="13">
        <v>2010.0</v>
      </c>
      <c r="D4045" s="11" t="s">
        <v>23</v>
      </c>
      <c r="E4045" s="11">
        <v>20.0</v>
      </c>
      <c r="F4045" s="21" t="s">
        <v>509</v>
      </c>
      <c r="G4045" s="15">
        <v>0.04987577266998737</v>
      </c>
      <c r="H4045" s="11" t="s">
        <v>33</v>
      </c>
      <c r="I4045" s="16">
        <v>11.192</v>
      </c>
      <c r="J4045" s="11" t="s">
        <v>1633</v>
      </c>
      <c r="K4045" s="11" t="s">
        <v>117</v>
      </c>
      <c r="L4045" s="11" t="s">
        <v>48</v>
      </c>
      <c r="M4045" s="11" t="s">
        <v>28</v>
      </c>
      <c r="N4045" s="11" t="s">
        <v>197</v>
      </c>
      <c r="O4045" s="11" t="s">
        <v>511</v>
      </c>
      <c r="P4045" s="11" t="s">
        <v>75</v>
      </c>
      <c r="Q4045" s="20">
        <v>40507.0</v>
      </c>
      <c r="R4045" s="17">
        <f t="shared" si="2"/>
        <v>78.96292428</v>
      </c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>
        <f t="shared" si="8"/>
        <v>4</v>
      </c>
      <c r="AF4045" s="19" t="b">
        <f t="shared" si="13"/>
        <v>0</v>
      </c>
      <c r="AG4045" s="9"/>
      <c r="AH4045" s="9"/>
      <c r="AI4045" s="9"/>
    </row>
    <row r="4046" ht="15.0" customHeight="1">
      <c r="A4046" s="11">
        <v>4045.0</v>
      </c>
      <c r="B4046" s="12">
        <f t="shared" ref="B4046:B4058" si="641">DATE(2012,12,31)-768</f>
        <v>40506</v>
      </c>
      <c r="C4046" s="13">
        <v>2010.0</v>
      </c>
      <c r="D4046" s="11" t="s">
        <v>23</v>
      </c>
      <c r="E4046" s="11">
        <v>25.0</v>
      </c>
      <c r="F4046" s="21" t="s">
        <v>130</v>
      </c>
      <c r="G4046" s="15">
        <v>0.02756382042253519</v>
      </c>
      <c r="H4046" s="11" t="s">
        <v>33</v>
      </c>
      <c r="I4046" s="16">
        <v>5.2</v>
      </c>
      <c r="J4046" s="11" t="s">
        <v>2185</v>
      </c>
      <c r="K4046" s="11" t="s">
        <v>26</v>
      </c>
      <c r="L4046" s="11" t="s">
        <v>36</v>
      </c>
      <c r="M4046" s="11" t="s">
        <v>66</v>
      </c>
      <c r="N4046" s="11" t="s">
        <v>67</v>
      </c>
      <c r="O4046" s="11" t="s">
        <v>1305</v>
      </c>
      <c r="P4046" s="11" t="s">
        <v>38</v>
      </c>
      <c r="Q4046" s="20">
        <v>40507.0</v>
      </c>
      <c r="R4046" s="17">
        <f t="shared" si="2"/>
        <v>21.43638314</v>
      </c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>
        <f t="shared" si="8"/>
        <v>2</v>
      </c>
      <c r="AF4046" s="19">
        <f t="shared" si="13"/>
        <v>1</v>
      </c>
      <c r="AG4046" s="9"/>
      <c r="AH4046" s="9"/>
      <c r="AI4046" s="9"/>
    </row>
    <row r="4047" ht="15.0" customHeight="1">
      <c r="A4047" s="11">
        <v>4046.0</v>
      </c>
      <c r="B4047" s="12">
        <f t="shared" si="641"/>
        <v>40506</v>
      </c>
      <c r="C4047" s="13">
        <v>2010.0</v>
      </c>
      <c r="D4047" s="11" t="s">
        <v>23</v>
      </c>
      <c r="E4047" s="11">
        <v>4.0</v>
      </c>
      <c r="F4047" s="21" t="s">
        <v>415</v>
      </c>
      <c r="G4047" s="15">
        <v>0.026506024096385618</v>
      </c>
      <c r="H4047" s="11" t="s">
        <v>33</v>
      </c>
      <c r="I4047" s="16">
        <v>0.5599999999999999</v>
      </c>
      <c r="J4047" s="11" t="s">
        <v>613</v>
      </c>
      <c r="K4047" s="11" t="s">
        <v>65</v>
      </c>
      <c r="L4047" s="11" t="s">
        <v>41</v>
      </c>
      <c r="M4047" s="11" t="s">
        <v>28</v>
      </c>
      <c r="N4047" s="11" t="s">
        <v>62</v>
      </c>
      <c r="O4047" s="11" t="s">
        <v>417</v>
      </c>
      <c r="P4047" s="11" t="s">
        <v>58</v>
      </c>
      <c r="Q4047" s="20">
        <v>40508.0</v>
      </c>
      <c r="R4047" s="17">
        <f t="shared" si="2"/>
        <v>0.4283373494</v>
      </c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>
        <f t="shared" si="8"/>
        <v>3</v>
      </c>
      <c r="AF4047" s="19">
        <f t="shared" si="13"/>
        <v>5</v>
      </c>
      <c r="AG4047" s="9"/>
      <c r="AH4047" s="9"/>
      <c r="AI4047" s="9"/>
    </row>
    <row r="4048" ht="15.0" customHeight="1">
      <c r="A4048" s="11">
        <v>4047.0</v>
      </c>
      <c r="B4048" s="12">
        <f t="shared" si="641"/>
        <v>40506</v>
      </c>
      <c r="C4048" s="13">
        <v>2010.0</v>
      </c>
      <c r="D4048" s="11" t="s">
        <v>102</v>
      </c>
      <c r="E4048" s="11">
        <v>27.0</v>
      </c>
      <c r="F4048" s="21" t="s">
        <v>1227</v>
      </c>
      <c r="G4048" s="15">
        <v>0.0809160305343511</v>
      </c>
      <c r="H4048" s="11" t="s">
        <v>33</v>
      </c>
      <c r="I4048" s="16">
        <v>0.8</v>
      </c>
      <c r="J4048" s="11" t="s">
        <v>839</v>
      </c>
      <c r="K4048" s="11" t="s">
        <v>83</v>
      </c>
      <c r="L4048" s="11" t="s">
        <v>36</v>
      </c>
      <c r="M4048" s="11" t="s">
        <v>28</v>
      </c>
      <c r="N4048" s="11" t="s">
        <v>62</v>
      </c>
      <c r="O4048" s="11" t="s">
        <v>1786</v>
      </c>
      <c r="P4048" s="11" t="s">
        <v>58</v>
      </c>
      <c r="Q4048" s="20">
        <v>40508.0</v>
      </c>
      <c r="R4048" s="17">
        <f t="shared" si="2"/>
        <v>4.871145038</v>
      </c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>
        <f t="shared" si="8"/>
        <v>2</v>
      </c>
      <c r="AF4048" s="19" t="b">
        <f t="shared" si="13"/>
        <v>0</v>
      </c>
      <c r="AG4048" s="9"/>
      <c r="AH4048" s="9"/>
      <c r="AI4048" s="9"/>
    </row>
    <row r="4049" ht="15.0" customHeight="1">
      <c r="A4049" s="11">
        <v>4048.0</v>
      </c>
      <c r="B4049" s="12">
        <f t="shared" si="641"/>
        <v>40506</v>
      </c>
      <c r="C4049" s="13">
        <v>2010.0</v>
      </c>
      <c r="D4049" s="11" t="s">
        <v>102</v>
      </c>
      <c r="E4049" s="11">
        <v>20.0</v>
      </c>
      <c r="F4049" s="21" t="s">
        <v>314</v>
      </c>
      <c r="G4049" s="15">
        <v>0.05550072568940511</v>
      </c>
      <c r="H4049" s="11" t="s">
        <v>33</v>
      </c>
      <c r="I4049" s="16">
        <v>4.152</v>
      </c>
      <c r="J4049" s="11" t="s">
        <v>839</v>
      </c>
      <c r="K4049" s="11" t="s">
        <v>83</v>
      </c>
      <c r="L4049" s="11" t="s">
        <v>36</v>
      </c>
      <c r="M4049" s="11" t="s">
        <v>28</v>
      </c>
      <c r="N4049" s="11" t="s">
        <v>42</v>
      </c>
      <c r="O4049" s="11" t="s">
        <v>609</v>
      </c>
      <c r="P4049" s="11" t="s">
        <v>38</v>
      </c>
      <c r="Q4049" s="20">
        <v>40508.0</v>
      </c>
      <c r="R4049" s="17">
        <f t="shared" si="2"/>
        <v>7.22353045</v>
      </c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>
        <f t="shared" si="8"/>
        <v>2</v>
      </c>
      <c r="AF4049" s="19" t="b">
        <f t="shared" si="13"/>
        <v>0</v>
      </c>
      <c r="AG4049" s="9"/>
      <c r="AH4049" s="9"/>
      <c r="AI4049" s="9"/>
    </row>
    <row r="4050" ht="15.0" customHeight="1">
      <c r="A4050" s="11">
        <v>4049.0</v>
      </c>
      <c r="B4050" s="12">
        <f t="shared" si="641"/>
        <v>40506</v>
      </c>
      <c r="C4050" s="13">
        <v>2010.0</v>
      </c>
      <c r="D4050" s="11" t="s">
        <v>44</v>
      </c>
      <c r="E4050" s="11">
        <v>50.0</v>
      </c>
      <c r="F4050" s="21" t="s">
        <v>782</v>
      </c>
      <c r="G4050" s="15">
        <v>0.036083879023284124</v>
      </c>
      <c r="H4050" s="11" t="s">
        <v>33</v>
      </c>
      <c r="I4050" s="16">
        <v>3.9920000000000004</v>
      </c>
      <c r="J4050" s="11" t="s">
        <v>1118</v>
      </c>
      <c r="K4050" s="11" t="s">
        <v>26</v>
      </c>
      <c r="L4050" s="11" t="s">
        <v>48</v>
      </c>
      <c r="M4050" s="11" t="s">
        <v>66</v>
      </c>
      <c r="N4050" s="11" t="s">
        <v>80</v>
      </c>
      <c r="O4050" s="11" t="s">
        <v>1060</v>
      </c>
      <c r="P4050" s="11" t="s">
        <v>38</v>
      </c>
      <c r="Q4050" s="20">
        <v>40508.0</v>
      </c>
      <c r="R4050" s="17">
        <f t="shared" si="2"/>
        <v>82.9565492</v>
      </c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>
        <f t="shared" si="8"/>
        <v>4</v>
      </c>
      <c r="AF4050" s="19">
        <f t="shared" si="13"/>
        <v>1</v>
      </c>
      <c r="AG4050" s="9"/>
      <c r="AH4050" s="9"/>
      <c r="AI4050" s="9"/>
    </row>
    <row r="4051" ht="15.0" customHeight="1">
      <c r="A4051" s="11">
        <v>4050.0</v>
      </c>
      <c r="B4051" s="12">
        <f t="shared" si="641"/>
        <v>40506</v>
      </c>
      <c r="C4051" s="13">
        <v>2010.0</v>
      </c>
      <c r="D4051" s="11" t="s">
        <v>102</v>
      </c>
      <c r="E4051" s="11">
        <v>7.0</v>
      </c>
      <c r="F4051" s="21" t="s">
        <v>126</v>
      </c>
      <c r="G4051" s="15">
        <v>0.09164677804295934</v>
      </c>
      <c r="H4051" s="11" t="s">
        <v>33</v>
      </c>
      <c r="I4051" s="16">
        <v>3.7600000000000002</v>
      </c>
      <c r="J4051" s="11" t="s">
        <v>91</v>
      </c>
      <c r="K4051" s="11" t="s">
        <v>35</v>
      </c>
      <c r="L4051" s="11" t="s">
        <v>27</v>
      </c>
      <c r="M4051" s="11" t="s">
        <v>28</v>
      </c>
      <c r="N4051" s="11" t="s">
        <v>56</v>
      </c>
      <c r="O4051" s="11" t="s">
        <v>1730</v>
      </c>
      <c r="P4051" s="11" t="s">
        <v>38</v>
      </c>
      <c r="Q4051" s="20">
        <v>40508.0</v>
      </c>
      <c r="R4051" s="17">
        <f t="shared" si="2"/>
        <v>3.488076372</v>
      </c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>
        <f t="shared" si="8"/>
        <v>1</v>
      </c>
      <c r="AF4051" s="19">
        <f t="shared" si="13"/>
        <v>2</v>
      </c>
      <c r="AG4051" s="9"/>
      <c r="AH4051" s="9"/>
      <c r="AI4051" s="9"/>
    </row>
    <row r="4052" ht="15.0" customHeight="1">
      <c r="A4052" s="11">
        <v>4051.0</v>
      </c>
      <c r="B4052" s="12">
        <f t="shared" si="641"/>
        <v>40506</v>
      </c>
      <c r="C4052" s="13">
        <v>2010.0</v>
      </c>
      <c r="D4052" s="11" t="s">
        <v>102</v>
      </c>
      <c r="E4052" s="11">
        <v>30.0</v>
      </c>
      <c r="F4052" s="21" t="s">
        <v>678</v>
      </c>
      <c r="G4052" s="15">
        <v>0.05219486642221057</v>
      </c>
      <c r="H4052" s="11" t="s">
        <v>33</v>
      </c>
      <c r="I4052" s="16">
        <v>0.9359999999999999</v>
      </c>
      <c r="J4052" s="11" t="s">
        <v>91</v>
      </c>
      <c r="K4052" s="11" t="s">
        <v>35</v>
      </c>
      <c r="L4052" s="11" t="s">
        <v>27</v>
      </c>
      <c r="M4052" s="11" t="s">
        <v>28</v>
      </c>
      <c r="N4052" s="11" t="s">
        <v>62</v>
      </c>
      <c r="O4052" s="11" t="s">
        <v>2485</v>
      </c>
      <c r="P4052" s="11" t="s">
        <v>58</v>
      </c>
      <c r="Q4052" s="20">
        <v>40508.0</v>
      </c>
      <c r="R4052" s="17">
        <f t="shared" si="2"/>
        <v>9.443930351</v>
      </c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>
        <f t="shared" si="8"/>
        <v>1</v>
      </c>
      <c r="AF4052" s="19">
        <f t="shared" si="13"/>
        <v>2</v>
      </c>
      <c r="AG4052" s="9"/>
      <c r="AH4052" s="9"/>
      <c r="AI4052" s="9"/>
    </row>
    <row r="4053" ht="15.0" customHeight="1">
      <c r="A4053" s="11">
        <v>4052.0</v>
      </c>
      <c r="B4053" s="12">
        <f t="shared" si="641"/>
        <v>40506</v>
      </c>
      <c r="C4053" s="13">
        <v>2010.0</v>
      </c>
      <c r="D4053" s="11" t="s">
        <v>102</v>
      </c>
      <c r="E4053" s="11">
        <v>41.0</v>
      </c>
      <c r="F4053" s="21" t="s">
        <v>137</v>
      </c>
      <c r="G4053" s="15">
        <v>0.07651200994538908</v>
      </c>
      <c r="H4053" s="11" t="s">
        <v>45</v>
      </c>
      <c r="I4053" s="16">
        <v>53.016</v>
      </c>
      <c r="J4053" s="11" t="s">
        <v>1123</v>
      </c>
      <c r="K4053" s="11" t="s">
        <v>61</v>
      </c>
      <c r="L4053" s="11" t="s">
        <v>48</v>
      </c>
      <c r="M4053" s="11" t="s">
        <v>49</v>
      </c>
      <c r="N4053" s="11" t="s">
        <v>156</v>
      </c>
      <c r="O4053" s="11" t="s">
        <v>1553</v>
      </c>
      <c r="P4053" s="11" t="s">
        <v>87</v>
      </c>
      <c r="Q4053" s="20">
        <v>40508.0</v>
      </c>
      <c r="R4053" s="17">
        <f t="shared" si="2"/>
        <v>477.4285151</v>
      </c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>
        <f t="shared" si="8"/>
        <v>4</v>
      </c>
      <c r="AF4053" s="19">
        <f t="shared" si="13"/>
        <v>4</v>
      </c>
      <c r="AG4053" s="9"/>
      <c r="AH4053" s="9"/>
      <c r="AI4053" s="9"/>
    </row>
    <row r="4054" ht="15.0" customHeight="1">
      <c r="A4054" s="11">
        <v>4053.0</v>
      </c>
      <c r="B4054" s="12">
        <f t="shared" si="641"/>
        <v>40506</v>
      </c>
      <c r="C4054" s="13">
        <v>2010.0</v>
      </c>
      <c r="D4054" s="11" t="s">
        <v>32</v>
      </c>
      <c r="E4054" s="11">
        <v>28.0</v>
      </c>
      <c r="F4054" s="21" t="s">
        <v>142</v>
      </c>
      <c r="G4054" s="15">
        <v>0.022653219550038912</v>
      </c>
      <c r="H4054" s="11" t="s">
        <v>24</v>
      </c>
      <c r="I4054" s="16">
        <v>2.64</v>
      </c>
      <c r="J4054" s="11" t="s">
        <v>375</v>
      </c>
      <c r="K4054" s="11" t="s">
        <v>65</v>
      </c>
      <c r="L4054" s="11" t="s">
        <v>48</v>
      </c>
      <c r="M4054" s="11" t="s">
        <v>66</v>
      </c>
      <c r="N4054" s="11" t="s">
        <v>80</v>
      </c>
      <c r="O4054" s="11" t="s">
        <v>837</v>
      </c>
      <c r="P4054" s="11" t="s">
        <v>99</v>
      </c>
      <c r="Q4054" s="20">
        <v>40508.0</v>
      </c>
      <c r="R4054" s="17">
        <f t="shared" si="2"/>
        <v>22.83082079</v>
      </c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>
        <f t="shared" si="8"/>
        <v>4</v>
      </c>
      <c r="AF4054" s="19">
        <f t="shared" si="13"/>
        <v>5</v>
      </c>
      <c r="AG4054" s="9"/>
      <c r="AH4054" s="9"/>
      <c r="AI4054" s="9"/>
    </row>
    <row r="4055" ht="15.0" customHeight="1">
      <c r="A4055" s="11">
        <v>4054.0</v>
      </c>
      <c r="B4055" s="12">
        <f t="shared" si="641"/>
        <v>40506</v>
      </c>
      <c r="C4055" s="13">
        <v>2010.0</v>
      </c>
      <c r="D4055" s="11" t="s">
        <v>32</v>
      </c>
      <c r="E4055" s="11">
        <v>25.0</v>
      </c>
      <c r="F4055" s="21" t="s">
        <v>158</v>
      </c>
      <c r="G4055" s="15">
        <v>0.10220786214324173</v>
      </c>
      <c r="H4055" s="11" t="s">
        <v>33</v>
      </c>
      <c r="I4055" s="16">
        <v>6.720000000000001</v>
      </c>
      <c r="J4055" s="11" t="s">
        <v>375</v>
      </c>
      <c r="K4055" s="11" t="s">
        <v>65</v>
      </c>
      <c r="L4055" s="11" t="s">
        <v>48</v>
      </c>
      <c r="M4055" s="11" t="s">
        <v>28</v>
      </c>
      <c r="N4055" s="11" t="s">
        <v>56</v>
      </c>
      <c r="O4055" s="11" t="s">
        <v>1260</v>
      </c>
      <c r="P4055" s="11" t="s">
        <v>38</v>
      </c>
      <c r="Q4055" s="20">
        <v>40508.0</v>
      </c>
      <c r="R4055" s="17">
        <f t="shared" si="2"/>
        <v>17.04009478</v>
      </c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>
        <f t="shared" si="8"/>
        <v>4</v>
      </c>
      <c r="AF4055" s="19">
        <f t="shared" si="13"/>
        <v>5</v>
      </c>
      <c r="AG4055" s="9"/>
      <c r="AH4055" s="9"/>
      <c r="AI4055" s="9"/>
    </row>
    <row r="4056" ht="15.0" customHeight="1">
      <c r="A4056" s="11">
        <v>4055.0</v>
      </c>
      <c r="B4056" s="12">
        <f t="shared" si="641"/>
        <v>40506</v>
      </c>
      <c r="C4056" s="13">
        <v>2010.0</v>
      </c>
      <c r="D4056" s="11" t="s">
        <v>32</v>
      </c>
      <c r="E4056" s="11">
        <v>36.0</v>
      </c>
      <c r="F4056" s="21" t="s">
        <v>122</v>
      </c>
      <c r="G4056" s="15">
        <v>0.051969296589908225</v>
      </c>
      <c r="H4056" s="11" t="s">
        <v>33</v>
      </c>
      <c r="I4056" s="16">
        <v>1.0</v>
      </c>
      <c r="J4056" s="11" t="s">
        <v>375</v>
      </c>
      <c r="K4056" s="11" t="s">
        <v>65</v>
      </c>
      <c r="L4056" s="11" t="s">
        <v>48</v>
      </c>
      <c r="M4056" s="11" t="s">
        <v>66</v>
      </c>
      <c r="N4056" s="11" t="s">
        <v>80</v>
      </c>
      <c r="O4056" s="11" t="s">
        <v>1992</v>
      </c>
      <c r="P4056" s="11" t="s">
        <v>99</v>
      </c>
      <c r="Q4056" s="20">
        <v>40508.0</v>
      </c>
      <c r="R4056" s="17">
        <f t="shared" si="2"/>
        <v>39.15366805</v>
      </c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>
        <f t="shared" si="8"/>
        <v>4</v>
      </c>
      <c r="AF4056" s="19">
        <f t="shared" si="13"/>
        <v>5</v>
      </c>
      <c r="AG4056" s="9"/>
      <c r="AH4056" s="9"/>
      <c r="AI4056" s="9"/>
    </row>
    <row r="4057" ht="15.0" customHeight="1">
      <c r="A4057" s="11">
        <v>4056.0</v>
      </c>
      <c r="B4057" s="12">
        <f t="shared" si="641"/>
        <v>40506</v>
      </c>
      <c r="C4057" s="13">
        <v>2010.0</v>
      </c>
      <c r="D4057" s="11" t="s">
        <v>102</v>
      </c>
      <c r="E4057" s="11">
        <v>50.0</v>
      </c>
      <c r="F4057" s="21" t="s">
        <v>527</v>
      </c>
      <c r="G4057" s="15">
        <v>0.03587064402411566</v>
      </c>
      <c r="H4057" s="11" t="s">
        <v>33</v>
      </c>
      <c r="I4057" s="16">
        <v>1.592</v>
      </c>
      <c r="J4057" s="11" t="s">
        <v>271</v>
      </c>
      <c r="K4057" s="11" t="s">
        <v>61</v>
      </c>
      <c r="L4057" s="11" t="s">
        <v>41</v>
      </c>
      <c r="M4057" s="11" t="s">
        <v>66</v>
      </c>
      <c r="N4057" s="11" t="s">
        <v>67</v>
      </c>
      <c r="O4057" s="11" t="s">
        <v>529</v>
      </c>
      <c r="P4057" s="11" t="s">
        <v>99</v>
      </c>
      <c r="Q4057" s="20">
        <v>40508.0</v>
      </c>
      <c r="R4057" s="17">
        <f t="shared" si="2"/>
        <v>80.94540834</v>
      </c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>
        <f t="shared" si="8"/>
        <v>3</v>
      </c>
      <c r="AF4057" s="19">
        <f t="shared" si="13"/>
        <v>4</v>
      </c>
      <c r="AG4057" s="9"/>
      <c r="AH4057" s="9"/>
      <c r="AI4057" s="9"/>
    </row>
    <row r="4058" ht="15.0" customHeight="1">
      <c r="A4058" s="11">
        <v>4057.0</v>
      </c>
      <c r="B4058" s="12">
        <f t="shared" si="641"/>
        <v>40506</v>
      </c>
      <c r="C4058" s="13">
        <v>2010.0</v>
      </c>
      <c r="D4058" s="11" t="s">
        <v>102</v>
      </c>
      <c r="E4058" s="11">
        <v>23.0</v>
      </c>
      <c r="F4058" s="21" t="s">
        <v>527</v>
      </c>
      <c r="G4058" s="15">
        <v>0.03142644042513505</v>
      </c>
      <c r="H4058" s="11" t="s">
        <v>33</v>
      </c>
      <c r="I4058" s="16">
        <v>1.592</v>
      </c>
      <c r="J4058" s="11" t="s">
        <v>271</v>
      </c>
      <c r="K4058" s="11" t="s">
        <v>61</v>
      </c>
      <c r="L4058" s="11" t="s">
        <v>41</v>
      </c>
      <c r="M4058" s="11" t="s">
        <v>66</v>
      </c>
      <c r="N4058" s="11" t="s">
        <v>67</v>
      </c>
      <c r="O4058" s="11" t="s">
        <v>529</v>
      </c>
      <c r="P4058" s="11" t="s">
        <v>99</v>
      </c>
      <c r="Q4058" s="20">
        <v>40509.0</v>
      </c>
      <c r="R4058" s="17">
        <f t="shared" si="2"/>
        <v>32.64867755</v>
      </c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>
        <f t="shared" si="8"/>
        <v>3</v>
      </c>
      <c r="AF4058" s="19">
        <f t="shared" si="13"/>
        <v>4</v>
      </c>
      <c r="AG4058" s="9"/>
      <c r="AH4058" s="9"/>
      <c r="AI4058" s="9"/>
    </row>
    <row r="4059" ht="15.0" customHeight="1">
      <c r="A4059" s="11">
        <v>4058.0</v>
      </c>
      <c r="B4059" s="12">
        <f t="shared" ref="B4059:B4066" si="642">DATE(2012,12,31)-767</f>
        <v>40507</v>
      </c>
      <c r="C4059" s="13">
        <v>2010.0</v>
      </c>
      <c r="D4059" s="11" t="s">
        <v>44</v>
      </c>
      <c r="E4059" s="11">
        <v>12.0</v>
      </c>
      <c r="F4059" s="21" t="s">
        <v>176</v>
      </c>
      <c r="G4059" s="15">
        <v>0.051603504697561385</v>
      </c>
      <c r="H4059" s="11" t="s">
        <v>33</v>
      </c>
      <c r="I4059" s="16">
        <v>11.616</v>
      </c>
      <c r="J4059" s="11" t="s">
        <v>1099</v>
      </c>
      <c r="K4059" s="11" t="s">
        <v>47</v>
      </c>
      <c r="L4059" s="11" t="s">
        <v>48</v>
      </c>
      <c r="M4059" s="11" t="s">
        <v>66</v>
      </c>
      <c r="N4059" s="11" t="s">
        <v>67</v>
      </c>
      <c r="O4059" s="11" t="s">
        <v>177</v>
      </c>
      <c r="P4059" s="11" t="s">
        <v>38</v>
      </c>
      <c r="Q4059" s="20">
        <v>40509.0</v>
      </c>
      <c r="R4059" s="17">
        <f t="shared" si="2"/>
        <v>46.36141428</v>
      </c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>
        <f t="shared" si="8"/>
        <v>4</v>
      </c>
      <c r="AF4059" s="19">
        <f t="shared" si="13"/>
        <v>3</v>
      </c>
      <c r="AG4059" s="9"/>
      <c r="AH4059" s="9"/>
      <c r="AI4059" s="9"/>
    </row>
    <row r="4060" ht="15.0" customHeight="1">
      <c r="A4060" s="11">
        <v>4059.0</v>
      </c>
      <c r="B4060" s="12">
        <f t="shared" si="642"/>
        <v>40507</v>
      </c>
      <c r="C4060" s="13">
        <v>2010.0</v>
      </c>
      <c r="D4060" s="11" t="s">
        <v>44</v>
      </c>
      <c r="E4060" s="11">
        <v>14.0</v>
      </c>
      <c r="F4060" s="21" t="s">
        <v>1904</v>
      </c>
      <c r="G4060" s="15">
        <v>0.03139403392474151</v>
      </c>
      <c r="H4060" s="11" t="s">
        <v>33</v>
      </c>
      <c r="I4060" s="16">
        <v>15.991999999999999</v>
      </c>
      <c r="J4060" s="11" t="s">
        <v>1099</v>
      </c>
      <c r="K4060" s="11" t="s">
        <v>47</v>
      </c>
      <c r="L4060" s="11" t="s">
        <v>48</v>
      </c>
      <c r="M4060" s="11" t="s">
        <v>28</v>
      </c>
      <c r="N4060" s="11" t="s">
        <v>29</v>
      </c>
      <c r="O4060" s="11" t="s">
        <v>1905</v>
      </c>
      <c r="P4060" s="11" t="s">
        <v>38</v>
      </c>
      <c r="Q4060" s="20">
        <v>40509.0</v>
      </c>
      <c r="R4060" s="17">
        <f t="shared" si="2"/>
        <v>62.38597306</v>
      </c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>
        <f t="shared" si="8"/>
        <v>4</v>
      </c>
      <c r="AF4060" s="19">
        <f t="shared" si="13"/>
        <v>3</v>
      </c>
      <c r="AG4060" s="9"/>
      <c r="AH4060" s="9"/>
      <c r="AI4060" s="9"/>
    </row>
    <row r="4061" ht="15.0" customHeight="1">
      <c r="A4061" s="11">
        <v>4060.0</v>
      </c>
      <c r="B4061" s="12">
        <f t="shared" si="642"/>
        <v>40507</v>
      </c>
      <c r="C4061" s="13">
        <v>2010.0</v>
      </c>
      <c r="D4061" s="11" t="s">
        <v>44</v>
      </c>
      <c r="E4061" s="11">
        <v>8.0</v>
      </c>
      <c r="F4061" s="21" t="s">
        <v>204</v>
      </c>
      <c r="G4061" s="15">
        <v>0.09293680297397756</v>
      </c>
      <c r="H4061" s="11" t="s">
        <v>33</v>
      </c>
      <c r="I4061" s="16">
        <v>2.8000000000000003</v>
      </c>
      <c r="J4061" s="11" t="s">
        <v>1099</v>
      </c>
      <c r="K4061" s="11" t="s">
        <v>47</v>
      </c>
      <c r="L4061" s="11" t="s">
        <v>48</v>
      </c>
      <c r="M4061" s="11" t="s">
        <v>28</v>
      </c>
      <c r="N4061" s="11" t="s">
        <v>62</v>
      </c>
      <c r="O4061" s="11" t="s">
        <v>2135</v>
      </c>
      <c r="P4061" s="11" t="s">
        <v>99</v>
      </c>
      <c r="Q4061" s="20">
        <v>40509.0</v>
      </c>
      <c r="R4061" s="17">
        <f t="shared" si="2"/>
        <v>2.267657993</v>
      </c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>
        <f t="shared" si="8"/>
        <v>4</v>
      </c>
      <c r="AF4061" s="19">
        <f t="shared" si="13"/>
        <v>3</v>
      </c>
      <c r="AG4061" s="9"/>
      <c r="AH4061" s="9"/>
      <c r="AI4061" s="9"/>
    </row>
    <row r="4062" ht="15.0" customHeight="1">
      <c r="A4062" s="11">
        <v>4061.0</v>
      </c>
      <c r="B4062" s="12">
        <f t="shared" si="642"/>
        <v>40507</v>
      </c>
      <c r="C4062" s="13">
        <v>2010.0</v>
      </c>
      <c r="D4062" s="11" t="s">
        <v>32</v>
      </c>
      <c r="E4062" s="11">
        <v>47.0</v>
      </c>
      <c r="F4062" s="21" t="s">
        <v>1247</v>
      </c>
      <c r="G4062" s="15">
        <v>0.038464541314248396</v>
      </c>
      <c r="H4062" s="11" t="s">
        <v>33</v>
      </c>
      <c r="I4062" s="16">
        <v>4.176</v>
      </c>
      <c r="J4062" s="11" t="s">
        <v>1747</v>
      </c>
      <c r="K4062" s="11" t="s">
        <v>61</v>
      </c>
      <c r="L4062" s="11" t="s">
        <v>36</v>
      </c>
      <c r="M4062" s="11" t="s">
        <v>49</v>
      </c>
      <c r="N4062" s="11" t="s">
        <v>73</v>
      </c>
      <c r="O4062" s="11" t="s">
        <v>1591</v>
      </c>
      <c r="P4062" s="11" t="s">
        <v>38</v>
      </c>
      <c r="Q4062" s="20">
        <v>40509.0</v>
      </c>
      <c r="R4062" s="17">
        <f t="shared" si="2"/>
        <v>11.36919526</v>
      </c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>
        <f t="shared" si="8"/>
        <v>2</v>
      </c>
      <c r="AF4062" s="19">
        <f t="shared" si="13"/>
        <v>4</v>
      </c>
      <c r="AG4062" s="9"/>
      <c r="AH4062" s="9"/>
      <c r="AI4062" s="9"/>
    </row>
    <row r="4063" ht="15.0" customHeight="1">
      <c r="A4063" s="11">
        <v>4062.0</v>
      </c>
      <c r="B4063" s="12">
        <f t="shared" si="642"/>
        <v>40507</v>
      </c>
      <c r="C4063" s="13">
        <v>2010.0</v>
      </c>
      <c r="D4063" s="11" t="s">
        <v>44</v>
      </c>
      <c r="E4063" s="11">
        <v>20.0</v>
      </c>
      <c r="F4063" s="21" t="s">
        <v>1726</v>
      </c>
      <c r="G4063" s="15">
        <v>0.08583006423244381</v>
      </c>
      <c r="H4063" s="11" t="s">
        <v>33</v>
      </c>
      <c r="I4063" s="16">
        <v>55.2</v>
      </c>
      <c r="J4063" s="11" t="s">
        <v>1133</v>
      </c>
      <c r="K4063" s="11" t="s">
        <v>83</v>
      </c>
      <c r="L4063" s="11" t="s">
        <v>27</v>
      </c>
      <c r="M4063" s="11" t="s">
        <v>49</v>
      </c>
      <c r="N4063" s="11" t="s">
        <v>85</v>
      </c>
      <c r="O4063" s="11" t="s">
        <v>1727</v>
      </c>
      <c r="P4063" s="11" t="s">
        <v>31</v>
      </c>
      <c r="Q4063" s="20">
        <v>40509.0</v>
      </c>
      <c r="R4063" s="17">
        <f t="shared" si="2"/>
        <v>364.0224684</v>
      </c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>
        <f t="shared" si="8"/>
        <v>1</v>
      </c>
      <c r="AF4063" s="19" t="b">
        <f t="shared" si="13"/>
        <v>0</v>
      </c>
      <c r="AG4063" s="9"/>
      <c r="AH4063" s="9"/>
      <c r="AI4063" s="9"/>
    </row>
    <row r="4064" ht="15.0" customHeight="1">
      <c r="A4064" s="11">
        <v>4063.0</v>
      </c>
      <c r="B4064" s="12">
        <f t="shared" si="642"/>
        <v>40507</v>
      </c>
      <c r="C4064" s="13">
        <v>2010.0</v>
      </c>
      <c r="D4064" s="11" t="s">
        <v>32</v>
      </c>
      <c r="E4064" s="11">
        <v>37.0</v>
      </c>
      <c r="F4064" s="21" t="s">
        <v>473</v>
      </c>
      <c r="G4064" s="15">
        <v>0.026265411592545303</v>
      </c>
      <c r="H4064" s="11" t="s">
        <v>33</v>
      </c>
      <c r="I4064" s="16">
        <v>5.696000000000001</v>
      </c>
      <c r="J4064" s="11" t="s">
        <v>1936</v>
      </c>
      <c r="K4064" s="11" t="s">
        <v>35</v>
      </c>
      <c r="L4064" s="11" t="s">
        <v>27</v>
      </c>
      <c r="M4064" s="11" t="s">
        <v>66</v>
      </c>
      <c r="N4064" s="11" t="s">
        <v>67</v>
      </c>
      <c r="O4064" s="11" t="s">
        <v>475</v>
      </c>
      <c r="P4064" s="11" t="s">
        <v>38</v>
      </c>
      <c r="Q4064" s="20">
        <v>40509.0</v>
      </c>
      <c r="R4064" s="17">
        <f t="shared" si="2"/>
        <v>38.92523492</v>
      </c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>
        <f t="shared" si="8"/>
        <v>1</v>
      </c>
      <c r="AF4064" s="19">
        <f t="shared" si="13"/>
        <v>2</v>
      </c>
      <c r="AG4064" s="9"/>
      <c r="AH4064" s="9"/>
      <c r="AI4064" s="9"/>
    </row>
    <row r="4065" ht="15.0" customHeight="1">
      <c r="A4065" s="11">
        <v>4064.0</v>
      </c>
      <c r="B4065" s="12">
        <f t="shared" si="642"/>
        <v>40507</v>
      </c>
      <c r="C4065" s="13">
        <v>2010.0</v>
      </c>
      <c r="D4065" s="11" t="s">
        <v>32</v>
      </c>
      <c r="E4065" s="11">
        <v>16.0</v>
      </c>
      <c r="F4065" s="21" t="s">
        <v>762</v>
      </c>
      <c r="G4065" s="15">
        <v>0.08617977528089882</v>
      </c>
      <c r="H4065" s="11" t="s">
        <v>33</v>
      </c>
      <c r="I4065" s="16">
        <v>4.792000000000001</v>
      </c>
      <c r="J4065" s="11" t="s">
        <v>1936</v>
      </c>
      <c r="K4065" s="11" t="s">
        <v>35</v>
      </c>
      <c r="L4065" s="11" t="s">
        <v>27</v>
      </c>
      <c r="M4065" s="11" t="s">
        <v>66</v>
      </c>
      <c r="N4065" s="11" t="s">
        <v>69</v>
      </c>
      <c r="O4065" s="11" t="s">
        <v>764</v>
      </c>
      <c r="P4065" s="11" t="s">
        <v>75</v>
      </c>
      <c r="Q4065" s="20">
        <v>40510.0</v>
      </c>
      <c r="R4065" s="17">
        <f t="shared" si="2"/>
        <v>16.8216027</v>
      </c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>
        <f t="shared" si="8"/>
        <v>1</v>
      </c>
      <c r="AF4065" s="19">
        <f t="shared" si="13"/>
        <v>2</v>
      </c>
      <c r="AG4065" s="9"/>
      <c r="AH4065" s="9"/>
      <c r="AI4065" s="9"/>
    </row>
    <row r="4066" ht="15.0" customHeight="1">
      <c r="A4066" s="11">
        <v>4065.0</v>
      </c>
      <c r="B4066" s="12">
        <f t="shared" si="642"/>
        <v>40507</v>
      </c>
      <c r="C4066" s="13">
        <v>2010.0</v>
      </c>
      <c r="D4066" s="11" t="s">
        <v>102</v>
      </c>
      <c r="E4066" s="11">
        <v>28.0</v>
      </c>
      <c r="F4066" s="21" t="s">
        <v>1223</v>
      </c>
      <c r="G4066" s="15">
        <v>0.02786622594209927</v>
      </c>
      <c r="H4066" s="11" t="s">
        <v>33</v>
      </c>
      <c r="I4066" s="16">
        <v>2.2960000000000003</v>
      </c>
      <c r="J4066" s="11" t="s">
        <v>2346</v>
      </c>
      <c r="K4066" s="11" t="s">
        <v>83</v>
      </c>
      <c r="L4066" s="11" t="s">
        <v>41</v>
      </c>
      <c r="M4066" s="11" t="s">
        <v>28</v>
      </c>
      <c r="N4066" s="11" t="s">
        <v>62</v>
      </c>
      <c r="O4066" s="11" t="s">
        <v>1225</v>
      </c>
      <c r="P4066" s="11" t="s">
        <v>99</v>
      </c>
      <c r="Q4066" s="20">
        <v>40510.0</v>
      </c>
      <c r="R4066" s="17">
        <f t="shared" si="2"/>
        <v>17.1515506</v>
      </c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>
        <f t="shared" si="8"/>
        <v>3</v>
      </c>
      <c r="AF4066" s="19" t="b">
        <f t="shared" si="13"/>
        <v>0</v>
      </c>
      <c r="AG4066" s="9"/>
      <c r="AH4066" s="9"/>
      <c r="AI4066" s="9"/>
    </row>
    <row r="4067" ht="15.0" customHeight="1">
      <c r="A4067" s="11">
        <v>4066.0</v>
      </c>
      <c r="B4067" s="12">
        <f t="shared" ref="B4067:B4068" si="643">DATE(2012,12,31)-766</f>
        <v>40508</v>
      </c>
      <c r="C4067" s="13">
        <v>2010.0</v>
      </c>
      <c r="D4067" s="11" t="s">
        <v>44</v>
      </c>
      <c r="E4067" s="11">
        <v>24.0</v>
      </c>
      <c r="F4067" s="21" t="s">
        <v>306</v>
      </c>
      <c r="G4067" s="15">
        <v>0.025699858614421422</v>
      </c>
      <c r="H4067" s="11" t="s">
        <v>33</v>
      </c>
      <c r="I4067" s="16">
        <v>4.776</v>
      </c>
      <c r="J4067" s="11" t="s">
        <v>2486</v>
      </c>
      <c r="K4067" s="11" t="s">
        <v>35</v>
      </c>
      <c r="L4067" s="11" t="s">
        <v>48</v>
      </c>
      <c r="M4067" s="11" t="s">
        <v>28</v>
      </c>
      <c r="N4067" s="11" t="s">
        <v>56</v>
      </c>
      <c r="O4067" s="11" t="s">
        <v>1866</v>
      </c>
      <c r="P4067" s="11" t="s">
        <v>38</v>
      </c>
      <c r="Q4067" s="20">
        <v>40510.0</v>
      </c>
      <c r="R4067" s="17">
        <f t="shared" si="2"/>
        <v>12.396995</v>
      </c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>
        <f t="shared" si="8"/>
        <v>4</v>
      </c>
      <c r="AF4067" s="19">
        <f t="shared" si="13"/>
        <v>2</v>
      </c>
      <c r="AG4067" s="9"/>
      <c r="AH4067" s="9"/>
      <c r="AI4067" s="9"/>
    </row>
    <row r="4068" ht="15.0" customHeight="1">
      <c r="A4068" s="11">
        <v>4067.0</v>
      </c>
      <c r="B4068" s="12">
        <f t="shared" si="643"/>
        <v>40508</v>
      </c>
      <c r="C4068" s="13">
        <v>2010.0</v>
      </c>
      <c r="D4068" s="11" t="s">
        <v>102</v>
      </c>
      <c r="E4068" s="11">
        <v>34.0</v>
      </c>
      <c r="F4068" s="21" t="s">
        <v>562</v>
      </c>
      <c r="G4068" s="15">
        <v>0.04808328449021757</v>
      </c>
      <c r="H4068" s="11" t="s">
        <v>45</v>
      </c>
      <c r="I4068" s="16">
        <v>22.512</v>
      </c>
      <c r="J4068" s="11" t="s">
        <v>1294</v>
      </c>
      <c r="K4068" s="11" t="s">
        <v>47</v>
      </c>
      <c r="L4068" s="11" t="s">
        <v>27</v>
      </c>
      <c r="M4068" s="11" t="s">
        <v>66</v>
      </c>
      <c r="N4068" s="11" t="s">
        <v>69</v>
      </c>
      <c r="O4068" s="11" t="s">
        <v>564</v>
      </c>
      <c r="P4068" s="11" t="s">
        <v>52</v>
      </c>
      <c r="Q4068" s="20">
        <v>40510.0</v>
      </c>
      <c r="R4068" s="17">
        <f t="shared" si="2"/>
        <v>819.9696357</v>
      </c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>
        <f t="shared" si="8"/>
        <v>1</v>
      </c>
      <c r="AF4068" s="19">
        <f t="shared" si="13"/>
        <v>3</v>
      </c>
      <c r="AG4068" s="9"/>
      <c r="AH4068" s="9"/>
      <c r="AI4068" s="9"/>
    </row>
    <row r="4069" ht="15.0" customHeight="1">
      <c r="A4069" s="11">
        <v>4068.0</v>
      </c>
      <c r="B4069" s="12">
        <f t="shared" ref="B4069:B4075" si="644">DATE(2012,12,31)-765</f>
        <v>40509</v>
      </c>
      <c r="C4069" s="13">
        <v>2010.0</v>
      </c>
      <c r="D4069" s="11" t="s">
        <v>32</v>
      </c>
      <c r="E4069" s="11">
        <v>9.0</v>
      </c>
      <c r="F4069" s="21" t="s">
        <v>158</v>
      </c>
      <c r="G4069" s="15">
        <v>0.052298507462686536</v>
      </c>
      <c r="H4069" s="11" t="s">
        <v>33</v>
      </c>
      <c r="I4069" s="16">
        <v>5.896000000000001</v>
      </c>
      <c r="J4069" s="11" t="s">
        <v>1524</v>
      </c>
      <c r="K4069" s="11" t="s">
        <v>26</v>
      </c>
      <c r="L4069" s="11" t="s">
        <v>48</v>
      </c>
      <c r="M4069" s="11" t="s">
        <v>28</v>
      </c>
      <c r="N4069" s="11" t="s">
        <v>56</v>
      </c>
      <c r="O4069" s="11" t="s">
        <v>860</v>
      </c>
      <c r="P4069" s="11" t="s">
        <v>38</v>
      </c>
      <c r="Q4069" s="20">
        <v>40511.0</v>
      </c>
      <c r="R4069" s="17">
        <f t="shared" si="2"/>
        <v>3.32074603</v>
      </c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>
        <f t="shared" si="8"/>
        <v>4</v>
      </c>
      <c r="AF4069" s="19">
        <f t="shared" si="13"/>
        <v>1</v>
      </c>
      <c r="AG4069" s="9"/>
      <c r="AH4069" s="9"/>
      <c r="AI4069" s="9"/>
    </row>
    <row r="4070" ht="15.0" customHeight="1">
      <c r="A4070" s="11">
        <v>4069.0</v>
      </c>
      <c r="B4070" s="12">
        <f t="shared" si="644"/>
        <v>40509</v>
      </c>
      <c r="C4070" s="13">
        <v>2010.0</v>
      </c>
      <c r="D4070" s="11" t="s">
        <v>44</v>
      </c>
      <c r="E4070" s="11">
        <v>24.0</v>
      </c>
      <c r="F4070" s="21" t="s">
        <v>178</v>
      </c>
      <c r="G4070" s="15">
        <v>0.0313269477152094</v>
      </c>
      <c r="H4070" s="11" t="s">
        <v>33</v>
      </c>
      <c r="I4070" s="16">
        <v>6.152000000000001</v>
      </c>
      <c r="J4070" s="11" t="s">
        <v>2017</v>
      </c>
      <c r="K4070" s="11" t="s">
        <v>65</v>
      </c>
      <c r="L4070" s="11" t="s">
        <v>48</v>
      </c>
      <c r="M4070" s="11" t="s">
        <v>66</v>
      </c>
      <c r="N4070" s="11" t="s">
        <v>80</v>
      </c>
      <c r="O4070" s="11" t="s">
        <v>2286</v>
      </c>
      <c r="P4070" s="11" t="s">
        <v>38</v>
      </c>
      <c r="Q4070" s="20">
        <v>40511.0</v>
      </c>
      <c r="R4070" s="17">
        <f t="shared" si="2"/>
        <v>49.73942389</v>
      </c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>
        <f t="shared" si="8"/>
        <v>4</v>
      </c>
      <c r="AF4070" s="19">
        <f t="shared" si="13"/>
        <v>5</v>
      </c>
      <c r="AG4070" s="9"/>
      <c r="AH4070" s="9"/>
      <c r="AI4070" s="9"/>
    </row>
    <row r="4071" ht="15.0" customHeight="1">
      <c r="A4071" s="11">
        <v>4070.0</v>
      </c>
      <c r="B4071" s="12">
        <f t="shared" si="644"/>
        <v>40509</v>
      </c>
      <c r="C4071" s="13">
        <v>2010.0</v>
      </c>
      <c r="D4071" s="11" t="s">
        <v>44</v>
      </c>
      <c r="E4071" s="11">
        <v>20.0</v>
      </c>
      <c r="F4071" s="21" t="s">
        <v>178</v>
      </c>
      <c r="G4071" s="15">
        <v>0.09332785987958396</v>
      </c>
      <c r="H4071" s="11" t="s">
        <v>33</v>
      </c>
      <c r="I4071" s="16">
        <v>7.192</v>
      </c>
      <c r="J4071" s="11" t="s">
        <v>2017</v>
      </c>
      <c r="K4071" s="11" t="s">
        <v>65</v>
      </c>
      <c r="L4071" s="11" t="s">
        <v>48</v>
      </c>
      <c r="M4071" s="11" t="s">
        <v>66</v>
      </c>
      <c r="N4071" s="11" t="s">
        <v>80</v>
      </c>
      <c r="O4071" s="11" t="s">
        <v>1875</v>
      </c>
      <c r="P4071" s="11" t="s">
        <v>38</v>
      </c>
      <c r="Q4071" s="20">
        <v>40511.0</v>
      </c>
      <c r="R4071" s="17">
        <f t="shared" si="2"/>
        <v>123.6773333</v>
      </c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>
        <f t="shared" si="8"/>
        <v>4</v>
      </c>
      <c r="AF4071" s="19">
        <f t="shared" si="13"/>
        <v>5</v>
      </c>
      <c r="AG4071" s="9"/>
      <c r="AH4071" s="9"/>
      <c r="AI4071" s="9"/>
    </row>
    <row r="4072" ht="15.0" customHeight="1">
      <c r="A4072" s="11">
        <v>4071.0</v>
      </c>
      <c r="B4072" s="12">
        <f t="shared" si="644"/>
        <v>40509</v>
      </c>
      <c r="C4072" s="13">
        <v>2010.0</v>
      </c>
      <c r="D4072" s="11" t="s">
        <v>44</v>
      </c>
      <c r="E4072" s="11">
        <v>24.0</v>
      </c>
      <c r="F4072" s="21" t="s">
        <v>933</v>
      </c>
      <c r="G4072" s="15">
        <v>0.0407072075283383</v>
      </c>
      <c r="H4072" s="11" t="s">
        <v>33</v>
      </c>
      <c r="I4072" s="16">
        <v>4.0</v>
      </c>
      <c r="J4072" s="11" t="s">
        <v>1861</v>
      </c>
      <c r="K4072" s="11" t="s">
        <v>83</v>
      </c>
      <c r="L4072" s="11" t="s">
        <v>36</v>
      </c>
      <c r="M4072" s="11" t="s">
        <v>66</v>
      </c>
      <c r="N4072" s="11" t="s">
        <v>80</v>
      </c>
      <c r="O4072" s="11" t="s">
        <v>1023</v>
      </c>
      <c r="P4072" s="11" t="s">
        <v>99</v>
      </c>
      <c r="Q4072" s="20">
        <v>40511.0</v>
      </c>
      <c r="R4072" s="17">
        <f t="shared" si="2"/>
        <v>54.77561845</v>
      </c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>
        <f t="shared" si="8"/>
        <v>2</v>
      </c>
      <c r="AF4072" s="19" t="b">
        <f t="shared" si="13"/>
        <v>0</v>
      </c>
      <c r="AG4072" s="9"/>
      <c r="AH4072" s="9"/>
      <c r="AI4072" s="9"/>
    </row>
    <row r="4073" ht="15.0" customHeight="1">
      <c r="A4073" s="11">
        <v>4072.0</v>
      </c>
      <c r="B4073" s="12">
        <f t="shared" si="644"/>
        <v>40509</v>
      </c>
      <c r="C4073" s="13">
        <v>2010.0</v>
      </c>
      <c r="D4073" s="11" t="s">
        <v>23</v>
      </c>
      <c r="E4073" s="11">
        <v>35.0</v>
      </c>
      <c r="F4073" s="21" t="s">
        <v>287</v>
      </c>
      <c r="G4073" s="15">
        <v>0.06626020936385597</v>
      </c>
      <c r="H4073" s="11" t="s">
        <v>33</v>
      </c>
      <c r="I4073" s="16">
        <v>2.0</v>
      </c>
      <c r="J4073" s="11" t="s">
        <v>727</v>
      </c>
      <c r="K4073" s="11" t="s">
        <v>35</v>
      </c>
      <c r="L4073" s="11" t="s">
        <v>48</v>
      </c>
      <c r="M4073" s="11" t="s">
        <v>66</v>
      </c>
      <c r="N4073" s="11" t="s">
        <v>80</v>
      </c>
      <c r="O4073" s="11" t="s">
        <v>2487</v>
      </c>
      <c r="P4073" s="11" t="s">
        <v>38</v>
      </c>
      <c r="Q4073" s="20">
        <v>40511.0</v>
      </c>
      <c r="R4073" s="17">
        <f t="shared" si="2"/>
        <v>268.9170597</v>
      </c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>
        <f t="shared" si="8"/>
        <v>4</v>
      </c>
      <c r="AF4073" s="19">
        <f t="shared" si="13"/>
        <v>2</v>
      </c>
      <c r="AG4073" s="9"/>
      <c r="AH4073" s="9"/>
      <c r="AI4073" s="9"/>
    </row>
    <row r="4074" ht="15.0" customHeight="1">
      <c r="A4074" s="11">
        <v>4073.0</v>
      </c>
      <c r="B4074" s="12">
        <f t="shared" si="644"/>
        <v>40509</v>
      </c>
      <c r="C4074" s="13">
        <v>2010.0</v>
      </c>
      <c r="D4074" s="11" t="s">
        <v>23</v>
      </c>
      <c r="E4074" s="11">
        <v>35.0</v>
      </c>
      <c r="F4074" s="21" t="s">
        <v>142</v>
      </c>
      <c r="G4074" s="15">
        <v>0.08568901776005805</v>
      </c>
      <c r="H4074" s="11" t="s">
        <v>33</v>
      </c>
      <c r="I4074" s="16">
        <v>4.792000000000001</v>
      </c>
      <c r="J4074" s="11" t="s">
        <v>727</v>
      </c>
      <c r="K4074" s="11" t="s">
        <v>35</v>
      </c>
      <c r="L4074" s="11" t="s">
        <v>48</v>
      </c>
      <c r="M4074" s="11" t="s">
        <v>66</v>
      </c>
      <c r="N4074" s="11" t="s">
        <v>80</v>
      </c>
      <c r="O4074" s="11" t="s">
        <v>757</v>
      </c>
      <c r="P4074" s="11" t="s">
        <v>58</v>
      </c>
      <c r="Q4074" s="20">
        <v>40512.0</v>
      </c>
      <c r="R4074" s="17">
        <f t="shared" si="2"/>
        <v>108.0788726</v>
      </c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>
        <f t="shared" si="8"/>
        <v>4</v>
      </c>
      <c r="AF4074" s="19">
        <f t="shared" si="13"/>
        <v>2</v>
      </c>
      <c r="AG4074" s="9"/>
      <c r="AH4074" s="9"/>
      <c r="AI4074" s="9"/>
    </row>
    <row r="4075" ht="15.0" customHeight="1">
      <c r="A4075" s="11">
        <v>4074.0</v>
      </c>
      <c r="B4075" s="12">
        <f t="shared" si="644"/>
        <v>40509</v>
      </c>
      <c r="C4075" s="13">
        <v>2010.0</v>
      </c>
      <c r="D4075" s="11" t="s">
        <v>23</v>
      </c>
      <c r="E4075" s="11">
        <v>47.0</v>
      </c>
      <c r="F4075" s="21" t="s">
        <v>178</v>
      </c>
      <c r="G4075" s="15">
        <v>0.012499762108668586</v>
      </c>
      <c r="H4075" s="11" t="s">
        <v>33</v>
      </c>
      <c r="I4075" s="16">
        <v>15.991999999999999</v>
      </c>
      <c r="J4075" s="11" t="s">
        <v>727</v>
      </c>
      <c r="K4075" s="11" t="s">
        <v>35</v>
      </c>
      <c r="L4075" s="11" t="s">
        <v>48</v>
      </c>
      <c r="M4075" s="11" t="s">
        <v>66</v>
      </c>
      <c r="N4075" s="11" t="s">
        <v>80</v>
      </c>
      <c r="O4075" s="11" t="s">
        <v>2359</v>
      </c>
      <c r="P4075" s="11" t="s">
        <v>38</v>
      </c>
      <c r="Q4075" s="20">
        <v>40512.0</v>
      </c>
      <c r="R4075" s="17">
        <f t="shared" si="2"/>
        <v>38.91540937</v>
      </c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>
        <f t="shared" si="8"/>
        <v>4</v>
      </c>
      <c r="AF4075" s="19">
        <f t="shared" si="13"/>
        <v>2</v>
      </c>
      <c r="AG4075" s="9"/>
      <c r="AH4075" s="9"/>
      <c r="AI4075" s="9"/>
    </row>
    <row r="4076" ht="15.0" customHeight="1">
      <c r="A4076" s="11">
        <v>4075.0</v>
      </c>
      <c r="B4076" s="12">
        <f t="shared" ref="B4076:B4086" si="645">DATE(2012,12,31)-763</f>
        <v>40511</v>
      </c>
      <c r="C4076" s="13">
        <v>2010.0</v>
      </c>
      <c r="D4076" s="11" t="s">
        <v>102</v>
      </c>
      <c r="E4076" s="11">
        <v>13.0</v>
      </c>
      <c r="F4076" s="21" t="s">
        <v>810</v>
      </c>
      <c r="G4076" s="15">
        <v>0.06128990228013021</v>
      </c>
      <c r="H4076" s="11" t="s">
        <v>33</v>
      </c>
      <c r="I4076" s="16">
        <v>2.3920000000000003</v>
      </c>
      <c r="J4076" s="11" t="s">
        <v>1454</v>
      </c>
      <c r="K4076" s="11" t="s">
        <v>35</v>
      </c>
      <c r="L4076" s="11" t="s">
        <v>36</v>
      </c>
      <c r="M4076" s="11" t="s">
        <v>28</v>
      </c>
      <c r="N4076" s="11" t="s">
        <v>42</v>
      </c>
      <c r="O4076" s="11" t="s">
        <v>811</v>
      </c>
      <c r="P4076" s="11" t="s">
        <v>38</v>
      </c>
      <c r="Q4076" s="20">
        <v>40512.0</v>
      </c>
      <c r="R4076" s="17">
        <f t="shared" si="2"/>
        <v>8.831384599</v>
      </c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>
        <f t="shared" si="8"/>
        <v>2</v>
      </c>
      <c r="AF4076" s="19">
        <f t="shared" si="13"/>
        <v>2</v>
      </c>
      <c r="AG4076" s="9"/>
      <c r="AH4076" s="9"/>
      <c r="AI4076" s="9"/>
    </row>
    <row r="4077" ht="15.0" customHeight="1">
      <c r="A4077" s="11">
        <v>4076.0</v>
      </c>
      <c r="B4077" s="12">
        <f t="shared" si="645"/>
        <v>40511</v>
      </c>
      <c r="C4077" s="13">
        <v>2010.0</v>
      </c>
      <c r="D4077" s="11" t="s">
        <v>102</v>
      </c>
      <c r="E4077" s="11">
        <v>14.0</v>
      </c>
      <c r="F4077" s="21" t="s">
        <v>231</v>
      </c>
      <c r="G4077" s="15">
        <v>0.09200074032944655</v>
      </c>
      <c r="H4077" s="11" t="s">
        <v>33</v>
      </c>
      <c r="I4077" s="16">
        <v>15.991999999999999</v>
      </c>
      <c r="J4077" s="11" t="s">
        <v>2092</v>
      </c>
      <c r="K4077" s="11" t="s">
        <v>83</v>
      </c>
      <c r="L4077" s="11" t="s">
        <v>48</v>
      </c>
      <c r="M4077" s="11" t="s">
        <v>49</v>
      </c>
      <c r="N4077" s="11" t="s">
        <v>73</v>
      </c>
      <c r="O4077" s="11" t="s">
        <v>1820</v>
      </c>
      <c r="P4077" s="11" t="s">
        <v>38</v>
      </c>
      <c r="Q4077" s="20">
        <v>40513.0</v>
      </c>
      <c r="R4077" s="17">
        <f t="shared" si="2"/>
        <v>45.1348272</v>
      </c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>
        <f t="shared" si="8"/>
        <v>4</v>
      </c>
      <c r="AF4077" s="19" t="b">
        <f t="shared" si="13"/>
        <v>0</v>
      </c>
      <c r="AG4077" s="9"/>
      <c r="AH4077" s="9"/>
      <c r="AI4077" s="9"/>
    </row>
    <row r="4078" ht="15.0" customHeight="1">
      <c r="A4078" s="11">
        <v>4077.0</v>
      </c>
      <c r="B4078" s="12">
        <f t="shared" si="645"/>
        <v>40511</v>
      </c>
      <c r="C4078" s="13">
        <v>2010.0</v>
      </c>
      <c r="D4078" s="11" t="s">
        <v>102</v>
      </c>
      <c r="E4078" s="11">
        <v>48.0</v>
      </c>
      <c r="F4078" s="21" t="s">
        <v>322</v>
      </c>
      <c r="G4078" s="15">
        <v>0.022344956704891315</v>
      </c>
      <c r="H4078" s="11" t="s">
        <v>33</v>
      </c>
      <c r="I4078" s="16">
        <v>4.952000000000001</v>
      </c>
      <c r="J4078" s="11" t="s">
        <v>2092</v>
      </c>
      <c r="K4078" s="11" t="s">
        <v>83</v>
      </c>
      <c r="L4078" s="11" t="s">
        <v>48</v>
      </c>
      <c r="M4078" s="11" t="s">
        <v>28</v>
      </c>
      <c r="N4078" s="11" t="s">
        <v>42</v>
      </c>
      <c r="O4078" s="11" t="s">
        <v>324</v>
      </c>
      <c r="P4078" s="11" t="s">
        <v>38</v>
      </c>
      <c r="Q4078" s="20">
        <v>40513.0</v>
      </c>
      <c r="R4078" s="17">
        <f t="shared" si="2"/>
        <v>9.334650353</v>
      </c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>
        <f t="shared" si="8"/>
        <v>4</v>
      </c>
      <c r="AF4078" s="19" t="b">
        <f t="shared" si="13"/>
        <v>0</v>
      </c>
      <c r="AG4078" s="9"/>
      <c r="AH4078" s="9"/>
      <c r="AI4078" s="9"/>
    </row>
    <row r="4079" ht="15.0" customHeight="1">
      <c r="A4079" s="11">
        <v>4078.0</v>
      </c>
      <c r="B4079" s="12">
        <f t="shared" si="645"/>
        <v>40511</v>
      </c>
      <c r="C4079" s="13">
        <v>2010.0</v>
      </c>
      <c r="D4079" s="11" t="s">
        <v>23</v>
      </c>
      <c r="E4079" s="11">
        <v>37.0</v>
      </c>
      <c r="F4079" s="21" t="s">
        <v>1479</v>
      </c>
      <c r="G4079" s="15">
        <v>0.010309278350515297</v>
      </c>
      <c r="H4079" s="11" t="s">
        <v>24</v>
      </c>
      <c r="I4079" s="16">
        <v>3.6</v>
      </c>
      <c r="J4079" s="11" t="s">
        <v>1681</v>
      </c>
      <c r="K4079" s="11" t="s">
        <v>61</v>
      </c>
      <c r="L4079" s="11" t="s">
        <v>41</v>
      </c>
      <c r="M4079" s="11" t="s">
        <v>28</v>
      </c>
      <c r="N4079" s="11" t="s">
        <v>197</v>
      </c>
      <c r="O4079" s="11" t="s">
        <v>1480</v>
      </c>
      <c r="P4079" s="11" t="s">
        <v>38</v>
      </c>
      <c r="Q4079" s="20">
        <v>40513.0</v>
      </c>
      <c r="R4079" s="17">
        <f t="shared" si="2"/>
        <v>4.156701031</v>
      </c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>
        <f t="shared" si="8"/>
        <v>3</v>
      </c>
      <c r="AF4079" s="19">
        <f t="shared" si="13"/>
        <v>4</v>
      </c>
      <c r="AG4079" s="9"/>
      <c r="AH4079" s="9"/>
      <c r="AI4079" s="9"/>
    </row>
    <row r="4080" ht="15.0" customHeight="1">
      <c r="A4080" s="11">
        <v>4079.0</v>
      </c>
      <c r="B4080" s="12">
        <f t="shared" si="645"/>
        <v>40511</v>
      </c>
      <c r="C4080" s="13">
        <v>2010.0</v>
      </c>
      <c r="D4080" s="11" t="s">
        <v>23</v>
      </c>
      <c r="E4080" s="11">
        <v>19.0</v>
      </c>
      <c r="F4080" s="21" t="s">
        <v>1074</v>
      </c>
      <c r="G4080" s="15">
        <v>0.05113438045375218</v>
      </c>
      <c r="H4080" s="11" t="s">
        <v>33</v>
      </c>
      <c r="I4080" s="16">
        <v>4.24</v>
      </c>
      <c r="J4080" s="11" t="s">
        <v>1681</v>
      </c>
      <c r="K4080" s="11" t="s">
        <v>61</v>
      </c>
      <c r="L4080" s="11" t="s">
        <v>41</v>
      </c>
      <c r="M4080" s="11" t="s">
        <v>28</v>
      </c>
      <c r="N4080" s="11" t="s">
        <v>236</v>
      </c>
      <c r="O4080" s="11" t="s">
        <v>1075</v>
      </c>
      <c r="P4080" s="11" t="s">
        <v>38</v>
      </c>
      <c r="Q4080" s="20">
        <v>40513.0</v>
      </c>
      <c r="R4080" s="17">
        <f t="shared" si="2"/>
        <v>5.560352531</v>
      </c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>
        <f t="shared" si="8"/>
        <v>3</v>
      </c>
      <c r="AF4080" s="19">
        <f t="shared" si="13"/>
        <v>4</v>
      </c>
      <c r="AG4080" s="9"/>
      <c r="AH4080" s="9"/>
      <c r="AI4080" s="9"/>
    </row>
    <row r="4081" ht="15.0" customHeight="1">
      <c r="A4081" s="11">
        <v>4080.0</v>
      </c>
      <c r="B4081" s="12">
        <f t="shared" si="645"/>
        <v>40511</v>
      </c>
      <c r="C4081" s="13">
        <v>2010.0</v>
      </c>
      <c r="D4081" s="11" t="s">
        <v>44</v>
      </c>
      <c r="E4081" s="11">
        <v>4.0</v>
      </c>
      <c r="F4081" s="21" t="s">
        <v>1327</v>
      </c>
      <c r="G4081" s="15">
        <v>0.07973468591494341</v>
      </c>
      <c r="H4081" s="11" t="s">
        <v>33</v>
      </c>
      <c r="I4081" s="16">
        <v>15.991999999999999</v>
      </c>
      <c r="J4081" s="11" t="s">
        <v>479</v>
      </c>
      <c r="K4081" s="11" t="s">
        <v>35</v>
      </c>
      <c r="L4081" s="11" t="s">
        <v>48</v>
      </c>
      <c r="M4081" s="11" t="s">
        <v>28</v>
      </c>
      <c r="N4081" s="11" t="s">
        <v>42</v>
      </c>
      <c r="O4081" s="11" t="s">
        <v>1328</v>
      </c>
      <c r="P4081" s="11" t="s">
        <v>38</v>
      </c>
      <c r="Q4081" s="20">
        <v>40513.0</v>
      </c>
      <c r="R4081" s="17">
        <f t="shared" si="2"/>
        <v>56.41962588</v>
      </c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>
        <f t="shared" si="8"/>
        <v>4</v>
      </c>
      <c r="AF4081" s="19">
        <f t="shared" si="13"/>
        <v>2</v>
      </c>
      <c r="AG4081" s="9"/>
      <c r="AH4081" s="9"/>
      <c r="AI4081" s="9"/>
    </row>
    <row r="4082" ht="15.0" customHeight="1">
      <c r="A4082" s="11">
        <v>4081.0</v>
      </c>
      <c r="B4082" s="12">
        <f t="shared" si="645"/>
        <v>40511</v>
      </c>
      <c r="C4082" s="13">
        <v>2010.0</v>
      </c>
      <c r="D4082" s="11" t="s">
        <v>23</v>
      </c>
      <c r="E4082" s="11">
        <v>4.0</v>
      </c>
      <c r="F4082" s="21" t="s">
        <v>352</v>
      </c>
      <c r="G4082" s="15">
        <v>0.025904463586530986</v>
      </c>
      <c r="H4082" s="11" t="s">
        <v>33</v>
      </c>
      <c r="I4082" s="16">
        <v>2.3920000000000003</v>
      </c>
      <c r="J4082" s="11" t="s">
        <v>1750</v>
      </c>
      <c r="K4082" s="11" t="s">
        <v>65</v>
      </c>
      <c r="L4082" s="11" t="s">
        <v>36</v>
      </c>
      <c r="M4082" s="11" t="s">
        <v>28</v>
      </c>
      <c r="N4082" s="11" t="s">
        <v>42</v>
      </c>
      <c r="O4082" s="11" t="s">
        <v>594</v>
      </c>
      <c r="P4082" s="11" t="s">
        <v>38</v>
      </c>
      <c r="Q4082" s="20">
        <v>40513.0</v>
      </c>
      <c r="R4082" s="17">
        <f t="shared" si="2"/>
        <v>3.222308034</v>
      </c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>
        <f t="shared" si="8"/>
        <v>2</v>
      </c>
      <c r="AF4082" s="19">
        <f t="shared" si="13"/>
        <v>5</v>
      </c>
      <c r="AG4082" s="9"/>
      <c r="AH4082" s="9"/>
      <c r="AI4082" s="9"/>
    </row>
    <row r="4083" ht="15.0" customHeight="1">
      <c r="A4083" s="11">
        <v>4082.0</v>
      </c>
      <c r="B4083" s="12">
        <f t="shared" si="645"/>
        <v>40511</v>
      </c>
      <c r="C4083" s="13">
        <v>2010.0</v>
      </c>
      <c r="D4083" s="11" t="s">
        <v>23</v>
      </c>
      <c r="E4083" s="11">
        <v>16.0</v>
      </c>
      <c r="F4083" s="21" t="s">
        <v>231</v>
      </c>
      <c r="G4083" s="15">
        <v>0.04608859244056797</v>
      </c>
      <c r="H4083" s="11" t="s">
        <v>45</v>
      </c>
      <c r="I4083" s="16">
        <v>15.352000000000002</v>
      </c>
      <c r="J4083" s="11" t="s">
        <v>1750</v>
      </c>
      <c r="K4083" s="11" t="s">
        <v>65</v>
      </c>
      <c r="L4083" s="11" t="s">
        <v>36</v>
      </c>
      <c r="M4083" s="11" t="s">
        <v>49</v>
      </c>
      <c r="N4083" s="11" t="s">
        <v>50</v>
      </c>
      <c r="O4083" s="11" t="s">
        <v>121</v>
      </c>
      <c r="P4083" s="11" t="s">
        <v>52</v>
      </c>
      <c r="Q4083" s="20">
        <v>40513.0</v>
      </c>
      <c r="R4083" s="17">
        <f t="shared" si="2"/>
        <v>25.70600461</v>
      </c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>
        <f t="shared" si="8"/>
        <v>2</v>
      </c>
      <c r="AF4083" s="19">
        <f t="shared" si="13"/>
        <v>5</v>
      </c>
      <c r="AG4083" s="9"/>
      <c r="AH4083" s="9"/>
      <c r="AI4083" s="9"/>
    </row>
    <row r="4084" ht="15.0" customHeight="1">
      <c r="A4084" s="11">
        <v>4083.0</v>
      </c>
      <c r="B4084" s="12">
        <f t="shared" si="645"/>
        <v>40511</v>
      </c>
      <c r="C4084" s="13">
        <v>2010.0</v>
      </c>
      <c r="D4084" s="11" t="s">
        <v>23</v>
      </c>
      <c r="E4084" s="11">
        <v>2.0</v>
      </c>
      <c r="F4084" s="21" t="s">
        <v>297</v>
      </c>
      <c r="G4084" s="15">
        <v>0.08918287937743183</v>
      </c>
      <c r="H4084" s="11" t="s">
        <v>33</v>
      </c>
      <c r="I4084" s="16">
        <v>4.608</v>
      </c>
      <c r="J4084" s="11" t="s">
        <v>1750</v>
      </c>
      <c r="K4084" s="11" t="s">
        <v>65</v>
      </c>
      <c r="L4084" s="11" t="s">
        <v>36</v>
      </c>
      <c r="M4084" s="11" t="s">
        <v>66</v>
      </c>
      <c r="N4084" s="11" t="s">
        <v>69</v>
      </c>
      <c r="O4084" s="11" t="s">
        <v>2003</v>
      </c>
      <c r="P4084" s="11" t="s">
        <v>75</v>
      </c>
      <c r="Q4084" s="20">
        <v>40513.0</v>
      </c>
      <c r="R4084" s="17">
        <f t="shared" si="2"/>
        <v>2.08759284</v>
      </c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>
        <f t="shared" si="8"/>
        <v>2</v>
      </c>
      <c r="AF4084" s="19">
        <f t="shared" si="13"/>
        <v>5</v>
      </c>
      <c r="AG4084" s="9"/>
      <c r="AH4084" s="9"/>
      <c r="AI4084" s="9"/>
    </row>
    <row r="4085" ht="15.0" customHeight="1">
      <c r="A4085" s="11">
        <v>4084.0</v>
      </c>
      <c r="B4085" s="12">
        <f t="shared" si="645"/>
        <v>40511</v>
      </c>
      <c r="C4085" s="13">
        <v>2010.0</v>
      </c>
      <c r="D4085" s="11" t="s">
        <v>32</v>
      </c>
      <c r="E4085" s="11">
        <v>19.0</v>
      </c>
      <c r="F4085" s="21" t="s">
        <v>678</v>
      </c>
      <c r="G4085" s="15">
        <v>0.10368750000000004</v>
      </c>
      <c r="H4085" s="11" t="s">
        <v>33</v>
      </c>
      <c r="I4085" s="16">
        <v>0.7280000000000001</v>
      </c>
      <c r="J4085" s="11" t="s">
        <v>763</v>
      </c>
      <c r="K4085" s="11" t="s">
        <v>65</v>
      </c>
      <c r="L4085" s="11" t="s">
        <v>27</v>
      </c>
      <c r="M4085" s="11" t="s">
        <v>28</v>
      </c>
      <c r="N4085" s="11" t="s">
        <v>62</v>
      </c>
      <c r="O4085" s="11" t="s">
        <v>1808</v>
      </c>
      <c r="P4085" s="11" t="s">
        <v>58</v>
      </c>
      <c r="Q4085" s="20">
        <v>40513.0</v>
      </c>
      <c r="R4085" s="17">
        <f t="shared" si="2"/>
        <v>11.8958595</v>
      </c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>
        <f t="shared" si="8"/>
        <v>1</v>
      </c>
      <c r="AF4085" s="19">
        <f t="shared" si="13"/>
        <v>5</v>
      </c>
      <c r="AG4085" s="9"/>
      <c r="AH4085" s="9"/>
      <c r="AI4085" s="9"/>
    </row>
    <row r="4086" ht="15.0" customHeight="1">
      <c r="A4086" s="11">
        <v>4085.0</v>
      </c>
      <c r="B4086" s="12">
        <f t="shared" si="645"/>
        <v>40511</v>
      </c>
      <c r="C4086" s="13">
        <v>2010.0</v>
      </c>
      <c r="D4086" s="11" t="s">
        <v>102</v>
      </c>
      <c r="E4086" s="11">
        <v>11.0</v>
      </c>
      <c r="F4086" s="21" t="s">
        <v>1038</v>
      </c>
      <c r="G4086" s="15">
        <v>0.02662119145065945</v>
      </c>
      <c r="H4086" s="11" t="s">
        <v>33</v>
      </c>
      <c r="I4086" s="16">
        <v>11.192</v>
      </c>
      <c r="J4086" s="11" t="s">
        <v>1425</v>
      </c>
      <c r="K4086" s="11" t="s">
        <v>47</v>
      </c>
      <c r="L4086" s="11" t="s">
        <v>41</v>
      </c>
      <c r="M4086" s="11" t="s">
        <v>49</v>
      </c>
      <c r="N4086" s="11" t="s">
        <v>73</v>
      </c>
      <c r="O4086" s="11" t="s">
        <v>2477</v>
      </c>
      <c r="P4086" s="11" t="s">
        <v>58</v>
      </c>
      <c r="Q4086" s="20">
        <v>40514.0</v>
      </c>
      <c r="R4086" s="17">
        <f t="shared" si="2"/>
        <v>11.39631909</v>
      </c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>
        <f t="shared" si="8"/>
        <v>3</v>
      </c>
      <c r="AF4086" s="19">
        <f t="shared" si="13"/>
        <v>3</v>
      </c>
      <c r="AG4086" s="9"/>
      <c r="AH4086" s="9"/>
      <c r="AI4086" s="9"/>
    </row>
    <row r="4087" ht="15.0" customHeight="1">
      <c r="A4087" s="11">
        <v>4086.0</v>
      </c>
      <c r="B4087" s="12">
        <f t="shared" ref="B4087:B4090" si="646">DATE(2012,12,31)-762</f>
        <v>40512</v>
      </c>
      <c r="C4087" s="13">
        <v>2010.0</v>
      </c>
      <c r="D4087" s="11" t="s">
        <v>23</v>
      </c>
      <c r="E4087" s="11">
        <v>31.0</v>
      </c>
      <c r="F4087" s="21" t="s">
        <v>1227</v>
      </c>
      <c r="G4087" s="15">
        <v>0.10000000000000007</v>
      </c>
      <c r="H4087" s="11" t="s">
        <v>24</v>
      </c>
      <c r="I4087" s="16">
        <v>4.16</v>
      </c>
      <c r="J4087" s="11" t="s">
        <v>2101</v>
      </c>
      <c r="K4087" s="11" t="s">
        <v>65</v>
      </c>
      <c r="L4087" s="11" t="s">
        <v>48</v>
      </c>
      <c r="M4087" s="11" t="s">
        <v>28</v>
      </c>
      <c r="N4087" s="11" t="s">
        <v>62</v>
      </c>
      <c r="O4087" s="11" t="s">
        <v>2038</v>
      </c>
      <c r="P4087" s="11" t="s">
        <v>58</v>
      </c>
      <c r="Q4087" s="20">
        <v>40514.0</v>
      </c>
      <c r="R4087" s="17">
        <f t="shared" si="2"/>
        <v>7.236</v>
      </c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>
        <f t="shared" si="8"/>
        <v>4</v>
      </c>
      <c r="AF4087" s="19">
        <f t="shared" si="13"/>
        <v>5</v>
      </c>
      <c r="AG4087" s="9"/>
      <c r="AH4087" s="9"/>
      <c r="AI4087" s="9"/>
    </row>
    <row r="4088" ht="15.0" customHeight="1">
      <c r="A4088" s="11">
        <v>4087.0</v>
      </c>
      <c r="B4088" s="12">
        <f t="shared" si="646"/>
        <v>40512</v>
      </c>
      <c r="C4088" s="13">
        <v>2010.0</v>
      </c>
      <c r="D4088" s="11" t="s">
        <v>39</v>
      </c>
      <c r="E4088" s="11">
        <v>50.0</v>
      </c>
      <c r="F4088" s="21" t="s">
        <v>731</v>
      </c>
      <c r="G4088" s="15">
        <v>0.03196281730425452</v>
      </c>
      <c r="H4088" s="11" t="s">
        <v>33</v>
      </c>
      <c r="I4088" s="16">
        <v>10.32</v>
      </c>
      <c r="J4088" s="11" t="s">
        <v>2315</v>
      </c>
      <c r="K4088" s="11" t="s">
        <v>26</v>
      </c>
      <c r="L4088" s="11" t="s">
        <v>36</v>
      </c>
      <c r="M4088" s="11" t="s">
        <v>28</v>
      </c>
      <c r="N4088" s="11" t="s">
        <v>29</v>
      </c>
      <c r="O4088" s="11" t="s">
        <v>733</v>
      </c>
      <c r="P4088" s="11" t="s">
        <v>38</v>
      </c>
      <c r="Q4088" s="20">
        <v>40514.0</v>
      </c>
      <c r="R4088" s="17">
        <f t="shared" si="2"/>
        <v>60.57976689</v>
      </c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>
        <f t="shared" si="8"/>
        <v>2</v>
      </c>
      <c r="AF4088" s="19">
        <f t="shared" si="13"/>
        <v>1</v>
      </c>
      <c r="AG4088" s="9"/>
      <c r="AH4088" s="9"/>
      <c r="AI4088" s="9"/>
    </row>
    <row r="4089" ht="15.0" customHeight="1">
      <c r="A4089" s="11">
        <v>4088.0</v>
      </c>
      <c r="B4089" s="12">
        <f t="shared" si="646"/>
        <v>40512</v>
      </c>
      <c r="C4089" s="13">
        <v>2010.0</v>
      </c>
      <c r="D4089" s="11" t="s">
        <v>102</v>
      </c>
      <c r="E4089" s="11">
        <v>37.0</v>
      </c>
      <c r="F4089" s="21" t="s">
        <v>747</v>
      </c>
      <c r="G4089" s="15">
        <v>0.0850693628027275</v>
      </c>
      <c r="H4089" s="11" t="s">
        <v>33</v>
      </c>
      <c r="I4089" s="16">
        <v>4.32</v>
      </c>
      <c r="J4089" s="11" t="s">
        <v>239</v>
      </c>
      <c r="K4089" s="11" t="s">
        <v>61</v>
      </c>
      <c r="L4089" s="11" t="s">
        <v>41</v>
      </c>
      <c r="M4089" s="11" t="s">
        <v>49</v>
      </c>
      <c r="N4089" s="11" t="s">
        <v>73</v>
      </c>
      <c r="O4089" s="11" t="s">
        <v>1011</v>
      </c>
      <c r="P4089" s="11" t="s">
        <v>99</v>
      </c>
      <c r="Q4089" s="20">
        <v>40514.0</v>
      </c>
      <c r="R4089" s="17">
        <f t="shared" si="2"/>
        <v>33.10219045</v>
      </c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>
        <f t="shared" si="8"/>
        <v>3</v>
      </c>
      <c r="AF4089" s="19">
        <f t="shared" si="13"/>
        <v>4</v>
      </c>
      <c r="AG4089" s="9"/>
      <c r="AH4089" s="9"/>
      <c r="AI4089" s="9"/>
    </row>
    <row r="4090" ht="15.0" customHeight="1">
      <c r="A4090" s="11">
        <v>4089.0</v>
      </c>
      <c r="B4090" s="12">
        <f t="shared" si="646"/>
        <v>40512</v>
      </c>
      <c r="C4090" s="13">
        <v>2010.0</v>
      </c>
      <c r="D4090" s="11" t="s">
        <v>32</v>
      </c>
      <c r="E4090" s="11">
        <v>24.0</v>
      </c>
      <c r="F4090" s="21" t="s">
        <v>122</v>
      </c>
      <c r="G4090" s="15">
        <v>0.016884422110552744</v>
      </c>
      <c r="H4090" s="11" t="s">
        <v>33</v>
      </c>
      <c r="I4090" s="16">
        <v>7.064</v>
      </c>
      <c r="J4090" s="11" t="s">
        <v>1051</v>
      </c>
      <c r="K4090" s="11" t="s">
        <v>35</v>
      </c>
      <c r="L4090" s="11" t="s">
        <v>27</v>
      </c>
      <c r="M4090" s="11" t="s">
        <v>28</v>
      </c>
      <c r="N4090" s="11" t="s">
        <v>42</v>
      </c>
      <c r="O4090" s="11" t="s">
        <v>175</v>
      </c>
      <c r="P4090" s="11" t="s">
        <v>38</v>
      </c>
      <c r="Q4090" s="20">
        <v>40514.0</v>
      </c>
      <c r="R4090" s="17">
        <f t="shared" si="2"/>
        <v>8.588497688</v>
      </c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>
        <f t="shared" si="8"/>
        <v>1</v>
      </c>
      <c r="AF4090" s="19">
        <f t="shared" si="13"/>
        <v>2</v>
      </c>
      <c r="AG4090" s="9"/>
      <c r="AH4090" s="9"/>
      <c r="AI4090" s="9"/>
    </row>
    <row r="4091" ht="15.0" customHeight="1">
      <c r="A4091" s="11">
        <v>4090.0</v>
      </c>
      <c r="B4091" s="12">
        <f t="shared" ref="B4091:B4097" si="647">DATE(2012,12,31)-761</f>
        <v>40513</v>
      </c>
      <c r="C4091" s="13">
        <v>2010.0</v>
      </c>
      <c r="D4091" s="11" t="s">
        <v>39</v>
      </c>
      <c r="E4091" s="11">
        <v>33.0</v>
      </c>
      <c r="F4091" s="21" t="s">
        <v>1897</v>
      </c>
      <c r="G4091" s="15">
        <v>0.03557009062418784</v>
      </c>
      <c r="H4091" s="11" t="s">
        <v>45</v>
      </c>
      <c r="I4091" s="16">
        <v>79.2</v>
      </c>
      <c r="J4091" s="11" t="s">
        <v>462</v>
      </c>
      <c r="K4091" s="11" t="s">
        <v>35</v>
      </c>
      <c r="L4091" s="11" t="s">
        <v>27</v>
      </c>
      <c r="M4091" s="11" t="s">
        <v>28</v>
      </c>
      <c r="N4091" s="11" t="s">
        <v>29</v>
      </c>
      <c r="O4091" s="11" t="s">
        <v>1898</v>
      </c>
      <c r="P4091" s="11" t="s">
        <v>52</v>
      </c>
      <c r="Q4091" s="20">
        <v>40514.0</v>
      </c>
      <c r="R4091" s="17">
        <f t="shared" si="2"/>
        <v>438.1843894</v>
      </c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>
        <f t="shared" si="8"/>
        <v>1</v>
      </c>
      <c r="AF4091" s="19">
        <f t="shared" si="13"/>
        <v>2</v>
      </c>
      <c r="AG4091" s="9"/>
      <c r="AH4091" s="9"/>
      <c r="AI4091" s="9"/>
    </row>
    <row r="4092" ht="15.0" customHeight="1">
      <c r="A4092" s="11">
        <v>4091.0</v>
      </c>
      <c r="B4092" s="12">
        <f t="shared" si="647"/>
        <v>40513</v>
      </c>
      <c r="C4092" s="13">
        <v>2010.0</v>
      </c>
      <c r="D4092" s="11" t="s">
        <v>39</v>
      </c>
      <c r="E4092" s="11">
        <v>5.0</v>
      </c>
      <c r="F4092" s="21" t="s">
        <v>1782</v>
      </c>
      <c r="G4092" s="15">
        <v>0.0568524590163935</v>
      </c>
      <c r="H4092" s="11" t="s">
        <v>33</v>
      </c>
      <c r="I4092" s="16">
        <v>4.064</v>
      </c>
      <c r="J4092" s="11" t="s">
        <v>2105</v>
      </c>
      <c r="K4092" s="11" t="s">
        <v>61</v>
      </c>
      <c r="L4092" s="11" t="s">
        <v>36</v>
      </c>
      <c r="M4092" s="11" t="s">
        <v>49</v>
      </c>
      <c r="N4092" s="11" t="s">
        <v>73</v>
      </c>
      <c r="O4092" s="11" t="s">
        <v>2488</v>
      </c>
      <c r="P4092" s="11" t="s">
        <v>99</v>
      </c>
      <c r="Q4092" s="20">
        <v>40515.0</v>
      </c>
      <c r="R4092" s="17">
        <f t="shared" si="2"/>
        <v>6.541671344</v>
      </c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>
        <f t="shared" si="8"/>
        <v>2</v>
      </c>
      <c r="AF4092" s="19">
        <f t="shared" si="13"/>
        <v>4</v>
      </c>
      <c r="AG4092" s="9"/>
      <c r="AH4092" s="9"/>
      <c r="AI4092" s="9"/>
    </row>
    <row r="4093" ht="15.0" customHeight="1">
      <c r="A4093" s="11">
        <v>4092.0</v>
      </c>
      <c r="B4093" s="12">
        <f t="shared" si="647"/>
        <v>40513</v>
      </c>
      <c r="C4093" s="13">
        <v>2010.0</v>
      </c>
      <c r="D4093" s="11" t="s">
        <v>32</v>
      </c>
      <c r="E4093" s="11">
        <v>6.0</v>
      </c>
      <c r="F4093" s="21" t="s">
        <v>889</v>
      </c>
      <c r="G4093" s="15">
        <v>0.08121383203951998</v>
      </c>
      <c r="H4093" s="11" t="s">
        <v>24</v>
      </c>
      <c r="I4093" s="16">
        <v>2.3920000000000003</v>
      </c>
      <c r="J4093" s="11" t="s">
        <v>2167</v>
      </c>
      <c r="K4093" s="11" t="s">
        <v>83</v>
      </c>
      <c r="L4093" s="11" t="s">
        <v>41</v>
      </c>
      <c r="M4093" s="11" t="s">
        <v>28</v>
      </c>
      <c r="N4093" s="11" t="s">
        <v>42</v>
      </c>
      <c r="O4093" s="11" t="s">
        <v>2489</v>
      </c>
      <c r="P4093" s="11" t="s">
        <v>38</v>
      </c>
      <c r="Q4093" s="20">
        <v>40515.0</v>
      </c>
      <c r="R4093" s="17">
        <f t="shared" si="2"/>
        <v>10.57339122</v>
      </c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>
        <f t="shared" si="8"/>
        <v>3</v>
      </c>
      <c r="AF4093" s="19" t="b">
        <f t="shared" si="13"/>
        <v>0</v>
      </c>
      <c r="AG4093" s="9"/>
      <c r="AH4093" s="9"/>
      <c r="AI4093" s="9"/>
    </row>
    <row r="4094" ht="15.0" customHeight="1">
      <c r="A4094" s="11">
        <v>4093.0</v>
      </c>
      <c r="B4094" s="12">
        <f t="shared" si="647"/>
        <v>40513</v>
      </c>
      <c r="C4094" s="13">
        <v>2010.0</v>
      </c>
      <c r="D4094" s="11" t="s">
        <v>32</v>
      </c>
      <c r="E4094" s="11">
        <v>9.0</v>
      </c>
      <c r="F4094" s="21" t="s">
        <v>119</v>
      </c>
      <c r="G4094" s="15">
        <v>0.09189189189189186</v>
      </c>
      <c r="H4094" s="11" t="s">
        <v>33</v>
      </c>
      <c r="I4094" s="16">
        <v>0.6000000000000001</v>
      </c>
      <c r="J4094" s="11" t="s">
        <v>2167</v>
      </c>
      <c r="K4094" s="11" t="s">
        <v>83</v>
      </c>
      <c r="L4094" s="11" t="s">
        <v>41</v>
      </c>
      <c r="M4094" s="11" t="s">
        <v>28</v>
      </c>
      <c r="N4094" s="11" t="s">
        <v>216</v>
      </c>
      <c r="O4094" s="11" t="s">
        <v>339</v>
      </c>
      <c r="P4094" s="11" t="s">
        <v>58</v>
      </c>
      <c r="Q4094" s="20">
        <v>40515.0</v>
      </c>
      <c r="R4094" s="17">
        <f t="shared" si="2"/>
        <v>1.543783784</v>
      </c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>
        <f t="shared" si="8"/>
        <v>3</v>
      </c>
      <c r="AF4094" s="19" t="b">
        <f t="shared" si="13"/>
        <v>0</v>
      </c>
      <c r="AG4094" s="9"/>
      <c r="AH4094" s="9"/>
      <c r="AI4094" s="9"/>
    </row>
    <row r="4095" ht="15.0" customHeight="1">
      <c r="A4095" s="11">
        <v>4094.0</v>
      </c>
      <c r="B4095" s="12">
        <f t="shared" si="647"/>
        <v>40513</v>
      </c>
      <c r="C4095" s="13">
        <v>2010.0</v>
      </c>
      <c r="D4095" s="11" t="s">
        <v>32</v>
      </c>
      <c r="E4095" s="11">
        <v>42.0</v>
      </c>
      <c r="F4095" s="21" t="s">
        <v>336</v>
      </c>
      <c r="G4095" s="15">
        <v>0.07248576850094875</v>
      </c>
      <c r="H4095" s="11" t="s">
        <v>33</v>
      </c>
      <c r="I4095" s="16">
        <v>0.8</v>
      </c>
      <c r="J4095" s="11" t="s">
        <v>2167</v>
      </c>
      <c r="K4095" s="11" t="s">
        <v>83</v>
      </c>
      <c r="L4095" s="11" t="s">
        <v>41</v>
      </c>
      <c r="M4095" s="11" t="s">
        <v>28</v>
      </c>
      <c r="N4095" s="11" t="s">
        <v>62</v>
      </c>
      <c r="O4095" s="11" t="s">
        <v>2107</v>
      </c>
      <c r="P4095" s="11" t="s">
        <v>58</v>
      </c>
      <c r="Q4095" s="20">
        <v>40515.0</v>
      </c>
      <c r="R4095" s="17">
        <f t="shared" si="2"/>
        <v>17.71552182</v>
      </c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>
        <f t="shared" si="8"/>
        <v>3</v>
      </c>
      <c r="AF4095" s="19" t="b">
        <f t="shared" si="13"/>
        <v>0</v>
      </c>
      <c r="AG4095" s="9"/>
      <c r="AH4095" s="9"/>
      <c r="AI4095" s="9"/>
    </row>
    <row r="4096" ht="15.0" customHeight="1">
      <c r="A4096" s="11">
        <v>4095.0</v>
      </c>
      <c r="B4096" s="12">
        <f t="shared" si="647"/>
        <v>40513</v>
      </c>
      <c r="C4096" s="13">
        <v>2010.0</v>
      </c>
      <c r="D4096" s="11" t="s">
        <v>44</v>
      </c>
      <c r="E4096" s="11">
        <v>34.0</v>
      </c>
      <c r="F4096" s="21" t="s">
        <v>933</v>
      </c>
      <c r="G4096" s="15">
        <v>0.04960079840319366</v>
      </c>
      <c r="H4096" s="11" t="s">
        <v>33</v>
      </c>
      <c r="I4096" s="16">
        <v>4.0</v>
      </c>
      <c r="J4096" s="11" t="s">
        <v>82</v>
      </c>
      <c r="K4096" s="11" t="s">
        <v>83</v>
      </c>
      <c r="L4096" s="11" t="s">
        <v>27</v>
      </c>
      <c r="M4096" s="11" t="s">
        <v>66</v>
      </c>
      <c r="N4096" s="11" t="s">
        <v>80</v>
      </c>
      <c r="O4096" s="11" t="s">
        <v>1026</v>
      </c>
      <c r="P4096" s="11" t="s">
        <v>99</v>
      </c>
      <c r="Q4096" s="20">
        <v>40515.0</v>
      </c>
      <c r="R4096" s="17">
        <f t="shared" si="2"/>
        <v>94.46968064</v>
      </c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>
        <f t="shared" si="8"/>
        <v>1</v>
      </c>
      <c r="AF4096" s="19" t="b">
        <f t="shared" si="13"/>
        <v>0</v>
      </c>
      <c r="AG4096" s="9"/>
      <c r="AH4096" s="9"/>
      <c r="AI4096" s="9"/>
    </row>
    <row r="4097" ht="15.0" customHeight="1">
      <c r="A4097" s="11">
        <v>4096.0</v>
      </c>
      <c r="B4097" s="12">
        <f t="shared" si="647"/>
        <v>40513</v>
      </c>
      <c r="C4097" s="13">
        <v>2010.0</v>
      </c>
      <c r="D4097" s="11" t="s">
        <v>102</v>
      </c>
      <c r="E4097" s="11">
        <v>41.0</v>
      </c>
      <c r="F4097" s="21" t="s">
        <v>218</v>
      </c>
      <c r="G4097" s="15">
        <v>0.01443643701354852</v>
      </c>
      <c r="H4097" s="11" t="s">
        <v>33</v>
      </c>
      <c r="I4097" s="16">
        <v>1.592</v>
      </c>
      <c r="J4097" s="11" t="s">
        <v>2026</v>
      </c>
      <c r="K4097" s="11" t="s">
        <v>65</v>
      </c>
      <c r="L4097" s="11" t="s">
        <v>41</v>
      </c>
      <c r="M4097" s="11" t="s">
        <v>66</v>
      </c>
      <c r="N4097" s="11" t="s">
        <v>67</v>
      </c>
      <c r="O4097" s="11" t="s">
        <v>749</v>
      </c>
      <c r="P4097" s="11" t="s">
        <v>99</v>
      </c>
      <c r="Q4097" s="20">
        <v>40515.0</v>
      </c>
      <c r="R4097" s="17">
        <f t="shared" si="2"/>
        <v>4.935702323</v>
      </c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>
        <f t="shared" si="8"/>
        <v>3</v>
      </c>
      <c r="AF4097" s="19">
        <f t="shared" si="13"/>
        <v>5</v>
      </c>
      <c r="AG4097" s="9"/>
      <c r="AH4097" s="9"/>
      <c r="AI4097" s="9"/>
    </row>
    <row r="4098" ht="15.0" customHeight="1">
      <c r="A4098" s="11">
        <v>4097.0</v>
      </c>
      <c r="B4098" s="12">
        <f t="shared" ref="B4098:B4104" si="648">DATE(2012,12,31)-760</f>
        <v>40514</v>
      </c>
      <c r="C4098" s="13">
        <v>2010.0</v>
      </c>
      <c r="D4098" s="11" t="s">
        <v>44</v>
      </c>
      <c r="E4098" s="11">
        <v>36.0</v>
      </c>
      <c r="F4098" s="21" t="s">
        <v>979</v>
      </c>
      <c r="G4098" s="15">
        <v>0.06585202336109486</v>
      </c>
      <c r="H4098" s="11" t="s">
        <v>24</v>
      </c>
      <c r="I4098" s="16">
        <v>9.432</v>
      </c>
      <c r="J4098" s="11" t="s">
        <v>528</v>
      </c>
      <c r="K4098" s="11" t="s">
        <v>83</v>
      </c>
      <c r="L4098" s="11" t="s">
        <v>41</v>
      </c>
      <c r="M4098" s="11" t="s">
        <v>28</v>
      </c>
      <c r="N4098" s="11" t="s">
        <v>197</v>
      </c>
      <c r="O4098" s="11" t="s">
        <v>980</v>
      </c>
      <c r="P4098" s="11" t="s">
        <v>75</v>
      </c>
      <c r="Q4098" s="20">
        <v>40515.0</v>
      </c>
      <c r="R4098" s="17">
        <f t="shared" si="2"/>
        <v>534.0225055</v>
      </c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>
        <f t="shared" si="8"/>
        <v>3</v>
      </c>
      <c r="AF4098" s="19" t="b">
        <f t="shared" si="13"/>
        <v>0</v>
      </c>
      <c r="AG4098" s="9"/>
      <c r="AH4098" s="9"/>
      <c r="AI4098" s="9"/>
    </row>
    <row r="4099" ht="15.0" customHeight="1">
      <c r="A4099" s="11">
        <v>4098.0</v>
      </c>
      <c r="B4099" s="12">
        <f t="shared" si="648"/>
        <v>40514</v>
      </c>
      <c r="C4099" s="13">
        <v>2010.0</v>
      </c>
      <c r="D4099" s="11" t="s">
        <v>44</v>
      </c>
      <c r="E4099" s="11">
        <v>21.0</v>
      </c>
      <c r="F4099" s="21" t="s">
        <v>319</v>
      </c>
      <c r="G4099" s="15">
        <v>0.015801652892562034</v>
      </c>
      <c r="H4099" s="11" t="s">
        <v>33</v>
      </c>
      <c r="I4099" s="16">
        <v>0.7440000000000001</v>
      </c>
      <c r="J4099" s="11" t="s">
        <v>528</v>
      </c>
      <c r="K4099" s="11" t="s">
        <v>83</v>
      </c>
      <c r="L4099" s="11" t="s">
        <v>41</v>
      </c>
      <c r="M4099" s="11" t="s">
        <v>28</v>
      </c>
      <c r="N4099" s="11" t="s">
        <v>62</v>
      </c>
      <c r="O4099" s="11" t="s">
        <v>1427</v>
      </c>
      <c r="P4099" s="11" t="s">
        <v>58</v>
      </c>
      <c r="Q4099" s="20">
        <v>40515.0</v>
      </c>
      <c r="R4099" s="17">
        <f t="shared" si="2"/>
        <v>0.9408936198</v>
      </c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>
        <f t="shared" si="8"/>
        <v>3</v>
      </c>
      <c r="AF4099" s="19" t="b">
        <f t="shared" si="13"/>
        <v>0</v>
      </c>
      <c r="AG4099" s="9"/>
      <c r="AH4099" s="9"/>
      <c r="AI4099" s="9"/>
    </row>
    <row r="4100" ht="15.0" customHeight="1">
      <c r="A4100" s="11">
        <v>4099.0</v>
      </c>
      <c r="B4100" s="12">
        <f t="shared" si="648"/>
        <v>40514</v>
      </c>
      <c r="C4100" s="13">
        <v>2010.0</v>
      </c>
      <c r="D4100" s="11" t="s">
        <v>44</v>
      </c>
      <c r="E4100" s="11">
        <v>36.0</v>
      </c>
      <c r="F4100" s="21" t="s">
        <v>397</v>
      </c>
      <c r="G4100" s="15">
        <v>0.00941453566621804</v>
      </c>
      <c r="H4100" s="11" t="s">
        <v>45</v>
      </c>
      <c r="I4100" s="16">
        <v>36.408</v>
      </c>
      <c r="J4100" s="11" t="s">
        <v>528</v>
      </c>
      <c r="K4100" s="11" t="s">
        <v>83</v>
      </c>
      <c r="L4100" s="11" t="s">
        <v>41</v>
      </c>
      <c r="M4100" s="11" t="s">
        <v>49</v>
      </c>
      <c r="N4100" s="11" t="s">
        <v>85</v>
      </c>
      <c r="O4100" s="11" t="s">
        <v>399</v>
      </c>
      <c r="P4100" s="11" t="s">
        <v>87</v>
      </c>
      <c r="Q4100" s="20">
        <v>40516.0</v>
      </c>
      <c r="R4100" s="17">
        <f t="shared" si="2"/>
        <v>11.08663252</v>
      </c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>
        <f t="shared" si="8"/>
        <v>3</v>
      </c>
      <c r="AF4100" s="19" t="b">
        <f t="shared" si="13"/>
        <v>0</v>
      </c>
      <c r="AG4100" s="9"/>
      <c r="AH4100" s="9"/>
      <c r="AI4100" s="9"/>
    </row>
    <row r="4101" ht="15.0" customHeight="1">
      <c r="A4101" s="11">
        <v>4100.0</v>
      </c>
      <c r="B4101" s="12">
        <f t="shared" si="648"/>
        <v>40514</v>
      </c>
      <c r="C4101" s="13">
        <v>2010.0</v>
      </c>
      <c r="D4101" s="11" t="s">
        <v>102</v>
      </c>
      <c r="E4101" s="11">
        <v>50.0</v>
      </c>
      <c r="F4101" s="21" t="s">
        <v>1050</v>
      </c>
      <c r="G4101" s="15">
        <v>0.07113894840942818</v>
      </c>
      <c r="H4101" s="11" t="s">
        <v>33</v>
      </c>
      <c r="I4101" s="16">
        <v>12.08</v>
      </c>
      <c r="J4101" s="11" t="s">
        <v>1648</v>
      </c>
      <c r="K4101" s="11" t="s">
        <v>35</v>
      </c>
      <c r="L4101" s="11" t="s">
        <v>27</v>
      </c>
      <c r="M4101" s="11" t="s">
        <v>28</v>
      </c>
      <c r="N4101" s="11" t="s">
        <v>42</v>
      </c>
      <c r="O4101" s="11" t="s">
        <v>1052</v>
      </c>
      <c r="P4101" s="11" t="s">
        <v>38</v>
      </c>
      <c r="Q4101" s="20">
        <v>40516.0</v>
      </c>
      <c r="R4101" s="17">
        <f t="shared" si="2"/>
        <v>80.17928597</v>
      </c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>
        <f t="shared" si="8"/>
        <v>1</v>
      </c>
      <c r="AF4101" s="19">
        <f t="shared" si="13"/>
        <v>2</v>
      </c>
      <c r="AG4101" s="9"/>
      <c r="AH4101" s="9"/>
      <c r="AI4101" s="9"/>
    </row>
    <row r="4102" ht="15.0" customHeight="1">
      <c r="A4102" s="11">
        <v>4101.0</v>
      </c>
      <c r="B4102" s="12">
        <f t="shared" si="648"/>
        <v>40514</v>
      </c>
      <c r="C4102" s="13">
        <v>2010.0</v>
      </c>
      <c r="D4102" s="11" t="s">
        <v>102</v>
      </c>
      <c r="E4102" s="11">
        <v>13.0</v>
      </c>
      <c r="F4102" s="21" t="s">
        <v>1367</v>
      </c>
      <c r="G4102" s="15">
        <v>0.013498059803697783</v>
      </c>
      <c r="H4102" s="11" t="s">
        <v>45</v>
      </c>
      <c r="I4102" s="16">
        <v>50.19200000000001</v>
      </c>
      <c r="J4102" s="11" t="s">
        <v>1648</v>
      </c>
      <c r="K4102" s="11" t="s">
        <v>35</v>
      </c>
      <c r="L4102" s="11" t="s">
        <v>27</v>
      </c>
      <c r="M4102" s="11" t="s">
        <v>49</v>
      </c>
      <c r="N4102" s="11" t="s">
        <v>85</v>
      </c>
      <c r="O4102" s="11" t="s">
        <v>1368</v>
      </c>
      <c r="P4102" s="11" t="s">
        <v>87</v>
      </c>
      <c r="Q4102" s="20">
        <v>40516.0</v>
      </c>
      <c r="R4102" s="17">
        <f t="shared" si="2"/>
        <v>46.66943379</v>
      </c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>
        <f t="shared" si="8"/>
        <v>1</v>
      </c>
      <c r="AF4102" s="19">
        <f t="shared" si="13"/>
        <v>2</v>
      </c>
      <c r="AG4102" s="9"/>
      <c r="AH4102" s="9"/>
      <c r="AI4102" s="9"/>
    </row>
    <row r="4103" ht="15.0" customHeight="1">
      <c r="A4103" s="11">
        <v>4102.0</v>
      </c>
      <c r="B4103" s="12">
        <f t="shared" si="648"/>
        <v>40514</v>
      </c>
      <c r="C4103" s="13">
        <v>2010.0</v>
      </c>
      <c r="D4103" s="11" t="s">
        <v>23</v>
      </c>
      <c r="E4103" s="11">
        <v>23.0</v>
      </c>
      <c r="F4103" s="21" t="s">
        <v>743</v>
      </c>
      <c r="G4103" s="15">
        <v>0.05905417300152033</v>
      </c>
      <c r="H4103" s="11" t="s">
        <v>33</v>
      </c>
      <c r="I4103" s="16">
        <v>5.2</v>
      </c>
      <c r="J4103" s="11" t="s">
        <v>456</v>
      </c>
      <c r="K4103" s="11" t="s">
        <v>35</v>
      </c>
      <c r="L4103" s="11" t="s">
        <v>27</v>
      </c>
      <c r="M4103" s="11" t="s">
        <v>66</v>
      </c>
      <c r="N4103" s="11" t="s">
        <v>67</v>
      </c>
      <c r="O4103" s="11" t="s">
        <v>1864</v>
      </c>
      <c r="P4103" s="11" t="s">
        <v>38</v>
      </c>
      <c r="Q4103" s="20">
        <v>40516.0</v>
      </c>
      <c r="R4103" s="17">
        <f t="shared" si="2"/>
        <v>69.44180203</v>
      </c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>
        <f t="shared" si="8"/>
        <v>1</v>
      </c>
      <c r="AF4103" s="19">
        <f t="shared" si="13"/>
        <v>2</v>
      </c>
      <c r="AG4103" s="9"/>
      <c r="AH4103" s="9"/>
      <c r="AI4103" s="9"/>
    </row>
    <row r="4104" ht="15.0" customHeight="1">
      <c r="A4104" s="11">
        <v>4103.0</v>
      </c>
      <c r="B4104" s="12">
        <f t="shared" si="648"/>
        <v>40514</v>
      </c>
      <c r="C4104" s="13">
        <v>2010.0</v>
      </c>
      <c r="D4104" s="11" t="s">
        <v>102</v>
      </c>
      <c r="E4104" s="11">
        <v>12.0</v>
      </c>
      <c r="F4104" s="21" t="s">
        <v>369</v>
      </c>
      <c r="G4104" s="15">
        <v>0.02037756202804742</v>
      </c>
      <c r="H4104" s="11" t="s">
        <v>45</v>
      </c>
      <c r="I4104" s="16">
        <v>29.288</v>
      </c>
      <c r="J4104" s="11" t="s">
        <v>1142</v>
      </c>
      <c r="K4104" s="11" t="s">
        <v>47</v>
      </c>
      <c r="L4104" s="11" t="s">
        <v>36</v>
      </c>
      <c r="M4104" s="11" t="s">
        <v>49</v>
      </c>
      <c r="N4104" s="11" t="s">
        <v>156</v>
      </c>
      <c r="O4104" s="11" t="s">
        <v>1885</v>
      </c>
      <c r="P4104" s="11" t="s">
        <v>87</v>
      </c>
      <c r="Q4104" s="20">
        <v>40516.0</v>
      </c>
      <c r="R4104" s="17">
        <f t="shared" si="2"/>
        <v>14.80405428</v>
      </c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>
        <f t="shared" si="8"/>
        <v>2</v>
      </c>
      <c r="AF4104" s="19">
        <f t="shared" si="13"/>
        <v>3</v>
      </c>
      <c r="AG4104" s="9"/>
      <c r="AH4104" s="9"/>
      <c r="AI4104" s="9"/>
    </row>
    <row r="4105" ht="15.0" customHeight="1">
      <c r="A4105" s="11">
        <v>4104.0</v>
      </c>
      <c r="B4105" s="12">
        <f t="shared" ref="B4105:B4110" si="649">DATE(2012,12,31)-759</f>
        <v>40515</v>
      </c>
      <c r="C4105" s="13">
        <v>2010.0</v>
      </c>
      <c r="D4105" s="11" t="s">
        <v>23</v>
      </c>
      <c r="E4105" s="11">
        <v>15.0</v>
      </c>
      <c r="F4105" s="21" t="s">
        <v>103</v>
      </c>
      <c r="G4105" s="15">
        <v>0.03218390804597699</v>
      </c>
      <c r="H4105" s="11" t="s">
        <v>33</v>
      </c>
      <c r="I4105" s="16">
        <v>4.12</v>
      </c>
      <c r="J4105" s="11" t="s">
        <v>597</v>
      </c>
      <c r="K4105" s="11" t="s">
        <v>26</v>
      </c>
      <c r="L4105" s="11" t="s">
        <v>48</v>
      </c>
      <c r="M4105" s="11" t="s">
        <v>28</v>
      </c>
      <c r="N4105" s="11" t="s">
        <v>56</v>
      </c>
      <c r="O4105" s="11" t="s">
        <v>1478</v>
      </c>
      <c r="P4105" s="11" t="s">
        <v>38</v>
      </c>
      <c r="Q4105" s="20">
        <v>40516.0</v>
      </c>
      <c r="R4105" s="17">
        <f t="shared" si="2"/>
        <v>2.980873563</v>
      </c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>
        <f t="shared" si="8"/>
        <v>4</v>
      </c>
      <c r="AF4105" s="19">
        <f t="shared" si="13"/>
        <v>1</v>
      </c>
      <c r="AG4105" s="9"/>
      <c r="AH4105" s="9"/>
      <c r="AI4105" s="9"/>
    </row>
    <row r="4106" ht="15.0" customHeight="1">
      <c r="A4106" s="11">
        <v>4105.0</v>
      </c>
      <c r="B4106" s="12">
        <f t="shared" si="649"/>
        <v>40515</v>
      </c>
      <c r="C4106" s="13">
        <v>2010.0</v>
      </c>
      <c r="D4106" s="11" t="s">
        <v>23</v>
      </c>
      <c r="E4106" s="11">
        <v>30.0</v>
      </c>
      <c r="F4106" s="21" t="s">
        <v>422</v>
      </c>
      <c r="G4106" s="15">
        <v>0.035126423804819715</v>
      </c>
      <c r="H4106" s="11" t="s">
        <v>33</v>
      </c>
      <c r="I4106" s="16">
        <v>3.6</v>
      </c>
      <c r="J4106" s="11" t="s">
        <v>1586</v>
      </c>
      <c r="K4106" s="11" t="s">
        <v>65</v>
      </c>
      <c r="L4106" s="11" t="s">
        <v>27</v>
      </c>
      <c r="M4106" s="11" t="s">
        <v>28</v>
      </c>
      <c r="N4106" s="11" t="s">
        <v>197</v>
      </c>
      <c r="O4106" s="11" t="s">
        <v>2225</v>
      </c>
      <c r="P4106" s="11" t="s">
        <v>38</v>
      </c>
      <c r="Q4106" s="20">
        <v>40516.0</v>
      </c>
      <c r="R4106" s="17">
        <f t="shared" si="2"/>
        <v>85.3782857</v>
      </c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>
        <f t="shared" si="8"/>
        <v>1</v>
      </c>
      <c r="AF4106" s="19">
        <f t="shared" si="13"/>
        <v>5</v>
      </c>
      <c r="AG4106" s="9"/>
      <c r="AH4106" s="9"/>
      <c r="AI4106" s="9"/>
    </row>
    <row r="4107" ht="15.0" customHeight="1">
      <c r="A4107" s="11">
        <v>4106.0</v>
      </c>
      <c r="B4107" s="12">
        <f t="shared" si="649"/>
        <v>40515</v>
      </c>
      <c r="C4107" s="13">
        <v>2010.0</v>
      </c>
      <c r="D4107" s="11" t="s">
        <v>23</v>
      </c>
      <c r="E4107" s="11">
        <v>23.0</v>
      </c>
      <c r="F4107" s="21" t="s">
        <v>144</v>
      </c>
      <c r="G4107" s="15">
        <v>0.05857418111753357</v>
      </c>
      <c r="H4107" s="11" t="s">
        <v>33</v>
      </c>
      <c r="I4107" s="16">
        <v>0.5599999999999999</v>
      </c>
      <c r="J4107" s="11" t="s">
        <v>1586</v>
      </c>
      <c r="K4107" s="11" t="s">
        <v>65</v>
      </c>
      <c r="L4107" s="11" t="s">
        <v>27</v>
      </c>
      <c r="M4107" s="11" t="s">
        <v>28</v>
      </c>
      <c r="N4107" s="11" t="s">
        <v>62</v>
      </c>
      <c r="O4107" s="11" t="s">
        <v>146</v>
      </c>
      <c r="P4107" s="11" t="s">
        <v>58</v>
      </c>
      <c r="Q4107" s="20">
        <v>40516.0</v>
      </c>
      <c r="R4107" s="17">
        <f t="shared" si="2"/>
        <v>2.861934489</v>
      </c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>
        <f t="shared" si="8"/>
        <v>1</v>
      </c>
      <c r="AF4107" s="19">
        <f t="shared" si="13"/>
        <v>5</v>
      </c>
      <c r="AG4107" s="9"/>
      <c r="AH4107" s="9"/>
      <c r="AI4107" s="9"/>
    </row>
    <row r="4108" ht="15.0" customHeight="1">
      <c r="A4108" s="11">
        <v>4107.0</v>
      </c>
      <c r="B4108" s="12">
        <f t="shared" si="649"/>
        <v>40515</v>
      </c>
      <c r="C4108" s="13">
        <v>2010.0</v>
      </c>
      <c r="D4108" s="11" t="s">
        <v>23</v>
      </c>
      <c r="E4108" s="11">
        <v>24.0</v>
      </c>
      <c r="F4108" s="21" t="s">
        <v>1954</v>
      </c>
      <c r="G4108" s="15">
        <v>0.08332908766694584</v>
      </c>
      <c r="H4108" s="11" t="s">
        <v>33</v>
      </c>
      <c r="I4108" s="16">
        <v>3.7200000000000006</v>
      </c>
      <c r="J4108" s="11" t="s">
        <v>2039</v>
      </c>
      <c r="K4108" s="11" t="s">
        <v>83</v>
      </c>
      <c r="L4108" s="11" t="s">
        <v>41</v>
      </c>
      <c r="M4108" s="11" t="s">
        <v>28</v>
      </c>
      <c r="N4108" s="11" t="s">
        <v>56</v>
      </c>
      <c r="O4108" s="11" t="s">
        <v>1955</v>
      </c>
      <c r="P4108" s="11" t="s">
        <v>38</v>
      </c>
      <c r="Q4108" s="20">
        <v>40517.0</v>
      </c>
      <c r="R4108" s="17">
        <f t="shared" si="2"/>
        <v>209.8993055</v>
      </c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>
        <f t="shared" si="8"/>
        <v>3</v>
      </c>
      <c r="AF4108" s="19" t="b">
        <f t="shared" si="13"/>
        <v>0</v>
      </c>
      <c r="AG4108" s="9"/>
      <c r="AH4108" s="9"/>
      <c r="AI4108" s="9"/>
    </row>
    <row r="4109" ht="15.0" customHeight="1">
      <c r="A4109" s="11">
        <v>4108.0</v>
      </c>
      <c r="B4109" s="12">
        <f t="shared" si="649"/>
        <v>40515</v>
      </c>
      <c r="C4109" s="13">
        <v>2010.0</v>
      </c>
      <c r="D4109" s="11" t="s">
        <v>23</v>
      </c>
      <c r="E4109" s="11">
        <v>32.0</v>
      </c>
      <c r="F4109" s="21" t="s">
        <v>1544</v>
      </c>
      <c r="G4109" s="15">
        <v>0.029943289224952766</v>
      </c>
      <c r="H4109" s="11" t="s">
        <v>33</v>
      </c>
      <c r="I4109" s="16">
        <v>7.192</v>
      </c>
      <c r="J4109" s="11" t="s">
        <v>1252</v>
      </c>
      <c r="K4109" s="11" t="s">
        <v>35</v>
      </c>
      <c r="L4109" s="11" t="s">
        <v>27</v>
      </c>
      <c r="M4109" s="11" t="s">
        <v>49</v>
      </c>
      <c r="N4109" s="11" t="s">
        <v>73</v>
      </c>
      <c r="O4109" s="11" t="s">
        <v>1545</v>
      </c>
      <c r="P4109" s="11" t="s">
        <v>99</v>
      </c>
      <c r="Q4109" s="20">
        <v>40517.0</v>
      </c>
      <c r="R4109" s="17">
        <f t="shared" si="2"/>
        <v>95.26732945</v>
      </c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>
        <f t="shared" si="8"/>
        <v>1</v>
      </c>
      <c r="AF4109" s="19">
        <f t="shared" si="13"/>
        <v>2</v>
      </c>
      <c r="AG4109" s="9"/>
      <c r="AH4109" s="9"/>
      <c r="AI4109" s="9"/>
    </row>
    <row r="4110" ht="15.0" customHeight="1">
      <c r="A4110" s="11">
        <v>4109.0</v>
      </c>
      <c r="B4110" s="12">
        <f t="shared" si="649"/>
        <v>40515</v>
      </c>
      <c r="C4110" s="13">
        <v>2010.0</v>
      </c>
      <c r="D4110" s="11" t="s">
        <v>23</v>
      </c>
      <c r="E4110" s="11">
        <v>1.0</v>
      </c>
      <c r="F4110" s="21" t="s">
        <v>1091</v>
      </c>
      <c r="G4110" s="15">
        <v>0.010909090909090943</v>
      </c>
      <c r="H4110" s="11" t="s">
        <v>33</v>
      </c>
      <c r="I4110" s="16">
        <v>1.592</v>
      </c>
      <c r="J4110" s="11" t="s">
        <v>1901</v>
      </c>
      <c r="K4110" s="11" t="s">
        <v>35</v>
      </c>
      <c r="L4110" s="11" t="s">
        <v>48</v>
      </c>
      <c r="M4110" s="11" t="s">
        <v>66</v>
      </c>
      <c r="N4110" s="11" t="s">
        <v>67</v>
      </c>
      <c r="O4110" s="11" t="s">
        <v>1200</v>
      </c>
      <c r="P4110" s="11" t="s">
        <v>99</v>
      </c>
      <c r="Q4110" s="20">
        <v>40517.0</v>
      </c>
      <c r="R4110" s="17">
        <f t="shared" si="2"/>
        <v>0.4035490909</v>
      </c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>
        <f t="shared" si="8"/>
        <v>4</v>
      </c>
      <c r="AF4110" s="19">
        <f t="shared" si="13"/>
        <v>2</v>
      </c>
      <c r="AG4110" s="9"/>
      <c r="AH4110" s="9"/>
      <c r="AI4110" s="9"/>
    </row>
    <row r="4111" ht="15.0" customHeight="1">
      <c r="A4111" s="11">
        <v>4110.0</v>
      </c>
      <c r="B4111" s="12">
        <f t="shared" ref="B4111:B4120" si="650">DATE(2012,12,31)-758</f>
        <v>40516</v>
      </c>
      <c r="C4111" s="13">
        <v>2010.0</v>
      </c>
      <c r="D4111" s="11" t="s">
        <v>102</v>
      </c>
      <c r="E4111" s="11">
        <v>22.0</v>
      </c>
      <c r="F4111" s="21" t="s">
        <v>147</v>
      </c>
      <c r="G4111" s="15">
        <v>0.06502463054187194</v>
      </c>
      <c r="H4111" s="11" t="s">
        <v>33</v>
      </c>
      <c r="I4111" s="16">
        <v>0.5599999999999999</v>
      </c>
      <c r="J4111" s="11" t="s">
        <v>407</v>
      </c>
      <c r="K4111" s="11" t="s">
        <v>26</v>
      </c>
      <c r="L4111" s="11" t="s">
        <v>36</v>
      </c>
      <c r="M4111" s="11" t="s">
        <v>28</v>
      </c>
      <c r="N4111" s="11" t="s">
        <v>62</v>
      </c>
      <c r="O4111" s="11" t="s">
        <v>182</v>
      </c>
      <c r="P4111" s="11" t="s">
        <v>58</v>
      </c>
      <c r="Q4111" s="20">
        <v>40517.0</v>
      </c>
      <c r="R4111" s="17">
        <f t="shared" si="2"/>
        <v>2.468334975</v>
      </c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>
        <f t="shared" si="8"/>
        <v>2</v>
      </c>
      <c r="AF4111" s="19">
        <f t="shared" si="13"/>
        <v>1</v>
      </c>
      <c r="AG4111" s="9"/>
      <c r="AH4111" s="9"/>
      <c r="AI4111" s="9"/>
    </row>
    <row r="4112" ht="15.0" customHeight="1">
      <c r="A4112" s="11">
        <v>4111.0</v>
      </c>
      <c r="B4112" s="12">
        <f t="shared" si="650"/>
        <v>40516</v>
      </c>
      <c r="C4112" s="13">
        <v>2010.0</v>
      </c>
      <c r="D4112" s="11" t="s">
        <v>32</v>
      </c>
      <c r="E4112" s="11">
        <v>32.0</v>
      </c>
      <c r="F4112" s="21" t="s">
        <v>624</v>
      </c>
      <c r="G4112" s="15">
        <v>0.06473501504281425</v>
      </c>
      <c r="H4112" s="11" t="s">
        <v>33</v>
      </c>
      <c r="I4112" s="16">
        <v>4.128</v>
      </c>
      <c r="J4112" s="11" t="s">
        <v>936</v>
      </c>
      <c r="K4112" s="11" t="s">
        <v>61</v>
      </c>
      <c r="L4112" s="11" t="s">
        <v>27</v>
      </c>
      <c r="M4112" s="11" t="s">
        <v>49</v>
      </c>
      <c r="N4112" s="11" t="s">
        <v>73</v>
      </c>
      <c r="O4112" s="11" t="s">
        <v>1709</v>
      </c>
      <c r="P4112" s="11" t="s">
        <v>38</v>
      </c>
      <c r="Q4112" s="20">
        <v>40517.0</v>
      </c>
      <c r="R4112" s="17">
        <f t="shared" si="2"/>
        <v>26.16123216</v>
      </c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>
        <f t="shared" si="8"/>
        <v>1</v>
      </c>
      <c r="AF4112" s="19">
        <f t="shared" si="13"/>
        <v>4</v>
      </c>
      <c r="AG4112" s="9"/>
      <c r="AH4112" s="9"/>
      <c r="AI4112" s="9"/>
    </row>
    <row r="4113" ht="15.0" customHeight="1">
      <c r="A4113" s="11">
        <v>4112.0</v>
      </c>
      <c r="B4113" s="12">
        <f t="shared" si="650"/>
        <v>40516</v>
      </c>
      <c r="C4113" s="13">
        <v>2010.0</v>
      </c>
      <c r="D4113" s="11" t="s">
        <v>32</v>
      </c>
      <c r="E4113" s="11">
        <v>31.0</v>
      </c>
      <c r="F4113" s="21" t="s">
        <v>466</v>
      </c>
      <c r="G4113" s="15">
        <v>0.052330508474576244</v>
      </c>
      <c r="H4113" s="11" t="s">
        <v>33</v>
      </c>
      <c r="I4113" s="16">
        <v>4.0</v>
      </c>
      <c r="J4113" s="11" t="s">
        <v>936</v>
      </c>
      <c r="K4113" s="11" t="s">
        <v>61</v>
      </c>
      <c r="L4113" s="11" t="s">
        <v>27</v>
      </c>
      <c r="M4113" s="11" t="s">
        <v>49</v>
      </c>
      <c r="N4113" s="11" t="s">
        <v>73</v>
      </c>
      <c r="O4113" s="11" t="s">
        <v>467</v>
      </c>
      <c r="P4113" s="11" t="s">
        <v>99</v>
      </c>
      <c r="Q4113" s="20">
        <v>40517.0</v>
      </c>
      <c r="R4113" s="17">
        <f t="shared" si="2"/>
        <v>23.40743644</v>
      </c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>
        <f t="shared" si="8"/>
        <v>1</v>
      </c>
      <c r="AF4113" s="19">
        <f t="shared" si="13"/>
        <v>4</v>
      </c>
      <c r="AG4113" s="9"/>
      <c r="AH4113" s="9"/>
      <c r="AI4113" s="9"/>
    </row>
    <row r="4114" ht="15.0" customHeight="1">
      <c r="A4114" s="11">
        <v>4113.0</v>
      </c>
      <c r="B4114" s="12">
        <f t="shared" si="650"/>
        <v>40516</v>
      </c>
      <c r="C4114" s="13">
        <v>2010.0</v>
      </c>
      <c r="D4114" s="11" t="s">
        <v>39</v>
      </c>
      <c r="E4114" s="11">
        <v>3.0</v>
      </c>
      <c r="F4114" s="21" t="s">
        <v>1268</v>
      </c>
      <c r="G4114" s="15">
        <v>0.10629981024667925</v>
      </c>
      <c r="H4114" s="11" t="s">
        <v>33</v>
      </c>
      <c r="I4114" s="16">
        <v>6.296</v>
      </c>
      <c r="J4114" s="11" t="s">
        <v>1058</v>
      </c>
      <c r="K4114" s="11" t="s">
        <v>61</v>
      </c>
      <c r="L4114" s="11" t="s">
        <v>41</v>
      </c>
      <c r="M4114" s="11" t="s">
        <v>49</v>
      </c>
      <c r="N4114" s="11" t="s">
        <v>73</v>
      </c>
      <c r="O4114" s="11" t="s">
        <v>1269</v>
      </c>
      <c r="P4114" s="11" t="s">
        <v>38</v>
      </c>
      <c r="Q4114" s="20">
        <v>40517.0</v>
      </c>
      <c r="R4114" s="17">
        <f t="shared" si="2"/>
        <v>10.01301693</v>
      </c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>
        <f t="shared" si="8"/>
        <v>3</v>
      </c>
      <c r="AF4114" s="19">
        <f t="shared" si="13"/>
        <v>4</v>
      </c>
      <c r="AG4114" s="9"/>
      <c r="AH4114" s="9"/>
      <c r="AI4114" s="9"/>
    </row>
    <row r="4115" ht="15.0" customHeight="1">
      <c r="A4115" s="11">
        <v>4114.0</v>
      </c>
      <c r="B4115" s="12">
        <f t="shared" si="650"/>
        <v>40516</v>
      </c>
      <c r="C4115" s="13">
        <v>2010.0</v>
      </c>
      <c r="D4115" s="11" t="s">
        <v>39</v>
      </c>
      <c r="E4115" s="11">
        <v>42.0</v>
      </c>
      <c r="F4115" s="21" t="s">
        <v>1166</v>
      </c>
      <c r="G4115" s="15">
        <v>0.07772811918063313</v>
      </c>
      <c r="H4115" s="11" t="s">
        <v>33</v>
      </c>
      <c r="I4115" s="16">
        <v>0.7040000000000001</v>
      </c>
      <c r="J4115" s="11" t="s">
        <v>1058</v>
      </c>
      <c r="K4115" s="11" t="s">
        <v>61</v>
      </c>
      <c r="L4115" s="11" t="s">
        <v>41</v>
      </c>
      <c r="M4115" s="11" t="s">
        <v>28</v>
      </c>
      <c r="N4115" s="11" t="s">
        <v>56</v>
      </c>
      <c r="O4115" s="11" t="s">
        <v>1258</v>
      </c>
      <c r="P4115" s="11" t="s">
        <v>58</v>
      </c>
      <c r="Q4115" s="20">
        <v>40517.0</v>
      </c>
      <c r="R4115" s="17">
        <f t="shared" si="2"/>
        <v>15.39825132</v>
      </c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>
        <f t="shared" si="8"/>
        <v>3</v>
      </c>
      <c r="AF4115" s="19">
        <f t="shared" si="13"/>
        <v>4</v>
      </c>
      <c r="AG4115" s="9"/>
      <c r="AH4115" s="9"/>
      <c r="AI4115" s="9"/>
    </row>
    <row r="4116" ht="15.0" customHeight="1">
      <c r="A4116" s="11">
        <v>4115.0</v>
      </c>
      <c r="B4116" s="12">
        <f t="shared" si="650"/>
        <v>40516</v>
      </c>
      <c r="C4116" s="13">
        <v>2010.0</v>
      </c>
      <c r="D4116" s="11" t="s">
        <v>39</v>
      </c>
      <c r="E4116" s="11">
        <v>3.0</v>
      </c>
      <c r="F4116" s="21" t="s">
        <v>752</v>
      </c>
      <c r="G4116" s="15">
        <v>0.04169799419704817</v>
      </c>
      <c r="H4116" s="11" t="s">
        <v>33</v>
      </c>
      <c r="I4116" s="16">
        <v>19.592</v>
      </c>
      <c r="J4116" s="11" t="s">
        <v>1058</v>
      </c>
      <c r="K4116" s="11" t="s">
        <v>61</v>
      </c>
      <c r="L4116" s="11" t="s">
        <v>41</v>
      </c>
      <c r="M4116" s="11" t="s">
        <v>66</v>
      </c>
      <c r="N4116" s="11" t="s">
        <v>170</v>
      </c>
      <c r="O4116" s="11" t="s">
        <v>753</v>
      </c>
      <c r="P4116" s="11" t="s">
        <v>31</v>
      </c>
      <c r="Q4116" s="20">
        <v>40517.0</v>
      </c>
      <c r="R4116" s="17">
        <f t="shared" si="2"/>
        <v>63.351429</v>
      </c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>
        <f t="shared" si="8"/>
        <v>3</v>
      </c>
      <c r="AF4116" s="19">
        <f t="shared" si="13"/>
        <v>4</v>
      </c>
      <c r="AG4116" s="9"/>
      <c r="AH4116" s="9"/>
      <c r="AI4116" s="9"/>
    </row>
    <row r="4117" ht="15.0" customHeight="1">
      <c r="A4117" s="11">
        <v>4116.0</v>
      </c>
      <c r="B4117" s="12">
        <f t="shared" si="650"/>
        <v>40516</v>
      </c>
      <c r="C4117" s="13">
        <v>2010.0</v>
      </c>
      <c r="D4117" s="11" t="s">
        <v>23</v>
      </c>
      <c r="E4117" s="11">
        <v>41.0</v>
      </c>
      <c r="F4117" s="21" t="s">
        <v>158</v>
      </c>
      <c r="G4117" s="15">
        <v>0.06431754874651804</v>
      </c>
      <c r="H4117" s="11" t="s">
        <v>33</v>
      </c>
      <c r="I4117" s="16">
        <v>6.328</v>
      </c>
      <c r="J4117" s="11" t="s">
        <v>1643</v>
      </c>
      <c r="K4117" s="11" t="s">
        <v>83</v>
      </c>
      <c r="L4117" s="11" t="s">
        <v>48</v>
      </c>
      <c r="M4117" s="11" t="s">
        <v>28</v>
      </c>
      <c r="N4117" s="11" t="s">
        <v>56</v>
      </c>
      <c r="O4117" s="11" t="s">
        <v>1392</v>
      </c>
      <c r="P4117" s="11" t="s">
        <v>38</v>
      </c>
      <c r="Q4117" s="20">
        <v>40517.0</v>
      </c>
      <c r="R4117" s="17">
        <f t="shared" si="2"/>
        <v>17.28392624</v>
      </c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>
        <f t="shared" si="8"/>
        <v>4</v>
      </c>
      <c r="AF4117" s="19" t="b">
        <f t="shared" si="13"/>
        <v>0</v>
      </c>
      <c r="AG4117" s="9"/>
      <c r="AH4117" s="9"/>
      <c r="AI4117" s="9"/>
    </row>
    <row r="4118" ht="15.0" customHeight="1">
      <c r="A4118" s="11">
        <v>4117.0</v>
      </c>
      <c r="B4118" s="12">
        <f t="shared" si="650"/>
        <v>40516</v>
      </c>
      <c r="C4118" s="13">
        <v>2010.0</v>
      </c>
      <c r="D4118" s="11" t="s">
        <v>23</v>
      </c>
      <c r="E4118" s="11">
        <v>18.0</v>
      </c>
      <c r="F4118" s="21" t="s">
        <v>676</v>
      </c>
      <c r="G4118" s="15">
        <v>0.07183970856102008</v>
      </c>
      <c r="H4118" s="11" t="s">
        <v>33</v>
      </c>
      <c r="I4118" s="16">
        <v>1.1119999999999999</v>
      </c>
      <c r="J4118" s="11" t="s">
        <v>1643</v>
      </c>
      <c r="K4118" s="11" t="s">
        <v>83</v>
      </c>
      <c r="L4118" s="11" t="s">
        <v>48</v>
      </c>
      <c r="M4118" s="11" t="s">
        <v>28</v>
      </c>
      <c r="N4118" s="11" t="s">
        <v>236</v>
      </c>
      <c r="O4118" s="11" t="s">
        <v>677</v>
      </c>
      <c r="P4118" s="11" t="s">
        <v>38</v>
      </c>
      <c r="Q4118" s="20">
        <v>40517.0</v>
      </c>
      <c r="R4118" s="17">
        <f t="shared" si="2"/>
        <v>7.321328379</v>
      </c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>
        <f t="shared" si="8"/>
        <v>4</v>
      </c>
      <c r="AF4118" s="19" t="b">
        <f t="shared" si="13"/>
        <v>0</v>
      </c>
      <c r="AG4118" s="9"/>
      <c r="AH4118" s="9"/>
      <c r="AI4118" s="9"/>
    </row>
    <row r="4119" ht="15.0" customHeight="1">
      <c r="A4119" s="11">
        <v>4118.0</v>
      </c>
      <c r="B4119" s="12">
        <f t="shared" si="650"/>
        <v>40516</v>
      </c>
      <c r="C4119" s="13">
        <v>2010.0</v>
      </c>
      <c r="D4119" s="11" t="s">
        <v>32</v>
      </c>
      <c r="E4119" s="11">
        <v>5.0</v>
      </c>
      <c r="F4119" s="21" t="s">
        <v>632</v>
      </c>
      <c r="G4119" s="15">
        <v>0.022016348773841954</v>
      </c>
      <c r="H4119" s="11" t="s">
        <v>33</v>
      </c>
      <c r="I4119" s="16">
        <v>2.3920000000000003</v>
      </c>
      <c r="J4119" s="11" t="s">
        <v>1980</v>
      </c>
      <c r="K4119" s="11" t="s">
        <v>61</v>
      </c>
      <c r="L4119" s="11" t="s">
        <v>36</v>
      </c>
      <c r="M4119" s="11" t="s">
        <v>28</v>
      </c>
      <c r="N4119" s="11" t="s">
        <v>42</v>
      </c>
      <c r="O4119" s="11" t="s">
        <v>1576</v>
      </c>
      <c r="P4119" s="11" t="s">
        <v>38</v>
      </c>
      <c r="Q4119" s="20">
        <v>40518.0</v>
      </c>
      <c r="R4119" s="17">
        <f t="shared" si="2"/>
        <v>0.7902107902</v>
      </c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>
        <f t="shared" si="8"/>
        <v>2</v>
      </c>
      <c r="AF4119" s="19">
        <f t="shared" si="13"/>
        <v>4</v>
      </c>
      <c r="AG4119" s="9"/>
      <c r="AH4119" s="9"/>
      <c r="AI4119" s="9"/>
    </row>
    <row r="4120" ht="15.0" customHeight="1">
      <c r="A4120" s="11">
        <v>4119.0</v>
      </c>
      <c r="B4120" s="12">
        <f t="shared" si="650"/>
        <v>40516</v>
      </c>
      <c r="C4120" s="13">
        <v>2010.0</v>
      </c>
      <c r="D4120" s="11" t="s">
        <v>32</v>
      </c>
      <c r="E4120" s="11">
        <v>3.0</v>
      </c>
      <c r="F4120" s="21" t="s">
        <v>284</v>
      </c>
      <c r="G4120" s="15">
        <v>0.18539682539682542</v>
      </c>
      <c r="H4120" s="11" t="s">
        <v>33</v>
      </c>
      <c r="I4120" s="16">
        <v>4.264</v>
      </c>
      <c r="J4120" s="11" t="s">
        <v>1980</v>
      </c>
      <c r="K4120" s="11" t="s">
        <v>61</v>
      </c>
      <c r="L4120" s="11" t="s">
        <v>36</v>
      </c>
      <c r="M4120" s="11" t="s">
        <v>49</v>
      </c>
      <c r="N4120" s="11" t="s">
        <v>73</v>
      </c>
      <c r="O4120" s="11" t="s">
        <v>286</v>
      </c>
      <c r="P4120" s="11" t="s">
        <v>38</v>
      </c>
      <c r="Q4120" s="20">
        <v>40518.0</v>
      </c>
      <c r="R4120" s="17">
        <f t="shared" si="2"/>
        <v>1.902913016</v>
      </c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>
        <f t="shared" si="8"/>
        <v>2</v>
      </c>
      <c r="AF4120" s="19">
        <f t="shared" si="13"/>
        <v>4</v>
      </c>
      <c r="AG4120" s="9"/>
      <c r="AH4120" s="9"/>
      <c r="AI4120" s="9"/>
    </row>
    <row r="4121" ht="15.0" customHeight="1">
      <c r="A4121" s="11">
        <v>4120.0</v>
      </c>
      <c r="B4121" s="12">
        <f t="shared" ref="B4121:B4135" si="651">DATE(2012,12,31)-757</f>
        <v>40517</v>
      </c>
      <c r="C4121" s="13">
        <v>2010.0</v>
      </c>
      <c r="D4121" s="11" t="s">
        <v>23</v>
      </c>
      <c r="E4121" s="11">
        <v>11.0</v>
      </c>
      <c r="F4121" s="21" t="s">
        <v>891</v>
      </c>
      <c r="G4121" s="15">
        <v>0.01759139784946247</v>
      </c>
      <c r="H4121" s="11" t="s">
        <v>33</v>
      </c>
      <c r="I4121" s="16">
        <v>2.2640000000000002</v>
      </c>
      <c r="J4121" s="11" t="s">
        <v>1008</v>
      </c>
      <c r="K4121" s="11" t="s">
        <v>65</v>
      </c>
      <c r="L4121" s="11" t="s">
        <v>48</v>
      </c>
      <c r="M4121" s="11" t="s">
        <v>66</v>
      </c>
      <c r="N4121" s="11" t="s">
        <v>67</v>
      </c>
      <c r="O4121" s="11" t="s">
        <v>893</v>
      </c>
      <c r="P4121" s="11" t="s">
        <v>99</v>
      </c>
      <c r="Q4121" s="20">
        <v>40518.0</v>
      </c>
      <c r="R4121" s="17">
        <f t="shared" si="2"/>
        <v>1.607220473</v>
      </c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>
        <f t="shared" si="8"/>
        <v>4</v>
      </c>
      <c r="AF4121" s="19">
        <f t="shared" si="13"/>
        <v>5</v>
      </c>
      <c r="AG4121" s="9"/>
      <c r="AH4121" s="9"/>
      <c r="AI4121" s="9"/>
    </row>
    <row r="4122" ht="15.0" customHeight="1">
      <c r="A4122" s="11">
        <v>4121.0</v>
      </c>
      <c r="B4122" s="12">
        <f t="shared" si="651"/>
        <v>40517</v>
      </c>
      <c r="C4122" s="13">
        <v>2010.0</v>
      </c>
      <c r="D4122" s="11" t="s">
        <v>23</v>
      </c>
      <c r="E4122" s="11">
        <v>40.0</v>
      </c>
      <c r="F4122" s="21" t="s">
        <v>158</v>
      </c>
      <c r="G4122" s="15">
        <v>0.06511198009242812</v>
      </c>
      <c r="H4122" s="11" t="s">
        <v>33</v>
      </c>
      <c r="I4122" s="16">
        <v>6.984000000000001</v>
      </c>
      <c r="J4122" s="11" t="s">
        <v>1008</v>
      </c>
      <c r="K4122" s="11" t="s">
        <v>65</v>
      </c>
      <c r="L4122" s="11" t="s">
        <v>48</v>
      </c>
      <c r="M4122" s="11" t="s">
        <v>28</v>
      </c>
      <c r="N4122" s="11" t="s">
        <v>56</v>
      </c>
      <c r="O4122" s="11" t="s">
        <v>160</v>
      </c>
      <c r="P4122" s="11" t="s">
        <v>38</v>
      </c>
      <c r="Q4122" s="20">
        <v>40518.0</v>
      </c>
      <c r="R4122" s="17">
        <f t="shared" si="2"/>
        <v>17.12340897</v>
      </c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>
        <f t="shared" si="8"/>
        <v>4</v>
      </c>
      <c r="AF4122" s="19">
        <f t="shared" si="13"/>
        <v>5</v>
      </c>
      <c r="AG4122" s="9"/>
      <c r="AH4122" s="9"/>
      <c r="AI4122" s="9"/>
    </row>
    <row r="4123" ht="15.0" customHeight="1">
      <c r="A4123" s="11">
        <v>4122.0</v>
      </c>
      <c r="B4123" s="12">
        <f t="shared" si="651"/>
        <v>40517</v>
      </c>
      <c r="C4123" s="13">
        <v>2010.0</v>
      </c>
      <c r="D4123" s="11" t="s">
        <v>102</v>
      </c>
      <c r="E4123" s="11">
        <v>1.0</v>
      </c>
      <c r="F4123" s="21" t="s">
        <v>306</v>
      </c>
      <c r="G4123" s="15">
        <v>0.11405940594059416</v>
      </c>
      <c r="H4123" s="11" t="s">
        <v>33</v>
      </c>
      <c r="I4123" s="16">
        <v>6.944</v>
      </c>
      <c r="J4123" s="11" t="s">
        <v>2012</v>
      </c>
      <c r="K4123" s="11" t="s">
        <v>61</v>
      </c>
      <c r="L4123" s="11" t="s">
        <v>41</v>
      </c>
      <c r="M4123" s="11" t="s">
        <v>28</v>
      </c>
      <c r="N4123" s="11" t="s">
        <v>56</v>
      </c>
      <c r="O4123" s="11" t="s">
        <v>401</v>
      </c>
      <c r="P4123" s="11" t="s">
        <v>38</v>
      </c>
      <c r="Q4123" s="20">
        <v>40518.0</v>
      </c>
      <c r="R4123" s="17">
        <f t="shared" si="2"/>
        <v>3.061810693</v>
      </c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>
        <f t="shared" si="8"/>
        <v>3</v>
      </c>
      <c r="AF4123" s="19">
        <f t="shared" si="13"/>
        <v>4</v>
      </c>
      <c r="AG4123" s="9"/>
      <c r="AH4123" s="9"/>
      <c r="AI4123" s="9"/>
    </row>
    <row r="4124" ht="15.0" customHeight="1">
      <c r="A4124" s="11">
        <v>4123.0</v>
      </c>
      <c r="B4124" s="12">
        <f t="shared" si="651"/>
        <v>40517</v>
      </c>
      <c r="C4124" s="13">
        <v>2010.0</v>
      </c>
      <c r="D4124" s="11" t="s">
        <v>23</v>
      </c>
      <c r="E4124" s="11">
        <v>9.0</v>
      </c>
      <c r="F4124" s="21" t="s">
        <v>122</v>
      </c>
      <c r="G4124" s="15">
        <v>0.005308056872037966</v>
      </c>
      <c r="H4124" s="11" t="s">
        <v>33</v>
      </c>
      <c r="I4124" s="16">
        <v>0.792</v>
      </c>
      <c r="J4124" s="11" t="s">
        <v>501</v>
      </c>
      <c r="K4124" s="11" t="s">
        <v>117</v>
      </c>
      <c r="L4124" s="11" t="s">
        <v>48</v>
      </c>
      <c r="M4124" s="11" t="s">
        <v>66</v>
      </c>
      <c r="N4124" s="11" t="s">
        <v>80</v>
      </c>
      <c r="O4124" s="11" t="s">
        <v>1854</v>
      </c>
      <c r="P4124" s="11" t="s">
        <v>58</v>
      </c>
      <c r="Q4124" s="20">
        <v>40518.0</v>
      </c>
      <c r="R4124" s="17">
        <f t="shared" si="2"/>
        <v>1.002649479</v>
      </c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>
        <f t="shared" si="8"/>
        <v>4</v>
      </c>
      <c r="AF4124" s="19" t="b">
        <f t="shared" si="13"/>
        <v>0</v>
      </c>
      <c r="AG4124" s="9"/>
      <c r="AH4124" s="9"/>
      <c r="AI4124" s="9"/>
    </row>
    <row r="4125" ht="15.0" customHeight="1">
      <c r="A4125" s="11">
        <v>4124.0</v>
      </c>
      <c r="B4125" s="12">
        <f t="shared" si="651"/>
        <v>40517</v>
      </c>
      <c r="C4125" s="13">
        <v>2010.0</v>
      </c>
      <c r="D4125" s="11" t="s">
        <v>23</v>
      </c>
      <c r="E4125" s="11">
        <v>28.0</v>
      </c>
      <c r="F4125" s="21" t="s">
        <v>137</v>
      </c>
      <c r="G4125" s="15">
        <v>0.032624985867722</v>
      </c>
      <c r="H4125" s="11" t="s">
        <v>45</v>
      </c>
      <c r="I4125" s="16">
        <v>53.016</v>
      </c>
      <c r="J4125" s="11" t="s">
        <v>357</v>
      </c>
      <c r="K4125" s="11" t="s">
        <v>65</v>
      </c>
      <c r="L4125" s="11" t="s">
        <v>48</v>
      </c>
      <c r="M4125" s="11" t="s">
        <v>49</v>
      </c>
      <c r="N4125" s="11" t="s">
        <v>156</v>
      </c>
      <c r="O4125" s="11" t="s">
        <v>1553</v>
      </c>
      <c r="P4125" s="11" t="s">
        <v>87</v>
      </c>
      <c r="Q4125" s="20">
        <v>40518.0</v>
      </c>
      <c r="R4125" s="17">
        <f t="shared" si="2"/>
        <v>139.5767365</v>
      </c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>
        <f t="shared" si="8"/>
        <v>4</v>
      </c>
      <c r="AF4125" s="19">
        <f t="shared" si="13"/>
        <v>5</v>
      </c>
      <c r="AG4125" s="9"/>
      <c r="AH4125" s="9"/>
      <c r="AI4125" s="9"/>
    </row>
    <row r="4126" ht="15.0" customHeight="1">
      <c r="A4126" s="11">
        <v>4125.0</v>
      </c>
      <c r="B4126" s="12">
        <f t="shared" si="651"/>
        <v>40517</v>
      </c>
      <c r="C4126" s="13">
        <v>2010.0</v>
      </c>
      <c r="D4126" s="11" t="s">
        <v>23</v>
      </c>
      <c r="E4126" s="11">
        <v>21.0</v>
      </c>
      <c r="F4126" s="21" t="s">
        <v>498</v>
      </c>
      <c r="G4126" s="15">
        <v>0.030500168164128195</v>
      </c>
      <c r="H4126" s="11" t="s">
        <v>33</v>
      </c>
      <c r="I4126" s="16">
        <v>3.9200000000000004</v>
      </c>
      <c r="J4126" s="11" t="s">
        <v>357</v>
      </c>
      <c r="K4126" s="11" t="s">
        <v>65</v>
      </c>
      <c r="L4126" s="11" t="s">
        <v>48</v>
      </c>
      <c r="M4126" s="11" t="s">
        <v>66</v>
      </c>
      <c r="N4126" s="11" t="s">
        <v>80</v>
      </c>
      <c r="O4126" s="11" t="s">
        <v>500</v>
      </c>
      <c r="P4126" s="11" t="s">
        <v>38</v>
      </c>
      <c r="Q4126" s="20">
        <v>40518.0</v>
      </c>
      <c r="R4126" s="17">
        <f t="shared" si="2"/>
        <v>61.54384932</v>
      </c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>
        <f t="shared" si="8"/>
        <v>4</v>
      </c>
      <c r="AF4126" s="19">
        <f t="shared" si="13"/>
        <v>5</v>
      </c>
      <c r="AG4126" s="9"/>
      <c r="AH4126" s="9"/>
      <c r="AI4126" s="9"/>
    </row>
    <row r="4127" ht="15.0" customHeight="1">
      <c r="A4127" s="11">
        <v>4126.0</v>
      </c>
      <c r="B4127" s="12">
        <f t="shared" si="651"/>
        <v>40517</v>
      </c>
      <c r="C4127" s="13">
        <v>2010.0</v>
      </c>
      <c r="D4127" s="11" t="s">
        <v>23</v>
      </c>
      <c r="E4127" s="11">
        <v>25.0</v>
      </c>
      <c r="F4127" s="21" t="s">
        <v>762</v>
      </c>
      <c r="G4127" s="15">
        <v>0.09897190675433365</v>
      </c>
      <c r="H4127" s="11" t="s">
        <v>33</v>
      </c>
      <c r="I4127" s="16">
        <v>3.9840000000000004</v>
      </c>
      <c r="J4127" s="11" t="s">
        <v>357</v>
      </c>
      <c r="K4127" s="11" t="s">
        <v>65</v>
      </c>
      <c r="L4127" s="11" t="s">
        <v>48</v>
      </c>
      <c r="M4127" s="11" t="s">
        <v>28</v>
      </c>
      <c r="N4127" s="11" t="s">
        <v>197</v>
      </c>
      <c r="O4127" s="11" t="s">
        <v>1001</v>
      </c>
      <c r="P4127" s="11" t="s">
        <v>38</v>
      </c>
      <c r="Q4127" s="20">
        <v>40519.0</v>
      </c>
      <c r="R4127" s="17">
        <f t="shared" si="2"/>
        <v>29.83844634</v>
      </c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>
        <f t="shared" si="8"/>
        <v>4</v>
      </c>
      <c r="AF4127" s="19">
        <f t="shared" si="13"/>
        <v>5</v>
      </c>
      <c r="AG4127" s="9"/>
      <c r="AH4127" s="9"/>
      <c r="AI4127" s="9"/>
    </row>
    <row r="4128" ht="15.0" customHeight="1">
      <c r="A4128" s="11">
        <v>4127.0</v>
      </c>
      <c r="B4128" s="12">
        <f t="shared" si="651"/>
        <v>40517</v>
      </c>
      <c r="C4128" s="13">
        <v>2010.0</v>
      </c>
      <c r="D4128" s="11" t="s">
        <v>23</v>
      </c>
      <c r="E4128" s="11">
        <v>44.0</v>
      </c>
      <c r="F4128" s="21" t="s">
        <v>1379</v>
      </c>
      <c r="G4128" s="15">
        <v>0.03044726301735652</v>
      </c>
      <c r="H4128" s="11" t="s">
        <v>33</v>
      </c>
      <c r="I4128" s="16">
        <v>4.712</v>
      </c>
      <c r="J4128" s="11" t="s">
        <v>357</v>
      </c>
      <c r="K4128" s="11" t="s">
        <v>65</v>
      </c>
      <c r="L4128" s="11" t="s">
        <v>48</v>
      </c>
      <c r="M4128" s="11" t="s">
        <v>66</v>
      </c>
      <c r="N4128" s="11" t="s">
        <v>67</v>
      </c>
      <c r="O4128" s="11" t="s">
        <v>1990</v>
      </c>
      <c r="P4128" s="11" t="s">
        <v>38</v>
      </c>
      <c r="Q4128" s="20">
        <v>40519.0</v>
      </c>
      <c r="R4128" s="17">
        <f t="shared" si="2"/>
        <v>35.37704027</v>
      </c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>
        <f t="shared" si="8"/>
        <v>4</v>
      </c>
      <c r="AF4128" s="19">
        <f t="shared" si="13"/>
        <v>5</v>
      </c>
      <c r="AG4128" s="9"/>
      <c r="AH4128" s="9"/>
      <c r="AI4128" s="9"/>
    </row>
    <row r="4129" ht="15.0" customHeight="1">
      <c r="A4129" s="11">
        <v>4128.0</v>
      </c>
      <c r="B4129" s="12">
        <f t="shared" si="651"/>
        <v>40517</v>
      </c>
      <c r="C4129" s="13">
        <v>2010.0</v>
      </c>
      <c r="D4129" s="11" t="s">
        <v>23</v>
      </c>
      <c r="E4129" s="11">
        <v>39.0</v>
      </c>
      <c r="F4129" s="21" t="s">
        <v>210</v>
      </c>
      <c r="G4129" s="15">
        <v>0.027259662426614366</v>
      </c>
      <c r="H4129" s="11" t="s">
        <v>33</v>
      </c>
      <c r="I4129" s="16">
        <v>0.4</v>
      </c>
      <c r="J4129" s="11" t="s">
        <v>1018</v>
      </c>
      <c r="K4129" s="11" t="s">
        <v>61</v>
      </c>
      <c r="L4129" s="11" t="s">
        <v>41</v>
      </c>
      <c r="M4129" s="11" t="s">
        <v>28</v>
      </c>
      <c r="N4129" s="11" t="s">
        <v>188</v>
      </c>
      <c r="O4129" s="11" t="s">
        <v>1356</v>
      </c>
      <c r="P4129" s="11" t="s">
        <v>38</v>
      </c>
      <c r="Q4129" s="20">
        <v>40519.0</v>
      </c>
      <c r="R4129" s="17">
        <f t="shared" si="2"/>
        <v>2.775033635</v>
      </c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>
        <f t="shared" si="8"/>
        <v>3</v>
      </c>
      <c r="AF4129" s="19">
        <f t="shared" si="13"/>
        <v>4</v>
      </c>
      <c r="AG4129" s="9"/>
      <c r="AH4129" s="9"/>
      <c r="AI4129" s="9"/>
    </row>
    <row r="4130" ht="15.0" customHeight="1">
      <c r="A4130" s="11">
        <v>4129.0</v>
      </c>
      <c r="B4130" s="12">
        <f t="shared" si="651"/>
        <v>40517</v>
      </c>
      <c r="C4130" s="13">
        <v>2010.0</v>
      </c>
      <c r="D4130" s="11" t="s">
        <v>23</v>
      </c>
      <c r="E4130" s="11">
        <v>34.0</v>
      </c>
      <c r="F4130" s="21" t="s">
        <v>144</v>
      </c>
      <c r="G4130" s="15">
        <v>0.020952380952380844</v>
      </c>
      <c r="H4130" s="11" t="s">
        <v>33</v>
      </c>
      <c r="I4130" s="16">
        <v>0.5599999999999999</v>
      </c>
      <c r="J4130" s="11" t="s">
        <v>1648</v>
      </c>
      <c r="K4130" s="11" t="s">
        <v>35</v>
      </c>
      <c r="L4130" s="11" t="s">
        <v>27</v>
      </c>
      <c r="M4130" s="11" t="s">
        <v>28</v>
      </c>
      <c r="N4130" s="11" t="s">
        <v>62</v>
      </c>
      <c r="O4130" s="11" t="s">
        <v>146</v>
      </c>
      <c r="P4130" s="11" t="s">
        <v>58</v>
      </c>
      <c r="Q4130" s="20">
        <v>40519.0</v>
      </c>
      <c r="R4130" s="17">
        <f t="shared" si="2"/>
        <v>1.507733333</v>
      </c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>
        <f t="shared" si="8"/>
        <v>1</v>
      </c>
      <c r="AF4130" s="19">
        <f t="shared" si="13"/>
        <v>2</v>
      </c>
      <c r="AG4130" s="9"/>
      <c r="AH4130" s="9"/>
      <c r="AI4130" s="9"/>
    </row>
    <row r="4131" ht="15.0" customHeight="1">
      <c r="A4131" s="11">
        <v>4130.0</v>
      </c>
      <c r="B4131" s="12">
        <f t="shared" si="651"/>
        <v>40517</v>
      </c>
      <c r="C4131" s="13">
        <v>2010.0</v>
      </c>
      <c r="D4131" s="11" t="s">
        <v>44</v>
      </c>
      <c r="E4131" s="11">
        <v>13.0</v>
      </c>
      <c r="F4131" s="21" t="s">
        <v>192</v>
      </c>
      <c r="G4131" s="15">
        <v>0.06583253990478864</v>
      </c>
      <c r="H4131" s="11" t="s">
        <v>33</v>
      </c>
      <c r="I4131" s="16">
        <v>15.991999999999999</v>
      </c>
      <c r="J4131" s="11" t="s">
        <v>1185</v>
      </c>
      <c r="K4131" s="11" t="s">
        <v>83</v>
      </c>
      <c r="L4131" s="11" t="s">
        <v>48</v>
      </c>
      <c r="M4131" s="11" t="s">
        <v>28</v>
      </c>
      <c r="N4131" s="11" t="s">
        <v>42</v>
      </c>
      <c r="O4131" s="11" t="s">
        <v>194</v>
      </c>
      <c r="P4131" s="11" t="s">
        <v>38</v>
      </c>
      <c r="Q4131" s="20">
        <v>40519.0</v>
      </c>
      <c r="R4131" s="17">
        <f t="shared" si="2"/>
        <v>768.6404595</v>
      </c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>
        <f t="shared" si="8"/>
        <v>4</v>
      </c>
      <c r="AF4131" s="19" t="b">
        <f t="shared" si="13"/>
        <v>0</v>
      </c>
      <c r="AG4131" s="9"/>
      <c r="AH4131" s="9"/>
      <c r="AI4131" s="9"/>
    </row>
    <row r="4132" ht="15.0" customHeight="1">
      <c r="A4132" s="11">
        <v>4131.0</v>
      </c>
      <c r="B4132" s="12">
        <f t="shared" si="651"/>
        <v>40517</v>
      </c>
      <c r="C4132" s="13">
        <v>2010.0</v>
      </c>
      <c r="D4132" s="11" t="s">
        <v>44</v>
      </c>
      <c r="E4132" s="11">
        <v>33.0</v>
      </c>
      <c r="F4132" s="21" t="s">
        <v>254</v>
      </c>
      <c r="G4132" s="15">
        <v>0.0228073312472061</v>
      </c>
      <c r="H4132" s="11" t="s">
        <v>33</v>
      </c>
      <c r="I4132" s="16">
        <v>11.496</v>
      </c>
      <c r="J4132" s="11" t="s">
        <v>1185</v>
      </c>
      <c r="K4132" s="11" t="s">
        <v>83</v>
      </c>
      <c r="L4132" s="11" t="s">
        <v>48</v>
      </c>
      <c r="M4132" s="11" t="s">
        <v>49</v>
      </c>
      <c r="N4132" s="11" t="s">
        <v>73</v>
      </c>
      <c r="O4132" s="11" t="s">
        <v>255</v>
      </c>
      <c r="P4132" s="11" t="s">
        <v>31</v>
      </c>
      <c r="Q4132" s="20">
        <v>40519.0</v>
      </c>
      <c r="R4132" s="17">
        <f t="shared" si="2"/>
        <v>9.971273992</v>
      </c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>
        <f t="shared" si="8"/>
        <v>4</v>
      </c>
      <c r="AF4132" s="19" t="b">
        <f t="shared" si="13"/>
        <v>0</v>
      </c>
      <c r="AG4132" s="9"/>
      <c r="AH4132" s="9"/>
      <c r="AI4132" s="9"/>
    </row>
    <row r="4133" ht="15.0" customHeight="1">
      <c r="A4133" s="11">
        <v>4132.0</v>
      </c>
      <c r="B4133" s="12">
        <f t="shared" si="651"/>
        <v>40517</v>
      </c>
      <c r="C4133" s="13">
        <v>2010.0</v>
      </c>
      <c r="D4133" s="11" t="s">
        <v>44</v>
      </c>
      <c r="E4133" s="11">
        <v>48.0</v>
      </c>
      <c r="F4133" s="21" t="s">
        <v>521</v>
      </c>
      <c r="G4133" s="15">
        <v>0.0923131439973855</v>
      </c>
      <c r="H4133" s="11" t="s">
        <v>45</v>
      </c>
      <c r="I4133" s="16">
        <v>55.712</v>
      </c>
      <c r="J4133" s="11" t="s">
        <v>1185</v>
      </c>
      <c r="K4133" s="11" t="s">
        <v>83</v>
      </c>
      <c r="L4133" s="11" t="s">
        <v>48</v>
      </c>
      <c r="M4133" s="11" t="s">
        <v>49</v>
      </c>
      <c r="N4133" s="11" t="s">
        <v>85</v>
      </c>
      <c r="O4133" s="11" t="s">
        <v>522</v>
      </c>
      <c r="P4133" s="11" t="s">
        <v>87</v>
      </c>
      <c r="Q4133" s="20">
        <v>40519.0</v>
      </c>
      <c r="R4133" s="17">
        <f t="shared" si="2"/>
        <v>974.2094103</v>
      </c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>
        <f t="shared" si="8"/>
        <v>4</v>
      </c>
      <c r="AF4133" s="19" t="b">
        <f t="shared" si="13"/>
        <v>0</v>
      </c>
      <c r="AG4133" s="9"/>
      <c r="AH4133" s="9"/>
      <c r="AI4133" s="9"/>
    </row>
    <row r="4134" ht="15.0" customHeight="1">
      <c r="A4134" s="11">
        <v>4133.0</v>
      </c>
      <c r="B4134" s="12">
        <f t="shared" si="651"/>
        <v>40517</v>
      </c>
      <c r="C4134" s="13">
        <v>2010.0</v>
      </c>
      <c r="D4134" s="11" t="s">
        <v>32</v>
      </c>
      <c r="E4134" s="11">
        <v>26.0</v>
      </c>
      <c r="F4134" s="21" t="s">
        <v>440</v>
      </c>
      <c r="G4134" s="15">
        <v>0.08365853658536598</v>
      </c>
      <c r="H4134" s="11" t="s">
        <v>33</v>
      </c>
      <c r="I4134" s="16">
        <v>3.536</v>
      </c>
      <c r="J4134" s="11" t="s">
        <v>1235</v>
      </c>
      <c r="K4134" s="11" t="s">
        <v>35</v>
      </c>
      <c r="L4134" s="11" t="s">
        <v>41</v>
      </c>
      <c r="M4134" s="11" t="s">
        <v>28</v>
      </c>
      <c r="N4134" s="11" t="s">
        <v>442</v>
      </c>
      <c r="O4134" s="11" t="s">
        <v>2484</v>
      </c>
      <c r="P4134" s="11" t="s">
        <v>99</v>
      </c>
      <c r="Q4134" s="20">
        <v>40519.0</v>
      </c>
      <c r="R4134" s="17">
        <f t="shared" si="2"/>
        <v>15.08664585</v>
      </c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>
        <f t="shared" si="8"/>
        <v>3</v>
      </c>
      <c r="AF4134" s="19">
        <f t="shared" si="13"/>
        <v>2</v>
      </c>
      <c r="AG4134" s="9"/>
      <c r="AH4134" s="9"/>
      <c r="AI4134" s="9"/>
    </row>
    <row r="4135" ht="15.0" customHeight="1">
      <c r="A4135" s="11">
        <v>4134.0</v>
      </c>
      <c r="B4135" s="12">
        <f t="shared" si="651"/>
        <v>40517</v>
      </c>
      <c r="C4135" s="13">
        <v>2010.0</v>
      </c>
      <c r="D4135" s="11" t="s">
        <v>32</v>
      </c>
      <c r="E4135" s="11">
        <v>22.0</v>
      </c>
      <c r="F4135" s="21" t="s">
        <v>1672</v>
      </c>
      <c r="G4135" s="15">
        <v>0.06762208278073595</v>
      </c>
      <c r="H4135" s="11" t="s">
        <v>45</v>
      </c>
      <c r="I4135" s="16">
        <v>88.16000000000001</v>
      </c>
      <c r="J4135" s="11" t="s">
        <v>1235</v>
      </c>
      <c r="K4135" s="11" t="s">
        <v>35</v>
      </c>
      <c r="L4135" s="11" t="s">
        <v>41</v>
      </c>
      <c r="M4135" s="11" t="s">
        <v>49</v>
      </c>
      <c r="N4135" s="11" t="s">
        <v>85</v>
      </c>
      <c r="O4135" s="11" t="s">
        <v>1673</v>
      </c>
      <c r="P4135" s="11" t="s">
        <v>87</v>
      </c>
      <c r="Q4135" s="20">
        <v>40520.0</v>
      </c>
      <c r="R4135" s="17">
        <f t="shared" si="2"/>
        <v>637.0378882</v>
      </c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>
        <f t="shared" si="8"/>
        <v>3</v>
      </c>
      <c r="AF4135" s="19">
        <f t="shared" si="13"/>
        <v>2</v>
      </c>
      <c r="AG4135" s="9"/>
      <c r="AH4135" s="9"/>
      <c r="AI4135" s="9"/>
    </row>
    <row r="4136" ht="15.0" customHeight="1">
      <c r="A4136" s="11">
        <v>4135.0</v>
      </c>
      <c r="B4136" s="12">
        <f t="shared" ref="B4136:B4138" si="652">DATE(2012,12,31)-756</f>
        <v>40518</v>
      </c>
      <c r="C4136" s="13">
        <v>2010.0</v>
      </c>
      <c r="D4136" s="11" t="s">
        <v>44</v>
      </c>
      <c r="E4136" s="11">
        <v>27.0</v>
      </c>
      <c r="F4136" s="21" t="s">
        <v>259</v>
      </c>
      <c r="G4136" s="15">
        <v>0.04478368355995061</v>
      </c>
      <c r="H4136" s="11" t="s">
        <v>33</v>
      </c>
      <c r="I4136" s="16">
        <v>4.008</v>
      </c>
      <c r="J4136" s="11" t="s">
        <v>2490</v>
      </c>
      <c r="K4136" s="11" t="s">
        <v>65</v>
      </c>
      <c r="L4136" s="11" t="s">
        <v>36</v>
      </c>
      <c r="M4136" s="11" t="s">
        <v>28</v>
      </c>
      <c r="N4136" s="11" t="s">
        <v>56</v>
      </c>
      <c r="O4136" s="11" t="s">
        <v>260</v>
      </c>
      <c r="P4136" s="11" t="s">
        <v>38</v>
      </c>
      <c r="Q4136" s="20">
        <v>40520.0</v>
      </c>
      <c r="R4136" s="17">
        <f t="shared" si="2"/>
        <v>13.84299486</v>
      </c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>
        <f t="shared" si="8"/>
        <v>2</v>
      </c>
      <c r="AF4136" s="19">
        <f t="shared" si="13"/>
        <v>5</v>
      </c>
      <c r="AG4136" s="9"/>
      <c r="AH4136" s="9"/>
      <c r="AI4136" s="9"/>
    </row>
    <row r="4137" ht="15.0" customHeight="1">
      <c r="A4137" s="11">
        <v>4136.0</v>
      </c>
      <c r="B4137" s="12">
        <f t="shared" si="652"/>
        <v>40518</v>
      </c>
      <c r="C4137" s="13">
        <v>2010.0</v>
      </c>
      <c r="D4137" s="11" t="s">
        <v>39</v>
      </c>
      <c r="E4137" s="11">
        <v>39.0</v>
      </c>
      <c r="F4137" s="21" t="s">
        <v>1050</v>
      </c>
      <c r="G4137" s="15">
        <v>0.07181052631578938</v>
      </c>
      <c r="H4137" s="11" t="s">
        <v>33</v>
      </c>
      <c r="I4137" s="16">
        <v>12.08</v>
      </c>
      <c r="J4137" s="11" t="s">
        <v>1720</v>
      </c>
      <c r="K4137" s="11" t="s">
        <v>65</v>
      </c>
      <c r="L4137" s="11" t="s">
        <v>48</v>
      </c>
      <c r="M4137" s="11" t="s">
        <v>28</v>
      </c>
      <c r="N4137" s="11" t="s">
        <v>42</v>
      </c>
      <c r="O4137" s="11" t="s">
        <v>1052</v>
      </c>
      <c r="P4137" s="11" t="s">
        <v>38</v>
      </c>
      <c r="Q4137" s="20">
        <v>40520.0</v>
      </c>
      <c r="R4137" s="17">
        <f t="shared" si="2"/>
        <v>63.32108589</v>
      </c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>
        <f t="shared" si="8"/>
        <v>4</v>
      </c>
      <c r="AF4137" s="19">
        <f t="shared" si="13"/>
        <v>5</v>
      </c>
      <c r="AG4137" s="9"/>
      <c r="AH4137" s="9"/>
      <c r="AI4137" s="9"/>
    </row>
    <row r="4138" ht="15.0" customHeight="1">
      <c r="A4138" s="11">
        <v>4137.0</v>
      </c>
      <c r="B4138" s="12">
        <f t="shared" si="652"/>
        <v>40518</v>
      </c>
      <c r="C4138" s="13">
        <v>2010.0</v>
      </c>
      <c r="D4138" s="11" t="s">
        <v>32</v>
      </c>
      <c r="E4138" s="11">
        <v>27.0</v>
      </c>
      <c r="F4138" s="21" t="s">
        <v>178</v>
      </c>
      <c r="G4138" s="15">
        <v>0.04037652627615493</v>
      </c>
      <c r="H4138" s="11" t="s">
        <v>24</v>
      </c>
      <c r="I4138" s="16">
        <v>4.736</v>
      </c>
      <c r="J4138" s="11" t="s">
        <v>900</v>
      </c>
      <c r="K4138" s="11" t="s">
        <v>61</v>
      </c>
      <c r="L4138" s="11" t="s">
        <v>48</v>
      </c>
      <c r="M4138" s="11" t="s">
        <v>66</v>
      </c>
      <c r="N4138" s="11" t="s">
        <v>80</v>
      </c>
      <c r="O4138" s="11" t="s">
        <v>1579</v>
      </c>
      <c r="P4138" s="11" t="s">
        <v>38</v>
      </c>
      <c r="Q4138" s="20">
        <v>40520.0</v>
      </c>
      <c r="R4138" s="17">
        <f t="shared" si="2"/>
        <v>72.03317643</v>
      </c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>
        <f t="shared" si="8"/>
        <v>4</v>
      </c>
      <c r="AF4138" s="19">
        <f t="shared" si="13"/>
        <v>4</v>
      </c>
      <c r="AG4138" s="9"/>
      <c r="AH4138" s="9"/>
      <c r="AI4138" s="9"/>
    </row>
    <row r="4139" ht="15.0" customHeight="1">
      <c r="A4139" s="11">
        <v>4138.0</v>
      </c>
      <c r="B4139" s="12">
        <f t="shared" ref="B4139:B4147" si="653">DATE(2012,12,31)-755</f>
        <v>40519</v>
      </c>
      <c r="C4139" s="13">
        <v>2010.0</v>
      </c>
      <c r="D4139" s="11" t="s">
        <v>102</v>
      </c>
      <c r="E4139" s="11">
        <v>3.0</v>
      </c>
      <c r="F4139" s="21" t="s">
        <v>163</v>
      </c>
      <c r="G4139" s="15">
        <v>0.020118122474354752</v>
      </c>
      <c r="H4139" s="11" t="s">
        <v>45</v>
      </c>
      <c r="I4139" s="16">
        <v>12.528</v>
      </c>
      <c r="J4139" s="11" t="s">
        <v>2221</v>
      </c>
      <c r="K4139" s="11" t="s">
        <v>35</v>
      </c>
      <c r="L4139" s="11" t="s">
        <v>36</v>
      </c>
      <c r="M4139" s="11" t="s">
        <v>28</v>
      </c>
      <c r="N4139" s="11" t="s">
        <v>197</v>
      </c>
      <c r="O4139" s="11" t="s">
        <v>2491</v>
      </c>
      <c r="P4139" s="11" t="s">
        <v>52</v>
      </c>
      <c r="Q4139" s="20">
        <v>40520.0</v>
      </c>
      <c r="R4139" s="17">
        <f t="shared" si="2"/>
        <v>6.341795511</v>
      </c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>
        <f t="shared" si="8"/>
        <v>2</v>
      </c>
      <c r="AF4139" s="19">
        <f t="shared" si="13"/>
        <v>2</v>
      </c>
      <c r="AG4139" s="9"/>
      <c r="AH4139" s="9"/>
      <c r="AI4139" s="9"/>
    </row>
    <row r="4140" ht="15.0" customHeight="1">
      <c r="A4140" s="11">
        <v>4139.0</v>
      </c>
      <c r="B4140" s="12">
        <f t="shared" si="653"/>
        <v>40519</v>
      </c>
      <c r="C4140" s="13">
        <v>2010.0</v>
      </c>
      <c r="D4140" s="11" t="s">
        <v>102</v>
      </c>
      <c r="E4140" s="11">
        <v>12.0</v>
      </c>
      <c r="F4140" s="21" t="s">
        <v>1151</v>
      </c>
      <c r="G4140" s="15">
        <v>0.08187520633872551</v>
      </c>
      <c r="H4140" s="11" t="s">
        <v>45</v>
      </c>
      <c r="I4140" s="16">
        <v>33.6</v>
      </c>
      <c r="J4140" s="11" t="s">
        <v>2221</v>
      </c>
      <c r="K4140" s="11" t="s">
        <v>35</v>
      </c>
      <c r="L4140" s="11" t="s">
        <v>36</v>
      </c>
      <c r="M4140" s="11" t="s">
        <v>49</v>
      </c>
      <c r="N4140" s="11" t="s">
        <v>50</v>
      </c>
      <c r="O4140" s="11" t="s">
        <v>1153</v>
      </c>
      <c r="P4140" s="11" t="s">
        <v>52</v>
      </c>
      <c r="Q4140" s="20">
        <v>40521.0</v>
      </c>
      <c r="R4140" s="17">
        <f t="shared" si="2"/>
        <v>91.07797953</v>
      </c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>
        <f t="shared" si="8"/>
        <v>2</v>
      </c>
      <c r="AF4140" s="19">
        <f t="shared" si="13"/>
        <v>2</v>
      </c>
      <c r="AG4140" s="9"/>
      <c r="AH4140" s="9"/>
      <c r="AI4140" s="9"/>
    </row>
    <row r="4141" ht="15.0" customHeight="1">
      <c r="A4141" s="11">
        <v>4140.0</v>
      </c>
      <c r="B4141" s="12">
        <f t="shared" si="653"/>
        <v>40519</v>
      </c>
      <c r="C4141" s="13">
        <v>2010.0</v>
      </c>
      <c r="D4141" s="11" t="s">
        <v>102</v>
      </c>
      <c r="E4141" s="11">
        <v>1.0</v>
      </c>
      <c r="F4141" s="21" t="s">
        <v>1828</v>
      </c>
      <c r="G4141" s="15">
        <v>0.08331366318656383</v>
      </c>
      <c r="H4141" s="11" t="s">
        <v>33</v>
      </c>
      <c r="I4141" s="16">
        <v>15.991999999999999</v>
      </c>
      <c r="J4141" s="11" t="s">
        <v>78</v>
      </c>
      <c r="K4141" s="11" t="s">
        <v>35</v>
      </c>
      <c r="L4141" s="11" t="s">
        <v>48</v>
      </c>
      <c r="M4141" s="11" t="s">
        <v>28</v>
      </c>
      <c r="N4141" s="11" t="s">
        <v>42</v>
      </c>
      <c r="O4141" s="11" t="s">
        <v>1830</v>
      </c>
      <c r="P4141" s="11" t="s">
        <v>38</v>
      </c>
      <c r="Q4141" s="20">
        <v>40521.0</v>
      </c>
      <c r="R4141" s="17">
        <f t="shared" si="2"/>
        <v>33.64972205</v>
      </c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>
        <f t="shared" si="8"/>
        <v>4</v>
      </c>
      <c r="AF4141" s="19">
        <f t="shared" si="13"/>
        <v>2</v>
      </c>
      <c r="AG4141" s="9"/>
      <c r="AH4141" s="9"/>
      <c r="AI4141" s="9"/>
    </row>
    <row r="4142" ht="15.0" customHeight="1">
      <c r="A4142" s="11">
        <v>4141.0</v>
      </c>
      <c r="B4142" s="12">
        <f t="shared" si="653"/>
        <v>40519</v>
      </c>
      <c r="C4142" s="13">
        <v>2010.0</v>
      </c>
      <c r="D4142" s="11" t="s">
        <v>102</v>
      </c>
      <c r="E4142" s="11">
        <v>17.0</v>
      </c>
      <c r="F4142" s="21" t="s">
        <v>135</v>
      </c>
      <c r="G4142" s="15">
        <v>0.04502894954507872</v>
      </c>
      <c r="H4142" s="11" t="s">
        <v>33</v>
      </c>
      <c r="I4142" s="16">
        <v>3.2560000000000002</v>
      </c>
      <c r="J4142" s="11" t="s">
        <v>78</v>
      </c>
      <c r="K4142" s="11" t="s">
        <v>35</v>
      </c>
      <c r="L4142" s="11" t="s">
        <v>48</v>
      </c>
      <c r="M4142" s="11" t="s">
        <v>66</v>
      </c>
      <c r="N4142" s="11" t="s">
        <v>67</v>
      </c>
      <c r="O4142" s="11" t="s">
        <v>2406</v>
      </c>
      <c r="P4142" s="11" t="s">
        <v>99</v>
      </c>
      <c r="Q4142" s="20">
        <v>40521.0</v>
      </c>
      <c r="R4142" s="17">
        <f t="shared" si="2"/>
        <v>5.198862399</v>
      </c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>
        <f t="shared" si="8"/>
        <v>4</v>
      </c>
      <c r="AF4142" s="19">
        <f t="shared" si="13"/>
        <v>2</v>
      </c>
      <c r="AG4142" s="9"/>
      <c r="AH4142" s="9"/>
      <c r="AI4142" s="9"/>
    </row>
    <row r="4143" ht="15.0" customHeight="1">
      <c r="A4143" s="11">
        <v>4142.0</v>
      </c>
      <c r="B4143" s="12">
        <f t="shared" si="653"/>
        <v>40519</v>
      </c>
      <c r="C4143" s="13">
        <v>2010.0</v>
      </c>
      <c r="D4143" s="11" t="s">
        <v>102</v>
      </c>
      <c r="E4143" s="11">
        <v>38.0</v>
      </c>
      <c r="F4143" s="21" t="s">
        <v>933</v>
      </c>
      <c r="G4143" s="15">
        <v>0.03095205573009173</v>
      </c>
      <c r="H4143" s="11" t="s">
        <v>33</v>
      </c>
      <c r="I4143" s="16">
        <v>4.12</v>
      </c>
      <c r="J4143" s="11" t="s">
        <v>78</v>
      </c>
      <c r="K4143" s="11" t="s">
        <v>35</v>
      </c>
      <c r="L4143" s="11" t="s">
        <v>48</v>
      </c>
      <c r="M4143" s="11" t="s">
        <v>28</v>
      </c>
      <c r="N4143" s="11" t="s">
        <v>56</v>
      </c>
      <c r="O4143" s="11" t="s">
        <v>2157</v>
      </c>
      <c r="P4143" s="11" t="s">
        <v>38</v>
      </c>
      <c r="Q4143" s="20">
        <v>40521.0</v>
      </c>
      <c r="R4143" s="17">
        <f t="shared" si="2"/>
        <v>65.87587925</v>
      </c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>
        <f t="shared" si="8"/>
        <v>4</v>
      </c>
      <c r="AF4143" s="19">
        <f t="shared" si="13"/>
        <v>2</v>
      </c>
      <c r="AG4143" s="9"/>
      <c r="AH4143" s="9"/>
      <c r="AI4143" s="9"/>
    </row>
    <row r="4144" ht="15.0" customHeight="1">
      <c r="A4144" s="11">
        <v>4143.0</v>
      </c>
      <c r="B4144" s="12">
        <f t="shared" si="653"/>
        <v>40519</v>
      </c>
      <c r="C4144" s="13">
        <v>2010.0</v>
      </c>
      <c r="D4144" s="11" t="s">
        <v>39</v>
      </c>
      <c r="E4144" s="11">
        <v>16.0</v>
      </c>
      <c r="F4144" s="21" t="s">
        <v>158</v>
      </c>
      <c r="G4144" s="15">
        <v>0.04220248667850783</v>
      </c>
      <c r="H4144" s="11" t="s">
        <v>33</v>
      </c>
      <c r="I4144" s="16">
        <v>5.448</v>
      </c>
      <c r="J4144" s="11" t="s">
        <v>501</v>
      </c>
      <c r="K4144" s="11" t="s">
        <v>117</v>
      </c>
      <c r="L4144" s="11" t="s">
        <v>48</v>
      </c>
      <c r="M4144" s="11" t="s">
        <v>28</v>
      </c>
      <c r="N4144" s="11" t="s">
        <v>56</v>
      </c>
      <c r="O4144" s="11" t="s">
        <v>1698</v>
      </c>
      <c r="P4144" s="11" t="s">
        <v>38</v>
      </c>
      <c r="Q4144" s="20">
        <v>40521.0</v>
      </c>
      <c r="R4144" s="17">
        <f t="shared" si="2"/>
        <v>4.551453783</v>
      </c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>
        <f t="shared" si="8"/>
        <v>4</v>
      </c>
      <c r="AF4144" s="19" t="b">
        <f t="shared" si="13"/>
        <v>0</v>
      </c>
      <c r="AG4144" s="9"/>
      <c r="AH4144" s="9"/>
      <c r="AI4144" s="9"/>
    </row>
    <row r="4145" ht="15.0" customHeight="1">
      <c r="A4145" s="11">
        <v>4144.0</v>
      </c>
      <c r="B4145" s="12">
        <f t="shared" si="653"/>
        <v>40519</v>
      </c>
      <c r="C4145" s="13">
        <v>2010.0</v>
      </c>
      <c r="D4145" s="11" t="s">
        <v>39</v>
      </c>
      <c r="E4145" s="11">
        <v>27.0</v>
      </c>
      <c r="F4145" s="21" t="s">
        <v>319</v>
      </c>
      <c r="G4145" s="15">
        <v>0.08402877697841737</v>
      </c>
      <c r="H4145" s="11" t="s">
        <v>33</v>
      </c>
      <c r="I4145" s="16">
        <v>0.792</v>
      </c>
      <c r="J4145" s="11" t="s">
        <v>501</v>
      </c>
      <c r="K4145" s="11" t="s">
        <v>117</v>
      </c>
      <c r="L4145" s="11" t="s">
        <v>48</v>
      </c>
      <c r="M4145" s="11" t="s">
        <v>28</v>
      </c>
      <c r="N4145" s="11" t="s">
        <v>188</v>
      </c>
      <c r="O4145" s="11" t="s">
        <v>2320</v>
      </c>
      <c r="P4145" s="11" t="s">
        <v>38</v>
      </c>
      <c r="Q4145" s="20">
        <v>40521.0</v>
      </c>
      <c r="R4145" s="17">
        <f t="shared" si="2"/>
        <v>6.419126331</v>
      </c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>
        <f t="shared" si="8"/>
        <v>4</v>
      </c>
      <c r="AF4145" s="19" t="b">
        <f t="shared" si="13"/>
        <v>0</v>
      </c>
      <c r="AG4145" s="9"/>
      <c r="AH4145" s="9"/>
      <c r="AI4145" s="9"/>
    </row>
    <row r="4146" ht="15.0" customHeight="1">
      <c r="A4146" s="11">
        <v>4145.0</v>
      </c>
      <c r="B4146" s="12">
        <f t="shared" si="653"/>
        <v>40519</v>
      </c>
      <c r="C4146" s="13">
        <v>2010.0</v>
      </c>
      <c r="D4146" s="11" t="s">
        <v>32</v>
      </c>
      <c r="E4146" s="11">
        <v>7.0</v>
      </c>
      <c r="F4146" s="21" t="s">
        <v>336</v>
      </c>
      <c r="G4146" s="15">
        <v>0.040184757505773556</v>
      </c>
      <c r="H4146" s="11" t="s">
        <v>24</v>
      </c>
      <c r="I4146" s="16">
        <v>0.96</v>
      </c>
      <c r="J4146" s="11" t="s">
        <v>444</v>
      </c>
      <c r="K4146" s="11" t="s">
        <v>61</v>
      </c>
      <c r="L4146" s="11" t="s">
        <v>36</v>
      </c>
      <c r="M4146" s="11" t="s">
        <v>28</v>
      </c>
      <c r="N4146" s="11" t="s">
        <v>62</v>
      </c>
      <c r="O4146" s="11" t="s">
        <v>1540</v>
      </c>
      <c r="P4146" s="11" t="s">
        <v>58</v>
      </c>
      <c r="Q4146" s="20">
        <v>40521.0</v>
      </c>
      <c r="R4146" s="17">
        <f t="shared" si="2"/>
        <v>1.670078522</v>
      </c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>
        <f t="shared" si="8"/>
        <v>2</v>
      </c>
      <c r="AF4146" s="19">
        <f t="shared" si="13"/>
        <v>4</v>
      </c>
      <c r="AG4146" s="9"/>
      <c r="AH4146" s="9"/>
      <c r="AI4146" s="9"/>
    </row>
    <row r="4147" ht="15.0" customHeight="1">
      <c r="A4147" s="11">
        <v>4146.0</v>
      </c>
      <c r="B4147" s="12">
        <f t="shared" si="653"/>
        <v>40519</v>
      </c>
      <c r="C4147" s="13">
        <v>2010.0</v>
      </c>
      <c r="D4147" s="11" t="s">
        <v>32</v>
      </c>
      <c r="E4147" s="11">
        <v>41.0</v>
      </c>
      <c r="F4147" s="21" t="s">
        <v>142</v>
      </c>
      <c r="G4147" s="15">
        <v>0.03163916102307852</v>
      </c>
      <c r="H4147" s="11" t="s">
        <v>33</v>
      </c>
      <c r="I4147" s="16">
        <v>0.8800000000000001</v>
      </c>
      <c r="J4147" s="11" t="s">
        <v>444</v>
      </c>
      <c r="K4147" s="11" t="s">
        <v>61</v>
      </c>
      <c r="L4147" s="11" t="s">
        <v>36</v>
      </c>
      <c r="M4147" s="11" t="s">
        <v>66</v>
      </c>
      <c r="N4147" s="11" t="s">
        <v>80</v>
      </c>
      <c r="O4147" s="11" t="s">
        <v>143</v>
      </c>
      <c r="P4147" s="11" t="s">
        <v>38</v>
      </c>
      <c r="Q4147" s="20">
        <v>40521.0</v>
      </c>
      <c r="R4147" s="17">
        <f t="shared" si="2"/>
        <v>46.59752357</v>
      </c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>
        <f t="shared" si="8"/>
        <v>2</v>
      </c>
      <c r="AF4147" s="19">
        <f t="shared" si="13"/>
        <v>4</v>
      </c>
      <c r="AG4147" s="9"/>
      <c r="AH4147" s="9"/>
      <c r="AI4147" s="9"/>
    </row>
    <row r="4148" ht="15.0" customHeight="1">
      <c r="A4148" s="11">
        <v>4147.0</v>
      </c>
      <c r="B4148" s="12">
        <f t="shared" ref="B4148:B4149" si="654">DATE(2012,12,31)-754</f>
        <v>40520</v>
      </c>
      <c r="C4148" s="13">
        <v>2010.0</v>
      </c>
      <c r="D4148" s="11" t="s">
        <v>32</v>
      </c>
      <c r="E4148" s="11">
        <v>37.0</v>
      </c>
      <c r="F4148" s="21" t="s">
        <v>562</v>
      </c>
      <c r="G4148" s="15">
        <v>0.04845650360589821</v>
      </c>
      <c r="H4148" s="11" t="s">
        <v>45</v>
      </c>
      <c r="I4148" s="16">
        <v>55.44</v>
      </c>
      <c r="J4148" s="11" t="s">
        <v>1010</v>
      </c>
      <c r="K4148" s="11" t="s">
        <v>35</v>
      </c>
      <c r="L4148" s="11" t="s">
        <v>48</v>
      </c>
      <c r="M4148" s="11" t="s">
        <v>66</v>
      </c>
      <c r="N4148" s="11" t="s">
        <v>69</v>
      </c>
      <c r="O4148" s="11" t="s">
        <v>2222</v>
      </c>
      <c r="P4148" s="11" t="s">
        <v>52</v>
      </c>
      <c r="Q4148" s="20">
        <v>40522.0</v>
      </c>
      <c r="R4148" s="17">
        <f t="shared" si="2"/>
        <v>900.7453468</v>
      </c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>
        <f t="shared" si="8"/>
        <v>4</v>
      </c>
      <c r="AF4148" s="19">
        <f t="shared" si="13"/>
        <v>2</v>
      </c>
      <c r="AG4148" s="9"/>
      <c r="AH4148" s="9"/>
      <c r="AI4148" s="9"/>
    </row>
    <row r="4149" ht="15.0" customHeight="1">
      <c r="A4149" s="11">
        <v>4148.0</v>
      </c>
      <c r="B4149" s="12">
        <f t="shared" si="654"/>
        <v>40520</v>
      </c>
      <c r="C4149" s="13">
        <v>2010.0</v>
      </c>
      <c r="D4149" s="11" t="s">
        <v>39</v>
      </c>
      <c r="E4149" s="11">
        <v>14.0</v>
      </c>
      <c r="F4149" s="21" t="s">
        <v>413</v>
      </c>
      <c r="G4149" s="15">
        <v>0.07913555992141456</v>
      </c>
      <c r="H4149" s="11" t="s">
        <v>33</v>
      </c>
      <c r="I4149" s="16">
        <v>4.816</v>
      </c>
      <c r="J4149" s="11" t="s">
        <v>235</v>
      </c>
      <c r="K4149" s="11" t="s">
        <v>61</v>
      </c>
      <c r="L4149" s="11" t="s">
        <v>48</v>
      </c>
      <c r="M4149" s="11" t="s">
        <v>49</v>
      </c>
      <c r="N4149" s="11" t="s">
        <v>73</v>
      </c>
      <c r="O4149" s="11" t="s">
        <v>1102</v>
      </c>
      <c r="P4149" s="11" t="s">
        <v>75</v>
      </c>
      <c r="Q4149" s="20">
        <v>40522.0</v>
      </c>
      <c r="R4149" s="17">
        <f t="shared" si="2"/>
        <v>11.12772589</v>
      </c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>
        <f t="shared" si="8"/>
        <v>4</v>
      </c>
      <c r="AF4149" s="19">
        <f t="shared" si="13"/>
        <v>4</v>
      </c>
      <c r="AG4149" s="9"/>
      <c r="AH4149" s="9"/>
      <c r="AI4149" s="9"/>
    </row>
    <row r="4150" ht="15.0" customHeight="1">
      <c r="A4150" s="11">
        <v>4149.0</v>
      </c>
      <c r="B4150" s="12">
        <f t="shared" ref="B4150:B4153" si="655">DATE(2012,12,31)-753</f>
        <v>40521</v>
      </c>
      <c r="C4150" s="13">
        <v>2010.0</v>
      </c>
      <c r="D4150" s="11" t="s">
        <v>23</v>
      </c>
      <c r="E4150" s="11">
        <v>30.0</v>
      </c>
      <c r="F4150" s="21" t="s">
        <v>562</v>
      </c>
      <c r="G4150" s="15">
        <v>0.08302712320920398</v>
      </c>
      <c r="H4150" s="11" t="s">
        <v>45</v>
      </c>
      <c r="I4150" s="16">
        <v>20.8</v>
      </c>
      <c r="J4150" s="11" t="s">
        <v>1546</v>
      </c>
      <c r="K4150" s="11" t="s">
        <v>117</v>
      </c>
      <c r="L4150" s="11" t="s">
        <v>41</v>
      </c>
      <c r="M4150" s="11" t="s">
        <v>49</v>
      </c>
      <c r="N4150" s="11" t="s">
        <v>50</v>
      </c>
      <c r="O4150" s="11" t="s">
        <v>1649</v>
      </c>
      <c r="P4150" s="11" t="s">
        <v>52</v>
      </c>
      <c r="Q4150" s="20">
        <v>40522.0</v>
      </c>
      <c r="R4150" s="17">
        <f t="shared" si="2"/>
        <v>1249.375545</v>
      </c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>
        <f t="shared" si="8"/>
        <v>3</v>
      </c>
      <c r="AF4150" s="19" t="b">
        <f t="shared" si="13"/>
        <v>0</v>
      </c>
      <c r="AG4150" s="9"/>
      <c r="AH4150" s="9"/>
      <c r="AI4150" s="9"/>
    </row>
    <row r="4151" ht="15.0" customHeight="1">
      <c r="A4151" s="11">
        <v>4150.0</v>
      </c>
      <c r="B4151" s="12">
        <f t="shared" si="655"/>
        <v>40521</v>
      </c>
      <c r="C4151" s="13">
        <v>2010.0</v>
      </c>
      <c r="D4151" s="11" t="s">
        <v>23</v>
      </c>
      <c r="E4151" s="11">
        <v>15.0</v>
      </c>
      <c r="F4151" s="21" t="s">
        <v>176</v>
      </c>
      <c r="G4151" s="15">
        <v>0.04014850630288378</v>
      </c>
      <c r="H4151" s="11" t="s">
        <v>33</v>
      </c>
      <c r="I4151" s="16">
        <v>3.2</v>
      </c>
      <c r="J4151" s="11" t="s">
        <v>2436</v>
      </c>
      <c r="K4151" s="11" t="s">
        <v>35</v>
      </c>
      <c r="L4151" s="11" t="s">
        <v>48</v>
      </c>
      <c r="M4151" s="11" t="s">
        <v>66</v>
      </c>
      <c r="N4151" s="11" t="s">
        <v>67</v>
      </c>
      <c r="O4151" s="11" t="s">
        <v>177</v>
      </c>
      <c r="P4151" s="11" t="s">
        <v>38</v>
      </c>
      <c r="Q4151" s="20">
        <v>40523.0</v>
      </c>
      <c r="R4151" s="17">
        <f t="shared" si="2"/>
        <v>44.63309446</v>
      </c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>
        <f t="shared" si="8"/>
        <v>4</v>
      </c>
      <c r="AF4151" s="19">
        <f t="shared" si="13"/>
        <v>2</v>
      </c>
      <c r="AG4151" s="9"/>
      <c r="AH4151" s="9"/>
      <c r="AI4151" s="9"/>
    </row>
    <row r="4152" ht="15.0" customHeight="1">
      <c r="A4152" s="11">
        <v>4151.0</v>
      </c>
      <c r="B4152" s="12">
        <f t="shared" si="655"/>
        <v>40521</v>
      </c>
      <c r="C4152" s="13">
        <v>2010.0</v>
      </c>
      <c r="D4152" s="11" t="s">
        <v>32</v>
      </c>
      <c r="E4152" s="11">
        <v>47.0</v>
      </c>
      <c r="F4152" s="21" t="s">
        <v>891</v>
      </c>
      <c r="G4152" s="15">
        <v>0.06889375151957211</v>
      </c>
      <c r="H4152" s="11" t="s">
        <v>33</v>
      </c>
      <c r="I4152" s="16">
        <v>2.2640000000000002</v>
      </c>
      <c r="J4152" s="11" t="s">
        <v>510</v>
      </c>
      <c r="K4152" s="11" t="s">
        <v>35</v>
      </c>
      <c r="L4152" s="11" t="s">
        <v>27</v>
      </c>
      <c r="M4152" s="11" t="s">
        <v>66</v>
      </c>
      <c r="N4152" s="11" t="s">
        <v>67</v>
      </c>
      <c r="O4152" s="11" t="s">
        <v>893</v>
      </c>
      <c r="P4152" s="11" t="s">
        <v>99</v>
      </c>
      <c r="Q4152" s="20">
        <v>40523.0</v>
      </c>
      <c r="R4152" s="17">
        <f t="shared" si="2"/>
        <v>26.38382666</v>
      </c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>
        <f t="shared" si="8"/>
        <v>1</v>
      </c>
      <c r="AF4152" s="19">
        <f t="shared" si="13"/>
        <v>2</v>
      </c>
      <c r="AG4152" s="9"/>
      <c r="AH4152" s="9"/>
      <c r="AI4152" s="9"/>
    </row>
    <row r="4153" ht="15.0" customHeight="1">
      <c r="A4153" s="11">
        <v>4152.0</v>
      </c>
      <c r="B4153" s="12">
        <f t="shared" si="655"/>
        <v>40521</v>
      </c>
      <c r="C4153" s="13">
        <v>2010.0</v>
      </c>
      <c r="D4153" s="11" t="s">
        <v>102</v>
      </c>
      <c r="E4153" s="11">
        <v>48.0</v>
      </c>
      <c r="F4153" s="21" t="s">
        <v>234</v>
      </c>
      <c r="G4153" s="15">
        <v>0.03912192489759865</v>
      </c>
      <c r="H4153" s="11" t="s">
        <v>24</v>
      </c>
      <c r="I4153" s="16">
        <v>15.991999999999999</v>
      </c>
      <c r="J4153" s="11" t="s">
        <v>2228</v>
      </c>
      <c r="K4153" s="11" t="s">
        <v>26</v>
      </c>
      <c r="L4153" s="11" t="s">
        <v>27</v>
      </c>
      <c r="M4153" s="11" t="s">
        <v>28</v>
      </c>
      <c r="N4153" s="11" t="s">
        <v>236</v>
      </c>
      <c r="O4153" s="11" t="s">
        <v>237</v>
      </c>
      <c r="P4153" s="11" t="s">
        <v>38</v>
      </c>
      <c r="Q4153" s="20">
        <v>40523.0</v>
      </c>
      <c r="R4153" s="17">
        <f t="shared" si="2"/>
        <v>306.527793</v>
      </c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>
        <f t="shared" si="8"/>
        <v>1</v>
      </c>
      <c r="AF4153" s="19">
        <f t="shared" si="13"/>
        <v>1</v>
      </c>
      <c r="AG4153" s="9"/>
      <c r="AH4153" s="9"/>
      <c r="AI4153" s="9"/>
    </row>
    <row r="4154" ht="15.0" customHeight="1">
      <c r="A4154" s="11">
        <v>4153.0</v>
      </c>
      <c r="B4154" s="12">
        <f t="shared" ref="B4154:B4155" si="656">DATE(2012,12,31)-752</f>
        <v>40522</v>
      </c>
      <c r="C4154" s="13">
        <v>2010.0</v>
      </c>
      <c r="D4154" s="11" t="s">
        <v>44</v>
      </c>
      <c r="E4154" s="11">
        <v>27.0</v>
      </c>
      <c r="F4154" s="21" t="s">
        <v>886</v>
      </c>
      <c r="G4154" s="15">
        <v>0.01621063500258136</v>
      </c>
      <c r="H4154" s="11" t="s">
        <v>45</v>
      </c>
      <c r="I4154" s="16">
        <v>48.0</v>
      </c>
      <c r="J4154" s="11" t="s">
        <v>604</v>
      </c>
      <c r="K4154" s="11" t="s">
        <v>83</v>
      </c>
      <c r="L4154" s="11" t="s">
        <v>27</v>
      </c>
      <c r="M4154" s="11" t="s">
        <v>28</v>
      </c>
      <c r="N4154" s="11" t="s">
        <v>197</v>
      </c>
      <c r="O4154" s="11" t="s">
        <v>888</v>
      </c>
      <c r="P4154" s="11" t="s">
        <v>52</v>
      </c>
      <c r="Q4154" s="20">
        <v>40524.0</v>
      </c>
      <c r="R4154" s="17">
        <f t="shared" si="2"/>
        <v>30.89098606</v>
      </c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>
        <f t="shared" si="8"/>
        <v>1</v>
      </c>
      <c r="AF4154" s="19" t="b">
        <f t="shared" si="13"/>
        <v>0</v>
      </c>
      <c r="AG4154" s="9"/>
      <c r="AH4154" s="9"/>
      <c r="AI4154" s="9"/>
    </row>
    <row r="4155" ht="15.0" customHeight="1">
      <c r="A4155" s="11">
        <v>4154.0</v>
      </c>
      <c r="B4155" s="12">
        <f t="shared" si="656"/>
        <v>40522</v>
      </c>
      <c r="C4155" s="13">
        <v>2010.0</v>
      </c>
      <c r="D4155" s="11" t="s">
        <v>44</v>
      </c>
      <c r="E4155" s="11">
        <v>24.0</v>
      </c>
      <c r="F4155" s="21" t="s">
        <v>2089</v>
      </c>
      <c r="G4155" s="15">
        <v>0.0664590454487911</v>
      </c>
      <c r="H4155" s="11" t="s">
        <v>45</v>
      </c>
      <c r="I4155" s="16">
        <v>51.672000000000004</v>
      </c>
      <c r="J4155" s="11" t="s">
        <v>604</v>
      </c>
      <c r="K4155" s="11" t="s">
        <v>83</v>
      </c>
      <c r="L4155" s="11" t="s">
        <v>27</v>
      </c>
      <c r="M4155" s="11" t="s">
        <v>49</v>
      </c>
      <c r="N4155" s="11" t="s">
        <v>85</v>
      </c>
      <c r="O4155" s="11" t="s">
        <v>2492</v>
      </c>
      <c r="P4155" s="11" t="s">
        <v>87</v>
      </c>
      <c r="Q4155" s="20">
        <v>40524.0</v>
      </c>
      <c r="R4155" s="17">
        <f t="shared" si="2"/>
        <v>882.1289871</v>
      </c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>
        <f t="shared" si="8"/>
        <v>1</v>
      </c>
      <c r="AF4155" s="19" t="b">
        <f t="shared" si="13"/>
        <v>0</v>
      </c>
      <c r="AG4155" s="9"/>
      <c r="AH4155" s="9"/>
      <c r="AI4155" s="9"/>
    </row>
    <row r="4156" ht="15.0" customHeight="1">
      <c r="A4156" s="11">
        <v>4155.0</v>
      </c>
      <c r="B4156" s="12">
        <f t="shared" ref="B4156:B4159" si="657">DATE(2012,12,31)-751</f>
        <v>40523</v>
      </c>
      <c r="C4156" s="13">
        <v>2010.0</v>
      </c>
      <c r="D4156" s="11" t="s">
        <v>102</v>
      </c>
      <c r="E4156" s="11">
        <v>4.0</v>
      </c>
      <c r="F4156" s="21" t="s">
        <v>666</v>
      </c>
      <c r="G4156" s="15">
        <v>0.05248554913294805</v>
      </c>
      <c r="H4156" s="11" t="s">
        <v>33</v>
      </c>
      <c r="I4156" s="16">
        <v>1.192</v>
      </c>
      <c r="J4156" s="11" t="s">
        <v>2358</v>
      </c>
      <c r="K4156" s="11" t="s">
        <v>35</v>
      </c>
      <c r="L4156" s="11" t="s">
        <v>48</v>
      </c>
      <c r="M4156" s="11" t="s">
        <v>28</v>
      </c>
      <c r="N4156" s="11" t="s">
        <v>42</v>
      </c>
      <c r="O4156" s="11" t="s">
        <v>667</v>
      </c>
      <c r="P4156" s="11" t="s">
        <v>38</v>
      </c>
      <c r="Q4156" s="20">
        <v>40524.0</v>
      </c>
      <c r="R4156" s="17">
        <f t="shared" si="2"/>
        <v>0.8603431214</v>
      </c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>
        <f t="shared" si="8"/>
        <v>4</v>
      </c>
      <c r="AF4156" s="19">
        <f t="shared" si="13"/>
        <v>2</v>
      </c>
      <c r="AG4156" s="9"/>
      <c r="AH4156" s="9"/>
      <c r="AI4156" s="9"/>
    </row>
    <row r="4157" ht="15.0" customHeight="1">
      <c r="A4157" s="11">
        <v>4156.0</v>
      </c>
      <c r="B4157" s="12">
        <f t="shared" si="657"/>
        <v>40523</v>
      </c>
      <c r="C4157" s="13">
        <v>2010.0</v>
      </c>
      <c r="D4157" s="11" t="s">
        <v>32</v>
      </c>
      <c r="E4157" s="11">
        <v>28.0</v>
      </c>
      <c r="F4157" s="21" t="s">
        <v>2370</v>
      </c>
      <c r="G4157" s="15">
        <v>0.043798020466364614</v>
      </c>
      <c r="H4157" s="11" t="s">
        <v>33</v>
      </c>
      <c r="I4157" s="16">
        <v>7.192</v>
      </c>
      <c r="J4157" s="11" t="s">
        <v>2039</v>
      </c>
      <c r="K4157" s="11" t="s">
        <v>83</v>
      </c>
      <c r="L4157" s="11" t="s">
        <v>41</v>
      </c>
      <c r="M4157" s="11" t="s">
        <v>28</v>
      </c>
      <c r="N4157" s="11" t="s">
        <v>62</v>
      </c>
      <c r="O4157" s="11" t="s">
        <v>2371</v>
      </c>
      <c r="P4157" s="11" t="s">
        <v>99</v>
      </c>
      <c r="Q4157" s="20">
        <v>40524.0</v>
      </c>
      <c r="R4157" s="17">
        <f t="shared" si="2"/>
        <v>24.96452128</v>
      </c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>
        <f t="shared" si="8"/>
        <v>3</v>
      </c>
      <c r="AF4157" s="19" t="b">
        <f t="shared" si="13"/>
        <v>0</v>
      </c>
      <c r="AG4157" s="9"/>
      <c r="AH4157" s="9"/>
      <c r="AI4157" s="9"/>
    </row>
    <row r="4158" ht="15.0" customHeight="1">
      <c r="A4158" s="11">
        <v>4157.0</v>
      </c>
      <c r="B4158" s="12">
        <f t="shared" si="657"/>
        <v>40523</v>
      </c>
      <c r="C4158" s="13">
        <v>2010.0</v>
      </c>
      <c r="D4158" s="11" t="s">
        <v>39</v>
      </c>
      <c r="E4158" s="11">
        <v>25.0</v>
      </c>
      <c r="F4158" s="21" t="s">
        <v>914</v>
      </c>
      <c r="G4158" s="15">
        <v>0.09523373838456038</v>
      </c>
      <c r="H4158" s="11" t="s">
        <v>33</v>
      </c>
      <c r="I4158" s="16">
        <v>10.384</v>
      </c>
      <c r="J4158" s="11" t="s">
        <v>2493</v>
      </c>
      <c r="K4158" s="11" t="s">
        <v>26</v>
      </c>
      <c r="L4158" s="11" t="s">
        <v>27</v>
      </c>
      <c r="M4158" s="11" t="s">
        <v>28</v>
      </c>
      <c r="N4158" s="11" t="s">
        <v>42</v>
      </c>
      <c r="O4158" s="11" t="s">
        <v>915</v>
      </c>
      <c r="P4158" s="11" t="s">
        <v>38</v>
      </c>
      <c r="Q4158" s="20">
        <v>40524.0</v>
      </c>
      <c r="R4158" s="17">
        <f t="shared" si="2"/>
        <v>60.27190928</v>
      </c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>
        <f t="shared" si="8"/>
        <v>1</v>
      </c>
      <c r="AF4158" s="19">
        <f t="shared" si="13"/>
        <v>1</v>
      </c>
      <c r="AG4158" s="9"/>
      <c r="AH4158" s="9"/>
      <c r="AI4158" s="9"/>
    </row>
    <row r="4159" ht="15.0" customHeight="1">
      <c r="A4159" s="11">
        <v>4158.0</v>
      </c>
      <c r="B4159" s="12">
        <f t="shared" si="657"/>
        <v>40523</v>
      </c>
      <c r="C4159" s="13">
        <v>2010.0</v>
      </c>
      <c r="D4159" s="11" t="s">
        <v>39</v>
      </c>
      <c r="E4159" s="11">
        <v>12.0</v>
      </c>
      <c r="F4159" s="21" t="s">
        <v>115</v>
      </c>
      <c r="G4159" s="15">
        <v>0.03970563978938003</v>
      </c>
      <c r="H4159" s="11" t="s">
        <v>45</v>
      </c>
      <c r="I4159" s="16">
        <v>62.912000000000006</v>
      </c>
      <c r="J4159" s="11" t="s">
        <v>2493</v>
      </c>
      <c r="K4159" s="11" t="s">
        <v>26</v>
      </c>
      <c r="L4159" s="11" t="s">
        <v>27</v>
      </c>
      <c r="M4159" s="11" t="s">
        <v>49</v>
      </c>
      <c r="N4159" s="11" t="s">
        <v>156</v>
      </c>
      <c r="O4159" s="11" t="s">
        <v>649</v>
      </c>
      <c r="P4159" s="11" t="s">
        <v>87</v>
      </c>
      <c r="Q4159" s="20">
        <v>40525.0</v>
      </c>
      <c r="R4159" s="17">
        <f t="shared" si="2"/>
        <v>60.10290342</v>
      </c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>
        <f t="shared" si="8"/>
        <v>1</v>
      </c>
      <c r="AF4159" s="19">
        <f t="shared" si="13"/>
        <v>1</v>
      </c>
      <c r="AG4159" s="9"/>
      <c r="AH4159" s="9"/>
      <c r="AI4159" s="9"/>
    </row>
    <row r="4160" ht="15.0" customHeight="1">
      <c r="A4160" s="11">
        <v>4159.0</v>
      </c>
      <c r="B4160" s="12">
        <f t="shared" ref="B4160:B4177" si="658">DATE(2012,12,31)-750</f>
        <v>40524</v>
      </c>
      <c r="C4160" s="13">
        <v>2010.0</v>
      </c>
      <c r="D4160" s="11" t="s">
        <v>102</v>
      </c>
      <c r="E4160" s="11">
        <v>32.0</v>
      </c>
      <c r="F4160" s="21" t="s">
        <v>1136</v>
      </c>
      <c r="G4160" s="15">
        <v>0.07906768041879601</v>
      </c>
      <c r="H4160" s="11" t="s">
        <v>33</v>
      </c>
      <c r="I4160" s="16">
        <v>6.064</v>
      </c>
      <c r="J4160" s="11" t="s">
        <v>227</v>
      </c>
      <c r="K4160" s="11" t="s">
        <v>35</v>
      </c>
      <c r="L4160" s="11" t="s">
        <v>27</v>
      </c>
      <c r="M4160" s="11" t="s">
        <v>49</v>
      </c>
      <c r="N4160" s="11" t="s">
        <v>73</v>
      </c>
      <c r="O4160" s="11" t="s">
        <v>2284</v>
      </c>
      <c r="P4160" s="11" t="s">
        <v>38</v>
      </c>
      <c r="Q4160" s="20">
        <v>40525.0</v>
      </c>
      <c r="R4160" s="17">
        <f t="shared" si="2"/>
        <v>58.42026262</v>
      </c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>
        <f t="shared" si="8"/>
        <v>1</v>
      </c>
      <c r="AF4160" s="19">
        <f t="shared" si="13"/>
        <v>2</v>
      </c>
      <c r="AG4160" s="9"/>
      <c r="AH4160" s="9"/>
      <c r="AI4160" s="9"/>
    </row>
    <row r="4161" ht="15.0" customHeight="1">
      <c r="A4161" s="11">
        <v>4160.0</v>
      </c>
      <c r="B4161" s="12">
        <f t="shared" si="658"/>
        <v>40524</v>
      </c>
      <c r="C4161" s="13">
        <v>2010.0</v>
      </c>
      <c r="D4161" s="11" t="s">
        <v>44</v>
      </c>
      <c r="E4161" s="11">
        <v>48.0</v>
      </c>
      <c r="F4161" s="21" t="s">
        <v>292</v>
      </c>
      <c r="G4161" s="15">
        <v>0.030708591503078843</v>
      </c>
      <c r="H4161" s="11" t="s">
        <v>45</v>
      </c>
      <c r="I4161" s="16">
        <v>54.416</v>
      </c>
      <c r="J4161" s="11" t="s">
        <v>120</v>
      </c>
      <c r="K4161" s="11" t="s">
        <v>35</v>
      </c>
      <c r="L4161" s="11" t="s">
        <v>48</v>
      </c>
      <c r="M4161" s="11" t="s">
        <v>49</v>
      </c>
      <c r="N4161" s="11" t="s">
        <v>50</v>
      </c>
      <c r="O4161" s="11" t="s">
        <v>1959</v>
      </c>
      <c r="P4161" s="11" t="s">
        <v>52</v>
      </c>
      <c r="Q4161" s="20">
        <v>40525.0</v>
      </c>
      <c r="R4161" s="17">
        <f t="shared" si="2"/>
        <v>308.4130175</v>
      </c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>
        <f t="shared" si="8"/>
        <v>4</v>
      </c>
      <c r="AF4161" s="19">
        <f t="shared" si="13"/>
        <v>2</v>
      </c>
      <c r="AG4161" s="9"/>
      <c r="AH4161" s="9"/>
      <c r="AI4161" s="9"/>
    </row>
    <row r="4162" ht="15.0" customHeight="1">
      <c r="A4162" s="11">
        <v>4161.0</v>
      </c>
      <c r="B4162" s="12">
        <f t="shared" si="658"/>
        <v>40524</v>
      </c>
      <c r="C4162" s="13">
        <v>2010.0</v>
      </c>
      <c r="D4162" s="11" t="s">
        <v>44</v>
      </c>
      <c r="E4162" s="11">
        <v>2.0</v>
      </c>
      <c r="F4162" s="21" t="s">
        <v>914</v>
      </c>
      <c r="G4162" s="15">
        <v>0.10359621451104109</v>
      </c>
      <c r="H4162" s="11" t="s">
        <v>33</v>
      </c>
      <c r="I4162" s="16">
        <v>7.032</v>
      </c>
      <c r="J4162" s="11" t="s">
        <v>120</v>
      </c>
      <c r="K4162" s="11" t="s">
        <v>35</v>
      </c>
      <c r="L4162" s="11" t="s">
        <v>48</v>
      </c>
      <c r="M4162" s="11" t="s">
        <v>49</v>
      </c>
      <c r="N4162" s="11" t="s">
        <v>50</v>
      </c>
      <c r="O4162" s="11" t="s">
        <v>2249</v>
      </c>
      <c r="P4162" s="11" t="s">
        <v>52</v>
      </c>
      <c r="Q4162" s="20">
        <v>40525.0</v>
      </c>
      <c r="R4162" s="17">
        <f t="shared" si="2"/>
        <v>5.887580063</v>
      </c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>
        <f t="shared" si="8"/>
        <v>4</v>
      </c>
      <c r="AF4162" s="19">
        <f t="shared" si="13"/>
        <v>2</v>
      </c>
      <c r="AG4162" s="9"/>
      <c r="AH4162" s="9"/>
      <c r="AI4162" s="9"/>
    </row>
    <row r="4163" ht="15.0" customHeight="1">
      <c r="A4163" s="11">
        <v>4162.0</v>
      </c>
      <c r="B4163" s="12">
        <f t="shared" si="658"/>
        <v>40524</v>
      </c>
      <c r="C4163" s="13">
        <v>2010.0</v>
      </c>
      <c r="D4163" s="11" t="s">
        <v>44</v>
      </c>
      <c r="E4163" s="11">
        <v>9.0</v>
      </c>
      <c r="F4163" s="21" t="s">
        <v>894</v>
      </c>
      <c r="G4163" s="15">
        <v>0.056630434782608596</v>
      </c>
      <c r="H4163" s="11" t="s">
        <v>33</v>
      </c>
      <c r="I4163" s="16">
        <v>5.016</v>
      </c>
      <c r="J4163" s="11" t="s">
        <v>120</v>
      </c>
      <c r="K4163" s="11" t="s">
        <v>35</v>
      </c>
      <c r="L4163" s="11" t="s">
        <v>48</v>
      </c>
      <c r="M4163" s="11" t="s">
        <v>49</v>
      </c>
      <c r="N4163" s="11" t="s">
        <v>73</v>
      </c>
      <c r="O4163" s="11" t="s">
        <v>745</v>
      </c>
      <c r="P4163" s="11" t="s">
        <v>31</v>
      </c>
      <c r="Q4163" s="20">
        <v>40525.0</v>
      </c>
      <c r="R4163" s="17">
        <f t="shared" si="2"/>
        <v>1.965982174</v>
      </c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>
        <f t="shared" si="8"/>
        <v>4</v>
      </c>
      <c r="AF4163" s="19">
        <f t="shared" si="13"/>
        <v>2</v>
      </c>
      <c r="AG4163" s="9"/>
      <c r="AH4163" s="9"/>
      <c r="AI4163" s="9"/>
    </row>
    <row r="4164" ht="15.0" customHeight="1">
      <c r="A4164" s="11">
        <v>4163.0</v>
      </c>
      <c r="B4164" s="12">
        <f t="shared" si="658"/>
        <v>40524</v>
      </c>
      <c r="C4164" s="13">
        <v>2010.0</v>
      </c>
      <c r="D4164" s="11" t="s">
        <v>23</v>
      </c>
      <c r="E4164" s="11">
        <v>33.0</v>
      </c>
      <c r="F4164" s="21" t="s">
        <v>119</v>
      </c>
      <c r="G4164" s="15">
        <v>0.09157421289355328</v>
      </c>
      <c r="H4164" s="11" t="s">
        <v>33</v>
      </c>
      <c r="I4164" s="16">
        <v>1.192</v>
      </c>
      <c r="J4164" s="11" t="s">
        <v>2026</v>
      </c>
      <c r="K4164" s="11" t="s">
        <v>65</v>
      </c>
      <c r="L4164" s="11" t="s">
        <v>41</v>
      </c>
      <c r="M4164" s="11" t="s">
        <v>28</v>
      </c>
      <c r="N4164" s="11" t="s">
        <v>42</v>
      </c>
      <c r="O4164" s="11" t="s">
        <v>1129</v>
      </c>
      <c r="P4164" s="11" t="s">
        <v>38</v>
      </c>
      <c r="Q4164" s="20">
        <v>40525.0</v>
      </c>
      <c r="R4164" s="17">
        <f t="shared" si="2"/>
        <v>5.548664708</v>
      </c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>
        <f t="shared" si="8"/>
        <v>3</v>
      </c>
      <c r="AF4164" s="19">
        <f t="shared" si="13"/>
        <v>5</v>
      </c>
      <c r="AG4164" s="9"/>
      <c r="AH4164" s="9"/>
      <c r="AI4164" s="9"/>
    </row>
    <row r="4165" ht="15.0" customHeight="1">
      <c r="A4165" s="11">
        <v>4164.0</v>
      </c>
      <c r="B4165" s="12">
        <f t="shared" si="658"/>
        <v>40524</v>
      </c>
      <c r="C4165" s="13">
        <v>2010.0</v>
      </c>
      <c r="D4165" s="11" t="s">
        <v>23</v>
      </c>
      <c r="E4165" s="11">
        <v>23.0</v>
      </c>
      <c r="F4165" s="21" t="s">
        <v>891</v>
      </c>
      <c r="G4165" s="15">
        <v>0.07271119842829078</v>
      </c>
      <c r="H4165" s="11" t="s">
        <v>33</v>
      </c>
      <c r="I4165" s="16">
        <v>2.4960000000000004</v>
      </c>
      <c r="J4165" s="11" t="s">
        <v>2026</v>
      </c>
      <c r="K4165" s="11" t="s">
        <v>65</v>
      </c>
      <c r="L4165" s="11" t="s">
        <v>41</v>
      </c>
      <c r="M4165" s="11" t="s">
        <v>28</v>
      </c>
      <c r="N4165" s="11" t="s">
        <v>62</v>
      </c>
      <c r="O4165" s="11" t="s">
        <v>2423</v>
      </c>
      <c r="P4165" s="11" t="s">
        <v>58</v>
      </c>
      <c r="Q4165" s="20">
        <v>40525.0</v>
      </c>
      <c r="R4165" s="17">
        <f t="shared" si="2"/>
        <v>13.72758342</v>
      </c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>
        <f t="shared" si="8"/>
        <v>3</v>
      </c>
      <c r="AF4165" s="19">
        <f t="shared" si="13"/>
        <v>5</v>
      </c>
      <c r="AG4165" s="9"/>
      <c r="AH4165" s="9"/>
      <c r="AI4165" s="9"/>
    </row>
    <row r="4166" ht="15.0" customHeight="1">
      <c r="A4166" s="11">
        <v>4165.0</v>
      </c>
      <c r="B4166" s="12">
        <f t="shared" si="658"/>
        <v>40524</v>
      </c>
      <c r="C4166" s="13">
        <v>2010.0</v>
      </c>
      <c r="D4166" s="11" t="s">
        <v>32</v>
      </c>
      <c r="E4166" s="11">
        <v>15.0</v>
      </c>
      <c r="F4166" s="21" t="s">
        <v>322</v>
      </c>
      <c r="G4166" s="15">
        <v>0.08599167822468778</v>
      </c>
      <c r="H4166" s="11" t="s">
        <v>33</v>
      </c>
      <c r="I4166" s="16">
        <v>2.8000000000000003</v>
      </c>
      <c r="J4166" s="11" t="s">
        <v>1821</v>
      </c>
      <c r="K4166" s="11" t="s">
        <v>35</v>
      </c>
      <c r="L4166" s="11" t="s">
        <v>36</v>
      </c>
      <c r="M4166" s="11" t="s">
        <v>28</v>
      </c>
      <c r="N4166" s="11" t="s">
        <v>197</v>
      </c>
      <c r="O4166" s="11" t="s">
        <v>2172</v>
      </c>
      <c r="P4166" s="11" t="s">
        <v>38</v>
      </c>
      <c r="Q4166" s="20">
        <v>40525.0</v>
      </c>
      <c r="R4166" s="17">
        <f t="shared" si="2"/>
        <v>11.33370319</v>
      </c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>
        <f t="shared" si="8"/>
        <v>2</v>
      </c>
      <c r="AF4166" s="19">
        <f t="shared" si="13"/>
        <v>2</v>
      </c>
      <c r="AG4166" s="9"/>
      <c r="AH4166" s="9"/>
      <c r="AI4166" s="9"/>
    </row>
    <row r="4167" ht="15.0" customHeight="1">
      <c r="A4167" s="11">
        <v>4166.0</v>
      </c>
      <c r="B4167" s="12">
        <f t="shared" si="658"/>
        <v>40524</v>
      </c>
      <c r="C4167" s="13">
        <v>2010.0</v>
      </c>
      <c r="D4167" s="11" t="s">
        <v>32</v>
      </c>
      <c r="E4167" s="11">
        <v>9.0</v>
      </c>
      <c r="F4167" s="21" t="s">
        <v>509</v>
      </c>
      <c r="G4167" s="15">
        <v>0.0801220752797559</v>
      </c>
      <c r="H4167" s="11" t="s">
        <v>33</v>
      </c>
      <c r="I4167" s="16">
        <v>15.991999999999999</v>
      </c>
      <c r="J4167" s="11" t="s">
        <v>2494</v>
      </c>
      <c r="K4167" s="11" t="s">
        <v>65</v>
      </c>
      <c r="L4167" s="11" t="s">
        <v>36</v>
      </c>
      <c r="M4167" s="11" t="s">
        <v>49</v>
      </c>
      <c r="N4167" s="11" t="s">
        <v>73</v>
      </c>
      <c r="O4167" s="11" t="s">
        <v>664</v>
      </c>
      <c r="P4167" s="11" t="s">
        <v>38</v>
      </c>
      <c r="Q4167" s="20">
        <v>40525.0</v>
      </c>
      <c r="R4167" s="17">
        <f t="shared" si="2"/>
        <v>57.95966828</v>
      </c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>
        <f t="shared" si="8"/>
        <v>2</v>
      </c>
      <c r="AF4167" s="19">
        <f t="shared" si="13"/>
        <v>5</v>
      </c>
      <c r="AG4167" s="9"/>
      <c r="AH4167" s="9"/>
      <c r="AI4167" s="9"/>
    </row>
    <row r="4168" ht="15.0" customHeight="1">
      <c r="A4168" s="11">
        <v>4167.0</v>
      </c>
      <c r="B4168" s="12">
        <f t="shared" si="658"/>
        <v>40524</v>
      </c>
      <c r="C4168" s="13">
        <v>2010.0</v>
      </c>
      <c r="D4168" s="11" t="s">
        <v>32</v>
      </c>
      <c r="E4168" s="11">
        <v>33.0</v>
      </c>
      <c r="F4168" s="21" t="s">
        <v>1223</v>
      </c>
      <c r="G4168" s="15">
        <v>0.02383735020869808</v>
      </c>
      <c r="H4168" s="11" t="s">
        <v>33</v>
      </c>
      <c r="I4168" s="16">
        <v>2.2960000000000003</v>
      </c>
      <c r="J4168" s="11" t="s">
        <v>2494</v>
      </c>
      <c r="K4168" s="11" t="s">
        <v>65</v>
      </c>
      <c r="L4168" s="11" t="s">
        <v>36</v>
      </c>
      <c r="M4168" s="11" t="s">
        <v>28</v>
      </c>
      <c r="N4168" s="11" t="s">
        <v>62</v>
      </c>
      <c r="O4168" s="11" t="s">
        <v>1225</v>
      </c>
      <c r="P4168" s="11" t="s">
        <v>99</v>
      </c>
      <c r="Q4168" s="20">
        <v>40525.0</v>
      </c>
      <c r="R4168" s="17">
        <f t="shared" si="2"/>
        <v>17.28198355</v>
      </c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>
        <f t="shared" si="8"/>
        <v>2</v>
      </c>
      <c r="AF4168" s="19">
        <f t="shared" si="13"/>
        <v>5</v>
      </c>
      <c r="AG4168" s="9"/>
      <c r="AH4168" s="9"/>
      <c r="AI4168" s="9"/>
    </row>
    <row r="4169" ht="15.0" customHeight="1">
      <c r="A4169" s="11">
        <v>4168.0</v>
      </c>
      <c r="B4169" s="12">
        <f t="shared" si="658"/>
        <v>40524</v>
      </c>
      <c r="C4169" s="13">
        <v>2010.0</v>
      </c>
      <c r="D4169" s="11" t="s">
        <v>102</v>
      </c>
      <c r="E4169" s="11">
        <v>8.0</v>
      </c>
      <c r="F4169" s="21" t="s">
        <v>284</v>
      </c>
      <c r="G4169" s="15">
        <v>0.13608040201005017</v>
      </c>
      <c r="H4169" s="11" t="s">
        <v>33</v>
      </c>
      <c r="I4169" s="16">
        <v>1.192</v>
      </c>
      <c r="J4169" s="11" t="s">
        <v>1831</v>
      </c>
      <c r="K4169" s="11" t="s">
        <v>61</v>
      </c>
      <c r="L4169" s="11" t="s">
        <v>48</v>
      </c>
      <c r="M4169" s="11" t="s">
        <v>28</v>
      </c>
      <c r="N4169" s="11" t="s">
        <v>42</v>
      </c>
      <c r="O4169" s="11" t="s">
        <v>2299</v>
      </c>
      <c r="P4169" s="11" t="s">
        <v>38</v>
      </c>
      <c r="Q4169" s="20">
        <v>40526.0</v>
      </c>
      <c r="R4169" s="17">
        <f t="shared" si="2"/>
        <v>2.339494271</v>
      </c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>
        <f t="shared" si="8"/>
        <v>4</v>
      </c>
      <c r="AF4169" s="19">
        <f t="shared" si="13"/>
        <v>4</v>
      </c>
      <c r="AG4169" s="9"/>
      <c r="AH4169" s="9"/>
      <c r="AI4169" s="9"/>
    </row>
    <row r="4170" ht="15.0" customHeight="1">
      <c r="A4170" s="11">
        <v>4169.0</v>
      </c>
      <c r="B4170" s="12">
        <f t="shared" si="658"/>
        <v>40524</v>
      </c>
      <c r="C4170" s="13">
        <v>2010.0</v>
      </c>
      <c r="D4170" s="11" t="s">
        <v>102</v>
      </c>
      <c r="E4170" s="11">
        <v>5.0</v>
      </c>
      <c r="F4170" s="21" t="s">
        <v>231</v>
      </c>
      <c r="G4170" s="15">
        <v>0.10178814382896019</v>
      </c>
      <c r="H4170" s="11" t="s">
        <v>45</v>
      </c>
      <c r="I4170" s="16">
        <v>15.352000000000002</v>
      </c>
      <c r="J4170" s="11" t="s">
        <v>1831</v>
      </c>
      <c r="K4170" s="11" t="s">
        <v>61</v>
      </c>
      <c r="L4170" s="11" t="s">
        <v>48</v>
      </c>
      <c r="M4170" s="11" t="s">
        <v>49</v>
      </c>
      <c r="N4170" s="11" t="s">
        <v>50</v>
      </c>
      <c r="O4170" s="11" t="s">
        <v>121</v>
      </c>
      <c r="P4170" s="11" t="s">
        <v>52</v>
      </c>
      <c r="Q4170" s="20">
        <v>40526.0</v>
      </c>
      <c r="R4170" s="17">
        <f t="shared" si="2"/>
        <v>18.81574196</v>
      </c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>
        <f t="shared" si="8"/>
        <v>4</v>
      </c>
      <c r="AF4170" s="19">
        <f t="shared" si="13"/>
        <v>4</v>
      </c>
      <c r="AG4170" s="9"/>
      <c r="AH4170" s="9"/>
      <c r="AI4170" s="9"/>
    </row>
    <row r="4171" ht="15.0" customHeight="1">
      <c r="A4171" s="11">
        <v>4170.0</v>
      </c>
      <c r="B4171" s="12">
        <f t="shared" si="658"/>
        <v>40524</v>
      </c>
      <c r="C4171" s="13">
        <v>2010.0</v>
      </c>
      <c r="D4171" s="11" t="s">
        <v>102</v>
      </c>
      <c r="E4171" s="11">
        <v>50.0</v>
      </c>
      <c r="F4171" s="21" t="s">
        <v>726</v>
      </c>
      <c r="G4171" s="15">
        <v>0.03778642936596224</v>
      </c>
      <c r="H4171" s="11" t="s">
        <v>33</v>
      </c>
      <c r="I4171" s="16">
        <v>7.024</v>
      </c>
      <c r="J4171" s="11" t="s">
        <v>1831</v>
      </c>
      <c r="K4171" s="11" t="s">
        <v>61</v>
      </c>
      <c r="L4171" s="11" t="s">
        <v>48</v>
      </c>
      <c r="M4171" s="11" t="s">
        <v>49</v>
      </c>
      <c r="N4171" s="11" t="s">
        <v>73</v>
      </c>
      <c r="O4171" s="11" t="s">
        <v>728</v>
      </c>
      <c r="P4171" s="11" t="s">
        <v>38</v>
      </c>
      <c r="Q4171" s="20">
        <v>40526.0</v>
      </c>
      <c r="R4171" s="17">
        <f t="shared" si="2"/>
        <v>26.149116</v>
      </c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>
        <f t="shared" si="8"/>
        <v>4</v>
      </c>
      <c r="AF4171" s="19">
        <f t="shared" si="13"/>
        <v>4</v>
      </c>
      <c r="AG4171" s="9"/>
      <c r="AH4171" s="9"/>
      <c r="AI4171" s="9"/>
    </row>
    <row r="4172" ht="15.0" customHeight="1">
      <c r="A4172" s="11">
        <v>4171.0</v>
      </c>
      <c r="B4172" s="12">
        <f t="shared" si="658"/>
        <v>40524</v>
      </c>
      <c r="C4172" s="13">
        <v>2010.0</v>
      </c>
      <c r="D4172" s="11" t="s">
        <v>23</v>
      </c>
      <c r="E4172" s="11">
        <v>40.0</v>
      </c>
      <c r="F4172" s="21" t="s">
        <v>1015</v>
      </c>
      <c r="G4172" s="15">
        <v>0.07502173054128802</v>
      </c>
      <c r="H4172" s="11" t="s">
        <v>33</v>
      </c>
      <c r="I4172" s="16">
        <v>6.112</v>
      </c>
      <c r="J4172" s="11" t="s">
        <v>1120</v>
      </c>
      <c r="K4172" s="11" t="s">
        <v>35</v>
      </c>
      <c r="L4172" s="11" t="s">
        <v>36</v>
      </c>
      <c r="M4172" s="11" t="s">
        <v>28</v>
      </c>
      <c r="N4172" s="11" t="s">
        <v>56</v>
      </c>
      <c r="O4172" s="11" t="s">
        <v>1016</v>
      </c>
      <c r="P4172" s="11" t="s">
        <v>38</v>
      </c>
      <c r="Q4172" s="20">
        <v>40526.0</v>
      </c>
      <c r="R4172" s="17">
        <f t="shared" si="2"/>
        <v>17.56348738</v>
      </c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>
        <f t="shared" si="8"/>
        <v>2</v>
      </c>
      <c r="AF4172" s="19">
        <f t="shared" si="13"/>
        <v>2</v>
      </c>
      <c r="AG4172" s="9"/>
      <c r="AH4172" s="9"/>
      <c r="AI4172" s="9"/>
    </row>
    <row r="4173" ht="15.0" customHeight="1">
      <c r="A4173" s="11">
        <v>4172.0</v>
      </c>
      <c r="B4173" s="12">
        <f t="shared" si="658"/>
        <v>40524</v>
      </c>
      <c r="C4173" s="13">
        <v>2010.0</v>
      </c>
      <c r="D4173" s="11" t="s">
        <v>23</v>
      </c>
      <c r="E4173" s="11">
        <v>45.0</v>
      </c>
      <c r="F4173" s="21" t="s">
        <v>610</v>
      </c>
      <c r="G4173" s="15">
        <v>0.09309711286089249</v>
      </c>
      <c r="H4173" s="11" t="s">
        <v>24</v>
      </c>
      <c r="I4173" s="16">
        <v>3.848</v>
      </c>
      <c r="J4173" s="11" t="s">
        <v>1120</v>
      </c>
      <c r="K4173" s="11" t="s">
        <v>35</v>
      </c>
      <c r="L4173" s="11" t="s">
        <v>36</v>
      </c>
      <c r="M4173" s="11" t="s">
        <v>28</v>
      </c>
      <c r="N4173" s="11" t="s">
        <v>29</v>
      </c>
      <c r="O4173" s="11" t="s">
        <v>2147</v>
      </c>
      <c r="P4173" s="11" t="s">
        <v>38</v>
      </c>
      <c r="Q4173" s="20">
        <v>40526.0</v>
      </c>
      <c r="R4173" s="17">
        <f t="shared" si="2"/>
        <v>51.46855265</v>
      </c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>
        <f t="shared" si="8"/>
        <v>2</v>
      </c>
      <c r="AF4173" s="19">
        <f t="shared" si="13"/>
        <v>2</v>
      </c>
      <c r="AG4173" s="9"/>
      <c r="AH4173" s="9"/>
      <c r="AI4173" s="9"/>
    </row>
    <row r="4174" ht="15.0" customHeight="1">
      <c r="A4174" s="11">
        <v>4173.0</v>
      </c>
      <c r="B4174" s="12">
        <f t="shared" si="658"/>
        <v>40524</v>
      </c>
      <c r="C4174" s="13">
        <v>2010.0</v>
      </c>
      <c r="D4174" s="11" t="s">
        <v>44</v>
      </c>
      <c r="E4174" s="11">
        <v>10.0</v>
      </c>
      <c r="F4174" s="21" t="s">
        <v>126</v>
      </c>
      <c r="G4174" s="15">
        <v>0.11794542536115568</v>
      </c>
      <c r="H4174" s="11" t="s">
        <v>33</v>
      </c>
      <c r="I4174" s="16">
        <v>5.952000000000001</v>
      </c>
      <c r="J4174" s="11" t="s">
        <v>1837</v>
      </c>
      <c r="K4174" s="11" t="s">
        <v>35</v>
      </c>
      <c r="L4174" s="11" t="s">
        <v>48</v>
      </c>
      <c r="M4174" s="11" t="s">
        <v>28</v>
      </c>
      <c r="N4174" s="11" t="s">
        <v>56</v>
      </c>
      <c r="O4174" s="11" t="s">
        <v>1230</v>
      </c>
      <c r="P4174" s="11" t="s">
        <v>38</v>
      </c>
      <c r="Q4174" s="20">
        <v>40526.0</v>
      </c>
      <c r="R4174" s="17">
        <f t="shared" si="2"/>
        <v>6.481337014</v>
      </c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>
        <f t="shared" si="8"/>
        <v>4</v>
      </c>
      <c r="AF4174" s="19">
        <f t="shared" si="13"/>
        <v>2</v>
      </c>
      <c r="AG4174" s="9"/>
      <c r="AH4174" s="9"/>
      <c r="AI4174" s="9"/>
    </row>
    <row r="4175" ht="15.0" customHeight="1">
      <c r="A4175" s="11">
        <v>4174.0</v>
      </c>
      <c r="B4175" s="12">
        <f t="shared" si="658"/>
        <v>40524</v>
      </c>
      <c r="C4175" s="13">
        <v>2010.0</v>
      </c>
      <c r="D4175" s="11" t="s">
        <v>23</v>
      </c>
      <c r="E4175" s="11">
        <v>8.0</v>
      </c>
      <c r="F4175" s="21" t="s">
        <v>2442</v>
      </c>
      <c r="G4175" s="15">
        <v>0.025824053452115685</v>
      </c>
      <c r="H4175" s="11" t="s">
        <v>45</v>
      </c>
      <c r="I4175" s="16">
        <v>44.648</v>
      </c>
      <c r="J4175" s="11" t="s">
        <v>1697</v>
      </c>
      <c r="K4175" s="11" t="s">
        <v>61</v>
      </c>
      <c r="L4175" s="11" t="s">
        <v>48</v>
      </c>
      <c r="M4175" s="11" t="s">
        <v>49</v>
      </c>
      <c r="N4175" s="11" t="s">
        <v>156</v>
      </c>
      <c r="O4175" s="11" t="s">
        <v>2443</v>
      </c>
      <c r="P4175" s="11" t="s">
        <v>87</v>
      </c>
      <c r="Q4175" s="20">
        <v>40526.0</v>
      </c>
      <c r="R4175" s="17">
        <f t="shared" si="2"/>
        <v>18.07291216</v>
      </c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>
        <f t="shared" si="8"/>
        <v>4</v>
      </c>
      <c r="AF4175" s="19">
        <f t="shared" si="13"/>
        <v>4</v>
      </c>
      <c r="AG4175" s="9"/>
      <c r="AH4175" s="9"/>
      <c r="AI4175" s="9"/>
    </row>
    <row r="4176" ht="15.0" customHeight="1">
      <c r="A4176" s="11">
        <v>4175.0</v>
      </c>
      <c r="B4176" s="12">
        <f t="shared" si="658"/>
        <v>40524</v>
      </c>
      <c r="C4176" s="13">
        <v>2010.0</v>
      </c>
      <c r="D4176" s="11" t="s">
        <v>39</v>
      </c>
      <c r="E4176" s="11">
        <v>41.0</v>
      </c>
      <c r="F4176" s="21" t="s">
        <v>137</v>
      </c>
      <c r="G4176" s="15">
        <v>0.09225237865567586</v>
      </c>
      <c r="H4176" s="11" t="s">
        <v>45</v>
      </c>
      <c r="I4176" s="16">
        <v>24.0</v>
      </c>
      <c r="J4176" s="11" t="s">
        <v>392</v>
      </c>
      <c r="K4176" s="11" t="s">
        <v>65</v>
      </c>
      <c r="L4176" s="11" t="s">
        <v>41</v>
      </c>
      <c r="M4176" s="11" t="s">
        <v>49</v>
      </c>
      <c r="N4176" s="11" t="s">
        <v>50</v>
      </c>
      <c r="O4176" s="11" t="s">
        <v>139</v>
      </c>
      <c r="P4176" s="11" t="s">
        <v>52</v>
      </c>
      <c r="Q4176" s="20">
        <v>40526.0</v>
      </c>
      <c r="R4176" s="17">
        <f t="shared" si="2"/>
        <v>572.9702986</v>
      </c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>
        <f t="shared" si="8"/>
        <v>3</v>
      </c>
      <c r="AF4176" s="19">
        <f t="shared" si="13"/>
        <v>5</v>
      </c>
      <c r="AG4176" s="9"/>
      <c r="AH4176" s="9"/>
      <c r="AI4176" s="9"/>
    </row>
    <row r="4177" ht="15.0" customHeight="1">
      <c r="A4177" s="11">
        <v>4176.0</v>
      </c>
      <c r="B4177" s="12">
        <f t="shared" si="658"/>
        <v>40524</v>
      </c>
      <c r="C4177" s="13">
        <v>2010.0</v>
      </c>
      <c r="D4177" s="11" t="s">
        <v>32</v>
      </c>
      <c r="E4177" s="11">
        <v>19.0</v>
      </c>
      <c r="F4177" s="21" t="s">
        <v>518</v>
      </c>
      <c r="G4177" s="15">
        <v>0.053140836770772006</v>
      </c>
      <c r="H4177" s="11" t="s">
        <v>24</v>
      </c>
      <c r="I4177" s="16">
        <v>15.991999999999999</v>
      </c>
      <c r="J4177" s="11" t="s">
        <v>2148</v>
      </c>
      <c r="K4177" s="11" t="s">
        <v>65</v>
      </c>
      <c r="L4177" s="11" t="s">
        <v>27</v>
      </c>
      <c r="M4177" s="11" t="s">
        <v>66</v>
      </c>
      <c r="N4177" s="11" t="s">
        <v>67</v>
      </c>
      <c r="O4177" s="11" t="s">
        <v>519</v>
      </c>
      <c r="P4177" s="11" t="s">
        <v>38</v>
      </c>
      <c r="Q4177" s="20">
        <v>40527.0</v>
      </c>
      <c r="R4177" s="17">
        <f t="shared" si="2"/>
        <v>51.2326556</v>
      </c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>
        <f t="shared" si="8"/>
        <v>1</v>
      </c>
      <c r="AF4177" s="19">
        <f t="shared" si="13"/>
        <v>5</v>
      </c>
      <c r="AG4177" s="9"/>
      <c r="AH4177" s="9"/>
      <c r="AI4177" s="9"/>
    </row>
    <row r="4178" ht="15.0" customHeight="1">
      <c r="A4178" s="11">
        <v>4177.0</v>
      </c>
      <c r="B4178" s="12">
        <f t="shared" ref="B4178:B4182" si="659">DATE(2012,12,31)-749</f>
        <v>40525</v>
      </c>
      <c r="C4178" s="13">
        <v>2010.0</v>
      </c>
      <c r="D4178" s="11" t="s">
        <v>23</v>
      </c>
      <c r="E4178" s="11">
        <v>30.0</v>
      </c>
      <c r="F4178" s="21" t="s">
        <v>790</v>
      </c>
      <c r="G4178" s="15">
        <v>0.021389241846675067</v>
      </c>
      <c r="H4178" s="11" t="s">
        <v>24</v>
      </c>
      <c r="I4178" s="16">
        <v>3.2</v>
      </c>
      <c r="J4178" s="11" t="s">
        <v>1422</v>
      </c>
      <c r="K4178" s="11" t="s">
        <v>61</v>
      </c>
      <c r="L4178" s="11" t="s">
        <v>48</v>
      </c>
      <c r="M4178" s="11" t="s">
        <v>66</v>
      </c>
      <c r="N4178" s="11" t="s">
        <v>67</v>
      </c>
      <c r="O4178" s="11" t="s">
        <v>791</v>
      </c>
      <c r="P4178" s="11" t="s">
        <v>38</v>
      </c>
      <c r="Q4178" s="20">
        <v>40527.0</v>
      </c>
      <c r="R4178" s="17">
        <f t="shared" si="2"/>
        <v>19.76793731</v>
      </c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>
        <f t="shared" si="8"/>
        <v>4</v>
      </c>
      <c r="AF4178" s="19">
        <f t="shared" si="13"/>
        <v>4</v>
      </c>
      <c r="AG4178" s="9"/>
      <c r="AH4178" s="9"/>
      <c r="AI4178" s="9"/>
    </row>
    <row r="4179" ht="15.0" customHeight="1">
      <c r="A4179" s="11">
        <v>4178.0</v>
      </c>
      <c r="B4179" s="12">
        <f t="shared" si="659"/>
        <v>40525</v>
      </c>
      <c r="C4179" s="13">
        <v>2010.0</v>
      </c>
      <c r="D4179" s="11" t="s">
        <v>23</v>
      </c>
      <c r="E4179" s="11">
        <v>23.0</v>
      </c>
      <c r="F4179" s="21" t="s">
        <v>218</v>
      </c>
      <c r="G4179" s="15">
        <v>0.08771563981042645</v>
      </c>
      <c r="H4179" s="11" t="s">
        <v>33</v>
      </c>
      <c r="I4179" s="16">
        <v>1.592</v>
      </c>
      <c r="J4179" s="11" t="s">
        <v>1798</v>
      </c>
      <c r="K4179" s="11" t="s">
        <v>83</v>
      </c>
      <c r="L4179" s="11" t="s">
        <v>48</v>
      </c>
      <c r="M4179" s="11" t="s">
        <v>66</v>
      </c>
      <c r="N4179" s="11" t="s">
        <v>67</v>
      </c>
      <c r="O4179" s="11" t="s">
        <v>749</v>
      </c>
      <c r="P4179" s="11" t="s">
        <v>99</v>
      </c>
      <c r="Q4179" s="20">
        <v>40527.0</v>
      </c>
      <c r="R4179" s="17">
        <f t="shared" si="2"/>
        <v>16.88455894</v>
      </c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>
        <f t="shared" si="8"/>
        <v>4</v>
      </c>
      <c r="AF4179" s="19" t="b">
        <f t="shared" si="13"/>
        <v>0</v>
      </c>
      <c r="AG4179" s="9"/>
      <c r="AH4179" s="9"/>
      <c r="AI4179" s="9"/>
    </row>
    <row r="4180" ht="15.0" customHeight="1">
      <c r="A4180" s="11">
        <v>4179.0</v>
      </c>
      <c r="B4180" s="12">
        <f t="shared" si="659"/>
        <v>40525</v>
      </c>
      <c r="C4180" s="13">
        <v>2010.0</v>
      </c>
      <c r="D4180" s="11" t="s">
        <v>102</v>
      </c>
      <c r="E4180" s="11">
        <v>29.0</v>
      </c>
      <c r="F4180" s="21" t="s">
        <v>280</v>
      </c>
      <c r="G4180" s="15">
        <v>0.021365259399285758</v>
      </c>
      <c r="H4180" s="11" t="s">
        <v>33</v>
      </c>
      <c r="I4180" s="16">
        <v>5.784000000000001</v>
      </c>
      <c r="J4180" s="11" t="s">
        <v>253</v>
      </c>
      <c r="K4180" s="11" t="s">
        <v>61</v>
      </c>
      <c r="L4180" s="11" t="s">
        <v>36</v>
      </c>
      <c r="M4180" s="11" t="s">
        <v>28</v>
      </c>
      <c r="N4180" s="11" t="s">
        <v>56</v>
      </c>
      <c r="O4180" s="11" t="s">
        <v>2248</v>
      </c>
      <c r="P4180" s="11" t="s">
        <v>38</v>
      </c>
      <c r="Q4180" s="20">
        <v>40527.0</v>
      </c>
      <c r="R4180" s="17">
        <f t="shared" si="2"/>
        <v>29.86401774</v>
      </c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>
        <f t="shared" si="8"/>
        <v>2</v>
      </c>
      <c r="AF4180" s="19">
        <f t="shared" si="13"/>
        <v>4</v>
      </c>
      <c r="AG4180" s="9"/>
      <c r="AH4180" s="9"/>
      <c r="AI4180" s="9"/>
    </row>
    <row r="4181" ht="15.0" customHeight="1">
      <c r="A4181" s="11">
        <v>4180.0</v>
      </c>
      <c r="B4181" s="12">
        <f t="shared" si="659"/>
        <v>40525</v>
      </c>
      <c r="C4181" s="13">
        <v>2010.0</v>
      </c>
      <c r="D4181" s="11" t="s">
        <v>32</v>
      </c>
      <c r="E4181" s="11">
        <v>13.0</v>
      </c>
      <c r="F4181" s="21" t="s">
        <v>758</v>
      </c>
      <c r="G4181" s="15">
        <v>0.0775047258979205</v>
      </c>
      <c r="H4181" s="11" t="s">
        <v>33</v>
      </c>
      <c r="I4181" s="16">
        <v>2.0</v>
      </c>
      <c r="J4181" s="11" t="s">
        <v>2023</v>
      </c>
      <c r="K4181" s="11" t="s">
        <v>83</v>
      </c>
      <c r="L4181" s="11" t="s">
        <v>36</v>
      </c>
      <c r="M4181" s="11" t="s">
        <v>28</v>
      </c>
      <c r="N4181" s="11" t="s">
        <v>236</v>
      </c>
      <c r="O4181" s="11" t="s">
        <v>1171</v>
      </c>
      <c r="P4181" s="11" t="s">
        <v>38</v>
      </c>
      <c r="Q4181" s="20">
        <v>40527.0</v>
      </c>
      <c r="R4181" s="17">
        <f t="shared" si="2"/>
        <v>3.782230624</v>
      </c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>
        <f t="shared" si="8"/>
        <v>2</v>
      </c>
      <c r="AF4181" s="19" t="b">
        <f t="shared" si="13"/>
        <v>0</v>
      </c>
      <c r="AG4181" s="9"/>
      <c r="AH4181" s="9"/>
      <c r="AI4181" s="9"/>
    </row>
    <row r="4182" ht="15.0" customHeight="1">
      <c r="A4182" s="11">
        <v>4181.0</v>
      </c>
      <c r="B4182" s="12">
        <f t="shared" si="659"/>
        <v>40525</v>
      </c>
      <c r="C4182" s="13">
        <v>2010.0</v>
      </c>
      <c r="D4182" s="11" t="s">
        <v>39</v>
      </c>
      <c r="E4182" s="11">
        <v>26.0</v>
      </c>
      <c r="F4182" s="21" t="s">
        <v>1097</v>
      </c>
      <c r="G4182" s="15">
        <v>0.030530785562632733</v>
      </c>
      <c r="H4182" s="11" t="s">
        <v>45</v>
      </c>
      <c r="I4182" s="16">
        <v>48.0</v>
      </c>
      <c r="J4182" s="11" t="s">
        <v>152</v>
      </c>
      <c r="K4182" s="11" t="s">
        <v>61</v>
      </c>
      <c r="L4182" s="11" t="s">
        <v>48</v>
      </c>
      <c r="M4182" s="11" t="s">
        <v>49</v>
      </c>
      <c r="N4182" s="11" t="s">
        <v>85</v>
      </c>
      <c r="O4182" s="11" t="s">
        <v>1098</v>
      </c>
      <c r="P4182" s="11" t="s">
        <v>52</v>
      </c>
      <c r="Q4182" s="20">
        <v>40527.0</v>
      </c>
      <c r="R4182" s="17">
        <f t="shared" si="2"/>
        <v>278.8193461</v>
      </c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>
        <f t="shared" si="8"/>
        <v>4</v>
      </c>
      <c r="AF4182" s="19">
        <f t="shared" si="13"/>
        <v>4</v>
      </c>
      <c r="AG4182" s="9"/>
      <c r="AH4182" s="9"/>
      <c r="AI4182" s="9"/>
    </row>
    <row r="4183" ht="15.0" customHeight="1">
      <c r="A4183" s="11">
        <v>4182.0</v>
      </c>
      <c r="B4183" s="12">
        <f t="shared" ref="B4183:B4195" si="660">DATE(2012,12,31)-748</f>
        <v>40526</v>
      </c>
      <c r="C4183" s="13">
        <v>2010.0</v>
      </c>
      <c r="D4183" s="11" t="s">
        <v>44</v>
      </c>
      <c r="E4183" s="11">
        <v>12.0</v>
      </c>
      <c r="F4183" s="21" t="s">
        <v>1904</v>
      </c>
      <c r="G4183" s="15">
        <v>0.08503191888847154</v>
      </c>
      <c r="H4183" s="11" t="s">
        <v>33</v>
      </c>
      <c r="I4183" s="16">
        <v>15.991999999999999</v>
      </c>
      <c r="J4183" s="11" t="s">
        <v>2023</v>
      </c>
      <c r="K4183" s="11" t="s">
        <v>83</v>
      </c>
      <c r="L4183" s="11" t="s">
        <v>36</v>
      </c>
      <c r="M4183" s="11" t="s">
        <v>28</v>
      </c>
      <c r="N4183" s="11" t="s">
        <v>29</v>
      </c>
      <c r="O4183" s="11" t="s">
        <v>1905</v>
      </c>
      <c r="P4183" s="11" t="s">
        <v>38</v>
      </c>
      <c r="Q4183" s="20">
        <v>40528.0</v>
      </c>
      <c r="R4183" s="17">
        <f t="shared" si="2"/>
        <v>145.0297606</v>
      </c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>
        <f t="shared" si="8"/>
        <v>2</v>
      </c>
      <c r="AF4183" s="19" t="b">
        <f t="shared" si="13"/>
        <v>0</v>
      </c>
      <c r="AG4183" s="9"/>
      <c r="AH4183" s="9"/>
      <c r="AI4183" s="9"/>
    </row>
    <row r="4184" ht="15.0" customHeight="1">
      <c r="A4184" s="11">
        <v>4183.0</v>
      </c>
      <c r="B4184" s="12">
        <f t="shared" si="660"/>
        <v>40526</v>
      </c>
      <c r="C4184" s="13">
        <v>2010.0</v>
      </c>
      <c r="D4184" s="11" t="s">
        <v>23</v>
      </c>
      <c r="E4184" s="11">
        <v>11.0</v>
      </c>
      <c r="F4184" s="21" t="s">
        <v>122</v>
      </c>
      <c r="G4184" s="15">
        <v>0.08072072072072084</v>
      </c>
      <c r="H4184" s="11" t="s">
        <v>33</v>
      </c>
      <c r="I4184" s="16">
        <v>4.792000000000001</v>
      </c>
      <c r="J4184" s="11" t="s">
        <v>227</v>
      </c>
      <c r="K4184" s="11" t="s">
        <v>35</v>
      </c>
      <c r="L4184" s="11" t="s">
        <v>27</v>
      </c>
      <c r="M4184" s="11" t="s">
        <v>66</v>
      </c>
      <c r="N4184" s="11" t="s">
        <v>67</v>
      </c>
      <c r="O4184" s="11" t="s">
        <v>1485</v>
      </c>
      <c r="P4184" s="11" t="s">
        <v>38</v>
      </c>
      <c r="Q4184" s="20">
        <v>40528.0</v>
      </c>
      <c r="R4184" s="17">
        <f t="shared" si="2"/>
        <v>18.94450739</v>
      </c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>
        <f t="shared" si="8"/>
        <v>1</v>
      </c>
      <c r="AF4184" s="19">
        <f t="shared" si="13"/>
        <v>2</v>
      </c>
      <c r="AG4184" s="9"/>
      <c r="AH4184" s="9"/>
      <c r="AI4184" s="9"/>
    </row>
    <row r="4185" ht="15.0" customHeight="1">
      <c r="A4185" s="11">
        <v>4184.0</v>
      </c>
      <c r="B4185" s="12">
        <f t="shared" si="660"/>
        <v>40526</v>
      </c>
      <c r="C4185" s="13">
        <v>2010.0</v>
      </c>
      <c r="D4185" s="11" t="s">
        <v>23</v>
      </c>
      <c r="E4185" s="11">
        <v>45.0</v>
      </c>
      <c r="F4185" s="21" t="s">
        <v>158</v>
      </c>
      <c r="G4185" s="15">
        <v>0.07320754716981123</v>
      </c>
      <c r="H4185" s="11" t="s">
        <v>33</v>
      </c>
      <c r="I4185" s="16">
        <v>6.720000000000001</v>
      </c>
      <c r="J4185" s="11" t="s">
        <v>227</v>
      </c>
      <c r="K4185" s="11" t="s">
        <v>35</v>
      </c>
      <c r="L4185" s="11" t="s">
        <v>27</v>
      </c>
      <c r="M4185" s="11" t="s">
        <v>28</v>
      </c>
      <c r="N4185" s="11" t="s">
        <v>56</v>
      </c>
      <c r="O4185" s="11" t="s">
        <v>1260</v>
      </c>
      <c r="P4185" s="11" t="s">
        <v>38</v>
      </c>
      <c r="Q4185" s="20">
        <v>40528.0</v>
      </c>
      <c r="R4185" s="17">
        <f t="shared" si="2"/>
        <v>21.5757283</v>
      </c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>
        <f t="shared" si="8"/>
        <v>1</v>
      </c>
      <c r="AF4185" s="19">
        <f t="shared" si="13"/>
        <v>2</v>
      </c>
      <c r="AG4185" s="9"/>
      <c r="AH4185" s="9"/>
      <c r="AI4185" s="9"/>
    </row>
    <row r="4186" ht="15.0" customHeight="1">
      <c r="A4186" s="11">
        <v>4185.0</v>
      </c>
      <c r="B4186" s="12">
        <f t="shared" si="660"/>
        <v>40526</v>
      </c>
      <c r="C4186" s="13">
        <v>2010.0</v>
      </c>
      <c r="D4186" s="11" t="s">
        <v>23</v>
      </c>
      <c r="E4186" s="11">
        <v>33.0</v>
      </c>
      <c r="F4186" s="21" t="s">
        <v>1944</v>
      </c>
      <c r="G4186" s="15">
        <v>0.07209503239740808</v>
      </c>
      <c r="H4186" s="11" t="s">
        <v>33</v>
      </c>
      <c r="I4186" s="16">
        <v>3.4240000000000004</v>
      </c>
      <c r="J4186" s="11" t="s">
        <v>227</v>
      </c>
      <c r="K4186" s="11" t="s">
        <v>35</v>
      </c>
      <c r="L4186" s="11" t="s">
        <v>27</v>
      </c>
      <c r="M4186" s="11" t="s">
        <v>28</v>
      </c>
      <c r="N4186" s="11" t="s">
        <v>62</v>
      </c>
      <c r="O4186" s="11" t="s">
        <v>2466</v>
      </c>
      <c r="P4186" s="11" t="s">
        <v>58</v>
      </c>
      <c r="Q4186" s="20">
        <v>40528.0</v>
      </c>
      <c r="R4186" s="17">
        <f t="shared" si="2"/>
        <v>6.194693564</v>
      </c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>
        <f t="shared" si="8"/>
        <v>1</v>
      </c>
      <c r="AF4186" s="19">
        <f t="shared" si="13"/>
        <v>2</v>
      </c>
      <c r="AG4186" s="9"/>
      <c r="AH4186" s="9"/>
      <c r="AI4186" s="9"/>
    </row>
    <row r="4187" ht="15.0" customHeight="1">
      <c r="A4187" s="11">
        <v>4186.0</v>
      </c>
      <c r="B4187" s="12">
        <f t="shared" si="660"/>
        <v>40526</v>
      </c>
      <c r="C4187" s="13">
        <v>2010.0</v>
      </c>
      <c r="D4187" s="11" t="s">
        <v>23</v>
      </c>
      <c r="E4187" s="11">
        <v>23.0</v>
      </c>
      <c r="F4187" s="21" t="s">
        <v>810</v>
      </c>
      <c r="G4187" s="15">
        <v>0.04774145058248781</v>
      </c>
      <c r="H4187" s="11" t="s">
        <v>33</v>
      </c>
      <c r="I4187" s="16">
        <v>2.696</v>
      </c>
      <c r="J4187" s="11" t="s">
        <v>227</v>
      </c>
      <c r="K4187" s="11" t="s">
        <v>35</v>
      </c>
      <c r="L4187" s="11" t="s">
        <v>27</v>
      </c>
      <c r="M4187" s="11" t="s">
        <v>28</v>
      </c>
      <c r="N4187" s="11" t="s">
        <v>442</v>
      </c>
      <c r="O4187" s="11" t="s">
        <v>1111</v>
      </c>
      <c r="P4187" s="11" t="s">
        <v>99</v>
      </c>
      <c r="Q4187" s="20">
        <v>40528.0</v>
      </c>
      <c r="R4187" s="17">
        <f t="shared" si="2"/>
        <v>12.09749261</v>
      </c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>
        <f t="shared" si="8"/>
        <v>1</v>
      </c>
      <c r="AF4187" s="19">
        <f t="shared" si="13"/>
        <v>2</v>
      </c>
      <c r="AG4187" s="9"/>
      <c r="AH4187" s="9"/>
      <c r="AI4187" s="9"/>
    </row>
    <row r="4188" ht="15.0" customHeight="1">
      <c r="A4188" s="11">
        <v>4187.0</v>
      </c>
      <c r="B4188" s="12">
        <f t="shared" si="660"/>
        <v>40526</v>
      </c>
      <c r="C4188" s="13">
        <v>2010.0</v>
      </c>
      <c r="D4188" s="11" t="s">
        <v>23</v>
      </c>
      <c r="E4188" s="11">
        <v>10.0</v>
      </c>
      <c r="F4188" s="21" t="s">
        <v>2278</v>
      </c>
      <c r="G4188" s="15">
        <v>0.09567136725935001</v>
      </c>
      <c r="H4188" s="11" t="s">
        <v>33</v>
      </c>
      <c r="I4188" s="16">
        <v>7.4959999999999996</v>
      </c>
      <c r="J4188" s="11" t="s">
        <v>227</v>
      </c>
      <c r="K4188" s="11" t="s">
        <v>35</v>
      </c>
      <c r="L4188" s="11" t="s">
        <v>27</v>
      </c>
      <c r="M4188" s="11" t="s">
        <v>28</v>
      </c>
      <c r="N4188" s="11" t="s">
        <v>29</v>
      </c>
      <c r="O4188" s="11" t="s">
        <v>2279</v>
      </c>
      <c r="P4188" s="11" t="s">
        <v>38</v>
      </c>
      <c r="Q4188" s="20">
        <v>40528.0</v>
      </c>
      <c r="R4188" s="17">
        <f t="shared" si="2"/>
        <v>14.11114399</v>
      </c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>
        <f t="shared" si="8"/>
        <v>1</v>
      </c>
      <c r="AF4188" s="19">
        <f t="shared" si="13"/>
        <v>2</v>
      </c>
      <c r="AG4188" s="9"/>
      <c r="AH4188" s="9"/>
      <c r="AI4188" s="9"/>
    </row>
    <row r="4189" ht="15.0" customHeight="1">
      <c r="A4189" s="11">
        <v>4188.0</v>
      </c>
      <c r="B4189" s="12">
        <f t="shared" si="660"/>
        <v>40526</v>
      </c>
      <c r="C4189" s="13">
        <v>2010.0</v>
      </c>
      <c r="D4189" s="11" t="s">
        <v>39</v>
      </c>
      <c r="E4189" s="11">
        <v>33.0</v>
      </c>
      <c r="F4189" s="21" t="s">
        <v>705</v>
      </c>
      <c r="G4189" s="15">
        <v>0.04939907550077046</v>
      </c>
      <c r="H4189" s="11" t="s">
        <v>33</v>
      </c>
      <c r="I4189" s="16">
        <v>1.2880000000000003</v>
      </c>
      <c r="J4189" s="11" t="s">
        <v>78</v>
      </c>
      <c r="K4189" s="11" t="s">
        <v>35</v>
      </c>
      <c r="L4189" s="11" t="s">
        <v>48</v>
      </c>
      <c r="M4189" s="11" t="s">
        <v>49</v>
      </c>
      <c r="N4189" s="11" t="s">
        <v>73</v>
      </c>
      <c r="O4189" s="11" t="s">
        <v>2091</v>
      </c>
      <c r="P4189" s="11" t="s">
        <v>58</v>
      </c>
      <c r="Q4189" s="20">
        <v>40528.0</v>
      </c>
      <c r="R4189" s="17">
        <f t="shared" si="2"/>
        <v>6.095253128</v>
      </c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>
        <f t="shared" si="8"/>
        <v>4</v>
      </c>
      <c r="AF4189" s="19">
        <f t="shared" si="13"/>
        <v>2</v>
      </c>
      <c r="AG4189" s="9"/>
      <c r="AH4189" s="9"/>
      <c r="AI4189" s="9"/>
    </row>
    <row r="4190" ht="15.0" customHeight="1">
      <c r="A4190" s="11">
        <v>4189.0</v>
      </c>
      <c r="B4190" s="12">
        <f t="shared" si="660"/>
        <v>40526</v>
      </c>
      <c r="C4190" s="13">
        <v>2010.0</v>
      </c>
      <c r="D4190" s="11" t="s">
        <v>39</v>
      </c>
      <c r="E4190" s="11">
        <v>42.0</v>
      </c>
      <c r="F4190" s="21" t="s">
        <v>1050</v>
      </c>
      <c r="G4190" s="15">
        <v>0.07165084646247179</v>
      </c>
      <c r="H4190" s="11" t="s">
        <v>24</v>
      </c>
      <c r="I4190" s="16">
        <v>12.08</v>
      </c>
      <c r="J4190" s="11" t="s">
        <v>78</v>
      </c>
      <c r="K4190" s="11" t="s">
        <v>35</v>
      </c>
      <c r="L4190" s="11" t="s">
        <v>48</v>
      </c>
      <c r="M4190" s="11" t="s">
        <v>28</v>
      </c>
      <c r="N4190" s="11" t="s">
        <v>42</v>
      </c>
      <c r="O4190" s="11" t="s">
        <v>1052</v>
      </c>
      <c r="P4190" s="11" t="s">
        <v>38</v>
      </c>
      <c r="Q4190" s="20">
        <v>40528.0</v>
      </c>
      <c r="R4190" s="17">
        <f t="shared" si="2"/>
        <v>67.97372502</v>
      </c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>
        <f t="shared" si="8"/>
        <v>4</v>
      </c>
      <c r="AF4190" s="19">
        <f t="shared" si="13"/>
        <v>2</v>
      </c>
      <c r="AG4190" s="9"/>
      <c r="AH4190" s="9"/>
      <c r="AI4190" s="9"/>
    </row>
    <row r="4191" ht="15.0" customHeight="1">
      <c r="A4191" s="11">
        <v>4190.0</v>
      </c>
      <c r="B4191" s="12">
        <f t="shared" si="660"/>
        <v>40526</v>
      </c>
      <c r="C4191" s="13">
        <v>2010.0</v>
      </c>
      <c r="D4191" s="11" t="s">
        <v>39</v>
      </c>
      <c r="E4191" s="11">
        <v>45.0</v>
      </c>
      <c r="F4191" s="21" t="s">
        <v>306</v>
      </c>
      <c r="G4191" s="15">
        <v>0.06111575428332648</v>
      </c>
      <c r="H4191" s="11" t="s">
        <v>33</v>
      </c>
      <c r="I4191" s="16">
        <v>3.2</v>
      </c>
      <c r="J4191" s="11" t="s">
        <v>78</v>
      </c>
      <c r="K4191" s="11" t="s">
        <v>35</v>
      </c>
      <c r="L4191" s="11" t="s">
        <v>48</v>
      </c>
      <c r="M4191" s="11" t="s">
        <v>66</v>
      </c>
      <c r="N4191" s="11" t="s">
        <v>67</v>
      </c>
      <c r="O4191" s="11" t="s">
        <v>920</v>
      </c>
      <c r="P4191" s="11" t="s">
        <v>38</v>
      </c>
      <c r="Q4191" s="20">
        <v>40528.0</v>
      </c>
      <c r="R4191" s="17">
        <f t="shared" si="2"/>
        <v>54.92472837</v>
      </c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>
        <f t="shared" si="8"/>
        <v>4</v>
      </c>
      <c r="AF4191" s="19">
        <f t="shared" si="13"/>
        <v>2</v>
      </c>
      <c r="AG4191" s="9"/>
      <c r="AH4191" s="9"/>
      <c r="AI4191" s="9"/>
    </row>
    <row r="4192" ht="15.0" customHeight="1">
      <c r="A4192" s="11">
        <v>4191.0</v>
      </c>
      <c r="B4192" s="12">
        <f t="shared" si="660"/>
        <v>40526</v>
      </c>
      <c r="C4192" s="13">
        <v>2010.0</v>
      </c>
      <c r="D4192" s="11" t="s">
        <v>39</v>
      </c>
      <c r="E4192" s="11">
        <v>3.0</v>
      </c>
      <c r="F4192" s="21" t="s">
        <v>122</v>
      </c>
      <c r="G4192" s="15">
        <v>0.02707602339181292</v>
      </c>
      <c r="H4192" s="11" t="s">
        <v>33</v>
      </c>
      <c r="I4192" s="16">
        <v>3.848</v>
      </c>
      <c r="J4192" s="11" t="s">
        <v>78</v>
      </c>
      <c r="K4192" s="11" t="s">
        <v>35</v>
      </c>
      <c r="L4192" s="11" t="s">
        <v>48</v>
      </c>
      <c r="M4192" s="11" t="s">
        <v>66</v>
      </c>
      <c r="N4192" s="11" t="s">
        <v>80</v>
      </c>
      <c r="O4192" s="11" t="s">
        <v>899</v>
      </c>
      <c r="P4192" s="11" t="s">
        <v>75</v>
      </c>
      <c r="Q4192" s="20">
        <v>40529.0</v>
      </c>
      <c r="R4192" s="17">
        <f t="shared" si="2"/>
        <v>1.801855205</v>
      </c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>
        <f t="shared" si="8"/>
        <v>4</v>
      </c>
      <c r="AF4192" s="19">
        <f t="shared" si="13"/>
        <v>2</v>
      </c>
      <c r="AG4192" s="9"/>
      <c r="AH4192" s="9"/>
      <c r="AI4192" s="9"/>
    </row>
    <row r="4193" ht="15.0" customHeight="1">
      <c r="A4193" s="11">
        <v>4192.0</v>
      </c>
      <c r="B4193" s="12">
        <f t="shared" si="660"/>
        <v>40526</v>
      </c>
      <c r="C4193" s="13">
        <v>2010.0</v>
      </c>
      <c r="D4193" s="11" t="s">
        <v>102</v>
      </c>
      <c r="E4193" s="11">
        <v>7.0</v>
      </c>
      <c r="F4193" s="21" t="s">
        <v>722</v>
      </c>
      <c r="G4193" s="15">
        <v>0.0522291009617255</v>
      </c>
      <c r="H4193" s="11" t="s">
        <v>33</v>
      </c>
      <c r="I4193" s="16">
        <v>4.016</v>
      </c>
      <c r="J4193" s="11" t="s">
        <v>1110</v>
      </c>
      <c r="K4193" s="11" t="s">
        <v>61</v>
      </c>
      <c r="L4193" s="11" t="s">
        <v>48</v>
      </c>
      <c r="M4193" s="11" t="s">
        <v>49</v>
      </c>
      <c r="N4193" s="11" t="s">
        <v>73</v>
      </c>
      <c r="O4193" s="11" t="s">
        <v>723</v>
      </c>
      <c r="P4193" s="11" t="s">
        <v>38</v>
      </c>
      <c r="Q4193" s="20">
        <v>40529.0</v>
      </c>
      <c r="R4193" s="17">
        <f t="shared" si="2"/>
        <v>12.71339884</v>
      </c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>
        <f t="shared" si="8"/>
        <v>4</v>
      </c>
      <c r="AF4193" s="19">
        <f t="shared" si="13"/>
        <v>4</v>
      </c>
      <c r="AG4193" s="9"/>
      <c r="AH4193" s="9"/>
      <c r="AI4193" s="9"/>
    </row>
    <row r="4194" ht="15.0" customHeight="1">
      <c r="A4194" s="11">
        <v>4193.0</v>
      </c>
      <c r="B4194" s="12">
        <f t="shared" si="660"/>
        <v>40526</v>
      </c>
      <c r="C4194" s="13">
        <v>2010.0</v>
      </c>
      <c r="D4194" s="11" t="s">
        <v>102</v>
      </c>
      <c r="E4194" s="11">
        <v>28.0</v>
      </c>
      <c r="F4194" s="21" t="s">
        <v>178</v>
      </c>
      <c r="G4194" s="15">
        <v>0.06718047008978087</v>
      </c>
      <c r="H4194" s="11" t="s">
        <v>24</v>
      </c>
      <c r="I4194" s="16">
        <v>4.208</v>
      </c>
      <c r="J4194" s="11" t="s">
        <v>1110</v>
      </c>
      <c r="K4194" s="11" t="s">
        <v>61</v>
      </c>
      <c r="L4194" s="11" t="s">
        <v>48</v>
      </c>
      <c r="M4194" s="11" t="s">
        <v>66</v>
      </c>
      <c r="N4194" s="11" t="s">
        <v>80</v>
      </c>
      <c r="O4194" s="11" t="s">
        <v>1081</v>
      </c>
      <c r="P4194" s="11" t="s">
        <v>38</v>
      </c>
      <c r="Q4194" s="20">
        <v>40529.0</v>
      </c>
      <c r="R4194" s="17">
        <f t="shared" si="2"/>
        <v>124.2440988</v>
      </c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>
        <f t="shared" si="8"/>
        <v>4</v>
      </c>
      <c r="AF4194" s="19">
        <f t="shared" si="13"/>
        <v>4</v>
      </c>
      <c r="AG4194" s="9"/>
      <c r="AH4194" s="9"/>
      <c r="AI4194" s="9"/>
    </row>
    <row r="4195" ht="15.0" customHeight="1">
      <c r="A4195" s="11">
        <v>4194.0</v>
      </c>
      <c r="B4195" s="12">
        <f t="shared" si="660"/>
        <v>40526</v>
      </c>
      <c r="C4195" s="13">
        <v>2010.0</v>
      </c>
      <c r="D4195" s="11" t="s">
        <v>44</v>
      </c>
      <c r="E4195" s="11">
        <v>10.0</v>
      </c>
      <c r="F4195" s="21" t="s">
        <v>461</v>
      </c>
      <c r="G4195" s="15">
        <v>0.03605744395082134</v>
      </c>
      <c r="H4195" s="11" t="s">
        <v>45</v>
      </c>
      <c r="I4195" s="16">
        <v>24.0</v>
      </c>
      <c r="J4195" s="11" t="s">
        <v>1264</v>
      </c>
      <c r="K4195" s="11" t="s">
        <v>35</v>
      </c>
      <c r="L4195" s="11" t="s">
        <v>41</v>
      </c>
      <c r="M4195" s="11" t="s">
        <v>49</v>
      </c>
      <c r="N4195" s="11" t="s">
        <v>50</v>
      </c>
      <c r="O4195" s="11" t="s">
        <v>2206</v>
      </c>
      <c r="P4195" s="11" t="s">
        <v>52</v>
      </c>
      <c r="Q4195" s="20">
        <v>40529.0</v>
      </c>
      <c r="R4195" s="17">
        <f t="shared" si="2"/>
        <v>33.64159521</v>
      </c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>
        <f t="shared" si="8"/>
        <v>3</v>
      </c>
      <c r="AF4195" s="19">
        <f t="shared" si="13"/>
        <v>2</v>
      </c>
      <c r="AG4195" s="9"/>
      <c r="AH4195" s="9"/>
      <c r="AI4195" s="9"/>
    </row>
    <row r="4196" ht="15.0" customHeight="1">
      <c r="A4196" s="11">
        <v>4195.0</v>
      </c>
      <c r="B4196" s="12">
        <f t="shared" ref="B4196:B4198" si="661">DATE(2012,12,31)-747</f>
        <v>40527</v>
      </c>
      <c r="C4196" s="13">
        <v>2010.0</v>
      </c>
      <c r="D4196" s="11" t="s">
        <v>32</v>
      </c>
      <c r="E4196" s="11">
        <v>10.0</v>
      </c>
      <c r="F4196" s="21" t="s">
        <v>270</v>
      </c>
      <c r="G4196" s="15">
        <v>0.05892275956910389</v>
      </c>
      <c r="H4196" s="11" t="s">
        <v>33</v>
      </c>
      <c r="I4196" s="16">
        <v>1.592</v>
      </c>
      <c r="J4196" s="11" t="s">
        <v>1355</v>
      </c>
      <c r="K4196" s="11" t="s">
        <v>61</v>
      </c>
      <c r="L4196" s="11" t="s">
        <v>27</v>
      </c>
      <c r="M4196" s="11" t="s">
        <v>66</v>
      </c>
      <c r="N4196" s="11" t="s">
        <v>67</v>
      </c>
      <c r="O4196" s="11" t="s">
        <v>1087</v>
      </c>
      <c r="P4196" s="11" t="s">
        <v>99</v>
      </c>
      <c r="Q4196" s="20">
        <v>40529.0</v>
      </c>
      <c r="R4196" s="17">
        <f t="shared" si="2"/>
        <v>24.1932137</v>
      </c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>
        <f t="shared" si="8"/>
        <v>1</v>
      </c>
      <c r="AF4196" s="19">
        <f t="shared" si="13"/>
        <v>4</v>
      </c>
      <c r="AG4196" s="9"/>
      <c r="AH4196" s="9"/>
      <c r="AI4196" s="9"/>
    </row>
    <row r="4197" ht="15.0" customHeight="1">
      <c r="A4197" s="11">
        <v>4196.0</v>
      </c>
      <c r="B4197" s="12">
        <f t="shared" si="661"/>
        <v>40527</v>
      </c>
      <c r="C4197" s="13">
        <v>2010.0</v>
      </c>
      <c r="D4197" s="11" t="s">
        <v>32</v>
      </c>
      <c r="E4197" s="11">
        <v>35.0</v>
      </c>
      <c r="F4197" s="21" t="s">
        <v>1156</v>
      </c>
      <c r="G4197" s="15">
        <v>0.048299545034601765</v>
      </c>
      <c r="H4197" s="11" t="s">
        <v>33</v>
      </c>
      <c r="I4197" s="16">
        <v>3.12</v>
      </c>
      <c r="J4197" s="11" t="s">
        <v>1018</v>
      </c>
      <c r="K4197" s="11" t="s">
        <v>61</v>
      </c>
      <c r="L4197" s="11" t="s">
        <v>41</v>
      </c>
      <c r="M4197" s="11" t="s">
        <v>66</v>
      </c>
      <c r="N4197" s="11" t="s">
        <v>80</v>
      </c>
      <c r="O4197" s="11" t="s">
        <v>1157</v>
      </c>
      <c r="P4197" s="11" t="s">
        <v>38</v>
      </c>
      <c r="Q4197" s="20">
        <v>40529.0</v>
      </c>
      <c r="R4197" s="17">
        <f t="shared" si="2"/>
        <v>263.6971621</v>
      </c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>
        <f t="shared" si="8"/>
        <v>3</v>
      </c>
      <c r="AF4197" s="19">
        <f t="shared" si="13"/>
        <v>4</v>
      </c>
      <c r="AG4197" s="9"/>
      <c r="AH4197" s="9"/>
      <c r="AI4197" s="9"/>
    </row>
    <row r="4198" ht="15.0" customHeight="1">
      <c r="A4198" s="11">
        <v>4197.0</v>
      </c>
      <c r="B4198" s="12">
        <f t="shared" si="661"/>
        <v>40527</v>
      </c>
      <c r="C4198" s="13">
        <v>2010.0</v>
      </c>
      <c r="D4198" s="11" t="s">
        <v>23</v>
      </c>
      <c r="E4198" s="11">
        <v>14.0</v>
      </c>
      <c r="F4198" s="21" t="s">
        <v>705</v>
      </c>
      <c r="G4198" s="15">
        <v>0.09124361158432712</v>
      </c>
      <c r="H4198" s="11" t="s">
        <v>33</v>
      </c>
      <c r="I4198" s="16">
        <v>1.544</v>
      </c>
      <c r="J4198" s="11" t="s">
        <v>1196</v>
      </c>
      <c r="K4198" s="11" t="s">
        <v>61</v>
      </c>
      <c r="L4198" s="11" t="s">
        <v>41</v>
      </c>
      <c r="M4198" s="11" t="s">
        <v>28</v>
      </c>
      <c r="N4198" s="11" t="s">
        <v>56</v>
      </c>
      <c r="O4198" s="11" t="s">
        <v>90</v>
      </c>
      <c r="P4198" s="11" t="s">
        <v>58</v>
      </c>
      <c r="Q4198" s="20">
        <v>40529.0</v>
      </c>
      <c r="R4198" s="17">
        <f t="shared" si="2"/>
        <v>4.867299216</v>
      </c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>
        <f t="shared" si="8"/>
        <v>3</v>
      </c>
      <c r="AF4198" s="19">
        <f t="shared" si="13"/>
        <v>4</v>
      </c>
      <c r="AG4198" s="9"/>
      <c r="AH4198" s="9"/>
      <c r="AI4198" s="9"/>
    </row>
    <row r="4199" ht="15.0" customHeight="1">
      <c r="A4199" s="11">
        <v>4198.0</v>
      </c>
      <c r="B4199" s="12">
        <f t="shared" ref="B4199:B4200" si="662">DATE(2012,12,31)-746</f>
        <v>40528</v>
      </c>
      <c r="C4199" s="13">
        <v>2010.0</v>
      </c>
      <c r="D4199" s="11" t="s">
        <v>102</v>
      </c>
      <c r="E4199" s="11">
        <v>8.0</v>
      </c>
      <c r="F4199" s="21" t="s">
        <v>128</v>
      </c>
      <c r="G4199" s="15">
        <v>0.06650633613911744</v>
      </c>
      <c r="H4199" s="11" t="s">
        <v>24</v>
      </c>
      <c r="I4199" s="16">
        <v>2.0</v>
      </c>
      <c r="J4199" s="11" t="s">
        <v>1108</v>
      </c>
      <c r="K4199" s="11" t="s">
        <v>47</v>
      </c>
      <c r="L4199" s="11" t="s">
        <v>27</v>
      </c>
      <c r="M4199" s="11" t="s">
        <v>66</v>
      </c>
      <c r="N4199" s="11" t="s">
        <v>80</v>
      </c>
      <c r="O4199" s="11" t="s">
        <v>1382</v>
      </c>
      <c r="P4199" s="11" t="s">
        <v>38</v>
      </c>
      <c r="Q4199" s="20">
        <v>40530.0</v>
      </c>
      <c r="R4199" s="17">
        <f t="shared" si="2"/>
        <v>67.11819443</v>
      </c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>
        <f t="shared" si="8"/>
        <v>1</v>
      </c>
      <c r="AF4199" s="19">
        <f t="shared" si="13"/>
        <v>3</v>
      </c>
      <c r="AG4199" s="9"/>
      <c r="AH4199" s="9"/>
      <c r="AI4199" s="9"/>
    </row>
    <row r="4200" ht="15.0" customHeight="1">
      <c r="A4200" s="11">
        <v>4199.0</v>
      </c>
      <c r="B4200" s="12">
        <f t="shared" si="662"/>
        <v>40528</v>
      </c>
      <c r="C4200" s="13">
        <v>2010.0</v>
      </c>
      <c r="D4200" s="11" t="s">
        <v>32</v>
      </c>
      <c r="E4200" s="11">
        <v>12.0</v>
      </c>
      <c r="F4200" s="21" t="s">
        <v>1362</v>
      </c>
      <c r="G4200" s="15">
        <v>0.04868731563421832</v>
      </c>
      <c r="H4200" s="11" t="s">
        <v>33</v>
      </c>
      <c r="I4200" s="16">
        <v>2.3920000000000003</v>
      </c>
      <c r="J4200" s="11" t="s">
        <v>2486</v>
      </c>
      <c r="K4200" s="11" t="s">
        <v>35</v>
      </c>
      <c r="L4200" s="11" t="s">
        <v>48</v>
      </c>
      <c r="M4200" s="11" t="s">
        <v>28</v>
      </c>
      <c r="N4200" s="11" t="s">
        <v>42</v>
      </c>
      <c r="O4200" s="11" t="s">
        <v>1363</v>
      </c>
      <c r="P4200" s="11" t="s">
        <v>38</v>
      </c>
      <c r="Q4200" s="20">
        <v>40530.0</v>
      </c>
      <c r="R4200" s="17">
        <f t="shared" si="2"/>
        <v>25.12226537</v>
      </c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>
        <f t="shared" si="8"/>
        <v>4</v>
      </c>
      <c r="AF4200" s="19">
        <f t="shared" si="13"/>
        <v>2</v>
      </c>
      <c r="AG4200" s="9"/>
      <c r="AH4200" s="9"/>
      <c r="AI4200" s="9"/>
    </row>
    <row r="4201" ht="15.0" customHeight="1">
      <c r="A4201" s="11">
        <v>4200.0</v>
      </c>
      <c r="B4201" s="12">
        <f t="shared" ref="B4201:B4207" si="663">DATE(2012,12,31)-745</f>
        <v>40529</v>
      </c>
      <c r="C4201" s="13">
        <v>2010.0</v>
      </c>
      <c r="D4201" s="11" t="s">
        <v>44</v>
      </c>
      <c r="E4201" s="11">
        <v>48.0</v>
      </c>
      <c r="F4201" s="21" t="s">
        <v>119</v>
      </c>
      <c r="G4201" s="15">
        <v>0.06486257928118389</v>
      </c>
      <c r="H4201" s="11" t="s">
        <v>33</v>
      </c>
      <c r="I4201" s="16">
        <v>2.064</v>
      </c>
      <c r="J4201" s="11" t="s">
        <v>597</v>
      </c>
      <c r="K4201" s="11" t="s">
        <v>26</v>
      </c>
      <c r="L4201" s="11" t="s">
        <v>27</v>
      </c>
      <c r="M4201" s="11" t="s">
        <v>28</v>
      </c>
      <c r="N4201" s="11" t="s">
        <v>216</v>
      </c>
      <c r="O4201" s="11" t="s">
        <v>1619</v>
      </c>
      <c r="P4201" s="11" t="s">
        <v>58</v>
      </c>
      <c r="Q4201" s="20">
        <v>40530.0</v>
      </c>
      <c r="R4201" s="17">
        <f t="shared" si="2"/>
        <v>5.738003214</v>
      </c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>
        <f t="shared" si="8"/>
        <v>1</v>
      </c>
      <c r="AF4201" s="19">
        <f t="shared" si="13"/>
        <v>1</v>
      </c>
      <c r="AG4201" s="9"/>
      <c r="AH4201" s="9"/>
      <c r="AI4201" s="9"/>
    </row>
    <row r="4202" ht="15.0" customHeight="1">
      <c r="A4202" s="11">
        <v>4201.0</v>
      </c>
      <c r="B4202" s="12">
        <f t="shared" si="663"/>
        <v>40529</v>
      </c>
      <c r="C4202" s="13">
        <v>2010.0</v>
      </c>
      <c r="D4202" s="11" t="s">
        <v>44</v>
      </c>
      <c r="E4202" s="11">
        <v>46.0</v>
      </c>
      <c r="F4202" s="21" t="s">
        <v>100</v>
      </c>
      <c r="G4202" s="15">
        <v>0.04815460645264989</v>
      </c>
      <c r="H4202" s="11" t="s">
        <v>33</v>
      </c>
      <c r="I4202" s="16">
        <v>4.792000000000001</v>
      </c>
      <c r="J4202" s="11" t="s">
        <v>597</v>
      </c>
      <c r="K4202" s="11" t="s">
        <v>26</v>
      </c>
      <c r="L4202" s="11" t="s">
        <v>27</v>
      </c>
      <c r="M4202" s="11" t="s">
        <v>66</v>
      </c>
      <c r="N4202" s="11" t="s">
        <v>80</v>
      </c>
      <c r="O4202" s="11" t="s">
        <v>101</v>
      </c>
      <c r="P4202" s="11" t="s">
        <v>38</v>
      </c>
      <c r="Q4202" s="20">
        <v>40530.0</v>
      </c>
      <c r="R4202" s="17">
        <f t="shared" si="2"/>
        <v>456.3222964</v>
      </c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>
        <f t="shared" si="8"/>
        <v>1</v>
      </c>
      <c r="AF4202" s="19">
        <f t="shared" si="13"/>
        <v>1</v>
      </c>
      <c r="AG4202" s="9"/>
      <c r="AH4202" s="9"/>
      <c r="AI4202" s="9"/>
    </row>
    <row r="4203" ht="15.0" customHeight="1">
      <c r="A4203" s="11">
        <v>4202.0</v>
      </c>
      <c r="B4203" s="12">
        <f t="shared" si="663"/>
        <v>40529</v>
      </c>
      <c r="C4203" s="13">
        <v>2010.0</v>
      </c>
      <c r="D4203" s="11" t="s">
        <v>23</v>
      </c>
      <c r="E4203" s="11">
        <v>50.0</v>
      </c>
      <c r="F4203" s="21" t="s">
        <v>304</v>
      </c>
      <c r="G4203" s="15">
        <v>0.0791760951552074</v>
      </c>
      <c r="H4203" s="11" t="s">
        <v>33</v>
      </c>
      <c r="I4203" s="16">
        <v>7.224</v>
      </c>
      <c r="J4203" s="11" t="s">
        <v>1594</v>
      </c>
      <c r="K4203" s="11" t="s">
        <v>61</v>
      </c>
      <c r="L4203" s="11" t="s">
        <v>48</v>
      </c>
      <c r="M4203" s="11" t="s">
        <v>28</v>
      </c>
      <c r="N4203" s="11" t="s">
        <v>56</v>
      </c>
      <c r="O4203" s="11" t="s">
        <v>388</v>
      </c>
      <c r="P4203" s="11" t="s">
        <v>38</v>
      </c>
      <c r="Q4203" s="20">
        <v>40531.0</v>
      </c>
      <c r="R4203" s="17">
        <f t="shared" si="2"/>
        <v>75.39337803</v>
      </c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>
        <f t="shared" si="8"/>
        <v>4</v>
      </c>
      <c r="AF4203" s="19">
        <f t="shared" si="13"/>
        <v>4</v>
      </c>
      <c r="AG4203" s="9"/>
      <c r="AH4203" s="9"/>
      <c r="AI4203" s="9"/>
    </row>
    <row r="4204" ht="15.0" customHeight="1">
      <c r="A4204" s="11">
        <v>4203.0</v>
      </c>
      <c r="B4204" s="12">
        <f t="shared" si="663"/>
        <v>40529</v>
      </c>
      <c r="C4204" s="13">
        <v>2010.0</v>
      </c>
      <c r="D4204" s="11" t="s">
        <v>23</v>
      </c>
      <c r="E4204" s="11">
        <v>40.0</v>
      </c>
      <c r="F4204" s="21" t="s">
        <v>536</v>
      </c>
      <c r="G4204" s="15">
        <v>0.01338201444559102</v>
      </c>
      <c r="H4204" s="11" t="s">
        <v>45</v>
      </c>
      <c r="I4204" s="16">
        <v>56.160000000000004</v>
      </c>
      <c r="J4204" s="11" t="s">
        <v>429</v>
      </c>
      <c r="K4204" s="11" t="s">
        <v>83</v>
      </c>
      <c r="L4204" s="11" t="s">
        <v>27</v>
      </c>
      <c r="M4204" s="11" t="s">
        <v>49</v>
      </c>
      <c r="N4204" s="11" t="s">
        <v>50</v>
      </c>
      <c r="O4204" s="11" t="s">
        <v>537</v>
      </c>
      <c r="P4204" s="11" t="s">
        <v>52</v>
      </c>
      <c r="Q4204" s="20">
        <v>40531.0</v>
      </c>
      <c r="R4204" s="17">
        <f t="shared" si="2"/>
        <v>66.53751695</v>
      </c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>
        <f t="shared" si="8"/>
        <v>1</v>
      </c>
      <c r="AF4204" s="19" t="b">
        <f t="shared" si="13"/>
        <v>0</v>
      </c>
      <c r="AG4204" s="9"/>
      <c r="AH4204" s="9"/>
      <c r="AI4204" s="9"/>
    </row>
    <row r="4205" ht="15.0" customHeight="1">
      <c r="A4205" s="11">
        <v>4204.0</v>
      </c>
      <c r="B4205" s="12">
        <f t="shared" si="663"/>
        <v>40529</v>
      </c>
      <c r="C4205" s="13">
        <v>2010.0</v>
      </c>
      <c r="D4205" s="11" t="s">
        <v>39</v>
      </c>
      <c r="E4205" s="11">
        <v>15.0</v>
      </c>
      <c r="F4205" s="21" t="s">
        <v>591</v>
      </c>
      <c r="G4205" s="15">
        <v>0.08975346166835535</v>
      </c>
      <c r="H4205" s="11" t="s">
        <v>33</v>
      </c>
      <c r="I4205" s="16">
        <v>4.024</v>
      </c>
      <c r="J4205" s="11" t="s">
        <v>653</v>
      </c>
      <c r="K4205" s="11" t="s">
        <v>65</v>
      </c>
      <c r="L4205" s="11" t="s">
        <v>41</v>
      </c>
      <c r="M4205" s="11" t="s">
        <v>49</v>
      </c>
      <c r="N4205" s="11" t="s">
        <v>73</v>
      </c>
      <c r="O4205" s="11" t="s">
        <v>2020</v>
      </c>
      <c r="P4205" s="11" t="s">
        <v>38</v>
      </c>
      <c r="Q4205" s="20">
        <v>40531.0</v>
      </c>
      <c r="R4205" s="17">
        <f t="shared" si="2"/>
        <v>24.190712</v>
      </c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>
        <f t="shared" si="8"/>
        <v>3</v>
      </c>
      <c r="AF4205" s="19">
        <f t="shared" si="13"/>
        <v>5</v>
      </c>
      <c r="AG4205" s="9"/>
      <c r="AH4205" s="9"/>
      <c r="AI4205" s="9"/>
    </row>
    <row r="4206" ht="15.0" customHeight="1">
      <c r="A4206" s="11">
        <v>4205.0</v>
      </c>
      <c r="B4206" s="12">
        <f t="shared" si="663"/>
        <v>40529</v>
      </c>
      <c r="C4206" s="13">
        <v>2010.0</v>
      </c>
      <c r="D4206" s="11" t="s">
        <v>39</v>
      </c>
      <c r="E4206" s="11">
        <v>2.0</v>
      </c>
      <c r="F4206" s="21" t="s">
        <v>178</v>
      </c>
      <c r="G4206" s="15">
        <v>0.04515215852795467</v>
      </c>
      <c r="H4206" s="11" t="s">
        <v>33</v>
      </c>
      <c r="I4206" s="16">
        <v>3.12</v>
      </c>
      <c r="J4206" s="11" t="s">
        <v>653</v>
      </c>
      <c r="K4206" s="11" t="s">
        <v>65</v>
      </c>
      <c r="L4206" s="11" t="s">
        <v>41</v>
      </c>
      <c r="M4206" s="11" t="s">
        <v>66</v>
      </c>
      <c r="N4206" s="11" t="s">
        <v>80</v>
      </c>
      <c r="O4206" s="11" t="s">
        <v>2029</v>
      </c>
      <c r="P4206" s="11" t="s">
        <v>38</v>
      </c>
      <c r="Q4206" s="20">
        <v>40531.0</v>
      </c>
      <c r="R4206" s="17">
        <f t="shared" si="2"/>
        <v>6.091929229</v>
      </c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>
        <f t="shared" si="8"/>
        <v>3</v>
      </c>
      <c r="AF4206" s="19">
        <f t="shared" si="13"/>
        <v>5</v>
      </c>
      <c r="AG4206" s="9"/>
      <c r="AH4206" s="9"/>
      <c r="AI4206" s="9"/>
    </row>
    <row r="4207" ht="15.0" customHeight="1">
      <c r="A4207" s="11">
        <v>4206.0</v>
      </c>
      <c r="B4207" s="12">
        <f t="shared" si="663"/>
        <v>40529</v>
      </c>
      <c r="C4207" s="13">
        <v>2010.0</v>
      </c>
      <c r="D4207" s="11" t="s">
        <v>102</v>
      </c>
      <c r="E4207" s="11">
        <v>17.0</v>
      </c>
      <c r="F4207" s="21" t="s">
        <v>178</v>
      </c>
      <c r="G4207" s="15">
        <v>0.07624928155020921</v>
      </c>
      <c r="H4207" s="11" t="s">
        <v>33</v>
      </c>
      <c r="I4207" s="16">
        <v>4.736</v>
      </c>
      <c r="J4207" s="11" t="s">
        <v>1067</v>
      </c>
      <c r="K4207" s="11" t="s">
        <v>61</v>
      </c>
      <c r="L4207" s="11" t="s">
        <v>27</v>
      </c>
      <c r="M4207" s="11" t="s">
        <v>66</v>
      </c>
      <c r="N4207" s="11" t="s">
        <v>80</v>
      </c>
      <c r="O4207" s="11" t="s">
        <v>1579</v>
      </c>
      <c r="P4207" s="11" t="s">
        <v>38</v>
      </c>
      <c r="Q4207" s="20">
        <v>40532.0</v>
      </c>
      <c r="R4207" s="17">
        <f t="shared" si="2"/>
        <v>85.78318672</v>
      </c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>
        <f t="shared" si="8"/>
        <v>1</v>
      </c>
      <c r="AF4207" s="19">
        <f t="shared" si="13"/>
        <v>4</v>
      </c>
      <c r="AG4207" s="9"/>
      <c r="AH4207" s="9"/>
      <c r="AI4207" s="9"/>
    </row>
    <row r="4208" ht="15.0" customHeight="1">
      <c r="A4208" s="11">
        <v>4207.0</v>
      </c>
      <c r="B4208" s="12">
        <f>DATE(2012,12,31)-744</f>
        <v>40530</v>
      </c>
      <c r="C4208" s="13">
        <v>2010.0</v>
      </c>
      <c r="D4208" s="11" t="s">
        <v>23</v>
      </c>
      <c r="E4208" s="11">
        <v>42.0</v>
      </c>
      <c r="F4208" s="21" t="s">
        <v>483</v>
      </c>
      <c r="G4208" s="15">
        <v>0.0902723735408559</v>
      </c>
      <c r="H4208" s="11" t="s">
        <v>33</v>
      </c>
      <c r="I4208" s="16">
        <v>0.5599999999999999</v>
      </c>
      <c r="J4208" s="11" t="s">
        <v>1816</v>
      </c>
      <c r="K4208" s="11" t="s">
        <v>47</v>
      </c>
      <c r="L4208" s="11" t="s">
        <v>41</v>
      </c>
      <c r="M4208" s="11" t="s">
        <v>28</v>
      </c>
      <c r="N4208" s="11" t="s">
        <v>216</v>
      </c>
      <c r="O4208" s="11" t="s">
        <v>484</v>
      </c>
      <c r="P4208" s="11" t="s">
        <v>58</v>
      </c>
      <c r="Q4208" s="20">
        <v>40532.0</v>
      </c>
      <c r="R4208" s="17">
        <f t="shared" si="2"/>
        <v>4.221136187</v>
      </c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>
        <f t="shared" si="8"/>
        <v>3</v>
      </c>
      <c r="AF4208" s="19">
        <f t="shared" si="13"/>
        <v>3</v>
      </c>
      <c r="AG4208" s="9"/>
      <c r="AH4208" s="9"/>
      <c r="AI4208" s="9"/>
    </row>
    <row r="4209" ht="15.0" customHeight="1">
      <c r="A4209" s="11">
        <v>4208.0</v>
      </c>
      <c r="B4209" s="12">
        <f t="shared" ref="B4209:B4216" si="664">DATE(2012,12,31)-743</f>
        <v>40531</v>
      </c>
      <c r="C4209" s="13">
        <v>2010.0</v>
      </c>
      <c r="D4209" s="11" t="s">
        <v>44</v>
      </c>
      <c r="E4209" s="11">
        <v>13.0</v>
      </c>
      <c r="F4209" s="21" t="s">
        <v>466</v>
      </c>
      <c r="G4209" s="15">
        <v>0.036529680365296746</v>
      </c>
      <c r="H4209" s="11" t="s">
        <v>33</v>
      </c>
      <c r="I4209" s="16">
        <v>4.0</v>
      </c>
      <c r="J4209" s="11" t="s">
        <v>1020</v>
      </c>
      <c r="K4209" s="11" t="s">
        <v>47</v>
      </c>
      <c r="L4209" s="11" t="s">
        <v>36</v>
      </c>
      <c r="M4209" s="11" t="s">
        <v>49</v>
      </c>
      <c r="N4209" s="11" t="s">
        <v>73</v>
      </c>
      <c r="O4209" s="11" t="s">
        <v>467</v>
      </c>
      <c r="P4209" s="11" t="s">
        <v>99</v>
      </c>
      <c r="Q4209" s="20">
        <v>40532.0</v>
      </c>
      <c r="R4209" s="17">
        <f t="shared" si="2"/>
        <v>6.936986301</v>
      </c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>
        <f t="shared" si="8"/>
        <v>2</v>
      </c>
      <c r="AF4209" s="19">
        <f t="shared" si="13"/>
        <v>3</v>
      </c>
      <c r="AG4209" s="9"/>
      <c r="AH4209" s="9"/>
      <c r="AI4209" s="9"/>
    </row>
    <row r="4210" ht="15.0" customHeight="1">
      <c r="A4210" s="11">
        <v>4209.0</v>
      </c>
      <c r="B4210" s="12">
        <f t="shared" si="664"/>
        <v>40531</v>
      </c>
      <c r="C4210" s="13">
        <v>2010.0</v>
      </c>
      <c r="D4210" s="11" t="s">
        <v>39</v>
      </c>
      <c r="E4210" s="11">
        <v>26.0</v>
      </c>
      <c r="F4210" s="21" t="s">
        <v>676</v>
      </c>
      <c r="G4210" s="15">
        <v>0.0883975155279503</v>
      </c>
      <c r="H4210" s="11" t="s">
        <v>33</v>
      </c>
      <c r="I4210" s="16">
        <v>1.168</v>
      </c>
      <c r="J4210" s="11" t="s">
        <v>2447</v>
      </c>
      <c r="K4210" s="11" t="s">
        <v>35</v>
      </c>
      <c r="L4210" s="11" t="s">
        <v>27</v>
      </c>
      <c r="M4210" s="11" t="s">
        <v>28</v>
      </c>
      <c r="N4210" s="11" t="s">
        <v>56</v>
      </c>
      <c r="O4210" s="11" t="s">
        <v>1787</v>
      </c>
      <c r="P4210" s="11" t="s">
        <v>58</v>
      </c>
      <c r="Q4210" s="20">
        <v>40532.0</v>
      </c>
      <c r="R4210" s="17">
        <f t="shared" si="2"/>
        <v>12.97392656</v>
      </c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>
        <f t="shared" si="8"/>
        <v>1</v>
      </c>
      <c r="AF4210" s="19">
        <f t="shared" si="13"/>
        <v>2</v>
      </c>
      <c r="AG4210" s="9"/>
      <c r="AH4210" s="9"/>
      <c r="AI4210" s="9"/>
    </row>
    <row r="4211" ht="15.0" customHeight="1">
      <c r="A4211" s="11">
        <v>4210.0</v>
      </c>
      <c r="B4211" s="12">
        <f t="shared" si="664"/>
        <v>40531</v>
      </c>
      <c r="C4211" s="13">
        <v>2010.0</v>
      </c>
      <c r="D4211" s="11" t="s">
        <v>39</v>
      </c>
      <c r="E4211" s="11">
        <v>6.0</v>
      </c>
      <c r="F4211" s="21" t="s">
        <v>933</v>
      </c>
      <c r="G4211" s="15">
        <v>0.014231774615161296</v>
      </c>
      <c r="H4211" s="11" t="s">
        <v>33</v>
      </c>
      <c r="I4211" s="16">
        <v>4.0</v>
      </c>
      <c r="J4211" s="11" t="s">
        <v>2447</v>
      </c>
      <c r="K4211" s="11" t="s">
        <v>35</v>
      </c>
      <c r="L4211" s="11" t="s">
        <v>27</v>
      </c>
      <c r="M4211" s="11" t="s">
        <v>66</v>
      </c>
      <c r="N4211" s="11" t="s">
        <v>80</v>
      </c>
      <c r="O4211" s="11" t="s">
        <v>1026</v>
      </c>
      <c r="P4211" s="11" t="s">
        <v>99</v>
      </c>
      <c r="Q4211" s="20">
        <v>40533.0</v>
      </c>
      <c r="R4211" s="17">
        <f t="shared" si="2"/>
        <v>4.830264304</v>
      </c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>
        <f t="shared" si="8"/>
        <v>1</v>
      </c>
      <c r="AF4211" s="19">
        <f t="shared" si="13"/>
        <v>2</v>
      </c>
      <c r="AG4211" s="9"/>
      <c r="AH4211" s="9"/>
      <c r="AI4211" s="9"/>
    </row>
    <row r="4212" ht="15.0" customHeight="1">
      <c r="A4212" s="11">
        <v>4211.0</v>
      </c>
      <c r="B4212" s="12">
        <f t="shared" si="664"/>
        <v>40531</v>
      </c>
      <c r="C4212" s="13">
        <v>2010.0</v>
      </c>
      <c r="D4212" s="11" t="s">
        <v>32</v>
      </c>
      <c r="E4212" s="11">
        <v>29.0</v>
      </c>
      <c r="F4212" s="21" t="s">
        <v>619</v>
      </c>
      <c r="G4212" s="15">
        <v>0.035397115839011575</v>
      </c>
      <c r="H4212" s="11" t="s">
        <v>33</v>
      </c>
      <c r="I4212" s="16">
        <v>3.6</v>
      </c>
      <c r="J4212" s="11" t="s">
        <v>681</v>
      </c>
      <c r="K4212" s="11" t="s">
        <v>61</v>
      </c>
      <c r="L4212" s="11" t="s">
        <v>48</v>
      </c>
      <c r="M4212" s="11" t="s">
        <v>28</v>
      </c>
      <c r="N4212" s="11" t="s">
        <v>197</v>
      </c>
      <c r="O4212" s="11" t="s">
        <v>1388</v>
      </c>
      <c r="P4212" s="11" t="s">
        <v>38</v>
      </c>
      <c r="Q4212" s="20">
        <v>40533.0</v>
      </c>
      <c r="R4212" s="17">
        <f t="shared" si="2"/>
        <v>62.6422759</v>
      </c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>
        <f t="shared" si="8"/>
        <v>4</v>
      </c>
      <c r="AF4212" s="19">
        <f t="shared" si="13"/>
        <v>4</v>
      </c>
      <c r="AG4212" s="9"/>
      <c r="AH4212" s="9"/>
      <c r="AI4212" s="9"/>
    </row>
    <row r="4213" ht="15.0" customHeight="1">
      <c r="A4213" s="11">
        <v>4212.0</v>
      </c>
      <c r="B4213" s="12">
        <f t="shared" si="664"/>
        <v>40531</v>
      </c>
      <c r="C4213" s="13">
        <v>2010.0</v>
      </c>
      <c r="D4213" s="11" t="s">
        <v>32</v>
      </c>
      <c r="E4213" s="11">
        <v>23.0</v>
      </c>
      <c r="F4213" s="21" t="s">
        <v>158</v>
      </c>
      <c r="G4213" s="15">
        <v>0.09177033492822946</v>
      </c>
      <c r="H4213" s="11" t="s">
        <v>33</v>
      </c>
      <c r="I4213" s="16">
        <v>4.656000000000001</v>
      </c>
      <c r="J4213" s="11" t="s">
        <v>681</v>
      </c>
      <c r="K4213" s="11" t="s">
        <v>61</v>
      </c>
      <c r="L4213" s="11" t="s">
        <v>48</v>
      </c>
      <c r="M4213" s="11" t="s">
        <v>28</v>
      </c>
      <c r="N4213" s="11" t="s">
        <v>56</v>
      </c>
      <c r="O4213" s="11" t="s">
        <v>2037</v>
      </c>
      <c r="P4213" s="11" t="s">
        <v>38</v>
      </c>
      <c r="Q4213" s="20">
        <v>40533.0</v>
      </c>
      <c r="R4213" s="17">
        <f t="shared" si="2"/>
        <v>13.93587598</v>
      </c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>
        <f t="shared" si="8"/>
        <v>4</v>
      </c>
      <c r="AF4213" s="19">
        <f t="shared" si="13"/>
        <v>4</v>
      </c>
      <c r="AG4213" s="9"/>
      <c r="AH4213" s="9"/>
      <c r="AI4213" s="9"/>
    </row>
    <row r="4214" ht="15.0" customHeight="1">
      <c r="A4214" s="11">
        <v>4213.0</v>
      </c>
      <c r="B4214" s="12">
        <f t="shared" si="664"/>
        <v>40531</v>
      </c>
      <c r="C4214" s="13">
        <v>2010.0</v>
      </c>
      <c r="D4214" s="11" t="s">
        <v>102</v>
      </c>
      <c r="E4214" s="11">
        <v>38.0</v>
      </c>
      <c r="F4214" s="21" t="s">
        <v>1870</v>
      </c>
      <c r="G4214" s="15">
        <v>0.07552167028326781</v>
      </c>
      <c r="H4214" s="11" t="s">
        <v>24</v>
      </c>
      <c r="I4214" s="16">
        <v>6.928000000000001</v>
      </c>
      <c r="J4214" s="11" t="s">
        <v>387</v>
      </c>
      <c r="K4214" s="11" t="s">
        <v>83</v>
      </c>
      <c r="L4214" s="11" t="s">
        <v>41</v>
      </c>
      <c r="M4214" s="11" t="s">
        <v>49</v>
      </c>
      <c r="N4214" s="11" t="s">
        <v>73</v>
      </c>
      <c r="O4214" s="11" t="s">
        <v>1871</v>
      </c>
      <c r="P4214" s="11" t="s">
        <v>75</v>
      </c>
      <c r="Q4214" s="20">
        <v>40533.0</v>
      </c>
      <c r="R4214" s="17">
        <f t="shared" si="2"/>
        <v>119.0469235</v>
      </c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>
        <f t="shared" si="8"/>
        <v>3</v>
      </c>
      <c r="AF4214" s="19" t="b">
        <f t="shared" si="13"/>
        <v>0</v>
      </c>
      <c r="AG4214" s="9"/>
      <c r="AH4214" s="9"/>
      <c r="AI4214" s="9"/>
    </row>
    <row r="4215" ht="15.0" customHeight="1">
      <c r="A4215" s="11">
        <v>4214.0</v>
      </c>
      <c r="B4215" s="12">
        <f t="shared" si="664"/>
        <v>40531</v>
      </c>
      <c r="C4215" s="13">
        <v>2010.0</v>
      </c>
      <c r="D4215" s="11" t="s">
        <v>102</v>
      </c>
      <c r="E4215" s="11">
        <v>22.0</v>
      </c>
      <c r="F4215" s="21" t="s">
        <v>178</v>
      </c>
      <c r="G4215" s="15">
        <v>0.011771747262463283</v>
      </c>
      <c r="H4215" s="11" t="s">
        <v>24</v>
      </c>
      <c r="I4215" s="16">
        <v>3.192</v>
      </c>
      <c r="J4215" s="11" t="s">
        <v>387</v>
      </c>
      <c r="K4215" s="11" t="s">
        <v>83</v>
      </c>
      <c r="L4215" s="11" t="s">
        <v>41</v>
      </c>
      <c r="M4215" s="11" t="s">
        <v>66</v>
      </c>
      <c r="N4215" s="11" t="s">
        <v>80</v>
      </c>
      <c r="O4215" s="11" t="s">
        <v>587</v>
      </c>
      <c r="P4215" s="11" t="s">
        <v>38</v>
      </c>
      <c r="Q4215" s="20">
        <v>40533.0</v>
      </c>
      <c r="R4215" s="17">
        <f t="shared" si="2"/>
        <v>17.1042546</v>
      </c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>
        <f t="shared" si="8"/>
        <v>3</v>
      </c>
      <c r="AF4215" s="19" t="b">
        <f t="shared" si="13"/>
        <v>0</v>
      </c>
      <c r="AG4215" s="9"/>
      <c r="AH4215" s="9"/>
      <c r="AI4215" s="9"/>
    </row>
    <row r="4216" ht="15.0" customHeight="1">
      <c r="A4216" s="11">
        <v>4215.0</v>
      </c>
      <c r="B4216" s="12">
        <f t="shared" si="664"/>
        <v>40531</v>
      </c>
      <c r="C4216" s="13">
        <v>2010.0</v>
      </c>
      <c r="D4216" s="11" t="s">
        <v>32</v>
      </c>
      <c r="E4216" s="11">
        <v>15.0</v>
      </c>
      <c r="F4216" s="21" t="s">
        <v>933</v>
      </c>
      <c r="G4216" s="15">
        <v>0.08503475238922671</v>
      </c>
      <c r="H4216" s="11" t="s">
        <v>33</v>
      </c>
      <c r="I4216" s="16">
        <v>4.0</v>
      </c>
      <c r="J4216" s="11" t="s">
        <v>1524</v>
      </c>
      <c r="K4216" s="11" t="s">
        <v>26</v>
      </c>
      <c r="L4216" s="11" t="s">
        <v>48</v>
      </c>
      <c r="M4216" s="11" t="s">
        <v>66</v>
      </c>
      <c r="N4216" s="11" t="s">
        <v>80</v>
      </c>
      <c r="O4216" s="11" t="s">
        <v>1026</v>
      </c>
      <c r="P4216" s="11" t="s">
        <v>99</v>
      </c>
      <c r="Q4216" s="20">
        <v>40533.0</v>
      </c>
      <c r="R4216" s="17">
        <f t="shared" si="2"/>
        <v>71.64177889</v>
      </c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>
        <f t="shared" si="8"/>
        <v>4</v>
      </c>
      <c r="AF4216" s="19">
        <f t="shared" si="13"/>
        <v>1</v>
      </c>
      <c r="AG4216" s="9"/>
      <c r="AH4216" s="9"/>
      <c r="AI4216" s="9"/>
    </row>
    <row r="4217" ht="15.0" customHeight="1">
      <c r="A4217" s="11">
        <v>4216.0</v>
      </c>
      <c r="B4217" s="12">
        <f t="shared" ref="B4217:B4223" si="665">DATE(2012,12,31)-742</f>
        <v>40532</v>
      </c>
      <c r="C4217" s="13">
        <v>2010.0</v>
      </c>
      <c r="D4217" s="11" t="s">
        <v>102</v>
      </c>
      <c r="E4217" s="11">
        <v>7.0</v>
      </c>
      <c r="F4217" s="21" t="s">
        <v>1084</v>
      </c>
      <c r="G4217" s="15">
        <v>0.06723860589812321</v>
      </c>
      <c r="H4217" s="11" t="s">
        <v>33</v>
      </c>
      <c r="I4217" s="16">
        <v>3.9920000000000004</v>
      </c>
      <c r="J4217" s="11" t="s">
        <v>1620</v>
      </c>
      <c r="K4217" s="11" t="s">
        <v>65</v>
      </c>
      <c r="L4217" s="11" t="s">
        <v>48</v>
      </c>
      <c r="M4217" s="11" t="s">
        <v>28</v>
      </c>
      <c r="N4217" s="11" t="s">
        <v>236</v>
      </c>
      <c r="O4217" s="11" t="s">
        <v>1085</v>
      </c>
      <c r="P4217" s="11" t="s">
        <v>38</v>
      </c>
      <c r="Q4217" s="20">
        <v>40533.0</v>
      </c>
      <c r="R4217" s="17">
        <f t="shared" si="2"/>
        <v>2.339365576</v>
      </c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>
        <f t="shared" si="8"/>
        <v>4</v>
      </c>
      <c r="AF4217" s="19">
        <f t="shared" si="13"/>
        <v>5</v>
      </c>
      <c r="AG4217" s="9"/>
      <c r="AH4217" s="9"/>
      <c r="AI4217" s="9"/>
    </row>
    <row r="4218" ht="15.0" customHeight="1">
      <c r="A4218" s="11">
        <v>4217.0</v>
      </c>
      <c r="B4218" s="12">
        <f t="shared" si="665"/>
        <v>40532</v>
      </c>
      <c r="C4218" s="13">
        <v>2010.0</v>
      </c>
      <c r="D4218" s="11" t="s">
        <v>23</v>
      </c>
      <c r="E4218" s="11">
        <v>42.0</v>
      </c>
      <c r="F4218" s="21" t="s">
        <v>1035</v>
      </c>
      <c r="G4218" s="15">
        <v>0.03294294069131</v>
      </c>
      <c r="H4218" s="11" t="s">
        <v>45</v>
      </c>
      <c r="I4218" s="16">
        <v>25.927999999999997</v>
      </c>
      <c r="J4218" s="11" t="s">
        <v>2495</v>
      </c>
      <c r="K4218" s="11" t="s">
        <v>61</v>
      </c>
      <c r="L4218" s="11" t="s">
        <v>41</v>
      </c>
      <c r="M4218" s="11" t="s">
        <v>49</v>
      </c>
      <c r="N4218" s="11" t="s">
        <v>50</v>
      </c>
      <c r="O4218" s="11" t="s">
        <v>1037</v>
      </c>
      <c r="P4218" s="11" t="s">
        <v>52</v>
      </c>
      <c r="Q4218" s="20">
        <v>40534.0</v>
      </c>
      <c r="R4218" s="17">
        <f t="shared" si="2"/>
        <v>84.97723792</v>
      </c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>
        <f t="shared" si="8"/>
        <v>3</v>
      </c>
      <c r="AF4218" s="19">
        <f t="shared" si="13"/>
        <v>4</v>
      </c>
      <c r="AG4218" s="9"/>
      <c r="AH4218" s="9"/>
      <c r="AI4218" s="9"/>
    </row>
    <row r="4219" ht="15.0" customHeight="1">
      <c r="A4219" s="11">
        <v>4218.0</v>
      </c>
      <c r="B4219" s="12">
        <f t="shared" si="665"/>
        <v>40532</v>
      </c>
      <c r="C4219" s="13">
        <v>2010.0</v>
      </c>
      <c r="D4219" s="11" t="s">
        <v>102</v>
      </c>
      <c r="E4219" s="11">
        <v>4.0</v>
      </c>
      <c r="F4219" s="21" t="s">
        <v>758</v>
      </c>
      <c r="G4219" s="15">
        <v>0.03896103896103894</v>
      </c>
      <c r="H4219" s="11" t="s">
        <v>33</v>
      </c>
      <c r="I4219" s="16">
        <v>0.4</v>
      </c>
      <c r="J4219" s="11" t="s">
        <v>665</v>
      </c>
      <c r="K4219" s="11" t="s">
        <v>65</v>
      </c>
      <c r="L4219" s="11" t="s">
        <v>36</v>
      </c>
      <c r="M4219" s="11" t="s">
        <v>28</v>
      </c>
      <c r="N4219" s="11" t="s">
        <v>188</v>
      </c>
      <c r="O4219" s="11" t="s">
        <v>1867</v>
      </c>
      <c r="P4219" s="11" t="s">
        <v>38</v>
      </c>
      <c r="Q4219" s="20">
        <v>40534.0</v>
      </c>
      <c r="R4219" s="17">
        <f t="shared" si="2"/>
        <v>0.5766233766</v>
      </c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>
        <f t="shared" si="8"/>
        <v>2</v>
      </c>
      <c r="AF4219" s="19">
        <f t="shared" si="13"/>
        <v>5</v>
      </c>
      <c r="AG4219" s="9"/>
      <c r="AH4219" s="9"/>
      <c r="AI4219" s="9"/>
    </row>
    <row r="4220" ht="15.0" customHeight="1">
      <c r="A4220" s="11">
        <v>4219.0</v>
      </c>
      <c r="B4220" s="12">
        <f t="shared" si="665"/>
        <v>40532</v>
      </c>
      <c r="C4220" s="13">
        <v>2010.0</v>
      </c>
      <c r="D4220" s="11" t="s">
        <v>32</v>
      </c>
      <c r="E4220" s="11">
        <v>43.0</v>
      </c>
      <c r="F4220" s="21" t="s">
        <v>1970</v>
      </c>
      <c r="G4220" s="15">
        <v>0.0351532223631207</v>
      </c>
      <c r="H4220" s="11" t="s">
        <v>33</v>
      </c>
      <c r="I4220" s="16">
        <v>28.0</v>
      </c>
      <c r="J4220" s="11" t="s">
        <v>597</v>
      </c>
      <c r="K4220" s="11" t="s">
        <v>26</v>
      </c>
      <c r="L4220" s="11" t="s">
        <v>27</v>
      </c>
      <c r="M4220" s="11" t="s">
        <v>28</v>
      </c>
      <c r="N4220" s="11" t="s">
        <v>29</v>
      </c>
      <c r="O4220" s="11" t="s">
        <v>1971</v>
      </c>
      <c r="P4220" s="11" t="s">
        <v>31</v>
      </c>
      <c r="Q4220" s="20">
        <v>40534.0</v>
      </c>
      <c r="R4220" s="17">
        <f t="shared" si="2"/>
        <v>253.7218977</v>
      </c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>
        <f t="shared" si="8"/>
        <v>1</v>
      </c>
      <c r="AF4220" s="19">
        <f t="shared" si="13"/>
        <v>1</v>
      </c>
      <c r="AG4220" s="9"/>
      <c r="AH4220" s="9"/>
      <c r="AI4220" s="9"/>
    </row>
    <row r="4221" ht="15.0" customHeight="1">
      <c r="A4221" s="11">
        <v>4220.0</v>
      </c>
      <c r="B4221" s="12">
        <f t="shared" si="665"/>
        <v>40532</v>
      </c>
      <c r="C4221" s="13">
        <v>2010.0</v>
      </c>
      <c r="D4221" s="11" t="s">
        <v>32</v>
      </c>
      <c r="E4221" s="11">
        <v>33.0</v>
      </c>
      <c r="F4221" s="21" t="s">
        <v>834</v>
      </c>
      <c r="G4221" s="15">
        <v>0.07484822275542664</v>
      </c>
      <c r="H4221" s="11" t="s">
        <v>45</v>
      </c>
      <c r="I4221" s="16">
        <v>34.016000000000005</v>
      </c>
      <c r="J4221" s="11" t="s">
        <v>597</v>
      </c>
      <c r="K4221" s="11" t="s">
        <v>26</v>
      </c>
      <c r="L4221" s="11" t="s">
        <v>27</v>
      </c>
      <c r="M4221" s="11" t="s">
        <v>49</v>
      </c>
      <c r="N4221" s="11" t="s">
        <v>85</v>
      </c>
      <c r="O4221" s="11" t="s">
        <v>1115</v>
      </c>
      <c r="P4221" s="11" t="s">
        <v>87</v>
      </c>
      <c r="Q4221" s="20">
        <v>40534.0</v>
      </c>
      <c r="R4221" s="17">
        <f t="shared" si="2"/>
        <v>992.7655697</v>
      </c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>
        <f t="shared" si="8"/>
        <v>1</v>
      </c>
      <c r="AF4221" s="19">
        <f t="shared" si="13"/>
        <v>1</v>
      </c>
      <c r="AG4221" s="9"/>
      <c r="AH4221" s="9"/>
      <c r="AI4221" s="9"/>
    </row>
    <row r="4222" ht="15.0" customHeight="1">
      <c r="A4222" s="11">
        <v>4221.0</v>
      </c>
      <c r="B4222" s="12">
        <f t="shared" si="665"/>
        <v>40532</v>
      </c>
      <c r="C4222" s="13">
        <v>2010.0</v>
      </c>
      <c r="D4222" s="11" t="s">
        <v>32</v>
      </c>
      <c r="E4222" s="11">
        <v>33.0</v>
      </c>
      <c r="F4222" s="21" t="s">
        <v>100</v>
      </c>
      <c r="G4222" s="15">
        <v>0.010405334575738142</v>
      </c>
      <c r="H4222" s="11" t="s">
        <v>33</v>
      </c>
      <c r="I4222" s="16">
        <v>2.232</v>
      </c>
      <c r="J4222" s="11" t="s">
        <v>597</v>
      </c>
      <c r="K4222" s="11" t="s">
        <v>26</v>
      </c>
      <c r="L4222" s="11" t="s">
        <v>27</v>
      </c>
      <c r="M4222" s="11" t="s">
        <v>66</v>
      </c>
      <c r="N4222" s="11" t="s">
        <v>80</v>
      </c>
      <c r="O4222" s="11" t="s">
        <v>2416</v>
      </c>
      <c r="P4222" s="11" t="s">
        <v>38</v>
      </c>
      <c r="Q4222" s="20">
        <v>40534.0</v>
      </c>
      <c r="R4222" s="17">
        <f t="shared" si="2"/>
        <v>70.72435155</v>
      </c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>
        <f t="shared" si="8"/>
        <v>1</v>
      </c>
      <c r="AF4222" s="19">
        <f t="shared" si="13"/>
        <v>1</v>
      </c>
      <c r="AG4222" s="9"/>
      <c r="AH4222" s="9"/>
      <c r="AI4222" s="9"/>
    </row>
    <row r="4223" ht="15.0" customHeight="1">
      <c r="A4223" s="11">
        <v>4222.0</v>
      </c>
      <c r="B4223" s="12">
        <f t="shared" si="665"/>
        <v>40532</v>
      </c>
      <c r="C4223" s="13">
        <v>2010.0</v>
      </c>
      <c r="D4223" s="11" t="s">
        <v>32</v>
      </c>
      <c r="E4223" s="11">
        <v>27.0</v>
      </c>
      <c r="F4223" s="21" t="s">
        <v>163</v>
      </c>
      <c r="G4223" s="15">
        <v>0.01323631671386067</v>
      </c>
      <c r="H4223" s="11" t="s">
        <v>45</v>
      </c>
      <c r="I4223" s="16">
        <v>28.672000000000004</v>
      </c>
      <c r="J4223" s="11" t="s">
        <v>288</v>
      </c>
      <c r="K4223" s="11" t="s">
        <v>61</v>
      </c>
      <c r="L4223" s="11" t="s">
        <v>27</v>
      </c>
      <c r="M4223" s="11" t="s">
        <v>49</v>
      </c>
      <c r="N4223" s="11" t="s">
        <v>156</v>
      </c>
      <c r="O4223" s="11" t="s">
        <v>165</v>
      </c>
      <c r="P4223" s="11" t="s">
        <v>87</v>
      </c>
      <c r="Q4223" s="20">
        <v>40534.0</v>
      </c>
      <c r="R4223" s="17">
        <f t="shared" si="2"/>
        <v>36.4392093</v>
      </c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>
        <f t="shared" si="8"/>
        <v>1</v>
      </c>
      <c r="AF4223" s="19">
        <f t="shared" si="13"/>
        <v>4</v>
      </c>
      <c r="AG4223" s="9"/>
      <c r="AH4223" s="9"/>
      <c r="AI4223" s="9"/>
    </row>
    <row r="4224" ht="15.0" customHeight="1">
      <c r="A4224" s="11">
        <v>4223.0</v>
      </c>
      <c r="B4224" s="12">
        <f t="shared" ref="B4224:B4231" si="666">DATE(2012,12,31)-741</f>
        <v>40533</v>
      </c>
      <c r="C4224" s="13">
        <v>2010.0</v>
      </c>
      <c r="D4224" s="11" t="s">
        <v>39</v>
      </c>
      <c r="E4224" s="11">
        <v>33.0</v>
      </c>
      <c r="F4224" s="21" t="s">
        <v>122</v>
      </c>
      <c r="G4224" s="15">
        <v>0.02680834711635257</v>
      </c>
      <c r="H4224" s="11" t="s">
        <v>33</v>
      </c>
      <c r="I4224" s="16">
        <v>3.2</v>
      </c>
      <c r="J4224" s="11" t="s">
        <v>815</v>
      </c>
      <c r="K4224" s="11" t="s">
        <v>61</v>
      </c>
      <c r="L4224" s="11" t="s">
        <v>36</v>
      </c>
      <c r="M4224" s="11" t="s">
        <v>66</v>
      </c>
      <c r="N4224" s="11" t="s">
        <v>67</v>
      </c>
      <c r="O4224" s="11" t="s">
        <v>1485</v>
      </c>
      <c r="P4224" s="11" t="s">
        <v>38</v>
      </c>
      <c r="Q4224" s="20">
        <v>40535.0</v>
      </c>
      <c r="R4224" s="17">
        <f t="shared" si="2"/>
        <v>18.57550372</v>
      </c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>
        <f t="shared" si="8"/>
        <v>2</v>
      </c>
      <c r="AF4224" s="19">
        <f t="shared" si="13"/>
        <v>4</v>
      </c>
      <c r="AG4224" s="9"/>
      <c r="AH4224" s="9"/>
      <c r="AI4224" s="9"/>
    </row>
    <row r="4225" ht="15.0" customHeight="1">
      <c r="A4225" s="11">
        <v>4224.0</v>
      </c>
      <c r="B4225" s="12">
        <f t="shared" si="666"/>
        <v>40533</v>
      </c>
      <c r="C4225" s="13">
        <v>2010.0</v>
      </c>
      <c r="D4225" s="11" t="s">
        <v>44</v>
      </c>
      <c r="E4225" s="11">
        <v>48.0</v>
      </c>
      <c r="F4225" s="21" t="s">
        <v>302</v>
      </c>
      <c r="G4225" s="15">
        <v>0.03893351447737109</v>
      </c>
      <c r="H4225" s="11" t="s">
        <v>45</v>
      </c>
      <c r="I4225" s="16">
        <v>21.224000000000004</v>
      </c>
      <c r="J4225" s="11" t="s">
        <v>2093</v>
      </c>
      <c r="K4225" s="11" t="s">
        <v>35</v>
      </c>
      <c r="L4225" s="11" t="s">
        <v>36</v>
      </c>
      <c r="M4225" s="11" t="s">
        <v>66</v>
      </c>
      <c r="N4225" s="11" t="s">
        <v>69</v>
      </c>
      <c r="O4225" s="11" t="s">
        <v>303</v>
      </c>
      <c r="P4225" s="11" t="s">
        <v>52</v>
      </c>
      <c r="Q4225" s="20">
        <v>40535.0</v>
      </c>
      <c r="R4225" s="17">
        <f t="shared" si="2"/>
        <v>572.8686664</v>
      </c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>
        <f t="shared" si="8"/>
        <v>2</v>
      </c>
      <c r="AF4225" s="19">
        <f t="shared" si="13"/>
        <v>2</v>
      </c>
      <c r="AG4225" s="9"/>
      <c r="AH4225" s="9"/>
      <c r="AI4225" s="9"/>
    </row>
    <row r="4226" ht="15.0" customHeight="1">
      <c r="A4226" s="11">
        <v>4225.0</v>
      </c>
      <c r="B4226" s="12">
        <f t="shared" si="666"/>
        <v>40533</v>
      </c>
      <c r="C4226" s="13">
        <v>2010.0</v>
      </c>
      <c r="D4226" s="11" t="s">
        <v>44</v>
      </c>
      <c r="E4226" s="11">
        <v>29.0</v>
      </c>
      <c r="F4226" s="21" t="s">
        <v>509</v>
      </c>
      <c r="G4226" s="15">
        <v>0.021407271329089664</v>
      </c>
      <c r="H4226" s="11" t="s">
        <v>33</v>
      </c>
      <c r="I4226" s="16">
        <v>11.192</v>
      </c>
      <c r="J4226" s="11" t="s">
        <v>152</v>
      </c>
      <c r="K4226" s="11" t="s">
        <v>61</v>
      </c>
      <c r="L4226" s="11" t="s">
        <v>27</v>
      </c>
      <c r="M4226" s="11" t="s">
        <v>28</v>
      </c>
      <c r="N4226" s="11" t="s">
        <v>197</v>
      </c>
      <c r="O4226" s="11" t="s">
        <v>511</v>
      </c>
      <c r="P4226" s="11" t="s">
        <v>75</v>
      </c>
      <c r="Q4226" s="20">
        <v>40535.0</v>
      </c>
      <c r="R4226" s="17">
        <f t="shared" si="2"/>
        <v>49.03532445</v>
      </c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>
        <f t="shared" si="8"/>
        <v>1</v>
      </c>
      <c r="AF4226" s="19">
        <f t="shared" si="13"/>
        <v>4</v>
      </c>
      <c r="AG4226" s="9"/>
      <c r="AH4226" s="9"/>
      <c r="AI4226" s="9"/>
    </row>
    <row r="4227" ht="15.0" customHeight="1">
      <c r="A4227" s="11">
        <v>4226.0</v>
      </c>
      <c r="B4227" s="12">
        <f t="shared" si="666"/>
        <v>40533</v>
      </c>
      <c r="C4227" s="13">
        <v>2010.0</v>
      </c>
      <c r="D4227" s="11" t="s">
        <v>44</v>
      </c>
      <c r="E4227" s="11">
        <v>49.0</v>
      </c>
      <c r="F4227" s="21" t="s">
        <v>705</v>
      </c>
      <c r="G4227" s="15">
        <v>0.09511952191235057</v>
      </c>
      <c r="H4227" s="11" t="s">
        <v>24</v>
      </c>
      <c r="I4227" s="16">
        <v>0.4</v>
      </c>
      <c r="J4227" s="11" t="s">
        <v>152</v>
      </c>
      <c r="K4227" s="11" t="s">
        <v>61</v>
      </c>
      <c r="L4227" s="11" t="s">
        <v>27</v>
      </c>
      <c r="M4227" s="11" t="s">
        <v>28</v>
      </c>
      <c r="N4227" s="11" t="s">
        <v>188</v>
      </c>
      <c r="O4227" s="11" t="s">
        <v>1976</v>
      </c>
      <c r="P4227" s="11" t="s">
        <v>38</v>
      </c>
      <c r="Q4227" s="20">
        <v>40535.0</v>
      </c>
      <c r="R4227" s="17">
        <f t="shared" si="2"/>
        <v>17.28321713</v>
      </c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>
        <f t="shared" si="8"/>
        <v>1</v>
      </c>
      <c r="AF4227" s="19">
        <f t="shared" si="13"/>
        <v>4</v>
      </c>
      <c r="AG4227" s="9"/>
      <c r="AH4227" s="9"/>
      <c r="AI4227" s="9"/>
    </row>
    <row r="4228" ht="15.0" customHeight="1">
      <c r="A4228" s="11">
        <v>4227.0</v>
      </c>
      <c r="B4228" s="12">
        <f t="shared" si="666"/>
        <v>40533</v>
      </c>
      <c r="C4228" s="13">
        <v>2010.0</v>
      </c>
      <c r="D4228" s="11" t="s">
        <v>44</v>
      </c>
      <c r="E4228" s="11">
        <v>34.0</v>
      </c>
      <c r="F4228" s="21" t="s">
        <v>178</v>
      </c>
      <c r="G4228" s="15">
        <v>0.031207654512541785</v>
      </c>
      <c r="H4228" s="11" t="s">
        <v>33</v>
      </c>
      <c r="I4228" s="16">
        <v>7.192</v>
      </c>
      <c r="J4228" s="11" t="s">
        <v>395</v>
      </c>
      <c r="K4228" s="11" t="s">
        <v>35</v>
      </c>
      <c r="L4228" s="11" t="s">
        <v>36</v>
      </c>
      <c r="M4228" s="11" t="s">
        <v>66</v>
      </c>
      <c r="N4228" s="11" t="s">
        <v>80</v>
      </c>
      <c r="O4228" s="11" t="s">
        <v>1263</v>
      </c>
      <c r="P4228" s="11" t="s">
        <v>38</v>
      </c>
      <c r="Q4228" s="20">
        <v>40535.0</v>
      </c>
      <c r="R4228" s="17">
        <f t="shared" si="2"/>
        <v>70.14831615</v>
      </c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>
        <f t="shared" si="8"/>
        <v>2</v>
      </c>
      <c r="AF4228" s="19">
        <f t="shared" si="13"/>
        <v>2</v>
      </c>
      <c r="AG4228" s="9"/>
      <c r="AH4228" s="9"/>
      <c r="AI4228" s="9"/>
    </row>
    <row r="4229" ht="15.0" customHeight="1">
      <c r="A4229" s="11">
        <v>4228.0</v>
      </c>
      <c r="B4229" s="12">
        <f t="shared" si="666"/>
        <v>40533</v>
      </c>
      <c r="C4229" s="13">
        <v>2010.0</v>
      </c>
      <c r="D4229" s="11" t="s">
        <v>39</v>
      </c>
      <c r="E4229" s="11">
        <v>38.0</v>
      </c>
      <c r="F4229" s="21" t="s">
        <v>144</v>
      </c>
      <c r="G4229" s="15">
        <v>0.10996699669967007</v>
      </c>
      <c r="H4229" s="11" t="s">
        <v>33</v>
      </c>
      <c r="I4229" s="16">
        <v>1.1039999999999999</v>
      </c>
      <c r="J4229" s="11" t="s">
        <v>1841</v>
      </c>
      <c r="K4229" s="11" t="s">
        <v>61</v>
      </c>
      <c r="L4229" s="11" t="s">
        <v>36</v>
      </c>
      <c r="M4229" s="11" t="s">
        <v>28</v>
      </c>
      <c r="N4229" s="11" t="s">
        <v>216</v>
      </c>
      <c r="O4229" s="11" t="s">
        <v>1062</v>
      </c>
      <c r="P4229" s="11" t="s">
        <v>58</v>
      </c>
      <c r="Q4229" s="20">
        <v>40535.0</v>
      </c>
      <c r="R4229" s="17">
        <f t="shared" si="2"/>
        <v>8.896769901</v>
      </c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>
        <f t="shared" si="8"/>
        <v>2</v>
      </c>
      <c r="AF4229" s="19">
        <f t="shared" si="13"/>
        <v>4</v>
      </c>
      <c r="AG4229" s="9"/>
      <c r="AH4229" s="9"/>
      <c r="AI4229" s="9"/>
    </row>
    <row r="4230" ht="15.0" customHeight="1">
      <c r="A4230" s="11">
        <v>4229.0</v>
      </c>
      <c r="B4230" s="12">
        <f t="shared" si="666"/>
        <v>40533</v>
      </c>
      <c r="C4230" s="13">
        <v>2010.0</v>
      </c>
      <c r="D4230" s="11" t="s">
        <v>102</v>
      </c>
      <c r="E4230" s="11">
        <v>15.0</v>
      </c>
      <c r="F4230" s="21" t="s">
        <v>158</v>
      </c>
      <c r="G4230" s="15">
        <v>0.09458145814581455</v>
      </c>
      <c r="H4230" s="11" t="s">
        <v>33</v>
      </c>
      <c r="I4230" s="16">
        <v>4.5920000000000005</v>
      </c>
      <c r="J4230" s="11" t="s">
        <v>88</v>
      </c>
      <c r="K4230" s="11" t="s">
        <v>35</v>
      </c>
      <c r="L4230" s="11" t="s">
        <v>48</v>
      </c>
      <c r="M4230" s="11" t="s">
        <v>28</v>
      </c>
      <c r="N4230" s="11" t="s">
        <v>56</v>
      </c>
      <c r="O4230" s="11" t="s">
        <v>2053</v>
      </c>
      <c r="P4230" s="11" t="s">
        <v>38</v>
      </c>
      <c r="Q4230" s="20">
        <v>40535.0</v>
      </c>
      <c r="R4230" s="17">
        <f t="shared" si="2"/>
        <v>9.514138038</v>
      </c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>
        <f t="shared" si="8"/>
        <v>4</v>
      </c>
      <c r="AF4230" s="19">
        <f t="shared" si="13"/>
        <v>2</v>
      </c>
      <c r="AG4230" s="9"/>
      <c r="AH4230" s="9"/>
      <c r="AI4230" s="9"/>
    </row>
    <row r="4231" ht="15.0" customHeight="1">
      <c r="A4231" s="11">
        <v>4230.0</v>
      </c>
      <c r="B4231" s="12">
        <f t="shared" si="666"/>
        <v>40533</v>
      </c>
      <c r="C4231" s="13">
        <v>2010.0</v>
      </c>
      <c r="D4231" s="11" t="s">
        <v>44</v>
      </c>
      <c r="E4231" s="11">
        <v>1.0</v>
      </c>
      <c r="F4231" s="21" t="s">
        <v>914</v>
      </c>
      <c r="G4231" s="15">
        <v>0.039014084507042274</v>
      </c>
      <c r="H4231" s="11" t="s">
        <v>33</v>
      </c>
      <c r="I4231" s="16">
        <v>2.3920000000000003</v>
      </c>
      <c r="J4231" s="11" t="s">
        <v>2043</v>
      </c>
      <c r="K4231" s="11" t="s">
        <v>83</v>
      </c>
      <c r="L4231" s="11" t="s">
        <v>48</v>
      </c>
      <c r="M4231" s="11" t="s">
        <v>28</v>
      </c>
      <c r="N4231" s="11" t="s">
        <v>42</v>
      </c>
      <c r="O4231" s="11" t="s">
        <v>1626</v>
      </c>
      <c r="P4231" s="11" t="s">
        <v>38</v>
      </c>
      <c r="Q4231" s="20">
        <v>40536.0</v>
      </c>
      <c r="R4231" s="17">
        <f t="shared" si="2"/>
        <v>1.064772394</v>
      </c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>
        <f t="shared" si="8"/>
        <v>4</v>
      </c>
      <c r="AF4231" s="19" t="b">
        <f t="shared" si="13"/>
        <v>0</v>
      </c>
      <c r="AG4231" s="9"/>
      <c r="AH4231" s="9"/>
      <c r="AI4231" s="9"/>
    </row>
    <row r="4232" ht="15.0" customHeight="1">
      <c r="A4232" s="11">
        <v>4231.0</v>
      </c>
      <c r="B4232" s="12">
        <f t="shared" ref="B4232:B4237" si="667">DATE(2012,12,31)-740</f>
        <v>40534</v>
      </c>
      <c r="C4232" s="13">
        <v>2010.0</v>
      </c>
      <c r="D4232" s="11" t="s">
        <v>23</v>
      </c>
      <c r="E4232" s="11">
        <v>10.0</v>
      </c>
      <c r="F4232" s="21" t="s">
        <v>130</v>
      </c>
      <c r="G4232" s="15">
        <v>0.053899427883167816</v>
      </c>
      <c r="H4232" s="11" t="s">
        <v>24</v>
      </c>
      <c r="I4232" s="16">
        <v>5.2</v>
      </c>
      <c r="J4232" s="11" t="s">
        <v>780</v>
      </c>
      <c r="K4232" s="11" t="s">
        <v>83</v>
      </c>
      <c r="L4232" s="11" t="s">
        <v>48</v>
      </c>
      <c r="M4232" s="11" t="s">
        <v>66</v>
      </c>
      <c r="N4232" s="11" t="s">
        <v>67</v>
      </c>
      <c r="O4232" s="11" t="s">
        <v>1305</v>
      </c>
      <c r="P4232" s="11" t="s">
        <v>38</v>
      </c>
      <c r="Q4232" s="20">
        <v>40536.0</v>
      </c>
      <c r="R4232" s="17">
        <f t="shared" si="2"/>
        <v>16.93520024</v>
      </c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>
        <f t="shared" si="8"/>
        <v>4</v>
      </c>
      <c r="AF4232" s="19" t="b">
        <f t="shared" si="13"/>
        <v>0</v>
      </c>
      <c r="AG4232" s="9"/>
      <c r="AH4232" s="9"/>
      <c r="AI4232" s="9"/>
    </row>
    <row r="4233" ht="15.0" customHeight="1">
      <c r="A4233" s="11">
        <v>4232.0</v>
      </c>
      <c r="B4233" s="12">
        <f t="shared" si="667"/>
        <v>40534</v>
      </c>
      <c r="C4233" s="13">
        <v>2010.0</v>
      </c>
      <c r="D4233" s="11" t="s">
        <v>23</v>
      </c>
      <c r="E4233" s="11">
        <v>14.0</v>
      </c>
      <c r="F4233" s="21" t="s">
        <v>758</v>
      </c>
      <c r="G4233" s="15">
        <v>0.10563380281690142</v>
      </c>
      <c r="H4233" s="11" t="s">
        <v>33</v>
      </c>
      <c r="I4233" s="16">
        <v>0.4</v>
      </c>
      <c r="J4233" s="11" t="s">
        <v>196</v>
      </c>
      <c r="K4233" s="11" t="s">
        <v>65</v>
      </c>
      <c r="L4233" s="11" t="s">
        <v>27</v>
      </c>
      <c r="M4233" s="11" t="s">
        <v>28</v>
      </c>
      <c r="N4233" s="11" t="s">
        <v>188</v>
      </c>
      <c r="O4233" s="11" t="s">
        <v>787</v>
      </c>
      <c r="P4233" s="11" t="s">
        <v>38</v>
      </c>
      <c r="Q4233" s="20">
        <v>40536.0</v>
      </c>
      <c r="R4233" s="17">
        <f t="shared" si="2"/>
        <v>5.366197183</v>
      </c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>
        <f t="shared" si="8"/>
        <v>1</v>
      </c>
      <c r="AF4233" s="19">
        <f t="shared" si="13"/>
        <v>5</v>
      </c>
      <c r="AG4233" s="9"/>
      <c r="AH4233" s="9"/>
      <c r="AI4233" s="9"/>
    </row>
    <row r="4234" ht="15.0" customHeight="1">
      <c r="A4234" s="11">
        <v>4233.0</v>
      </c>
      <c r="B4234" s="12">
        <f t="shared" si="667"/>
        <v>40534</v>
      </c>
      <c r="C4234" s="13">
        <v>2010.0</v>
      </c>
      <c r="D4234" s="11" t="s">
        <v>23</v>
      </c>
      <c r="E4234" s="11">
        <v>37.0</v>
      </c>
      <c r="F4234" s="21" t="s">
        <v>161</v>
      </c>
      <c r="G4234" s="15">
        <v>0.07547169811320757</v>
      </c>
      <c r="H4234" s="11" t="s">
        <v>24</v>
      </c>
      <c r="I4234" s="16">
        <v>28.0</v>
      </c>
      <c r="J4234" s="11" t="s">
        <v>196</v>
      </c>
      <c r="K4234" s="11" t="s">
        <v>65</v>
      </c>
      <c r="L4234" s="11" t="s">
        <v>27</v>
      </c>
      <c r="M4234" s="11" t="s">
        <v>28</v>
      </c>
      <c r="N4234" s="11" t="s">
        <v>29</v>
      </c>
      <c r="O4234" s="11" t="s">
        <v>162</v>
      </c>
      <c r="P4234" s="11" t="s">
        <v>31</v>
      </c>
      <c r="Q4234" s="20">
        <v>40536.0</v>
      </c>
      <c r="R4234" s="17">
        <f t="shared" si="2"/>
        <v>58.8</v>
      </c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>
        <f t="shared" si="8"/>
        <v>1</v>
      </c>
      <c r="AF4234" s="19">
        <f t="shared" si="13"/>
        <v>5</v>
      </c>
      <c r="AG4234" s="9"/>
      <c r="AH4234" s="9"/>
      <c r="AI4234" s="9"/>
    </row>
    <row r="4235" ht="15.0" customHeight="1">
      <c r="A4235" s="11">
        <v>4234.0</v>
      </c>
      <c r="B4235" s="12">
        <f t="shared" si="667"/>
        <v>40534</v>
      </c>
      <c r="C4235" s="13">
        <v>2010.0</v>
      </c>
      <c r="D4235" s="11" t="s">
        <v>23</v>
      </c>
      <c r="E4235" s="11">
        <v>21.0</v>
      </c>
      <c r="F4235" s="21" t="s">
        <v>943</v>
      </c>
      <c r="G4235" s="15">
        <v>0.029858881957482864</v>
      </c>
      <c r="H4235" s="11" t="s">
        <v>33</v>
      </c>
      <c r="I4235" s="16">
        <v>3.2</v>
      </c>
      <c r="J4235" s="11" t="s">
        <v>1501</v>
      </c>
      <c r="K4235" s="11" t="s">
        <v>35</v>
      </c>
      <c r="L4235" s="11" t="s">
        <v>48</v>
      </c>
      <c r="M4235" s="11" t="s">
        <v>66</v>
      </c>
      <c r="N4235" s="11" t="s">
        <v>67</v>
      </c>
      <c r="O4235" s="11" t="s">
        <v>944</v>
      </c>
      <c r="P4235" s="11" t="s">
        <v>38</v>
      </c>
      <c r="Q4235" s="20">
        <v>40537.0</v>
      </c>
      <c r="R4235" s="17">
        <f t="shared" si="2"/>
        <v>95.65591424</v>
      </c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>
        <f t="shared" si="8"/>
        <v>4</v>
      </c>
      <c r="AF4235" s="19">
        <f t="shared" si="13"/>
        <v>2</v>
      </c>
      <c r="AG4235" s="9"/>
      <c r="AH4235" s="9"/>
      <c r="AI4235" s="9"/>
    </row>
    <row r="4236" ht="15.0" customHeight="1">
      <c r="A4236" s="11">
        <v>4235.0</v>
      </c>
      <c r="B4236" s="12">
        <f t="shared" si="667"/>
        <v>40534</v>
      </c>
      <c r="C4236" s="13">
        <v>2010.0</v>
      </c>
      <c r="D4236" s="11" t="s">
        <v>23</v>
      </c>
      <c r="E4236" s="11">
        <v>5.0</v>
      </c>
      <c r="F4236" s="21" t="s">
        <v>290</v>
      </c>
      <c r="G4236" s="15">
        <v>0.07776223776223777</v>
      </c>
      <c r="H4236" s="11" t="s">
        <v>33</v>
      </c>
      <c r="I4236" s="16">
        <v>5.376</v>
      </c>
      <c r="J4236" s="11" t="s">
        <v>1501</v>
      </c>
      <c r="K4236" s="11" t="s">
        <v>35</v>
      </c>
      <c r="L4236" s="11" t="s">
        <v>48</v>
      </c>
      <c r="M4236" s="11" t="s">
        <v>28</v>
      </c>
      <c r="N4236" s="11" t="s">
        <v>56</v>
      </c>
      <c r="O4236" s="11" t="s">
        <v>2233</v>
      </c>
      <c r="P4236" s="11" t="s">
        <v>38</v>
      </c>
      <c r="Q4236" s="20">
        <v>40537.0</v>
      </c>
      <c r="R4236" s="17">
        <f t="shared" si="2"/>
        <v>2.051056783</v>
      </c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>
        <f t="shared" si="8"/>
        <v>4</v>
      </c>
      <c r="AF4236" s="19">
        <f t="shared" si="13"/>
        <v>2</v>
      </c>
      <c r="AG4236" s="9"/>
      <c r="AH4236" s="9"/>
      <c r="AI4236" s="9"/>
    </row>
    <row r="4237" ht="15.0" customHeight="1">
      <c r="A4237" s="11">
        <v>4236.0</v>
      </c>
      <c r="B4237" s="12">
        <f t="shared" si="667"/>
        <v>40534</v>
      </c>
      <c r="C4237" s="13">
        <v>2010.0</v>
      </c>
      <c r="D4237" s="11" t="s">
        <v>23</v>
      </c>
      <c r="E4237" s="11">
        <v>12.0</v>
      </c>
      <c r="F4237" s="21" t="s">
        <v>178</v>
      </c>
      <c r="G4237" s="15">
        <v>0.022201451236010215</v>
      </c>
      <c r="H4237" s="11" t="s">
        <v>33</v>
      </c>
      <c r="I4237" s="16">
        <v>4.248</v>
      </c>
      <c r="J4237" s="11" t="s">
        <v>798</v>
      </c>
      <c r="K4237" s="11" t="s">
        <v>117</v>
      </c>
      <c r="L4237" s="11" t="s">
        <v>36</v>
      </c>
      <c r="M4237" s="11" t="s">
        <v>66</v>
      </c>
      <c r="N4237" s="11" t="s">
        <v>80</v>
      </c>
      <c r="O4237" s="11" t="s">
        <v>1738</v>
      </c>
      <c r="P4237" s="11" t="s">
        <v>38</v>
      </c>
      <c r="Q4237" s="20">
        <v>40537.0</v>
      </c>
      <c r="R4237" s="17">
        <f t="shared" si="2"/>
        <v>17.6512194</v>
      </c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>
        <f t="shared" si="8"/>
        <v>2</v>
      </c>
      <c r="AF4237" s="19" t="b">
        <f t="shared" si="13"/>
        <v>0</v>
      </c>
      <c r="AG4237" s="9"/>
      <c r="AH4237" s="9"/>
      <c r="AI4237" s="9"/>
    </row>
    <row r="4238" ht="15.0" customHeight="1">
      <c r="A4238" s="11">
        <v>4237.0</v>
      </c>
      <c r="B4238" s="12">
        <f>DATE(2012,12,31)-739</f>
        <v>40535</v>
      </c>
      <c r="C4238" s="13">
        <v>2010.0</v>
      </c>
      <c r="D4238" s="11" t="s">
        <v>32</v>
      </c>
      <c r="E4238" s="11">
        <v>25.0</v>
      </c>
      <c r="F4238" s="21" t="s">
        <v>1452</v>
      </c>
      <c r="G4238" s="15">
        <v>0.010953670355862841</v>
      </c>
      <c r="H4238" s="11" t="s">
        <v>45</v>
      </c>
      <c r="I4238" s="16">
        <v>39.2</v>
      </c>
      <c r="J4238" s="11" t="s">
        <v>2140</v>
      </c>
      <c r="K4238" s="11" t="s">
        <v>714</v>
      </c>
      <c r="L4238" s="11" t="s">
        <v>48</v>
      </c>
      <c r="M4238" s="11" t="s">
        <v>66</v>
      </c>
      <c r="N4238" s="11" t="s">
        <v>170</v>
      </c>
      <c r="O4238" s="11" t="s">
        <v>1453</v>
      </c>
      <c r="P4238" s="11" t="s">
        <v>52</v>
      </c>
      <c r="Q4238" s="20">
        <v>40537.0</v>
      </c>
      <c r="R4238" s="17">
        <f t="shared" si="2"/>
        <v>123.6307912</v>
      </c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>
        <f t="shared" si="8"/>
        <v>4</v>
      </c>
      <c r="AF4238" s="19" t="b">
        <f t="shared" si="13"/>
        <v>0</v>
      </c>
      <c r="AG4238" s="9"/>
      <c r="AH4238" s="9"/>
      <c r="AI4238" s="9"/>
    </row>
    <row r="4239" ht="15.0" customHeight="1">
      <c r="A4239" s="11">
        <v>4238.0</v>
      </c>
      <c r="B4239" s="12">
        <f t="shared" ref="B4239:B4246" si="668">DATE(2012,12,31)-738</f>
        <v>40536</v>
      </c>
      <c r="C4239" s="13">
        <v>2010.0</v>
      </c>
      <c r="D4239" s="11" t="s">
        <v>39</v>
      </c>
      <c r="E4239" s="11">
        <v>43.0</v>
      </c>
      <c r="F4239" s="21" t="s">
        <v>221</v>
      </c>
      <c r="G4239" s="15">
        <v>0.05083408884859465</v>
      </c>
      <c r="H4239" s="11" t="s">
        <v>33</v>
      </c>
      <c r="I4239" s="16">
        <v>5.016</v>
      </c>
      <c r="J4239" s="11" t="s">
        <v>1629</v>
      </c>
      <c r="K4239" s="11" t="s">
        <v>65</v>
      </c>
      <c r="L4239" s="11" t="s">
        <v>41</v>
      </c>
      <c r="M4239" s="11" t="s">
        <v>28</v>
      </c>
      <c r="N4239" s="11" t="s">
        <v>42</v>
      </c>
      <c r="O4239" s="11" t="s">
        <v>1542</v>
      </c>
      <c r="P4239" s="11" t="s">
        <v>38</v>
      </c>
      <c r="Q4239" s="20">
        <v>40538.0</v>
      </c>
      <c r="R4239" s="17">
        <f t="shared" si="2"/>
        <v>63.86367917</v>
      </c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>
        <f t="shared" si="8"/>
        <v>3</v>
      </c>
      <c r="AF4239" s="19">
        <f t="shared" si="13"/>
        <v>5</v>
      </c>
      <c r="AG4239" s="9"/>
      <c r="AH4239" s="9"/>
      <c r="AI4239" s="9"/>
    </row>
    <row r="4240" ht="15.0" customHeight="1">
      <c r="A4240" s="11">
        <v>4239.0</v>
      </c>
      <c r="B4240" s="12">
        <f t="shared" si="668"/>
        <v>40536</v>
      </c>
      <c r="C4240" s="13">
        <v>2010.0</v>
      </c>
      <c r="D4240" s="11" t="s">
        <v>39</v>
      </c>
      <c r="E4240" s="11">
        <v>13.0</v>
      </c>
      <c r="F4240" s="21" t="s">
        <v>544</v>
      </c>
      <c r="G4240" s="15">
        <v>0.03730742812285348</v>
      </c>
      <c r="H4240" s="11" t="s">
        <v>45</v>
      </c>
      <c r="I4240" s="16">
        <v>64.16000000000001</v>
      </c>
      <c r="J4240" s="11" t="s">
        <v>1629</v>
      </c>
      <c r="K4240" s="11" t="s">
        <v>65</v>
      </c>
      <c r="L4240" s="11" t="s">
        <v>41</v>
      </c>
      <c r="M4240" s="11" t="s">
        <v>49</v>
      </c>
      <c r="N4240" s="11" t="s">
        <v>85</v>
      </c>
      <c r="O4240" s="11" t="s">
        <v>545</v>
      </c>
      <c r="P4240" s="11" t="s">
        <v>87</v>
      </c>
      <c r="Q4240" s="20">
        <v>40538.0</v>
      </c>
      <c r="R4240" s="17">
        <f t="shared" si="2"/>
        <v>73.20314317</v>
      </c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>
        <f t="shared" si="8"/>
        <v>3</v>
      </c>
      <c r="AF4240" s="19">
        <f t="shared" si="13"/>
        <v>5</v>
      </c>
      <c r="AG4240" s="9"/>
      <c r="AH4240" s="9"/>
      <c r="AI4240" s="9"/>
    </row>
    <row r="4241" ht="15.0" customHeight="1">
      <c r="A4241" s="11">
        <v>4240.0</v>
      </c>
      <c r="B4241" s="12">
        <f t="shared" si="668"/>
        <v>40536</v>
      </c>
      <c r="C4241" s="13">
        <v>2010.0</v>
      </c>
      <c r="D4241" s="11" t="s">
        <v>39</v>
      </c>
      <c r="E4241" s="11">
        <v>4.0</v>
      </c>
      <c r="F4241" s="21" t="s">
        <v>128</v>
      </c>
      <c r="G4241" s="15">
        <v>0.059240881318274353</v>
      </c>
      <c r="H4241" s="11" t="s">
        <v>33</v>
      </c>
      <c r="I4241" s="16">
        <v>4.5040000000000004</v>
      </c>
      <c r="J4241" s="11" t="s">
        <v>1629</v>
      </c>
      <c r="K4241" s="11" t="s">
        <v>65</v>
      </c>
      <c r="L4241" s="11" t="s">
        <v>41</v>
      </c>
      <c r="M4241" s="11" t="s">
        <v>66</v>
      </c>
      <c r="N4241" s="11" t="s">
        <v>80</v>
      </c>
      <c r="O4241" s="11" t="s">
        <v>2419</v>
      </c>
      <c r="P4241" s="11" t="s">
        <v>38</v>
      </c>
      <c r="Q4241" s="20">
        <v>40538.0</v>
      </c>
      <c r="R4241" s="17">
        <f t="shared" si="2"/>
        <v>30.10052876</v>
      </c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>
        <f t="shared" si="8"/>
        <v>3</v>
      </c>
      <c r="AF4241" s="19">
        <f t="shared" si="13"/>
        <v>5</v>
      </c>
      <c r="AG4241" s="9"/>
      <c r="AH4241" s="9"/>
      <c r="AI4241" s="9"/>
    </row>
    <row r="4242" ht="15.0" customHeight="1">
      <c r="A4242" s="11">
        <v>4241.0</v>
      </c>
      <c r="B4242" s="12">
        <f t="shared" si="668"/>
        <v>40536</v>
      </c>
      <c r="C4242" s="13">
        <v>2010.0</v>
      </c>
      <c r="D4242" s="11" t="s">
        <v>32</v>
      </c>
      <c r="E4242" s="11">
        <v>28.0</v>
      </c>
      <c r="F4242" s="21" t="s">
        <v>147</v>
      </c>
      <c r="G4242" s="15">
        <v>0.10764912280701747</v>
      </c>
      <c r="H4242" s="11" t="s">
        <v>33</v>
      </c>
      <c r="I4242" s="16">
        <v>3.2640000000000002</v>
      </c>
      <c r="J4242" s="11" t="s">
        <v>1364</v>
      </c>
      <c r="K4242" s="11" t="s">
        <v>35</v>
      </c>
      <c r="L4242" s="11" t="s">
        <v>27</v>
      </c>
      <c r="M4242" s="11" t="s">
        <v>49</v>
      </c>
      <c r="N4242" s="11" t="s">
        <v>73</v>
      </c>
      <c r="O4242" s="11" t="s">
        <v>458</v>
      </c>
      <c r="P4242" s="11" t="s">
        <v>99</v>
      </c>
      <c r="Q4242" s="20">
        <v>40538.0</v>
      </c>
      <c r="R4242" s="17">
        <f t="shared" si="2"/>
        <v>5.475464982</v>
      </c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>
        <f t="shared" si="8"/>
        <v>1</v>
      </c>
      <c r="AF4242" s="19">
        <f t="shared" si="13"/>
        <v>2</v>
      </c>
      <c r="AG4242" s="9"/>
      <c r="AH4242" s="9"/>
      <c r="AI4242" s="9"/>
    </row>
    <row r="4243" ht="15.0" customHeight="1">
      <c r="A4243" s="11">
        <v>4242.0</v>
      </c>
      <c r="B4243" s="12">
        <f t="shared" si="668"/>
        <v>40536</v>
      </c>
      <c r="C4243" s="13">
        <v>2010.0</v>
      </c>
      <c r="D4243" s="11" t="s">
        <v>23</v>
      </c>
      <c r="E4243" s="11">
        <v>16.0</v>
      </c>
      <c r="F4243" s="21" t="s">
        <v>569</v>
      </c>
      <c r="G4243" s="15">
        <v>0.010896039292235917</v>
      </c>
      <c r="H4243" s="11" t="s">
        <v>33</v>
      </c>
      <c r="I4243" s="16">
        <v>7.192</v>
      </c>
      <c r="J4243" s="11" t="s">
        <v>659</v>
      </c>
      <c r="K4243" s="11" t="s">
        <v>26</v>
      </c>
      <c r="L4243" s="11" t="s">
        <v>48</v>
      </c>
      <c r="M4243" s="11" t="s">
        <v>66</v>
      </c>
      <c r="N4243" s="11" t="s">
        <v>80</v>
      </c>
      <c r="O4243" s="11" t="s">
        <v>755</v>
      </c>
      <c r="P4243" s="11" t="s">
        <v>38</v>
      </c>
      <c r="Q4243" s="20">
        <v>40538.0</v>
      </c>
      <c r="R4243" s="17">
        <f t="shared" si="2"/>
        <v>34.23090987</v>
      </c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>
        <f t="shared" si="8"/>
        <v>4</v>
      </c>
      <c r="AF4243" s="19">
        <f t="shared" si="13"/>
        <v>1</v>
      </c>
      <c r="AG4243" s="9"/>
      <c r="AH4243" s="9"/>
      <c r="AI4243" s="9"/>
    </row>
    <row r="4244" ht="15.0" customHeight="1">
      <c r="A4244" s="11">
        <v>4243.0</v>
      </c>
      <c r="B4244" s="12">
        <f t="shared" si="668"/>
        <v>40536</v>
      </c>
      <c r="C4244" s="13">
        <v>2010.0</v>
      </c>
      <c r="D4244" s="11" t="s">
        <v>32</v>
      </c>
      <c r="E4244" s="11">
        <v>2.0</v>
      </c>
      <c r="F4244" s="21" t="s">
        <v>1596</v>
      </c>
      <c r="G4244" s="15">
        <v>0.08969283276450517</v>
      </c>
      <c r="H4244" s="11" t="s">
        <v>33</v>
      </c>
      <c r="I4244" s="16">
        <v>19.592</v>
      </c>
      <c r="J4244" s="11" t="s">
        <v>2253</v>
      </c>
      <c r="K4244" s="11" t="s">
        <v>117</v>
      </c>
      <c r="L4244" s="11" t="s">
        <v>27</v>
      </c>
      <c r="M4244" s="11" t="s">
        <v>49</v>
      </c>
      <c r="N4244" s="11" t="s">
        <v>73</v>
      </c>
      <c r="O4244" s="11" t="s">
        <v>1597</v>
      </c>
      <c r="P4244" s="11" t="s">
        <v>31</v>
      </c>
      <c r="Q4244" s="20">
        <v>40538.0</v>
      </c>
      <c r="R4244" s="17">
        <f t="shared" si="2"/>
        <v>26.31515959</v>
      </c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>
        <f t="shared" si="8"/>
        <v>1</v>
      </c>
      <c r="AF4244" s="19" t="b">
        <f t="shared" si="13"/>
        <v>0</v>
      </c>
      <c r="AG4244" s="9"/>
      <c r="AH4244" s="9"/>
      <c r="AI4244" s="9"/>
    </row>
    <row r="4245" ht="15.0" customHeight="1">
      <c r="A4245" s="11">
        <v>4244.0</v>
      </c>
      <c r="B4245" s="12">
        <f t="shared" si="668"/>
        <v>40536</v>
      </c>
      <c r="C4245" s="13">
        <v>2010.0</v>
      </c>
      <c r="D4245" s="11" t="s">
        <v>23</v>
      </c>
      <c r="E4245" s="11">
        <v>16.0</v>
      </c>
      <c r="F4245" s="21" t="s">
        <v>565</v>
      </c>
      <c r="G4245" s="15">
        <v>0.06705496148470749</v>
      </c>
      <c r="H4245" s="11" t="s">
        <v>33</v>
      </c>
      <c r="I4245" s="16">
        <v>15.991999999999999</v>
      </c>
      <c r="J4245" s="11" t="s">
        <v>958</v>
      </c>
      <c r="K4245" s="11" t="s">
        <v>35</v>
      </c>
      <c r="L4245" s="11" t="s">
        <v>27</v>
      </c>
      <c r="M4245" s="11" t="s">
        <v>28</v>
      </c>
      <c r="N4245" s="11" t="s">
        <v>29</v>
      </c>
      <c r="O4245" s="11" t="s">
        <v>566</v>
      </c>
      <c r="P4245" s="11" t="s">
        <v>38</v>
      </c>
      <c r="Q4245" s="20">
        <v>40538.0</v>
      </c>
      <c r="R4245" s="17">
        <f t="shared" si="2"/>
        <v>192.474025</v>
      </c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>
        <f t="shared" si="8"/>
        <v>1</v>
      </c>
      <c r="AF4245" s="19">
        <f t="shared" si="13"/>
        <v>2</v>
      </c>
      <c r="AG4245" s="9"/>
      <c r="AH4245" s="9"/>
      <c r="AI4245" s="9"/>
    </row>
    <row r="4246" ht="15.0" customHeight="1">
      <c r="A4246" s="11">
        <v>4245.0</v>
      </c>
      <c r="B4246" s="12">
        <f t="shared" si="668"/>
        <v>40536</v>
      </c>
      <c r="C4246" s="13">
        <v>2010.0</v>
      </c>
      <c r="D4246" s="11" t="s">
        <v>23</v>
      </c>
      <c r="E4246" s="11">
        <v>9.0</v>
      </c>
      <c r="F4246" s="21" t="s">
        <v>128</v>
      </c>
      <c r="G4246" s="15">
        <v>0.021665521978021872</v>
      </c>
      <c r="H4246" s="11" t="s">
        <v>33</v>
      </c>
      <c r="I4246" s="16">
        <v>6.464</v>
      </c>
      <c r="J4246" s="11" t="s">
        <v>958</v>
      </c>
      <c r="K4246" s="11" t="s">
        <v>35</v>
      </c>
      <c r="L4246" s="11" t="s">
        <v>27</v>
      </c>
      <c r="M4246" s="11" t="s">
        <v>66</v>
      </c>
      <c r="N4246" s="11" t="s">
        <v>80</v>
      </c>
      <c r="O4246" s="11" t="s">
        <v>1508</v>
      </c>
      <c r="P4246" s="11" t="s">
        <v>38</v>
      </c>
      <c r="Q4246" s="20">
        <v>40538.0</v>
      </c>
      <c r="R4246" s="17">
        <f t="shared" si="2"/>
        <v>24.68924889</v>
      </c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>
        <f t="shared" si="8"/>
        <v>1</v>
      </c>
      <c r="AF4246" s="19">
        <f t="shared" si="13"/>
        <v>2</v>
      </c>
      <c r="AG4246" s="9"/>
      <c r="AH4246" s="9"/>
      <c r="AI4246" s="9"/>
    </row>
    <row r="4247" ht="15.0" customHeight="1">
      <c r="A4247" s="11">
        <v>4246.0</v>
      </c>
      <c r="B4247" s="12">
        <f t="shared" ref="B4247:B4252" si="669">DATE(2012,12,31)-737</f>
        <v>40537</v>
      </c>
      <c r="C4247" s="13">
        <v>2010.0</v>
      </c>
      <c r="D4247" s="11" t="s">
        <v>39</v>
      </c>
      <c r="E4247" s="11">
        <v>34.0</v>
      </c>
      <c r="F4247" s="21" t="s">
        <v>461</v>
      </c>
      <c r="G4247" s="15">
        <v>0.06953915546455375</v>
      </c>
      <c r="H4247" s="11" t="s">
        <v>33</v>
      </c>
      <c r="I4247" s="16">
        <v>44.96000000000001</v>
      </c>
      <c r="J4247" s="11" t="s">
        <v>426</v>
      </c>
      <c r="K4247" s="11" t="s">
        <v>61</v>
      </c>
      <c r="L4247" s="11" t="s">
        <v>27</v>
      </c>
      <c r="M4247" s="11" t="s">
        <v>49</v>
      </c>
      <c r="N4247" s="11" t="s">
        <v>73</v>
      </c>
      <c r="O4247" s="11" t="s">
        <v>463</v>
      </c>
      <c r="P4247" s="11" t="s">
        <v>75</v>
      </c>
      <c r="Q4247" s="20">
        <v>40538.0</v>
      </c>
      <c r="R4247" s="17">
        <f t="shared" si="2"/>
        <v>218.0441943</v>
      </c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>
        <f t="shared" si="8"/>
        <v>1</v>
      </c>
      <c r="AF4247" s="19">
        <f t="shared" si="13"/>
        <v>4</v>
      </c>
      <c r="AG4247" s="9"/>
      <c r="AH4247" s="9"/>
      <c r="AI4247" s="9"/>
    </row>
    <row r="4248" ht="15.0" customHeight="1">
      <c r="A4248" s="11">
        <v>4247.0</v>
      </c>
      <c r="B4248" s="12">
        <f t="shared" si="669"/>
        <v>40537</v>
      </c>
      <c r="C4248" s="13">
        <v>2010.0</v>
      </c>
      <c r="D4248" s="11" t="s">
        <v>39</v>
      </c>
      <c r="E4248" s="11">
        <v>45.0</v>
      </c>
      <c r="F4248" s="21" t="s">
        <v>521</v>
      </c>
      <c r="G4248" s="15">
        <v>0.09239025374379865</v>
      </c>
      <c r="H4248" s="11" t="s">
        <v>45</v>
      </c>
      <c r="I4248" s="16">
        <v>55.712</v>
      </c>
      <c r="J4248" s="11" t="s">
        <v>426</v>
      </c>
      <c r="K4248" s="11" t="s">
        <v>61</v>
      </c>
      <c r="L4248" s="11" t="s">
        <v>27</v>
      </c>
      <c r="M4248" s="11" t="s">
        <v>49</v>
      </c>
      <c r="N4248" s="11" t="s">
        <v>85</v>
      </c>
      <c r="O4248" s="11" t="s">
        <v>522</v>
      </c>
      <c r="P4248" s="11" t="s">
        <v>87</v>
      </c>
      <c r="Q4248" s="20">
        <v>40538.0</v>
      </c>
      <c r="R4248" s="17">
        <f t="shared" si="2"/>
        <v>914.405928</v>
      </c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>
        <f t="shared" si="8"/>
        <v>1</v>
      </c>
      <c r="AF4248" s="19">
        <f t="shared" si="13"/>
        <v>4</v>
      </c>
      <c r="AG4248" s="9"/>
      <c r="AH4248" s="9"/>
      <c r="AI4248" s="9"/>
    </row>
    <row r="4249" ht="15.0" customHeight="1">
      <c r="A4249" s="11">
        <v>4248.0</v>
      </c>
      <c r="B4249" s="12">
        <f t="shared" si="669"/>
        <v>40537</v>
      </c>
      <c r="C4249" s="13">
        <v>2010.0</v>
      </c>
      <c r="D4249" s="11" t="s">
        <v>39</v>
      </c>
      <c r="E4249" s="11">
        <v>17.0</v>
      </c>
      <c r="F4249" s="21" t="s">
        <v>394</v>
      </c>
      <c r="G4249" s="15">
        <v>0.07731435313820277</v>
      </c>
      <c r="H4249" s="11" t="s">
        <v>45</v>
      </c>
      <c r="I4249" s="16">
        <v>28.872000000000003</v>
      </c>
      <c r="J4249" s="11" t="s">
        <v>426</v>
      </c>
      <c r="K4249" s="11" t="s">
        <v>61</v>
      </c>
      <c r="L4249" s="11" t="s">
        <v>27</v>
      </c>
      <c r="M4249" s="11" t="s">
        <v>49</v>
      </c>
      <c r="N4249" s="11" t="s">
        <v>156</v>
      </c>
      <c r="O4249" s="11" t="s">
        <v>1194</v>
      </c>
      <c r="P4249" s="11" t="s">
        <v>87</v>
      </c>
      <c r="Q4249" s="20">
        <v>40538.0</v>
      </c>
      <c r="R4249" s="17">
        <f t="shared" si="2"/>
        <v>187.4232901</v>
      </c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>
        <f t="shared" si="8"/>
        <v>1</v>
      </c>
      <c r="AF4249" s="19">
        <f t="shared" si="13"/>
        <v>4</v>
      </c>
      <c r="AG4249" s="9"/>
      <c r="AH4249" s="9"/>
      <c r="AI4249" s="9"/>
    </row>
    <row r="4250" ht="15.0" customHeight="1">
      <c r="A4250" s="11">
        <v>4249.0</v>
      </c>
      <c r="B4250" s="12">
        <f t="shared" si="669"/>
        <v>40537</v>
      </c>
      <c r="C4250" s="13">
        <v>2010.0</v>
      </c>
      <c r="D4250" s="11" t="s">
        <v>39</v>
      </c>
      <c r="E4250" s="11">
        <v>46.0</v>
      </c>
      <c r="F4250" s="21" t="s">
        <v>306</v>
      </c>
      <c r="G4250" s="15">
        <v>0.03470015698587134</v>
      </c>
      <c r="H4250" s="11" t="s">
        <v>33</v>
      </c>
      <c r="I4250" s="16">
        <v>6.944</v>
      </c>
      <c r="J4250" s="11" t="s">
        <v>1851</v>
      </c>
      <c r="K4250" s="11" t="s">
        <v>26</v>
      </c>
      <c r="L4250" s="11" t="s">
        <v>48</v>
      </c>
      <c r="M4250" s="11" t="s">
        <v>28</v>
      </c>
      <c r="N4250" s="11" t="s">
        <v>56</v>
      </c>
      <c r="O4250" s="11" t="s">
        <v>401</v>
      </c>
      <c r="P4250" s="11" t="s">
        <v>38</v>
      </c>
      <c r="Q4250" s="20">
        <v>40539.0</v>
      </c>
      <c r="R4250" s="17">
        <f t="shared" si="2"/>
        <v>32.00548159</v>
      </c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>
        <f t="shared" si="8"/>
        <v>4</v>
      </c>
      <c r="AF4250" s="19">
        <f t="shared" si="13"/>
        <v>1</v>
      </c>
      <c r="AG4250" s="9"/>
      <c r="AH4250" s="9"/>
      <c r="AI4250" s="9"/>
    </row>
    <row r="4251" ht="15.0" customHeight="1">
      <c r="A4251" s="11">
        <v>4250.0</v>
      </c>
      <c r="B4251" s="12">
        <f t="shared" si="669"/>
        <v>40537</v>
      </c>
      <c r="C4251" s="13">
        <v>2010.0</v>
      </c>
      <c r="D4251" s="11" t="s">
        <v>39</v>
      </c>
      <c r="E4251" s="11">
        <v>16.0</v>
      </c>
      <c r="F4251" s="21" t="s">
        <v>1452</v>
      </c>
      <c r="G4251" s="15">
        <v>0.08398724244418575</v>
      </c>
      <c r="H4251" s="11" t="s">
        <v>45</v>
      </c>
      <c r="I4251" s="16">
        <v>39.2</v>
      </c>
      <c r="J4251" s="11" t="s">
        <v>1851</v>
      </c>
      <c r="K4251" s="11" t="s">
        <v>26</v>
      </c>
      <c r="L4251" s="11" t="s">
        <v>48</v>
      </c>
      <c r="M4251" s="11" t="s">
        <v>66</v>
      </c>
      <c r="N4251" s="11" t="s">
        <v>170</v>
      </c>
      <c r="O4251" s="11" t="s">
        <v>1453</v>
      </c>
      <c r="P4251" s="11" t="s">
        <v>52</v>
      </c>
      <c r="Q4251" s="20">
        <v>40539.0</v>
      </c>
      <c r="R4251" s="17">
        <f t="shared" si="2"/>
        <v>607.8660659</v>
      </c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>
        <f t="shared" si="8"/>
        <v>4</v>
      </c>
      <c r="AF4251" s="19">
        <f t="shared" si="13"/>
        <v>1</v>
      </c>
      <c r="AG4251" s="9"/>
      <c r="AH4251" s="9"/>
      <c r="AI4251" s="9"/>
    </row>
    <row r="4252" ht="15.0" customHeight="1">
      <c r="A4252" s="11">
        <v>4251.0</v>
      </c>
      <c r="B4252" s="12">
        <f t="shared" si="669"/>
        <v>40537</v>
      </c>
      <c r="C4252" s="13">
        <v>2010.0</v>
      </c>
      <c r="D4252" s="11" t="s">
        <v>102</v>
      </c>
      <c r="E4252" s="11">
        <v>4.0</v>
      </c>
      <c r="F4252" s="21" t="s">
        <v>914</v>
      </c>
      <c r="G4252" s="15">
        <v>0.042785030461270766</v>
      </c>
      <c r="H4252" s="11" t="s">
        <v>33</v>
      </c>
      <c r="I4252" s="16">
        <v>10.384</v>
      </c>
      <c r="J4252" s="11" t="s">
        <v>839</v>
      </c>
      <c r="K4252" s="11" t="s">
        <v>83</v>
      </c>
      <c r="L4252" s="11" t="s">
        <v>36</v>
      </c>
      <c r="M4252" s="11" t="s">
        <v>28</v>
      </c>
      <c r="N4252" s="11" t="s">
        <v>42</v>
      </c>
      <c r="O4252" s="11" t="s">
        <v>915</v>
      </c>
      <c r="P4252" s="11" t="s">
        <v>38</v>
      </c>
      <c r="Q4252" s="20">
        <v>40539.0</v>
      </c>
      <c r="R4252" s="17">
        <f t="shared" si="2"/>
        <v>4.70566879</v>
      </c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>
        <f t="shared" si="8"/>
        <v>2</v>
      </c>
      <c r="AF4252" s="19" t="b">
        <f t="shared" si="13"/>
        <v>0</v>
      </c>
      <c r="AG4252" s="9"/>
      <c r="AH4252" s="9"/>
      <c r="AI4252" s="9"/>
    </row>
    <row r="4253" ht="15.0" customHeight="1">
      <c r="A4253" s="11">
        <v>4252.0</v>
      </c>
      <c r="B4253" s="12">
        <f t="shared" ref="B4253:B4266" si="670">DATE(2012,12,31)-736</f>
        <v>40538</v>
      </c>
      <c r="C4253" s="13">
        <v>2010.0</v>
      </c>
      <c r="D4253" s="11" t="s">
        <v>32</v>
      </c>
      <c r="E4253" s="11">
        <v>15.0</v>
      </c>
      <c r="F4253" s="21" t="s">
        <v>290</v>
      </c>
      <c r="G4253" s="15">
        <v>0.08096774193548388</v>
      </c>
      <c r="H4253" s="11" t="s">
        <v>33</v>
      </c>
      <c r="I4253" s="16">
        <v>5.376</v>
      </c>
      <c r="J4253" s="11" t="s">
        <v>604</v>
      </c>
      <c r="K4253" s="11" t="s">
        <v>83</v>
      </c>
      <c r="L4253" s="11" t="s">
        <v>36</v>
      </c>
      <c r="M4253" s="11" t="s">
        <v>28</v>
      </c>
      <c r="N4253" s="11" t="s">
        <v>56</v>
      </c>
      <c r="O4253" s="11" t="s">
        <v>2233</v>
      </c>
      <c r="P4253" s="11" t="s">
        <v>38</v>
      </c>
      <c r="Q4253" s="20">
        <v>40539.0</v>
      </c>
      <c r="R4253" s="17">
        <f t="shared" si="2"/>
        <v>5.536250323</v>
      </c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>
        <f t="shared" si="8"/>
        <v>2</v>
      </c>
      <c r="AF4253" s="19" t="b">
        <f t="shared" si="13"/>
        <v>0</v>
      </c>
      <c r="AG4253" s="9"/>
      <c r="AH4253" s="9"/>
      <c r="AI4253" s="9"/>
    </row>
    <row r="4254" ht="15.0" customHeight="1">
      <c r="A4254" s="11">
        <v>4253.0</v>
      </c>
      <c r="B4254" s="12">
        <f t="shared" si="670"/>
        <v>40538</v>
      </c>
      <c r="C4254" s="13">
        <v>2010.0</v>
      </c>
      <c r="D4254" s="11" t="s">
        <v>32</v>
      </c>
      <c r="E4254" s="11">
        <v>3.0</v>
      </c>
      <c r="F4254" s="21" t="s">
        <v>137</v>
      </c>
      <c r="G4254" s="15">
        <v>0.054206096876753276</v>
      </c>
      <c r="H4254" s="11" t="s">
        <v>45</v>
      </c>
      <c r="I4254" s="16">
        <v>53.016</v>
      </c>
      <c r="J4254" s="11" t="s">
        <v>604</v>
      </c>
      <c r="K4254" s="11" t="s">
        <v>83</v>
      </c>
      <c r="L4254" s="11" t="s">
        <v>36</v>
      </c>
      <c r="M4254" s="11" t="s">
        <v>49</v>
      </c>
      <c r="N4254" s="11" t="s">
        <v>156</v>
      </c>
      <c r="O4254" s="11" t="s">
        <v>1553</v>
      </c>
      <c r="P4254" s="11" t="s">
        <v>87</v>
      </c>
      <c r="Q4254" s="20">
        <v>40539.0</v>
      </c>
      <c r="R4254" s="17">
        <f t="shared" si="2"/>
        <v>27.41289049</v>
      </c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>
        <f t="shared" si="8"/>
        <v>2</v>
      </c>
      <c r="AF4254" s="19" t="b">
        <f t="shared" si="13"/>
        <v>0</v>
      </c>
      <c r="AG4254" s="9"/>
      <c r="AH4254" s="9"/>
      <c r="AI4254" s="9"/>
    </row>
    <row r="4255" ht="15.0" customHeight="1">
      <c r="A4255" s="11">
        <v>4254.0</v>
      </c>
      <c r="B4255" s="12">
        <f t="shared" si="670"/>
        <v>40538</v>
      </c>
      <c r="C4255" s="13">
        <v>2010.0</v>
      </c>
      <c r="D4255" s="11" t="s">
        <v>32</v>
      </c>
      <c r="E4255" s="11">
        <v>23.0</v>
      </c>
      <c r="F4255" s="21" t="s">
        <v>122</v>
      </c>
      <c r="G4255" s="15">
        <v>0.09649822860339355</v>
      </c>
      <c r="H4255" s="11" t="s">
        <v>33</v>
      </c>
      <c r="I4255" s="16">
        <v>3.848</v>
      </c>
      <c r="J4255" s="11" t="s">
        <v>604</v>
      </c>
      <c r="K4255" s="11" t="s">
        <v>83</v>
      </c>
      <c r="L4255" s="11" t="s">
        <v>36</v>
      </c>
      <c r="M4255" s="11" t="s">
        <v>66</v>
      </c>
      <c r="N4255" s="11" t="s">
        <v>80</v>
      </c>
      <c r="O4255" s="11" t="s">
        <v>899</v>
      </c>
      <c r="P4255" s="11" t="s">
        <v>75</v>
      </c>
      <c r="Q4255" s="20">
        <v>40539.0</v>
      </c>
      <c r="R4255" s="17">
        <f t="shared" si="2"/>
        <v>46.75802367</v>
      </c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>
        <f t="shared" si="8"/>
        <v>2</v>
      </c>
      <c r="AF4255" s="19" t="b">
        <f t="shared" si="13"/>
        <v>0</v>
      </c>
      <c r="AG4255" s="9"/>
      <c r="AH4255" s="9"/>
      <c r="AI4255" s="9"/>
    </row>
    <row r="4256" ht="15.0" customHeight="1">
      <c r="A4256" s="11">
        <v>4255.0</v>
      </c>
      <c r="B4256" s="12">
        <f t="shared" si="670"/>
        <v>40538</v>
      </c>
      <c r="C4256" s="13">
        <v>2010.0</v>
      </c>
      <c r="D4256" s="11" t="s">
        <v>102</v>
      </c>
      <c r="E4256" s="11">
        <v>34.0</v>
      </c>
      <c r="F4256" s="21" t="s">
        <v>183</v>
      </c>
      <c r="G4256" s="15">
        <v>0.06617417824466289</v>
      </c>
      <c r="H4256" s="11" t="s">
        <v>24</v>
      </c>
      <c r="I4256" s="16">
        <v>10.544</v>
      </c>
      <c r="J4256" s="11" t="s">
        <v>363</v>
      </c>
      <c r="K4256" s="11" t="s">
        <v>65</v>
      </c>
      <c r="L4256" s="11" t="s">
        <v>27</v>
      </c>
      <c r="M4256" s="11" t="s">
        <v>28</v>
      </c>
      <c r="N4256" s="11" t="s">
        <v>42</v>
      </c>
      <c r="O4256" s="11" t="s">
        <v>185</v>
      </c>
      <c r="P4256" s="11" t="s">
        <v>38</v>
      </c>
      <c r="Q4256" s="20">
        <v>40539.0</v>
      </c>
      <c r="R4256" s="17">
        <f t="shared" si="2"/>
        <v>36.47150129</v>
      </c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>
        <f t="shared" si="8"/>
        <v>1</v>
      </c>
      <c r="AF4256" s="19">
        <f t="shared" si="13"/>
        <v>5</v>
      </c>
      <c r="AG4256" s="9"/>
      <c r="AH4256" s="9"/>
      <c r="AI4256" s="9"/>
    </row>
    <row r="4257" ht="15.0" customHeight="1">
      <c r="A4257" s="11">
        <v>4256.0</v>
      </c>
      <c r="B4257" s="12">
        <f t="shared" si="670"/>
        <v>40538</v>
      </c>
      <c r="C4257" s="13">
        <v>2010.0</v>
      </c>
      <c r="D4257" s="11" t="s">
        <v>102</v>
      </c>
      <c r="E4257" s="11">
        <v>1.0</v>
      </c>
      <c r="F4257" s="21" t="s">
        <v>126</v>
      </c>
      <c r="G4257" s="15">
        <v>0.044827586206896364</v>
      </c>
      <c r="H4257" s="11" t="s">
        <v>33</v>
      </c>
      <c r="I4257" s="16">
        <v>0.6400000000000001</v>
      </c>
      <c r="J4257" s="11" t="s">
        <v>363</v>
      </c>
      <c r="K4257" s="11" t="s">
        <v>65</v>
      </c>
      <c r="L4257" s="11" t="s">
        <v>27</v>
      </c>
      <c r="M4257" s="11" t="s">
        <v>28</v>
      </c>
      <c r="N4257" s="11" t="s">
        <v>56</v>
      </c>
      <c r="O4257" s="11" t="s">
        <v>517</v>
      </c>
      <c r="P4257" s="11" t="s">
        <v>58</v>
      </c>
      <c r="Q4257" s="20">
        <v>40540.0</v>
      </c>
      <c r="R4257" s="17">
        <f t="shared" si="2"/>
        <v>0.2483448276</v>
      </c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>
        <f t="shared" si="8"/>
        <v>1</v>
      </c>
      <c r="AF4257" s="19">
        <f t="shared" si="13"/>
        <v>5</v>
      </c>
      <c r="AG4257" s="9"/>
      <c r="AH4257" s="9"/>
      <c r="AI4257" s="9"/>
    </row>
    <row r="4258" ht="15.0" customHeight="1">
      <c r="A4258" s="11">
        <v>4257.0</v>
      </c>
      <c r="B4258" s="12">
        <f t="shared" si="670"/>
        <v>40538</v>
      </c>
      <c r="C4258" s="13">
        <v>2010.0</v>
      </c>
      <c r="D4258" s="11" t="s">
        <v>44</v>
      </c>
      <c r="E4258" s="11">
        <v>17.0</v>
      </c>
      <c r="F4258" s="21" t="s">
        <v>762</v>
      </c>
      <c r="G4258" s="15">
        <v>0.03968445475638047</v>
      </c>
      <c r="H4258" s="11" t="s">
        <v>33</v>
      </c>
      <c r="I4258" s="16">
        <v>4.648</v>
      </c>
      <c r="J4258" s="11" t="s">
        <v>1024</v>
      </c>
      <c r="K4258" s="11" t="s">
        <v>26</v>
      </c>
      <c r="L4258" s="11" t="s">
        <v>48</v>
      </c>
      <c r="M4258" s="11" t="s">
        <v>28</v>
      </c>
      <c r="N4258" s="11" t="s">
        <v>62</v>
      </c>
      <c r="O4258" s="11" t="s">
        <v>955</v>
      </c>
      <c r="P4258" s="11" t="s">
        <v>99</v>
      </c>
      <c r="Q4258" s="20">
        <v>40540.0</v>
      </c>
      <c r="R4258" s="17">
        <f t="shared" si="2"/>
        <v>8.212618543</v>
      </c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>
        <f t="shared" si="8"/>
        <v>4</v>
      </c>
      <c r="AF4258" s="19">
        <f t="shared" si="13"/>
        <v>1</v>
      </c>
      <c r="AG4258" s="9"/>
      <c r="AH4258" s="9"/>
      <c r="AI4258" s="9"/>
    </row>
    <row r="4259" ht="15.0" customHeight="1">
      <c r="A4259" s="11">
        <v>4258.0</v>
      </c>
      <c r="B4259" s="12">
        <f t="shared" si="670"/>
        <v>40538</v>
      </c>
      <c r="C4259" s="13">
        <v>2010.0</v>
      </c>
      <c r="D4259" s="11" t="s">
        <v>44</v>
      </c>
      <c r="E4259" s="11">
        <v>7.0</v>
      </c>
      <c r="F4259" s="21" t="s">
        <v>569</v>
      </c>
      <c r="G4259" s="15">
        <v>0.07505046427129605</v>
      </c>
      <c r="H4259" s="11" t="s">
        <v>33</v>
      </c>
      <c r="I4259" s="16">
        <v>3.3600000000000003</v>
      </c>
      <c r="J4259" s="11" t="s">
        <v>1024</v>
      </c>
      <c r="K4259" s="11" t="s">
        <v>26</v>
      </c>
      <c r="L4259" s="11" t="s">
        <v>48</v>
      </c>
      <c r="M4259" s="11" t="s">
        <v>66</v>
      </c>
      <c r="N4259" s="11" t="s">
        <v>80</v>
      </c>
      <c r="O4259" s="11" t="s">
        <v>1834</v>
      </c>
      <c r="P4259" s="11" t="s">
        <v>38</v>
      </c>
      <c r="Q4259" s="20">
        <v>40541.0</v>
      </c>
      <c r="R4259" s="17">
        <f t="shared" si="2"/>
        <v>103.1688712</v>
      </c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>
        <f t="shared" si="8"/>
        <v>4</v>
      </c>
      <c r="AF4259" s="19">
        <f t="shared" si="13"/>
        <v>1</v>
      </c>
      <c r="AG4259" s="9"/>
      <c r="AH4259" s="9"/>
      <c r="AI4259" s="9"/>
    </row>
    <row r="4260" ht="15.0" customHeight="1">
      <c r="A4260" s="11">
        <v>4259.0</v>
      </c>
      <c r="B4260" s="12">
        <f t="shared" si="670"/>
        <v>40538</v>
      </c>
      <c r="C4260" s="13">
        <v>2010.0</v>
      </c>
      <c r="D4260" s="11" t="s">
        <v>44</v>
      </c>
      <c r="E4260" s="11">
        <v>43.0</v>
      </c>
      <c r="F4260" s="21" t="s">
        <v>128</v>
      </c>
      <c r="G4260" s="15">
        <v>0.05754307871537629</v>
      </c>
      <c r="H4260" s="11" t="s">
        <v>24</v>
      </c>
      <c r="I4260" s="16">
        <v>6.464</v>
      </c>
      <c r="J4260" s="11" t="s">
        <v>1024</v>
      </c>
      <c r="K4260" s="11" t="s">
        <v>26</v>
      </c>
      <c r="L4260" s="11" t="s">
        <v>48</v>
      </c>
      <c r="M4260" s="11" t="s">
        <v>66</v>
      </c>
      <c r="N4260" s="11" t="s">
        <v>80</v>
      </c>
      <c r="O4260" s="11" t="s">
        <v>2243</v>
      </c>
      <c r="P4260" s="11" t="s">
        <v>38</v>
      </c>
      <c r="Q4260" s="20">
        <v>40541.0</v>
      </c>
      <c r="R4260" s="17">
        <f t="shared" si="2"/>
        <v>311.8929237</v>
      </c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>
        <f t="shared" si="8"/>
        <v>4</v>
      </c>
      <c r="AF4260" s="19">
        <f t="shared" si="13"/>
        <v>1</v>
      </c>
      <c r="AG4260" s="9"/>
      <c r="AH4260" s="9"/>
      <c r="AI4260" s="9"/>
    </row>
    <row r="4261" ht="15.0" customHeight="1">
      <c r="A4261" s="11">
        <v>4260.0</v>
      </c>
      <c r="B4261" s="12">
        <f t="shared" si="670"/>
        <v>40538</v>
      </c>
      <c r="C4261" s="13">
        <v>2010.0</v>
      </c>
      <c r="D4261" s="11" t="s">
        <v>44</v>
      </c>
      <c r="E4261" s="11">
        <v>4.0</v>
      </c>
      <c r="F4261" s="21" t="s">
        <v>668</v>
      </c>
      <c r="G4261" s="15">
        <v>0.08185567010309265</v>
      </c>
      <c r="H4261" s="11" t="s">
        <v>33</v>
      </c>
      <c r="I4261" s="16">
        <v>4.024</v>
      </c>
      <c r="J4261" s="11" t="s">
        <v>2496</v>
      </c>
      <c r="K4261" s="11" t="s">
        <v>47</v>
      </c>
      <c r="L4261" s="11" t="s">
        <v>27</v>
      </c>
      <c r="M4261" s="11" t="s">
        <v>66</v>
      </c>
      <c r="N4261" s="11" t="s">
        <v>80</v>
      </c>
      <c r="O4261" s="11" t="s">
        <v>1603</v>
      </c>
      <c r="P4261" s="11" t="s">
        <v>75</v>
      </c>
      <c r="Q4261" s="20">
        <v>40541.0</v>
      </c>
      <c r="R4261" s="17">
        <f t="shared" si="2"/>
        <v>2.916026392</v>
      </c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>
        <f t="shared" si="8"/>
        <v>1</v>
      </c>
      <c r="AF4261" s="19">
        <f t="shared" si="13"/>
        <v>3</v>
      </c>
      <c r="AG4261" s="9"/>
      <c r="AH4261" s="9"/>
      <c r="AI4261" s="9"/>
    </row>
    <row r="4262" ht="15.0" customHeight="1">
      <c r="A4262" s="11">
        <v>4261.0</v>
      </c>
      <c r="B4262" s="12">
        <f t="shared" si="670"/>
        <v>40538</v>
      </c>
      <c r="C4262" s="13">
        <v>2010.0</v>
      </c>
      <c r="D4262" s="11" t="s">
        <v>44</v>
      </c>
      <c r="E4262" s="11">
        <v>47.0</v>
      </c>
      <c r="F4262" s="21" t="s">
        <v>128</v>
      </c>
      <c r="G4262" s="15">
        <v>0.0485800546009314</v>
      </c>
      <c r="H4262" s="11" t="s">
        <v>33</v>
      </c>
      <c r="I4262" s="16">
        <v>7.192</v>
      </c>
      <c r="J4262" s="11" t="s">
        <v>2496</v>
      </c>
      <c r="K4262" s="11" t="s">
        <v>47</v>
      </c>
      <c r="L4262" s="11" t="s">
        <v>27</v>
      </c>
      <c r="M4262" s="11" t="s">
        <v>66</v>
      </c>
      <c r="N4262" s="11" t="s">
        <v>80</v>
      </c>
      <c r="O4262" s="11" t="s">
        <v>875</v>
      </c>
      <c r="P4262" s="11" t="s">
        <v>38</v>
      </c>
      <c r="Q4262" s="20">
        <v>40541.0</v>
      </c>
      <c r="R4262" s="17">
        <f t="shared" si="2"/>
        <v>287.8121448</v>
      </c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>
        <f t="shared" si="8"/>
        <v>1</v>
      </c>
      <c r="AF4262" s="19">
        <f t="shared" si="13"/>
        <v>3</v>
      </c>
      <c r="AG4262" s="9"/>
      <c r="AH4262" s="9"/>
      <c r="AI4262" s="9"/>
    </row>
    <row r="4263" ht="15.0" customHeight="1">
      <c r="A4263" s="11">
        <v>4262.0</v>
      </c>
      <c r="B4263" s="12">
        <f t="shared" si="670"/>
        <v>40538</v>
      </c>
      <c r="C4263" s="13">
        <v>2010.0</v>
      </c>
      <c r="D4263" s="11" t="s">
        <v>102</v>
      </c>
      <c r="E4263" s="11">
        <v>5.0</v>
      </c>
      <c r="F4263" s="21" t="s">
        <v>894</v>
      </c>
      <c r="G4263" s="15">
        <v>0.10052356020942417</v>
      </c>
      <c r="H4263" s="11" t="s">
        <v>24</v>
      </c>
      <c r="I4263" s="16">
        <v>0.68</v>
      </c>
      <c r="J4263" s="11" t="s">
        <v>1292</v>
      </c>
      <c r="K4263" s="11" t="s">
        <v>61</v>
      </c>
      <c r="L4263" s="11" t="s">
        <v>27</v>
      </c>
      <c r="M4263" s="11" t="s">
        <v>28</v>
      </c>
      <c r="N4263" s="11" t="s">
        <v>62</v>
      </c>
      <c r="O4263" s="11" t="s">
        <v>1206</v>
      </c>
      <c r="P4263" s="11" t="s">
        <v>58</v>
      </c>
      <c r="Q4263" s="20">
        <v>40541.0</v>
      </c>
      <c r="R4263" s="17">
        <f t="shared" si="2"/>
        <v>1.726994764</v>
      </c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>
        <f t="shared" si="8"/>
        <v>1</v>
      </c>
      <c r="AF4263" s="19">
        <f t="shared" si="13"/>
        <v>4</v>
      </c>
      <c r="AG4263" s="9"/>
      <c r="AH4263" s="9"/>
      <c r="AI4263" s="9"/>
    </row>
    <row r="4264" ht="15.0" customHeight="1">
      <c r="A4264" s="11">
        <v>4263.0</v>
      </c>
      <c r="B4264" s="12">
        <f t="shared" si="670"/>
        <v>40538</v>
      </c>
      <c r="C4264" s="13">
        <v>2010.0</v>
      </c>
      <c r="D4264" s="11" t="s">
        <v>102</v>
      </c>
      <c r="E4264" s="11">
        <v>42.0</v>
      </c>
      <c r="F4264" s="21" t="s">
        <v>199</v>
      </c>
      <c r="G4264" s="15">
        <v>0.0983558640847643</v>
      </c>
      <c r="H4264" s="11" t="s">
        <v>33</v>
      </c>
      <c r="I4264" s="16">
        <v>6.36</v>
      </c>
      <c r="J4264" s="11" t="s">
        <v>1292</v>
      </c>
      <c r="K4264" s="11" t="s">
        <v>61</v>
      </c>
      <c r="L4264" s="11" t="s">
        <v>27</v>
      </c>
      <c r="M4264" s="11" t="s">
        <v>28</v>
      </c>
      <c r="N4264" s="11" t="s">
        <v>62</v>
      </c>
      <c r="O4264" s="11" t="s">
        <v>1924</v>
      </c>
      <c r="P4264" s="11" t="s">
        <v>99</v>
      </c>
      <c r="Q4264" s="20">
        <v>40541.0</v>
      </c>
      <c r="R4264" s="17">
        <f t="shared" si="2"/>
        <v>48.54452028</v>
      </c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>
        <f t="shared" si="8"/>
        <v>1</v>
      </c>
      <c r="AF4264" s="19">
        <f t="shared" si="13"/>
        <v>4</v>
      </c>
      <c r="AG4264" s="9"/>
      <c r="AH4264" s="9"/>
      <c r="AI4264" s="9"/>
    </row>
    <row r="4265" ht="15.0" customHeight="1">
      <c r="A4265" s="11">
        <v>4264.0</v>
      </c>
      <c r="B4265" s="12">
        <f t="shared" si="670"/>
        <v>40538</v>
      </c>
      <c r="C4265" s="13">
        <v>2010.0</v>
      </c>
      <c r="D4265" s="11" t="s">
        <v>44</v>
      </c>
      <c r="E4265" s="11">
        <v>25.0</v>
      </c>
      <c r="F4265" s="21" t="s">
        <v>558</v>
      </c>
      <c r="G4265" s="15">
        <v>0.05098258548366602</v>
      </c>
      <c r="H4265" s="11" t="s">
        <v>33</v>
      </c>
      <c r="I4265" s="16">
        <v>1.592</v>
      </c>
      <c r="J4265" s="11" t="s">
        <v>1462</v>
      </c>
      <c r="K4265" s="11" t="s">
        <v>61</v>
      </c>
      <c r="L4265" s="11" t="s">
        <v>27</v>
      </c>
      <c r="M4265" s="11" t="s">
        <v>66</v>
      </c>
      <c r="N4265" s="11" t="s">
        <v>67</v>
      </c>
      <c r="O4265" s="11" t="s">
        <v>559</v>
      </c>
      <c r="P4265" s="11" t="s">
        <v>99</v>
      </c>
      <c r="Q4265" s="20">
        <v>40542.0</v>
      </c>
      <c r="R4265" s="17">
        <f t="shared" si="2"/>
        <v>38.06319046</v>
      </c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>
        <f t="shared" si="8"/>
        <v>1</v>
      </c>
      <c r="AF4265" s="19">
        <f t="shared" si="13"/>
        <v>4</v>
      </c>
      <c r="AG4265" s="9"/>
      <c r="AH4265" s="9"/>
      <c r="AI4265" s="9"/>
    </row>
    <row r="4266" ht="15.0" customHeight="1">
      <c r="A4266" s="11">
        <v>4265.0</v>
      </c>
      <c r="B4266" s="12">
        <f t="shared" si="670"/>
        <v>40538</v>
      </c>
      <c r="C4266" s="13">
        <v>2010.0</v>
      </c>
      <c r="D4266" s="11" t="s">
        <v>32</v>
      </c>
      <c r="E4266" s="11">
        <v>24.0</v>
      </c>
      <c r="F4266" s="21" t="s">
        <v>287</v>
      </c>
      <c r="G4266" s="15">
        <v>0.0665228315856477</v>
      </c>
      <c r="H4266" s="11" t="s">
        <v>33</v>
      </c>
      <c r="I4266" s="16">
        <v>4.736</v>
      </c>
      <c r="J4266" s="11" t="s">
        <v>2026</v>
      </c>
      <c r="K4266" s="11" t="s">
        <v>65</v>
      </c>
      <c r="L4266" s="11" t="s">
        <v>48</v>
      </c>
      <c r="M4266" s="11" t="s">
        <v>66</v>
      </c>
      <c r="N4266" s="11" t="s">
        <v>80</v>
      </c>
      <c r="O4266" s="11" t="s">
        <v>435</v>
      </c>
      <c r="P4266" s="11" t="s">
        <v>38</v>
      </c>
      <c r="Q4266" s="20">
        <v>40542.0</v>
      </c>
      <c r="R4266" s="17">
        <f t="shared" si="2"/>
        <v>185.3549605</v>
      </c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>
        <f t="shared" si="8"/>
        <v>4</v>
      </c>
      <c r="AF4266" s="19">
        <f t="shared" si="13"/>
        <v>5</v>
      </c>
      <c r="AG4266" s="9"/>
      <c r="AH4266" s="9"/>
      <c r="AI4266" s="9"/>
    </row>
    <row r="4267" ht="15.0" customHeight="1">
      <c r="A4267" s="11">
        <v>4266.0</v>
      </c>
      <c r="B4267" s="12">
        <f t="shared" ref="B4267:B4268" si="671">DATE(2012,12,31)-735</f>
        <v>40539</v>
      </c>
      <c r="C4267" s="13">
        <v>2010.0</v>
      </c>
      <c r="D4267" s="11" t="s">
        <v>102</v>
      </c>
      <c r="E4267" s="11">
        <v>34.0</v>
      </c>
      <c r="F4267" s="21" t="s">
        <v>1047</v>
      </c>
      <c r="G4267" s="15">
        <v>0.03252047596971099</v>
      </c>
      <c r="H4267" s="11" t="s">
        <v>33</v>
      </c>
      <c r="I4267" s="16">
        <v>11.112000000000002</v>
      </c>
      <c r="J4267" s="11" t="s">
        <v>1108</v>
      </c>
      <c r="K4267" s="11" t="s">
        <v>47</v>
      </c>
      <c r="L4267" s="11" t="s">
        <v>27</v>
      </c>
      <c r="M4267" s="11" t="s">
        <v>28</v>
      </c>
      <c r="N4267" s="11" t="s">
        <v>62</v>
      </c>
      <c r="O4267" s="11" t="s">
        <v>1049</v>
      </c>
      <c r="P4267" s="11" t="s">
        <v>58</v>
      </c>
      <c r="Q4267" s="20">
        <v>40542.0</v>
      </c>
      <c r="R4267" s="17">
        <f t="shared" si="2"/>
        <v>40.71927821</v>
      </c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>
        <f t="shared" si="8"/>
        <v>1</v>
      </c>
      <c r="AF4267" s="19">
        <f t="shared" si="13"/>
        <v>3</v>
      </c>
      <c r="AG4267" s="9"/>
      <c r="AH4267" s="9"/>
      <c r="AI4267" s="9"/>
    </row>
    <row r="4268" ht="15.0" customHeight="1">
      <c r="A4268" s="11">
        <v>4267.0</v>
      </c>
      <c r="B4268" s="12">
        <f t="shared" si="671"/>
        <v>40539</v>
      </c>
      <c r="C4268" s="13">
        <v>2010.0</v>
      </c>
      <c r="D4268" s="11" t="s">
        <v>39</v>
      </c>
      <c r="E4268" s="11">
        <v>34.0</v>
      </c>
      <c r="F4268" s="21" t="s">
        <v>705</v>
      </c>
      <c r="G4268" s="15">
        <v>0.05057851239669411</v>
      </c>
      <c r="H4268" s="11" t="s">
        <v>33</v>
      </c>
      <c r="I4268" s="16">
        <v>0.568</v>
      </c>
      <c r="J4268" s="11" t="s">
        <v>630</v>
      </c>
      <c r="K4268" s="11" t="s">
        <v>35</v>
      </c>
      <c r="L4268" s="11" t="s">
        <v>36</v>
      </c>
      <c r="M4268" s="11" t="s">
        <v>28</v>
      </c>
      <c r="N4268" s="11" t="s">
        <v>216</v>
      </c>
      <c r="O4268" s="11" t="s">
        <v>2032</v>
      </c>
      <c r="P4268" s="11" t="s">
        <v>58</v>
      </c>
      <c r="Q4268" s="20">
        <v>40542.0</v>
      </c>
      <c r="R4268" s="17">
        <f t="shared" si="2"/>
        <v>6.391505455</v>
      </c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>
        <f t="shared" si="8"/>
        <v>2</v>
      </c>
      <c r="AF4268" s="19">
        <f t="shared" si="13"/>
        <v>2</v>
      </c>
      <c r="AG4268" s="9"/>
      <c r="AH4268" s="9"/>
      <c r="AI4268" s="9"/>
    </row>
    <row r="4269" ht="15.0" customHeight="1">
      <c r="A4269" s="11">
        <v>4268.0</v>
      </c>
      <c r="B4269" s="12">
        <f t="shared" ref="B4269:B4276" si="672">DATE(2012,12,31)-734</f>
        <v>40540</v>
      </c>
      <c r="C4269" s="13">
        <v>2010.0</v>
      </c>
      <c r="D4269" s="11" t="s">
        <v>39</v>
      </c>
      <c r="E4269" s="11">
        <v>43.0</v>
      </c>
      <c r="F4269" s="21" t="s">
        <v>926</v>
      </c>
      <c r="G4269" s="15">
        <v>0.10350854139290402</v>
      </c>
      <c r="H4269" s="11" t="s">
        <v>33</v>
      </c>
      <c r="I4269" s="16">
        <v>3.9840000000000004</v>
      </c>
      <c r="J4269" s="11" t="s">
        <v>514</v>
      </c>
      <c r="K4269" s="11" t="s">
        <v>61</v>
      </c>
      <c r="L4269" s="11" t="s">
        <v>41</v>
      </c>
      <c r="M4269" s="11" t="s">
        <v>49</v>
      </c>
      <c r="N4269" s="11" t="s">
        <v>73</v>
      </c>
      <c r="O4269" s="11" t="s">
        <v>927</v>
      </c>
      <c r="P4269" s="11" t="s">
        <v>99</v>
      </c>
      <c r="Q4269" s="20">
        <v>40542.0</v>
      </c>
      <c r="R4269" s="17">
        <f t="shared" si="2"/>
        <v>56.49330576</v>
      </c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>
        <f t="shared" si="8"/>
        <v>3</v>
      </c>
      <c r="AF4269" s="19">
        <f t="shared" si="13"/>
        <v>4</v>
      </c>
      <c r="AG4269" s="9"/>
      <c r="AH4269" s="9"/>
      <c r="AI4269" s="9"/>
    </row>
    <row r="4270" ht="15.0" customHeight="1">
      <c r="A4270" s="11">
        <v>4269.0</v>
      </c>
      <c r="B4270" s="12">
        <f t="shared" si="672"/>
        <v>40540</v>
      </c>
      <c r="C4270" s="13">
        <v>2010.0</v>
      </c>
      <c r="D4270" s="11" t="s">
        <v>39</v>
      </c>
      <c r="E4270" s="11">
        <v>24.0</v>
      </c>
      <c r="F4270" s="21" t="s">
        <v>914</v>
      </c>
      <c r="G4270" s="15">
        <v>0.024415917843389152</v>
      </c>
      <c r="H4270" s="11" t="s">
        <v>33</v>
      </c>
      <c r="I4270" s="16">
        <v>10.384</v>
      </c>
      <c r="J4270" s="11" t="s">
        <v>1152</v>
      </c>
      <c r="K4270" s="11" t="s">
        <v>65</v>
      </c>
      <c r="L4270" s="11" t="s">
        <v>41</v>
      </c>
      <c r="M4270" s="11" t="s">
        <v>28</v>
      </c>
      <c r="N4270" s="11" t="s">
        <v>42</v>
      </c>
      <c r="O4270" s="11" t="s">
        <v>915</v>
      </c>
      <c r="P4270" s="11" t="s">
        <v>38</v>
      </c>
      <c r="Q4270" s="20">
        <v>40542.0</v>
      </c>
      <c r="R4270" s="17">
        <f t="shared" si="2"/>
        <v>14.84448739</v>
      </c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>
        <f t="shared" si="8"/>
        <v>3</v>
      </c>
      <c r="AF4270" s="19">
        <f t="shared" si="13"/>
        <v>5</v>
      </c>
      <c r="AG4270" s="9"/>
      <c r="AH4270" s="9"/>
      <c r="AI4270" s="9"/>
    </row>
    <row r="4271" ht="15.0" customHeight="1">
      <c r="A4271" s="11">
        <v>4270.0</v>
      </c>
      <c r="B4271" s="12">
        <f t="shared" si="672"/>
        <v>40540</v>
      </c>
      <c r="C4271" s="13">
        <v>2010.0</v>
      </c>
      <c r="D4271" s="11" t="s">
        <v>39</v>
      </c>
      <c r="E4271" s="11">
        <v>21.0</v>
      </c>
      <c r="F4271" s="21" t="s">
        <v>158</v>
      </c>
      <c r="G4271" s="15">
        <v>0.02353591160221005</v>
      </c>
      <c r="H4271" s="11" t="s">
        <v>33</v>
      </c>
      <c r="I4271" s="16">
        <v>6.992000000000001</v>
      </c>
      <c r="J4271" s="11" t="s">
        <v>1560</v>
      </c>
      <c r="K4271" s="11" t="s">
        <v>26</v>
      </c>
      <c r="L4271" s="11" t="s">
        <v>27</v>
      </c>
      <c r="M4271" s="11" t="s">
        <v>28</v>
      </c>
      <c r="N4271" s="11" t="s">
        <v>56</v>
      </c>
      <c r="O4271" s="11" t="s">
        <v>2047</v>
      </c>
      <c r="P4271" s="11" t="s">
        <v>38</v>
      </c>
      <c r="Q4271" s="20">
        <v>40542.0</v>
      </c>
      <c r="R4271" s="17">
        <f t="shared" si="2"/>
        <v>3.327789613</v>
      </c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>
        <f t="shared" si="8"/>
        <v>1</v>
      </c>
      <c r="AF4271" s="19">
        <f t="shared" si="13"/>
        <v>1</v>
      </c>
      <c r="AG4271" s="9"/>
      <c r="AH4271" s="9"/>
      <c r="AI4271" s="9"/>
    </row>
    <row r="4272" ht="15.0" customHeight="1">
      <c r="A4272" s="11">
        <v>4271.0</v>
      </c>
      <c r="B4272" s="12">
        <f t="shared" si="672"/>
        <v>40540</v>
      </c>
      <c r="C4272" s="13">
        <v>2010.0</v>
      </c>
      <c r="D4272" s="11" t="s">
        <v>39</v>
      </c>
      <c r="E4272" s="11">
        <v>7.0</v>
      </c>
      <c r="F4272" s="21" t="s">
        <v>122</v>
      </c>
      <c r="G4272" s="15">
        <v>0.05543543543543554</v>
      </c>
      <c r="H4272" s="11" t="s">
        <v>45</v>
      </c>
      <c r="I4272" s="16">
        <v>42.42400000000001</v>
      </c>
      <c r="J4272" s="11" t="s">
        <v>1560</v>
      </c>
      <c r="K4272" s="11" t="s">
        <v>26</v>
      </c>
      <c r="L4272" s="11" t="s">
        <v>27</v>
      </c>
      <c r="M4272" s="11" t="s">
        <v>28</v>
      </c>
      <c r="N4272" s="11" t="s">
        <v>29</v>
      </c>
      <c r="O4272" s="11" t="s">
        <v>725</v>
      </c>
      <c r="P4272" s="11" t="s">
        <v>52</v>
      </c>
      <c r="Q4272" s="20">
        <v>40542.0</v>
      </c>
      <c r="R4272" s="17">
        <f t="shared" si="2"/>
        <v>10.46199712</v>
      </c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>
        <f t="shared" si="8"/>
        <v>1</v>
      </c>
      <c r="AF4272" s="19">
        <f t="shared" si="13"/>
        <v>1</v>
      </c>
      <c r="AG4272" s="9"/>
      <c r="AH4272" s="9"/>
      <c r="AI4272" s="9"/>
    </row>
    <row r="4273" ht="15.0" customHeight="1">
      <c r="A4273" s="11">
        <v>4272.0</v>
      </c>
      <c r="B4273" s="12">
        <f t="shared" si="672"/>
        <v>40540</v>
      </c>
      <c r="C4273" s="13">
        <v>2010.0</v>
      </c>
      <c r="D4273" s="11" t="s">
        <v>39</v>
      </c>
      <c r="E4273" s="11">
        <v>33.0</v>
      </c>
      <c r="F4273" s="21" t="s">
        <v>1878</v>
      </c>
      <c r="G4273" s="15">
        <v>0.03008425720620839</v>
      </c>
      <c r="H4273" s="11" t="s">
        <v>33</v>
      </c>
      <c r="I4273" s="16">
        <v>4.216</v>
      </c>
      <c r="J4273" s="11" t="s">
        <v>1560</v>
      </c>
      <c r="K4273" s="11" t="s">
        <v>26</v>
      </c>
      <c r="L4273" s="11" t="s">
        <v>27</v>
      </c>
      <c r="M4273" s="11" t="s">
        <v>28</v>
      </c>
      <c r="N4273" s="11" t="s">
        <v>42</v>
      </c>
      <c r="O4273" s="11" t="s">
        <v>1879</v>
      </c>
      <c r="P4273" s="11" t="s">
        <v>38</v>
      </c>
      <c r="Q4273" s="20">
        <v>40542.0</v>
      </c>
      <c r="R4273" s="17">
        <f t="shared" si="2"/>
        <v>6.579908399</v>
      </c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>
        <f t="shared" si="8"/>
        <v>1</v>
      </c>
      <c r="AF4273" s="19">
        <f t="shared" si="13"/>
        <v>1</v>
      </c>
      <c r="AG4273" s="9"/>
      <c r="AH4273" s="9"/>
      <c r="AI4273" s="9"/>
    </row>
    <row r="4274" ht="15.0" customHeight="1">
      <c r="A4274" s="22">
        <v>4273.0</v>
      </c>
      <c r="B4274" s="23">
        <f t="shared" si="672"/>
        <v>40540</v>
      </c>
      <c r="C4274" s="24">
        <v>2010.0</v>
      </c>
      <c r="D4274" s="22" t="s">
        <v>44</v>
      </c>
      <c r="E4274" s="22">
        <v>17.0</v>
      </c>
      <c r="F4274" s="25" t="s">
        <v>178</v>
      </c>
      <c r="G4274" s="26">
        <v>0.05823613325501373</v>
      </c>
      <c r="H4274" s="22" t="s">
        <v>33</v>
      </c>
      <c r="I4274" s="27">
        <v>2.0</v>
      </c>
      <c r="J4274" s="22" t="s">
        <v>1524</v>
      </c>
      <c r="K4274" s="22" t="s">
        <v>26</v>
      </c>
      <c r="L4274" s="22" t="s">
        <v>48</v>
      </c>
      <c r="M4274" s="22" t="s">
        <v>66</v>
      </c>
      <c r="N4274" s="22" t="s">
        <v>80</v>
      </c>
      <c r="O4274" s="22" t="s">
        <v>2356</v>
      </c>
      <c r="P4274" s="22" t="s">
        <v>38</v>
      </c>
      <c r="Q4274" s="20">
        <v>40542.0</v>
      </c>
      <c r="R4274" s="17">
        <f t="shared" si="2"/>
        <v>65.35841235</v>
      </c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>
        <f t="shared" si="8"/>
        <v>4</v>
      </c>
      <c r="AF4274" s="19">
        <f t="shared" si="13"/>
        <v>1</v>
      </c>
      <c r="AG4274" s="9"/>
      <c r="AH4274" s="9"/>
      <c r="AI4274" s="9"/>
    </row>
    <row r="4275" ht="15.0" customHeight="1">
      <c r="A4275" s="11">
        <v>4274.0</v>
      </c>
      <c r="B4275" s="12">
        <f t="shared" si="672"/>
        <v>40540</v>
      </c>
      <c r="C4275" s="13">
        <v>2010.0</v>
      </c>
      <c r="D4275" s="11" t="s">
        <v>102</v>
      </c>
      <c r="E4275" s="11">
        <v>34.0</v>
      </c>
      <c r="F4275" s="21" t="s">
        <v>336</v>
      </c>
      <c r="G4275" s="15">
        <v>0.05503099666189792</v>
      </c>
      <c r="H4275" s="11" t="s">
        <v>33</v>
      </c>
      <c r="I4275" s="16">
        <v>0.96</v>
      </c>
      <c r="J4275" s="11" t="s">
        <v>1640</v>
      </c>
      <c r="K4275" s="11" t="s">
        <v>61</v>
      </c>
      <c r="L4275" s="11" t="s">
        <v>48</v>
      </c>
      <c r="M4275" s="11" t="s">
        <v>28</v>
      </c>
      <c r="N4275" s="11" t="s">
        <v>62</v>
      </c>
      <c r="O4275" s="11" t="s">
        <v>1540</v>
      </c>
      <c r="P4275" s="11" t="s">
        <v>58</v>
      </c>
      <c r="Q4275" s="20">
        <v>40542.0</v>
      </c>
      <c r="R4275" s="17">
        <f t="shared" si="2"/>
        <v>10.9049423</v>
      </c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>
        <f t="shared" si="8"/>
        <v>4</v>
      </c>
      <c r="AF4275" s="19">
        <f t="shared" si="13"/>
        <v>4</v>
      </c>
      <c r="AG4275" s="9"/>
      <c r="AH4275" s="9"/>
      <c r="AI4275" s="9"/>
    </row>
    <row r="4276" ht="15.0" customHeight="1">
      <c r="A4276" s="11">
        <v>4275.0</v>
      </c>
      <c r="B4276" s="12">
        <f t="shared" si="672"/>
        <v>40540</v>
      </c>
      <c r="C4276" s="13">
        <v>2010.0</v>
      </c>
      <c r="D4276" s="11" t="s">
        <v>32</v>
      </c>
      <c r="E4276" s="11">
        <v>14.0</v>
      </c>
      <c r="F4276" s="21" t="s">
        <v>2011</v>
      </c>
      <c r="G4276" s="15">
        <v>0.030110556348074125</v>
      </c>
      <c r="H4276" s="11" t="s">
        <v>33</v>
      </c>
      <c r="I4276" s="16">
        <v>5.656000000000001</v>
      </c>
      <c r="J4276" s="11" t="s">
        <v>1387</v>
      </c>
      <c r="K4276" s="11" t="s">
        <v>26</v>
      </c>
      <c r="L4276" s="11" t="s">
        <v>41</v>
      </c>
      <c r="M4276" s="11" t="s">
        <v>28</v>
      </c>
      <c r="N4276" s="11" t="s">
        <v>29</v>
      </c>
      <c r="O4276" s="11" t="s">
        <v>54</v>
      </c>
      <c r="P4276" s="11" t="s">
        <v>38</v>
      </c>
      <c r="Q4276" s="20">
        <v>40543.0</v>
      </c>
      <c r="R4276" s="17">
        <f t="shared" si="2"/>
        <v>65.51021258</v>
      </c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>
        <f t="shared" si="8"/>
        <v>3</v>
      </c>
      <c r="AF4276" s="19">
        <f t="shared" si="13"/>
        <v>1</v>
      </c>
      <c r="AG4276" s="9"/>
      <c r="AH4276" s="9"/>
      <c r="AI4276" s="9"/>
    </row>
    <row r="4277" ht="15.0" customHeight="1">
      <c r="A4277" s="11">
        <v>4276.0</v>
      </c>
      <c r="B4277" s="12">
        <f t="shared" ref="B4277:B4284" si="673">DATE(2012,12,31)-733</f>
        <v>40541</v>
      </c>
      <c r="C4277" s="13">
        <v>2010.0</v>
      </c>
      <c r="D4277" s="11" t="s">
        <v>39</v>
      </c>
      <c r="E4277" s="11">
        <v>40.0</v>
      </c>
      <c r="F4277" s="21" t="s">
        <v>2306</v>
      </c>
      <c r="G4277" s="15">
        <v>0.05730050933786078</v>
      </c>
      <c r="H4277" s="11" t="s">
        <v>33</v>
      </c>
      <c r="I4277" s="16">
        <v>4.2</v>
      </c>
      <c r="J4277" s="11" t="s">
        <v>2027</v>
      </c>
      <c r="K4277" s="11" t="s">
        <v>83</v>
      </c>
      <c r="L4277" s="11" t="s">
        <v>48</v>
      </c>
      <c r="M4277" s="11" t="s">
        <v>28</v>
      </c>
      <c r="N4277" s="11" t="s">
        <v>236</v>
      </c>
      <c r="O4277" s="11" t="s">
        <v>2307</v>
      </c>
      <c r="P4277" s="11" t="s">
        <v>38</v>
      </c>
      <c r="Q4277" s="20">
        <v>40544.0</v>
      </c>
      <c r="R4277" s="17">
        <f t="shared" si="2"/>
        <v>25.45288625</v>
      </c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>
        <f t="shared" si="8"/>
        <v>4</v>
      </c>
      <c r="AF4277" s="19" t="b">
        <f t="shared" si="13"/>
        <v>0</v>
      </c>
      <c r="AG4277" s="9"/>
      <c r="AH4277" s="9"/>
      <c r="AI4277" s="9"/>
    </row>
    <row r="4278" ht="15.0" customHeight="1">
      <c r="A4278" s="11">
        <v>4277.0</v>
      </c>
      <c r="B4278" s="12">
        <f t="shared" si="673"/>
        <v>40541</v>
      </c>
      <c r="C4278" s="13">
        <v>2010.0</v>
      </c>
      <c r="D4278" s="11" t="s">
        <v>32</v>
      </c>
      <c r="E4278" s="11">
        <v>14.0</v>
      </c>
      <c r="F4278" s="21" t="s">
        <v>344</v>
      </c>
      <c r="G4278" s="15">
        <v>0.019948744233726275</v>
      </c>
      <c r="H4278" s="11" t="s">
        <v>24</v>
      </c>
      <c r="I4278" s="16">
        <v>3.608</v>
      </c>
      <c r="J4278" s="11" t="s">
        <v>1476</v>
      </c>
      <c r="K4278" s="11" t="s">
        <v>65</v>
      </c>
      <c r="L4278" s="11" t="s">
        <v>36</v>
      </c>
      <c r="M4278" s="11" t="s">
        <v>28</v>
      </c>
      <c r="N4278" s="11" t="s">
        <v>29</v>
      </c>
      <c r="O4278" s="11" t="s">
        <v>929</v>
      </c>
      <c r="P4278" s="11" t="s">
        <v>38</v>
      </c>
      <c r="Q4278" s="20">
        <v>40545.0</v>
      </c>
      <c r="R4278" s="17">
        <f t="shared" si="2"/>
        <v>3.814359487</v>
      </c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>
        <f t="shared" si="8"/>
        <v>2</v>
      </c>
      <c r="AF4278" s="19">
        <f t="shared" si="13"/>
        <v>5</v>
      </c>
      <c r="AG4278" s="9"/>
      <c r="AH4278" s="9"/>
      <c r="AI4278" s="9"/>
    </row>
    <row r="4279" ht="15.0" customHeight="1">
      <c r="A4279" s="11">
        <v>4278.0</v>
      </c>
      <c r="B4279" s="12">
        <f t="shared" si="673"/>
        <v>40541</v>
      </c>
      <c r="C4279" s="13">
        <v>2010.0</v>
      </c>
      <c r="D4279" s="11" t="s">
        <v>102</v>
      </c>
      <c r="E4279" s="11">
        <v>24.0</v>
      </c>
      <c r="F4279" s="21" t="s">
        <v>306</v>
      </c>
      <c r="G4279" s="15">
        <v>0.026824663587065666</v>
      </c>
      <c r="H4279" s="11" t="s">
        <v>33</v>
      </c>
      <c r="I4279" s="16">
        <v>6.944</v>
      </c>
      <c r="J4279" s="11" t="s">
        <v>1450</v>
      </c>
      <c r="K4279" s="11" t="s">
        <v>65</v>
      </c>
      <c r="L4279" s="11" t="s">
        <v>48</v>
      </c>
      <c r="M4279" s="11" t="s">
        <v>28</v>
      </c>
      <c r="N4279" s="11" t="s">
        <v>56</v>
      </c>
      <c r="O4279" s="11" t="s">
        <v>401</v>
      </c>
      <c r="P4279" s="11" t="s">
        <v>38</v>
      </c>
      <c r="Q4279" s="20">
        <v>40545.0</v>
      </c>
      <c r="R4279" s="17">
        <f t="shared" si="2"/>
        <v>12.99772979</v>
      </c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>
        <f t="shared" si="8"/>
        <v>4</v>
      </c>
      <c r="AF4279" s="19">
        <f t="shared" si="13"/>
        <v>5</v>
      </c>
      <c r="AG4279" s="9"/>
      <c r="AH4279" s="9"/>
      <c r="AI4279" s="9"/>
    </row>
    <row r="4280" ht="15.0" customHeight="1">
      <c r="A4280" s="11">
        <v>4279.0</v>
      </c>
      <c r="B4280" s="12">
        <f t="shared" si="673"/>
        <v>40541</v>
      </c>
      <c r="C4280" s="13">
        <v>2010.0</v>
      </c>
      <c r="D4280" s="11" t="s">
        <v>102</v>
      </c>
      <c r="E4280" s="11">
        <v>14.0</v>
      </c>
      <c r="F4280" s="21" t="s">
        <v>1521</v>
      </c>
      <c r="G4280" s="15">
        <v>0.05543111111111122</v>
      </c>
      <c r="H4280" s="11" t="s">
        <v>45</v>
      </c>
      <c r="I4280" s="16">
        <v>71.44</v>
      </c>
      <c r="J4280" s="11" t="s">
        <v>1450</v>
      </c>
      <c r="K4280" s="11" t="s">
        <v>65</v>
      </c>
      <c r="L4280" s="11" t="s">
        <v>48</v>
      </c>
      <c r="M4280" s="11" t="s">
        <v>49</v>
      </c>
      <c r="N4280" s="11" t="s">
        <v>85</v>
      </c>
      <c r="O4280" s="11" t="s">
        <v>1522</v>
      </c>
      <c r="P4280" s="11" t="s">
        <v>87</v>
      </c>
      <c r="Q4280" s="20">
        <v>40545.0</v>
      </c>
      <c r="R4280" s="17">
        <f t="shared" si="2"/>
        <v>58.90331591</v>
      </c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>
        <f t="shared" si="8"/>
        <v>4</v>
      </c>
      <c r="AF4280" s="19">
        <f t="shared" si="13"/>
        <v>5</v>
      </c>
      <c r="AG4280" s="9"/>
      <c r="AH4280" s="9"/>
      <c r="AI4280" s="9"/>
    </row>
    <row r="4281" ht="15.0" customHeight="1">
      <c r="A4281" s="11">
        <v>4280.0</v>
      </c>
      <c r="B4281" s="12">
        <f t="shared" si="673"/>
        <v>40541</v>
      </c>
      <c r="C4281" s="13">
        <v>2010.0</v>
      </c>
      <c r="D4281" s="11" t="s">
        <v>102</v>
      </c>
      <c r="E4281" s="11">
        <v>50.0</v>
      </c>
      <c r="F4281" s="21" t="s">
        <v>1207</v>
      </c>
      <c r="G4281" s="15">
        <v>0.06696176153569788</v>
      </c>
      <c r="H4281" s="11" t="s">
        <v>45</v>
      </c>
      <c r="I4281" s="16">
        <v>44.19200000000001</v>
      </c>
      <c r="J4281" s="11" t="s">
        <v>1535</v>
      </c>
      <c r="K4281" s="11" t="s">
        <v>65</v>
      </c>
      <c r="L4281" s="11" t="s">
        <v>48</v>
      </c>
      <c r="M4281" s="11" t="s">
        <v>28</v>
      </c>
      <c r="N4281" s="11" t="s">
        <v>197</v>
      </c>
      <c r="O4281" s="11" t="s">
        <v>2133</v>
      </c>
      <c r="P4281" s="11" t="s">
        <v>52</v>
      </c>
      <c r="Q4281" s="20">
        <v>40545.0</v>
      </c>
      <c r="R4281" s="17">
        <f t="shared" si="2"/>
        <v>608.6283073</v>
      </c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>
        <f t="shared" si="8"/>
        <v>4</v>
      </c>
      <c r="AF4281" s="19">
        <f t="shared" si="13"/>
        <v>5</v>
      </c>
      <c r="AG4281" s="9"/>
      <c r="AH4281" s="9"/>
      <c r="AI4281" s="9"/>
    </row>
    <row r="4282" ht="15.0" customHeight="1">
      <c r="A4282" s="11">
        <v>4281.0</v>
      </c>
      <c r="B4282" s="12">
        <f t="shared" si="673"/>
        <v>40541</v>
      </c>
      <c r="C4282" s="13">
        <v>2010.0</v>
      </c>
      <c r="D4282" s="11" t="s">
        <v>102</v>
      </c>
      <c r="E4282" s="11">
        <v>41.0</v>
      </c>
      <c r="F4282" s="21" t="s">
        <v>218</v>
      </c>
      <c r="G4282" s="15">
        <v>0.027121997816593944</v>
      </c>
      <c r="H4282" s="11" t="s">
        <v>24</v>
      </c>
      <c r="I4282" s="16">
        <v>1.904</v>
      </c>
      <c r="J4282" s="11" t="s">
        <v>1535</v>
      </c>
      <c r="K4282" s="11" t="s">
        <v>65</v>
      </c>
      <c r="L4282" s="11" t="s">
        <v>48</v>
      </c>
      <c r="M4282" s="11" t="s">
        <v>66</v>
      </c>
      <c r="N4282" s="11" t="s">
        <v>67</v>
      </c>
      <c r="O4282" s="11" t="s">
        <v>773</v>
      </c>
      <c r="P4282" s="11" t="s">
        <v>99</v>
      </c>
      <c r="Q4282" s="20">
        <v>40545.0</v>
      </c>
      <c r="R4282" s="17">
        <f t="shared" si="2"/>
        <v>9.281256141</v>
      </c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>
        <f t="shared" si="8"/>
        <v>4</v>
      </c>
      <c r="AF4282" s="19">
        <f t="shared" si="13"/>
        <v>5</v>
      </c>
      <c r="AG4282" s="9"/>
      <c r="AH4282" s="9"/>
      <c r="AI4282" s="9"/>
    </row>
    <row r="4283" ht="15.0" customHeight="1">
      <c r="A4283" s="11">
        <v>4282.0</v>
      </c>
      <c r="B4283" s="12">
        <f t="shared" si="673"/>
        <v>40541</v>
      </c>
      <c r="C4283" s="13">
        <v>2010.0</v>
      </c>
      <c r="D4283" s="11" t="s">
        <v>102</v>
      </c>
      <c r="E4283" s="11">
        <v>3.0</v>
      </c>
      <c r="F4283" s="21" t="s">
        <v>290</v>
      </c>
      <c r="G4283" s="15">
        <v>0.08229299363057313</v>
      </c>
      <c r="H4283" s="11" t="s">
        <v>33</v>
      </c>
      <c r="I4283" s="16">
        <v>1.8079999999999998</v>
      </c>
      <c r="J4283" s="11" t="s">
        <v>1535</v>
      </c>
      <c r="K4283" s="11" t="s">
        <v>65</v>
      </c>
      <c r="L4283" s="11" t="s">
        <v>48</v>
      </c>
      <c r="M4283" s="11" t="s">
        <v>28</v>
      </c>
      <c r="N4283" s="11" t="s">
        <v>56</v>
      </c>
      <c r="O4283" s="11" t="s">
        <v>365</v>
      </c>
      <c r="P4283" s="11" t="s">
        <v>58</v>
      </c>
      <c r="Q4283" s="20">
        <v>40546.0</v>
      </c>
      <c r="R4283" s="17">
        <f t="shared" si="2"/>
        <v>1.185677452</v>
      </c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>
        <f t="shared" si="8"/>
        <v>4</v>
      </c>
      <c r="AF4283" s="19">
        <f t="shared" si="13"/>
        <v>5</v>
      </c>
      <c r="AG4283" s="9"/>
      <c r="AH4283" s="9"/>
      <c r="AI4283" s="9"/>
    </row>
    <row r="4284" ht="15.0" customHeight="1">
      <c r="A4284" s="11">
        <v>4283.0</v>
      </c>
      <c r="B4284" s="12">
        <f t="shared" si="673"/>
        <v>40541</v>
      </c>
      <c r="C4284" s="13">
        <v>2010.0</v>
      </c>
      <c r="D4284" s="11" t="s">
        <v>102</v>
      </c>
      <c r="E4284" s="11">
        <v>25.0</v>
      </c>
      <c r="F4284" s="21" t="s">
        <v>158</v>
      </c>
      <c r="G4284" s="15">
        <v>0.051221719457013634</v>
      </c>
      <c r="H4284" s="11" t="s">
        <v>33</v>
      </c>
      <c r="I4284" s="16">
        <v>7.744</v>
      </c>
      <c r="J4284" s="11" t="s">
        <v>1535</v>
      </c>
      <c r="K4284" s="11" t="s">
        <v>65</v>
      </c>
      <c r="L4284" s="11" t="s">
        <v>48</v>
      </c>
      <c r="M4284" s="11" t="s">
        <v>28</v>
      </c>
      <c r="N4284" s="11" t="s">
        <v>56</v>
      </c>
      <c r="O4284" s="11" t="s">
        <v>635</v>
      </c>
      <c r="P4284" s="11" t="s">
        <v>38</v>
      </c>
      <c r="Q4284" s="20">
        <v>40547.0</v>
      </c>
      <c r="R4284" s="17">
        <f t="shared" si="2"/>
        <v>8.592136109</v>
      </c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>
        <f t="shared" si="8"/>
        <v>4</v>
      </c>
      <c r="AF4284" s="19">
        <f t="shared" si="13"/>
        <v>5</v>
      </c>
      <c r="AG4284" s="9"/>
      <c r="AH4284" s="9"/>
      <c r="AI4284" s="9"/>
    </row>
    <row r="4285" ht="15.0" customHeight="1">
      <c r="A4285" s="11">
        <v>4284.0</v>
      </c>
      <c r="B4285" s="12">
        <f t="shared" ref="B4285:B4292" si="674">DATE(2012,12,31)-732</f>
        <v>40542</v>
      </c>
      <c r="C4285" s="13">
        <v>2010.0</v>
      </c>
      <c r="D4285" s="11" t="s">
        <v>44</v>
      </c>
      <c r="E4285" s="11">
        <v>21.0</v>
      </c>
      <c r="F4285" s="21" t="s">
        <v>1227</v>
      </c>
      <c r="G4285" s="15">
        <v>0.026915113871635553</v>
      </c>
      <c r="H4285" s="11" t="s">
        <v>33</v>
      </c>
      <c r="I4285" s="16">
        <v>0.8</v>
      </c>
      <c r="J4285" s="11" t="s">
        <v>1939</v>
      </c>
      <c r="K4285" s="11" t="s">
        <v>83</v>
      </c>
      <c r="L4285" s="11" t="s">
        <v>27</v>
      </c>
      <c r="M4285" s="11" t="s">
        <v>28</v>
      </c>
      <c r="N4285" s="11" t="s">
        <v>62</v>
      </c>
      <c r="O4285" s="11" t="s">
        <v>1786</v>
      </c>
      <c r="P4285" s="11" t="s">
        <v>58</v>
      </c>
      <c r="Q4285" s="20">
        <v>40547.0</v>
      </c>
      <c r="R4285" s="17">
        <f t="shared" si="2"/>
        <v>1.265010352</v>
      </c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>
        <f t="shared" si="8"/>
        <v>1</v>
      </c>
      <c r="AF4285" s="19" t="b">
        <f t="shared" si="13"/>
        <v>0</v>
      </c>
      <c r="AG4285" s="9"/>
      <c r="AH4285" s="9"/>
      <c r="AI4285" s="9"/>
    </row>
    <row r="4286" ht="15.0" customHeight="1">
      <c r="A4286" s="11">
        <v>4285.0</v>
      </c>
      <c r="B4286" s="12">
        <f t="shared" si="674"/>
        <v>40542</v>
      </c>
      <c r="C4286" s="13">
        <v>2010.0</v>
      </c>
      <c r="D4286" s="11" t="s">
        <v>23</v>
      </c>
      <c r="E4286" s="11">
        <v>45.0</v>
      </c>
      <c r="F4286" s="21" t="s">
        <v>766</v>
      </c>
      <c r="G4286" s="15">
        <v>0.06692223957593826</v>
      </c>
      <c r="H4286" s="11" t="s">
        <v>45</v>
      </c>
      <c r="I4286" s="16">
        <v>24.0</v>
      </c>
      <c r="J4286" s="11" t="s">
        <v>657</v>
      </c>
      <c r="K4286" s="11" t="s">
        <v>47</v>
      </c>
      <c r="L4286" s="11" t="s">
        <v>41</v>
      </c>
      <c r="M4286" s="11" t="s">
        <v>49</v>
      </c>
      <c r="N4286" s="11" t="s">
        <v>50</v>
      </c>
      <c r="O4286" s="11" t="s">
        <v>1150</v>
      </c>
      <c r="P4286" s="11" t="s">
        <v>52</v>
      </c>
      <c r="Q4286" s="20">
        <v>40547.0</v>
      </c>
      <c r="R4286" s="17">
        <f t="shared" si="2"/>
        <v>395.811586</v>
      </c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>
        <f t="shared" si="8"/>
        <v>3</v>
      </c>
      <c r="AF4286" s="19">
        <f t="shared" si="13"/>
        <v>3</v>
      </c>
      <c r="AG4286" s="9"/>
      <c r="AH4286" s="9"/>
      <c r="AI4286" s="9"/>
    </row>
    <row r="4287" ht="15.0" customHeight="1">
      <c r="A4287" s="11">
        <v>4286.0</v>
      </c>
      <c r="B4287" s="12">
        <f t="shared" si="674"/>
        <v>40542</v>
      </c>
      <c r="C4287" s="13">
        <v>2010.0</v>
      </c>
      <c r="D4287" s="11" t="s">
        <v>23</v>
      </c>
      <c r="E4287" s="11">
        <v>22.0</v>
      </c>
      <c r="F4287" s="21" t="s">
        <v>933</v>
      </c>
      <c r="G4287" s="15">
        <v>0.08452953398634613</v>
      </c>
      <c r="H4287" s="11" t="s">
        <v>33</v>
      </c>
      <c r="I4287" s="16">
        <v>3.8880000000000003</v>
      </c>
      <c r="J4287" s="11" t="s">
        <v>657</v>
      </c>
      <c r="K4287" s="11" t="s">
        <v>47</v>
      </c>
      <c r="L4287" s="11" t="s">
        <v>41</v>
      </c>
      <c r="M4287" s="11" t="s">
        <v>28</v>
      </c>
      <c r="N4287" s="11" t="s">
        <v>56</v>
      </c>
      <c r="O4287" s="11" t="s">
        <v>1566</v>
      </c>
      <c r="P4287" s="11" t="s">
        <v>38</v>
      </c>
      <c r="Q4287" s="20">
        <v>40547.0</v>
      </c>
      <c r="R4287" s="17">
        <f t="shared" si="2"/>
        <v>104.2830717</v>
      </c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>
        <f t="shared" si="8"/>
        <v>3</v>
      </c>
      <c r="AF4287" s="19">
        <f t="shared" si="13"/>
        <v>3</v>
      </c>
      <c r="AG4287" s="9"/>
      <c r="AH4287" s="9"/>
      <c r="AI4287" s="9"/>
    </row>
    <row r="4288" ht="15.0" customHeight="1">
      <c r="A4288" s="11">
        <v>4287.0</v>
      </c>
      <c r="B4288" s="12">
        <f t="shared" si="674"/>
        <v>40542</v>
      </c>
      <c r="C4288" s="13">
        <v>2010.0</v>
      </c>
      <c r="D4288" s="11" t="s">
        <v>23</v>
      </c>
      <c r="E4288" s="11">
        <v>35.0</v>
      </c>
      <c r="F4288" s="21" t="s">
        <v>287</v>
      </c>
      <c r="G4288" s="15">
        <v>0.07496548110004776</v>
      </c>
      <c r="H4288" s="11" t="s">
        <v>33</v>
      </c>
      <c r="I4288" s="16">
        <v>3.3840000000000003</v>
      </c>
      <c r="J4288" s="11" t="s">
        <v>657</v>
      </c>
      <c r="K4288" s="11" t="s">
        <v>47</v>
      </c>
      <c r="L4288" s="11" t="s">
        <v>41</v>
      </c>
      <c r="M4288" s="11" t="s">
        <v>66</v>
      </c>
      <c r="N4288" s="11" t="s">
        <v>80</v>
      </c>
      <c r="O4288" s="11" t="s">
        <v>1718</v>
      </c>
      <c r="P4288" s="11" t="s">
        <v>38</v>
      </c>
      <c r="Q4288" s="20">
        <v>40547.0</v>
      </c>
      <c r="R4288" s="17">
        <f t="shared" si="2"/>
        <v>304.3511573</v>
      </c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>
        <f t="shared" si="8"/>
        <v>3</v>
      </c>
      <c r="AF4288" s="19">
        <f t="shared" si="13"/>
        <v>3</v>
      </c>
      <c r="AG4288" s="9"/>
      <c r="AH4288" s="9"/>
      <c r="AI4288" s="9"/>
    </row>
    <row r="4289" ht="15.0" customHeight="1">
      <c r="A4289" s="11">
        <v>4288.0</v>
      </c>
      <c r="B4289" s="12">
        <f t="shared" si="674"/>
        <v>40542</v>
      </c>
      <c r="C4289" s="13">
        <v>2010.0</v>
      </c>
      <c r="D4289" s="11" t="s">
        <v>23</v>
      </c>
      <c r="E4289" s="11">
        <v>45.0</v>
      </c>
      <c r="F4289" s="21" t="s">
        <v>1074</v>
      </c>
      <c r="G4289" s="15">
        <v>0.03490120108485087</v>
      </c>
      <c r="H4289" s="11" t="s">
        <v>33</v>
      </c>
      <c r="I4289" s="16">
        <v>1.592</v>
      </c>
      <c r="J4289" s="11" t="s">
        <v>2069</v>
      </c>
      <c r="K4289" s="11" t="s">
        <v>35</v>
      </c>
      <c r="L4289" s="11" t="s">
        <v>41</v>
      </c>
      <c r="M4289" s="11" t="s">
        <v>28</v>
      </c>
      <c r="N4289" s="11" t="s">
        <v>62</v>
      </c>
      <c r="O4289" s="11" t="s">
        <v>1947</v>
      </c>
      <c r="P4289" s="11" t="s">
        <v>58</v>
      </c>
      <c r="Q4289" s="20">
        <v>40547.0</v>
      </c>
      <c r="R4289" s="17">
        <f t="shared" si="2"/>
        <v>8.693609981</v>
      </c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>
        <f t="shared" si="8"/>
        <v>3</v>
      </c>
      <c r="AF4289" s="19">
        <f t="shared" si="13"/>
        <v>2</v>
      </c>
      <c r="AG4289" s="9"/>
      <c r="AH4289" s="9"/>
      <c r="AI4289" s="9"/>
    </row>
    <row r="4290" ht="15.0" customHeight="1">
      <c r="A4290" s="11">
        <v>4289.0</v>
      </c>
      <c r="B4290" s="12">
        <f t="shared" si="674"/>
        <v>40542</v>
      </c>
      <c r="C4290" s="13">
        <v>2010.0</v>
      </c>
      <c r="D4290" s="11" t="s">
        <v>102</v>
      </c>
      <c r="E4290" s="11">
        <v>5.0</v>
      </c>
      <c r="F4290" s="21" t="s">
        <v>810</v>
      </c>
      <c r="G4290" s="15">
        <v>0.08981996726677577</v>
      </c>
      <c r="H4290" s="11" t="s">
        <v>33</v>
      </c>
      <c r="I4290" s="16">
        <v>1.1119999999999999</v>
      </c>
      <c r="J4290" s="11" t="s">
        <v>1578</v>
      </c>
      <c r="K4290" s="11" t="s">
        <v>26</v>
      </c>
      <c r="L4290" s="11" t="s">
        <v>27</v>
      </c>
      <c r="M4290" s="11" t="s">
        <v>28</v>
      </c>
      <c r="N4290" s="11" t="s">
        <v>236</v>
      </c>
      <c r="O4290" s="11" t="s">
        <v>2174</v>
      </c>
      <c r="P4290" s="11" t="s">
        <v>38</v>
      </c>
      <c r="Q4290" s="20">
        <v>40547.0</v>
      </c>
      <c r="R4290" s="17">
        <f t="shared" si="2"/>
        <v>4.99506802</v>
      </c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>
        <f t="shared" si="8"/>
        <v>1</v>
      </c>
      <c r="AF4290" s="19">
        <f t="shared" si="13"/>
        <v>1</v>
      </c>
      <c r="AG4290" s="9"/>
      <c r="AH4290" s="9"/>
      <c r="AI4290" s="9"/>
    </row>
    <row r="4291" ht="15.0" customHeight="1">
      <c r="A4291" s="11">
        <v>4290.0</v>
      </c>
      <c r="B4291" s="12">
        <f t="shared" si="674"/>
        <v>40542</v>
      </c>
      <c r="C4291" s="13">
        <v>2010.0</v>
      </c>
      <c r="D4291" s="11" t="s">
        <v>102</v>
      </c>
      <c r="E4291" s="11">
        <v>13.0</v>
      </c>
      <c r="F4291" s="21" t="s">
        <v>163</v>
      </c>
      <c r="G4291" s="15">
        <v>0.04025351497049617</v>
      </c>
      <c r="H4291" s="11" t="s">
        <v>33</v>
      </c>
      <c r="I4291" s="16">
        <v>5.744</v>
      </c>
      <c r="J4291" s="11" t="s">
        <v>353</v>
      </c>
      <c r="K4291" s="11" t="s">
        <v>83</v>
      </c>
      <c r="L4291" s="11" t="s">
        <v>36</v>
      </c>
      <c r="M4291" s="11" t="s">
        <v>66</v>
      </c>
      <c r="N4291" s="11" t="s">
        <v>67</v>
      </c>
      <c r="O4291" s="11" t="s">
        <v>1181</v>
      </c>
      <c r="P4291" s="11" t="s">
        <v>38</v>
      </c>
      <c r="Q4291" s="20">
        <v>40547.0</v>
      </c>
      <c r="R4291" s="17">
        <f t="shared" si="2"/>
        <v>53.03175178</v>
      </c>
      <c r="S4291" s="9"/>
      <c r="T4291" s="9"/>
      <c r="U4291" s="9"/>
      <c r="V4291" s="9"/>
      <c r="W4291" s="9"/>
      <c r="X4291" s="9"/>
      <c r="Y4291" s="9"/>
      <c r="Z4291" s="9"/>
      <c r="AA4291" s="9"/>
      <c r="AB4291" s="28"/>
      <c r="AC4291" s="28"/>
      <c r="AD4291" s="28"/>
      <c r="AE4291" s="9">
        <f t="shared" si="8"/>
        <v>2</v>
      </c>
      <c r="AF4291" s="19" t="b">
        <f t="shared" si="13"/>
        <v>0</v>
      </c>
      <c r="AG4291" s="28"/>
      <c r="AH4291" s="28"/>
      <c r="AI4291" s="28"/>
    </row>
    <row r="4292" ht="15.0" customHeight="1">
      <c r="A4292" s="11">
        <v>4291.0</v>
      </c>
      <c r="B4292" s="12">
        <f t="shared" si="674"/>
        <v>40542</v>
      </c>
      <c r="C4292" s="13">
        <v>2010.0</v>
      </c>
      <c r="D4292" s="11" t="s">
        <v>102</v>
      </c>
      <c r="E4292" s="11">
        <v>25.0</v>
      </c>
      <c r="F4292" s="21" t="s">
        <v>158</v>
      </c>
      <c r="G4292" s="15">
        <v>0.10128857606930157</v>
      </c>
      <c r="H4292" s="11" t="s">
        <v>24</v>
      </c>
      <c r="I4292" s="16">
        <v>5.992000000000001</v>
      </c>
      <c r="J4292" s="11" t="s">
        <v>353</v>
      </c>
      <c r="K4292" s="11" t="s">
        <v>83</v>
      </c>
      <c r="L4292" s="11" t="s">
        <v>36</v>
      </c>
      <c r="M4292" s="11" t="s">
        <v>28</v>
      </c>
      <c r="N4292" s="11" t="s">
        <v>56</v>
      </c>
      <c r="O4292" s="11" t="s">
        <v>1042</v>
      </c>
      <c r="P4292" s="11" t="s">
        <v>38</v>
      </c>
      <c r="Q4292" s="20">
        <v>40547.0</v>
      </c>
      <c r="R4292" s="17">
        <f t="shared" si="2"/>
        <v>16.81309332</v>
      </c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>
        <f t="shared" si="8"/>
        <v>2</v>
      </c>
      <c r="AF4292" s="19" t="b">
        <f t="shared" si="13"/>
        <v>0</v>
      </c>
      <c r="AG4292" s="9"/>
      <c r="AH4292" s="9"/>
      <c r="AI4292" s="9"/>
    </row>
    <row r="4293" ht="15.0" customHeight="1">
      <c r="A4293" s="11">
        <v>4292.0</v>
      </c>
      <c r="B4293" s="12">
        <f t="shared" ref="B4293:B4296" si="675">DATE(2012,12,31)-731</f>
        <v>40543</v>
      </c>
      <c r="C4293" s="13">
        <v>2010.0</v>
      </c>
      <c r="D4293" s="11" t="s">
        <v>23</v>
      </c>
      <c r="E4293" s="11">
        <v>2.0</v>
      </c>
      <c r="F4293" s="21" t="s">
        <v>425</v>
      </c>
      <c r="G4293" s="15">
        <v>0.07300000000000002</v>
      </c>
      <c r="H4293" s="11" t="s">
        <v>33</v>
      </c>
      <c r="I4293" s="16">
        <v>11.512</v>
      </c>
      <c r="J4293" s="11" t="s">
        <v>1080</v>
      </c>
      <c r="K4293" s="11" t="s">
        <v>47</v>
      </c>
      <c r="L4293" s="11" t="s">
        <v>48</v>
      </c>
      <c r="M4293" s="11" t="s">
        <v>49</v>
      </c>
      <c r="N4293" s="11" t="s">
        <v>73</v>
      </c>
      <c r="O4293" s="11" t="s">
        <v>427</v>
      </c>
      <c r="P4293" s="11" t="s">
        <v>38</v>
      </c>
      <c r="Q4293" s="20">
        <v>40548.0</v>
      </c>
      <c r="R4293" s="17">
        <f t="shared" si="2"/>
        <v>3.789576</v>
      </c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>
        <f t="shared" si="8"/>
        <v>4</v>
      </c>
      <c r="AF4293" s="19">
        <f t="shared" si="13"/>
        <v>3</v>
      </c>
      <c r="AG4293" s="9"/>
      <c r="AH4293" s="9"/>
      <c r="AI4293" s="9"/>
    </row>
    <row r="4294" ht="15.0" customHeight="1">
      <c r="A4294" s="11">
        <v>4293.0</v>
      </c>
      <c r="B4294" s="12">
        <f t="shared" si="675"/>
        <v>40543</v>
      </c>
      <c r="C4294" s="13">
        <v>2010.0</v>
      </c>
      <c r="D4294" s="11" t="s">
        <v>23</v>
      </c>
      <c r="E4294" s="11">
        <v>25.0</v>
      </c>
      <c r="F4294" s="21" t="s">
        <v>178</v>
      </c>
      <c r="G4294" s="15">
        <v>0.03580516319118924</v>
      </c>
      <c r="H4294" s="11" t="s">
        <v>33</v>
      </c>
      <c r="I4294" s="16">
        <v>4.792000000000001</v>
      </c>
      <c r="J4294" s="11" t="s">
        <v>1080</v>
      </c>
      <c r="K4294" s="11" t="s">
        <v>47</v>
      </c>
      <c r="L4294" s="11" t="s">
        <v>48</v>
      </c>
      <c r="M4294" s="11" t="s">
        <v>66</v>
      </c>
      <c r="N4294" s="11" t="s">
        <v>80</v>
      </c>
      <c r="O4294" s="11" t="s">
        <v>179</v>
      </c>
      <c r="P4294" s="11" t="s">
        <v>38</v>
      </c>
      <c r="Q4294" s="20">
        <v>40548.0</v>
      </c>
      <c r="R4294" s="17">
        <f t="shared" si="2"/>
        <v>59.1605847</v>
      </c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>
        <f t="shared" si="8"/>
        <v>4</v>
      </c>
      <c r="AF4294" s="19">
        <f t="shared" si="13"/>
        <v>3</v>
      </c>
      <c r="AG4294" s="9"/>
      <c r="AH4294" s="9"/>
      <c r="AI4294" s="9"/>
    </row>
    <row r="4295" ht="15.0" customHeight="1">
      <c r="A4295" s="11">
        <v>4294.0</v>
      </c>
      <c r="B4295" s="12">
        <f t="shared" si="675"/>
        <v>40543</v>
      </c>
      <c r="C4295" s="13">
        <v>2010.0</v>
      </c>
      <c r="D4295" s="11" t="s">
        <v>102</v>
      </c>
      <c r="E4295" s="11">
        <v>26.0</v>
      </c>
      <c r="F4295" s="21" t="s">
        <v>259</v>
      </c>
      <c r="G4295" s="15">
        <v>0.05397712833545114</v>
      </c>
      <c r="H4295" s="11" t="s">
        <v>33</v>
      </c>
      <c r="I4295" s="16">
        <v>4.008</v>
      </c>
      <c r="J4295" s="11" t="s">
        <v>2097</v>
      </c>
      <c r="K4295" s="11" t="s">
        <v>61</v>
      </c>
      <c r="L4295" s="11" t="s">
        <v>36</v>
      </c>
      <c r="M4295" s="11" t="s">
        <v>28</v>
      </c>
      <c r="N4295" s="11" t="s">
        <v>56</v>
      </c>
      <c r="O4295" s="11" t="s">
        <v>260</v>
      </c>
      <c r="P4295" s="11" t="s">
        <v>38</v>
      </c>
      <c r="Q4295" s="20">
        <v>40548.0</v>
      </c>
      <c r="R4295" s="17">
        <f t="shared" si="2"/>
        <v>16.07482064</v>
      </c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>
        <f t="shared" si="8"/>
        <v>2</v>
      </c>
      <c r="AF4295" s="19">
        <f t="shared" si="13"/>
        <v>4</v>
      </c>
      <c r="AG4295" s="9"/>
      <c r="AH4295" s="9"/>
      <c r="AI4295" s="9"/>
    </row>
    <row r="4296" ht="15.0" customHeight="1">
      <c r="A4296" s="29">
        <v>4295.0</v>
      </c>
      <c r="B4296" s="30">
        <f t="shared" si="675"/>
        <v>40543</v>
      </c>
      <c r="C4296" s="31">
        <v>2010.0</v>
      </c>
      <c r="D4296" s="29" t="s">
        <v>102</v>
      </c>
      <c r="E4296" s="29">
        <v>39.0</v>
      </c>
      <c r="F4296" s="32" t="s">
        <v>234</v>
      </c>
      <c r="G4296" s="33">
        <v>0.029900386876656273</v>
      </c>
      <c r="H4296" s="29" t="s">
        <v>33</v>
      </c>
      <c r="I4296" s="34">
        <v>15.991999999999999</v>
      </c>
      <c r="J4296" s="29" t="s">
        <v>1884</v>
      </c>
      <c r="K4296" s="29" t="s">
        <v>117</v>
      </c>
      <c r="L4296" s="29" t="s">
        <v>36</v>
      </c>
      <c r="M4296" s="29" t="s">
        <v>28</v>
      </c>
      <c r="N4296" s="29" t="s">
        <v>236</v>
      </c>
      <c r="O4296" s="29" t="s">
        <v>237</v>
      </c>
      <c r="P4296" s="29" t="s">
        <v>38</v>
      </c>
      <c r="Q4296" s="35">
        <v>40549.0</v>
      </c>
      <c r="R4296" s="17">
        <f t="shared" si="2"/>
        <v>190.4383149</v>
      </c>
      <c r="S4296" s="36"/>
      <c r="T4296" s="36"/>
      <c r="U4296" s="36"/>
      <c r="V4296" s="36"/>
      <c r="W4296" s="36"/>
      <c r="X4296" s="28"/>
      <c r="Y4296" s="28"/>
      <c r="Z4296" s="28"/>
      <c r="AA4296" s="28"/>
      <c r="AB4296" s="9"/>
      <c r="AC4296" s="9"/>
      <c r="AD4296" s="9"/>
      <c r="AE4296" s="9">
        <f t="shared" si="8"/>
        <v>2</v>
      </c>
      <c r="AF4296" s="19" t="b">
        <f t="shared" si="13"/>
        <v>0</v>
      </c>
      <c r="AG4296" s="9"/>
      <c r="AH4296" s="9"/>
      <c r="AI4296" s="9"/>
    </row>
    <row r="4297" ht="15.0" customHeight="1">
      <c r="A4297" s="11">
        <v>4296.0</v>
      </c>
      <c r="B4297" s="12">
        <f t="shared" ref="B4297:B4301" si="676">DATE(2012,12,31)-730</f>
        <v>40544</v>
      </c>
      <c r="C4297" s="13">
        <v>2011.0</v>
      </c>
      <c r="D4297" s="11" t="s">
        <v>23</v>
      </c>
      <c r="E4297" s="11">
        <v>10.0</v>
      </c>
      <c r="F4297" s="21" t="s">
        <v>103</v>
      </c>
      <c r="G4297" s="15">
        <v>0.03543209876543209</v>
      </c>
      <c r="H4297" s="11" t="s">
        <v>33</v>
      </c>
      <c r="I4297" s="16">
        <v>3.504</v>
      </c>
      <c r="J4297" s="11" t="s">
        <v>1827</v>
      </c>
      <c r="K4297" s="11" t="s">
        <v>117</v>
      </c>
      <c r="L4297" s="11" t="s">
        <v>27</v>
      </c>
      <c r="M4297" s="11" t="s">
        <v>66</v>
      </c>
      <c r="N4297" s="11" t="s">
        <v>67</v>
      </c>
      <c r="O4297" s="11" t="s">
        <v>1284</v>
      </c>
      <c r="P4297" s="11" t="s">
        <v>99</v>
      </c>
      <c r="Q4297" s="20">
        <v>40549.0</v>
      </c>
      <c r="R4297" s="17">
        <f t="shared" si="2"/>
        <v>2.214647901</v>
      </c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>
        <f t="shared" si="8"/>
        <v>1</v>
      </c>
      <c r="AF4297" s="19" t="b">
        <f t="shared" si="13"/>
        <v>0</v>
      </c>
      <c r="AG4297" s="9"/>
      <c r="AH4297" s="9"/>
      <c r="AI4297" s="9"/>
    </row>
    <row r="4298" ht="15.0" customHeight="1">
      <c r="A4298" s="11">
        <v>4297.0</v>
      </c>
      <c r="B4298" s="12">
        <f t="shared" si="676"/>
        <v>40544</v>
      </c>
      <c r="C4298" s="13">
        <v>2011.0</v>
      </c>
      <c r="D4298" s="11" t="s">
        <v>23</v>
      </c>
      <c r="E4298" s="11">
        <v>21.0</v>
      </c>
      <c r="F4298" s="21" t="s">
        <v>270</v>
      </c>
      <c r="G4298" s="15">
        <v>0.0628834618680378</v>
      </c>
      <c r="H4298" s="11" t="s">
        <v>33</v>
      </c>
      <c r="I4298" s="16">
        <v>15.991999999999999</v>
      </c>
      <c r="J4298" s="11" t="s">
        <v>1827</v>
      </c>
      <c r="K4298" s="11" t="s">
        <v>117</v>
      </c>
      <c r="L4298" s="11" t="s">
        <v>27</v>
      </c>
      <c r="M4298" s="11" t="s">
        <v>28</v>
      </c>
      <c r="N4298" s="11" t="s">
        <v>56</v>
      </c>
      <c r="O4298" s="11" t="s">
        <v>1306</v>
      </c>
      <c r="P4298" s="11" t="s">
        <v>38</v>
      </c>
      <c r="Q4298" s="20">
        <v>40549.0</v>
      </c>
      <c r="R4298" s="17">
        <f t="shared" si="2"/>
        <v>55.01623772</v>
      </c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>
        <f t="shared" si="8"/>
        <v>1</v>
      </c>
      <c r="AF4298" s="19" t="b">
        <f t="shared" si="13"/>
        <v>0</v>
      </c>
      <c r="AG4298" s="9"/>
      <c r="AH4298" s="9"/>
      <c r="AI4298" s="9"/>
    </row>
    <row r="4299" ht="15.0" customHeight="1">
      <c r="A4299" s="11">
        <v>4298.0</v>
      </c>
      <c r="B4299" s="12">
        <f t="shared" si="676"/>
        <v>40544</v>
      </c>
      <c r="C4299" s="13">
        <v>2011.0</v>
      </c>
      <c r="D4299" s="11" t="s">
        <v>44</v>
      </c>
      <c r="E4299" s="11">
        <v>11.0</v>
      </c>
      <c r="F4299" s="21" t="s">
        <v>486</v>
      </c>
      <c r="G4299" s="15">
        <v>0.07628800000000012</v>
      </c>
      <c r="H4299" s="11" t="s">
        <v>24</v>
      </c>
      <c r="I4299" s="16">
        <v>1.6320000000000001</v>
      </c>
      <c r="J4299" s="11" t="s">
        <v>2009</v>
      </c>
      <c r="K4299" s="11" t="s">
        <v>65</v>
      </c>
      <c r="L4299" s="11" t="s">
        <v>41</v>
      </c>
      <c r="M4299" s="11" t="s">
        <v>28</v>
      </c>
      <c r="N4299" s="11" t="s">
        <v>56</v>
      </c>
      <c r="O4299" s="11" t="s">
        <v>1340</v>
      </c>
      <c r="P4299" s="11" t="s">
        <v>58</v>
      </c>
      <c r="Q4299" s="20">
        <v>40549.0</v>
      </c>
      <c r="R4299" s="17">
        <f t="shared" si="2"/>
        <v>4.404258816</v>
      </c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>
        <f t="shared" si="8"/>
        <v>3</v>
      </c>
      <c r="AF4299" s="19">
        <f t="shared" si="13"/>
        <v>5</v>
      </c>
      <c r="AG4299" s="9"/>
      <c r="AH4299" s="9"/>
      <c r="AI4299" s="9"/>
    </row>
    <row r="4300" ht="15.0" customHeight="1">
      <c r="A4300" s="11">
        <v>4299.0</v>
      </c>
      <c r="B4300" s="12">
        <f t="shared" si="676"/>
        <v>40544</v>
      </c>
      <c r="C4300" s="13">
        <v>2011.0</v>
      </c>
      <c r="D4300" s="11" t="s">
        <v>32</v>
      </c>
      <c r="E4300" s="11">
        <v>15.0</v>
      </c>
      <c r="F4300" s="21" t="s">
        <v>290</v>
      </c>
      <c r="G4300" s="15">
        <v>0.07223880597014923</v>
      </c>
      <c r="H4300" s="11" t="s">
        <v>33</v>
      </c>
      <c r="I4300" s="16">
        <v>5.376</v>
      </c>
      <c r="J4300" s="11" t="s">
        <v>1961</v>
      </c>
      <c r="K4300" s="11" t="s">
        <v>65</v>
      </c>
      <c r="L4300" s="11" t="s">
        <v>27</v>
      </c>
      <c r="M4300" s="11" t="s">
        <v>28</v>
      </c>
      <c r="N4300" s="11" t="s">
        <v>56</v>
      </c>
      <c r="O4300" s="11" t="s">
        <v>2233</v>
      </c>
      <c r="P4300" s="11" t="s">
        <v>38</v>
      </c>
      <c r="Q4300" s="20">
        <v>40550.0</v>
      </c>
      <c r="R4300" s="17">
        <f t="shared" si="2"/>
        <v>4.939400597</v>
      </c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>
        <f t="shared" si="8"/>
        <v>1</v>
      </c>
      <c r="AF4300" s="19">
        <f t="shared" si="13"/>
        <v>5</v>
      </c>
      <c r="AG4300" s="9"/>
      <c r="AH4300" s="9"/>
      <c r="AI4300" s="9"/>
    </row>
    <row r="4301" ht="15.0" customHeight="1">
      <c r="A4301" s="11">
        <v>4300.0</v>
      </c>
      <c r="B4301" s="12">
        <f t="shared" si="676"/>
        <v>40544</v>
      </c>
      <c r="C4301" s="13">
        <v>2011.0</v>
      </c>
      <c r="D4301" s="11" t="s">
        <v>102</v>
      </c>
      <c r="E4301" s="11">
        <v>18.0</v>
      </c>
      <c r="F4301" s="21" t="s">
        <v>1538</v>
      </c>
      <c r="G4301" s="15">
        <v>0.052030564135912886</v>
      </c>
      <c r="H4301" s="11" t="s">
        <v>24</v>
      </c>
      <c r="I4301" s="16">
        <v>15.991999999999999</v>
      </c>
      <c r="J4301" s="11" t="s">
        <v>775</v>
      </c>
      <c r="K4301" s="11" t="s">
        <v>65</v>
      </c>
      <c r="L4301" s="11" t="s">
        <v>41</v>
      </c>
      <c r="M4301" s="11" t="s">
        <v>28</v>
      </c>
      <c r="N4301" s="11" t="s">
        <v>42</v>
      </c>
      <c r="O4301" s="11" t="s">
        <v>2497</v>
      </c>
      <c r="P4301" s="11" t="s">
        <v>38</v>
      </c>
      <c r="Q4301" s="20">
        <v>40550.0</v>
      </c>
      <c r="R4301" s="17">
        <f t="shared" si="2"/>
        <v>60.67762765</v>
      </c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>
        <f t="shared" si="8"/>
        <v>3</v>
      </c>
      <c r="AF4301" s="19">
        <f t="shared" si="13"/>
        <v>5</v>
      </c>
      <c r="AG4301" s="9"/>
      <c r="AH4301" s="9"/>
      <c r="AI4301" s="9"/>
    </row>
    <row r="4302" ht="15.0" customHeight="1">
      <c r="A4302" s="11">
        <v>4301.0</v>
      </c>
      <c r="B4302" s="12">
        <f t="shared" ref="B4302:B4306" si="677">DATE(2012,12,31)-729</f>
        <v>40545</v>
      </c>
      <c r="C4302" s="13">
        <v>2011.0</v>
      </c>
      <c r="D4302" s="11" t="s">
        <v>39</v>
      </c>
      <c r="E4302" s="11">
        <v>16.0</v>
      </c>
      <c r="F4302" s="21" t="s">
        <v>400</v>
      </c>
      <c r="G4302" s="15">
        <v>0.07616598818967314</v>
      </c>
      <c r="H4302" s="11" t="s">
        <v>45</v>
      </c>
      <c r="I4302" s="16">
        <v>47.136</v>
      </c>
      <c r="J4302" s="11" t="s">
        <v>546</v>
      </c>
      <c r="K4302" s="11" t="s">
        <v>61</v>
      </c>
      <c r="L4302" s="11" t="s">
        <v>48</v>
      </c>
      <c r="M4302" s="11" t="s">
        <v>49</v>
      </c>
      <c r="N4302" s="11" t="s">
        <v>50</v>
      </c>
      <c r="O4302" s="11" t="s">
        <v>123</v>
      </c>
      <c r="P4302" s="11" t="s">
        <v>52</v>
      </c>
      <c r="Q4302" s="20">
        <v>40550.0</v>
      </c>
      <c r="R4302" s="17">
        <f t="shared" si="2"/>
        <v>437.3097632</v>
      </c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>
        <f t="shared" si="8"/>
        <v>4</v>
      </c>
      <c r="AF4302" s="19">
        <f t="shared" si="13"/>
        <v>4</v>
      </c>
      <c r="AG4302" s="9"/>
      <c r="AH4302" s="9"/>
      <c r="AI4302" s="9"/>
    </row>
    <row r="4303" ht="15.0" customHeight="1">
      <c r="A4303" s="11">
        <v>4302.0</v>
      </c>
      <c r="B4303" s="12">
        <f t="shared" si="677"/>
        <v>40545</v>
      </c>
      <c r="C4303" s="13">
        <v>2011.0</v>
      </c>
      <c r="D4303" s="11" t="s">
        <v>39</v>
      </c>
      <c r="E4303" s="11">
        <v>1.0</v>
      </c>
      <c r="F4303" s="21" t="s">
        <v>513</v>
      </c>
      <c r="G4303" s="15">
        <v>0.05033384694401635</v>
      </c>
      <c r="H4303" s="11" t="s">
        <v>45</v>
      </c>
      <c r="I4303" s="16">
        <v>24.0</v>
      </c>
      <c r="J4303" s="11" t="s">
        <v>546</v>
      </c>
      <c r="K4303" s="11" t="s">
        <v>61</v>
      </c>
      <c r="L4303" s="11" t="s">
        <v>48</v>
      </c>
      <c r="M4303" s="11" t="s">
        <v>49</v>
      </c>
      <c r="N4303" s="11" t="s">
        <v>50</v>
      </c>
      <c r="O4303" s="11" t="s">
        <v>515</v>
      </c>
      <c r="P4303" s="11" t="s">
        <v>52</v>
      </c>
      <c r="Q4303" s="20">
        <v>40550.0</v>
      </c>
      <c r="R4303" s="17">
        <f t="shared" si="2"/>
        <v>9.3067283</v>
      </c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>
        <f t="shared" si="8"/>
        <v>4</v>
      </c>
      <c r="AF4303" s="19">
        <f t="shared" si="13"/>
        <v>4</v>
      </c>
      <c r="AG4303" s="9"/>
      <c r="AH4303" s="9"/>
      <c r="AI4303" s="9"/>
    </row>
    <row r="4304" ht="15.0" customHeight="1">
      <c r="A4304" s="11">
        <v>4303.0</v>
      </c>
      <c r="B4304" s="12">
        <f t="shared" si="677"/>
        <v>40545</v>
      </c>
      <c r="C4304" s="13">
        <v>2011.0</v>
      </c>
      <c r="D4304" s="11" t="s">
        <v>39</v>
      </c>
      <c r="E4304" s="11">
        <v>24.0</v>
      </c>
      <c r="F4304" s="21" t="s">
        <v>799</v>
      </c>
      <c r="G4304" s="15">
        <v>0.09212213863298076</v>
      </c>
      <c r="H4304" s="11" t="s">
        <v>45</v>
      </c>
      <c r="I4304" s="16">
        <v>28.536</v>
      </c>
      <c r="J4304" s="11" t="s">
        <v>546</v>
      </c>
      <c r="K4304" s="11" t="s">
        <v>61</v>
      </c>
      <c r="L4304" s="11" t="s">
        <v>48</v>
      </c>
      <c r="M4304" s="11" t="s">
        <v>49</v>
      </c>
      <c r="N4304" s="11" t="s">
        <v>85</v>
      </c>
      <c r="O4304" s="11" t="s">
        <v>1323</v>
      </c>
      <c r="P4304" s="11" t="s">
        <v>87</v>
      </c>
      <c r="Q4304" s="20">
        <v>40550.0</v>
      </c>
      <c r="R4304" s="17">
        <f t="shared" si="2"/>
        <v>623.6794072</v>
      </c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>
        <f t="shared" si="8"/>
        <v>4</v>
      </c>
      <c r="AF4304" s="19">
        <f t="shared" si="13"/>
        <v>4</v>
      </c>
      <c r="AG4304" s="9"/>
      <c r="AH4304" s="9"/>
      <c r="AI4304" s="9"/>
    </row>
    <row r="4305" ht="15.0" customHeight="1">
      <c r="A4305" s="11">
        <v>4304.0</v>
      </c>
      <c r="B4305" s="12">
        <f t="shared" si="677"/>
        <v>40545</v>
      </c>
      <c r="C4305" s="13">
        <v>2011.0</v>
      </c>
      <c r="D4305" s="11" t="s">
        <v>44</v>
      </c>
      <c r="E4305" s="11">
        <v>24.0</v>
      </c>
      <c r="F4305" s="21" t="s">
        <v>336</v>
      </c>
      <c r="G4305" s="15">
        <v>0.0897269180754227</v>
      </c>
      <c r="H4305" s="11" t="s">
        <v>33</v>
      </c>
      <c r="I4305" s="16">
        <v>0.8</v>
      </c>
      <c r="J4305" s="11" t="s">
        <v>1472</v>
      </c>
      <c r="K4305" s="11" t="s">
        <v>83</v>
      </c>
      <c r="L4305" s="11" t="s">
        <v>48</v>
      </c>
      <c r="M4305" s="11" t="s">
        <v>28</v>
      </c>
      <c r="N4305" s="11" t="s">
        <v>62</v>
      </c>
      <c r="O4305" s="11" t="s">
        <v>2107</v>
      </c>
      <c r="P4305" s="11" t="s">
        <v>58</v>
      </c>
      <c r="Q4305" s="20">
        <v>40550.0</v>
      </c>
      <c r="R4305" s="17">
        <f t="shared" si="2"/>
        <v>12.56176853</v>
      </c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>
        <f t="shared" si="8"/>
        <v>4</v>
      </c>
      <c r="AF4305" s="19" t="b">
        <f t="shared" si="13"/>
        <v>0</v>
      </c>
      <c r="AG4305" s="9"/>
      <c r="AH4305" s="9"/>
      <c r="AI4305" s="9"/>
    </row>
    <row r="4306" ht="15.0" customHeight="1">
      <c r="A4306" s="11">
        <v>4305.0</v>
      </c>
      <c r="B4306" s="12">
        <f t="shared" si="677"/>
        <v>40545</v>
      </c>
      <c r="C4306" s="13">
        <v>2011.0</v>
      </c>
      <c r="D4306" s="11" t="s">
        <v>32</v>
      </c>
      <c r="E4306" s="11">
        <v>50.0</v>
      </c>
      <c r="F4306" s="21" t="s">
        <v>1254</v>
      </c>
      <c r="G4306" s="15">
        <v>0.006218418237181971</v>
      </c>
      <c r="H4306" s="11" t="s">
        <v>45</v>
      </c>
      <c r="I4306" s="16">
        <v>12.544</v>
      </c>
      <c r="J4306" s="11" t="s">
        <v>775</v>
      </c>
      <c r="K4306" s="11" t="s">
        <v>65</v>
      </c>
      <c r="L4306" s="11" t="s">
        <v>41</v>
      </c>
      <c r="M4306" s="11" t="s">
        <v>49</v>
      </c>
      <c r="N4306" s="11" t="s">
        <v>73</v>
      </c>
      <c r="O4306" s="11" t="s">
        <v>1255</v>
      </c>
      <c r="P4306" s="11" t="s">
        <v>52</v>
      </c>
      <c r="Q4306" s="20">
        <v>40551.0</v>
      </c>
      <c r="R4306" s="17">
        <f t="shared" si="2"/>
        <v>7.509013632</v>
      </c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>
        <f t="shared" si="8"/>
        <v>3</v>
      </c>
      <c r="AF4306" s="19">
        <f t="shared" si="13"/>
        <v>5</v>
      </c>
      <c r="AG4306" s="9"/>
      <c r="AH4306" s="9"/>
      <c r="AI4306" s="9"/>
    </row>
    <row r="4307" ht="15.0" customHeight="1">
      <c r="A4307" s="11">
        <v>4306.0</v>
      </c>
      <c r="B4307" s="12">
        <f t="shared" ref="B4307:B4310" si="678">DATE(2012,12,31)-728</f>
        <v>40546</v>
      </c>
      <c r="C4307" s="13">
        <v>2011.0</v>
      </c>
      <c r="D4307" s="11" t="s">
        <v>102</v>
      </c>
      <c r="E4307" s="11">
        <v>38.0</v>
      </c>
      <c r="F4307" s="21" t="s">
        <v>1038</v>
      </c>
      <c r="G4307" s="15">
        <v>0.05825247782994248</v>
      </c>
      <c r="H4307" s="11" t="s">
        <v>33</v>
      </c>
      <c r="I4307" s="16">
        <v>4.064</v>
      </c>
      <c r="J4307" s="11" t="s">
        <v>1731</v>
      </c>
      <c r="K4307" s="11" t="s">
        <v>35</v>
      </c>
      <c r="L4307" s="11" t="s">
        <v>48</v>
      </c>
      <c r="M4307" s="11" t="s">
        <v>28</v>
      </c>
      <c r="N4307" s="11" t="s">
        <v>56</v>
      </c>
      <c r="O4307" s="11" t="s">
        <v>1040</v>
      </c>
      <c r="P4307" s="11" t="s">
        <v>58</v>
      </c>
      <c r="Q4307" s="20">
        <v>40551.0</v>
      </c>
      <c r="R4307" s="17">
        <f t="shared" si="2"/>
        <v>84.13195664</v>
      </c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>
        <f t="shared" si="8"/>
        <v>4</v>
      </c>
      <c r="AF4307" s="19">
        <f t="shared" si="13"/>
        <v>2</v>
      </c>
      <c r="AG4307" s="9"/>
      <c r="AH4307" s="9"/>
      <c r="AI4307" s="9"/>
    </row>
    <row r="4308" ht="15.0" customHeight="1">
      <c r="A4308" s="11">
        <v>4307.0</v>
      </c>
      <c r="B4308" s="12">
        <f t="shared" si="678"/>
        <v>40546</v>
      </c>
      <c r="C4308" s="13">
        <v>2011.0</v>
      </c>
      <c r="D4308" s="11" t="s">
        <v>44</v>
      </c>
      <c r="E4308" s="11">
        <v>9.0</v>
      </c>
      <c r="F4308" s="21" t="s">
        <v>151</v>
      </c>
      <c r="G4308" s="15">
        <v>0.044967320261437946</v>
      </c>
      <c r="H4308" s="11" t="s">
        <v>33</v>
      </c>
      <c r="I4308" s="16">
        <v>0.42400000000000004</v>
      </c>
      <c r="J4308" s="11" t="s">
        <v>930</v>
      </c>
      <c r="K4308" s="11" t="s">
        <v>61</v>
      </c>
      <c r="L4308" s="11" t="s">
        <v>41</v>
      </c>
      <c r="M4308" s="11" t="s">
        <v>28</v>
      </c>
      <c r="N4308" s="11" t="s">
        <v>197</v>
      </c>
      <c r="O4308" s="11" t="s">
        <v>830</v>
      </c>
      <c r="P4308" s="11" t="s">
        <v>31</v>
      </c>
      <c r="Q4308" s="20">
        <v>40551.0</v>
      </c>
      <c r="R4308" s="17">
        <f t="shared" si="2"/>
        <v>1.314124967</v>
      </c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>
        <f t="shared" si="8"/>
        <v>3</v>
      </c>
      <c r="AF4308" s="19">
        <f t="shared" si="13"/>
        <v>4</v>
      </c>
      <c r="AG4308" s="9"/>
      <c r="AH4308" s="9"/>
      <c r="AI4308" s="9"/>
    </row>
    <row r="4309" ht="15.0" customHeight="1">
      <c r="A4309" s="11">
        <v>4308.0</v>
      </c>
      <c r="B4309" s="12">
        <f t="shared" si="678"/>
        <v>40546</v>
      </c>
      <c r="C4309" s="13">
        <v>2011.0</v>
      </c>
      <c r="D4309" s="11" t="s">
        <v>44</v>
      </c>
      <c r="E4309" s="11">
        <v>25.0</v>
      </c>
      <c r="F4309" s="21" t="s">
        <v>619</v>
      </c>
      <c r="G4309" s="15">
        <v>0.04215415265844856</v>
      </c>
      <c r="H4309" s="11" t="s">
        <v>33</v>
      </c>
      <c r="I4309" s="16">
        <v>15.991999999999999</v>
      </c>
      <c r="J4309" s="11" t="s">
        <v>930</v>
      </c>
      <c r="K4309" s="11" t="s">
        <v>61</v>
      </c>
      <c r="L4309" s="11" t="s">
        <v>41</v>
      </c>
      <c r="M4309" s="11" t="s">
        <v>28</v>
      </c>
      <c r="N4309" s="11" t="s">
        <v>236</v>
      </c>
      <c r="O4309" s="11" t="s">
        <v>1755</v>
      </c>
      <c r="P4309" s="11" t="s">
        <v>38</v>
      </c>
      <c r="Q4309" s="20">
        <v>40551.0</v>
      </c>
      <c r="R4309" s="17">
        <f t="shared" si="2"/>
        <v>64.85382663</v>
      </c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>
        <f t="shared" si="8"/>
        <v>3</v>
      </c>
      <c r="AF4309" s="19">
        <f t="shared" si="13"/>
        <v>4</v>
      </c>
      <c r="AG4309" s="9"/>
      <c r="AH4309" s="9"/>
      <c r="AI4309" s="9"/>
    </row>
    <row r="4310" ht="15.0" customHeight="1">
      <c r="A4310" s="11">
        <v>4309.0</v>
      </c>
      <c r="B4310" s="12">
        <f t="shared" si="678"/>
        <v>40546</v>
      </c>
      <c r="C4310" s="13">
        <v>2011.0</v>
      </c>
      <c r="D4310" s="11" t="s">
        <v>102</v>
      </c>
      <c r="E4310" s="11">
        <v>20.0</v>
      </c>
      <c r="F4310" s="21" t="s">
        <v>869</v>
      </c>
      <c r="G4310" s="15">
        <v>0.03510668943141688</v>
      </c>
      <c r="H4310" s="11" t="s">
        <v>33</v>
      </c>
      <c r="I4310" s="16">
        <v>2.0</v>
      </c>
      <c r="J4310" s="11" t="s">
        <v>2498</v>
      </c>
      <c r="K4310" s="11" t="s">
        <v>26</v>
      </c>
      <c r="L4310" s="11" t="s">
        <v>27</v>
      </c>
      <c r="M4310" s="11" t="s">
        <v>66</v>
      </c>
      <c r="N4310" s="11" t="s">
        <v>80</v>
      </c>
      <c r="O4310" s="11" t="s">
        <v>2182</v>
      </c>
      <c r="P4310" s="11" t="s">
        <v>38</v>
      </c>
      <c r="Q4310" s="20">
        <v>40551.0</v>
      </c>
      <c r="R4310" s="17">
        <f t="shared" si="2"/>
        <v>60.38350582</v>
      </c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>
        <f t="shared" si="8"/>
        <v>1</v>
      </c>
      <c r="AF4310" s="19">
        <f t="shared" si="13"/>
        <v>1</v>
      </c>
      <c r="AG4310" s="9"/>
      <c r="AH4310" s="9"/>
      <c r="AI4310" s="9"/>
    </row>
    <row r="4311" ht="15.0" customHeight="1">
      <c r="A4311" s="11">
        <v>4310.0</v>
      </c>
      <c r="B4311" s="12">
        <f t="shared" ref="B4311:B4321" si="679">DATE(2012,12,31)-727</f>
        <v>40547</v>
      </c>
      <c r="C4311" s="13">
        <v>2011.0</v>
      </c>
      <c r="D4311" s="11" t="s">
        <v>39</v>
      </c>
      <c r="E4311" s="11">
        <v>33.0</v>
      </c>
      <c r="F4311" s="21" t="s">
        <v>455</v>
      </c>
      <c r="G4311" s="15">
        <v>0.07658628841607569</v>
      </c>
      <c r="H4311" s="11" t="s">
        <v>33</v>
      </c>
      <c r="I4311" s="16">
        <v>4.5040000000000004</v>
      </c>
      <c r="J4311" s="11" t="s">
        <v>2000</v>
      </c>
      <c r="K4311" s="11" t="s">
        <v>35</v>
      </c>
      <c r="L4311" s="11" t="s">
        <v>48</v>
      </c>
      <c r="M4311" s="11" t="s">
        <v>28</v>
      </c>
      <c r="N4311" s="11" t="s">
        <v>42</v>
      </c>
      <c r="O4311" s="11" t="s">
        <v>1232</v>
      </c>
      <c r="P4311" s="11" t="s">
        <v>38</v>
      </c>
      <c r="Q4311" s="20">
        <v>40551.0</v>
      </c>
      <c r="R4311" s="17">
        <f t="shared" si="2"/>
        <v>29.9149106</v>
      </c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>
        <f t="shared" si="8"/>
        <v>4</v>
      </c>
      <c r="AF4311" s="19">
        <f t="shared" si="13"/>
        <v>2</v>
      </c>
      <c r="AG4311" s="9"/>
      <c r="AH4311" s="9"/>
      <c r="AI4311" s="9"/>
    </row>
    <row r="4312" ht="15.0" customHeight="1">
      <c r="A4312" s="11">
        <v>4311.0</v>
      </c>
      <c r="B4312" s="12">
        <f t="shared" si="679"/>
        <v>40547</v>
      </c>
      <c r="C4312" s="13">
        <v>2011.0</v>
      </c>
      <c r="D4312" s="11" t="s">
        <v>39</v>
      </c>
      <c r="E4312" s="11">
        <v>2.0</v>
      </c>
      <c r="F4312" s="21" t="s">
        <v>183</v>
      </c>
      <c r="G4312" s="15">
        <v>0.12815964523281598</v>
      </c>
      <c r="H4312" s="11" t="s">
        <v>33</v>
      </c>
      <c r="I4312" s="16">
        <v>7.5200000000000005</v>
      </c>
      <c r="J4312" s="11" t="s">
        <v>2000</v>
      </c>
      <c r="K4312" s="11" t="s">
        <v>35</v>
      </c>
      <c r="L4312" s="11" t="s">
        <v>48</v>
      </c>
      <c r="M4312" s="11" t="s">
        <v>66</v>
      </c>
      <c r="N4312" s="11" t="s">
        <v>69</v>
      </c>
      <c r="O4312" s="11" t="s">
        <v>381</v>
      </c>
      <c r="P4312" s="11" t="s">
        <v>38</v>
      </c>
      <c r="Q4312" s="20">
        <v>40552.0</v>
      </c>
      <c r="R4312" s="17">
        <f t="shared" si="2"/>
        <v>5.039237251</v>
      </c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>
        <f t="shared" si="8"/>
        <v>4</v>
      </c>
      <c r="AF4312" s="19">
        <f t="shared" si="13"/>
        <v>2</v>
      </c>
      <c r="AG4312" s="9"/>
      <c r="AH4312" s="9"/>
      <c r="AI4312" s="9"/>
    </row>
    <row r="4313" ht="15.0" customHeight="1">
      <c r="A4313" s="11">
        <v>4312.0</v>
      </c>
      <c r="B4313" s="12">
        <f t="shared" si="679"/>
        <v>40547</v>
      </c>
      <c r="C4313" s="13">
        <v>2011.0</v>
      </c>
      <c r="D4313" s="11" t="s">
        <v>44</v>
      </c>
      <c r="E4313" s="11">
        <v>20.0</v>
      </c>
      <c r="F4313" s="21" t="s">
        <v>322</v>
      </c>
      <c r="G4313" s="15">
        <v>0.09336099585062241</v>
      </c>
      <c r="H4313" s="11" t="s">
        <v>33</v>
      </c>
      <c r="I4313" s="16">
        <v>2.8000000000000003</v>
      </c>
      <c r="J4313" s="11" t="s">
        <v>1655</v>
      </c>
      <c r="K4313" s="11" t="s">
        <v>65</v>
      </c>
      <c r="L4313" s="11" t="s">
        <v>48</v>
      </c>
      <c r="M4313" s="11" t="s">
        <v>28</v>
      </c>
      <c r="N4313" s="11" t="s">
        <v>197</v>
      </c>
      <c r="O4313" s="11" t="s">
        <v>2172</v>
      </c>
      <c r="P4313" s="11" t="s">
        <v>38</v>
      </c>
      <c r="Q4313" s="20">
        <v>40552.0</v>
      </c>
      <c r="R4313" s="17">
        <f t="shared" si="2"/>
        <v>16.31950207</v>
      </c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>
        <f t="shared" si="8"/>
        <v>4</v>
      </c>
      <c r="AF4313" s="19">
        <f t="shared" si="13"/>
        <v>5</v>
      </c>
      <c r="AG4313" s="9"/>
      <c r="AH4313" s="9"/>
      <c r="AI4313" s="9"/>
    </row>
    <row r="4314" ht="15.0" customHeight="1">
      <c r="A4314" s="11">
        <v>4313.0</v>
      </c>
      <c r="B4314" s="12">
        <f t="shared" si="679"/>
        <v>40547</v>
      </c>
      <c r="C4314" s="13">
        <v>2011.0</v>
      </c>
      <c r="D4314" s="11" t="s">
        <v>44</v>
      </c>
      <c r="E4314" s="11">
        <v>37.0</v>
      </c>
      <c r="F4314" s="21" t="s">
        <v>799</v>
      </c>
      <c r="G4314" s="15">
        <v>0.03939129152379912</v>
      </c>
      <c r="H4314" s="11" t="s">
        <v>45</v>
      </c>
      <c r="I4314" s="16">
        <v>28.536</v>
      </c>
      <c r="J4314" s="11" t="s">
        <v>1655</v>
      </c>
      <c r="K4314" s="11" t="s">
        <v>65</v>
      </c>
      <c r="L4314" s="11" t="s">
        <v>48</v>
      </c>
      <c r="M4314" s="11" t="s">
        <v>49</v>
      </c>
      <c r="N4314" s="11" t="s">
        <v>85</v>
      </c>
      <c r="O4314" s="11" t="s">
        <v>1323</v>
      </c>
      <c r="P4314" s="11" t="s">
        <v>87</v>
      </c>
      <c r="Q4314" s="20">
        <v>40552.0</v>
      </c>
      <c r="R4314" s="17">
        <f t="shared" si="2"/>
        <v>410.5295801</v>
      </c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>
        <f t="shared" si="8"/>
        <v>4</v>
      </c>
      <c r="AF4314" s="19">
        <f t="shared" si="13"/>
        <v>5</v>
      </c>
      <c r="AG4314" s="9"/>
      <c r="AH4314" s="9"/>
      <c r="AI4314" s="9"/>
    </row>
    <row r="4315" ht="15.0" customHeight="1">
      <c r="A4315" s="11">
        <v>4314.0</v>
      </c>
      <c r="B4315" s="12">
        <f t="shared" si="679"/>
        <v>40547</v>
      </c>
      <c r="C4315" s="13">
        <v>2011.0</v>
      </c>
      <c r="D4315" s="11" t="s">
        <v>44</v>
      </c>
      <c r="E4315" s="11">
        <v>50.0</v>
      </c>
      <c r="F4315" s="21" t="s">
        <v>254</v>
      </c>
      <c r="G4315" s="15">
        <v>0.08063041317620334</v>
      </c>
      <c r="H4315" s="11" t="s">
        <v>33</v>
      </c>
      <c r="I4315" s="16">
        <v>2.5120000000000005</v>
      </c>
      <c r="J4315" s="11" t="s">
        <v>222</v>
      </c>
      <c r="K4315" s="11" t="s">
        <v>65</v>
      </c>
      <c r="L4315" s="11" t="s">
        <v>48</v>
      </c>
      <c r="M4315" s="11" t="s">
        <v>28</v>
      </c>
      <c r="N4315" s="11" t="s">
        <v>442</v>
      </c>
      <c r="O4315" s="11" t="s">
        <v>1613</v>
      </c>
      <c r="P4315" s="11" t="s">
        <v>99</v>
      </c>
      <c r="Q4315" s="20">
        <v>40552.0</v>
      </c>
      <c r="R4315" s="17">
        <f t="shared" si="2"/>
        <v>52.2091601</v>
      </c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>
        <f t="shared" si="8"/>
        <v>4</v>
      </c>
      <c r="AF4315" s="19">
        <f t="shared" si="13"/>
        <v>5</v>
      </c>
      <c r="AG4315" s="9"/>
      <c r="AH4315" s="9"/>
      <c r="AI4315" s="9"/>
    </row>
    <row r="4316" ht="15.0" customHeight="1">
      <c r="A4316" s="11">
        <v>4315.0</v>
      </c>
      <c r="B4316" s="12">
        <f t="shared" si="679"/>
        <v>40547</v>
      </c>
      <c r="C4316" s="13">
        <v>2011.0</v>
      </c>
      <c r="D4316" s="11" t="s">
        <v>39</v>
      </c>
      <c r="E4316" s="11">
        <v>35.0</v>
      </c>
      <c r="F4316" s="21" t="s">
        <v>122</v>
      </c>
      <c r="G4316" s="15">
        <v>0.043341151941621046</v>
      </c>
      <c r="H4316" s="11" t="s">
        <v>24</v>
      </c>
      <c r="I4316" s="16">
        <v>2.64</v>
      </c>
      <c r="J4316" s="11" t="s">
        <v>262</v>
      </c>
      <c r="K4316" s="11" t="s">
        <v>61</v>
      </c>
      <c r="L4316" s="11" t="s">
        <v>27</v>
      </c>
      <c r="M4316" s="11" t="s">
        <v>66</v>
      </c>
      <c r="N4316" s="11" t="s">
        <v>80</v>
      </c>
      <c r="O4316" s="11" t="s">
        <v>848</v>
      </c>
      <c r="P4316" s="11" t="s">
        <v>99</v>
      </c>
      <c r="Q4316" s="20">
        <v>40552.0</v>
      </c>
      <c r="R4316" s="17">
        <f t="shared" si="2"/>
        <v>31.81847329</v>
      </c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>
        <f t="shared" si="8"/>
        <v>1</v>
      </c>
      <c r="AF4316" s="19">
        <f t="shared" si="13"/>
        <v>4</v>
      </c>
      <c r="AG4316" s="9"/>
      <c r="AH4316" s="9"/>
      <c r="AI4316" s="9"/>
    </row>
    <row r="4317" ht="15.0" customHeight="1">
      <c r="A4317" s="11">
        <v>4316.0</v>
      </c>
      <c r="B4317" s="12">
        <f t="shared" si="679"/>
        <v>40547</v>
      </c>
      <c r="C4317" s="13">
        <v>2011.0</v>
      </c>
      <c r="D4317" s="11" t="s">
        <v>23</v>
      </c>
      <c r="E4317" s="11">
        <v>41.0</v>
      </c>
      <c r="F4317" s="21" t="s">
        <v>740</v>
      </c>
      <c r="G4317" s="15">
        <v>0.09122312540495967</v>
      </c>
      <c r="H4317" s="11" t="s">
        <v>33</v>
      </c>
      <c r="I4317" s="16">
        <v>5.744</v>
      </c>
      <c r="J4317" s="11" t="s">
        <v>94</v>
      </c>
      <c r="K4317" s="11" t="s">
        <v>26</v>
      </c>
      <c r="L4317" s="11" t="s">
        <v>27</v>
      </c>
      <c r="M4317" s="11" t="s">
        <v>66</v>
      </c>
      <c r="N4317" s="11" t="s">
        <v>67</v>
      </c>
      <c r="O4317" s="11" t="s">
        <v>1147</v>
      </c>
      <c r="P4317" s="11" t="s">
        <v>38</v>
      </c>
      <c r="Q4317" s="20">
        <v>40552.0</v>
      </c>
      <c r="R4317" s="17">
        <f t="shared" si="2"/>
        <v>1125.934561</v>
      </c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>
        <f t="shared" si="8"/>
        <v>1</v>
      </c>
      <c r="AF4317" s="19">
        <f t="shared" si="13"/>
        <v>1</v>
      </c>
      <c r="AG4317" s="9"/>
      <c r="AH4317" s="9"/>
      <c r="AI4317" s="9"/>
    </row>
    <row r="4318" ht="15.0" customHeight="1">
      <c r="A4318" s="11">
        <v>4317.0</v>
      </c>
      <c r="B4318" s="12">
        <f t="shared" si="679"/>
        <v>40547</v>
      </c>
      <c r="C4318" s="13">
        <v>2011.0</v>
      </c>
      <c r="D4318" s="11" t="s">
        <v>102</v>
      </c>
      <c r="E4318" s="11">
        <v>15.0</v>
      </c>
      <c r="F4318" s="21" t="s">
        <v>678</v>
      </c>
      <c r="G4318" s="15">
        <v>0.04295358649789033</v>
      </c>
      <c r="H4318" s="11" t="s">
        <v>33</v>
      </c>
      <c r="I4318" s="16">
        <v>0.7280000000000001</v>
      </c>
      <c r="J4318" s="11" t="s">
        <v>1387</v>
      </c>
      <c r="K4318" s="11" t="s">
        <v>26</v>
      </c>
      <c r="L4318" s="11" t="s">
        <v>41</v>
      </c>
      <c r="M4318" s="11" t="s">
        <v>28</v>
      </c>
      <c r="N4318" s="11" t="s">
        <v>62</v>
      </c>
      <c r="O4318" s="11" t="s">
        <v>1808</v>
      </c>
      <c r="P4318" s="11" t="s">
        <v>58</v>
      </c>
      <c r="Q4318" s="20">
        <v>40552.0</v>
      </c>
      <c r="R4318" s="17">
        <f t="shared" si="2"/>
        <v>3.897092996</v>
      </c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>
        <f t="shared" si="8"/>
        <v>3</v>
      </c>
      <c r="AF4318" s="19">
        <f t="shared" si="13"/>
        <v>1</v>
      </c>
      <c r="AG4318" s="9"/>
      <c r="AH4318" s="9"/>
      <c r="AI4318" s="9"/>
    </row>
    <row r="4319" ht="15.0" customHeight="1">
      <c r="A4319" s="11">
        <v>4318.0</v>
      </c>
      <c r="B4319" s="12">
        <f t="shared" si="679"/>
        <v>40547</v>
      </c>
      <c r="C4319" s="13">
        <v>2011.0</v>
      </c>
      <c r="D4319" s="11" t="s">
        <v>102</v>
      </c>
      <c r="E4319" s="11">
        <v>17.0</v>
      </c>
      <c r="F4319" s="21" t="s">
        <v>199</v>
      </c>
      <c r="G4319" s="15">
        <v>0.022982791586998053</v>
      </c>
      <c r="H4319" s="11" t="s">
        <v>33</v>
      </c>
      <c r="I4319" s="16">
        <v>7.192</v>
      </c>
      <c r="J4319" s="11" t="s">
        <v>1387</v>
      </c>
      <c r="K4319" s="11" t="s">
        <v>26</v>
      </c>
      <c r="L4319" s="11" t="s">
        <v>41</v>
      </c>
      <c r="M4319" s="11" t="s">
        <v>28</v>
      </c>
      <c r="N4319" s="11" t="s">
        <v>62</v>
      </c>
      <c r="O4319" s="11" t="s">
        <v>201</v>
      </c>
      <c r="P4319" s="11" t="s">
        <v>99</v>
      </c>
      <c r="Q4319" s="20">
        <v>40553.0</v>
      </c>
      <c r="R4319" s="17">
        <f t="shared" si="2"/>
        <v>4.697498738</v>
      </c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>
        <f t="shared" si="8"/>
        <v>3</v>
      </c>
      <c r="AF4319" s="19">
        <f t="shared" si="13"/>
        <v>1</v>
      </c>
      <c r="AG4319" s="9"/>
      <c r="AH4319" s="9"/>
      <c r="AI4319" s="9"/>
    </row>
    <row r="4320" ht="15.0" customHeight="1">
      <c r="A4320" s="11">
        <v>4319.0</v>
      </c>
      <c r="B4320" s="12">
        <f t="shared" si="679"/>
        <v>40547</v>
      </c>
      <c r="C4320" s="13">
        <v>2011.0</v>
      </c>
      <c r="D4320" s="11" t="s">
        <v>102</v>
      </c>
      <c r="E4320" s="11">
        <v>8.0</v>
      </c>
      <c r="F4320" s="21" t="s">
        <v>747</v>
      </c>
      <c r="G4320" s="15">
        <v>0.06951033732317742</v>
      </c>
      <c r="H4320" s="11" t="s">
        <v>33</v>
      </c>
      <c r="I4320" s="16">
        <v>2.3120000000000003</v>
      </c>
      <c r="J4320" s="11" t="s">
        <v>1387</v>
      </c>
      <c r="K4320" s="11" t="s">
        <v>26</v>
      </c>
      <c r="L4320" s="11" t="s">
        <v>41</v>
      </c>
      <c r="M4320" s="11" t="s">
        <v>28</v>
      </c>
      <c r="N4320" s="11" t="s">
        <v>62</v>
      </c>
      <c r="O4320" s="11" t="s">
        <v>1491</v>
      </c>
      <c r="P4320" s="11" t="s">
        <v>99</v>
      </c>
      <c r="Q4320" s="20">
        <v>40553.0</v>
      </c>
      <c r="R4320" s="17">
        <f t="shared" si="2"/>
        <v>5.943967965</v>
      </c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>
        <f t="shared" si="8"/>
        <v>3</v>
      </c>
      <c r="AF4320" s="19">
        <f t="shared" si="13"/>
        <v>1</v>
      </c>
      <c r="AG4320" s="9"/>
      <c r="AH4320" s="9"/>
      <c r="AI4320" s="9"/>
    </row>
    <row r="4321" ht="15.0" customHeight="1">
      <c r="A4321" s="11">
        <v>4320.0</v>
      </c>
      <c r="B4321" s="12">
        <f t="shared" si="679"/>
        <v>40547</v>
      </c>
      <c r="C4321" s="13">
        <v>2011.0</v>
      </c>
      <c r="D4321" s="11" t="s">
        <v>32</v>
      </c>
      <c r="E4321" s="11">
        <v>26.0</v>
      </c>
      <c r="F4321" s="21" t="s">
        <v>284</v>
      </c>
      <c r="G4321" s="15">
        <v>0.08810372771474878</v>
      </c>
      <c r="H4321" s="11" t="s">
        <v>33</v>
      </c>
      <c r="I4321" s="16">
        <v>4.264</v>
      </c>
      <c r="J4321" s="11" t="s">
        <v>40</v>
      </c>
      <c r="K4321" s="11" t="s">
        <v>35</v>
      </c>
      <c r="L4321" s="11" t="s">
        <v>41</v>
      </c>
      <c r="M4321" s="11" t="s">
        <v>49</v>
      </c>
      <c r="N4321" s="11" t="s">
        <v>73</v>
      </c>
      <c r="O4321" s="11" t="s">
        <v>286</v>
      </c>
      <c r="P4321" s="11" t="s">
        <v>38</v>
      </c>
      <c r="Q4321" s="20">
        <v>40553.0</v>
      </c>
      <c r="R4321" s="17">
        <f t="shared" si="2"/>
        <v>4.957068136</v>
      </c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>
        <f t="shared" si="8"/>
        <v>3</v>
      </c>
      <c r="AF4321" s="19">
        <f t="shared" si="13"/>
        <v>2</v>
      </c>
      <c r="AG4321" s="9"/>
      <c r="AH4321" s="9"/>
      <c r="AI4321" s="9"/>
    </row>
    <row r="4322" ht="15.0" customHeight="1">
      <c r="A4322" s="11">
        <v>4321.0</v>
      </c>
      <c r="B4322" s="12">
        <f t="shared" ref="B4322:B4323" si="680">DATE(2012,12,31)-726</f>
        <v>40548</v>
      </c>
      <c r="C4322" s="13">
        <v>2011.0</v>
      </c>
      <c r="D4322" s="11" t="s">
        <v>39</v>
      </c>
      <c r="E4322" s="11">
        <v>5.0</v>
      </c>
      <c r="F4322" s="21" t="s">
        <v>2442</v>
      </c>
      <c r="G4322" s="15">
        <v>0.043496208930075796</v>
      </c>
      <c r="H4322" s="11" t="s">
        <v>45</v>
      </c>
      <c r="I4322" s="16">
        <v>44.648</v>
      </c>
      <c r="J4322" s="11" t="s">
        <v>2499</v>
      </c>
      <c r="K4322" s="11" t="s">
        <v>61</v>
      </c>
      <c r="L4322" s="11" t="s">
        <v>27</v>
      </c>
      <c r="M4322" s="11" t="s">
        <v>49</v>
      </c>
      <c r="N4322" s="11" t="s">
        <v>156</v>
      </c>
      <c r="O4322" s="11" t="s">
        <v>2443</v>
      </c>
      <c r="P4322" s="11" t="s">
        <v>87</v>
      </c>
      <c r="Q4322" s="20">
        <v>40553.0</v>
      </c>
      <c r="R4322" s="17">
        <f t="shared" si="2"/>
        <v>19.75371629</v>
      </c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>
        <f t="shared" si="8"/>
        <v>1</v>
      </c>
      <c r="AF4322" s="19">
        <f t="shared" si="13"/>
        <v>4</v>
      </c>
      <c r="AG4322" s="9"/>
      <c r="AH4322" s="9"/>
      <c r="AI4322" s="9"/>
    </row>
    <row r="4323" ht="15.0" customHeight="1">
      <c r="A4323" s="11">
        <v>4322.0</v>
      </c>
      <c r="B4323" s="12">
        <f t="shared" si="680"/>
        <v>40548</v>
      </c>
      <c r="C4323" s="13">
        <v>2011.0</v>
      </c>
      <c r="D4323" s="11" t="s">
        <v>39</v>
      </c>
      <c r="E4323" s="11">
        <v>14.0</v>
      </c>
      <c r="F4323" s="21" t="s">
        <v>1038</v>
      </c>
      <c r="G4323" s="15">
        <v>0.026234963632972813</v>
      </c>
      <c r="H4323" s="11" t="s">
        <v>24</v>
      </c>
      <c r="I4323" s="16">
        <v>4.064</v>
      </c>
      <c r="J4323" s="11" t="s">
        <v>2499</v>
      </c>
      <c r="K4323" s="11" t="s">
        <v>61</v>
      </c>
      <c r="L4323" s="11" t="s">
        <v>27</v>
      </c>
      <c r="M4323" s="11" t="s">
        <v>28</v>
      </c>
      <c r="N4323" s="11" t="s">
        <v>56</v>
      </c>
      <c r="O4323" s="11" t="s">
        <v>1040</v>
      </c>
      <c r="P4323" s="11" t="s">
        <v>58</v>
      </c>
      <c r="Q4323" s="20">
        <v>40553.0</v>
      </c>
      <c r="R4323" s="17">
        <f t="shared" si="2"/>
        <v>14.0268906</v>
      </c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>
        <f t="shared" si="8"/>
        <v>1</v>
      </c>
      <c r="AF4323" s="19">
        <f t="shared" si="13"/>
        <v>4</v>
      </c>
      <c r="AG4323" s="9"/>
      <c r="AH4323" s="9"/>
      <c r="AI4323" s="9"/>
    </row>
    <row r="4324" ht="15.0" customHeight="1">
      <c r="A4324" s="11">
        <v>4323.0</v>
      </c>
      <c r="B4324" s="12">
        <f t="shared" ref="B4324:B4330" si="681">DATE(2012,12,31)-725</f>
        <v>40549</v>
      </c>
      <c r="C4324" s="13">
        <v>2011.0</v>
      </c>
      <c r="D4324" s="11" t="s">
        <v>102</v>
      </c>
      <c r="E4324" s="11">
        <v>5.0</v>
      </c>
      <c r="F4324" s="21" t="s">
        <v>552</v>
      </c>
      <c r="G4324" s="15">
        <v>0.09979959919839673</v>
      </c>
      <c r="H4324" s="11" t="s">
        <v>24</v>
      </c>
      <c r="I4324" s="16">
        <v>8.92</v>
      </c>
      <c r="J4324" s="11" t="s">
        <v>1387</v>
      </c>
      <c r="K4324" s="11" t="s">
        <v>26</v>
      </c>
      <c r="L4324" s="11" t="s">
        <v>41</v>
      </c>
      <c r="M4324" s="11" t="s">
        <v>28</v>
      </c>
      <c r="N4324" s="11" t="s">
        <v>56</v>
      </c>
      <c r="O4324" s="11" t="s">
        <v>553</v>
      </c>
      <c r="P4324" s="11" t="s">
        <v>38</v>
      </c>
      <c r="Q4324" s="20">
        <v>40553.0</v>
      </c>
      <c r="R4324" s="17">
        <f t="shared" si="2"/>
        <v>4.482997996</v>
      </c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>
        <f t="shared" si="8"/>
        <v>3</v>
      </c>
      <c r="AF4324" s="19">
        <f t="shared" si="13"/>
        <v>1</v>
      </c>
      <c r="AG4324" s="9"/>
      <c r="AH4324" s="9"/>
      <c r="AI4324" s="9"/>
    </row>
    <row r="4325" ht="15.0" customHeight="1">
      <c r="A4325" s="11">
        <v>4324.0</v>
      </c>
      <c r="B4325" s="12">
        <f t="shared" si="681"/>
        <v>40549</v>
      </c>
      <c r="C4325" s="13">
        <v>2011.0</v>
      </c>
      <c r="D4325" s="11" t="s">
        <v>102</v>
      </c>
      <c r="E4325" s="11">
        <v>1.0</v>
      </c>
      <c r="F4325" s="21" t="s">
        <v>238</v>
      </c>
      <c r="G4325" s="15">
        <v>0.168</v>
      </c>
      <c r="H4325" s="11" t="s">
        <v>33</v>
      </c>
      <c r="I4325" s="16">
        <v>2.904</v>
      </c>
      <c r="J4325" s="11" t="s">
        <v>1387</v>
      </c>
      <c r="K4325" s="11" t="s">
        <v>26</v>
      </c>
      <c r="L4325" s="11" t="s">
        <v>41</v>
      </c>
      <c r="M4325" s="11" t="s">
        <v>49</v>
      </c>
      <c r="N4325" s="11" t="s">
        <v>73</v>
      </c>
      <c r="O4325" s="11" t="s">
        <v>539</v>
      </c>
      <c r="P4325" s="11" t="s">
        <v>58</v>
      </c>
      <c r="Q4325" s="20">
        <v>40553.0</v>
      </c>
      <c r="R4325" s="17">
        <f t="shared" si="2"/>
        <v>1.327872</v>
      </c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>
        <f t="shared" si="8"/>
        <v>3</v>
      </c>
      <c r="AF4325" s="19">
        <f t="shared" si="13"/>
        <v>1</v>
      </c>
      <c r="AG4325" s="9"/>
      <c r="AH4325" s="9"/>
      <c r="AI4325" s="9"/>
    </row>
    <row r="4326" ht="15.0" customHeight="1">
      <c r="A4326" s="11">
        <v>4325.0</v>
      </c>
      <c r="B4326" s="12">
        <f t="shared" si="681"/>
        <v>40549</v>
      </c>
      <c r="C4326" s="13">
        <v>2011.0</v>
      </c>
      <c r="D4326" s="11" t="s">
        <v>102</v>
      </c>
      <c r="E4326" s="11">
        <v>26.0</v>
      </c>
      <c r="F4326" s="21" t="s">
        <v>151</v>
      </c>
      <c r="G4326" s="15">
        <v>0.06010881392818281</v>
      </c>
      <c r="H4326" s="11" t="s">
        <v>33</v>
      </c>
      <c r="I4326" s="16">
        <v>3.176</v>
      </c>
      <c r="J4326" s="11" t="s">
        <v>1387</v>
      </c>
      <c r="K4326" s="11" t="s">
        <v>26</v>
      </c>
      <c r="L4326" s="11" t="s">
        <v>41</v>
      </c>
      <c r="M4326" s="11" t="s">
        <v>28</v>
      </c>
      <c r="N4326" s="11" t="s">
        <v>62</v>
      </c>
      <c r="O4326" s="11" t="s">
        <v>209</v>
      </c>
      <c r="P4326" s="11" t="s">
        <v>58</v>
      </c>
      <c r="Q4326" s="20">
        <v>40553.0</v>
      </c>
      <c r="R4326" s="17">
        <f t="shared" si="2"/>
        <v>5.191958912</v>
      </c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>
        <f t="shared" si="8"/>
        <v>3</v>
      </c>
      <c r="AF4326" s="19">
        <f t="shared" si="13"/>
        <v>1</v>
      </c>
      <c r="AG4326" s="9"/>
      <c r="AH4326" s="9"/>
      <c r="AI4326" s="9"/>
    </row>
    <row r="4327" ht="15.0" customHeight="1">
      <c r="A4327" s="11">
        <v>4326.0</v>
      </c>
      <c r="B4327" s="12">
        <f t="shared" si="681"/>
        <v>40549</v>
      </c>
      <c r="C4327" s="13">
        <v>2011.0</v>
      </c>
      <c r="D4327" s="11" t="s">
        <v>32</v>
      </c>
      <c r="E4327" s="11">
        <v>47.0</v>
      </c>
      <c r="F4327" s="21" t="s">
        <v>314</v>
      </c>
      <c r="G4327" s="15">
        <v>0.013950738916256313</v>
      </c>
      <c r="H4327" s="11" t="s">
        <v>33</v>
      </c>
      <c r="I4327" s="16">
        <v>4.152</v>
      </c>
      <c r="J4327" s="11" t="s">
        <v>1715</v>
      </c>
      <c r="K4327" s="11" t="s">
        <v>26</v>
      </c>
      <c r="L4327" s="11" t="s">
        <v>41</v>
      </c>
      <c r="M4327" s="11" t="s">
        <v>28</v>
      </c>
      <c r="N4327" s="11" t="s">
        <v>42</v>
      </c>
      <c r="O4327" s="11" t="s">
        <v>609</v>
      </c>
      <c r="P4327" s="11" t="s">
        <v>38</v>
      </c>
      <c r="Q4327" s="20">
        <v>40554.0</v>
      </c>
      <c r="R4327" s="17">
        <f t="shared" si="2"/>
        <v>4.188737261</v>
      </c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>
        <f t="shared" si="8"/>
        <v>3</v>
      </c>
      <c r="AF4327" s="19">
        <f t="shared" si="13"/>
        <v>1</v>
      </c>
      <c r="AG4327" s="9"/>
      <c r="AH4327" s="9"/>
      <c r="AI4327" s="9"/>
    </row>
    <row r="4328" ht="15.0" customHeight="1">
      <c r="A4328" s="11">
        <v>4327.0</v>
      </c>
      <c r="B4328" s="12">
        <f t="shared" si="681"/>
        <v>40549</v>
      </c>
      <c r="C4328" s="13">
        <v>2011.0</v>
      </c>
      <c r="D4328" s="11" t="s">
        <v>32</v>
      </c>
      <c r="E4328" s="11">
        <v>32.0</v>
      </c>
      <c r="F4328" s="21" t="s">
        <v>562</v>
      </c>
      <c r="G4328" s="15">
        <v>0.09134348638396657</v>
      </c>
      <c r="H4328" s="11" t="s">
        <v>45</v>
      </c>
      <c r="I4328" s="16">
        <v>20.8</v>
      </c>
      <c r="J4328" s="11" t="s">
        <v>1715</v>
      </c>
      <c r="K4328" s="11" t="s">
        <v>26</v>
      </c>
      <c r="L4328" s="11" t="s">
        <v>41</v>
      </c>
      <c r="M4328" s="11" t="s">
        <v>49</v>
      </c>
      <c r="N4328" s="11" t="s">
        <v>50</v>
      </c>
      <c r="O4328" s="11" t="s">
        <v>1649</v>
      </c>
      <c r="P4328" s="11" t="s">
        <v>52</v>
      </c>
      <c r="Q4328" s="20">
        <v>40554.0</v>
      </c>
      <c r="R4328" s="17">
        <f t="shared" si="2"/>
        <v>1466.026419</v>
      </c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>
        <f t="shared" si="8"/>
        <v>3</v>
      </c>
      <c r="AF4328" s="19">
        <f t="shared" si="13"/>
        <v>1</v>
      </c>
      <c r="AG4328" s="9"/>
      <c r="AH4328" s="9"/>
      <c r="AI4328" s="9"/>
    </row>
    <row r="4329" ht="15.0" customHeight="1">
      <c r="A4329" s="11">
        <v>4328.0</v>
      </c>
      <c r="B4329" s="12">
        <f t="shared" si="681"/>
        <v>40549</v>
      </c>
      <c r="C4329" s="13">
        <v>2011.0</v>
      </c>
      <c r="D4329" s="11" t="s">
        <v>32</v>
      </c>
      <c r="E4329" s="11">
        <v>15.0</v>
      </c>
      <c r="F4329" s="21" t="s">
        <v>476</v>
      </c>
      <c r="G4329" s="15">
        <v>0.05053226691498025</v>
      </c>
      <c r="H4329" s="11" t="s">
        <v>45</v>
      </c>
      <c r="I4329" s="16">
        <v>68.504</v>
      </c>
      <c r="J4329" s="11" t="s">
        <v>1684</v>
      </c>
      <c r="K4329" s="11" t="s">
        <v>47</v>
      </c>
      <c r="L4329" s="11" t="s">
        <v>48</v>
      </c>
      <c r="M4329" s="11" t="s">
        <v>49</v>
      </c>
      <c r="N4329" s="11" t="s">
        <v>85</v>
      </c>
      <c r="O4329" s="11" t="s">
        <v>477</v>
      </c>
      <c r="P4329" s="11" t="s">
        <v>87</v>
      </c>
      <c r="Q4329" s="20">
        <v>40554.0</v>
      </c>
      <c r="R4329" s="17">
        <f t="shared" si="2"/>
        <v>288.5394462</v>
      </c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>
        <f t="shared" si="8"/>
        <v>4</v>
      </c>
      <c r="AF4329" s="19">
        <f t="shared" si="13"/>
        <v>3</v>
      </c>
      <c r="AG4329" s="9"/>
      <c r="AH4329" s="9"/>
      <c r="AI4329" s="9"/>
    </row>
    <row r="4330" ht="15.0" customHeight="1">
      <c r="A4330" s="11">
        <v>4329.0</v>
      </c>
      <c r="B4330" s="12">
        <f t="shared" si="681"/>
        <v>40549</v>
      </c>
      <c r="C4330" s="13">
        <v>2011.0</v>
      </c>
      <c r="D4330" s="11" t="s">
        <v>44</v>
      </c>
      <c r="E4330" s="11">
        <v>16.0</v>
      </c>
      <c r="F4330" s="21" t="s">
        <v>1247</v>
      </c>
      <c r="G4330" s="15">
        <v>0.053333333333333316</v>
      </c>
      <c r="H4330" s="11" t="s">
        <v>33</v>
      </c>
      <c r="I4330" s="16">
        <v>4.176</v>
      </c>
      <c r="J4330" s="11" t="s">
        <v>561</v>
      </c>
      <c r="K4330" s="11" t="s">
        <v>65</v>
      </c>
      <c r="L4330" s="11" t="s">
        <v>36</v>
      </c>
      <c r="M4330" s="11" t="s">
        <v>49</v>
      </c>
      <c r="N4330" s="11" t="s">
        <v>73</v>
      </c>
      <c r="O4330" s="11" t="s">
        <v>1591</v>
      </c>
      <c r="P4330" s="11" t="s">
        <v>38</v>
      </c>
      <c r="Q4330" s="20">
        <v>40554.0</v>
      </c>
      <c r="R4330" s="17">
        <f t="shared" si="2"/>
        <v>5.513386667</v>
      </c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>
        <f t="shared" si="8"/>
        <v>2</v>
      </c>
      <c r="AF4330" s="19">
        <f t="shared" si="13"/>
        <v>5</v>
      </c>
      <c r="AG4330" s="9"/>
      <c r="AH4330" s="9"/>
      <c r="AI4330" s="9"/>
    </row>
    <row r="4331" ht="15.0" customHeight="1">
      <c r="A4331" s="11">
        <v>4330.0</v>
      </c>
      <c r="B4331" s="12">
        <f t="shared" ref="B4331:B4333" si="682">DATE(2012,12,31)-724</f>
        <v>40550</v>
      </c>
      <c r="C4331" s="13">
        <v>2011.0</v>
      </c>
      <c r="D4331" s="11" t="s">
        <v>102</v>
      </c>
      <c r="E4331" s="11">
        <v>39.0</v>
      </c>
      <c r="F4331" s="21" t="s">
        <v>536</v>
      </c>
      <c r="G4331" s="15">
        <v>0.060002326122354024</v>
      </c>
      <c r="H4331" s="11" t="s">
        <v>45</v>
      </c>
      <c r="I4331" s="16">
        <v>56.160000000000004</v>
      </c>
      <c r="J4331" s="11" t="s">
        <v>571</v>
      </c>
      <c r="K4331" s="11" t="s">
        <v>65</v>
      </c>
      <c r="L4331" s="11" t="s">
        <v>27</v>
      </c>
      <c r="M4331" s="11" t="s">
        <v>49</v>
      </c>
      <c r="N4331" s="11" t="s">
        <v>50</v>
      </c>
      <c r="O4331" s="11" t="s">
        <v>537</v>
      </c>
      <c r="P4331" s="11" t="s">
        <v>52</v>
      </c>
      <c r="Q4331" s="20">
        <v>40554.0</v>
      </c>
      <c r="R4331" s="17">
        <f t="shared" si="2"/>
        <v>290.96688</v>
      </c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>
        <f t="shared" si="8"/>
        <v>1</v>
      </c>
      <c r="AF4331" s="19">
        <f t="shared" si="13"/>
        <v>5</v>
      </c>
      <c r="AG4331" s="9"/>
      <c r="AH4331" s="9"/>
      <c r="AI4331" s="9"/>
    </row>
    <row r="4332" ht="15.0" customHeight="1">
      <c r="A4332" s="11">
        <v>4331.0</v>
      </c>
      <c r="B4332" s="12">
        <f t="shared" si="682"/>
        <v>40550</v>
      </c>
      <c r="C4332" s="13">
        <v>2011.0</v>
      </c>
      <c r="D4332" s="11" t="s">
        <v>102</v>
      </c>
      <c r="E4332" s="11">
        <v>6.0</v>
      </c>
      <c r="F4332" s="21" t="s">
        <v>1223</v>
      </c>
      <c r="G4332" s="15">
        <v>0.02695778748180521</v>
      </c>
      <c r="H4332" s="11" t="s">
        <v>33</v>
      </c>
      <c r="I4332" s="16">
        <v>2.2960000000000003</v>
      </c>
      <c r="J4332" s="11" t="s">
        <v>571</v>
      </c>
      <c r="K4332" s="11" t="s">
        <v>65</v>
      </c>
      <c r="L4332" s="11" t="s">
        <v>27</v>
      </c>
      <c r="M4332" s="11" t="s">
        <v>28</v>
      </c>
      <c r="N4332" s="11" t="s">
        <v>62</v>
      </c>
      <c r="O4332" s="11" t="s">
        <v>1225</v>
      </c>
      <c r="P4332" s="11" t="s">
        <v>99</v>
      </c>
      <c r="Q4332" s="20">
        <v>40554.0</v>
      </c>
      <c r="R4332" s="17">
        <f t="shared" si="2"/>
        <v>3.604148355</v>
      </c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>
        <f t="shared" si="8"/>
        <v>1</v>
      </c>
      <c r="AF4332" s="19">
        <f t="shared" si="13"/>
        <v>5</v>
      </c>
      <c r="AG4332" s="9"/>
      <c r="AH4332" s="9"/>
      <c r="AI4332" s="9"/>
    </row>
    <row r="4333" ht="15.0" customHeight="1">
      <c r="A4333" s="11">
        <v>4332.0</v>
      </c>
      <c r="B4333" s="12">
        <f t="shared" si="682"/>
        <v>40550</v>
      </c>
      <c r="C4333" s="13">
        <v>2011.0</v>
      </c>
      <c r="D4333" s="11" t="s">
        <v>39</v>
      </c>
      <c r="E4333" s="11">
        <v>27.0</v>
      </c>
      <c r="F4333" s="21" t="s">
        <v>142</v>
      </c>
      <c r="G4333" s="15">
        <v>0.012618296529968546</v>
      </c>
      <c r="H4333" s="11" t="s">
        <v>33</v>
      </c>
      <c r="I4333" s="16">
        <v>1.0</v>
      </c>
      <c r="J4333" s="11" t="s">
        <v>647</v>
      </c>
      <c r="K4333" s="11" t="s">
        <v>61</v>
      </c>
      <c r="L4333" s="11" t="s">
        <v>27</v>
      </c>
      <c r="M4333" s="11" t="s">
        <v>66</v>
      </c>
      <c r="N4333" s="11" t="s">
        <v>80</v>
      </c>
      <c r="O4333" s="11" t="s">
        <v>2300</v>
      </c>
      <c r="P4333" s="11" t="s">
        <v>99</v>
      </c>
      <c r="Q4333" s="20">
        <v>40554.0</v>
      </c>
      <c r="R4333" s="17">
        <f t="shared" si="2"/>
        <v>12.24353312</v>
      </c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>
        <f t="shared" si="8"/>
        <v>1</v>
      </c>
      <c r="AF4333" s="19">
        <f t="shared" si="13"/>
        <v>4</v>
      </c>
      <c r="AG4333" s="9"/>
      <c r="AH4333" s="9"/>
      <c r="AI4333" s="9"/>
    </row>
    <row r="4334" ht="15.0" customHeight="1">
      <c r="A4334" s="11">
        <v>4333.0</v>
      </c>
      <c r="B4334" s="12">
        <f t="shared" ref="B4334:B4339" si="683">DATE(2012,12,31)-723</f>
        <v>40551</v>
      </c>
      <c r="C4334" s="13">
        <v>2011.0</v>
      </c>
      <c r="D4334" s="11" t="s">
        <v>44</v>
      </c>
      <c r="E4334" s="11">
        <v>34.0</v>
      </c>
      <c r="F4334" s="21" t="s">
        <v>948</v>
      </c>
      <c r="G4334" s="15">
        <v>0.11235262878385573</v>
      </c>
      <c r="H4334" s="11" t="s">
        <v>33</v>
      </c>
      <c r="I4334" s="16">
        <v>3.944</v>
      </c>
      <c r="J4334" s="11" t="s">
        <v>721</v>
      </c>
      <c r="K4334" s="11" t="s">
        <v>61</v>
      </c>
      <c r="L4334" s="11" t="s">
        <v>41</v>
      </c>
      <c r="M4334" s="11" t="s">
        <v>66</v>
      </c>
      <c r="N4334" s="11" t="s">
        <v>67</v>
      </c>
      <c r="O4334" s="11" t="s">
        <v>1295</v>
      </c>
      <c r="P4334" s="11" t="s">
        <v>99</v>
      </c>
      <c r="Q4334" s="20">
        <v>40554.0</v>
      </c>
      <c r="R4334" s="17">
        <f t="shared" si="2"/>
        <v>18.77906779</v>
      </c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>
        <f t="shared" si="8"/>
        <v>3</v>
      </c>
      <c r="AF4334" s="19">
        <f t="shared" si="13"/>
        <v>4</v>
      </c>
      <c r="AG4334" s="9"/>
      <c r="AH4334" s="9"/>
      <c r="AI4334" s="9"/>
    </row>
    <row r="4335" ht="15.0" customHeight="1">
      <c r="A4335" s="11">
        <v>4334.0</v>
      </c>
      <c r="B4335" s="12">
        <f t="shared" si="683"/>
        <v>40551</v>
      </c>
      <c r="C4335" s="13">
        <v>2011.0</v>
      </c>
      <c r="D4335" s="11" t="s">
        <v>102</v>
      </c>
      <c r="E4335" s="11">
        <v>27.0</v>
      </c>
      <c r="F4335" s="21" t="s">
        <v>221</v>
      </c>
      <c r="G4335" s="15">
        <v>0.03384127758137252</v>
      </c>
      <c r="H4335" s="11" t="s">
        <v>33</v>
      </c>
      <c r="I4335" s="16">
        <v>6.840000000000001</v>
      </c>
      <c r="J4335" s="11" t="s">
        <v>795</v>
      </c>
      <c r="K4335" s="11" t="s">
        <v>35</v>
      </c>
      <c r="L4335" s="11" t="s">
        <v>41</v>
      </c>
      <c r="M4335" s="11" t="s">
        <v>49</v>
      </c>
      <c r="N4335" s="11" t="s">
        <v>73</v>
      </c>
      <c r="O4335" s="11" t="s">
        <v>223</v>
      </c>
      <c r="P4335" s="11" t="s">
        <v>38</v>
      </c>
      <c r="Q4335" s="20">
        <v>40555.0</v>
      </c>
      <c r="R4335" s="17">
        <f t="shared" si="2"/>
        <v>26.82056613</v>
      </c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>
        <f t="shared" si="8"/>
        <v>3</v>
      </c>
      <c r="AF4335" s="19">
        <f t="shared" si="13"/>
        <v>2</v>
      </c>
      <c r="AG4335" s="9"/>
      <c r="AH4335" s="9"/>
      <c r="AI4335" s="9"/>
    </row>
    <row r="4336" ht="15.0" customHeight="1">
      <c r="A4336" s="11">
        <v>4335.0</v>
      </c>
      <c r="B4336" s="12">
        <f t="shared" si="683"/>
        <v>40551</v>
      </c>
      <c r="C4336" s="13">
        <v>2011.0</v>
      </c>
      <c r="D4336" s="11" t="s">
        <v>102</v>
      </c>
      <c r="E4336" s="11">
        <v>29.0</v>
      </c>
      <c r="F4336" s="21" t="s">
        <v>2500</v>
      </c>
      <c r="G4336" s="15">
        <v>0.01260398745066284</v>
      </c>
      <c r="H4336" s="11" t="s">
        <v>33</v>
      </c>
      <c r="I4336" s="16">
        <v>11.192</v>
      </c>
      <c r="J4336" s="11" t="s">
        <v>795</v>
      </c>
      <c r="K4336" s="11" t="s">
        <v>35</v>
      </c>
      <c r="L4336" s="11" t="s">
        <v>41</v>
      </c>
      <c r="M4336" s="11" t="s">
        <v>66</v>
      </c>
      <c r="N4336" s="11" t="s">
        <v>80</v>
      </c>
      <c r="O4336" s="11" t="s">
        <v>2501</v>
      </c>
      <c r="P4336" s="11" t="s">
        <v>75</v>
      </c>
      <c r="Q4336" s="20">
        <v>40555.0</v>
      </c>
      <c r="R4336" s="17">
        <f t="shared" si="2"/>
        <v>24.59405988</v>
      </c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>
        <f t="shared" si="8"/>
        <v>3</v>
      </c>
      <c r="AF4336" s="19">
        <f t="shared" si="13"/>
        <v>2</v>
      </c>
      <c r="AG4336" s="9"/>
      <c r="AH4336" s="9"/>
      <c r="AI4336" s="9"/>
    </row>
    <row r="4337" ht="15.0" customHeight="1">
      <c r="A4337" s="11">
        <v>4336.0</v>
      </c>
      <c r="B4337" s="12">
        <f t="shared" si="683"/>
        <v>40551</v>
      </c>
      <c r="C4337" s="13">
        <v>2011.0</v>
      </c>
      <c r="D4337" s="11" t="s">
        <v>102</v>
      </c>
      <c r="E4337" s="11">
        <v>12.0</v>
      </c>
      <c r="F4337" s="21" t="s">
        <v>287</v>
      </c>
      <c r="G4337" s="15">
        <v>0.011006177661009567</v>
      </c>
      <c r="H4337" s="11" t="s">
        <v>24</v>
      </c>
      <c r="I4337" s="16">
        <v>2.0</v>
      </c>
      <c r="J4337" s="11" t="s">
        <v>795</v>
      </c>
      <c r="K4337" s="11" t="s">
        <v>35</v>
      </c>
      <c r="L4337" s="11" t="s">
        <v>41</v>
      </c>
      <c r="M4337" s="11" t="s">
        <v>66</v>
      </c>
      <c r="N4337" s="11" t="s">
        <v>80</v>
      </c>
      <c r="O4337" s="11" t="s">
        <v>644</v>
      </c>
      <c r="P4337" s="11" t="s">
        <v>38</v>
      </c>
      <c r="Q4337" s="20">
        <v>40555.0</v>
      </c>
      <c r="R4337" s="17">
        <f t="shared" si="2"/>
        <v>15.32940425</v>
      </c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>
        <f t="shared" si="8"/>
        <v>3</v>
      </c>
      <c r="AF4337" s="19">
        <f t="shared" si="13"/>
        <v>2</v>
      </c>
      <c r="AG4337" s="9"/>
      <c r="AH4337" s="9"/>
      <c r="AI4337" s="9"/>
    </row>
    <row r="4338" ht="15.0" customHeight="1">
      <c r="A4338" s="11">
        <v>4337.0</v>
      </c>
      <c r="B4338" s="12">
        <f t="shared" si="683"/>
        <v>40551</v>
      </c>
      <c r="C4338" s="13">
        <v>2011.0</v>
      </c>
      <c r="D4338" s="11" t="s">
        <v>44</v>
      </c>
      <c r="E4338" s="11">
        <v>29.0</v>
      </c>
      <c r="F4338" s="21" t="s">
        <v>178</v>
      </c>
      <c r="G4338" s="15">
        <v>0.08428571428571414</v>
      </c>
      <c r="H4338" s="11" t="s">
        <v>33</v>
      </c>
      <c r="I4338" s="16">
        <v>4.208</v>
      </c>
      <c r="J4338" s="11" t="s">
        <v>945</v>
      </c>
      <c r="K4338" s="11" t="s">
        <v>65</v>
      </c>
      <c r="L4338" s="11" t="s">
        <v>27</v>
      </c>
      <c r="M4338" s="11" t="s">
        <v>66</v>
      </c>
      <c r="N4338" s="11" t="s">
        <v>80</v>
      </c>
      <c r="O4338" s="11" t="s">
        <v>912</v>
      </c>
      <c r="P4338" s="11" t="s">
        <v>38</v>
      </c>
      <c r="Q4338" s="20">
        <v>40555.0</v>
      </c>
      <c r="R4338" s="17">
        <f t="shared" si="2"/>
        <v>161.4331029</v>
      </c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>
        <f t="shared" si="8"/>
        <v>1</v>
      </c>
      <c r="AF4338" s="19">
        <f t="shared" si="13"/>
        <v>5</v>
      </c>
      <c r="AG4338" s="9"/>
      <c r="AH4338" s="9"/>
      <c r="AI4338" s="9"/>
    </row>
    <row r="4339" ht="15.0" customHeight="1">
      <c r="A4339" s="11">
        <v>4338.0</v>
      </c>
      <c r="B4339" s="12">
        <f t="shared" si="683"/>
        <v>40551</v>
      </c>
      <c r="C4339" s="13">
        <v>2011.0</v>
      </c>
      <c r="D4339" s="11" t="s">
        <v>102</v>
      </c>
      <c r="E4339" s="11">
        <v>36.0</v>
      </c>
      <c r="F4339" s="21" t="s">
        <v>743</v>
      </c>
      <c r="G4339" s="15">
        <v>0.0320688930896871</v>
      </c>
      <c r="H4339" s="11" t="s">
        <v>33</v>
      </c>
      <c r="I4339" s="16">
        <v>10.928</v>
      </c>
      <c r="J4339" s="11" t="s">
        <v>337</v>
      </c>
      <c r="K4339" s="11" t="s">
        <v>117</v>
      </c>
      <c r="L4339" s="11" t="s">
        <v>48</v>
      </c>
      <c r="M4339" s="11" t="s">
        <v>28</v>
      </c>
      <c r="N4339" s="11" t="s">
        <v>197</v>
      </c>
      <c r="O4339" s="11" t="s">
        <v>1638</v>
      </c>
      <c r="P4339" s="11" t="s">
        <v>38</v>
      </c>
      <c r="Q4339" s="20">
        <v>40555.0</v>
      </c>
      <c r="R4339" s="17">
        <f t="shared" si="2"/>
        <v>59.11348856</v>
      </c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>
        <f t="shared" si="8"/>
        <v>4</v>
      </c>
      <c r="AF4339" s="19" t="b">
        <f t="shared" si="13"/>
        <v>0</v>
      </c>
      <c r="AG4339" s="9"/>
      <c r="AH4339" s="9"/>
      <c r="AI4339" s="9"/>
    </row>
    <row r="4340" ht="15.0" customHeight="1">
      <c r="A4340" s="11">
        <v>4339.0</v>
      </c>
      <c r="B4340" s="12">
        <f t="shared" ref="B4340:B4349" si="684">DATE(2012,12,31)-722</f>
        <v>40552</v>
      </c>
      <c r="C4340" s="13">
        <v>2011.0</v>
      </c>
      <c r="D4340" s="11" t="s">
        <v>102</v>
      </c>
      <c r="E4340" s="11">
        <v>3.0</v>
      </c>
      <c r="F4340" s="21" t="s">
        <v>493</v>
      </c>
      <c r="G4340" s="15">
        <v>0.02664069198690495</v>
      </c>
      <c r="H4340" s="11" t="s">
        <v>33</v>
      </c>
      <c r="I4340" s="16">
        <v>15.991999999999999</v>
      </c>
      <c r="J4340" s="11" t="s">
        <v>1110</v>
      </c>
      <c r="K4340" s="11" t="s">
        <v>61</v>
      </c>
      <c r="L4340" s="11" t="s">
        <v>48</v>
      </c>
      <c r="M4340" s="11" t="s">
        <v>28</v>
      </c>
      <c r="N4340" s="11" t="s">
        <v>42</v>
      </c>
      <c r="O4340" s="11" t="s">
        <v>495</v>
      </c>
      <c r="P4340" s="11" t="s">
        <v>38</v>
      </c>
      <c r="Q4340" s="20">
        <v>40555.0</v>
      </c>
      <c r="R4340" s="17">
        <f t="shared" si="2"/>
        <v>34.06523972</v>
      </c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>
        <f t="shared" si="8"/>
        <v>4</v>
      </c>
      <c r="AF4340" s="19">
        <f t="shared" si="13"/>
        <v>4</v>
      </c>
      <c r="AG4340" s="9"/>
      <c r="AH4340" s="9"/>
      <c r="AI4340" s="9"/>
    </row>
    <row r="4341" ht="15.0" customHeight="1">
      <c r="A4341" s="11">
        <v>4340.0</v>
      </c>
      <c r="B4341" s="12">
        <f t="shared" si="684"/>
        <v>40552</v>
      </c>
      <c r="C4341" s="13">
        <v>2011.0</v>
      </c>
      <c r="D4341" s="11" t="s">
        <v>102</v>
      </c>
      <c r="E4341" s="11">
        <v>30.0</v>
      </c>
      <c r="F4341" s="21" t="s">
        <v>762</v>
      </c>
      <c r="G4341" s="15">
        <v>0.08234458259325043</v>
      </c>
      <c r="H4341" s="11" t="s">
        <v>33</v>
      </c>
      <c r="I4341" s="16">
        <v>4.648</v>
      </c>
      <c r="J4341" s="11" t="s">
        <v>1110</v>
      </c>
      <c r="K4341" s="11" t="s">
        <v>61</v>
      </c>
      <c r="L4341" s="11" t="s">
        <v>48</v>
      </c>
      <c r="M4341" s="11" t="s">
        <v>28</v>
      </c>
      <c r="N4341" s="11" t="s">
        <v>62</v>
      </c>
      <c r="O4341" s="11" t="s">
        <v>955</v>
      </c>
      <c r="P4341" s="11" t="s">
        <v>99</v>
      </c>
      <c r="Q4341" s="20">
        <v>40555.0</v>
      </c>
      <c r="R4341" s="17">
        <f t="shared" si="2"/>
        <v>29.77975361</v>
      </c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>
        <f t="shared" si="8"/>
        <v>4</v>
      </c>
      <c r="AF4341" s="19">
        <f t="shared" si="13"/>
        <v>4</v>
      </c>
      <c r="AG4341" s="9"/>
      <c r="AH4341" s="9"/>
      <c r="AI4341" s="9"/>
    </row>
    <row r="4342" ht="15.0" customHeight="1">
      <c r="A4342" s="11">
        <v>4341.0</v>
      </c>
      <c r="B4342" s="12">
        <f t="shared" si="684"/>
        <v>40552</v>
      </c>
      <c r="C4342" s="13">
        <v>2011.0</v>
      </c>
      <c r="D4342" s="11" t="s">
        <v>39</v>
      </c>
      <c r="E4342" s="11">
        <v>39.0</v>
      </c>
      <c r="F4342" s="21" t="s">
        <v>158</v>
      </c>
      <c r="G4342" s="15">
        <v>0.03621642073401438</v>
      </c>
      <c r="H4342" s="11" t="s">
        <v>33</v>
      </c>
      <c r="I4342" s="16">
        <v>5.128</v>
      </c>
      <c r="J4342" s="11" t="s">
        <v>219</v>
      </c>
      <c r="K4342" s="11" t="s">
        <v>61</v>
      </c>
      <c r="L4342" s="11" t="s">
        <v>48</v>
      </c>
      <c r="M4342" s="11" t="s">
        <v>28</v>
      </c>
      <c r="N4342" s="11" t="s">
        <v>56</v>
      </c>
      <c r="O4342" s="11" t="s">
        <v>2502</v>
      </c>
      <c r="P4342" s="11" t="s">
        <v>38</v>
      </c>
      <c r="Q4342" s="20">
        <v>40555.0</v>
      </c>
      <c r="R4342" s="17">
        <f t="shared" si="2"/>
        <v>9.225336421</v>
      </c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>
        <f t="shared" si="8"/>
        <v>4</v>
      </c>
      <c r="AF4342" s="19">
        <f t="shared" si="13"/>
        <v>4</v>
      </c>
      <c r="AG4342" s="9"/>
      <c r="AH4342" s="9"/>
      <c r="AI4342" s="9"/>
    </row>
    <row r="4343" ht="15.0" customHeight="1">
      <c r="A4343" s="11">
        <v>4342.0</v>
      </c>
      <c r="B4343" s="12">
        <f t="shared" si="684"/>
        <v>40552</v>
      </c>
      <c r="C4343" s="13">
        <v>2011.0</v>
      </c>
      <c r="D4343" s="11" t="s">
        <v>39</v>
      </c>
      <c r="E4343" s="11">
        <v>38.0</v>
      </c>
      <c r="F4343" s="21" t="s">
        <v>122</v>
      </c>
      <c r="G4343" s="15">
        <v>0.06117833314486037</v>
      </c>
      <c r="H4343" s="11" t="s">
        <v>45</v>
      </c>
      <c r="I4343" s="16">
        <v>36.0</v>
      </c>
      <c r="J4343" s="11" t="s">
        <v>219</v>
      </c>
      <c r="K4343" s="11" t="s">
        <v>61</v>
      </c>
      <c r="L4343" s="11" t="s">
        <v>48</v>
      </c>
      <c r="M4343" s="11" t="s">
        <v>28</v>
      </c>
      <c r="N4343" s="11" t="s">
        <v>29</v>
      </c>
      <c r="O4343" s="11" t="s">
        <v>1420</v>
      </c>
      <c r="P4343" s="11" t="s">
        <v>52</v>
      </c>
      <c r="Q4343" s="20">
        <v>40555.0</v>
      </c>
      <c r="R4343" s="17">
        <f t="shared" si="2"/>
        <v>50.79025218</v>
      </c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>
        <f t="shared" si="8"/>
        <v>4</v>
      </c>
      <c r="AF4343" s="19">
        <f t="shared" si="13"/>
        <v>4</v>
      </c>
      <c r="AG4343" s="9"/>
      <c r="AH4343" s="9"/>
      <c r="AI4343" s="9"/>
    </row>
    <row r="4344" ht="15.0" customHeight="1">
      <c r="A4344" s="11">
        <v>4343.0</v>
      </c>
      <c r="B4344" s="12">
        <f t="shared" si="684"/>
        <v>40552</v>
      </c>
      <c r="C4344" s="13">
        <v>2011.0</v>
      </c>
      <c r="D4344" s="11" t="s">
        <v>32</v>
      </c>
      <c r="E4344" s="11">
        <v>8.0</v>
      </c>
      <c r="F4344" s="21" t="s">
        <v>1662</v>
      </c>
      <c r="G4344" s="15">
        <v>0.04247547169811324</v>
      </c>
      <c r="H4344" s="11" t="s">
        <v>33</v>
      </c>
      <c r="I4344" s="16">
        <v>5.416</v>
      </c>
      <c r="J4344" s="11" t="s">
        <v>2293</v>
      </c>
      <c r="K4344" s="11" t="s">
        <v>65</v>
      </c>
      <c r="L4344" s="11" t="s">
        <v>27</v>
      </c>
      <c r="M4344" s="11" t="s">
        <v>49</v>
      </c>
      <c r="N4344" s="11" t="s">
        <v>73</v>
      </c>
      <c r="O4344" s="11" t="s">
        <v>1663</v>
      </c>
      <c r="P4344" s="11" t="s">
        <v>38</v>
      </c>
      <c r="Q4344" s="20">
        <v>40555.0</v>
      </c>
      <c r="R4344" s="17">
        <f t="shared" si="2"/>
        <v>16.16684414</v>
      </c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>
        <f t="shared" si="8"/>
        <v>1</v>
      </c>
      <c r="AF4344" s="19">
        <f t="shared" si="13"/>
        <v>5</v>
      </c>
      <c r="AG4344" s="9"/>
      <c r="AH4344" s="9"/>
      <c r="AI4344" s="9"/>
    </row>
    <row r="4345" ht="15.0" customHeight="1">
      <c r="A4345" s="11">
        <v>4344.0</v>
      </c>
      <c r="B4345" s="12">
        <f t="shared" si="684"/>
        <v>40552</v>
      </c>
      <c r="C4345" s="13">
        <v>2011.0</v>
      </c>
      <c r="D4345" s="11" t="s">
        <v>102</v>
      </c>
      <c r="E4345" s="11">
        <v>34.0</v>
      </c>
      <c r="F4345" s="21" t="s">
        <v>1173</v>
      </c>
      <c r="G4345" s="15">
        <v>0.04805666333051047</v>
      </c>
      <c r="H4345" s="11" t="s">
        <v>24</v>
      </c>
      <c r="I4345" s="16">
        <v>15.991999999999999</v>
      </c>
      <c r="J4345" s="11" t="s">
        <v>1752</v>
      </c>
      <c r="K4345" s="11" t="s">
        <v>83</v>
      </c>
      <c r="L4345" s="11" t="s">
        <v>41</v>
      </c>
      <c r="M4345" s="11" t="s">
        <v>28</v>
      </c>
      <c r="N4345" s="11" t="s">
        <v>197</v>
      </c>
      <c r="O4345" s="11" t="s">
        <v>1174</v>
      </c>
      <c r="P4345" s="11" t="s">
        <v>38</v>
      </c>
      <c r="Q4345" s="20">
        <v>40555.0</v>
      </c>
      <c r="R4345" s="17">
        <f t="shared" si="2"/>
        <v>594.2106463</v>
      </c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>
        <f t="shared" si="8"/>
        <v>3</v>
      </c>
      <c r="AF4345" s="19" t="b">
        <f t="shared" si="13"/>
        <v>0</v>
      </c>
      <c r="AG4345" s="9"/>
      <c r="AH4345" s="9"/>
      <c r="AI4345" s="9"/>
    </row>
    <row r="4346" ht="15.0" customHeight="1">
      <c r="A4346" s="11">
        <v>4345.0</v>
      </c>
      <c r="B4346" s="12">
        <f t="shared" si="684"/>
        <v>40552</v>
      </c>
      <c r="C4346" s="13">
        <v>2011.0</v>
      </c>
      <c r="D4346" s="11" t="s">
        <v>44</v>
      </c>
      <c r="E4346" s="11">
        <v>50.0</v>
      </c>
      <c r="F4346" s="21" t="s">
        <v>1646</v>
      </c>
      <c r="G4346" s="15">
        <v>0.059977593546941585</v>
      </c>
      <c r="H4346" s="11" t="s">
        <v>33</v>
      </c>
      <c r="I4346" s="16">
        <v>4.064</v>
      </c>
      <c r="J4346" s="11" t="s">
        <v>2490</v>
      </c>
      <c r="K4346" s="11" t="s">
        <v>65</v>
      </c>
      <c r="L4346" s="11" t="s">
        <v>36</v>
      </c>
      <c r="M4346" s="11" t="s">
        <v>28</v>
      </c>
      <c r="N4346" s="11" t="s">
        <v>42</v>
      </c>
      <c r="O4346" s="11" t="s">
        <v>2503</v>
      </c>
      <c r="P4346" s="11" t="s">
        <v>38</v>
      </c>
      <c r="Q4346" s="20">
        <v>40556.0</v>
      </c>
      <c r="R4346" s="17">
        <f t="shared" si="2"/>
        <v>50.32503955</v>
      </c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>
        <f t="shared" si="8"/>
        <v>2</v>
      </c>
      <c r="AF4346" s="19">
        <f t="shared" si="13"/>
        <v>5</v>
      </c>
      <c r="AG4346" s="9"/>
      <c r="AH4346" s="9"/>
      <c r="AI4346" s="9"/>
    </row>
    <row r="4347" ht="15.0" customHeight="1">
      <c r="A4347" s="11">
        <v>4346.0</v>
      </c>
      <c r="B4347" s="12">
        <f t="shared" si="684"/>
        <v>40552</v>
      </c>
      <c r="C4347" s="13">
        <v>2011.0</v>
      </c>
      <c r="D4347" s="11" t="s">
        <v>44</v>
      </c>
      <c r="E4347" s="11">
        <v>45.0</v>
      </c>
      <c r="F4347" s="21" t="s">
        <v>536</v>
      </c>
      <c r="G4347" s="15">
        <v>0.05067885605532801</v>
      </c>
      <c r="H4347" s="11" t="s">
        <v>45</v>
      </c>
      <c r="I4347" s="16">
        <v>56.160000000000004</v>
      </c>
      <c r="J4347" s="11" t="s">
        <v>2490</v>
      </c>
      <c r="K4347" s="11" t="s">
        <v>65</v>
      </c>
      <c r="L4347" s="11" t="s">
        <v>36</v>
      </c>
      <c r="M4347" s="11" t="s">
        <v>49</v>
      </c>
      <c r="N4347" s="11" t="s">
        <v>50</v>
      </c>
      <c r="O4347" s="11" t="s">
        <v>537</v>
      </c>
      <c r="P4347" s="11" t="s">
        <v>52</v>
      </c>
      <c r="Q4347" s="20">
        <v>40556.0</v>
      </c>
      <c r="R4347" s="17">
        <f t="shared" si="2"/>
        <v>283.125538</v>
      </c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>
        <f t="shared" si="8"/>
        <v>2</v>
      </c>
      <c r="AF4347" s="19">
        <f t="shared" si="13"/>
        <v>5</v>
      </c>
      <c r="AG4347" s="9"/>
      <c r="AH4347" s="9"/>
      <c r="AI4347" s="9"/>
    </row>
    <row r="4348" ht="15.0" customHeight="1">
      <c r="A4348" s="11">
        <v>4347.0</v>
      </c>
      <c r="B4348" s="12">
        <f t="shared" si="684"/>
        <v>40552</v>
      </c>
      <c r="C4348" s="13">
        <v>2011.0</v>
      </c>
      <c r="D4348" s="11" t="s">
        <v>102</v>
      </c>
      <c r="E4348" s="11">
        <v>40.0</v>
      </c>
      <c r="F4348" s="21" t="s">
        <v>1195</v>
      </c>
      <c r="G4348" s="15">
        <v>0.09857754927163671</v>
      </c>
      <c r="H4348" s="11" t="s">
        <v>33</v>
      </c>
      <c r="I4348" s="16">
        <v>2.3920000000000003</v>
      </c>
      <c r="J4348" s="11" t="s">
        <v>1080</v>
      </c>
      <c r="K4348" s="11" t="s">
        <v>47</v>
      </c>
      <c r="L4348" s="11" t="s">
        <v>48</v>
      </c>
      <c r="M4348" s="11" t="s">
        <v>28</v>
      </c>
      <c r="N4348" s="11" t="s">
        <v>42</v>
      </c>
      <c r="O4348" s="11" t="s">
        <v>2199</v>
      </c>
      <c r="P4348" s="11" t="s">
        <v>38</v>
      </c>
      <c r="Q4348" s="20">
        <v>40556.0</v>
      </c>
      <c r="R4348" s="17">
        <f t="shared" si="2"/>
        <v>20.73992775</v>
      </c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>
        <f t="shared" si="8"/>
        <v>4</v>
      </c>
      <c r="AF4348" s="19">
        <f t="shared" si="13"/>
        <v>3</v>
      </c>
      <c r="AG4348" s="9"/>
      <c r="AH4348" s="9"/>
      <c r="AI4348" s="9"/>
    </row>
    <row r="4349" ht="15.0" customHeight="1">
      <c r="A4349" s="11">
        <v>4348.0</v>
      </c>
      <c r="B4349" s="12">
        <f t="shared" si="684"/>
        <v>40552</v>
      </c>
      <c r="C4349" s="13">
        <v>2011.0</v>
      </c>
      <c r="D4349" s="11" t="s">
        <v>102</v>
      </c>
      <c r="E4349" s="11">
        <v>47.0</v>
      </c>
      <c r="F4349" s="21" t="s">
        <v>290</v>
      </c>
      <c r="G4349" s="15">
        <v>0.031089494163424106</v>
      </c>
      <c r="H4349" s="11" t="s">
        <v>33</v>
      </c>
      <c r="I4349" s="16">
        <v>1.8079999999999998</v>
      </c>
      <c r="J4349" s="11" t="s">
        <v>1080</v>
      </c>
      <c r="K4349" s="11" t="s">
        <v>47</v>
      </c>
      <c r="L4349" s="11" t="s">
        <v>48</v>
      </c>
      <c r="M4349" s="11" t="s">
        <v>28</v>
      </c>
      <c r="N4349" s="11" t="s">
        <v>56</v>
      </c>
      <c r="O4349" s="11" t="s">
        <v>365</v>
      </c>
      <c r="P4349" s="11" t="s">
        <v>58</v>
      </c>
      <c r="Q4349" s="20">
        <v>40556.0</v>
      </c>
      <c r="R4349" s="17">
        <f t="shared" si="2"/>
        <v>6.193275953</v>
      </c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>
        <f t="shared" si="8"/>
        <v>4</v>
      </c>
      <c r="AF4349" s="19">
        <f t="shared" si="13"/>
        <v>3</v>
      </c>
      <c r="AG4349" s="9"/>
      <c r="AH4349" s="9"/>
      <c r="AI4349" s="9"/>
    </row>
    <row r="4350" ht="15.0" customHeight="1">
      <c r="A4350" s="11">
        <v>4349.0</v>
      </c>
      <c r="B4350" s="12">
        <f t="shared" ref="B4350:B4363" si="685">DATE(2012,12,31)-721</f>
        <v>40553</v>
      </c>
      <c r="C4350" s="13">
        <v>2011.0</v>
      </c>
      <c r="D4350" s="11" t="s">
        <v>32</v>
      </c>
      <c r="E4350" s="11">
        <v>12.0</v>
      </c>
      <c r="F4350" s="21" t="s">
        <v>1074</v>
      </c>
      <c r="G4350" s="15">
        <v>0.07871299871299871</v>
      </c>
      <c r="H4350" s="11" t="s">
        <v>33</v>
      </c>
      <c r="I4350" s="16">
        <v>5.5840000000000005</v>
      </c>
      <c r="J4350" s="11" t="s">
        <v>1214</v>
      </c>
      <c r="K4350" s="11" t="s">
        <v>35</v>
      </c>
      <c r="L4350" s="11" t="s">
        <v>27</v>
      </c>
      <c r="M4350" s="11" t="s">
        <v>28</v>
      </c>
      <c r="N4350" s="11" t="s">
        <v>42</v>
      </c>
      <c r="O4350" s="11" t="s">
        <v>1893</v>
      </c>
      <c r="P4350" s="11" t="s">
        <v>38</v>
      </c>
      <c r="Q4350" s="20">
        <v>40556.0</v>
      </c>
      <c r="R4350" s="17">
        <f t="shared" si="2"/>
        <v>5.6345913</v>
      </c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>
        <f t="shared" si="8"/>
        <v>1</v>
      </c>
      <c r="AF4350" s="19">
        <f t="shared" si="13"/>
        <v>2</v>
      </c>
      <c r="AG4350" s="9"/>
      <c r="AH4350" s="9"/>
      <c r="AI4350" s="9"/>
    </row>
    <row r="4351" ht="15.0" customHeight="1">
      <c r="A4351" s="11">
        <v>4350.0</v>
      </c>
      <c r="B4351" s="12">
        <f t="shared" si="685"/>
        <v>40553</v>
      </c>
      <c r="C4351" s="13">
        <v>2011.0</v>
      </c>
      <c r="D4351" s="11" t="s">
        <v>32</v>
      </c>
      <c r="E4351" s="11">
        <v>35.0</v>
      </c>
      <c r="F4351" s="21" t="s">
        <v>624</v>
      </c>
      <c r="G4351" s="15">
        <v>0.08185446985446988</v>
      </c>
      <c r="H4351" s="11" t="s">
        <v>33</v>
      </c>
      <c r="I4351" s="16">
        <v>4.128</v>
      </c>
      <c r="J4351" s="11" t="s">
        <v>1214</v>
      </c>
      <c r="K4351" s="11" t="s">
        <v>35</v>
      </c>
      <c r="L4351" s="11" t="s">
        <v>27</v>
      </c>
      <c r="M4351" s="11" t="s">
        <v>49</v>
      </c>
      <c r="N4351" s="11" t="s">
        <v>73</v>
      </c>
      <c r="O4351" s="11" t="s">
        <v>1709</v>
      </c>
      <c r="P4351" s="11" t="s">
        <v>38</v>
      </c>
      <c r="Q4351" s="20">
        <v>40556.0</v>
      </c>
      <c r="R4351" s="17">
        <f t="shared" si="2"/>
        <v>36.14922581</v>
      </c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>
        <f t="shared" si="8"/>
        <v>1</v>
      </c>
      <c r="AF4351" s="19">
        <f t="shared" si="13"/>
        <v>2</v>
      </c>
      <c r="AG4351" s="9"/>
      <c r="AH4351" s="9"/>
      <c r="AI4351" s="9"/>
    </row>
    <row r="4352" ht="15.0" customHeight="1">
      <c r="A4352" s="11">
        <v>4351.0</v>
      </c>
      <c r="B4352" s="12">
        <f t="shared" si="685"/>
        <v>40553</v>
      </c>
      <c r="C4352" s="13">
        <v>2011.0</v>
      </c>
      <c r="D4352" s="11" t="s">
        <v>32</v>
      </c>
      <c r="E4352" s="11">
        <v>3.0</v>
      </c>
      <c r="F4352" s="21" t="s">
        <v>290</v>
      </c>
      <c r="G4352" s="15">
        <v>0.11655913978494618</v>
      </c>
      <c r="H4352" s="11" t="s">
        <v>33</v>
      </c>
      <c r="I4352" s="16">
        <v>3.8320000000000003</v>
      </c>
      <c r="J4352" s="11" t="s">
        <v>1214</v>
      </c>
      <c r="K4352" s="11" t="s">
        <v>35</v>
      </c>
      <c r="L4352" s="11" t="s">
        <v>27</v>
      </c>
      <c r="M4352" s="11" t="s">
        <v>28</v>
      </c>
      <c r="N4352" s="11" t="s">
        <v>56</v>
      </c>
      <c r="O4352" s="11" t="s">
        <v>1012</v>
      </c>
      <c r="P4352" s="11" t="s">
        <v>38</v>
      </c>
      <c r="Q4352" s="20">
        <v>40556.0</v>
      </c>
      <c r="R4352" s="17">
        <f t="shared" si="2"/>
        <v>1.915299785</v>
      </c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>
        <f t="shared" si="8"/>
        <v>1</v>
      </c>
      <c r="AF4352" s="19">
        <f t="shared" si="13"/>
        <v>2</v>
      </c>
      <c r="AG4352" s="9"/>
      <c r="AH4352" s="9"/>
      <c r="AI4352" s="9"/>
    </row>
    <row r="4353" ht="15.0" customHeight="1">
      <c r="A4353" s="11">
        <v>4352.0</v>
      </c>
      <c r="B4353" s="12">
        <f t="shared" si="685"/>
        <v>40553</v>
      </c>
      <c r="C4353" s="13">
        <v>2011.0</v>
      </c>
      <c r="D4353" s="11" t="s">
        <v>32</v>
      </c>
      <c r="E4353" s="11">
        <v>12.0</v>
      </c>
      <c r="F4353" s="21" t="s">
        <v>666</v>
      </c>
      <c r="G4353" s="15">
        <v>0.10368932038834958</v>
      </c>
      <c r="H4353" s="11" t="s">
        <v>33</v>
      </c>
      <c r="I4353" s="16">
        <v>0.5599999999999999</v>
      </c>
      <c r="J4353" s="11" t="s">
        <v>1214</v>
      </c>
      <c r="K4353" s="11" t="s">
        <v>35</v>
      </c>
      <c r="L4353" s="11" t="s">
        <v>27</v>
      </c>
      <c r="M4353" s="11" t="s">
        <v>28</v>
      </c>
      <c r="N4353" s="11" t="s">
        <v>62</v>
      </c>
      <c r="O4353" s="11" t="s">
        <v>2121</v>
      </c>
      <c r="P4353" s="11" t="s">
        <v>58</v>
      </c>
      <c r="Q4353" s="20">
        <v>40556.0</v>
      </c>
      <c r="R4353" s="17">
        <f t="shared" si="2"/>
        <v>4.786299029</v>
      </c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>
        <f t="shared" si="8"/>
        <v>1</v>
      </c>
      <c r="AF4353" s="19">
        <f t="shared" si="13"/>
        <v>2</v>
      </c>
      <c r="AG4353" s="9"/>
      <c r="AH4353" s="9"/>
      <c r="AI4353" s="9"/>
    </row>
    <row r="4354" ht="15.0" customHeight="1">
      <c r="A4354" s="11">
        <v>4353.0</v>
      </c>
      <c r="B4354" s="12">
        <f t="shared" si="685"/>
        <v>40553</v>
      </c>
      <c r="C4354" s="13">
        <v>2011.0</v>
      </c>
      <c r="D4354" s="11" t="s">
        <v>39</v>
      </c>
      <c r="E4354" s="11">
        <v>13.0</v>
      </c>
      <c r="F4354" s="21" t="s">
        <v>705</v>
      </c>
      <c r="G4354" s="15">
        <v>0.01422764227642282</v>
      </c>
      <c r="H4354" s="11" t="s">
        <v>33</v>
      </c>
      <c r="I4354" s="16">
        <v>0.4</v>
      </c>
      <c r="J4354" s="11" t="s">
        <v>1209</v>
      </c>
      <c r="K4354" s="11" t="s">
        <v>65</v>
      </c>
      <c r="L4354" s="11" t="s">
        <v>48</v>
      </c>
      <c r="M4354" s="11" t="s">
        <v>28</v>
      </c>
      <c r="N4354" s="11" t="s">
        <v>188</v>
      </c>
      <c r="O4354" s="11" t="s">
        <v>1976</v>
      </c>
      <c r="P4354" s="11" t="s">
        <v>38</v>
      </c>
      <c r="Q4354" s="20">
        <v>40557.0</v>
      </c>
      <c r="R4354" s="17">
        <f t="shared" si="2"/>
        <v>0.6900406504</v>
      </c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>
        <f t="shared" si="8"/>
        <v>4</v>
      </c>
      <c r="AF4354" s="19">
        <f t="shared" si="13"/>
        <v>5</v>
      </c>
      <c r="AG4354" s="9"/>
      <c r="AH4354" s="9"/>
      <c r="AI4354" s="9"/>
    </row>
    <row r="4355" ht="15.0" customHeight="1">
      <c r="A4355" s="11">
        <v>4354.0</v>
      </c>
      <c r="B4355" s="12">
        <f t="shared" si="685"/>
        <v>40553</v>
      </c>
      <c r="C4355" s="13">
        <v>2011.0</v>
      </c>
      <c r="D4355" s="11" t="s">
        <v>23</v>
      </c>
      <c r="E4355" s="11">
        <v>39.0</v>
      </c>
      <c r="F4355" s="21" t="s">
        <v>336</v>
      </c>
      <c r="G4355" s="15">
        <v>0.07243772968558598</v>
      </c>
      <c r="H4355" s="11" t="s">
        <v>33</v>
      </c>
      <c r="I4355" s="16">
        <v>0.96</v>
      </c>
      <c r="J4355" s="11" t="s">
        <v>910</v>
      </c>
      <c r="K4355" s="11" t="s">
        <v>117</v>
      </c>
      <c r="L4355" s="11" t="s">
        <v>48</v>
      </c>
      <c r="M4355" s="11" t="s">
        <v>28</v>
      </c>
      <c r="N4355" s="11" t="s">
        <v>62</v>
      </c>
      <c r="O4355" s="11" t="s">
        <v>1540</v>
      </c>
      <c r="P4355" s="11" t="s">
        <v>58</v>
      </c>
      <c r="Q4355" s="20">
        <v>40557.0</v>
      </c>
      <c r="R4355" s="17">
        <f t="shared" si="2"/>
        <v>16.45495468</v>
      </c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>
        <f t="shared" si="8"/>
        <v>4</v>
      </c>
      <c r="AF4355" s="19" t="b">
        <f t="shared" si="13"/>
        <v>0</v>
      </c>
      <c r="AG4355" s="9"/>
      <c r="AH4355" s="9"/>
      <c r="AI4355" s="9"/>
    </row>
    <row r="4356" ht="15.0" customHeight="1">
      <c r="A4356" s="11">
        <v>4355.0</v>
      </c>
      <c r="B4356" s="12">
        <f t="shared" si="685"/>
        <v>40553</v>
      </c>
      <c r="C4356" s="13">
        <v>2011.0</v>
      </c>
      <c r="D4356" s="11" t="s">
        <v>23</v>
      </c>
      <c r="E4356" s="11">
        <v>28.0</v>
      </c>
      <c r="F4356" s="21" t="s">
        <v>521</v>
      </c>
      <c r="G4356" s="15">
        <v>0.06772396729127061</v>
      </c>
      <c r="H4356" s="11" t="s">
        <v>45</v>
      </c>
      <c r="I4356" s="16">
        <v>55.712</v>
      </c>
      <c r="J4356" s="11" t="s">
        <v>910</v>
      </c>
      <c r="K4356" s="11" t="s">
        <v>117</v>
      </c>
      <c r="L4356" s="11" t="s">
        <v>48</v>
      </c>
      <c r="M4356" s="11" t="s">
        <v>49</v>
      </c>
      <c r="N4356" s="11" t="s">
        <v>85</v>
      </c>
      <c r="O4356" s="11" t="s">
        <v>522</v>
      </c>
      <c r="P4356" s="11" t="s">
        <v>87</v>
      </c>
      <c r="Q4356" s="20">
        <v>40557.0</v>
      </c>
      <c r="R4356" s="17">
        <f t="shared" si="2"/>
        <v>418.4875238</v>
      </c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>
        <f t="shared" si="8"/>
        <v>4</v>
      </c>
      <c r="AF4356" s="19" t="b">
        <f t="shared" si="13"/>
        <v>0</v>
      </c>
      <c r="AG4356" s="9"/>
      <c r="AH4356" s="9"/>
      <c r="AI4356" s="9"/>
    </row>
    <row r="4357" ht="15.0" customHeight="1">
      <c r="A4357" s="11">
        <v>4356.0</v>
      </c>
      <c r="B4357" s="12">
        <f t="shared" si="685"/>
        <v>40553</v>
      </c>
      <c r="C4357" s="13">
        <v>2011.0</v>
      </c>
      <c r="D4357" s="11" t="s">
        <v>32</v>
      </c>
      <c r="E4357" s="11">
        <v>22.0</v>
      </c>
      <c r="F4357" s="21" t="s">
        <v>319</v>
      </c>
      <c r="G4357" s="15">
        <v>0.11932678821879387</v>
      </c>
      <c r="H4357" s="11" t="s">
        <v>33</v>
      </c>
      <c r="I4357" s="16">
        <v>1.192</v>
      </c>
      <c r="J4357" s="11" t="s">
        <v>1636</v>
      </c>
      <c r="K4357" s="11" t="s">
        <v>61</v>
      </c>
      <c r="L4357" s="11" t="s">
        <v>48</v>
      </c>
      <c r="M4357" s="11" t="s">
        <v>28</v>
      </c>
      <c r="N4357" s="11" t="s">
        <v>42</v>
      </c>
      <c r="O4357" s="11" t="s">
        <v>1503</v>
      </c>
      <c r="P4357" s="11" t="s">
        <v>38</v>
      </c>
      <c r="Q4357" s="20">
        <v>40557.0</v>
      </c>
      <c r="R4357" s="17">
        <f t="shared" si="2"/>
        <v>7.492767686</v>
      </c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>
        <f t="shared" si="8"/>
        <v>4</v>
      </c>
      <c r="AF4357" s="19">
        <f t="shared" si="13"/>
        <v>4</v>
      </c>
      <c r="AG4357" s="9"/>
      <c r="AH4357" s="9"/>
      <c r="AI4357" s="9"/>
    </row>
    <row r="4358" ht="15.0" customHeight="1">
      <c r="A4358" s="11">
        <v>4357.0</v>
      </c>
      <c r="B4358" s="12">
        <f t="shared" si="685"/>
        <v>40553</v>
      </c>
      <c r="C4358" s="13">
        <v>2011.0</v>
      </c>
      <c r="D4358" s="11" t="s">
        <v>32</v>
      </c>
      <c r="E4358" s="11">
        <v>50.0</v>
      </c>
      <c r="F4358" s="21" t="s">
        <v>122</v>
      </c>
      <c r="G4358" s="15">
        <v>0.07819127368884979</v>
      </c>
      <c r="H4358" s="11" t="s">
        <v>33</v>
      </c>
      <c r="I4358" s="16">
        <v>0.792</v>
      </c>
      <c r="J4358" s="11" t="s">
        <v>1636</v>
      </c>
      <c r="K4358" s="11" t="s">
        <v>61</v>
      </c>
      <c r="L4358" s="11" t="s">
        <v>48</v>
      </c>
      <c r="M4358" s="11" t="s">
        <v>66</v>
      </c>
      <c r="N4358" s="11" t="s">
        <v>80</v>
      </c>
      <c r="O4358" s="11" t="s">
        <v>1854</v>
      </c>
      <c r="P4358" s="11" t="s">
        <v>58</v>
      </c>
      <c r="Q4358" s="20">
        <v>40558.0</v>
      </c>
      <c r="R4358" s="17">
        <f t="shared" si="2"/>
        <v>81.77180849</v>
      </c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>
        <f t="shared" si="8"/>
        <v>4</v>
      </c>
      <c r="AF4358" s="19">
        <f t="shared" si="13"/>
        <v>4</v>
      </c>
      <c r="AG4358" s="9"/>
      <c r="AH4358" s="9"/>
      <c r="AI4358" s="9"/>
    </row>
    <row r="4359" ht="15.0" customHeight="1">
      <c r="A4359" s="11">
        <v>4358.0</v>
      </c>
      <c r="B4359" s="12">
        <f t="shared" si="685"/>
        <v>40553</v>
      </c>
      <c r="C4359" s="13">
        <v>2011.0</v>
      </c>
      <c r="D4359" s="11" t="s">
        <v>39</v>
      </c>
      <c r="E4359" s="11">
        <v>17.0</v>
      </c>
      <c r="F4359" s="21" t="s">
        <v>802</v>
      </c>
      <c r="G4359" s="15">
        <v>0.07490633678364055</v>
      </c>
      <c r="H4359" s="11" t="s">
        <v>33</v>
      </c>
      <c r="I4359" s="16">
        <v>4.648</v>
      </c>
      <c r="J4359" s="11" t="s">
        <v>1374</v>
      </c>
      <c r="K4359" s="11" t="s">
        <v>26</v>
      </c>
      <c r="L4359" s="11" t="s">
        <v>48</v>
      </c>
      <c r="M4359" s="11" t="s">
        <v>49</v>
      </c>
      <c r="N4359" s="11" t="s">
        <v>73</v>
      </c>
      <c r="O4359" s="11" t="s">
        <v>804</v>
      </c>
      <c r="P4359" s="11" t="s">
        <v>75</v>
      </c>
      <c r="Q4359" s="20">
        <v>40558.0</v>
      </c>
      <c r="R4359" s="17">
        <f t="shared" si="2"/>
        <v>137.2394951</v>
      </c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>
        <f t="shared" si="8"/>
        <v>4</v>
      </c>
      <c r="AF4359" s="19">
        <f t="shared" si="13"/>
        <v>1</v>
      </c>
      <c r="AG4359" s="9"/>
      <c r="AH4359" s="9"/>
      <c r="AI4359" s="9"/>
    </row>
    <row r="4360" ht="15.0" customHeight="1">
      <c r="A4360" s="11">
        <v>4359.0</v>
      </c>
      <c r="B4360" s="12">
        <f t="shared" si="685"/>
        <v>40553</v>
      </c>
      <c r="C4360" s="13">
        <v>2011.0</v>
      </c>
      <c r="D4360" s="11" t="s">
        <v>39</v>
      </c>
      <c r="E4360" s="11">
        <v>8.0</v>
      </c>
      <c r="F4360" s="21" t="s">
        <v>784</v>
      </c>
      <c r="G4360" s="15">
        <v>0.047808982654559205</v>
      </c>
      <c r="H4360" s="11" t="s">
        <v>33</v>
      </c>
      <c r="I4360" s="16">
        <v>19.592</v>
      </c>
      <c r="J4360" s="11" t="s">
        <v>1520</v>
      </c>
      <c r="K4360" s="11" t="s">
        <v>35</v>
      </c>
      <c r="L4360" s="11" t="s">
        <v>41</v>
      </c>
      <c r="M4360" s="11" t="s">
        <v>66</v>
      </c>
      <c r="N4360" s="11" t="s">
        <v>170</v>
      </c>
      <c r="O4360" s="11" t="s">
        <v>785</v>
      </c>
      <c r="P4360" s="11" t="s">
        <v>31</v>
      </c>
      <c r="Q4360" s="20">
        <v>40558.0</v>
      </c>
      <c r="R4360" s="17">
        <f t="shared" si="2"/>
        <v>1339.549941</v>
      </c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>
        <f t="shared" si="8"/>
        <v>3</v>
      </c>
      <c r="AF4360" s="19">
        <f t="shared" si="13"/>
        <v>2</v>
      </c>
      <c r="AG4360" s="9"/>
      <c r="AH4360" s="9"/>
      <c r="AI4360" s="9"/>
    </row>
    <row r="4361" ht="15.0" customHeight="1">
      <c r="A4361" s="11">
        <v>4360.0</v>
      </c>
      <c r="B4361" s="12">
        <f t="shared" si="685"/>
        <v>40553</v>
      </c>
      <c r="C4361" s="13">
        <v>2011.0</v>
      </c>
      <c r="D4361" s="11" t="s">
        <v>44</v>
      </c>
      <c r="E4361" s="11">
        <v>36.0</v>
      </c>
      <c r="F4361" s="21" t="s">
        <v>486</v>
      </c>
      <c r="G4361" s="15">
        <v>0.058569284642321154</v>
      </c>
      <c r="H4361" s="11" t="s">
        <v>33</v>
      </c>
      <c r="I4361" s="16">
        <v>4.5920000000000005</v>
      </c>
      <c r="J4361" s="11" t="s">
        <v>2348</v>
      </c>
      <c r="K4361" s="11" t="s">
        <v>35</v>
      </c>
      <c r="L4361" s="11" t="s">
        <v>36</v>
      </c>
      <c r="M4361" s="11" t="s">
        <v>28</v>
      </c>
      <c r="N4361" s="11" t="s">
        <v>42</v>
      </c>
      <c r="O4361" s="11" t="s">
        <v>487</v>
      </c>
      <c r="P4361" s="11" t="s">
        <v>38</v>
      </c>
      <c r="Q4361" s="20">
        <v>40558.0</v>
      </c>
      <c r="R4361" s="17">
        <f t="shared" si="2"/>
        <v>11.02227082</v>
      </c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>
        <f t="shared" si="8"/>
        <v>2</v>
      </c>
      <c r="AF4361" s="19">
        <f t="shared" si="13"/>
        <v>2</v>
      </c>
      <c r="AG4361" s="9"/>
      <c r="AH4361" s="9"/>
      <c r="AI4361" s="9"/>
    </row>
    <row r="4362" ht="15.0" customHeight="1">
      <c r="A4362" s="11">
        <v>4361.0</v>
      </c>
      <c r="B4362" s="12">
        <f t="shared" si="685"/>
        <v>40553</v>
      </c>
      <c r="C4362" s="13">
        <v>2011.0</v>
      </c>
      <c r="D4362" s="11" t="s">
        <v>44</v>
      </c>
      <c r="E4362" s="11">
        <v>3.0</v>
      </c>
      <c r="F4362" s="21" t="s">
        <v>810</v>
      </c>
      <c r="G4362" s="15">
        <v>0.0836856368563684</v>
      </c>
      <c r="H4362" s="11" t="s">
        <v>33</v>
      </c>
      <c r="I4362" s="16">
        <v>1.1119999999999999</v>
      </c>
      <c r="J4362" s="11" t="s">
        <v>2348</v>
      </c>
      <c r="K4362" s="11" t="s">
        <v>35</v>
      </c>
      <c r="L4362" s="11" t="s">
        <v>36</v>
      </c>
      <c r="M4362" s="11" t="s">
        <v>28</v>
      </c>
      <c r="N4362" s="11" t="s">
        <v>236</v>
      </c>
      <c r="O4362" s="11" t="s">
        <v>2174</v>
      </c>
      <c r="P4362" s="11" t="s">
        <v>38</v>
      </c>
      <c r="Q4362" s="20">
        <v>40559.0</v>
      </c>
      <c r="R4362" s="17">
        <f t="shared" si="2"/>
        <v>2.829578753</v>
      </c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>
        <f t="shared" si="8"/>
        <v>2</v>
      </c>
      <c r="AF4362" s="19">
        <f t="shared" si="13"/>
        <v>2</v>
      </c>
      <c r="AG4362" s="9"/>
      <c r="AH4362" s="9"/>
      <c r="AI4362" s="9"/>
    </row>
    <row r="4363" ht="15.0" customHeight="1">
      <c r="A4363" s="11">
        <v>4362.0</v>
      </c>
      <c r="B4363" s="12">
        <f t="shared" si="685"/>
        <v>40553</v>
      </c>
      <c r="C4363" s="13">
        <v>2011.0</v>
      </c>
      <c r="D4363" s="11" t="s">
        <v>44</v>
      </c>
      <c r="E4363" s="11">
        <v>26.0</v>
      </c>
      <c r="F4363" s="21" t="s">
        <v>178</v>
      </c>
      <c r="G4363" s="15">
        <v>0.0219215463331438</v>
      </c>
      <c r="H4363" s="11" t="s">
        <v>33</v>
      </c>
      <c r="I4363" s="16">
        <v>7.040000000000001</v>
      </c>
      <c r="J4363" s="11" t="s">
        <v>2348</v>
      </c>
      <c r="K4363" s="11" t="s">
        <v>35</v>
      </c>
      <c r="L4363" s="11" t="s">
        <v>36</v>
      </c>
      <c r="M4363" s="11" t="s">
        <v>66</v>
      </c>
      <c r="N4363" s="11" t="s">
        <v>80</v>
      </c>
      <c r="O4363" s="11" t="s">
        <v>812</v>
      </c>
      <c r="P4363" s="11" t="s">
        <v>38</v>
      </c>
      <c r="Q4363" s="20">
        <v>40559.0</v>
      </c>
      <c r="R4363" s="17">
        <f t="shared" si="2"/>
        <v>37.71470517</v>
      </c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>
        <f t="shared" si="8"/>
        <v>2</v>
      </c>
      <c r="AF4363" s="19">
        <f t="shared" si="13"/>
        <v>2</v>
      </c>
      <c r="AG4363" s="9"/>
      <c r="AH4363" s="9"/>
      <c r="AI4363" s="9"/>
    </row>
    <row r="4364" ht="15.0" customHeight="1">
      <c r="A4364" s="11">
        <v>4363.0</v>
      </c>
      <c r="B4364" s="12">
        <f t="shared" ref="B4364:B4373" si="686">DATE(2012,12,31)-720</f>
        <v>40554</v>
      </c>
      <c r="C4364" s="13">
        <v>2011.0</v>
      </c>
      <c r="D4364" s="11" t="s">
        <v>39</v>
      </c>
      <c r="E4364" s="11">
        <v>48.0</v>
      </c>
      <c r="F4364" s="21" t="s">
        <v>766</v>
      </c>
      <c r="G4364" s="15">
        <v>0.012194657382398286</v>
      </c>
      <c r="H4364" s="11" t="s">
        <v>45</v>
      </c>
      <c r="I4364" s="16">
        <v>43.792</v>
      </c>
      <c r="J4364" s="11" t="s">
        <v>1036</v>
      </c>
      <c r="K4364" s="11" t="s">
        <v>65</v>
      </c>
      <c r="L4364" s="11" t="s">
        <v>36</v>
      </c>
      <c r="M4364" s="11" t="s">
        <v>49</v>
      </c>
      <c r="N4364" s="11" t="s">
        <v>156</v>
      </c>
      <c r="O4364" s="11" t="s">
        <v>767</v>
      </c>
      <c r="P4364" s="11" t="s">
        <v>87</v>
      </c>
      <c r="Q4364" s="20">
        <v>40559.0</v>
      </c>
      <c r="R4364" s="17">
        <f t="shared" si="2"/>
        <v>77.1554997</v>
      </c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>
        <f t="shared" si="8"/>
        <v>2</v>
      </c>
      <c r="AF4364" s="19">
        <f t="shared" si="13"/>
        <v>5</v>
      </c>
      <c r="AG4364" s="9"/>
      <c r="AH4364" s="9"/>
      <c r="AI4364" s="9"/>
    </row>
    <row r="4365" ht="15.0" customHeight="1">
      <c r="A4365" s="11">
        <v>4364.0</v>
      </c>
      <c r="B4365" s="12">
        <f t="shared" si="686"/>
        <v>40554</v>
      </c>
      <c r="C4365" s="13">
        <v>2011.0</v>
      </c>
      <c r="D4365" s="11" t="s">
        <v>39</v>
      </c>
      <c r="E4365" s="11">
        <v>23.0</v>
      </c>
      <c r="F4365" s="21" t="s">
        <v>130</v>
      </c>
      <c r="G4365" s="15">
        <v>0.02285792499315637</v>
      </c>
      <c r="H4365" s="11" t="s">
        <v>33</v>
      </c>
      <c r="I4365" s="16">
        <v>3.2</v>
      </c>
      <c r="J4365" s="11" t="s">
        <v>1036</v>
      </c>
      <c r="K4365" s="11" t="s">
        <v>65</v>
      </c>
      <c r="L4365" s="11" t="s">
        <v>36</v>
      </c>
      <c r="M4365" s="11" t="s">
        <v>66</v>
      </c>
      <c r="N4365" s="11" t="s">
        <v>67</v>
      </c>
      <c r="O4365" s="11" t="s">
        <v>1926</v>
      </c>
      <c r="P4365" s="11" t="s">
        <v>38</v>
      </c>
      <c r="Q4365" s="20">
        <v>40559.0</v>
      </c>
      <c r="R4365" s="17">
        <f t="shared" si="2"/>
        <v>16.31827265</v>
      </c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>
        <f t="shared" si="8"/>
        <v>2</v>
      </c>
      <c r="AF4365" s="19">
        <f t="shared" si="13"/>
        <v>5</v>
      </c>
      <c r="AG4365" s="9"/>
      <c r="AH4365" s="9"/>
      <c r="AI4365" s="9"/>
    </row>
    <row r="4366" ht="15.0" customHeight="1">
      <c r="A4366" s="11">
        <v>4365.0</v>
      </c>
      <c r="B4366" s="12">
        <f t="shared" si="686"/>
        <v>40554</v>
      </c>
      <c r="C4366" s="13">
        <v>2011.0</v>
      </c>
      <c r="D4366" s="11" t="s">
        <v>44</v>
      </c>
      <c r="E4366" s="11">
        <v>6.0</v>
      </c>
      <c r="F4366" s="21" t="s">
        <v>204</v>
      </c>
      <c r="G4366" s="15">
        <v>0.10350515463917503</v>
      </c>
      <c r="H4366" s="11" t="s">
        <v>33</v>
      </c>
      <c r="I4366" s="16">
        <v>1.192</v>
      </c>
      <c r="J4366" s="11" t="s">
        <v>1256</v>
      </c>
      <c r="K4366" s="11" t="s">
        <v>83</v>
      </c>
      <c r="L4366" s="11" t="s">
        <v>48</v>
      </c>
      <c r="M4366" s="11" t="s">
        <v>28</v>
      </c>
      <c r="N4366" s="11" t="s">
        <v>42</v>
      </c>
      <c r="O4366" s="11" t="s">
        <v>2463</v>
      </c>
      <c r="P4366" s="11" t="s">
        <v>38</v>
      </c>
      <c r="Q4366" s="20">
        <v>40559.0</v>
      </c>
      <c r="R4366" s="17">
        <f t="shared" si="2"/>
        <v>1.800161649</v>
      </c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>
        <f t="shared" si="8"/>
        <v>4</v>
      </c>
      <c r="AF4366" s="19" t="b">
        <f t="shared" si="13"/>
        <v>0</v>
      </c>
      <c r="AG4366" s="9"/>
      <c r="AH4366" s="9"/>
      <c r="AI4366" s="9"/>
    </row>
    <row r="4367" ht="15.0" customHeight="1">
      <c r="A4367" s="11">
        <v>4366.0</v>
      </c>
      <c r="B4367" s="12">
        <f t="shared" si="686"/>
        <v>40554</v>
      </c>
      <c r="C4367" s="13">
        <v>2011.0</v>
      </c>
      <c r="D4367" s="11" t="s">
        <v>44</v>
      </c>
      <c r="E4367" s="11">
        <v>15.0</v>
      </c>
      <c r="F4367" s="21" t="s">
        <v>186</v>
      </c>
      <c r="G4367" s="15">
        <v>0.06470588235294143</v>
      </c>
      <c r="H4367" s="11" t="s">
        <v>33</v>
      </c>
      <c r="I4367" s="16">
        <v>5.28</v>
      </c>
      <c r="J4367" s="11" t="s">
        <v>1256</v>
      </c>
      <c r="K4367" s="11" t="s">
        <v>83</v>
      </c>
      <c r="L4367" s="11" t="s">
        <v>48</v>
      </c>
      <c r="M4367" s="11" t="s">
        <v>49</v>
      </c>
      <c r="N4367" s="11" t="s">
        <v>73</v>
      </c>
      <c r="O4367" s="11" t="s">
        <v>258</v>
      </c>
      <c r="P4367" s="11" t="s">
        <v>38</v>
      </c>
      <c r="Q4367" s="20">
        <v>40559.0</v>
      </c>
      <c r="R4367" s="17">
        <f t="shared" si="2"/>
        <v>4.321058824</v>
      </c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>
        <f t="shared" si="8"/>
        <v>4</v>
      </c>
      <c r="AF4367" s="19" t="b">
        <f t="shared" si="13"/>
        <v>0</v>
      </c>
      <c r="AG4367" s="9"/>
      <c r="AH4367" s="9"/>
      <c r="AI4367" s="9"/>
    </row>
    <row r="4368" ht="15.0" customHeight="1">
      <c r="A4368" s="11">
        <v>4367.0</v>
      </c>
      <c r="B4368" s="12">
        <f t="shared" si="686"/>
        <v>40554</v>
      </c>
      <c r="C4368" s="13">
        <v>2011.0</v>
      </c>
      <c r="D4368" s="11" t="s">
        <v>44</v>
      </c>
      <c r="E4368" s="11">
        <v>19.0</v>
      </c>
      <c r="F4368" s="21" t="s">
        <v>158</v>
      </c>
      <c r="G4368" s="15">
        <v>0.0699054545454545</v>
      </c>
      <c r="H4368" s="11" t="s">
        <v>33</v>
      </c>
      <c r="I4368" s="16">
        <v>6.288</v>
      </c>
      <c r="J4368" s="11" t="s">
        <v>1256</v>
      </c>
      <c r="K4368" s="11" t="s">
        <v>83</v>
      </c>
      <c r="L4368" s="11" t="s">
        <v>48</v>
      </c>
      <c r="M4368" s="11" t="s">
        <v>28</v>
      </c>
      <c r="N4368" s="11" t="s">
        <v>56</v>
      </c>
      <c r="O4368" s="11" t="s">
        <v>1285</v>
      </c>
      <c r="P4368" s="11" t="s">
        <v>38</v>
      </c>
      <c r="Q4368" s="20">
        <v>40559.0</v>
      </c>
      <c r="R4368" s="17">
        <f t="shared" si="2"/>
        <v>8.940068771</v>
      </c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>
        <f t="shared" si="8"/>
        <v>4</v>
      </c>
      <c r="AF4368" s="19" t="b">
        <f t="shared" si="13"/>
        <v>0</v>
      </c>
      <c r="AG4368" s="9"/>
      <c r="AH4368" s="9"/>
      <c r="AI4368" s="9"/>
    </row>
    <row r="4369" ht="15.0" customHeight="1">
      <c r="A4369" s="11">
        <v>4368.0</v>
      </c>
      <c r="B4369" s="12">
        <f t="shared" si="686"/>
        <v>40554</v>
      </c>
      <c r="C4369" s="13">
        <v>2011.0</v>
      </c>
      <c r="D4369" s="11" t="s">
        <v>44</v>
      </c>
      <c r="E4369" s="11">
        <v>21.0</v>
      </c>
      <c r="F4369" s="21" t="s">
        <v>151</v>
      </c>
      <c r="G4369" s="15">
        <v>0.04250340136054415</v>
      </c>
      <c r="H4369" s="11" t="s">
        <v>33</v>
      </c>
      <c r="I4369" s="16">
        <v>3.176</v>
      </c>
      <c r="J4369" s="11" t="s">
        <v>1256</v>
      </c>
      <c r="K4369" s="11" t="s">
        <v>83</v>
      </c>
      <c r="L4369" s="11" t="s">
        <v>48</v>
      </c>
      <c r="M4369" s="11" t="s">
        <v>28</v>
      </c>
      <c r="N4369" s="11" t="s">
        <v>62</v>
      </c>
      <c r="O4369" s="11" t="s">
        <v>153</v>
      </c>
      <c r="P4369" s="11" t="s">
        <v>58</v>
      </c>
      <c r="Q4369" s="20">
        <v>40560.0</v>
      </c>
      <c r="R4369" s="17">
        <f t="shared" si="2"/>
        <v>2.991219374</v>
      </c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>
        <f t="shared" si="8"/>
        <v>4</v>
      </c>
      <c r="AF4369" s="19" t="b">
        <f t="shared" si="13"/>
        <v>0</v>
      </c>
      <c r="AG4369" s="9"/>
      <c r="AH4369" s="9"/>
      <c r="AI4369" s="9"/>
    </row>
    <row r="4370" ht="15.0" customHeight="1">
      <c r="A4370" s="11">
        <v>4369.0</v>
      </c>
      <c r="B4370" s="12">
        <f t="shared" si="686"/>
        <v>40554</v>
      </c>
      <c r="C4370" s="13">
        <v>2011.0</v>
      </c>
      <c r="D4370" s="11" t="s">
        <v>32</v>
      </c>
      <c r="E4370" s="11">
        <v>24.0</v>
      </c>
      <c r="F4370" s="21" t="s">
        <v>509</v>
      </c>
      <c r="G4370" s="15">
        <v>0.026562909352895077</v>
      </c>
      <c r="H4370" s="11" t="s">
        <v>33</v>
      </c>
      <c r="I4370" s="16">
        <v>15.991999999999999</v>
      </c>
      <c r="J4370" s="11" t="s">
        <v>202</v>
      </c>
      <c r="K4370" s="11" t="s">
        <v>35</v>
      </c>
      <c r="L4370" s="11" t="s">
        <v>27</v>
      </c>
      <c r="M4370" s="11" t="s">
        <v>49</v>
      </c>
      <c r="N4370" s="11" t="s">
        <v>73</v>
      </c>
      <c r="O4370" s="11" t="s">
        <v>664</v>
      </c>
      <c r="P4370" s="11" t="s">
        <v>38</v>
      </c>
      <c r="Q4370" s="20">
        <v>40560.0</v>
      </c>
      <c r="R4370" s="17">
        <f t="shared" si="2"/>
        <v>50.53306625</v>
      </c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>
        <f t="shared" si="8"/>
        <v>1</v>
      </c>
      <c r="AF4370" s="19">
        <f t="shared" si="13"/>
        <v>2</v>
      </c>
      <c r="AG4370" s="9"/>
      <c r="AH4370" s="9"/>
      <c r="AI4370" s="9"/>
    </row>
    <row r="4371" ht="15.0" customHeight="1">
      <c r="A4371" s="11">
        <v>4370.0</v>
      </c>
      <c r="B4371" s="12">
        <f t="shared" si="686"/>
        <v>40554</v>
      </c>
      <c r="C4371" s="13">
        <v>2011.0</v>
      </c>
      <c r="D4371" s="11" t="s">
        <v>39</v>
      </c>
      <c r="E4371" s="11">
        <v>46.0</v>
      </c>
      <c r="F4371" s="21" t="s">
        <v>1116</v>
      </c>
      <c r="G4371" s="15">
        <v>0.0749943150204416</v>
      </c>
      <c r="H4371" s="11" t="s">
        <v>33</v>
      </c>
      <c r="I4371" s="16">
        <v>15.991999999999999</v>
      </c>
      <c r="J4371" s="11" t="s">
        <v>639</v>
      </c>
      <c r="K4371" s="11" t="s">
        <v>35</v>
      </c>
      <c r="L4371" s="11" t="s">
        <v>27</v>
      </c>
      <c r="M4371" s="11" t="s">
        <v>28</v>
      </c>
      <c r="N4371" s="11" t="s">
        <v>42</v>
      </c>
      <c r="O4371" s="11" t="s">
        <v>1117</v>
      </c>
      <c r="P4371" s="11" t="s">
        <v>38</v>
      </c>
      <c r="Q4371" s="20">
        <v>40560.0</v>
      </c>
      <c r="R4371" s="17">
        <f t="shared" si="2"/>
        <v>573.5109247</v>
      </c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>
        <f t="shared" si="8"/>
        <v>1</v>
      </c>
      <c r="AF4371" s="19">
        <f t="shared" si="13"/>
        <v>2</v>
      </c>
      <c r="AG4371" s="9"/>
      <c r="AH4371" s="9"/>
      <c r="AI4371" s="9"/>
    </row>
    <row r="4372" ht="15.0" customHeight="1">
      <c r="A4372" s="11">
        <v>4371.0</v>
      </c>
      <c r="B4372" s="12">
        <f t="shared" si="686"/>
        <v>40554</v>
      </c>
      <c r="C4372" s="13">
        <v>2011.0</v>
      </c>
      <c r="D4372" s="11" t="s">
        <v>39</v>
      </c>
      <c r="E4372" s="11">
        <v>41.0</v>
      </c>
      <c r="F4372" s="21" t="s">
        <v>694</v>
      </c>
      <c r="G4372" s="15">
        <v>0.07616294349540079</v>
      </c>
      <c r="H4372" s="11" t="s">
        <v>24</v>
      </c>
      <c r="I4372" s="16">
        <v>1.592</v>
      </c>
      <c r="J4372" s="11" t="s">
        <v>639</v>
      </c>
      <c r="K4372" s="11" t="s">
        <v>35</v>
      </c>
      <c r="L4372" s="11" t="s">
        <v>27</v>
      </c>
      <c r="M4372" s="11" t="s">
        <v>66</v>
      </c>
      <c r="N4372" s="11" t="s">
        <v>67</v>
      </c>
      <c r="O4372" s="11" t="s">
        <v>695</v>
      </c>
      <c r="P4372" s="11" t="s">
        <v>99</v>
      </c>
      <c r="Q4372" s="20">
        <v>40560.0</v>
      </c>
      <c r="R4372" s="17">
        <f t="shared" si="2"/>
        <v>123.1548703</v>
      </c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>
        <f t="shared" si="8"/>
        <v>1</v>
      </c>
      <c r="AF4372" s="19">
        <f t="shared" si="13"/>
        <v>2</v>
      </c>
      <c r="AG4372" s="9"/>
      <c r="AH4372" s="9"/>
      <c r="AI4372" s="9"/>
    </row>
    <row r="4373" ht="15.0" customHeight="1">
      <c r="A4373" s="11">
        <v>4372.0</v>
      </c>
      <c r="B4373" s="12">
        <f t="shared" si="686"/>
        <v>40554</v>
      </c>
      <c r="C4373" s="13">
        <v>2011.0</v>
      </c>
      <c r="D4373" s="11" t="s">
        <v>39</v>
      </c>
      <c r="E4373" s="11">
        <v>1.0</v>
      </c>
      <c r="F4373" s="21" t="s">
        <v>158</v>
      </c>
      <c r="G4373" s="15">
        <v>0.12845528455284552</v>
      </c>
      <c r="H4373" s="11" t="s">
        <v>33</v>
      </c>
      <c r="I4373" s="16">
        <v>4.32</v>
      </c>
      <c r="J4373" s="11" t="s">
        <v>639</v>
      </c>
      <c r="K4373" s="11" t="s">
        <v>35</v>
      </c>
      <c r="L4373" s="11" t="s">
        <v>27</v>
      </c>
      <c r="M4373" s="11" t="s">
        <v>28</v>
      </c>
      <c r="N4373" s="11" t="s">
        <v>56</v>
      </c>
      <c r="O4373" s="11" t="s">
        <v>972</v>
      </c>
      <c r="P4373" s="11" t="s">
        <v>38</v>
      </c>
      <c r="Q4373" s="20">
        <v>40560.0</v>
      </c>
      <c r="R4373" s="17">
        <f t="shared" si="2"/>
        <v>1.37704065</v>
      </c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>
        <f t="shared" si="8"/>
        <v>1</v>
      </c>
      <c r="AF4373" s="19">
        <f t="shared" si="13"/>
        <v>2</v>
      </c>
      <c r="AG4373" s="9"/>
      <c r="AH4373" s="9"/>
      <c r="AI4373" s="9"/>
    </row>
    <row r="4374" ht="15.0" customHeight="1">
      <c r="A4374" s="11">
        <v>4373.0</v>
      </c>
      <c r="B4374" s="12">
        <f t="shared" ref="B4374:B4376" si="687">DATE(2012,12,31)-718</f>
        <v>40556</v>
      </c>
      <c r="C4374" s="13">
        <v>2011.0</v>
      </c>
      <c r="D4374" s="11" t="s">
        <v>44</v>
      </c>
      <c r="E4374" s="11">
        <v>41.0</v>
      </c>
      <c r="F4374" s="21" t="s">
        <v>142</v>
      </c>
      <c r="G4374" s="15">
        <v>0.02647173674434317</v>
      </c>
      <c r="H4374" s="11" t="s">
        <v>33</v>
      </c>
      <c r="I4374" s="16">
        <v>4.0</v>
      </c>
      <c r="J4374" s="11" t="s">
        <v>613</v>
      </c>
      <c r="K4374" s="11" t="s">
        <v>65</v>
      </c>
      <c r="L4374" s="11" t="s">
        <v>41</v>
      </c>
      <c r="M4374" s="11" t="s">
        <v>66</v>
      </c>
      <c r="N4374" s="11" t="s">
        <v>80</v>
      </c>
      <c r="O4374" s="11" t="s">
        <v>540</v>
      </c>
      <c r="P4374" s="11" t="s">
        <v>38</v>
      </c>
      <c r="Q4374" s="20">
        <v>40560.0</v>
      </c>
      <c r="R4374" s="17">
        <f t="shared" si="2"/>
        <v>39.06963626</v>
      </c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>
        <f t="shared" si="8"/>
        <v>3</v>
      </c>
      <c r="AF4374" s="19">
        <f t="shared" si="13"/>
        <v>5</v>
      </c>
      <c r="AG4374" s="9"/>
      <c r="AH4374" s="9"/>
      <c r="AI4374" s="9"/>
    </row>
    <row r="4375" ht="15.0" customHeight="1">
      <c r="A4375" s="11">
        <v>4374.0</v>
      </c>
      <c r="B4375" s="12">
        <f t="shared" si="687"/>
        <v>40556</v>
      </c>
      <c r="C4375" s="13">
        <v>2011.0</v>
      </c>
      <c r="D4375" s="11" t="s">
        <v>32</v>
      </c>
      <c r="E4375" s="11">
        <v>23.0</v>
      </c>
      <c r="F4375" s="21" t="s">
        <v>147</v>
      </c>
      <c r="G4375" s="15">
        <v>0.0896644295302014</v>
      </c>
      <c r="H4375" s="11" t="s">
        <v>33</v>
      </c>
      <c r="I4375" s="16">
        <v>1.592</v>
      </c>
      <c r="J4375" s="11" t="s">
        <v>421</v>
      </c>
      <c r="K4375" s="11" t="s">
        <v>83</v>
      </c>
      <c r="L4375" s="11" t="s">
        <v>27</v>
      </c>
      <c r="M4375" s="11" t="s">
        <v>66</v>
      </c>
      <c r="N4375" s="11" t="s">
        <v>67</v>
      </c>
      <c r="O4375" s="11" t="s">
        <v>149</v>
      </c>
      <c r="P4375" s="11" t="s">
        <v>99</v>
      </c>
      <c r="Q4375" s="20">
        <v>40560.0</v>
      </c>
      <c r="R4375" s="17">
        <f t="shared" si="2"/>
        <v>3.648624966</v>
      </c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>
        <f t="shared" si="8"/>
        <v>1</v>
      </c>
      <c r="AF4375" s="19" t="b">
        <f t="shared" si="13"/>
        <v>0</v>
      </c>
      <c r="AG4375" s="9"/>
      <c r="AH4375" s="9"/>
      <c r="AI4375" s="9"/>
    </row>
    <row r="4376" ht="15.0" customHeight="1">
      <c r="A4376" s="11">
        <v>4375.0</v>
      </c>
      <c r="B4376" s="12">
        <f t="shared" si="687"/>
        <v>40556</v>
      </c>
      <c r="C4376" s="13">
        <v>2011.0</v>
      </c>
      <c r="D4376" s="11" t="s">
        <v>32</v>
      </c>
      <c r="E4376" s="11">
        <v>28.0</v>
      </c>
      <c r="F4376" s="21" t="s">
        <v>1458</v>
      </c>
      <c r="G4376" s="15">
        <v>0.03991678855842681</v>
      </c>
      <c r="H4376" s="11" t="s">
        <v>24</v>
      </c>
      <c r="I4376" s="16">
        <v>8.096</v>
      </c>
      <c r="J4376" s="11" t="s">
        <v>200</v>
      </c>
      <c r="K4376" s="11" t="s">
        <v>47</v>
      </c>
      <c r="L4376" s="11" t="s">
        <v>48</v>
      </c>
      <c r="M4376" s="11" t="s">
        <v>49</v>
      </c>
      <c r="N4376" s="11" t="s">
        <v>73</v>
      </c>
      <c r="O4376" s="11" t="s">
        <v>1459</v>
      </c>
      <c r="P4376" s="11" t="s">
        <v>31</v>
      </c>
      <c r="Q4376" s="20">
        <v>40560.0</v>
      </c>
      <c r="R4376" s="17">
        <f t="shared" si="2"/>
        <v>117.9020587</v>
      </c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>
        <f t="shared" si="8"/>
        <v>4</v>
      </c>
      <c r="AF4376" s="19">
        <f t="shared" si="13"/>
        <v>3</v>
      </c>
      <c r="AG4376" s="9"/>
      <c r="AH4376" s="9"/>
      <c r="AI4376" s="9"/>
    </row>
    <row r="4377" ht="15.0" customHeight="1">
      <c r="A4377" s="11">
        <v>4376.0</v>
      </c>
      <c r="B4377" s="12">
        <f>DATE(2012,12,31)-717</f>
        <v>40557</v>
      </c>
      <c r="C4377" s="13">
        <v>2011.0</v>
      </c>
      <c r="D4377" s="11" t="s">
        <v>32</v>
      </c>
      <c r="E4377" s="11">
        <v>35.0</v>
      </c>
      <c r="F4377" s="21" t="s">
        <v>997</v>
      </c>
      <c r="G4377" s="15">
        <v>0.05032451323015473</v>
      </c>
      <c r="H4377" s="11" t="s">
        <v>45</v>
      </c>
      <c r="I4377" s="16">
        <v>48.160000000000004</v>
      </c>
      <c r="J4377" s="11" t="s">
        <v>1484</v>
      </c>
      <c r="K4377" s="11" t="s">
        <v>83</v>
      </c>
      <c r="L4377" s="11" t="s">
        <v>48</v>
      </c>
      <c r="M4377" s="11" t="s">
        <v>49</v>
      </c>
      <c r="N4377" s="11" t="s">
        <v>50</v>
      </c>
      <c r="O4377" s="11" t="s">
        <v>999</v>
      </c>
      <c r="P4377" s="11" t="s">
        <v>52</v>
      </c>
      <c r="Q4377" s="20">
        <v>40561.0</v>
      </c>
      <c r="R4377" s="17">
        <f t="shared" si="2"/>
        <v>268.0364094</v>
      </c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>
        <f t="shared" si="8"/>
        <v>4</v>
      </c>
      <c r="AF4377" s="19" t="b">
        <f t="shared" si="13"/>
        <v>0</v>
      </c>
      <c r="AG4377" s="9"/>
      <c r="AH4377" s="9"/>
      <c r="AI4377" s="9"/>
    </row>
    <row r="4378" ht="15.0" customHeight="1">
      <c r="A4378" s="11">
        <v>4377.0</v>
      </c>
      <c r="B4378" s="12">
        <f t="shared" ref="B4378:B4381" si="688">DATE(2012,12,31)-716</f>
        <v>40558</v>
      </c>
      <c r="C4378" s="13">
        <v>2011.0</v>
      </c>
      <c r="D4378" s="11" t="s">
        <v>39</v>
      </c>
      <c r="E4378" s="11">
        <v>37.0</v>
      </c>
      <c r="F4378" s="21" t="s">
        <v>914</v>
      </c>
      <c r="G4378" s="15">
        <v>0.013360160965794754</v>
      </c>
      <c r="H4378" s="11" t="s">
        <v>33</v>
      </c>
      <c r="I4378" s="16">
        <v>10.384</v>
      </c>
      <c r="J4378" s="11" t="s">
        <v>571</v>
      </c>
      <c r="K4378" s="11" t="s">
        <v>65</v>
      </c>
      <c r="L4378" s="11" t="s">
        <v>48</v>
      </c>
      <c r="M4378" s="11" t="s">
        <v>28</v>
      </c>
      <c r="N4378" s="11" t="s">
        <v>42</v>
      </c>
      <c r="O4378" s="11" t="s">
        <v>915</v>
      </c>
      <c r="P4378" s="11" t="s">
        <v>38</v>
      </c>
      <c r="Q4378" s="20">
        <v>40562.0</v>
      </c>
      <c r="R4378" s="17">
        <f t="shared" si="2"/>
        <v>12.44744821</v>
      </c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>
        <f t="shared" si="8"/>
        <v>4</v>
      </c>
      <c r="AF4378" s="19">
        <f t="shared" si="13"/>
        <v>5</v>
      </c>
      <c r="AG4378" s="9"/>
      <c r="AH4378" s="9"/>
      <c r="AI4378" s="9"/>
    </row>
    <row r="4379" ht="15.0" customHeight="1">
      <c r="A4379" s="11">
        <v>4378.0</v>
      </c>
      <c r="B4379" s="12">
        <f t="shared" si="688"/>
        <v>40558</v>
      </c>
      <c r="C4379" s="13">
        <v>2011.0</v>
      </c>
      <c r="D4379" s="11" t="s">
        <v>39</v>
      </c>
      <c r="E4379" s="11">
        <v>39.0</v>
      </c>
      <c r="F4379" s="21" t="s">
        <v>638</v>
      </c>
      <c r="G4379" s="15">
        <v>0.07777414075286432</v>
      </c>
      <c r="H4379" s="11" t="s">
        <v>24</v>
      </c>
      <c r="I4379" s="16">
        <v>4.84</v>
      </c>
      <c r="J4379" s="11" t="s">
        <v>571</v>
      </c>
      <c r="K4379" s="11" t="s">
        <v>65</v>
      </c>
      <c r="L4379" s="11" t="s">
        <v>48</v>
      </c>
      <c r="M4379" s="11" t="s">
        <v>28</v>
      </c>
      <c r="N4379" s="11" t="s">
        <v>42</v>
      </c>
      <c r="O4379" s="11" t="s">
        <v>640</v>
      </c>
      <c r="P4379" s="11" t="s">
        <v>38</v>
      </c>
      <c r="Q4379" s="20">
        <v>40562.0</v>
      </c>
      <c r="R4379" s="17">
        <f t="shared" si="2"/>
        <v>21.91208642</v>
      </c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>
        <f t="shared" si="8"/>
        <v>4</v>
      </c>
      <c r="AF4379" s="19">
        <f t="shared" si="13"/>
        <v>5</v>
      </c>
      <c r="AG4379" s="9"/>
      <c r="AH4379" s="9"/>
      <c r="AI4379" s="9"/>
    </row>
    <row r="4380" ht="15.0" customHeight="1">
      <c r="A4380" s="11">
        <v>4379.0</v>
      </c>
      <c r="B4380" s="12">
        <f t="shared" si="688"/>
        <v>40558</v>
      </c>
      <c r="C4380" s="13">
        <v>2011.0</v>
      </c>
      <c r="D4380" s="11" t="s">
        <v>39</v>
      </c>
      <c r="E4380" s="11">
        <v>12.0</v>
      </c>
      <c r="F4380" s="21" t="s">
        <v>2089</v>
      </c>
      <c r="G4380" s="15">
        <v>0.08447314901335692</v>
      </c>
      <c r="H4380" s="11" t="s">
        <v>45</v>
      </c>
      <c r="I4380" s="16">
        <v>51.672000000000004</v>
      </c>
      <c r="J4380" s="11" t="s">
        <v>571</v>
      </c>
      <c r="K4380" s="11" t="s">
        <v>65</v>
      </c>
      <c r="L4380" s="11" t="s">
        <v>48</v>
      </c>
      <c r="M4380" s="11" t="s">
        <v>49</v>
      </c>
      <c r="N4380" s="11" t="s">
        <v>85</v>
      </c>
      <c r="O4380" s="11" t="s">
        <v>2492</v>
      </c>
      <c r="P4380" s="11" t="s">
        <v>87</v>
      </c>
      <c r="Q4380" s="20">
        <v>40562.0</v>
      </c>
      <c r="R4380" s="17">
        <f t="shared" si="2"/>
        <v>562.7999901</v>
      </c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>
        <f t="shared" si="8"/>
        <v>4</v>
      </c>
      <c r="AF4380" s="19">
        <f t="shared" si="13"/>
        <v>5</v>
      </c>
      <c r="AG4380" s="9"/>
      <c r="AH4380" s="9"/>
      <c r="AI4380" s="9"/>
    </row>
    <row r="4381" ht="15.0" customHeight="1">
      <c r="A4381" s="11">
        <v>4380.0</v>
      </c>
      <c r="B4381" s="12">
        <f t="shared" si="688"/>
        <v>40558</v>
      </c>
      <c r="C4381" s="13">
        <v>2011.0</v>
      </c>
      <c r="D4381" s="11" t="s">
        <v>39</v>
      </c>
      <c r="E4381" s="11">
        <v>32.0</v>
      </c>
      <c r="F4381" s="21" t="s">
        <v>93</v>
      </c>
      <c r="G4381" s="15">
        <v>0.06250191864927106</v>
      </c>
      <c r="H4381" s="11" t="s">
        <v>33</v>
      </c>
      <c r="I4381" s="16">
        <v>1.1119999999999999</v>
      </c>
      <c r="J4381" s="11" t="s">
        <v>2048</v>
      </c>
      <c r="K4381" s="11" t="s">
        <v>26</v>
      </c>
      <c r="L4381" s="11" t="s">
        <v>27</v>
      </c>
      <c r="M4381" s="11" t="s">
        <v>28</v>
      </c>
      <c r="N4381" s="11" t="s">
        <v>236</v>
      </c>
      <c r="O4381" s="11" t="s">
        <v>367</v>
      </c>
      <c r="P4381" s="11" t="s">
        <v>38</v>
      </c>
      <c r="Q4381" s="20">
        <v>40562.0</v>
      </c>
      <c r="R4381" s="17">
        <f t="shared" si="2"/>
        <v>15.26996875</v>
      </c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>
        <f t="shared" si="8"/>
        <v>1</v>
      </c>
      <c r="AF4381" s="19">
        <f t="shared" si="13"/>
        <v>1</v>
      </c>
      <c r="AG4381" s="9"/>
      <c r="AH4381" s="9"/>
      <c r="AI4381" s="9"/>
    </row>
    <row r="4382" ht="15.0" customHeight="1">
      <c r="A4382" s="11">
        <v>4381.0</v>
      </c>
      <c r="B4382" s="12">
        <f t="shared" ref="B4382:B4383" si="689">DATE(2012,12,31)-715</f>
        <v>40559</v>
      </c>
      <c r="C4382" s="13">
        <v>2011.0</v>
      </c>
      <c r="D4382" s="11" t="s">
        <v>102</v>
      </c>
      <c r="E4382" s="11">
        <v>29.0</v>
      </c>
      <c r="F4382" s="21" t="s">
        <v>103</v>
      </c>
      <c r="G4382" s="15">
        <v>0.046982055464926516</v>
      </c>
      <c r="H4382" s="11" t="s">
        <v>33</v>
      </c>
      <c r="I4382" s="16">
        <v>4.16</v>
      </c>
      <c r="J4382" s="11" t="s">
        <v>448</v>
      </c>
      <c r="K4382" s="11" t="s">
        <v>83</v>
      </c>
      <c r="L4382" s="11" t="s">
        <v>36</v>
      </c>
      <c r="M4382" s="11" t="s">
        <v>28</v>
      </c>
      <c r="N4382" s="11" t="s">
        <v>56</v>
      </c>
      <c r="O4382" s="11" t="s">
        <v>2322</v>
      </c>
      <c r="P4382" s="11" t="s">
        <v>38</v>
      </c>
      <c r="Q4382" s="20">
        <v>40562.0</v>
      </c>
      <c r="R4382" s="17">
        <f t="shared" si="2"/>
        <v>8.234075041</v>
      </c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>
        <f t="shared" si="8"/>
        <v>2</v>
      </c>
      <c r="AF4382" s="19" t="b">
        <f t="shared" si="13"/>
        <v>0</v>
      </c>
      <c r="AG4382" s="9"/>
      <c r="AH4382" s="9"/>
      <c r="AI4382" s="9"/>
    </row>
    <row r="4383" ht="15.0" customHeight="1">
      <c r="A4383" s="11">
        <v>4382.0</v>
      </c>
      <c r="B4383" s="12">
        <f t="shared" si="689"/>
        <v>40559</v>
      </c>
      <c r="C4383" s="13">
        <v>2011.0</v>
      </c>
      <c r="D4383" s="11" t="s">
        <v>39</v>
      </c>
      <c r="E4383" s="11">
        <v>12.0</v>
      </c>
      <c r="F4383" s="21" t="s">
        <v>758</v>
      </c>
      <c r="G4383" s="15">
        <v>0.043859649122807015</v>
      </c>
      <c r="H4383" s="11" t="s">
        <v>33</v>
      </c>
      <c r="I4383" s="16">
        <v>0.4</v>
      </c>
      <c r="J4383" s="11" t="s">
        <v>711</v>
      </c>
      <c r="K4383" s="11" t="s">
        <v>83</v>
      </c>
      <c r="L4383" s="11" t="s">
        <v>36</v>
      </c>
      <c r="M4383" s="11" t="s">
        <v>28</v>
      </c>
      <c r="N4383" s="11" t="s">
        <v>188</v>
      </c>
      <c r="O4383" s="11" t="s">
        <v>1867</v>
      </c>
      <c r="P4383" s="11" t="s">
        <v>38</v>
      </c>
      <c r="Q4383" s="20">
        <v>40562.0</v>
      </c>
      <c r="R4383" s="17">
        <f t="shared" si="2"/>
        <v>1.912280702</v>
      </c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>
        <f t="shared" si="8"/>
        <v>2</v>
      </c>
      <c r="AF4383" s="19" t="b">
        <f t="shared" si="13"/>
        <v>0</v>
      </c>
      <c r="AG4383" s="9"/>
      <c r="AH4383" s="9"/>
      <c r="AI4383" s="9"/>
    </row>
    <row r="4384" ht="15.0" customHeight="1">
      <c r="A4384" s="11">
        <v>4383.0</v>
      </c>
      <c r="B4384" s="12">
        <f t="shared" ref="B4384:B4387" si="690">DATE(2012,12,31)-714</f>
        <v>40560</v>
      </c>
      <c r="C4384" s="13">
        <v>2011.0</v>
      </c>
      <c r="D4384" s="11" t="s">
        <v>102</v>
      </c>
      <c r="E4384" s="11">
        <v>7.0</v>
      </c>
      <c r="F4384" s="21" t="s">
        <v>685</v>
      </c>
      <c r="G4384" s="15">
        <v>0.11134771644718396</v>
      </c>
      <c r="H4384" s="11" t="s">
        <v>33</v>
      </c>
      <c r="I4384" s="16">
        <v>27.360000000000003</v>
      </c>
      <c r="J4384" s="11" t="s">
        <v>423</v>
      </c>
      <c r="K4384" s="11" t="s">
        <v>35</v>
      </c>
      <c r="L4384" s="11" t="s">
        <v>48</v>
      </c>
      <c r="M4384" s="11" t="s">
        <v>49</v>
      </c>
      <c r="N4384" s="11" t="s">
        <v>73</v>
      </c>
      <c r="O4384" s="11" t="s">
        <v>686</v>
      </c>
      <c r="P4384" s="11" t="s">
        <v>58</v>
      </c>
      <c r="Q4384" s="20">
        <v>40563.0</v>
      </c>
      <c r="R4384" s="17">
        <f t="shared" si="2"/>
        <v>35.31504175</v>
      </c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>
        <f t="shared" si="8"/>
        <v>4</v>
      </c>
      <c r="AF4384" s="19">
        <f t="shared" si="13"/>
        <v>2</v>
      </c>
      <c r="AG4384" s="9"/>
      <c r="AH4384" s="9"/>
      <c r="AI4384" s="9"/>
    </row>
    <row r="4385" ht="15.0" customHeight="1">
      <c r="A4385" s="11">
        <v>4384.0</v>
      </c>
      <c r="B4385" s="12">
        <f t="shared" si="690"/>
        <v>40560</v>
      </c>
      <c r="C4385" s="13">
        <v>2011.0</v>
      </c>
      <c r="D4385" s="11" t="s">
        <v>102</v>
      </c>
      <c r="E4385" s="11">
        <v>29.0</v>
      </c>
      <c r="F4385" s="21" t="s">
        <v>158</v>
      </c>
      <c r="G4385" s="15">
        <v>0.10849162011173172</v>
      </c>
      <c r="H4385" s="11" t="s">
        <v>33</v>
      </c>
      <c r="I4385" s="16">
        <v>5.896000000000001</v>
      </c>
      <c r="J4385" s="11" t="s">
        <v>423</v>
      </c>
      <c r="K4385" s="11" t="s">
        <v>35</v>
      </c>
      <c r="L4385" s="11" t="s">
        <v>48</v>
      </c>
      <c r="M4385" s="11" t="s">
        <v>28</v>
      </c>
      <c r="N4385" s="11" t="s">
        <v>56</v>
      </c>
      <c r="O4385" s="11" t="s">
        <v>860</v>
      </c>
      <c r="P4385" s="11" t="s">
        <v>38</v>
      </c>
      <c r="Q4385" s="20">
        <v>40563.0</v>
      </c>
      <c r="R4385" s="17">
        <f t="shared" si="2"/>
        <v>20.77571128</v>
      </c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>
        <f t="shared" si="8"/>
        <v>4</v>
      </c>
      <c r="AF4385" s="19">
        <f t="shared" si="13"/>
        <v>2</v>
      </c>
      <c r="AG4385" s="9"/>
      <c r="AH4385" s="9"/>
      <c r="AI4385" s="9"/>
    </row>
    <row r="4386" ht="15.0" customHeight="1">
      <c r="A4386" s="11">
        <v>4385.0</v>
      </c>
      <c r="B4386" s="12">
        <f t="shared" si="690"/>
        <v>40560</v>
      </c>
      <c r="C4386" s="13">
        <v>2011.0</v>
      </c>
      <c r="D4386" s="11" t="s">
        <v>102</v>
      </c>
      <c r="E4386" s="11">
        <v>6.0</v>
      </c>
      <c r="F4386" s="21" t="s">
        <v>290</v>
      </c>
      <c r="G4386" s="15">
        <v>0.037090909090908945</v>
      </c>
      <c r="H4386" s="11" t="s">
        <v>33</v>
      </c>
      <c r="I4386" s="16">
        <v>1.2800000000000002</v>
      </c>
      <c r="J4386" s="11" t="s">
        <v>2352</v>
      </c>
      <c r="K4386" s="11" t="s">
        <v>61</v>
      </c>
      <c r="L4386" s="11" t="s">
        <v>41</v>
      </c>
      <c r="M4386" s="11" t="s">
        <v>28</v>
      </c>
      <c r="N4386" s="11" t="s">
        <v>62</v>
      </c>
      <c r="O4386" s="11" t="s">
        <v>939</v>
      </c>
      <c r="P4386" s="11" t="s">
        <v>58</v>
      </c>
      <c r="Q4386" s="20">
        <v>40563.0</v>
      </c>
      <c r="R4386" s="17">
        <f t="shared" si="2"/>
        <v>0.9821672727</v>
      </c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>
        <f t="shared" si="8"/>
        <v>3</v>
      </c>
      <c r="AF4386" s="19">
        <f t="shared" si="13"/>
        <v>4</v>
      </c>
      <c r="AG4386" s="9"/>
      <c r="AH4386" s="9"/>
      <c r="AI4386" s="9"/>
    </row>
    <row r="4387" ht="15.0" customHeight="1">
      <c r="A4387" s="11">
        <v>4386.0</v>
      </c>
      <c r="B4387" s="12">
        <f t="shared" si="690"/>
        <v>40560</v>
      </c>
      <c r="C4387" s="13">
        <v>2011.0</v>
      </c>
      <c r="D4387" s="11" t="s">
        <v>39</v>
      </c>
      <c r="E4387" s="11">
        <v>34.0</v>
      </c>
      <c r="F4387" s="21" t="s">
        <v>314</v>
      </c>
      <c r="G4387" s="15">
        <v>0.010147601476014838</v>
      </c>
      <c r="H4387" s="11" t="s">
        <v>33</v>
      </c>
      <c r="I4387" s="16">
        <v>0.4</v>
      </c>
      <c r="J4387" s="11" t="s">
        <v>1756</v>
      </c>
      <c r="K4387" s="11" t="s">
        <v>117</v>
      </c>
      <c r="L4387" s="11" t="s">
        <v>48</v>
      </c>
      <c r="M4387" s="11" t="s">
        <v>28</v>
      </c>
      <c r="N4387" s="11" t="s">
        <v>188</v>
      </c>
      <c r="O4387" s="11" t="s">
        <v>516</v>
      </c>
      <c r="P4387" s="11" t="s">
        <v>38</v>
      </c>
      <c r="Q4387" s="20">
        <v>40563.0</v>
      </c>
      <c r="R4387" s="17">
        <f t="shared" si="2"/>
        <v>2.177675277</v>
      </c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>
        <f t="shared" si="8"/>
        <v>4</v>
      </c>
      <c r="AF4387" s="19" t="b">
        <f t="shared" si="13"/>
        <v>0</v>
      </c>
      <c r="AG4387" s="9"/>
      <c r="AH4387" s="9"/>
      <c r="AI4387" s="9"/>
    </row>
    <row r="4388" ht="15.0" customHeight="1">
      <c r="A4388" s="11">
        <v>4387.0</v>
      </c>
      <c r="B4388" s="12">
        <f t="shared" ref="B4388:B4390" si="691">DATE(2012,12,31)-713</f>
        <v>40561</v>
      </c>
      <c r="C4388" s="13">
        <v>2011.0</v>
      </c>
      <c r="D4388" s="11" t="s">
        <v>39</v>
      </c>
      <c r="E4388" s="11">
        <v>18.0</v>
      </c>
      <c r="F4388" s="21" t="s">
        <v>740</v>
      </c>
      <c r="G4388" s="15">
        <v>0.06786723717631832</v>
      </c>
      <c r="H4388" s="11" t="s">
        <v>45</v>
      </c>
      <c r="I4388" s="16">
        <v>51.784000000000006</v>
      </c>
      <c r="J4388" s="11" t="s">
        <v>1586</v>
      </c>
      <c r="K4388" s="11" t="s">
        <v>65</v>
      </c>
      <c r="L4388" s="11" t="s">
        <v>27</v>
      </c>
      <c r="M4388" s="11" t="s">
        <v>49</v>
      </c>
      <c r="N4388" s="11" t="s">
        <v>50</v>
      </c>
      <c r="O4388" s="11" t="s">
        <v>742</v>
      </c>
      <c r="P4388" s="11" t="s">
        <v>52</v>
      </c>
      <c r="Q4388" s="20">
        <v>40564.0</v>
      </c>
      <c r="R4388" s="17">
        <f t="shared" si="2"/>
        <v>371.096967</v>
      </c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>
        <f t="shared" si="8"/>
        <v>1</v>
      </c>
      <c r="AF4388" s="19">
        <f t="shared" si="13"/>
        <v>5</v>
      </c>
      <c r="AG4388" s="9"/>
      <c r="AH4388" s="9"/>
      <c r="AI4388" s="9"/>
    </row>
    <row r="4389" ht="15.0" customHeight="1">
      <c r="A4389" s="11">
        <v>4388.0</v>
      </c>
      <c r="B4389" s="12">
        <f t="shared" si="691"/>
        <v>40561</v>
      </c>
      <c r="C4389" s="13">
        <v>2011.0</v>
      </c>
      <c r="D4389" s="11" t="s">
        <v>32</v>
      </c>
      <c r="E4389" s="11">
        <v>41.0</v>
      </c>
      <c r="F4389" s="21" t="s">
        <v>1195</v>
      </c>
      <c r="G4389" s="15">
        <v>0.017356426618049193</v>
      </c>
      <c r="H4389" s="11" t="s">
        <v>33</v>
      </c>
      <c r="I4389" s="16">
        <v>2.3920000000000003</v>
      </c>
      <c r="J4389" s="11" t="s">
        <v>106</v>
      </c>
      <c r="K4389" s="11" t="s">
        <v>35</v>
      </c>
      <c r="L4389" s="11" t="s">
        <v>48</v>
      </c>
      <c r="M4389" s="11" t="s">
        <v>28</v>
      </c>
      <c r="N4389" s="11" t="s">
        <v>42</v>
      </c>
      <c r="O4389" s="11" t="s">
        <v>2199</v>
      </c>
      <c r="P4389" s="11" t="s">
        <v>38</v>
      </c>
      <c r="Q4389" s="20">
        <v>40564.0</v>
      </c>
      <c r="R4389" s="17">
        <f t="shared" si="2"/>
        <v>3.741906727</v>
      </c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>
        <f t="shared" si="8"/>
        <v>4</v>
      </c>
      <c r="AF4389" s="19">
        <f t="shared" si="13"/>
        <v>2</v>
      </c>
      <c r="AG4389" s="9"/>
      <c r="AH4389" s="9"/>
      <c r="AI4389" s="9"/>
    </row>
    <row r="4390" ht="15.0" customHeight="1">
      <c r="A4390" s="11">
        <v>4389.0</v>
      </c>
      <c r="B4390" s="12">
        <f t="shared" si="691"/>
        <v>40561</v>
      </c>
      <c r="C4390" s="13">
        <v>2011.0</v>
      </c>
      <c r="D4390" s="11" t="s">
        <v>32</v>
      </c>
      <c r="E4390" s="11">
        <v>27.0</v>
      </c>
      <c r="F4390" s="21" t="s">
        <v>178</v>
      </c>
      <c r="G4390" s="15">
        <v>0.02691078217794302</v>
      </c>
      <c r="H4390" s="11" t="s">
        <v>33</v>
      </c>
      <c r="I4390" s="16">
        <v>15.991999999999999</v>
      </c>
      <c r="J4390" s="11" t="s">
        <v>106</v>
      </c>
      <c r="K4390" s="11" t="s">
        <v>35</v>
      </c>
      <c r="L4390" s="11" t="s">
        <v>48</v>
      </c>
      <c r="M4390" s="11" t="s">
        <v>66</v>
      </c>
      <c r="N4390" s="11" t="s">
        <v>80</v>
      </c>
      <c r="O4390" s="11" t="s">
        <v>2359</v>
      </c>
      <c r="P4390" s="11" t="s">
        <v>38</v>
      </c>
      <c r="Q4390" s="20">
        <v>40564.0</v>
      </c>
      <c r="R4390" s="17">
        <f t="shared" si="2"/>
        <v>48.31271196</v>
      </c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>
        <f t="shared" si="8"/>
        <v>4</v>
      </c>
      <c r="AF4390" s="19">
        <f t="shared" si="13"/>
        <v>2</v>
      </c>
      <c r="AG4390" s="9"/>
      <c r="AH4390" s="9"/>
      <c r="AI4390" s="9"/>
    </row>
    <row r="4391" ht="15.0" customHeight="1">
      <c r="A4391" s="11">
        <v>4390.0</v>
      </c>
      <c r="B4391" s="12">
        <f t="shared" ref="B4391:B4396" si="692">DATE(2012,12,31)-712</f>
        <v>40562</v>
      </c>
      <c r="C4391" s="13">
        <v>2011.0</v>
      </c>
      <c r="D4391" s="11" t="s">
        <v>23</v>
      </c>
      <c r="E4391" s="11">
        <v>8.0</v>
      </c>
      <c r="F4391" s="21" t="s">
        <v>290</v>
      </c>
      <c r="G4391" s="15">
        <v>0.05349875930521089</v>
      </c>
      <c r="H4391" s="11" t="s">
        <v>33</v>
      </c>
      <c r="I4391" s="16">
        <v>4.544</v>
      </c>
      <c r="J4391" s="11" t="s">
        <v>94</v>
      </c>
      <c r="K4391" s="11" t="s">
        <v>26</v>
      </c>
      <c r="L4391" s="11" t="s">
        <v>27</v>
      </c>
      <c r="M4391" s="11" t="s">
        <v>28</v>
      </c>
      <c r="N4391" s="11" t="s">
        <v>56</v>
      </c>
      <c r="O4391" s="11" t="s">
        <v>2070</v>
      </c>
      <c r="P4391" s="11" t="s">
        <v>38</v>
      </c>
      <c r="Q4391" s="20">
        <v>40565.0</v>
      </c>
      <c r="R4391" s="17">
        <f t="shared" si="2"/>
        <v>2.040656675</v>
      </c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>
        <f t="shared" si="8"/>
        <v>1</v>
      </c>
      <c r="AF4391" s="19">
        <f t="shared" si="13"/>
        <v>1</v>
      </c>
      <c r="AG4391" s="9"/>
      <c r="AH4391" s="9"/>
      <c r="AI4391" s="9"/>
    </row>
    <row r="4392" ht="15.0" customHeight="1">
      <c r="A4392" s="11">
        <v>4391.0</v>
      </c>
      <c r="B4392" s="12">
        <f t="shared" si="692"/>
        <v>40562</v>
      </c>
      <c r="C4392" s="13">
        <v>2011.0</v>
      </c>
      <c r="D4392" s="11" t="s">
        <v>32</v>
      </c>
      <c r="E4392" s="11">
        <v>9.0</v>
      </c>
      <c r="F4392" s="21" t="s">
        <v>319</v>
      </c>
      <c r="G4392" s="15">
        <v>0.03375464684014862</v>
      </c>
      <c r="H4392" s="11" t="s">
        <v>24</v>
      </c>
      <c r="I4392" s="16">
        <v>0.792</v>
      </c>
      <c r="J4392" s="11" t="s">
        <v>1103</v>
      </c>
      <c r="K4392" s="11" t="s">
        <v>83</v>
      </c>
      <c r="L4392" s="11" t="s">
        <v>41</v>
      </c>
      <c r="M4392" s="11" t="s">
        <v>28</v>
      </c>
      <c r="N4392" s="11" t="s">
        <v>188</v>
      </c>
      <c r="O4392" s="11" t="s">
        <v>2320</v>
      </c>
      <c r="P4392" s="11" t="s">
        <v>38</v>
      </c>
      <c r="Q4392" s="20">
        <v>40565.0</v>
      </c>
      <c r="R4392" s="17">
        <f t="shared" si="2"/>
        <v>0.8773507807</v>
      </c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>
        <f t="shared" si="8"/>
        <v>3</v>
      </c>
      <c r="AF4392" s="19" t="b">
        <f t="shared" si="13"/>
        <v>0</v>
      </c>
      <c r="AG4392" s="9"/>
      <c r="AH4392" s="9"/>
      <c r="AI4392" s="9"/>
    </row>
    <row r="4393" ht="15.0" customHeight="1">
      <c r="A4393" s="11">
        <v>4392.0</v>
      </c>
      <c r="B4393" s="12">
        <f t="shared" si="692"/>
        <v>40562</v>
      </c>
      <c r="C4393" s="13">
        <v>2011.0</v>
      </c>
      <c r="D4393" s="11" t="s">
        <v>23</v>
      </c>
      <c r="E4393" s="11">
        <v>46.0</v>
      </c>
      <c r="F4393" s="21" t="s">
        <v>290</v>
      </c>
      <c r="G4393" s="15">
        <v>0.10911589555657349</v>
      </c>
      <c r="H4393" s="11" t="s">
        <v>33</v>
      </c>
      <c r="I4393" s="16">
        <v>1.2800000000000002</v>
      </c>
      <c r="J4393" s="11" t="s">
        <v>1020</v>
      </c>
      <c r="K4393" s="11" t="s">
        <v>47</v>
      </c>
      <c r="L4393" s="11" t="s">
        <v>27</v>
      </c>
      <c r="M4393" s="11" t="s">
        <v>28</v>
      </c>
      <c r="N4393" s="11" t="s">
        <v>62</v>
      </c>
      <c r="O4393" s="11" t="s">
        <v>939</v>
      </c>
      <c r="P4393" s="11" t="s">
        <v>58</v>
      </c>
      <c r="Q4393" s="20">
        <v>40565.0</v>
      </c>
      <c r="R4393" s="17">
        <f t="shared" si="2"/>
        <v>21.22085937</v>
      </c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>
        <f t="shared" si="8"/>
        <v>1</v>
      </c>
      <c r="AF4393" s="19">
        <f t="shared" si="13"/>
        <v>3</v>
      </c>
      <c r="AG4393" s="9"/>
      <c r="AH4393" s="9"/>
      <c r="AI4393" s="9"/>
    </row>
    <row r="4394" ht="15.0" customHeight="1">
      <c r="A4394" s="11">
        <v>4393.0</v>
      </c>
      <c r="B4394" s="12">
        <f t="shared" si="692"/>
        <v>40562</v>
      </c>
      <c r="C4394" s="13">
        <v>2011.0</v>
      </c>
      <c r="D4394" s="11" t="s">
        <v>32</v>
      </c>
      <c r="E4394" s="11">
        <v>14.0</v>
      </c>
      <c r="F4394" s="21" t="s">
        <v>122</v>
      </c>
      <c r="G4394" s="15">
        <v>0.03362318840579737</v>
      </c>
      <c r="H4394" s="11" t="s">
        <v>33</v>
      </c>
      <c r="I4394" s="16">
        <v>0.792</v>
      </c>
      <c r="J4394" s="11" t="s">
        <v>392</v>
      </c>
      <c r="K4394" s="11" t="s">
        <v>65</v>
      </c>
      <c r="L4394" s="11" t="s">
        <v>41</v>
      </c>
      <c r="M4394" s="11" t="s">
        <v>66</v>
      </c>
      <c r="N4394" s="11" t="s">
        <v>80</v>
      </c>
      <c r="O4394" s="11" t="s">
        <v>1854</v>
      </c>
      <c r="P4394" s="11" t="s">
        <v>58</v>
      </c>
      <c r="Q4394" s="20">
        <v>40565.0</v>
      </c>
      <c r="R4394" s="17">
        <f t="shared" si="2"/>
        <v>9.864774493</v>
      </c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>
        <f t="shared" si="8"/>
        <v>3</v>
      </c>
      <c r="AF4394" s="19">
        <f t="shared" si="13"/>
        <v>5</v>
      </c>
      <c r="AG4394" s="9"/>
      <c r="AH4394" s="9"/>
      <c r="AI4394" s="9"/>
    </row>
    <row r="4395" ht="15.0" customHeight="1">
      <c r="A4395" s="11">
        <v>4394.0</v>
      </c>
      <c r="B4395" s="12">
        <f t="shared" si="692"/>
        <v>40562</v>
      </c>
      <c r="C4395" s="13">
        <v>2011.0</v>
      </c>
      <c r="D4395" s="11" t="s">
        <v>32</v>
      </c>
      <c r="E4395" s="11">
        <v>15.0</v>
      </c>
      <c r="F4395" s="21" t="s">
        <v>2195</v>
      </c>
      <c r="G4395" s="15">
        <v>0.054485447263017295</v>
      </c>
      <c r="H4395" s="11" t="s">
        <v>45</v>
      </c>
      <c r="I4395" s="16">
        <v>46.976</v>
      </c>
      <c r="J4395" s="11" t="s">
        <v>392</v>
      </c>
      <c r="K4395" s="11" t="s">
        <v>65</v>
      </c>
      <c r="L4395" s="11" t="s">
        <v>41</v>
      </c>
      <c r="M4395" s="11" t="s">
        <v>49</v>
      </c>
      <c r="N4395" s="11" t="s">
        <v>156</v>
      </c>
      <c r="O4395" s="11" t="s">
        <v>2504</v>
      </c>
      <c r="P4395" s="11" t="s">
        <v>87</v>
      </c>
      <c r="Q4395" s="20">
        <v>40565.0</v>
      </c>
      <c r="R4395" s="17">
        <f t="shared" si="2"/>
        <v>96.46517673</v>
      </c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>
        <f t="shared" si="8"/>
        <v>3</v>
      </c>
      <c r="AF4395" s="19">
        <f t="shared" si="13"/>
        <v>5</v>
      </c>
      <c r="AG4395" s="9"/>
      <c r="AH4395" s="9"/>
      <c r="AI4395" s="9"/>
    </row>
    <row r="4396" ht="15.0" customHeight="1">
      <c r="A4396" s="11">
        <v>4395.0</v>
      </c>
      <c r="B4396" s="12">
        <f t="shared" si="692"/>
        <v>40562</v>
      </c>
      <c r="C4396" s="13">
        <v>2011.0</v>
      </c>
      <c r="D4396" s="11" t="s">
        <v>32</v>
      </c>
      <c r="E4396" s="11">
        <v>4.0</v>
      </c>
      <c r="F4396" s="21" t="s">
        <v>1178</v>
      </c>
      <c r="G4396" s="15">
        <v>0.04027538726333913</v>
      </c>
      <c r="H4396" s="11" t="s">
        <v>45</v>
      </c>
      <c r="I4396" s="16">
        <v>41.760000000000005</v>
      </c>
      <c r="J4396" s="11" t="s">
        <v>392</v>
      </c>
      <c r="K4396" s="11" t="s">
        <v>65</v>
      </c>
      <c r="L4396" s="11" t="s">
        <v>41</v>
      </c>
      <c r="M4396" s="11" t="s">
        <v>49</v>
      </c>
      <c r="N4396" s="11" t="s">
        <v>85</v>
      </c>
      <c r="O4396" s="11" t="s">
        <v>86</v>
      </c>
      <c r="P4396" s="11" t="s">
        <v>87</v>
      </c>
      <c r="Q4396" s="20">
        <v>40565.0</v>
      </c>
      <c r="R4396" s="17">
        <f t="shared" si="2"/>
        <v>35.9320895</v>
      </c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>
        <f t="shared" si="8"/>
        <v>3</v>
      </c>
      <c r="AF4396" s="19">
        <f t="shared" si="13"/>
        <v>5</v>
      </c>
      <c r="AG4396" s="9"/>
      <c r="AH4396" s="9"/>
      <c r="AI4396" s="9"/>
    </row>
    <row r="4397" ht="15.0" customHeight="1">
      <c r="A4397" s="11">
        <v>4396.0</v>
      </c>
      <c r="B4397" s="12">
        <f t="shared" ref="B4397:B4399" si="693">DATE(2012,12,31)-711</f>
        <v>40563</v>
      </c>
      <c r="C4397" s="13">
        <v>2011.0</v>
      </c>
      <c r="D4397" s="11" t="s">
        <v>39</v>
      </c>
      <c r="E4397" s="11">
        <v>7.0</v>
      </c>
      <c r="F4397" s="21" t="s">
        <v>1071</v>
      </c>
      <c r="G4397" s="15">
        <v>0.08109936575052841</v>
      </c>
      <c r="H4397" s="11" t="s">
        <v>33</v>
      </c>
      <c r="I4397" s="16">
        <v>7.192</v>
      </c>
      <c r="J4397" s="11" t="s">
        <v>2215</v>
      </c>
      <c r="K4397" s="11" t="s">
        <v>83</v>
      </c>
      <c r="L4397" s="11" t="s">
        <v>41</v>
      </c>
      <c r="M4397" s="11" t="s">
        <v>49</v>
      </c>
      <c r="N4397" s="11" t="s">
        <v>73</v>
      </c>
      <c r="O4397" s="11" t="s">
        <v>1073</v>
      </c>
      <c r="P4397" s="11" t="s">
        <v>99</v>
      </c>
      <c r="Q4397" s="20">
        <v>40565.0</v>
      </c>
      <c r="R4397" s="17">
        <f t="shared" si="2"/>
        <v>10.5747085</v>
      </c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>
        <f t="shared" si="8"/>
        <v>3</v>
      </c>
      <c r="AF4397" s="19" t="b">
        <f t="shared" si="13"/>
        <v>0</v>
      </c>
      <c r="AG4397" s="9"/>
      <c r="AH4397" s="9"/>
      <c r="AI4397" s="9"/>
    </row>
    <row r="4398" ht="15.0" customHeight="1">
      <c r="A4398" s="11">
        <v>4397.0</v>
      </c>
      <c r="B4398" s="12">
        <f t="shared" si="693"/>
        <v>40563</v>
      </c>
      <c r="C4398" s="13">
        <v>2011.0</v>
      </c>
      <c r="D4398" s="11" t="s">
        <v>39</v>
      </c>
      <c r="E4398" s="11">
        <v>50.0</v>
      </c>
      <c r="F4398" s="21" t="s">
        <v>322</v>
      </c>
      <c r="G4398" s="15">
        <v>0.038435903132637214</v>
      </c>
      <c r="H4398" s="11" t="s">
        <v>33</v>
      </c>
      <c r="I4398" s="16">
        <v>2.8000000000000003</v>
      </c>
      <c r="J4398" s="11" t="s">
        <v>2215</v>
      </c>
      <c r="K4398" s="11" t="s">
        <v>83</v>
      </c>
      <c r="L4398" s="11" t="s">
        <v>41</v>
      </c>
      <c r="M4398" s="11" t="s">
        <v>28</v>
      </c>
      <c r="N4398" s="11" t="s">
        <v>197</v>
      </c>
      <c r="O4398" s="11" t="s">
        <v>2172</v>
      </c>
      <c r="P4398" s="11" t="s">
        <v>38</v>
      </c>
      <c r="Q4398" s="20">
        <v>40566.0</v>
      </c>
      <c r="R4398" s="17">
        <f t="shared" si="2"/>
        <v>16.63505888</v>
      </c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>
        <f t="shared" si="8"/>
        <v>3</v>
      </c>
      <c r="AF4398" s="19" t="b">
        <f t="shared" si="13"/>
        <v>0</v>
      </c>
      <c r="AG4398" s="9"/>
      <c r="AH4398" s="9"/>
      <c r="AI4398" s="9"/>
    </row>
    <row r="4399" ht="15.0" customHeight="1">
      <c r="A4399" s="11">
        <v>4398.0</v>
      </c>
      <c r="B4399" s="12">
        <f t="shared" si="693"/>
        <v>40563</v>
      </c>
      <c r="C4399" s="13">
        <v>2011.0</v>
      </c>
      <c r="D4399" s="11" t="s">
        <v>39</v>
      </c>
      <c r="E4399" s="11">
        <v>5.0</v>
      </c>
      <c r="F4399" s="21" t="s">
        <v>838</v>
      </c>
      <c r="G4399" s="15">
        <v>0.03736321195144732</v>
      </c>
      <c r="H4399" s="11" t="s">
        <v>24</v>
      </c>
      <c r="I4399" s="16">
        <v>15.991999999999999</v>
      </c>
      <c r="J4399" s="11" t="s">
        <v>2215</v>
      </c>
      <c r="K4399" s="11" t="s">
        <v>83</v>
      </c>
      <c r="L4399" s="11" t="s">
        <v>41</v>
      </c>
      <c r="M4399" s="11" t="s">
        <v>66</v>
      </c>
      <c r="N4399" s="11" t="s">
        <v>67</v>
      </c>
      <c r="O4399" s="11" t="s">
        <v>2263</v>
      </c>
      <c r="P4399" s="11" t="s">
        <v>38</v>
      </c>
      <c r="Q4399" s="20">
        <v>40566.0</v>
      </c>
      <c r="R4399" s="17">
        <f t="shared" si="2"/>
        <v>19.26043686</v>
      </c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>
        <f t="shared" si="8"/>
        <v>3</v>
      </c>
      <c r="AF4399" s="19" t="b">
        <f t="shared" si="13"/>
        <v>0</v>
      </c>
      <c r="AG4399" s="9"/>
      <c r="AH4399" s="9"/>
      <c r="AI4399" s="9"/>
    </row>
    <row r="4400" ht="15.0" customHeight="1">
      <c r="A4400" s="11">
        <v>4399.0</v>
      </c>
      <c r="B4400" s="12">
        <f t="shared" ref="B4400:B4403" si="694">DATE(2012,12,31)-710</f>
        <v>40564</v>
      </c>
      <c r="C4400" s="13">
        <v>2011.0</v>
      </c>
      <c r="D4400" s="11" t="s">
        <v>44</v>
      </c>
      <c r="E4400" s="11">
        <v>26.0</v>
      </c>
      <c r="F4400" s="21" t="s">
        <v>183</v>
      </c>
      <c r="G4400" s="15">
        <v>0.01652502360717658</v>
      </c>
      <c r="H4400" s="11" t="s">
        <v>33</v>
      </c>
      <c r="I4400" s="16">
        <v>3.2</v>
      </c>
      <c r="J4400" s="11" t="s">
        <v>2505</v>
      </c>
      <c r="K4400" s="11" t="s">
        <v>47</v>
      </c>
      <c r="L4400" s="11" t="s">
        <v>41</v>
      </c>
      <c r="M4400" s="11" t="s">
        <v>66</v>
      </c>
      <c r="N4400" s="11" t="s">
        <v>67</v>
      </c>
      <c r="O4400" s="11" t="s">
        <v>941</v>
      </c>
      <c r="P4400" s="11" t="s">
        <v>38</v>
      </c>
      <c r="Q4400" s="20">
        <v>40566.0</v>
      </c>
      <c r="R4400" s="17">
        <f t="shared" si="2"/>
        <v>6.884324835</v>
      </c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>
        <f t="shared" si="8"/>
        <v>3</v>
      </c>
      <c r="AF4400" s="19">
        <f t="shared" si="13"/>
        <v>3</v>
      </c>
      <c r="AG4400" s="9"/>
      <c r="AH4400" s="9"/>
      <c r="AI4400" s="9"/>
    </row>
    <row r="4401" ht="15.0" customHeight="1">
      <c r="A4401" s="11">
        <v>4400.0</v>
      </c>
      <c r="B4401" s="12">
        <f t="shared" si="694"/>
        <v>40564</v>
      </c>
      <c r="C4401" s="13">
        <v>2011.0</v>
      </c>
      <c r="D4401" s="11" t="s">
        <v>23</v>
      </c>
      <c r="E4401" s="11">
        <v>4.0</v>
      </c>
      <c r="F4401" s="21" t="s">
        <v>2456</v>
      </c>
      <c r="G4401" s="15">
        <v>0.09193974585542368</v>
      </c>
      <c r="H4401" s="11" t="s">
        <v>45</v>
      </c>
      <c r="I4401" s="16">
        <v>43.44800000000001</v>
      </c>
      <c r="J4401" s="11" t="s">
        <v>2452</v>
      </c>
      <c r="K4401" s="11" t="s">
        <v>65</v>
      </c>
      <c r="L4401" s="11" t="s">
        <v>41</v>
      </c>
      <c r="M4401" s="11" t="s">
        <v>49</v>
      </c>
      <c r="N4401" s="11" t="s">
        <v>50</v>
      </c>
      <c r="O4401" s="11" t="s">
        <v>2457</v>
      </c>
      <c r="P4401" s="11" t="s">
        <v>52</v>
      </c>
      <c r="Q4401" s="20">
        <v>40566.0</v>
      </c>
      <c r="R4401" s="17">
        <f t="shared" si="2"/>
        <v>99.20739889</v>
      </c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>
        <f t="shared" si="8"/>
        <v>3</v>
      </c>
      <c r="AF4401" s="19">
        <f t="shared" si="13"/>
        <v>5</v>
      </c>
      <c r="AG4401" s="9"/>
      <c r="AH4401" s="9"/>
      <c r="AI4401" s="9"/>
    </row>
    <row r="4402" ht="15.0" customHeight="1">
      <c r="A4402" s="11">
        <v>4401.0</v>
      </c>
      <c r="B4402" s="12">
        <f t="shared" si="694"/>
        <v>40564</v>
      </c>
      <c r="C4402" s="13">
        <v>2011.0</v>
      </c>
      <c r="D4402" s="11" t="s">
        <v>44</v>
      </c>
      <c r="E4402" s="11">
        <v>38.0</v>
      </c>
      <c r="F4402" s="21" t="s">
        <v>126</v>
      </c>
      <c r="G4402" s="15">
        <v>0.04580290145072525</v>
      </c>
      <c r="H4402" s="11" t="s">
        <v>33</v>
      </c>
      <c r="I4402" s="16">
        <v>4.544</v>
      </c>
      <c r="J4402" s="11" t="s">
        <v>836</v>
      </c>
      <c r="K4402" s="11" t="s">
        <v>65</v>
      </c>
      <c r="L4402" s="11" t="s">
        <v>48</v>
      </c>
      <c r="M4402" s="11" t="s">
        <v>28</v>
      </c>
      <c r="N4402" s="11" t="s">
        <v>42</v>
      </c>
      <c r="O4402" s="11" t="s">
        <v>1022</v>
      </c>
      <c r="P4402" s="11" t="s">
        <v>38</v>
      </c>
      <c r="Q4402" s="20">
        <v>40566.0</v>
      </c>
      <c r="R4402" s="17">
        <f t="shared" si="2"/>
        <v>8.736628634</v>
      </c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>
        <f t="shared" si="8"/>
        <v>4</v>
      </c>
      <c r="AF4402" s="19">
        <f t="shared" si="13"/>
        <v>5</v>
      </c>
      <c r="AG4402" s="9"/>
      <c r="AH4402" s="9"/>
      <c r="AI4402" s="9"/>
    </row>
    <row r="4403" ht="15.0" customHeight="1">
      <c r="A4403" s="11">
        <v>4402.0</v>
      </c>
      <c r="B4403" s="12">
        <f t="shared" si="694"/>
        <v>40564</v>
      </c>
      <c r="C4403" s="13">
        <v>2011.0</v>
      </c>
      <c r="D4403" s="11" t="s">
        <v>102</v>
      </c>
      <c r="E4403" s="11">
        <v>35.0</v>
      </c>
      <c r="F4403" s="21" t="s">
        <v>199</v>
      </c>
      <c r="G4403" s="15">
        <v>0.06494331065759634</v>
      </c>
      <c r="H4403" s="11" t="s">
        <v>33</v>
      </c>
      <c r="I4403" s="16">
        <v>6.36</v>
      </c>
      <c r="J4403" s="11" t="s">
        <v>1938</v>
      </c>
      <c r="K4403" s="11" t="s">
        <v>26</v>
      </c>
      <c r="L4403" s="11" t="s">
        <v>41</v>
      </c>
      <c r="M4403" s="11" t="s">
        <v>28</v>
      </c>
      <c r="N4403" s="11" t="s">
        <v>62</v>
      </c>
      <c r="O4403" s="11" t="s">
        <v>1924</v>
      </c>
      <c r="P4403" s="11" t="s">
        <v>99</v>
      </c>
      <c r="Q4403" s="20">
        <v>40567.0</v>
      </c>
      <c r="R4403" s="17">
        <f t="shared" si="2"/>
        <v>26.78002358</v>
      </c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>
        <f t="shared" si="8"/>
        <v>3</v>
      </c>
      <c r="AF4403" s="19">
        <f t="shared" si="13"/>
        <v>1</v>
      </c>
      <c r="AG4403" s="9"/>
      <c r="AH4403" s="9"/>
      <c r="AI4403" s="9"/>
    </row>
    <row r="4404" ht="15.0" customHeight="1">
      <c r="A4404" s="11">
        <v>4403.0</v>
      </c>
      <c r="B4404" s="12">
        <f t="shared" ref="B4404:B4410" si="695">DATE(2012,12,31)-709</f>
        <v>40565</v>
      </c>
      <c r="C4404" s="13">
        <v>2011.0</v>
      </c>
      <c r="D4404" s="11" t="s">
        <v>44</v>
      </c>
      <c r="E4404" s="11">
        <v>34.0</v>
      </c>
      <c r="F4404" s="21" t="s">
        <v>2192</v>
      </c>
      <c r="G4404" s="15">
        <v>0.09258183608171297</v>
      </c>
      <c r="H4404" s="11" t="s">
        <v>33</v>
      </c>
      <c r="I4404" s="16">
        <v>5.5040000000000004</v>
      </c>
      <c r="J4404" s="11" t="s">
        <v>239</v>
      </c>
      <c r="K4404" s="11" t="s">
        <v>61</v>
      </c>
      <c r="L4404" s="11" t="s">
        <v>41</v>
      </c>
      <c r="M4404" s="11" t="s">
        <v>28</v>
      </c>
      <c r="N4404" s="11" t="s">
        <v>29</v>
      </c>
      <c r="O4404" s="11" t="s">
        <v>2193</v>
      </c>
      <c r="P4404" s="11" t="s">
        <v>38</v>
      </c>
      <c r="Q4404" s="20">
        <v>40567.0</v>
      </c>
      <c r="R4404" s="17">
        <f t="shared" si="2"/>
        <v>204.8006499</v>
      </c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>
        <f t="shared" si="8"/>
        <v>3</v>
      </c>
      <c r="AF4404" s="19">
        <f t="shared" si="13"/>
        <v>4</v>
      </c>
      <c r="AG4404" s="9"/>
      <c r="AH4404" s="9"/>
      <c r="AI4404" s="9"/>
    </row>
    <row r="4405" ht="15.0" customHeight="1">
      <c r="A4405" s="11">
        <v>4404.0</v>
      </c>
      <c r="B4405" s="12">
        <f t="shared" si="695"/>
        <v>40565</v>
      </c>
      <c r="C4405" s="13">
        <v>2011.0</v>
      </c>
      <c r="D4405" s="11" t="s">
        <v>39</v>
      </c>
      <c r="E4405" s="11">
        <v>39.0</v>
      </c>
      <c r="F4405" s="21" t="s">
        <v>377</v>
      </c>
      <c r="G4405" s="15">
        <v>0.029953800071076928</v>
      </c>
      <c r="H4405" s="11" t="s">
        <v>24</v>
      </c>
      <c r="I4405" s="16">
        <v>3.6</v>
      </c>
      <c r="J4405" s="11" t="s">
        <v>2297</v>
      </c>
      <c r="K4405" s="11" t="s">
        <v>47</v>
      </c>
      <c r="L4405" s="11" t="s">
        <v>41</v>
      </c>
      <c r="M4405" s="11" t="s">
        <v>28</v>
      </c>
      <c r="N4405" s="11" t="s">
        <v>197</v>
      </c>
      <c r="O4405" s="11" t="s">
        <v>2179</v>
      </c>
      <c r="P4405" s="11" t="s">
        <v>38</v>
      </c>
      <c r="Q4405" s="20">
        <v>40567.0</v>
      </c>
      <c r="R4405" s="17">
        <f t="shared" si="2"/>
        <v>57.2327258</v>
      </c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>
        <f t="shared" si="8"/>
        <v>3</v>
      </c>
      <c r="AF4405" s="19">
        <f t="shared" si="13"/>
        <v>3</v>
      </c>
      <c r="AG4405" s="9"/>
      <c r="AH4405" s="9"/>
      <c r="AI4405" s="9"/>
    </row>
    <row r="4406" ht="15.0" customHeight="1">
      <c r="A4406" s="11">
        <v>4405.0</v>
      </c>
      <c r="B4406" s="12">
        <f t="shared" si="695"/>
        <v>40565</v>
      </c>
      <c r="C4406" s="13">
        <v>2011.0</v>
      </c>
      <c r="D4406" s="11" t="s">
        <v>39</v>
      </c>
      <c r="E4406" s="11">
        <v>5.0</v>
      </c>
      <c r="F4406" s="21" t="s">
        <v>186</v>
      </c>
      <c r="G4406" s="15">
        <v>0.009478672985782125</v>
      </c>
      <c r="H4406" s="11" t="s">
        <v>33</v>
      </c>
      <c r="I4406" s="16">
        <v>0.4</v>
      </c>
      <c r="J4406" s="11" t="s">
        <v>2297</v>
      </c>
      <c r="K4406" s="11" t="s">
        <v>47</v>
      </c>
      <c r="L4406" s="11" t="s">
        <v>41</v>
      </c>
      <c r="M4406" s="11" t="s">
        <v>28</v>
      </c>
      <c r="N4406" s="11" t="s">
        <v>188</v>
      </c>
      <c r="O4406" s="11" t="s">
        <v>1968</v>
      </c>
      <c r="P4406" s="11" t="s">
        <v>38</v>
      </c>
      <c r="Q4406" s="20">
        <v>40567.0</v>
      </c>
      <c r="R4406" s="17">
        <f t="shared" si="2"/>
        <v>0.1981042654</v>
      </c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>
        <f t="shared" si="8"/>
        <v>3</v>
      </c>
      <c r="AF4406" s="19">
        <f t="shared" si="13"/>
        <v>3</v>
      </c>
      <c r="AG4406" s="9"/>
      <c r="AH4406" s="9"/>
      <c r="AI4406" s="9"/>
    </row>
    <row r="4407" ht="15.0" customHeight="1">
      <c r="A4407" s="11">
        <v>4406.0</v>
      </c>
      <c r="B4407" s="12">
        <f t="shared" si="695"/>
        <v>40565</v>
      </c>
      <c r="C4407" s="13">
        <v>2011.0</v>
      </c>
      <c r="D4407" s="11" t="s">
        <v>39</v>
      </c>
      <c r="E4407" s="11">
        <v>43.0</v>
      </c>
      <c r="F4407" s="21" t="s">
        <v>319</v>
      </c>
      <c r="G4407" s="15">
        <v>0.11720320466132565</v>
      </c>
      <c r="H4407" s="11" t="s">
        <v>33</v>
      </c>
      <c r="I4407" s="16">
        <v>0.808</v>
      </c>
      <c r="J4407" s="11" t="s">
        <v>2297</v>
      </c>
      <c r="K4407" s="11" t="s">
        <v>47</v>
      </c>
      <c r="L4407" s="11" t="s">
        <v>41</v>
      </c>
      <c r="M4407" s="11" t="s">
        <v>28</v>
      </c>
      <c r="N4407" s="11" t="s">
        <v>62</v>
      </c>
      <c r="O4407" s="11" t="s">
        <v>568</v>
      </c>
      <c r="P4407" s="11" t="s">
        <v>58</v>
      </c>
      <c r="Q4407" s="20">
        <v>40567.0</v>
      </c>
      <c r="R4407" s="17">
        <f t="shared" si="2"/>
        <v>14.20596603</v>
      </c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>
        <f t="shared" si="8"/>
        <v>3</v>
      </c>
      <c r="AF4407" s="19">
        <f t="shared" si="13"/>
        <v>3</v>
      </c>
      <c r="AG4407" s="9"/>
      <c r="AH4407" s="9"/>
      <c r="AI4407" s="9"/>
    </row>
    <row r="4408" ht="15.0" customHeight="1">
      <c r="A4408" s="11">
        <v>4407.0</v>
      </c>
      <c r="B4408" s="12">
        <f t="shared" si="695"/>
        <v>40565</v>
      </c>
      <c r="C4408" s="13">
        <v>2011.0</v>
      </c>
      <c r="D4408" s="11" t="s">
        <v>23</v>
      </c>
      <c r="E4408" s="11">
        <v>43.0</v>
      </c>
      <c r="F4408" s="21" t="s">
        <v>419</v>
      </c>
      <c r="G4408" s="15">
        <v>0.059575878064943584</v>
      </c>
      <c r="H4408" s="11" t="s">
        <v>24</v>
      </c>
      <c r="I4408" s="16">
        <v>4.4</v>
      </c>
      <c r="J4408" s="11" t="s">
        <v>961</v>
      </c>
      <c r="K4408" s="11" t="s">
        <v>83</v>
      </c>
      <c r="L4408" s="11" t="s">
        <v>36</v>
      </c>
      <c r="M4408" s="11" t="s">
        <v>66</v>
      </c>
      <c r="N4408" s="11" t="s">
        <v>67</v>
      </c>
      <c r="O4408" s="11" t="s">
        <v>420</v>
      </c>
      <c r="P4408" s="11" t="s">
        <v>38</v>
      </c>
      <c r="Q4408" s="20">
        <v>40568.0</v>
      </c>
      <c r="R4408" s="17">
        <f t="shared" si="2"/>
        <v>84.54412856</v>
      </c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>
        <f t="shared" si="8"/>
        <v>2</v>
      </c>
      <c r="AF4408" s="19" t="b">
        <f t="shared" si="13"/>
        <v>0</v>
      </c>
      <c r="AG4408" s="9"/>
      <c r="AH4408" s="9"/>
      <c r="AI4408" s="9"/>
    </row>
    <row r="4409" ht="15.0" customHeight="1">
      <c r="A4409" s="11">
        <v>4408.0</v>
      </c>
      <c r="B4409" s="12">
        <f t="shared" si="695"/>
        <v>40565</v>
      </c>
      <c r="C4409" s="13">
        <v>2011.0</v>
      </c>
      <c r="D4409" s="11" t="s">
        <v>23</v>
      </c>
      <c r="E4409" s="11">
        <v>29.0</v>
      </c>
      <c r="F4409" s="21" t="s">
        <v>1548</v>
      </c>
      <c r="G4409" s="15">
        <v>0.06156470152020769</v>
      </c>
      <c r="H4409" s="11" t="s">
        <v>33</v>
      </c>
      <c r="I4409" s="16">
        <v>1.592</v>
      </c>
      <c r="J4409" s="11" t="s">
        <v>961</v>
      </c>
      <c r="K4409" s="11" t="s">
        <v>83</v>
      </c>
      <c r="L4409" s="11" t="s">
        <v>36</v>
      </c>
      <c r="M4409" s="11" t="s">
        <v>66</v>
      </c>
      <c r="N4409" s="11" t="s">
        <v>67</v>
      </c>
      <c r="O4409" s="11" t="s">
        <v>2340</v>
      </c>
      <c r="P4409" s="11" t="s">
        <v>99</v>
      </c>
      <c r="Q4409" s="20">
        <v>40568.0</v>
      </c>
      <c r="R4409" s="17">
        <f t="shared" si="2"/>
        <v>31.16355939</v>
      </c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>
        <f t="shared" si="8"/>
        <v>2</v>
      </c>
      <c r="AF4409" s="19" t="b">
        <f t="shared" si="13"/>
        <v>0</v>
      </c>
      <c r="AG4409" s="9"/>
      <c r="AH4409" s="9"/>
      <c r="AI4409" s="9"/>
    </row>
    <row r="4410" ht="15.0" customHeight="1">
      <c r="A4410" s="11">
        <v>4409.0</v>
      </c>
      <c r="B4410" s="12">
        <f t="shared" si="695"/>
        <v>40565</v>
      </c>
      <c r="C4410" s="13">
        <v>2011.0</v>
      </c>
      <c r="D4410" s="11" t="s">
        <v>102</v>
      </c>
      <c r="E4410" s="11">
        <v>4.0</v>
      </c>
      <c r="F4410" s="21" t="s">
        <v>1247</v>
      </c>
      <c r="G4410" s="15">
        <v>0.13211428571428568</v>
      </c>
      <c r="H4410" s="11" t="s">
        <v>24</v>
      </c>
      <c r="I4410" s="16">
        <v>5.5760000000000005</v>
      </c>
      <c r="J4410" s="11" t="s">
        <v>1798</v>
      </c>
      <c r="K4410" s="11" t="s">
        <v>83</v>
      </c>
      <c r="L4410" s="11" t="s">
        <v>48</v>
      </c>
      <c r="M4410" s="11" t="s">
        <v>28</v>
      </c>
      <c r="N4410" s="11" t="s">
        <v>42</v>
      </c>
      <c r="O4410" s="11" t="s">
        <v>2506</v>
      </c>
      <c r="P4410" s="11" t="s">
        <v>38</v>
      </c>
      <c r="Q4410" s="20">
        <v>40569.0</v>
      </c>
      <c r="R4410" s="17">
        <f t="shared" si="2"/>
        <v>4.013103543</v>
      </c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>
        <f t="shared" si="8"/>
        <v>4</v>
      </c>
      <c r="AF4410" s="19" t="b">
        <f t="shared" si="13"/>
        <v>0</v>
      </c>
      <c r="AG4410" s="9"/>
      <c r="AH4410" s="9"/>
      <c r="AI4410" s="9"/>
    </row>
    <row r="4411" ht="15.0" customHeight="1">
      <c r="A4411" s="11">
        <v>4410.0</v>
      </c>
      <c r="B4411" s="12">
        <f>DATE(2012,12,31)-708</f>
        <v>40566</v>
      </c>
      <c r="C4411" s="13">
        <v>2011.0</v>
      </c>
      <c r="D4411" s="11" t="s">
        <v>32</v>
      </c>
      <c r="E4411" s="11">
        <v>41.0</v>
      </c>
      <c r="F4411" s="21" t="s">
        <v>1868</v>
      </c>
      <c r="G4411" s="15">
        <v>0.05463528315078074</v>
      </c>
      <c r="H4411" s="11" t="s">
        <v>33</v>
      </c>
      <c r="I4411" s="16">
        <v>3.8560000000000003</v>
      </c>
      <c r="J4411" s="11" t="s">
        <v>617</v>
      </c>
      <c r="K4411" s="11" t="s">
        <v>61</v>
      </c>
      <c r="L4411" s="11" t="s">
        <v>27</v>
      </c>
      <c r="M4411" s="11" t="s">
        <v>28</v>
      </c>
      <c r="N4411" s="11" t="s">
        <v>62</v>
      </c>
      <c r="O4411" s="11" t="s">
        <v>1869</v>
      </c>
      <c r="P4411" s="11" t="s">
        <v>58</v>
      </c>
      <c r="Q4411" s="20">
        <v>40569.0</v>
      </c>
      <c r="R4411" s="17">
        <f t="shared" si="2"/>
        <v>22.16313042</v>
      </c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>
        <f t="shared" si="8"/>
        <v>1</v>
      </c>
      <c r="AF4411" s="19">
        <f t="shared" si="13"/>
        <v>4</v>
      </c>
      <c r="AG4411" s="9"/>
      <c r="AH4411" s="9"/>
      <c r="AI4411" s="9"/>
    </row>
    <row r="4412" ht="15.0" customHeight="1">
      <c r="A4412" s="11">
        <v>4411.0</v>
      </c>
      <c r="B4412" s="12">
        <f t="shared" ref="B4412:B4417" si="696">DATE(2012,12,31)-707</f>
        <v>40567</v>
      </c>
      <c r="C4412" s="13">
        <v>2011.0</v>
      </c>
      <c r="D4412" s="11" t="s">
        <v>32</v>
      </c>
      <c r="E4412" s="11">
        <v>4.0</v>
      </c>
      <c r="F4412" s="21" t="s">
        <v>758</v>
      </c>
      <c r="G4412" s="15">
        <v>0.0451612903225806</v>
      </c>
      <c r="H4412" s="11" t="s">
        <v>33</v>
      </c>
      <c r="I4412" s="16">
        <v>0.4</v>
      </c>
      <c r="J4412" s="11" t="s">
        <v>2441</v>
      </c>
      <c r="K4412" s="11" t="s">
        <v>35</v>
      </c>
      <c r="L4412" s="11" t="s">
        <v>48</v>
      </c>
      <c r="M4412" s="11" t="s">
        <v>28</v>
      </c>
      <c r="N4412" s="11" t="s">
        <v>188</v>
      </c>
      <c r="O4412" s="11" t="s">
        <v>787</v>
      </c>
      <c r="P4412" s="11" t="s">
        <v>38</v>
      </c>
      <c r="Q4412" s="20">
        <v>40569.0</v>
      </c>
      <c r="R4412" s="17">
        <f t="shared" si="2"/>
        <v>0.6683870968</v>
      </c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>
        <f t="shared" si="8"/>
        <v>4</v>
      </c>
      <c r="AF4412" s="19">
        <f t="shared" si="13"/>
        <v>2</v>
      </c>
      <c r="AG4412" s="9"/>
      <c r="AH4412" s="9"/>
      <c r="AI4412" s="9"/>
    </row>
    <row r="4413" ht="15.0" customHeight="1">
      <c r="A4413" s="11">
        <v>4412.0</v>
      </c>
      <c r="B4413" s="12">
        <f t="shared" si="696"/>
        <v>40567</v>
      </c>
      <c r="C4413" s="13">
        <v>2011.0</v>
      </c>
      <c r="D4413" s="11" t="s">
        <v>32</v>
      </c>
      <c r="E4413" s="11">
        <v>4.0</v>
      </c>
      <c r="F4413" s="21" t="s">
        <v>666</v>
      </c>
      <c r="G4413" s="15">
        <v>0.09942857142857144</v>
      </c>
      <c r="H4413" s="11" t="s">
        <v>33</v>
      </c>
      <c r="I4413" s="16">
        <v>0.5599999999999999</v>
      </c>
      <c r="J4413" s="11" t="s">
        <v>2441</v>
      </c>
      <c r="K4413" s="11" t="s">
        <v>35</v>
      </c>
      <c r="L4413" s="11" t="s">
        <v>48</v>
      </c>
      <c r="M4413" s="11" t="s">
        <v>28</v>
      </c>
      <c r="N4413" s="11" t="s">
        <v>62</v>
      </c>
      <c r="O4413" s="11" t="s">
        <v>2121</v>
      </c>
      <c r="P4413" s="11" t="s">
        <v>58</v>
      </c>
      <c r="Q4413" s="20">
        <v>40569.0</v>
      </c>
      <c r="R4413" s="17">
        <f t="shared" si="2"/>
        <v>1.566994286</v>
      </c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>
        <f t="shared" si="8"/>
        <v>4</v>
      </c>
      <c r="AF4413" s="19">
        <f t="shared" si="13"/>
        <v>2</v>
      </c>
      <c r="AG4413" s="9"/>
      <c r="AH4413" s="9"/>
      <c r="AI4413" s="9"/>
    </row>
    <row r="4414" ht="15.0" customHeight="1">
      <c r="A4414" s="11">
        <v>4413.0</v>
      </c>
      <c r="B4414" s="12">
        <f t="shared" si="696"/>
        <v>40567</v>
      </c>
      <c r="C4414" s="13">
        <v>2011.0</v>
      </c>
      <c r="D4414" s="11" t="s">
        <v>23</v>
      </c>
      <c r="E4414" s="11">
        <v>27.0</v>
      </c>
      <c r="F4414" s="21" t="s">
        <v>333</v>
      </c>
      <c r="G4414" s="15">
        <v>0.02505548705302092</v>
      </c>
      <c r="H4414" s="11" t="s">
        <v>33</v>
      </c>
      <c r="I4414" s="16">
        <v>0.768</v>
      </c>
      <c r="J4414" s="11" t="s">
        <v>326</v>
      </c>
      <c r="K4414" s="11" t="s">
        <v>35</v>
      </c>
      <c r="L4414" s="11" t="s">
        <v>36</v>
      </c>
      <c r="M4414" s="11" t="s">
        <v>28</v>
      </c>
      <c r="N4414" s="11" t="s">
        <v>62</v>
      </c>
      <c r="O4414" s="11" t="s">
        <v>549</v>
      </c>
      <c r="P4414" s="11" t="s">
        <v>58</v>
      </c>
      <c r="Q4414" s="20">
        <v>40569.0</v>
      </c>
      <c r="R4414" s="17">
        <f t="shared" si="2"/>
        <v>1.98108725</v>
      </c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>
        <f t="shared" si="8"/>
        <v>2</v>
      </c>
      <c r="AF4414" s="19">
        <f t="shared" si="13"/>
        <v>2</v>
      </c>
      <c r="AG4414" s="9"/>
      <c r="AH4414" s="9"/>
      <c r="AI4414" s="9"/>
    </row>
    <row r="4415" ht="15.0" customHeight="1">
      <c r="A4415" s="11">
        <v>4414.0</v>
      </c>
      <c r="B4415" s="12">
        <f t="shared" si="696"/>
        <v>40567</v>
      </c>
      <c r="C4415" s="13">
        <v>2011.0</v>
      </c>
      <c r="D4415" s="11" t="s">
        <v>23</v>
      </c>
      <c r="E4415" s="11">
        <v>44.0</v>
      </c>
      <c r="F4415" s="21" t="s">
        <v>245</v>
      </c>
      <c r="G4415" s="15">
        <v>0.06544391669711355</v>
      </c>
      <c r="H4415" s="11" t="s">
        <v>33</v>
      </c>
      <c r="I4415" s="16">
        <v>5.5760000000000005</v>
      </c>
      <c r="J4415" s="11" t="s">
        <v>326</v>
      </c>
      <c r="K4415" s="11" t="s">
        <v>35</v>
      </c>
      <c r="L4415" s="11" t="s">
        <v>36</v>
      </c>
      <c r="M4415" s="11" t="s">
        <v>28</v>
      </c>
      <c r="N4415" s="11" t="s">
        <v>236</v>
      </c>
      <c r="O4415" s="11" t="s">
        <v>376</v>
      </c>
      <c r="P4415" s="11" t="s">
        <v>38</v>
      </c>
      <c r="Q4415" s="20">
        <v>40569.0</v>
      </c>
      <c r="R4415" s="17">
        <f t="shared" si="2"/>
        <v>33.47953713</v>
      </c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>
        <f t="shared" si="8"/>
        <v>2</v>
      </c>
      <c r="AF4415" s="19">
        <f t="shared" si="13"/>
        <v>2</v>
      </c>
      <c r="AG4415" s="9"/>
      <c r="AH4415" s="9"/>
      <c r="AI4415" s="9"/>
    </row>
    <row r="4416" ht="15.0" customHeight="1">
      <c r="A4416" s="11">
        <v>4415.0</v>
      </c>
      <c r="B4416" s="12">
        <f t="shared" si="696"/>
        <v>40567</v>
      </c>
      <c r="C4416" s="13">
        <v>2011.0</v>
      </c>
      <c r="D4416" s="11" t="s">
        <v>102</v>
      </c>
      <c r="E4416" s="11">
        <v>18.0</v>
      </c>
      <c r="F4416" s="21" t="s">
        <v>948</v>
      </c>
      <c r="G4416" s="15">
        <v>0.006893424036281386</v>
      </c>
      <c r="H4416" s="11" t="s">
        <v>33</v>
      </c>
      <c r="I4416" s="16">
        <v>1.192</v>
      </c>
      <c r="J4416" s="11" t="s">
        <v>1210</v>
      </c>
      <c r="K4416" s="11" t="s">
        <v>47</v>
      </c>
      <c r="L4416" s="11" t="s">
        <v>36</v>
      </c>
      <c r="M4416" s="11" t="s">
        <v>28</v>
      </c>
      <c r="N4416" s="11" t="s">
        <v>42</v>
      </c>
      <c r="O4416" s="11" t="s">
        <v>2507</v>
      </c>
      <c r="P4416" s="11" t="s">
        <v>38</v>
      </c>
      <c r="Q4416" s="20">
        <v>40570.0</v>
      </c>
      <c r="R4416" s="17">
        <f t="shared" si="2"/>
        <v>0.6038087982</v>
      </c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>
        <f t="shared" si="8"/>
        <v>2</v>
      </c>
      <c r="AF4416" s="19">
        <f t="shared" si="13"/>
        <v>3</v>
      </c>
      <c r="AG4416" s="9"/>
      <c r="AH4416" s="9"/>
      <c r="AI4416" s="9"/>
    </row>
    <row r="4417" ht="15.0" customHeight="1">
      <c r="A4417" s="11">
        <v>4416.0</v>
      </c>
      <c r="B4417" s="12">
        <f t="shared" si="696"/>
        <v>40567</v>
      </c>
      <c r="C4417" s="13">
        <v>2011.0</v>
      </c>
      <c r="D4417" s="11" t="s">
        <v>23</v>
      </c>
      <c r="E4417" s="11">
        <v>45.0</v>
      </c>
      <c r="F4417" s="21" t="s">
        <v>1254</v>
      </c>
      <c r="G4417" s="15">
        <v>0.06994319159924255</v>
      </c>
      <c r="H4417" s="11" t="s">
        <v>33</v>
      </c>
      <c r="I4417" s="16">
        <v>5.04</v>
      </c>
      <c r="J4417" s="11" t="s">
        <v>2069</v>
      </c>
      <c r="K4417" s="11" t="s">
        <v>35</v>
      </c>
      <c r="L4417" s="11" t="s">
        <v>48</v>
      </c>
      <c r="M4417" s="11" t="s">
        <v>66</v>
      </c>
      <c r="N4417" s="11" t="s">
        <v>69</v>
      </c>
      <c r="O4417" s="11" t="s">
        <v>1394</v>
      </c>
      <c r="P4417" s="11" t="s">
        <v>75</v>
      </c>
      <c r="Q4417" s="20">
        <v>40570.0</v>
      </c>
      <c r="R4417" s="17">
        <f t="shared" si="2"/>
        <v>75.57641625</v>
      </c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>
        <f t="shared" si="8"/>
        <v>4</v>
      </c>
      <c r="AF4417" s="19">
        <f t="shared" si="13"/>
        <v>2</v>
      </c>
      <c r="AG4417" s="9"/>
      <c r="AH4417" s="9"/>
      <c r="AI4417" s="9"/>
    </row>
    <row r="4418" ht="15.0" customHeight="1">
      <c r="A4418" s="11">
        <v>4417.0</v>
      </c>
      <c r="B4418" s="12">
        <f t="shared" ref="B4418:B4420" si="697">DATE(2012,12,31)-706</f>
        <v>40568</v>
      </c>
      <c r="C4418" s="13">
        <v>2011.0</v>
      </c>
      <c r="D4418" s="11" t="s">
        <v>44</v>
      </c>
      <c r="E4418" s="11">
        <v>18.0</v>
      </c>
      <c r="F4418" s="21" t="s">
        <v>473</v>
      </c>
      <c r="G4418" s="15">
        <v>0.060962234868080806</v>
      </c>
      <c r="H4418" s="11" t="s">
        <v>33</v>
      </c>
      <c r="I4418" s="16">
        <v>7.864000000000001</v>
      </c>
      <c r="J4418" s="11" t="s">
        <v>279</v>
      </c>
      <c r="K4418" s="11" t="s">
        <v>47</v>
      </c>
      <c r="L4418" s="11" t="s">
        <v>41</v>
      </c>
      <c r="M4418" s="11" t="s">
        <v>28</v>
      </c>
      <c r="N4418" s="11" t="s">
        <v>236</v>
      </c>
      <c r="O4418" s="11" t="s">
        <v>2171</v>
      </c>
      <c r="P4418" s="11" t="s">
        <v>38</v>
      </c>
      <c r="Q4418" s="20">
        <v>40570.0</v>
      </c>
      <c r="R4418" s="17">
        <f t="shared" si="2"/>
        <v>44.2624841</v>
      </c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>
        <f t="shared" si="8"/>
        <v>3</v>
      </c>
      <c r="AF4418" s="19">
        <f t="shared" si="13"/>
        <v>3</v>
      </c>
      <c r="AG4418" s="9"/>
      <c r="AH4418" s="9"/>
      <c r="AI4418" s="9"/>
    </row>
    <row r="4419" ht="15.0" customHeight="1">
      <c r="A4419" s="11">
        <v>4418.0</v>
      </c>
      <c r="B4419" s="12">
        <f t="shared" si="697"/>
        <v>40568</v>
      </c>
      <c r="C4419" s="13">
        <v>2011.0</v>
      </c>
      <c r="D4419" s="11" t="s">
        <v>44</v>
      </c>
      <c r="E4419" s="11">
        <v>41.0</v>
      </c>
      <c r="F4419" s="21" t="s">
        <v>287</v>
      </c>
      <c r="G4419" s="15">
        <v>0.07693260978331977</v>
      </c>
      <c r="H4419" s="11" t="s">
        <v>45</v>
      </c>
      <c r="I4419" s="16">
        <v>44.912000000000006</v>
      </c>
      <c r="J4419" s="11" t="s">
        <v>279</v>
      </c>
      <c r="K4419" s="11" t="s">
        <v>47</v>
      </c>
      <c r="L4419" s="11" t="s">
        <v>41</v>
      </c>
      <c r="M4419" s="11" t="s">
        <v>66</v>
      </c>
      <c r="N4419" s="11" t="s">
        <v>69</v>
      </c>
      <c r="O4419" s="11" t="s">
        <v>289</v>
      </c>
      <c r="P4419" s="11" t="s">
        <v>52</v>
      </c>
      <c r="Q4419" s="20">
        <v>40570.0</v>
      </c>
      <c r="R4419" s="17">
        <f t="shared" si="2"/>
        <v>369.0312658</v>
      </c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>
        <f t="shared" si="8"/>
        <v>3</v>
      </c>
      <c r="AF4419" s="19">
        <f t="shared" si="13"/>
        <v>3</v>
      </c>
      <c r="AG4419" s="9"/>
      <c r="AH4419" s="9"/>
      <c r="AI4419" s="9"/>
    </row>
    <row r="4420" ht="15.0" customHeight="1">
      <c r="A4420" s="11">
        <v>4419.0</v>
      </c>
      <c r="B4420" s="12">
        <f t="shared" si="697"/>
        <v>40568</v>
      </c>
      <c r="C4420" s="13">
        <v>2011.0</v>
      </c>
      <c r="D4420" s="11" t="s">
        <v>32</v>
      </c>
      <c r="E4420" s="11">
        <v>24.0</v>
      </c>
      <c r="F4420" s="21" t="s">
        <v>573</v>
      </c>
      <c r="G4420" s="15">
        <v>0.03678501755754973</v>
      </c>
      <c r="H4420" s="11" t="s">
        <v>33</v>
      </c>
      <c r="I4420" s="16">
        <v>9.272</v>
      </c>
      <c r="J4420" s="11" t="s">
        <v>131</v>
      </c>
      <c r="K4420" s="11" t="s">
        <v>35</v>
      </c>
      <c r="L4420" s="11" t="s">
        <v>27</v>
      </c>
      <c r="M4420" s="11" t="s">
        <v>28</v>
      </c>
      <c r="N4420" s="11" t="s">
        <v>56</v>
      </c>
      <c r="O4420" s="11" t="s">
        <v>1325</v>
      </c>
      <c r="P4420" s="11" t="s">
        <v>38</v>
      </c>
      <c r="Q4420" s="20">
        <v>40570.0</v>
      </c>
      <c r="R4420" s="17">
        <f t="shared" si="2"/>
        <v>9.081190854</v>
      </c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>
        <f t="shared" si="8"/>
        <v>1</v>
      </c>
      <c r="AF4420" s="19">
        <f t="shared" si="13"/>
        <v>2</v>
      </c>
      <c r="AG4420" s="9"/>
      <c r="AH4420" s="9"/>
      <c r="AI4420" s="9"/>
    </row>
    <row r="4421" ht="15.0" customHeight="1">
      <c r="A4421" s="11">
        <v>4420.0</v>
      </c>
      <c r="B4421" s="12">
        <f t="shared" ref="B4421:B4425" si="698">DATE(2012,12,31)-705</f>
        <v>40569</v>
      </c>
      <c r="C4421" s="13">
        <v>2011.0</v>
      </c>
      <c r="D4421" s="11" t="s">
        <v>39</v>
      </c>
      <c r="E4421" s="11">
        <v>15.0</v>
      </c>
      <c r="F4421" s="21" t="s">
        <v>1733</v>
      </c>
      <c r="G4421" s="15">
        <v>0.03510873698286829</v>
      </c>
      <c r="H4421" s="11" t="s">
        <v>45</v>
      </c>
      <c r="I4421" s="16">
        <v>39.2</v>
      </c>
      <c r="J4421" s="11" t="s">
        <v>373</v>
      </c>
      <c r="K4421" s="11" t="s">
        <v>83</v>
      </c>
      <c r="L4421" s="11" t="s">
        <v>48</v>
      </c>
      <c r="M4421" s="11" t="s">
        <v>66</v>
      </c>
      <c r="N4421" s="11" t="s">
        <v>170</v>
      </c>
      <c r="O4421" s="11" t="s">
        <v>1734</v>
      </c>
      <c r="P4421" s="11" t="s">
        <v>52</v>
      </c>
      <c r="Q4421" s="20">
        <v>40570.0</v>
      </c>
      <c r="R4421" s="17">
        <f t="shared" si="2"/>
        <v>290.9706795</v>
      </c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>
        <f t="shared" si="8"/>
        <v>4</v>
      </c>
      <c r="AF4421" s="19" t="b">
        <f t="shared" si="13"/>
        <v>0</v>
      </c>
      <c r="AG4421" s="9"/>
      <c r="AH4421" s="9"/>
      <c r="AI4421" s="9"/>
    </row>
    <row r="4422" ht="15.0" customHeight="1">
      <c r="A4422" s="11">
        <v>4421.0</v>
      </c>
      <c r="B4422" s="12">
        <f t="shared" si="698"/>
        <v>40569</v>
      </c>
      <c r="C4422" s="13">
        <v>2011.0</v>
      </c>
      <c r="D4422" s="11" t="s">
        <v>44</v>
      </c>
      <c r="E4422" s="11">
        <v>15.0</v>
      </c>
      <c r="F4422" s="21" t="s">
        <v>814</v>
      </c>
      <c r="G4422" s="15">
        <v>0.013944223107569721</v>
      </c>
      <c r="H4422" s="11" t="s">
        <v>45</v>
      </c>
      <c r="I4422" s="16">
        <v>24.0</v>
      </c>
      <c r="J4422" s="11" t="s">
        <v>1831</v>
      </c>
      <c r="K4422" s="11" t="s">
        <v>61</v>
      </c>
      <c r="L4422" s="11" t="s">
        <v>27</v>
      </c>
      <c r="M4422" s="11" t="s">
        <v>49</v>
      </c>
      <c r="N4422" s="11" t="s">
        <v>50</v>
      </c>
      <c r="O4422" s="11" t="s">
        <v>816</v>
      </c>
      <c r="P4422" s="11" t="s">
        <v>52</v>
      </c>
      <c r="Q4422" s="20">
        <v>40570.0</v>
      </c>
      <c r="R4422" s="17">
        <f t="shared" si="2"/>
        <v>24.15836653</v>
      </c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>
        <f t="shared" si="8"/>
        <v>1</v>
      </c>
      <c r="AF4422" s="19">
        <f t="shared" si="13"/>
        <v>4</v>
      </c>
      <c r="AG4422" s="9"/>
      <c r="AH4422" s="9"/>
      <c r="AI4422" s="9"/>
    </row>
    <row r="4423" ht="15.0" customHeight="1">
      <c r="A4423" s="11">
        <v>4422.0</v>
      </c>
      <c r="B4423" s="12">
        <f t="shared" si="698"/>
        <v>40569</v>
      </c>
      <c r="C4423" s="13">
        <v>2011.0</v>
      </c>
      <c r="D4423" s="11" t="s">
        <v>32</v>
      </c>
      <c r="E4423" s="11">
        <v>10.0</v>
      </c>
      <c r="F4423" s="21" t="s">
        <v>2508</v>
      </c>
      <c r="G4423" s="15">
        <v>0.05192854980320916</v>
      </c>
      <c r="H4423" s="11" t="s">
        <v>33</v>
      </c>
      <c r="I4423" s="16">
        <v>19.592</v>
      </c>
      <c r="J4423" s="11" t="s">
        <v>1950</v>
      </c>
      <c r="K4423" s="11" t="s">
        <v>65</v>
      </c>
      <c r="L4423" s="11" t="s">
        <v>36</v>
      </c>
      <c r="M4423" s="11" t="s">
        <v>28</v>
      </c>
      <c r="N4423" s="11" t="s">
        <v>197</v>
      </c>
      <c r="O4423" s="11" t="s">
        <v>2509</v>
      </c>
      <c r="P4423" s="11" t="s">
        <v>31</v>
      </c>
      <c r="Q4423" s="20">
        <v>40571.0</v>
      </c>
      <c r="R4423" s="17">
        <f t="shared" si="2"/>
        <v>65.04528606</v>
      </c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>
        <f t="shared" si="8"/>
        <v>2</v>
      </c>
      <c r="AF4423" s="19">
        <f t="shared" si="13"/>
        <v>5</v>
      </c>
      <c r="AG4423" s="9"/>
      <c r="AH4423" s="9"/>
      <c r="AI4423" s="9"/>
    </row>
    <row r="4424" ht="15.0" customHeight="1">
      <c r="A4424" s="11">
        <v>4423.0</v>
      </c>
      <c r="B4424" s="12">
        <f t="shared" si="698"/>
        <v>40569</v>
      </c>
      <c r="C4424" s="13">
        <v>2011.0</v>
      </c>
      <c r="D4424" s="11" t="s">
        <v>32</v>
      </c>
      <c r="E4424" s="11">
        <v>2.0</v>
      </c>
      <c r="F4424" s="21" t="s">
        <v>322</v>
      </c>
      <c r="G4424" s="15">
        <v>0.0958367346938775</v>
      </c>
      <c r="H4424" s="11" t="s">
        <v>33</v>
      </c>
      <c r="I4424" s="16">
        <v>4.952000000000001</v>
      </c>
      <c r="J4424" s="11" t="s">
        <v>1950</v>
      </c>
      <c r="K4424" s="11" t="s">
        <v>65</v>
      </c>
      <c r="L4424" s="11" t="s">
        <v>36</v>
      </c>
      <c r="M4424" s="11" t="s">
        <v>28</v>
      </c>
      <c r="N4424" s="11" t="s">
        <v>42</v>
      </c>
      <c r="O4424" s="11" t="s">
        <v>324</v>
      </c>
      <c r="P4424" s="11" t="s">
        <v>38</v>
      </c>
      <c r="Q4424" s="20">
        <v>40571.0</v>
      </c>
      <c r="R4424" s="17">
        <f t="shared" si="2"/>
        <v>2.122975347</v>
      </c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>
        <f t="shared" si="8"/>
        <v>2</v>
      </c>
      <c r="AF4424" s="19">
        <f t="shared" si="13"/>
        <v>5</v>
      </c>
      <c r="AG4424" s="9"/>
      <c r="AH4424" s="9"/>
      <c r="AI4424" s="9"/>
    </row>
    <row r="4425" ht="15.0" customHeight="1">
      <c r="A4425" s="11">
        <v>4424.0</v>
      </c>
      <c r="B4425" s="12">
        <f t="shared" si="698"/>
        <v>40569</v>
      </c>
      <c r="C4425" s="13">
        <v>2011.0</v>
      </c>
      <c r="D4425" s="11" t="s">
        <v>102</v>
      </c>
      <c r="E4425" s="11">
        <v>19.0</v>
      </c>
      <c r="F4425" s="21" t="s">
        <v>948</v>
      </c>
      <c r="G4425" s="15">
        <v>0.0611023622047244</v>
      </c>
      <c r="H4425" s="11" t="s">
        <v>33</v>
      </c>
      <c r="I4425" s="16">
        <v>4.192</v>
      </c>
      <c r="J4425" s="11" t="s">
        <v>719</v>
      </c>
      <c r="K4425" s="11" t="s">
        <v>61</v>
      </c>
      <c r="L4425" s="11" t="s">
        <v>48</v>
      </c>
      <c r="M4425" s="11" t="s">
        <v>28</v>
      </c>
      <c r="N4425" s="11" t="s">
        <v>42</v>
      </c>
      <c r="O4425" s="11" t="s">
        <v>2432</v>
      </c>
      <c r="P4425" s="11" t="s">
        <v>38</v>
      </c>
      <c r="Q4425" s="20">
        <v>40571.0</v>
      </c>
      <c r="R4425" s="17">
        <f t="shared" si="2"/>
        <v>5.828676535</v>
      </c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>
        <f t="shared" si="8"/>
        <v>4</v>
      </c>
      <c r="AF4425" s="19">
        <f t="shared" si="13"/>
        <v>4</v>
      </c>
      <c r="AG4425" s="9"/>
      <c r="AH4425" s="9"/>
      <c r="AI4425" s="9"/>
    </row>
    <row r="4426" ht="15.0" customHeight="1">
      <c r="A4426" s="11">
        <v>4425.0</v>
      </c>
      <c r="B4426" s="12">
        <f t="shared" ref="B4426:B4433" si="699">DATE(2012,12,31)-704</f>
        <v>40570</v>
      </c>
      <c r="C4426" s="13">
        <v>2011.0</v>
      </c>
      <c r="D4426" s="11" t="s">
        <v>23</v>
      </c>
      <c r="E4426" s="11">
        <v>42.0</v>
      </c>
      <c r="F4426" s="21" t="s">
        <v>135</v>
      </c>
      <c r="G4426" s="15">
        <v>0.0381115292507699</v>
      </c>
      <c r="H4426" s="11" t="s">
        <v>33</v>
      </c>
      <c r="I4426" s="16">
        <v>3.9600000000000004</v>
      </c>
      <c r="J4426" s="11" t="s">
        <v>831</v>
      </c>
      <c r="K4426" s="11" t="s">
        <v>117</v>
      </c>
      <c r="L4426" s="11" t="s">
        <v>27</v>
      </c>
      <c r="M4426" s="11" t="s">
        <v>49</v>
      </c>
      <c r="N4426" s="11" t="s">
        <v>73</v>
      </c>
      <c r="O4426" s="11" t="s">
        <v>136</v>
      </c>
      <c r="P4426" s="11" t="s">
        <v>99</v>
      </c>
      <c r="Q4426" s="20">
        <v>40571.0</v>
      </c>
      <c r="R4426" s="17">
        <f t="shared" si="2"/>
        <v>10.71543756</v>
      </c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>
        <f t="shared" si="8"/>
        <v>1</v>
      </c>
      <c r="AF4426" s="19" t="b">
        <f t="shared" si="13"/>
        <v>0</v>
      </c>
      <c r="AG4426" s="9"/>
      <c r="AH4426" s="9"/>
      <c r="AI4426" s="9"/>
    </row>
    <row r="4427" ht="15.0" customHeight="1">
      <c r="A4427" s="11">
        <v>4426.0</v>
      </c>
      <c r="B4427" s="12">
        <f t="shared" si="699"/>
        <v>40570</v>
      </c>
      <c r="C4427" s="13">
        <v>2011.0</v>
      </c>
      <c r="D4427" s="11" t="s">
        <v>23</v>
      </c>
      <c r="E4427" s="11">
        <v>39.0</v>
      </c>
      <c r="F4427" s="21" t="s">
        <v>110</v>
      </c>
      <c r="G4427" s="15">
        <v>0.05751516960111411</v>
      </c>
      <c r="H4427" s="11" t="s">
        <v>45</v>
      </c>
      <c r="I4427" s="16">
        <v>14.280000000000001</v>
      </c>
      <c r="J4427" s="11" t="s">
        <v>831</v>
      </c>
      <c r="K4427" s="11" t="s">
        <v>117</v>
      </c>
      <c r="L4427" s="11" t="s">
        <v>27</v>
      </c>
      <c r="M4427" s="11" t="s">
        <v>66</v>
      </c>
      <c r="N4427" s="11" t="s">
        <v>69</v>
      </c>
      <c r="O4427" s="11" t="s">
        <v>111</v>
      </c>
      <c r="P4427" s="11" t="s">
        <v>52</v>
      </c>
      <c r="Q4427" s="20">
        <v>40572.0</v>
      </c>
      <c r="R4427" s="17">
        <f t="shared" si="2"/>
        <v>326.9668374</v>
      </c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>
        <f t="shared" si="8"/>
        <v>1</v>
      </c>
      <c r="AF4427" s="19" t="b">
        <f t="shared" si="13"/>
        <v>0</v>
      </c>
      <c r="AG4427" s="9"/>
      <c r="AH4427" s="9"/>
      <c r="AI4427" s="9"/>
    </row>
    <row r="4428" ht="15.0" customHeight="1">
      <c r="A4428" s="11">
        <v>4427.0</v>
      </c>
      <c r="B4428" s="12">
        <f t="shared" si="699"/>
        <v>40570</v>
      </c>
      <c r="C4428" s="13">
        <v>2011.0</v>
      </c>
      <c r="D4428" s="11" t="s">
        <v>23</v>
      </c>
      <c r="E4428" s="11">
        <v>35.0</v>
      </c>
      <c r="F4428" s="21" t="s">
        <v>1227</v>
      </c>
      <c r="G4428" s="15">
        <v>0.035940594059405896</v>
      </c>
      <c r="H4428" s="11" t="s">
        <v>33</v>
      </c>
      <c r="I4428" s="16">
        <v>0.8960000000000001</v>
      </c>
      <c r="J4428" s="11" t="s">
        <v>831</v>
      </c>
      <c r="K4428" s="11" t="s">
        <v>117</v>
      </c>
      <c r="L4428" s="11" t="s">
        <v>27</v>
      </c>
      <c r="M4428" s="11" t="s">
        <v>28</v>
      </c>
      <c r="N4428" s="11" t="s">
        <v>62</v>
      </c>
      <c r="O4428" s="11" t="s">
        <v>2510</v>
      </c>
      <c r="P4428" s="11" t="s">
        <v>58</v>
      </c>
      <c r="Q4428" s="20">
        <v>40572.0</v>
      </c>
      <c r="R4428" s="17">
        <f t="shared" si="2"/>
        <v>2.799628515</v>
      </c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>
        <f t="shared" si="8"/>
        <v>1</v>
      </c>
      <c r="AF4428" s="19" t="b">
        <f t="shared" si="13"/>
        <v>0</v>
      </c>
      <c r="AG4428" s="9"/>
      <c r="AH4428" s="9"/>
      <c r="AI4428" s="9"/>
    </row>
    <row r="4429" ht="15.0" customHeight="1">
      <c r="A4429" s="11">
        <v>4428.0</v>
      </c>
      <c r="B4429" s="12">
        <f t="shared" si="699"/>
        <v>40570</v>
      </c>
      <c r="C4429" s="13">
        <v>2011.0</v>
      </c>
      <c r="D4429" s="11" t="s">
        <v>32</v>
      </c>
      <c r="E4429" s="11">
        <v>48.0</v>
      </c>
      <c r="F4429" s="21" t="s">
        <v>718</v>
      </c>
      <c r="G4429" s="15">
        <v>0.013018668545262641</v>
      </c>
      <c r="H4429" s="11" t="s">
        <v>24</v>
      </c>
      <c r="I4429" s="16">
        <v>6.024000000000001</v>
      </c>
      <c r="J4429" s="11" t="s">
        <v>395</v>
      </c>
      <c r="K4429" s="11" t="s">
        <v>35</v>
      </c>
      <c r="L4429" s="11" t="s">
        <v>36</v>
      </c>
      <c r="M4429" s="11" t="s">
        <v>66</v>
      </c>
      <c r="N4429" s="11" t="s">
        <v>67</v>
      </c>
      <c r="O4429" s="11" t="s">
        <v>813</v>
      </c>
      <c r="P4429" s="11" t="s">
        <v>38</v>
      </c>
      <c r="Q4429" s="20">
        <v>40572.0</v>
      </c>
      <c r="R4429" s="17">
        <f t="shared" si="2"/>
        <v>21.88729801</v>
      </c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>
        <f t="shared" si="8"/>
        <v>2</v>
      </c>
      <c r="AF4429" s="19">
        <f t="shared" si="13"/>
        <v>2</v>
      </c>
      <c r="AG4429" s="9"/>
      <c r="AH4429" s="9"/>
      <c r="AI4429" s="9"/>
    </row>
    <row r="4430" ht="15.0" customHeight="1">
      <c r="A4430" s="11">
        <v>4429.0</v>
      </c>
      <c r="B4430" s="12">
        <f t="shared" si="699"/>
        <v>40570</v>
      </c>
      <c r="C4430" s="13">
        <v>2011.0</v>
      </c>
      <c r="D4430" s="11" t="s">
        <v>32</v>
      </c>
      <c r="E4430" s="11">
        <v>37.0</v>
      </c>
      <c r="F4430" s="21" t="s">
        <v>1038</v>
      </c>
      <c r="G4430" s="15">
        <v>0.03548708326132215</v>
      </c>
      <c r="H4430" s="11" t="s">
        <v>33</v>
      </c>
      <c r="I4430" s="16">
        <v>4.064</v>
      </c>
      <c r="J4430" s="11" t="s">
        <v>395</v>
      </c>
      <c r="K4430" s="11" t="s">
        <v>35</v>
      </c>
      <c r="L4430" s="11" t="s">
        <v>36</v>
      </c>
      <c r="M4430" s="11" t="s">
        <v>28</v>
      </c>
      <c r="N4430" s="11" t="s">
        <v>56</v>
      </c>
      <c r="O4430" s="11" t="s">
        <v>1040</v>
      </c>
      <c r="P4430" s="11" t="s">
        <v>58</v>
      </c>
      <c r="Q4430" s="20">
        <v>40572.0</v>
      </c>
      <c r="R4430" s="17">
        <f t="shared" si="2"/>
        <v>49.90775636</v>
      </c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>
        <f t="shared" si="8"/>
        <v>2</v>
      </c>
      <c r="AF4430" s="19">
        <f t="shared" si="13"/>
        <v>2</v>
      </c>
      <c r="AG4430" s="9"/>
      <c r="AH4430" s="9"/>
      <c r="AI4430" s="9"/>
    </row>
    <row r="4431" ht="15.0" customHeight="1">
      <c r="A4431" s="11">
        <v>4430.0</v>
      </c>
      <c r="B4431" s="12">
        <f t="shared" si="699"/>
        <v>40570</v>
      </c>
      <c r="C4431" s="13">
        <v>2011.0</v>
      </c>
      <c r="D4431" s="11" t="s">
        <v>32</v>
      </c>
      <c r="E4431" s="11">
        <v>18.0</v>
      </c>
      <c r="F4431" s="21" t="s">
        <v>158</v>
      </c>
      <c r="G4431" s="15">
        <v>0.04919904837430606</v>
      </c>
      <c r="H4431" s="11" t="s">
        <v>33</v>
      </c>
      <c r="I4431" s="16">
        <v>4.696000000000001</v>
      </c>
      <c r="J4431" s="11" t="s">
        <v>395</v>
      </c>
      <c r="K4431" s="11" t="s">
        <v>35</v>
      </c>
      <c r="L4431" s="11" t="s">
        <v>36</v>
      </c>
      <c r="M4431" s="11" t="s">
        <v>28</v>
      </c>
      <c r="N4431" s="11" t="s">
        <v>56</v>
      </c>
      <c r="O4431" s="11" t="s">
        <v>2258</v>
      </c>
      <c r="P4431" s="11" t="s">
        <v>38</v>
      </c>
      <c r="Q4431" s="20">
        <v>40573.0</v>
      </c>
      <c r="R4431" s="17">
        <f t="shared" si="2"/>
        <v>5.898769104</v>
      </c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>
        <f t="shared" si="8"/>
        <v>2</v>
      </c>
      <c r="AF4431" s="19">
        <f t="shared" si="13"/>
        <v>2</v>
      </c>
      <c r="AG4431" s="9"/>
      <c r="AH4431" s="9"/>
      <c r="AI4431" s="9"/>
    </row>
    <row r="4432" ht="15.0" customHeight="1">
      <c r="A4432" s="11">
        <v>4431.0</v>
      </c>
      <c r="B4432" s="12">
        <f t="shared" si="699"/>
        <v>40570</v>
      </c>
      <c r="C4432" s="13">
        <v>2011.0</v>
      </c>
      <c r="D4432" s="11" t="s">
        <v>32</v>
      </c>
      <c r="E4432" s="11">
        <v>35.0</v>
      </c>
      <c r="F4432" s="21" t="s">
        <v>865</v>
      </c>
      <c r="G4432" s="15">
        <v>0.039006065242336484</v>
      </c>
      <c r="H4432" s="11" t="s">
        <v>33</v>
      </c>
      <c r="I4432" s="16">
        <v>3.3600000000000003</v>
      </c>
      <c r="J4432" s="11" t="s">
        <v>395</v>
      </c>
      <c r="K4432" s="11" t="s">
        <v>35</v>
      </c>
      <c r="L4432" s="11" t="s">
        <v>36</v>
      </c>
      <c r="M4432" s="11" t="s">
        <v>66</v>
      </c>
      <c r="N4432" s="11" t="s">
        <v>80</v>
      </c>
      <c r="O4432" s="11" t="s">
        <v>1519</v>
      </c>
      <c r="P4432" s="11" t="s">
        <v>38</v>
      </c>
      <c r="Q4432" s="20">
        <v>40573.0</v>
      </c>
      <c r="R4432" s="17">
        <f t="shared" si="2"/>
        <v>274.4022081</v>
      </c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>
        <f t="shared" si="8"/>
        <v>2</v>
      </c>
      <c r="AF4432" s="19">
        <f t="shared" si="13"/>
        <v>2</v>
      </c>
      <c r="AG4432" s="9"/>
      <c r="AH4432" s="9"/>
      <c r="AI4432" s="9"/>
    </row>
    <row r="4433" ht="15.0" customHeight="1">
      <c r="A4433" s="11">
        <v>4432.0</v>
      </c>
      <c r="B4433" s="12">
        <f t="shared" si="699"/>
        <v>40570</v>
      </c>
      <c r="C4433" s="13">
        <v>2011.0</v>
      </c>
      <c r="D4433" s="11" t="s">
        <v>102</v>
      </c>
      <c r="E4433" s="11">
        <v>17.0</v>
      </c>
      <c r="F4433" s="21" t="s">
        <v>122</v>
      </c>
      <c r="G4433" s="15">
        <v>0.052190577588501624</v>
      </c>
      <c r="H4433" s="11" t="s">
        <v>33</v>
      </c>
      <c r="I4433" s="16">
        <v>0.792</v>
      </c>
      <c r="J4433" s="11" t="s">
        <v>907</v>
      </c>
      <c r="K4433" s="11" t="s">
        <v>47</v>
      </c>
      <c r="L4433" s="11" t="s">
        <v>27</v>
      </c>
      <c r="M4433" s="11" t="s">
        <v>66</v>
      </c>
      <c r="N4433" s="11" t="s">
        <v>80</v>
      </c>
      <c r="O4433" s="11" t="s">
        <v>1721</v>
      </c>
      <c r="P4433" s="11" t="s">
        <v>99</v>
      </c>
      <c r="Q4433" s="20">
        <v>40573.0</v>
      </c>
      <c r="R4433" s="17">
        <f t="shared" si="2"/>
        <v>18.58464715</v>
      </c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>
        <f t="shared" si="8"/>
        <v>1</v>
      </c>
      <c r="AF4433" s="19">
        <f t="shared" si="13"/>
        <v>3</v>
      </c>
      <c r="AG4433" s="9"/>
      <c r="AH4433" s="9"/>
      <c r="AI4433" s="9"/>
    </row>
    <row r="4434" ht="15.0" customHeight="1">
      <c r="A4434" s="11">
        <v>4433.0</v>
      </c>
      <c r="B4434" s="12">
        <f t="shared" ref="B4434:B4437" si="700">DATE(2012,12,31)-703</f>
        <v>40571</v>
      </c>
      <c r="C4434" s="13">
        <v>2011.0</v>
      </c>
      <c r="D4434" s="11" t="s">
        <v>44</v>
      </c>
      <c r="E4434" s="11">
        <v>17.0</v>
      </c>
      <c r="F4434" s="21" t="s">
        <v>259</v>
      </c>
      <c r="G4434" s="15">
        <v>0.061157796451913944</v>
      </c>
      <c r="H4434" s="11" t="s">
        <v>33</v>
      </c>
      <c r="I4434" s="16">
        <v>9.0</v>
      </c>
      <c r="J4434" s="11" t="s">
        <v>1439</v>
      </c>
      <c r="K4434" s="11" t="s">
        <v>61</v>
      </c>
      <c r="L4434" s="11" t="s">
        <v>41</v>
      </c>
      <c r="M4434" s="11" t="s">
        <v>28</v>
      </c>
      <c r="N4434" s="11" t="s">
        <v>56</v>
      </c>
      <c r="O4434" s="11" t="s">
        <v>777</v>
      </c>
      <c r="P4434" s="11" t="s">
        <v>38</v>
      </c>
      <c r="Q4434" s="20">
        <v>40573.0</v>
      </c>
      <c r="R4434" s="17">
        <f t="shared" si="2"/>
        <v>12.29883287</v>
      </c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>
        <f t="shared" si="8"/>
        <v>3</v>
      </c>
      <c r="AF4434" s="19">
        <f t="shared" si="13"/>
        <v>4</v>
      </c>
      <c r="AG4434" s="9"/>
      <c r="AH4434" s="9"/>
      <c r="AI4434" s="9"/>
    </row>
    <row r="4435" ht="15.0" customHeight="1">
      <c r="A4435" s="11">
        <v>4434.0</v>
      </c>
      <c r="B4435" s="12">
        <f t="shared" si="700"/>
        <v>40571</v>
      </c>
      <c r="C4435" s="13">
        <v>2011.0</v>
      </c>
      <c r="D4435" s="11" t="s">
        <v>44</v>
      </c>
      <c r="E4435" s="11">
        <v>41.0</v>
      </c>
      <c r="F4435" s="21" t="s">
        <v>224</v>
      </c>
      <c r="G4435" s="15">
        <v>0.07441589050646812</v>
      </c>
      <c r="H4435" s="11" t="s">
        <v>45</v>
      </c>
      <c r="I4435" s="16">
        <v>11.76</v>
      </c>
      <c r="J4435" s="11" t="s">
        <v>1439</v>
      </c>
      <c r="K4435" s="11" t="s">
        <v>61</v>
      </c>
      <c r="L4435" s="11" t="s">
        <v>41</v>
      </c>
      <c r="M4435" s="11" t="s">
        <v>66</v>
      </c>
      <c r="N4435" s="11" t="s">
        <v>69</v>
      </c>
      <c r="O4435" s="11" t="s">
        <v>225</v>
      </c>
      <c r="P4435" s="11" t="s">
        <v>52</v>
      </c>
      <c r="Q4435" s="20">
        <v>40573.0</v>
      </c>
      <c r="R4435" s="17">
        <f t="shared" si="2"/>
        <v>908.8680605</v>
      </c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>
        <f t="shared" si="8"/>
        <v>3</v>
      </c>
      <c r="AF4435" s="19">
        <f t="shared" si="13"/>
        <v>4</v>
      </c>
      <c r="AG4435" s="9"/>
      <c r="AH4435" s="9"/>
      <c r="AI4435" s="9"/>
    </row>
    <row r="4436" ht="15.0" customHeight="1">
      <c r="A4436" s="11">
        <v>4435.0</v>
      </c>
      <c r="B4436" s="12">
        <f t="shared" si="700"/>
        <v>40571</v>
      </c>
      <c r="C4436" s="13">
        <v>2011.0</v>
      </c>
      <c r="D4436" s="11" t="s">
        <v>23</v>
      </c>
      <c r="E4436" s="11">
        <v>10.0</v>
      </c>
      <c r="F4436" s="21" t="s">
        <v>96</v>
      </c>
      <c r="G4436" s="15">
        <v>0.08639795265515046</v>
      </c>
      <c r="H4436" s="11" t="s">
        <v>33</v>
      </c>
      <c r="I4436" s="16">
        <v>1.592</v>
      </c>
      <c r="J4436" s="11" t="s">
        <v>910</v>
      </c>
      <c r="K4436" s="11" t="s">
        <v>117</v>
      </c>
      <c r="L4436" s="11" t="s">
        <v>48</v>
      </c>
      <c r="M4436" s="11" t="s">
        <v>66</v>
      </c>
      <c r="N4436" s="11" t="s">
        <v>67</v>
      </c>
      <c r="O4436" s="11" t="s">
        <v>98</v>
      </c>
      <c r="P4436" s="11" t="s">
        <v>99</v>
      </c>
      <c r="Q4436" s="20">
        <v>40574.0</v>
      </c>
      <c r="R4436" s="17">
        <f t="shared" si="2"/>
        <v>24.67456409</v>
      </c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>
        <f t="shared" si="8"/>
        <v>4</v>
      </c>
      <c r="AF4436" s="19" t="b">
        <f t="shared" si="13"/>
        <v>0</v>
      </c>
      <c r="AG4436" s="9"/>
      <c r="AH4436" s="9"/>
      <c r="AI4436" s="9"/>
    </row>
    <row r="4437" ht="15.0" customHeight="1">
      <c r="A4437" s="11">
        <v>4436.0</v>
      </c>
      <c r="B4437" s="12">
        <f t="shared" si="700"/>
        <v>40571</v>
      </c>
      <c r="C4437" s="13">
        <v>2011.0</v>
      </c>
      <c r="D4437" s="11" t="s">
        <v>23</v>
      </c>
      <c r="E4437" s="11">
        <v>26.0</v>
      </c>
      <c r="F4437" s="21" t="s">
        <v>186</v>
      </c>
      <c r="G4437" s="15">
        <v>0.07537190082644632</v>
      </c>
      <c r="H4437" s="11" t="s">
        <v>33</v>
      </c>
      <c r="I4437" s="16">
        <v>5.28</v>
      </c>
      <c r="J4437" s="11" t="s">
        <v>910</v>
      </c>
      <c r="K4437" s="11" t="s">
        <v>117</v>
      </c>
      <c r="L4437" s="11" t="s">
        <v>48</v>
      </c>
      <c r="M4437" s="11" t="s">
        <v>49</v>
      </c>
      <c r="N4437" s="11" t="s">
        <v>73</v>
      </c>
      <c r="O4437" s="11" t="s">
        <v>258</v>
      </c>
      <c r="P4437" s="11" t="s">
        <v>38</v>
      </c>
      <c r="Q4437" s="20">
        <v>40574.0</v>
      </c>
      <c r="R4437" s="17">
        <f t="shared" si="2"/>
        <v>8.432608264</v>
      </c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>
        <f t="shared" si="8"/>
        <v>4</v>
      </c>
      <c r="AF4437" s="19" t="b">
        <f t="shared" si="13"/>
        <v>0</v>
      </c>
      <c r="AG4437" s="9"/>
      <c r="AH4437" s="9"/>
      <c r="AI4437" s="9"/>
    </row>
    <row r="4438" ht="15.0" customHeight="1">
      <c r="A4438" s="11">
        <v>4437.0</v>
      </c>
      <c r="B4438" s="12">
        <f t="shared" ref="B4438:B4443" si="701">DATE(2012,12,31)-702</f>
        <v>40572</v>
      </c>
      <c r="C4438" s="13">
        <v>2011.0</v>
      </c>
      <c r="D4438" s="11" t="s">
        <v>32</v>
      </c>
      <c r="E4438" s="11">
        <v>11.0</v>
      </c>
      <c r="F4438" s="21" t="s">
        <v>158</v>
      </c>
      <c r="G4438" s="15">
        <v>0.09588785046728954</v>
      </c>
      <c r="H4438" s="11" t="s">
        <v>33</v>
      </c>
      <c r="I4438" s="16">
        <v>6.992000000000001</v>
      </c>
      <c r="J4438" s="11" t="s">
        <v>1405</v>
      </c>
      <c r="K4438" s="11" t="s">
        <v>35</v>
      </c>
      <c r="L4438" s="11" t="s">
        <v>48</v>
      </c>
      <c r="M4438" s="11" t="s">
        <v>28</v>
      </c>
      <c r="N4438" s="11" t="s">
        <v>56</v>
      </c>
      <c r="O4438" s="11" t="s">
        <v>2047</v>
      </c>
      <c r="P4438" s="11" t="s">
        <v>38</v>
      </c>
      <c r="Q4438" s="20">
        <v>40574.0</v>
      </c>
      <c r="R4438" s="17">
        <f t="shared" si="2"/>
        <v>7.420952523</v>
      </c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>
        <f t="shared" si="8"/>
        <v>4</v>
      </c>
      <c r="AF4438" s="19">
        <f t="shared" si="13"/>
        <v>2</v>
      </c>
      <c r="AG4438" s="9"/>
      <c r="AH4438" s="9"/>
      <c r="AI4438" s="9"/>
    </row>
    <row r="4439" ht="15.0" customHeight="1">
      <c r="A4439" s="11">
        <v>4438.0</v>
      </c>
      <c r="B4439" s="12">
        <f t="shared" si="701"/>
        <v>40572</v>
      </c>
      <c r="C4439" s="13">
        <v>2011.0</v>
      </c>
      <c r="D4439" s="11" t="s">
        <v>32</v>
      </c>
      <c r="E4439" s="11">
        <v>3.0</v>
      </c>
      <c r="F4439" s="21" t="s">
        <v>128</v>
      </c>
      <c r="G4439" s="15">
        <v>0.08671901023078749</v>
      </c>
      <c r="H4439" s="11" t="s">
        <v>33</v>
      </c>
      <c r="I4439" s="16">
        <v>6.152000000000001</v>
      </c>
      <c r="J4439" s="11" t="s">
        <v>1405</v>
      </c>
      <c r="K4439" s="11" t="s">
        <v>35</v>
      </c>
      <c r="L4439" s="11" t="s">
        <v>48</v>
      </c>
      <c r="M4439" s="11" t="s">
        <v>66</v>
      </c>
      <c r="N4439" s="11" t="s">
        <v>80</v>
      </c>
      <c r="O4439" s="11" t="s">
        <v>589</v>
      </c>
      <c r="P4439" s="11" t="s">
        <v>38</v>
      </c>
      <c r="Q4439" s="20">
        <v>40574.0</v>
      </c>
      <c r="R4439" s="17">
        <f t="shared" si="2"/>
        <v>33.28726552</v>
      </c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>
        <f t="shared" si="8"/>
        <v>4</v>
      </c>
      <c r="AF4439" s="19">
        <f t="shared" si="13"/>
        <v>2</v>
      </c>
      <c r="AG4439" s="9"/>
      <c r="AH4439" s="9"/>
      <c r="AI4439" s="9"/>
    </row>
    <row r="4440" ht="15.0" customHeight="1">
      <c r="A4440" s="11">
        <v>4439.0</v>
      </c>
      <c r="B4440" s="12">
        <f t="shared" si="701"/>
        <v>40572</v>
      </c>
      <c r="C4440" s="13">
        <v>2011.0</v>
      </c>
      <c r="D4440" s="11" t="s">
        <v>102</v>
      </c>
      <c r="E4440" s="11">
        <v>12.0</v>
      </c>
      <c r="F4440" s="21" t="s">
        <v>814</v>
      </c>
      <c r="G4440" s="15">
        <v>0.06128509719222444</v>
      </c>
      <c r="H4440" s="11" t="s">
        <v>45</v>
      </c>
      <c r="I4440" s="16">
        <v>24.0</v>
      </c>
      <c r="J4440" s="11" t="s">
        <v>1767</v>
      </c>
      <c r="K4440" s="11" t="s">
        <v>35</v>
      </c>
      <c r="L4440" s="11" t="s">
        <v>27</v>
      </c>
      <c r="M4440" s="11" t="s">
        <v>49</v>
      </c>
      <c r="N4440" s="11" t="s">
        <v>50</v>
      </c>
      <c r="O4440" s="11" t="s">
        <v>816</v>
      </c>
      <c r="P4440" s="11" t="s">
        <v>52</v>
      </c>
      <c r="Q4440" s="20">
        <v>40574.0</v>
      </c>
      <c r="R4440" s="17">
        <f t="shared" si="2"/>
        <v>85.23531317</v>
      </c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>
        <f t="shared" si="8"/>
        <v>1</v>
      </c>
      <c r="AF4440" s="19">
        <f t="shared" si="13"/>
        <v>2</v>
      </c>
      <c r="AG4440" s="9"/>
      <c r="AH4440" s="9"/>
      <c r="AI4440" s="9"/>
    </row>
    <row r="4441" ht="15.0" customHeight="1">
      <c r="A4441" s="11">
        <v>4440.0</v>
      </c>
      <c r="B4441" s="12">
        <f t="shared" si="701"/>
        <v>40572</v>
      </c>
      <c r="C4441" s="13">
        <v>2011.0</v>
      </c>
      <c r="D4441" s="11" t="s">
        <v>23</v>
      </c>
      <c r="E4441" s="11">
        <v>31.0</v>
      </c>
      <c r="F4441" s="21" t="s">
        <v>914</v>
      </c>
      <c r="G4441" s="15">
        <v>0.023609585621567713</v>
      </c>
      <c r="H4441" s="11" t="s">
        <v>33</v>
      </c>
      <c r="I4441" s="16">
        <v>10.384</v>
      </c>
      <c r="J4441" s="11" t="s">
        <v>1472</v>
      </c>
      <c r="K4441" s="11" t="s">
        <v>83</v>
      </c>
      <c r="L4441" s="11" t="s">
        <v>27</v>
      </c>
      <c r="M4441" s="11" t="s">
        <v>28</v>
      </c>
      <c r="N4441" s="11" t="s">
        <v>42</v>
      </c>
      <c r="O4441" s="11" t="s">
        <v>915</v>
      </c>
      <c r="P4441" s="11" t="s">
        <v>38</v>
      </c>
      <c r="Q4441" s="20">
        <v>40575.0</v>
      </c>
      <c r="R4441" s="17">
        <f t="shared" si="2"/>
        <v>18.46940108</v>
      </c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>
        <f t="shared" si="8"/>
        <v>1</v>
      </c>
      <c r="AF4441" s="19" t="b">
        <f t="shared" si="13"/>
        <v>0</v>
      </c>
      <c r="AG4441" s="9"/>
      <c r="AH4441" s="9"/>
      <c r="AI4441" s="9"/>
    </row>
    <row r="4442" ht="15.0" customHeight="1">
      <c r="A4442" s="11">
        <v>4441.0</v>
      </c>
      <c r="B4442" s="12">
        <f t="shared" si="701"/>
        <v>40572</v>
      </c>
      <c r="C4442" s="13">
        <v>2011.0</v>
      </c>
      <c r="D4442" s="11" t="s">
        <v>39</v>
      </c>
      <c r="E4442" s="11">
        <v>12.0</v>
      </c>
      <c r="F4442" s="21" t="s">
        <v>242</v>
      </c>
      <c r="G4442" s="15">
        <v>0.04923145466696362</v>
      </c>
      <c r="H4442" s="11" t="s">
        <v>33</v>
      </c>
      <c r="I4442" s="16">
        <v>2.8000000000000003</v>
      </c>
      <c r="J4442" s="11" t="s">
        <v>597</v>
      </c>
      <c r="K4442" s="11" t="s">
        <v>26</v>
      </c>
      <c r="L4442" s="11" t="s">
        <v>27</v>
      </c>
      <c r="M4442" s="11" t="s">
        <v>28</v>
      </c>
      <c r="N4442" s="11" t="s">
        <v>197</v>
      </c>
      <c r="O4442" s="11" t="s">
        <v>1134</v>
      </c>
      <c r="P4442" s="11" t="s">
        <v>38</v>
      </c>
      <c r="Q4442" s="20">
        <v>40575.0</v>
      </c>
      <c r="R4442" s="17">
        <f t="shared" si="2"/>
        <v>42.0239697</v>
      </c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>
        <f t="shared" si="8"/>
        <v>1</v>
      </c>
      <c r="AF4442" s="19">
        <f t="shared" si="13"/>
        <v>1</v>
      </c>
      <c r="AG4442" s="9"/>
      <c r="AH4442" s="9"/>
      <c r="AI4442" s="9"/>
    </row>
    <row r="4443" ht="15.0" customHeight="1">
      <c r="A4443" s="11">
        <v>4442.0</v>
      </c>
      <c r="B4443" s="12">
        <f t="shared" si="701"/>
        <v>40572</v>
      </c>
      <c r="C4443" s="13">
        <v>2011.0</v>
      </c>
      <c r="D4443" s="11" t="s">
        <v>39</v>
      </c>
      <c r="E4443" s="11">
        <v>38.0</v>
      </c>
      <c r="F4443" s="21" t="s">
        <v>207</v>
      </c>
      <c r="G4443" s="15">
        <v>0.0918360071301248</v>
      </c>
      <c r="H4443" s="11" t="s">
        <v>33</v>
      </c>
      <c r="I4443" s="16">
        <v>2.3920000000000003</v>
      </c>
      <c r="J4443" s="11" t="s">
        <v>597</v>
      </c>
      <c r="K4443" s="11" t="s">
        <v>26</v>
      </c>
      <c r="L4443" s="11" t="s">
        <v>27</v>
      </c>
      <c r="M4443" s="11" t="s">
        <v>28</v>
      </c>
      <c r="N4443" s="11" t="s">
        <v>42</v>
      </c>
      <c r="O4443" s="11" t="s">
        <v>682</v>
      </c>
      <c r="P4443" s="11" t="s">
        <v>38</v>
      </c>
      <c r="Q4443" s="20">
        <v>40575.0</v>
      </c>
      <c r="R4443" s="17">
        <f t="shared" si="2"/>
        <v>18.71544357</v>
      </c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>
        <f t="shared" si="8"/>
        <v>1</v>
      </c>
      <c r="AF4443" s="19">
        <f t="shared" si="13"/>
        <v>1</v>
      </c>
      <c r="AG4443" s="9"/>
      <c r="AH4443" s="9"/>
      <c r="AI4443" s="9"/>
    </row>
    <row r="4444" ht="15.0" customHeight="1">
      <c r="A4444" s="11">
        <v>4443.0</v>
      </c>
      <c r="B4444" s="12">
        <f>DATE(2012,12,31)-701</f>
        <v>40573</v>
      </c>
      <c r="C4444" s="13">
        <v>2011.0</v>
      </c>
      <c r="D4444" s="11" t="s">
        <v>23</v>
      </c>
      <c r="E4444" s="11">
        <v>9.0</v>
      </c>
      <c r="F4444" s="21" t="s">
        <v>629</v>
      </c>
      <c r="G4444" s="15">
        <v>0.09614489003880967</v>
      </c>
      <c r="H4444" s="11" t="s">
        <v>33</v>
      </c>
      <c r="I4444" s="16">
        <v>4.168</v>
      </c>
      <c r="J4444" s="11" t="s">
        <v>617</v>
      </c>
      <c r="K4444" s="11" t="s">
        <v>61</v>
      </c>
      <c r="L4444" s="11" t="s">
        <v>27</v>
      </c>
      <c r="M4444" s="11" t="s">
        <v>49</v>
      </c>
      <c r="N4444" s="11" t="s">
        <v>73</v>
      </c>
      <c r="O4444" s="11" t="s">
        <v>1477</v>
      </c>
      <c r="P4444" s="11" t="s">
        <v>38</v>
      </c>
      <c r="Q4444" s="20">
        <v>40575.0</v>
      </c>
      <c r="R4444" s="17">
        <f t="shared" si="2"/>
        <v>6.717451177</v>
      </c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>
        <f t="shared" si="8"/>
        <v>1</v>
      </c>
      <c r="AF4444" s="19">
        <f t="shared" si="13"/>
        <v>4</v>
      </c>
      <c r="AG4444" s="9"/>
      <c r="AH4444" s="9"/>
      <c r="AI4444" s="9"/>
    </row>
    <row r="4445" ht="15.0" customHeight="1">
      <c r="A4445" s="11">
        <v>4444.0</v>
      </c>
      <c r="B4445" s="12">
        <f t="shared" ref="B4445:B4450" si="702">DATE(2012,12,31)-700</f>
        <v>40574</v>
      </c>
      <c r="C4445" s="13">
        <v>2011.0</v>
      </c>
      <c r="D4445" s="11" t="s">
        <v>102</v>
      </c>
      <c r="E4445" s="11">
        <v>15.0</v>
      </c>
      <c r="F4445" s="21" t="s">
        <v>2508</v>
      </c>
      <c r="G4445" s="15">
        <v>0.06843500797448165</v>
      </c>
      <c r="H4445" s="11" t="s">
        <v>33</v>
      </c>
      <c r="I4445" s="16">
        <v>19.592</v>
      </c>
      <c r="J4445" s="11" t="s">
        <v>2101</v>
      </c>
      <c r="K4445" s="11" t="s">
        <v>65</v>
      </c>
      <c r="L4445" s="11" t="s">
        <v>36</v>
      </c>
      <c r="M4445" s="11" t="s">
        <v>28</v>
      </c>
      <c r="N4445" s="11" t="s">
        <v>197</v>
      </c>
      <c r="O4445" s="11" t="s">
        <v>2509</v>
      </c>
      <c r="P4445" s="11" t="s">
        <v>31</v>
      </c>
      <c r="Q4445" s="20">
        <v>40576.0</v>
      </c>
      <c r="R4445" s="17">
        <f t="shared" si="2"/>
        <v>127.9113259</v>
      </c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>
        <f t="shared" si="8"/>
        <v>2</v>
      </c>
      <c r="AF4445" s="19">
        <f t="shared" si="13"/>
        <v>5</v>
      </c>
      <c r="AG4445" s="9"/>
      <c r="AH4445" s="9"/>
      <c r="AI4445" s="9"/>
    </row>
    <row r="4446" ht="15.0" customHeight="1">
      <c r="A4446" s="11">
        <v>4445.0</v>
      </c>
      <c r="B4446" s="12">
        <f t="shared" si="702"/>
        <v>40574</v>
      </c>
      <c r="C4446" s="13">
        <v>2011.0</v>
      </c>
      <c r="D4446" s="11" t="s">
        <v>32</v>
      </c>
      <c r="E4446" s="11">
        <v>12.0</v>
      </c>
      <c r="F4446" s="21" t="s">
        <v>325</v>
      </c>
      <c r="G4446" s="15">
        <v>0.10541666666666671</v>
      </c>
      <c r="H4446" s="11" t="s">
        <v>33</v>
      </c>
      <c r="I4446" s="16">
        <v>1.8800000000000001</v>
      </c>
      <c r="J4446" s="11" t="s">
        <v>1036</v>
      </c>
      <c r="K4446" s="11" t="s">
        <v>65</v>
      </c>
      <c r="L4446" s="11" t="s">
        <v>36</v>
      </c>
      <c r="M4446" s="11" t="s">
        <v>28</v>
      </c>
      <c r="N4446" s="11" t="s">
        <v>62</v>
      </c>
      <c r="O4446" s="11" t="s">
        <v>1113</v>
      </c>
      <c r="P4446" s="11" t="s">
        <v>58</v>
      </c>
      <c r="Q4446" s="20">
        <v>40576.0</v>
      </c>
      <c r="R4446" s="17">
        <f t="shared" si="2"/>
        <v>9.053183333</v>
      </c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>
        <f t="shared" si="8"/>
        <v>2</v>
      </c>
      <c r="AF4446" s="19">
        <f t="shared" si="13"/>
        <v>5</v>
      </c>
      <c r="AG4446" s="9"/>
      <c r="AH4446" s="9"/>
      <c r="AI4446" s="9"/>
    </row>
    <row r="4447" ht="15.0" customHeight="1">
      <c r="A4447" s="11">
        <v>4446.0</v>
      </c>
      <c r="B4447" s="12">
        <f t="shared" si="702"/>
        <v>40574</v>
      </c>
      <c r="C4447" s="13">
        <v>2011.0</v>
      </c>
      <c r="D4447" s="11" t="s">
        <v>32</v>
      </c>
      <c r="E4447" s="11">
        <v>3.0</v>
      </c>
      <c r="F4447" s="21" t="s">
        <v>599</v>
      </c>
      <c r="G4447" s="15">
        <v>0.08233258928571408</v>
      </c>
      <c r="H4447" s="11" t="s">
        <v>33</v>
      </c>
      <c r="I4447" s="16">
        <v>11.192</v>
      </c>
      <c r="J4447" s="11" t="s">
        <v>1036</v>
      </c>
      <c r="K4447" s="11" t="s">
        <v>65</v>
      </c>
      <c r="L4447" s="11" t="s">
        <v>36</v>
      </c>
      <c r="M4447" s="11" t="s">
        <v>49</v>
      </c>
      <c r="N4447" s="11" t="s">
        <v>73</v>
      </c>
      <c r="O4447" s="11" t="s">
        <v>601</v>
      </c>
      <c r="P4447" s="11" t="s">
        <v>75</v>
      </c>
      <c r="Q4447" s="20">
        <v>40576.0</v>
      </c>
      <c r="R4447" s="17">
        <f t="shared" si="2"/>
        <v>27.07852996</v>
      </c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>
        <f t="shared" si="8"/>
        <v>2</v>
      </c>
      <c r="AF4447" s="19">
        <f t="shared" si="13"/>
        <v>5</v>
      </c>
      <c r="AG4447" s="9"/>
      <c r="AH4447" s="9"/>
      <c r="AI4447" s="9"/>
    </row>
    <row r="4448" ht="15.0" customHeight="1">
      <c r="A4448" s="11">
        <v>4447.0</v>
      </c>
      <c r="B4448" s="12">
        <f t="shared" si="702"/>
        <v>40574</v>
      </c>
      <c r="C4448" s="13">
        <v>2011.0</v>
      </c>
      <c r="D4448" s="11" t="s">
        <v>39</v>
      </c>
      <c r="E4448" s="11">
        <v>21.0</v>
      </c>
      <c r="F4448" s="21" t="s">
        <v>270</v>
      </c>
      <c r="G4448" s="15">
        <v>0.059529309217694455</v>
      </c>
      <c r="H4448" s="11" t="s">
        <v>24</v>
      </c>
      <c r="I4448" s="16">
        <v>4.264</v>
      </c>
      <c r="J4448" s="11" t="s">
        <v>1256</v>
      </c>
      <c r="K4448" s="11" t="s">
        <v>83</v>
      </c>
      <c r="L4448" s="11" t="s">
        <v>48</v>
      </c>
      <c r="M4448" s="11" t="s">
        <v>28</v>
      </c>
      <c r="N4448" s="11" t="s">
        <v>197</v>
      </c>
      <c r="O4448" s="11" t="s">
        <v>2390</v>
      </c>
      <c r="P4448" s="11" t="s">
        <v>38</v>
      </c>
      <c r="Q4448" s="20">
        <v>40576.0</v>
      </c>
      <c r="R4448" s="17">
        <f t="shared" si="2"/>
        <v>51.38355666</v>
      </c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>
        <f t="shared" si="8"/>
        <v>4</v>
      </c>
      <c r="AF4448" s="19" t="b">
        <f t="shared" si="13"/>
        <v>0</v>
      </c>
      <c r="AG4448" s="9"/>
      <c r="AH4448" s="9"/>
      <c r="AI4448" s="9"/>
    </row>
    <row r="4449" ht="15.0" customHeight="1">
      <c r="A4449" s="11">
        <v>4448.0</v>
      </c>
      <c r="B4449" s="12">
        <f t="shared" si="702"/>
        <v>40574</v>
      </c>
      <c r="C4449" s="13">
        <v>2011.0</v>
      </c>
      <c r="D4449" s="11" t="s">
        <v>39</v>
      </c>
      <c r="E4449" s="11">
        <v>30.0</v>
      </c>
      <c r="F4449" s="21" t="s">
        <v>1782</v>
      </c>
      <c r="G4449" s="15">
        <v>0.036116244636816536</v>
      </c>
      <c r="H4449" s="11" t="s">
        <v>33</v>
      </c>
      <c r="I4449" s="16">
        <v>2.904</v>
      </c>
      <c r="J4449" s="11" t="s">
        <v>1256</v>
      </c>
      <c r="K4449" s="11" t="s">
        <v>83</v>
      </c>
      <c r="L4449" s="11" t="s">
        <v>48</v>
      </c>
      <c r="M4449" s="11" t="s">
        <v>49</v>
      </c>
      <c r="N4449" s="11" t="s">
        <v>73</v>
      </c>
      <c r="O4449" s="11" t="s">
        <v>1783</v>
      </c>
      <c r="P4449" s="11" t="s">
        <v>99</v>
      </c>
      <c r="Q4449" s="20">
        <v>40576.0</v>
      </c>
      <c r="R4449" s="17">
        <f t="shared" si="2"/>
        <v>24.1583005</v>
      </c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>
        <f t="shared" si="8"/>
        <v>4</v>
      </c>
      <c r="AF4449" s="19" t="b">
        <f t="shared" si="13"/>
        <v>0</v>
      </c>
      <c r="AG4449" s="9"/>
      <c r="AH4449" s="9"/>
      <c r="AI4449" s="9"/>
    </row>
    <row r="4450" ht="15.0" customHeight="1">
      <c r="A4450" s="11">
        <v>4449.0</v>
      </c>
      <c r="B4450" s="12">
        <f t="shared" si="702"/>
        <v>40574</v>
      </c>
      <c r="C4450" s="13">
        <v>2011.0</v>
      </c>
      <c r="D4450" s="11" t="s">
        <v>32</v>
      </c>
      <c r="E4450" s="11">
        <v>28.0</v>
      </c>
      <c r="F4450" s="21" t="s">
        <v>1191</v>
      </c>
      <c r="G4450" s="15">
        <v>0.06787689689405776</v>
      </c>
      <c r="H4450" s="11" t="s">
        <v>33</v>
      </c>
      <c r="I4450" s="16">
        <v>4.08</v>
      </c>
      <c r="J4450" s="11" t="s">
        <v>307</v>
      </c>
      <c r="K4450" s="11" t="s">
        <v>61</v>
      </c>
      <c r="L4450" s="11" t="s">
        <v>48</v>
      </c>
      <c r="M4450" s="11" t="s">
        <v>28</v>
      </c>
      <c r="N4450" s="11" t="s">
        <v>197</v>
      </c>
      <c r="O4450" s="11" t="s">
        <v>1193</v>
      </c>
      <c r="P4450" s="11" t="s">
        <v>75</v>
      </c>
      <c r="Q4450" s="20">
        <v>40576.0</v>
      </c>
      <c r="R4450" s="17">
        <f t="shared" si="2"/>
        <v>89.22282343</v>
      </c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>
        <f t="shared" si="8"/>
        <v>4</v>
      </c>
      <c r="AF4450" s="19">
        <f t="shared" si="13"/>
        <v>4</v>
      </c>
      <c r="AG4450" s="9"/>
      <c r="AH4450" s="9"/>
      <c r="AI4450" s="9"/>
    </row>
    <row r="4451" ht="15.0" customHeight="1">
      <c r="A4451" s="11">
        <v>4450.0</v>
      </c>
      <c r="B4451" s="12">
        <f t="shared" ref="B4451:B4455" si="703">DATE(2012,12,31)-699</f>
        <v>40575</v>
      </c>
      <c r="C4451" s="13">
        <v>2011.0</v>
      </c>
      <c r="D4451" s="11" t="s">
        <v>102</v>
      </c>
      <c r="E4451" s="11">
        <v>14.0</v>
      </c>
      <c r="F4451" s="21" t="s">
        <v>825</v>
      </c>
      <c r="G4451" s="15">
        <v>0.09470675209462794</v>
      </c>
      <c r="H4451" s="11" t="s">
        <v>24</v>
      </c>
      <c r="I4451" s="16">
        <v>8.136000000000001</v>
      </c>
      <c r="J4451" s="11" t="s">
        <v>849</v>
      </c>
      <c r="K4451" s="11" t="s">
        <v>65</v>
      </c>
      <c r="L4451" s="11" t="s">
        <v>36</v>
      </c>
      <c r="M4451" s="11" t="s">
        <v>66</v>
      </c>
      <c r="N4451" s="11" t="s">
        <v>69</v>
      </c>
      <c r="O4451" s="11" t="s">
        <v>827</v>
      </c>
      <c r="P4451" s="11" t="s">
        <v>75</v>
      </c>
      <c r="Q4451" s="20">
        <v>40576.0</v>
      </c>
      <c r="R4451" s="17">
        <f t="shared" si="2"/>
        <v>69.58446021</v>
      </c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>
        <f t="shared" si="8"/>
        <v>2</v>
      </c>
      <c r="AF4451" s="19">
        <f t="shared" si="13"/>
        <v>5</v>
      </c>
      <c r="AG4451" s="9"/>
      <c r="AH4451" s="9"/>
      <c r="AI4451" s="9"/>
    </row>
    <row r="4452" ht="15.0" customHeight="1">
      <c r="A4452" s="11">
        <v>4451.0</v>
      </c>
      <c r="B4452" s="12">
        <f t="shared" si="703"/>
        <v>40575</v>
      </c>
      <c r="C4452" s="13">
        <v>2011.0</v>
      </c>
      <c r="D4452" s="11" t="s">
        <v>32</v>
      </c>
      <c r="E4452" s="11">
        <v>2.0</v>
      </c>
      <c r="F4452" s="21" t="s">
        <v>178</v>
      </c>
      <c r="G4452" s="15">
        <v>0.032762700069589215</v>
      </c>
      <c r="H4452" s="11" t="s">
        <v>33</v>
      </c>
      <c r="I4452" s="16">
        <v>7.192</v>
      </c>
      <c r="J4452" s="11" t="s">
        <v>370</v>
      </c>
      <c r="K4452" s="11" t="s">
        <v>65</v>
      </c>
      <c r="L4452" s="11" t="s">
        <v>41</v>
      </c>
      <c r="M4452" s="11" t="s">
        <v>66</v>
      </c>
      <c r="N4452" s="11" t="s">
        <v>80</v>
      </c>
      <c r="O4452" s="11" t="s">
        <v>1329</v>
      </c>
      <c r="P4452" s="11" t="s">
        <v>38</v>
      </c>
      <c r="Q4452" s="20">
        <v>40576.0</v>
      </c>
      <c r="R4452" s="17">
        <f t="shared" si="2"/>
        <v>4.553753208</v>
      </c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>
        <f t="shared" si="8"/>
        <v>3</v>
      </c>
      <c r="AF4452" s="19">
        <f t="shared" si="13"/>
        <v>5</v>
      </c>
      <c r="AG4452" s="9"/>
      <c r="AH4452" s="9"/>
      <c r="AI4452" s="9"/>
    </row>
    <row r="4453" ht="15.0" customHeight="1">
      <c r="A4453" s="11">
        <v>4452.0</v>
      </c>
      <c r="B4453" s="12">
        <f t="shared" si="703"/>
        <v>40575</v>
      </c>
      <c r="C4453" s="13">
        <v>2011.0</v>
      </c>
      <c r="D4453" s="11" t="s">
        <v>102</v>
      </c>
      <c r="E4453" s="11">
        <v>44.0</v>
      </c>
      <c r="F4453" s="21" t="s">
        <v>498</v>
      </c>
      <c r="G4453" s="15">
        <v>0.057691707012337945</v>
      </c>
      <c r="H4453" s="11" t="s">
        <v>33</v>
      </c>
      <c r="I4453" s="16">
        <v>3.9200000000000004</v>
      </c>
      <c r="J4453" s="11" t="s">
        <v>320</v>
      </c>
      <c r="K4453" s="11" t="s">
        <v>65</v>
      </c>
      <c r="L4453" s="11" t="s">
        <v>27</v>
      </c>
      <c r="M4453" s="11" t="s">
        <v>66</v>
      </c>
      <c r="N4453" s="11" t="s">
        <v>80</v>
      </c>
      <c r="O4453" s="11" t="s">
        <v>500</v>
      </c>
      <c r="P4453" s="11" t="s">
        <v>38</v>
      </c>
      <c r="Q4453" s="20">
        <v>40577.0</v>
      </c>
      <c r="R4453" s="17">
        <f t="shared" si="2"/>
        <v>243.6620784</v>
      </c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>
        <f t="shared" si="8"/>
        <v>1</v>
      </c>
      <c r="AF4453" s="19">
        <f t="shared" si="13"/>
        <v>5</v>
      </c>
      <c r="AG4453" s="9"/>
      <c r="AH4453" s="9"/>
      <c r="AI4453" s="9"/>
    </row>
    <row r="4454" ht="15.0" customHeight="1">
      <c r="A4454" s="11">
        <v>4453.0</v>
      </c>
      <c r="B4454" s="12">
        <f t="shared" si="703"/>
        <v>40575</v>
      </c>
      <c r="C4454" s="13">
        <v>2011.0</v>
      </c>
      <c r="D4454" s="11" t="s">
        <v>39</v>
      </c>
      <c r="E4454" s="11">
        <v>4.0</v>
      </c>
      <c r="F4454" s="21" t="s">
        <v>523</v>
      </c>
      <c r="G4454" s="15">
        <v>0.06627737226277369</v>
      </c>
      <c r="H4454" s="11" t="s">
        <v>33</v>
      </c>
      <c r="I4454" s="16">
        <v>0.792</v>
      </c>
      <c r="J4454" s="11" t="s">
        <v>1470</v>
      </c>
      <c r="K4454" s="11" t="s">
        <v>65</v>
      </c>
      <c r="L4454" s="11" t="s">
        <v>27</v>
      </c>
      <c r="M4454" s="11" t="s">
        <v>28</v>
      </c>
      <c r="N4454" s="11" t="s">
        <v>188</v>
      </c>
      <c r="O4454" s="11" t="s">
        <v>1495</v>
      </c>
      <c r="P4454" s="11" t="s">
        <v>38</v>
      </c>
      <c r="Q4454" s="20">
        <v>40577.0</v>
      </c>
      <c r="R4454" s="17">
        <f t="shared" si="2"/>
        <v>0.847820146</v>
      </c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>
        <f t="shared" si="8"/>
        <v>1</v>
      </c>
      <c r="AF4454" s="19">
        <f t="shared" si="13"/>
        <v>5</v>
      </c>
      <c r="AG4454" s="9"/>
      <c r="AH4454" s="9"/>
      <c r="AI4454" s="9"/>
    </row>
    <row r="4455" ht="15.0" customHeight="1">
      <c r="A4455" s="11">
        <v>4454.0</v>
      </c>
      <c r="B4455" s="12">
        <f t="shared" si="703"/>
        <v>40575</v>
      </c>
      <c r="C4455" s="13">
        <v>2011.0</v>
      </c>
      <c r="D4455" s="11" t="s">
        <v>39</v>
      </c>
      <c r="E4455" s="11">
        <v>21.0</v>
      </c>
      <c r="F4455" s="21" t="s">
        <v>469</v>
      </c>
      <c r="G4455" s="15">
        <v>0.08154787497932879</v>
      </c>
      <c r="H4455" s="11" t="s">
        <v>45</v>
      </c>
      <c r="I4455" s="16">
        <v>11.488</v>
      </c>
      <c r="J4455" s="11" t="s">
        <v>2435</v>
      </c>
      <c r="K4455" s="11" t="s">
        <v>61</v>
      </c>
      <c r="L4455" s="11" t="s">
        <v>27</v>
      </c>
      <c r="M4455" s="11" t="s">
        <v>49</v>
      </c>
      <c r="N4455" s="11" t="s">
        <v>50</v>
      </c>
      <c r="O4455" s="11" t="s">
        <v>470</v>
      </c>
      <c r="P4455" s="11" t="s">
        <v>52</v>
      </c>
      <c r="Q4455" s="20">
        <v>40577.0</v>
      </c>
      <c r="R4455" s="17">
        <f t="shared" si="2"/>
        <v>45.29071119</v>
      </c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>
        <f t="shared" si="8"/>
        <v>1</v>
      </c>
      <c r="AF4455" s="19">
        <f t="shared" si="13"/>
        <v>4</v>
      </c>
      <c r="AG4455" s="9"/>
      <c r="AH4455" s="9"/>
      <c r="AI4455" s="9"/>
    </row>
    <row r="4456" ht="15.0" customHeight="1">
      <c r="A4456" s="11">
        <v>4455.0</v>
      </c>
      <c r="B4456" s="12">
        <f t="shared" ref="B4456:B4463" si="704">DATE(2012,12,31)-698</f>
        <v>40576</v>
      </c>
      <c r="C4456" s="13">
        <v>2011.0</v>
      </c>
      <c r="D4456" s="11" t="s">
        <v>39</v>
      </c>
      <c r="E4456" s="11">
        <v>4.0</v>
      </c>
      <c r="F4456" s="21" t="s">
        <v>1268</v>
      </c>
      <c r="G4456" s="15">
        <v>0.11095160413268078</v>
      </c>
      <c r="H4456" s="11" t="s">
        <v>33</v>
      </c>
      <c r="I4456" s="16">
        <v>46.296</v>
      </c>
      <c r="J4456" s="11" t="s">
        <v>961</v>
      </c>
      <c r="K4456" s="11" t="s">
        <v>83</v>
      </c>
      <c r="L4456" s="11" t="s">
        <v>36</v>
      </c>
      <c r="M4456" s="11" t="s">
        <v>49</v>
      </c>
      <c r="N4456" s="11" t="s">
        <v>73</v>
      </c>
      <c r="O4456" s="11" t="s">
        <v>1269</v>
      </c>
      <c r="P4456" s="11" t="s">
        <v>38</v>
      </c>
      <c r="Q4456" s="20">
        <v>40578.0</v>
      </c>
      <c r="R4456" s="17">
        <f t="shared" si="2"/>
        <v>18.14014347</v>
      </c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>
        <f t="shared" si="8"/>
        <v>2</v>
      </c>
      <c r="AF4456" s="19" t="b">
        <f t="shared" si="13"/>
        <v>0</v>
      </c>
      <c r="AG4456" s="9"/>
      <c r="AH4456" s="9"/>
      <c r="AI4456" s="9"/>
    </row>
    <row r="4457" ht="15.0" customHeight="1">
      <c r="A4457" s="11">
        <v>4456.0</v>
      </c>
      <c r="B4457" s="12">
        <f t="shared" si="704"/>
        <v>40576</v>
      </c>
      <c r="C4457" s="13">
        <v>2011.0</v>
      </c>
      <c r="D4457" s="11" t="s">
        <v>23</v>
      </c>
      <c r="E4457" s="11">
        <v>24.0</v>
      </c>
      <c r="F4457" s="21" t="s">
        <v>103</v>
      </c>
      <c r="G4457" s="15">
        <v>0.08316370324953995</v>
      </c>
      <c r="H4457" s="11" t="s">
        <v>33</v>
      </c>
      <c r="I4457" s="16">
        <v>7.936</v>
      </c>
      <c r="J4457" s="11" t="s">
        <v>2229</v>
      </c>
      <c r="K4457" s="11" t="s">
        <v>61</v>
      </c>
      <c r="L4457" s="11" t="s">
        <v>27</v>
      </c>
      <c r="M4457" s="11" t="s">
        <v>28</v>
      </c>
      <c r="N4457" s="11" t="s">
        <v>42</v>
      </c>
      <c r="O4457" s="11" t="s">
        <v>1334</v>
      </c>
      <c r="P4457" s="11" t="s">
        <v>38</v>
      </c>
      <c r="Q4457" s="20">
        <v>40578.0</v>
      </c>
      <c r="R4457" s="17">
        <f t="shared" si="2"/>
        <v>12.43596753</v>
      </c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>
        <f t="shared" si="8"/>
        <v>1</v>
      </c>
      <c r="AF4457" s="19">
        <f t="shared" si="13"/>
        <v>4</v>
      </c>
      <c r="AG4457" s="9"/>
      <c r="AH4457" s="9"/>
      <c r="AI4457" s="9"/>
    </row>
    <row r="4458" ht="15.0" customHeight="1">
      <c r="A4458" s="11">
        <v>4457.0</v>
      </c>
      <c r="B4458" s="12">
        <f t="shared" si="704"/>
        <v>40576</v>
      </c>
      <c r="C4458" s="13">
        <v>2011.0</v>
      </c>
      <c r="D4458" s="11" t="s">
        <v>23</v>
      </c>
      <c r="E4458" s="11">
        <v>3.0</v>
      </c>
      <c r="F4458" s="21" t="s">
        <v>473</v>
      </c>
      <c r="G4458" s="15">
        <v>0.02561349693251547</v>
      </c>
      <c r="H4458" s="11" t="s">
        <v>33</v>
      </c>
      <c r="I4458" s="16">
        <v>7.359999999999999</v>
      </c>
      <c r="J4458" s="11" t="s">
        <v>2229</v>
      </c>
      <c r="K4458" s="11" t="s">
        <v>61</v>
      </c>
      <c r="L4458" s="11" t="s">
        <v>27</v>
      </c>
      <c r="M4458" s="11" t="s">
        <v>49</v>
      </c>
      <c r="N4458" s="11" t="s">
        <v>73</v>
      </c>
      <c r="O4458" s="11" t="s">
        <v>1836</v>
      </c>
      <c r="P4458" s="11" t="s">
        <v>58</v>
      </c>
      <c r="Q4458" s="20">
        <v>40578.0</v>
      </c>
      <c r="R4458" s="17">
        <f t="shared" si="2"/>
        <v>3.25445092</v>
      </c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>
        <f t="shared" si="8"/>
        <v>1</v>
      </c>
      <c r="AF4458" s="19">
        <f t="shared" si="13"/>
        <v>4</v>
      </c>
      <c r="AG4458" s="9"/>
      <c r="AH4458" s="9"/>
      <c r="AI4458" s="9"/>
    </row>
    <row r="4459" ht="15.0" customHeight="1">
      <c r="A4459" s="11">
        <v>4458.0</v>
      </c>
      <c r="B4459" s="12">
        <f t="shared" si="704"/>
        <v>40576</v>
      </c>
      <c r="C4459" s="13">
        <v>2011.0</v>
      </c>
      <c r="D4459" s="11" t="s">
        <v>23</v>
      </c>
      <c r="E4459" s="11">
        <v>38.0</v>
      </c>
      <c r="F4459" s="21" t="s">
        <v>105</v>
      </c>
      <c r="G4459" s="15">
        <v>0.01990878718778168</v>
      </c>
      <c r="H4459" s="11" t="s">
        <v>33</v>
      </c>
      <c r="I4459" s="16">
        <v>9.232</v>
      </c>
      <c r="J4459" s="11" t="s">
        <v>2229</v>
      </c>
      <c r="K4459" s="11" t="s">
        <v>61</v>
      </c>
      <c r="L4459" s="11" t="s">
        <v>27</v>
      </c>
      <c r="M4459" s="11" t="s">
        <v>49</v>
      </c>
      <c r="N4459" s="11" t="s">
        <v>73</v>
      </c>
      <c r="O4459" s="11" t="s">
        <v>107</v>
      </c>
      <c r="P4459" s="11" t="s">
        <v>31</v>
      </c>
      <c r="Q4459" s="20">
        <v>40578.0</v>
      </c>
      <c r="R4459" s="17">
        <f t="shared" si="2"/>
        <v>147.1783372</v>
      </c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>
        <f t="shared" si="8"/>
        <v>1</v>
      </c>
      <c r="AF4459" s="19">
        <f t="shared" si="13"/>
        <v>4</v>
      </c>
      <c r="AG4459" s="9"/>
      <c r="AH4459" s="9"/>
      <c r="AI4459" s="9"/>
    </row>
    <row r="4460" ht="15.0" customHeight="1">
      <c r="A4460" s="11">
        <v>4459.0</v>
      </c>
      <c r="B4460" s="12">
        <f t="shared" si="704"/>
        <v>40576</v>
      </c>
      <c r="C4460" s="13">
        <v>2011.0</v>
      </c>
      <c r="D4460" s="11" t="s">
        <v>23</v>
      </c>
      <c r="E4460" s="11">
        <v>23.0</v>
      </c>
      <c r="F4460" s="21" t="s">
        <v>506</v>
      </c>
      <c r="G4460" s="15">
        <v>0.08593080724876424</v>
      </c>
      <c r="H4460" s="11" t="s">
        <v>33</v>
      </c>
      <c r="I4460" s="16">
        <v>7.752</v>
      </c>
      <c r="J4460" s="11" t="s">
        <v>2229</v>
      </c>
      <c r="K4460" s="11" t="s">
        <v>61</v>
      </c>
      <c r="L4460" s="11" t="s">
        <v>27</v>
      </c>
      <c r="M4460" s="11" t="s">
        <v>28</v>
      </c>
      <c r="N4460" s="11" t="s">
        <v>29</v>
      </c>
      <c r="O4460" s="11" t="s">
        <v>1800</v>
      </c>
      <c r="P4460" s="11" t="s">
        <v>38</v>
      </c>
      <c r="Q4460" s="20">
        <v>40578.0</v>
      </c>
      <c r="R4460" s="17">
        <f t="shared" si="2"/>
        <v>14.30335473</v>
      </c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>
        <f t="shared" si="8"/>
        <v>1</v>
      </c>
      <c r="AF4460" s="19">
        <f t="shared" si="13"/>
        <v>4</v>
      </c>
      <c r="AG4460" s="9"/>
      <c r="AH4460" s="9"/>
      <c r="AI4460" s="9"/>
    </row>
    <row r="4461" ht="15.0" customHeight="1">
      <c r="A4461" s="11">
        <v>4460.0</v>
      </c>
      <c r="B4461" s="12">
        <f t="shared" si="704"/>
        <v>40576</v>
      </c>
      <c r="C4461" s="13">
        <v>2011.0</v>
      </c>
      <c r="D4461" s="11" t="s">
        <v>39</v>
      </c>
      <c r="E4461" s="11">
        <v>27.0</v>
      </c>
      <c r="F4461" s="21" t="s">
        <v>122</v>
      </c>
      <c r="G4461" s="15">
        <v>0.09578947368421062</v>
      </c>
      <c r="H4461" s="11" t="s">
        <v>33</v>
      </c>
      <c r="I4461" s="16">
        <v>2.64</v>
      </c>
      <c r="J4461" s="11" t="s">
        <v>205</v>
      </c>
      <c r="K4461" s="11" t="s">
        <v>83</v>
      </c>
      <c r="L4461" s="11" t="s">
        <v>36</v>
      </c>
      <c r="M4461" s="11" t="s">
        <v>66</v>
      </c>
      <c r="N4461" s="11" t="s">
        <v>80</v>
      </c>
      <c r="O4461" s="11" t="s">
        <v>848</v>
      </c>
      <c r="P4461" s="11" t="s">
        <v>99</v>
      </c>
      <c r="Q4461" s="20">
        <v>40578.0</v>
      </c>
      <c r="R4461" s="17">
        <f t="shared" si="2"/>
        <v>54.30688421</v>
      </c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>
        <f t="shared" si="8"/>
        <v>2</v>
      </c>
      <c r="AF4461" s="19" t="b">
        <f t="shared" si="13"/>
        <v>0</v>
      </c>
      <c r="AG4461" s="9"/>
      <c r="AH4461" s="9"/>
      <c r="AI4461" s="9"/>
    </row>
    <row r="4462" ht="15.0" customHeight="1">
      <c r="A4462" s="11">
        <v>4461.0</v>
      </c>
      <c r="B4462" s="12">
        <f t="shared" si="704"/>
        <v>40576</v>
      </c>
      <c r="C4462" s="13">
        <v>2011.0</v>
      </c>
      <c r="D4462" s="11" t="s">
        <v>39</v>
      </c>
      <c r="E4462" s="11">
        <v>14.0</v>
      </c>
      <c r="F4462" s="21" t="s">
        <v>469</v>
      </c>
      <c r="G4462" s="15">
        <v>0.08823061630218693</v>
      </c>
      <c r="H4462" s="11" t="s">
        <v>33</v>
      </c>
      <c r="I4462" s="16">
        <v>4.296</v>
      </c>
      <c r="J4462" s="11" t="s">
        <v>205</v>
      </c>
      <c r="K4462" s="11" t="s">
        <v>83</v>
      </c>
      <c r="L4462" s="11" t="s">
        <v>36</v>
      </c>
      <c r="M4462" s="11" t="s">
        <v>28</v>
      </c>
      <c r="N4462" s="11" t="s">
        <v>62</v>
      </c>
      <c r="O4462" s="11" t="s">
        <v>1728</v>
      </c>
      <c r="P4462" s="11" t="s">
        <v>38</v>
      </c>
      <c r="Q4462" s="20">
        <v>40579.0</v>
      </c>
      <c r="R4462" s="17">
        <f t="shared" si="2"/>
        <v>32.3714602</v>
      </c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>
        <f t="shared" si="8"/>
        <v>2</v>
      </c>
      <c r="AF4462" s="19" t="b">
        <f t="shared" si="13"/>
        <v>0</v>
      </c>
      <c r="AG4462" s="9"/>
      <c r="AH4462" s="9"/>
      <c r="AI4462" s="9"/>
    </row>
    <row r="4463" ht="15.0" customHeight="1">
      <c r="A4463" s="11">
        <v>4462.0</v>
      </c>
      <c r="B4463" s="12">
        <f t="shared" si="704"/>
        <v>40576</v>
      </c>
      <c r="C4463" s="13">
        <v>2011.0</v>
      </c>
      <c r="D4463" s="11" t="s">
        <v>44</v>
      </c>
      <c r="E4463" s="11">
        <v>16.0</v>
      </c>
      <c r="F4463" s="21" t="s">
        <v>1521</v>
      </c>
      <c r="G4463" s="15">
        <v>0.02545925386420655</v>
      </c>
      <c r="H4463" s="11" t="s">
        <v>45</v>
      </c>
      <c r="I4463" s="16">
        <v>71.44</v>
      </c>
      <c r="J4463" s="11" t="s">
        <v>2080</v>
      </c>
      <c r="K4463" s="11" t="s">
        <v>65</v>
      </c>
      <c r="L4463" s="11" t="s">
        <v>48</v>
      </c>
      <c r="M4463" s="11" t="s">
        <v>49</v>
      </c>
      <c r="N4463" s="11" t="s">
        <v>85</v>
      </c>
      <c r="O4463" s="11" t="s">
        <v>1522</v>
      </c>
      <c r="P4463" s="11" t="s">
        <v>87</v>
      </c>
      <c r="Q4463" s="20">
        <v>40579.0</v>
      </c>
      <c r="R4463" s="17">
        <f t="shared" si="2"/>
        <v>30.65905187</v>
      </c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>
        <f t="shared" si="8"/>
        <v>4</v>
      </c>
      <c r="AF4463" s="19">
        <f t="shared" si="13"/>
        <v>5</v>
      </c>
      <c r="AG4463" s="9"/>
      <c r="AH4463" s="9"/>
      <c r="AI4463" s="9"/>
    </row>
    <row r="4464" ht="15.0" customHeight="1">
      <c r="A4464" s="11">
        <v>4463.0</v>
      </c>
      <c r="B4464" s="12">
        <f t="shared" ref="B4464:B4469" si="705">DATE(2012,12,31)-697</f>
        <v>40577</v>
      </c>
      <c r="C4464" s="13">
        <v>2011.0</v>
      </c>
      <c r="D4464" s="11" t="s">
        <v>44</v>
      </c>
      <c r="E4464" s="11">
        <v>28.0</v>
      </c>
      <c r="F4464" s="21" t="s">
        <v>694</v>
      </c>
      <c r="G4464" s="15">
        <v>0.040729356603282016</v>
      </c>
      <c r="H4464" s="11" t="s">
        <v>33</v>
      </c>
      <c r="I4464" s="16">
        <v>1.592</v>
      </c>
      <c r="J4464" s="11" t="s">
        <v>2131</v>
      </c>
      <c r="K4464" s="11" t="s">
        <v>26</v>
      </c>
      <c r="L4464" s="11" t="s">
        <v>48</v>
      </c>
      <c r="M4464" s="11" t="s">
        <v>66</v>
      </c>
      <c r="N4464" s="11" t="s">
        <v>67</v>
      </c>
      <c r="O4464" s="11" t="s">
        <v>695</v>
      </c>
      <c r="P4464" s="11" t="s">
        <v>99</v>
      </c>
      <c r="Q4464" s="20">
        <v>40579.0</v>
      </c>
      <c r="R4464" s="17">
        <f t="shared" si="2"/>
        <v>44.99746734</v>
      </c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>
        <f t="shared" si="8"/>
        <v>4</v>
      </c>
      <c r="AF4464" s="19">
        <f t="shared" si="13"/>
        <v>1</v>
      </c>
      <c r="AG4464" s="9"/>
      <c r="AH4464" s="9"/>
      <c r="AI4464" s="9"/>
    </row>
    <row r="4465" ht="15.0" customHeight="1">
      <c r="A4465" s="11">
        <v>4464.0</v>
      </c>
      <c r="B4465" s="12">
        <f t="shared" si="705"/>
        <v>40577</v>
      </c>
      <c r="C4465" s="13">
        <v>2011.0</v>
      </c>
      <c r="D4465" s="11" t="s">
        <v>102</v>
      </c>
      <c r="E4465" s="11">
        <v>50.0</v>
      </c>
      <c r="F4465" s="21" t="s">
        <v>314</v>
      </c>
      <c r="G4465" s="15">
        <v>0.08260616637579998</v>
      </c>
      <c r="H4465" s="11" t="s">
        <v>33</v>
      </c>
      <c r="I4465" s="16">
        <v>0.4</v>
      </c>
      <c r="J4465" s="11" t="s">
        <v>1831</v>
      </c>
      <c r="K4465" s="11" t="s">
        <v>61</v>
      </c>
      <c r="L4465" s="11" t="s">
        <v>27</v>
      </c>
      <c r="M4465" s="11" t="s">
        <v>28</v>
      </c>
      <c r="N4465" s="11" t="s">
        <v>188</v>
      </c>
      <c r="O4465" s="11" t="s">
        <v>516</v>
      </c>
      <c r="P4465" s="11" t="s">
        <v>38</v>
      </c>
      <c r="Q4465" s="20">
        <v>40579.0</v>
      </c>
      <c r="R4465" s="17">
        <f t="shared" si="2"/>
        <v>26.05398487</v>
      </c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>
        <f t="shared" si="8"/>
        <v>1</v>
      </c>
      <c r="AF4465" s="19">
        <f t="shared" si="13"/>
        <v>4</v>
      </c>
      <c r="AG4465" s="9"/>
      <c r="AH4465" s="9"/>
      <c r="AI4465" s="9"/>
    </row>
    <row r="4466" ht="15.0" customHeight="1">
      <c r="A4466" s="11">
        <v>4465.0</v>
      </c>
      <c r="B4466" s="12">
        <f t="shared" si="705"/>
        <v>40577</v>
      </c>
      <c r="C4466" s="13">
        <v>2011.0</v>
      </c>
      <c r="D4466" s="11" t="s">
        <v>102</v>
      </c>
      <c r="E4466" s="11">
        <v>46.0</v>
      </c>
      <c r="F4466" s="21" t="s">
        <v>322</v>
      </c>
      <c r="G4466" s="15">
        <v>0.06566604127579738</v>
      </c>
      <c r="H4466" s="11" t="s">
        <v>24</v>
      </c>
      <c r="I4466" s="16">
        <v>2.8000000000000003</v>
      </c>
      <c r="J4466" s="11" t="s">
        <v>1594</v>
      </c>
      <c r="K4466" s="11" t="s">
        <v>61</v>
      </c>
      <c r="L4466" s="11" t="s">
        <v>48</v>
      </c>
      <c r="M4466" s="11" t="s">
        <v>28</v>
      </c>
      <c r="N4466" s="11" t="s">
        <v>197</v>
      </c>
      <c r="O4466" s="11" t="s">
        <v>2172</v>
      </c>
      <c r="P4466" s="11" t="s">
        <v>38</v>
      </c>
      <c r="Q4466" s="20">
        <v>40579.0</v>
      </c>
      <c r="R4466" s="17">
        <f t="shared" si="2"/>
        <v>26.16135084</v>
      </c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>
        <f t="shared" si="8"/>
        <v>4</v>
      </c>
      <c r="AF4466" s="19">
        <f t="shared" si="13"/>
        <v>4</v>
      </c>
      <c r="AG4466" s="9"/>
      <c r="AH4466" s="9"/>
      <c r="AI4466" s="9"/>
    </row>
    <row r="4467" ht="15.0" customHeight="1">
      <c r="A4467" s="11">
        <v>4466.0</v>
      </c>
      <c r="B4467" s="12">
        <f t="shared" si="705"/>
        <v>40577</v>
      </c>
      <c r="C4467" s="13">
        <v>2011.0</v>
      </c>
      <c r="D4467" s="11" t="s">
        <v>23</v>
      </c>
      <c r="E4467" s="11">
        <v>35.0</v>
      </c>
      <c r="F4467" s="21" t="s">
        <v>731</v>
      </c>
      <c r="G4467" s="15">
        <v>0.048981941146845204</v>
      </c>
      <c r="H4467" s="11" t="s">
        <v>24</v>
      </c>
      <c r="I4467" s="16">
        <v>2.32</v>
      </c>
      <c r="J4467" s="11" t="s">
        <v>1520</v>
      </c>
      <c r="K4467" s="11" t="s">
        <v>35</v>
      </c>
      <c r="L4467" s="11" t="s">
        <v>41</v>
      </c>
      <c r="M4467" s="11" t="s">
        <v>28</v>
      </c>
      <c r="N4467" s="11" t="s">
        <v>62</v>
      </c>
      <c r="O4467" s="11" t="s">
        <v>2511</v>
      </c>
      <c r="P4467" s="11" t="s">
        <v>99</v>
      </c>
      <c r="Q4467" s="20">
        <v>40579.0</v>
      </c>
      <c r="R4467" s="17">
        <f t="shared" si="2"/>
        <v>64.74530945</v>
      </c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>
        <f t="shared" si="8"/>
        <v>3</v>
      </c>
      <c r="AF4467" s="19">
        <f t="shared" si="13"/>
        <v>2</v>
      </c>
      <c r="AG4467" s="9"/>
      <c r="AH4467" s="9"/>
      <c r="AI4467" s="9"/>
    </row>
    <row r="4468" ht="15.0" customHeight="1">
      <c r="A4468" s="11">
        <v>4467.0</v>
      </c>
      <c r="B4468" s="12">
        <f t="shared" si="705"/>
        <v>40577</v>
      </c>
      <c r="C4468" s="13">
        <v>2011.0</v>
      </c>
      <c r="D4468" s="11" t="s">
        <v>23</v>
      </c>
      <c r="E4468" s="11">
        <v>39.0</v>
      </c>
      <c r="F4468" s="21" t="s">
        <v>1774</v>
      </c>
      <c r="G4468" s="15">
        <v>0.08383180090719614</v>
      </c>
      <c r="H4468" s="11" t="s">
        <v>24</v>
      </c>
      <c r="I4468" s="16">
        <v>15.991999999999999</v>
      </c>
      <c r="J4468" s="11" t="s">
        <v>1520</v>
      </c>
      <c r="K4468" s="11" t="s">
        <v>35</v>
      </c>
      <c r="L4468" s="11" t="s">
        <v>41</v>
      </c>
      <c r="M4468" s="11" t="s">
        <v>28</v>
      </c>
      <c r="N4468" s="11" t="s">
        <v>29</v>
      </c>
      <c r="O4468" s="11" t="s">
        <v>1775</v>
      </c>
      <c r="P4468" s="11" t="s">
        <v>38</v>
      </c>
      <c r="Q4468" s="20">
        <v>40579.0</v>
      </c>
      <c r="R4468" s="17">
        <f t="shared" si="2"/>
        <v>313.2452366</v>
      </c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>
        <f t="shared" si="8"/>
        <v>3</v>
      </c>
      <c r="AF4468" s="19">
        <f t="shared" si="13"/>
        <v>2</v>
      </c>
      <c r="AG4468" s="9"/>
      <c r="AH4468" s="9"/>
      <c r="AI4468" s="9"/>
    </row>
    <row r="4469" ht="15.0" customHeight="1">
      <c r="A4469" s="11">
        <v>4468.0</v>
      </c>
      <c r="B4469" s="12">
        <f t="shared" si="705"/>
        <v>40577</v>
      </c>
      <c r="C4469" s="13">
        <v>2011.0</v>
      </c>
      <c r="D4469" s="11" t="s">
        <v>23</v>
      </c>
      <c r="E4469" s="11">
        <v>4.0</v>
      </c>
      <c r="F4469" s="21" t="s">
        <v>226</v>
      </c>
      <c r="G4469" s="15">
        <v>0.051512915129151425</v>
      </c>
      <c r="H4469" s="11" t="s">
        <v>33</v>
      </c>
      <c r="I4469" s="16">
        <v>6.920000000000001</v>
      </c>
      <c r="J4469" s="11" t="s">
        <v>1520</v>
      </c>
      <c r="K4469" s="11" t="s">
        <v>35</v>
      </c>
      <c r="L4469" s="11" t="s">
        <v>41</v>
      </c>
      <c r="M4469" s="11" t="s">
        <v>66</v>
      </c>
      <c r="N4469" s="11" t="s">
        <v>67</v>
      </c>
      <c r="O4469" s="11" t="s">
        <v>228</v>
      </c>
      <c r="P4469" s="11" t="s">
        <v>38</v>
      </c>
      <c r="Q4469" s="20">
        <v>40579.0</v>
      </c>
      <c r="R4469" s="17">
        <f t="shared" si="2"/>
        <v>6.620439852</v>
      </c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>
        <f t="shared" si="8"/>
        <v>3</v>
      </c>
      <c r="AF4469" s="19">
        <f t="shared" si="13"/>
        <v>2</v>
      </c>
      <c r="AG4469" s="9"/>
      <c r="AH4469" s="9"/>
      <c r="AI4469" s="9"/>
    </row>
    <row r="4470" ht="15.0" customHeight="1">
      <c r="A4470" s="11">
        <v>4469.0</v>
      </c>
      <c r="B4470" s="12">
        <f t="shared" ref="B4470:B4473" si="706">DATE(2012,12,31)-696</f>
        <v>40578</v>
      </c>
      <c r="C4470" s="13">
        <v>2011.0</v>
      </c>
      <c r="D4470" s="11" t="s">
        <v>23</v>
      </c>
      <c r="E4470" s="11">
        <v>9.0</v>
      </c>
      <c r="F4470" s="21" t="s">
        <v>740</v>
      </c>
      <c r="G4470" s="15">
        <v>0.09538693500278608</v>
      </c>
      <c r="H4470" s="11" t="s">
        <v>45</v>
      </c>
      <c r="I4470" s="16">
        <v>51.784000000000006</v>
      </c>
      <c r="J4470" s="11" t="s">
        <v>953</v>
      </c>
      <c r="K4470" s="11" t="s">
        <v>65</v>
      </c>
      <c r="L4470" s="11" t="s">
        <v>48</v>
      </c>
      <c r="M4470" s="11" t="s">
        <v>49</v>
      </c>
      <c r="N4470" s="11" t="s">
        <v>50</v>
      </c>
      <c r="O4470" s="11" t="s">
        <v>742</v>
      </c>
      <c r="P4470" s="11" t="s">
        <v>52</v>
      </c>
      <c r="Q4470" s="20">
        <v>40579.0</v>
      </c>
      <c r="R4470" s="17">
        <f t="shared" si="2"/>
        <v>263.2568757</v>
      </c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>
        <f t="shared" si="8"/>
        <v>4</v>
      </c>
      <c r="AF4470" s="19">
        <f t="shared" si="13"/>
        <v>5</v>
      </c>
      <c r="AG4470" s="9"/>
      <c r="AH4470" s="9"/>
      <c r="AI4470" s="9"/>
    </row>
    <row r="4471" ht="15.0" customHeight="1">
      <c r="A4471" s="11">
        <v>4470.0</v>
      </c>
      <c r="B4471" s="12">
        <f t="shared" si="706"/>
        <v>40578</v>
      </c>
      <c r="C4471" s="13">
        <v>2011.0</v>
      </c>
      <c r="D4471" s="11" t="s">
        <v>32</v>
      </c>
      <c r="E4471" s="11">
        <v>49.0</v>
      </c>
      <c r="F4471" s="21" t="s">
        <v>1158</v>
      </c>
      <c r="G4471" s="15">
        <v>0.08592975206611568</v>
      </c>
      <c r="H4471" s="11" t="s">
        <v>33</v>
      </c>
      <c r="I4471" s="16">
        <v>5.464</v>
      </c>
      <c r="J4471" s="11" t="s">
        <v>353</v>
      </c>
      <c r="K4471" s="11" t="s">
        <v>83</v>
      </c>
      <c r="L4471" s="11" t="s">
        <v>41</v>
      </c>
      <c r="M4471" s="11" t="s">
        <v>28</v>
      </c>
      <c r="N4471" s="11" t="s">
        <v>42</v>
      </c>
      <c r="O4471" s="11" t="s">
        <v>1577</v>
      </c>
      <c r="P4471" s="11" t="s">
        <v>38</v>
      </c>
      <c r="Q4471" s="20">
        <v>40580.0</v>
      </c>
      <c r="R4471" s="17">
        <f t="shared" si="2"/>
        <v>15.20647264</v>
      </c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>
        <f t="shared" si="8"/>
        <v>3</v>
      </c>
      <c r="AF4471" s="19" t="b">
        <f t="shared" si="13"/>
        <v>0</v>
      </c>
      <c r="AG4471" s="9"/>
      <c r="AH4471" s="9"/>
      <c r="AI4471" s="9"/>
    </row>
    <row r="4472" ht="15.0" customHeight="1">
      <c r="A4472" s="11">
        <v>4471.0</v>
      </c>
      <c r="B4472" s="12">
        <f t="shared" si="706"/>
        <v>40578</v>
      </c>
      <c r="C4472" s="13">
        <v>2011.0</v>
      </c>
      <c r="D4472" s="11" t="s">
        <v>102</v>
      </c>
      <c r="E4472" s="11">
        <v>32.0</v>
      </c>
      <c r="F4472" s="21" t="s">
        <v>144</v>
      </c>
      <c r="G4472" s="15">
        <v>0.11687499999999999</v>
      </c>
      <c r="H4472" s="11" t="s">
        <v>24</v>
      </c>
      <c r="I4472" s="16">
        <v>0.6240000000000001</v>
      </c>
      <c r="J4472" s="11" t="s">
        <v>274</v>
      </c>
      <c r="K4472" s="11" t="s">
        <v>35</v>
      </c>
      <c r="L4472" s="11" t="s">
        <v>48</v>
      </c>
      <c r="M4472" s="11" t="s">
        <v>28</v>
      </c>
      <c r="N4472" s="11" t="s">
        <v>216</v>
      </c>
      <c r="O4472" s="11" t="s">
        <v>341</v>
      </c>
      <c r="P4472" s="11" t="s">
        <v>58</v>
      </c>
      <c r="Q4472" s="20">
        <v>40580.0</v>
      </c>
      <c r="R4472" s="17">
        <f t="shared" si="2"/>
        <v>7.92693</v>
      </c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>
        <f t="shared" si="8"/>
        <v>4</v>
      </c>
      <c r="AF4472" s="19">
        <f t="shared" si="13"/>
        <v>2</v>
      </c>
      <c r="AG4472" s="9"/>
      <c r="AH4472" s="9"/>
      <c r="AI4472" s="9"/>
    </row>
    <row r="4473" ht="15.0" customHeight="1">
      <c r="A4473" s="11">
        <v>4472.0</v>
      </c>
      <c r="B4473" s="12">
        <f t="shared" si="706"/>
        <v>40578</v>
      </c>
      <c r="C4473" s="13">
        <v>2011.0</v>
      </c>
      <c r="D4473" s="11" t="s">
        <v>102</v>
      </c>
      <c r="E4473" s="11">
        <v>46.0</v>
      </c>
      <c r="F4473" s="21" t="s">
        <v>128</v>
      </c>
      <c r="G4473" s="15">
        <v>0.07500239287879268</v>
      </c>
      <c r="H4473" s="11" t="s">
        <v>33</v>
      </c>
      <c r="I4473" s="16">
        <v>7.040000000000001</v>
      </c>
      <c r="J4473" s="11" t="s">
        <v>274</v>
      </c>
      <c r="K4473" s="11" t="s">
        <v>35</v>
      </c>
      <c r="L4473" s="11" t="s">
        <v>48</v>
      </c>
      <c r="M4473" s="11" t="s">
        <v>66</v>
      </c>
      <c r="N4473" s="11" t="s">
        <v>80</v>
      </c>
      <c r="O4473" s="11" t="s">
        <v>765</v>
      </c>
      <c r="P4473" s="11" t="s">
        <v>38</v>
      </c>
      <c r="Q4473" s="20">
        <v>40580.0</v>
      </c>
      <c r="R4473" s="17">
        <f t="shared" si="2"/>
        <v>434.896875</v>
      </c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>
        <f t="shared" si="8"/>
        <v>4</v>
      </c>
      <c r="AF4473" s="19">
        <f t="shared" si="13"/>
        <v>2</v>
      </c>
      <c r="AG4473" s="9"/>
      <c r="AH4473" s="9"/>
      <c r="AI4473" s="9"/>
    </row>
    <row r="4474" ht="15.0" customHeight="1">
      <c r="A4474" s="11">
        <v>4473.0</v>
      </c>
      <c r="B4474" s="12">
        <f t="shared" ref="B4474:B4483" si="707">DATE(2012,12,31)-695</f>
        <v>40579</v>
      </c>
      <c r="C4474" s="13">
        <v>2011.0</v>
      </c>
      <c r="D4474" s="11" t="s">
        <v>23</v>
      </c>
      <c r="E4474" s="11">
        <v>3.0</v>
      </c>
      <c r="F4474" s="21" t="s">
        <v>562</v>
      </c>
      <c r="G4474" s="15">
        <v>0.0650225022502251</v>
      </c>
      <c r="H4474" s="11" t="s">
        <v>45</v>
      </c>
      <c r="I4474" s="16">
        <v>55.44</v>
      </c>
      <c r="J4474" s="11" t="s">
        <v>763</v>
      </c>
      <c r="K4474" s="11" t="s">
        <v>65</v>
      </c>
      <c r="L4474" s="11" t="s">
        <v>27</v>
      </c>
      <c r="M4474" s="11" t="s">
        <v>66</v>
      </c>
      <c r="N4474" s="11" t="s">
        <v>69</v>
      </c>
      <c r="O4474" s="11" t="s">
        <v>2222</v>
      </c>
      <c r="P4474" s="11" t="s">
        <v>52</v>
      </c>
      <c r="Q4474" s="20">
        <v>40580.0</v>
      </c>
      <c r="R4474" s="17">
        <f t="shared" si="2"/>
        <v>101.3141617</v>
      </c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>
        <f t="shared" si="8"/>
        <v>1</v>
      </c>
      <c r="AF4474" s="19">
        <f t="shared" si="13"/>
        <v>5</v>
      </c>
      <c r="AG4474" s="9"/>
      <c r="AH4474" s="9"/>
      <c r="AI4474" s="9"/>
    </row>
    <row r="4475" ht="15.0" customHeight="1">
      <c r="A4475" s="11">
        <v>4474.0</v>
      </c>
      <c r="B4475" s="12">
        <f t="shared" si="707"/>
        <v>40579</v>
      </c>
      <c r="C4475" s="13">
        <v>2011.0</v>
      </c>
      <c r="D4475" s="11" t="s">
        <v>23</v>
      </c>
      <c r="E4475" s="11">
        <v>30.0</v>
      </c>
      <c r="F4475" s="21" t="s">
        <v>889</v>
      </c>
      <c r="G4475" s="15">
        <v>0.08845817463676114</v>
      </c>
      <c r="H4475" s="11" t="s">
        <v>33</v>
      </c>
      <c r="I4475" s="16">
        <v>7.192</v>
      </c>
      <c r="J4475" s="11" t="s">
        <v>763</v>
      </c>
      <c r="K4475" s="11" t="s">
        <v>65</v>
      </c>
      <c r="L4475" s="11" t="s">
        <v>27</v>
      </c>
      <c r="M4475" s="11" t="s">
        <v>28</v>
      </c>
      <c r="N4475" s="11" t="s">
        <v>62</v>
      </c>
      <c r="O4475" s="11" t="s">
        <v>890</v>
      </c>
      <c r="P4475" s="11" t="s">
        <v>99</v>
      </c>
      <c r="Q4475" s="20">
        <v>40580.0</v>
      </c>
      <c r="R4475" s="17">
        <f t="shared" si="2"/>
        <v>57.16096478</v>
      </c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>
        <f t="shared" si="8"/>
        <v>1</v>
      </c>
      <c r="AF4475" s="19">
        <f t="shared" si="13"/>
        <v>5</v>
      </c>
      <c r="AG4475" s="9"/>
      <c r="AH4475" s="9"/>
      <c r="AI4475" s="9"/>
    </row>
    <row r="4476" ht="15.0" customHeight="1">
      <c r="A4476" s="11">
        <v>4475.0</v>
      </c>
      <c r="B4476" s="12">
        <f t="shared" si="707"/>
        <v>40579</v>
      </c>
      <c r="C4476" s="13">
        <v>2011.0</v>
      </c>
      <c r="D4476" s="11" t="s">
        <v>23</v>
      </c>
      <c r="E4476" s="11">
        <v>17.0</v>
      </c>
      <c r="F4476" s="21" t="s">
        <v>908</v>
      </c>
      <c r="G4476" s="15">
        <v>0.016248025276461315</v>
      </c>
      <c r="H4476" s="11" t="s">
        <v>33</v>
      </c>
      <c r="I4476" s="16">
        <v>6.872</v>
      </c>
      <c r="J4476" s="11" t="s">
        <v>763</v>
      </c>
      <c r="K4476" s="11" t="s">
        <v>65</v>
      </c>
      <c r="L4476" s="11" t="s">
        <v>27</v>
      </c>
      <c r="M4476" s="11" t="s">
        <v>66</v>
      </c>
      <c r="N4476" s="11" t="s">
        <v>80</v>
      </c>
      <c r="O4476" s="11" t="s">
        <v>909</v>
      </c>
      <c r="P4476" s="11" t="s">
        <v>75</v>
      </c>
      <c r="Q4476" s="20">
        <v>40580.0</v>
      </c>
      <c r="R4476" s="17">
        <f t="shared" si="2"/>
        <v>8.094311248</v>
      </c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>
        <f t="shared" si="8"/>
        <v>1</v>
      </c>
      <c r="AF4476" s="19">
        <f t="shared" si="13"/>
        <v>5</v>
      </c>
      <c r="AG4476" s="9"/>
      <c r="AH4476" s="9"/>
      <c r="AI4476" s="9"/>
    </row>
    <row r="4477" ht="15.0" customHeight="1">
      <c r="A4477" s="11">
        <v>4476.0</v>
      </c>
      <c r="B4477" s="12">
        <f t="shared" si="707"/>
        <v>40579</v>
      </c>
      <c r="C4477" s="13">
        <v>2011.0</v>
      </c>
      <c r="D4477" s="11" t="s">
        <v>23</v>
      </c>
      <c r="E4477" s="11">
        <v>14.0</v>
      </c>
      <c r="F4477" s="21" t="s">
        <v>352</v>
      </c>
      <c r="G4477" s="15">
        <v>0.02277651342740096</v>
      </c>
      <c r="H4477" s="11" t="s">
        <v>24</v>
      </c>
      <c r="I4477" s="16">
        <v>2.3920000000000003</v>
      </c>
      <c r="J4477" s="11" t="s">
        <v>1942</v>
      </c>
      <c r="K4477" s="11" t="s">
        <v>65</v>
      </c>
      <c r="L4477" s="11" t="s">
        <v>48</v>
      </c>
      <c r="M4477" s="11" t="s">
        <v>28</v>
      </c>
      <c r="N4477" s="11" t="s">
        <v>42</v>
      </c>
      <c r="O4477" s="11" t="s">
        <v>594</v>
      </c>
      <c r="P4477" s="11" t="s">
        <v>38</v>
      </c>
      <c r="Q4477" s="20">
        <v>40580.0</v>
      </c>
      <c r="R4477" s="17">
        <f t="shared" si="2"/>
        <v>9.780052654</v>
      </c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>
        <f t="shared" si="8"/>
        <v>4</v>
      </c>
      <c r="AF4477" s="19">
        <f t="shared" si="13"/>
        <v>5</v>
      </c>
      <c r="AG4477" s="9"/>
      <c r="AH4477" s="9"/>
      <c r="AI4477" s="9"/>
    </row>
    <row r="4478" ht="15.0" customHeight="1">
      <c r="A4478" s="11">
        <v>4477.0</v>
      </c>
      <c r="B4478" s="12">
        <f t="shared" si="707"/>
        <v>40579</v>
      </c>
      <c r="C4478" s="13">
        <v>2011.0</v>
      </c>
      <c r="D4478" s="11" t="s">
        <v>32</v>
      </c>
      <c r="E4478" s="11">
        <v>4.0</v>
      </c>
      <c r="F4478" s="21" t="s">
        <v>306</v>
      </c>
      <c r="G4478" s="15">
        <v>0.08187159956474445</v>
      </c>
      <c r="H4478" s="11" t="s">
        <v>33</v>
      </c>
      <c r="I4478" s="16">
        <v>4.776</v>
      </c>
      <c r="J4478" s="11" t="s">
        <v>145</v>
      </c>
      <c r="K4478" s="11" t="s">
        <v>83</v>
      </c>
      <c r="L4478" s="11" t="s">
        <v>41</v>
      </c>
      <c r="M4478" s="11" t="s">
        <v>28</v>
      </c>
      <c r="N4478" s="11" t="s">
        <v>56</v>
      </c>
      <c r="O4478" s="11" t="s">
        <v>1866</v>
      </c>
      <c r="P4478" s="11" t="s">
        <v>38</v>
      </c>
      <c r="Q4478" s="20">
        <v>40580.0</v>
      </c>
      <c r="R4478" s="17">
        <f t="shared" si="2"/>
        <v>6.907998085</v>
      </c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>
        <f t="shared" si="8"/>
        <v>3</v>
      </c>
      <c r="AF4478" s="19" t="b">
        <f t="shared" si="13"/>
        <v>0</v>
      </c>
      <c r="AG4478" s="9"/>
      <c r="AH4478" s="9"/>
      <c r="AI4478" s="9"/>
    </row>
    <row r="4479" ht="15.0" customHeight="1">
      <c r="A4479" s="11">
        <v>4478.0</v>
      </c>
      <c r="B4479" s="12">
        <f t="shared" si="707"/>
        <v>40579</v>
      </c>
      <c r="C4479" s="13">
        <v>2011.0</v>
      </c>
      <c r="D4479" s="11" t="s">
        <v>39</v>
      </c>
      <c r="E4479" s="11">
        <v>43.0</v>
      </c>
      <c r="F4479" s="21" t="s">
        <v>834</v>
      </c>
      <c r="G4479" s="15">
        <v>0.07439220041959779</v>
      </c>
      <c r="H4479" s="11" t="s">
        <v>45</v>
      </c>
      <c r="I4479" s="16">
        <v>11.76</v>
      </c>
      <c r="J4479" s="11" t="s">
        <v>525</v>
      </c>
      <c r="K4479" s="11" t="s">
        <v>65</v>
      </c>
      <c r="L4479" s="11" t="s">
        <v>48</v>
      </c>
      <c r="M4479" s="11" t="s">
        <v>66</v>
      </c>
      <c r="N4479" s="11" t="s">
        <v>69</v>
      </c>
      <c r="O4479" s="11" t="s">
        <v>2512</v>
      </c>
      <c r="P4479" s="11" t="s">
        <v>52</v>
      </c>
      <c r="Q4479" s="20">
        <v>40580.0</v>
      </c>
      <c r="R4479" s="17">
        <f t="shared" si="2"/>
        <v>1283.299678</v>
      </c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>
        <f t="shared" si="8"/>
        <v>4</v>
      </c>
      <c r="AF4479" s="19">
        <f t="shared" si="13"/>
        <v>5</v>
      </c>
      <c r="AG4479" s="9"/>
      <c r="AH4479" s="9"/>
      <c r="AI4479" s="9"/>
    </row>
    <row r="4480" ht="15.0" customHeight="1">
      <c r="A4480" s="11">
        <v>4479.0</v>
      </c>
      <c r="B4480" s="12">
        <f t="shared" si="707"/>
        <v>40579</v>
      </c>
      <c r="C4480" s="13">
        <v>2011.0</v>
      </c>
      <c r="D4480" s="11" t="s">
        <v>32</v>
      </c>
      <c r="E4480" s="11">
        <v>48.0</v>
      </c>
      <c r="F4480" s="21" t="s">
        <v>1032</v>
      </c>
      <c r="G4480" s="15">
        <v>0.05705252155735539</v>
      </c>
      <c r="H4480" s="11" t="s">
        <v>33</v>
      </c>
      <c r="I4480" s="16">
        <v>0.792</v>
      </c>
      <c r="J4480" s="11" t="s">
        <v>1448</v>
      </c>
      <c r="K4480" s="11" t="s">
        <v>61</v>
      </c>
      <c r="L4480" s="11" t="s">
        <v>27</v>
      </c>
      <c r="M4480" s="11" t="s">
        <v>28</v>
      </c>
      <c r="N4480" s="11" t="s">
        <v>197</v>
      </c>
      <c r="O4480" s="11" t="s">
        <v>1033</v>
      </c>
      <c r="P4480" s="11" t="s">
        <v>38</v>
      </c>
      <c r="Q4480" s="20">
        <v>40580.0</v>
      </c>
      <c r="R4480" s="17">
        <f t="shared" si="2"/>
        <v>247.0597829</v>
      </c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>
        <f t="shared" si="8"/>
        <v>1</v>
      </c>
      <c r="AF4480" s="19">
        <f t="shared" si="13"/>
        <v>4</v>
      </c>
      <c r="AG4480" s="9"/>
      <c r="AH4480" s="9"/>
      <c r="AI4480" s="9"/>
    </row>
    <row r="4481" ht="15.0" customHeight="1">
      <c r="A4481" s="11">
        <v>4480.0</v>
      </c>
      <c r="B4481" s="12">
        <f t="shared" si="707"/>
        <v>40579</v>
      </c>
      <c r="C4481" s="13">
        <v>2011.0</v>
      </c>
      <c r="D4481" s="11" t="s">
        <v>44</v>
      </c>
      <c r="E4481" s="11">
        <v>41.0</v>
      </c>
      <c r="F4481" s="21" t="s">
        <v>670</v>
      </c>
      <c r="G4481" s="15">
        <v>0.05742709894126765</v>
      </c>
      <c r="H4481" s="11" t="s">
        <v>45</v>
      </c>
      <c r="I4481" s="16">
        <v>60.184000000000005</v>
      </c>
      <c r="J4481" s="11" t="s">
        <v>934</v>
      </c>
      <c r="K4481" s="11" t="s">
        <v>61</v>
      </c>
      <c r="L4481" s="11" t="s">
        <v>41</v>
      </c>
      <c r="M4481" s="11" t="s">
        <v>49</v>
      </c>
      <c r="N4481" s="11" t="s">
        <v>85</v>
      </c>
      <c r="O4481" s="11" t="s">
        <v>671</v>
      </c>
      <c r="P4481" s="11" t="s">
        <v>87</v>
      </c>
      <c r="Q4481" s="20">
        <v>40580.0</v>
      </c>
      <c r="R4481" s="17">
        <f t="shared" si="2"/>
        <v>986.2291075</v>
      </c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>
        <f t="shared" si="8"/>
        <v>3</v>
      </c>
      <c r="AF4481" s="19">
        <f t="shared" si="13"/>
        <v>4</v>
      </c>
      <c r="AG4481" s="9"/>
      <c r="AH4481" s="9"/>
      <c r="AI4481" s="9"/>
    </row>
    <row r="4482" ht="15.0" customHeight="1">
      <c r="A4482" s="11">
        <v>4481.0</v>
      </c>
      <c r="B4482" s="12">
        <f t="shared" si="707"/>
        <v>40579</v>
      </c>
      <c r="C4482" s="13">
        <v>2011.0</v>
      </c>
      <c r="D4482" s="11" t="s">
        <v>32</v>
      </c>
      <c r="E4482" s="11">
        <v>17.0</v>
      </c>
      <c r="F4482" s="21" t="s">
        <v>158</v>
      </c>
      <c r="G4482" s="15">
        <v>0.09307630522088349</v>
      </c>
      <c r="H4482" s="11" t="s">
        <v>33</v>
      </c>
      <c r="I4482" s="16">
        <v>4.112</v>
      </c>
      <c r="J4482" s="11" t="s">
        <v>1447</v>
      </c>
      <c r="K4482" s="11" t="s">
        <v>61</v>
      </c>
      <c r="L4482" s="11" t="s">
        <v>36</v>
      </c>
      <c r="M4482" s="11" t="s">
        <v>28</v>
      </c>
      <c r="N4482" s="11" t="s">
        <v>56</v>
      </c>
      <c r="O4482" s="11" t="s">
        <v>1424</v>
      </c>
      <c r="P4482" s="11" t="s">
        <v>38</v>
      </c>
      <c r="Q4482" s="20">
        <v>40581.0</v>
      </c>
      <c r="R4482" s="17">
        <f t="shared" si="2"/>
        <v>10.50943178</v>
      </c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>
        <f t="shared" si="8"/>
        <v>2</v>
      </c>
      <c r="AF4482" s="19">
        <f t="shared" si="13"/>
        <v>4</v>
      </c>
      <c r="AG4482" s="9"/>
      <c r="AH4482" s="9"/>
      <c r="AI4482" s="9"/>
    </row>
    <row r="4483" ht="15.0" customHeight="1">
      <c r="A4483" s="11">
        <v>4482.0</v>
      </c>
      <c r="B4483" s="12">
        <f t="shared" si="707"/>
        <v>40579</v>
      </c>
      <c r="C4483" s="13">
        <v>2011.0</v>
      </c>
      <c r="D4483" s="11" t="s">
        <v>32</v>
      </c>
      <c r="E4483" s="11">
        <v>43.0</v>
      </c>
      <c r="F4483" s="21" t="s">
        <v>1219</v>
      </c>
      <c r="G4483" s="15">
        <v>0.026182193592388027</v>
      </c>
      <c r="H4483" s="11" t="s">
        <v>33</v>
      </c>
      <c r="I4483" s="16">
        <v>6.5760000000000005</v>
      </c>
      <c r="J4483" s="11" t="s">
        <v>1447</v>
      </c>
      <c r="K4483" s="11" t="s">
        <v>61</v>
      </c>
      <c r="L4483" s="11" t="s">
        <v>36</v>
      </c>
      <c r="M4483" s="11" t="s">
        <v>28</v>
      </c>
      <c r="N4483" s="11" t="s">
        <v>29</v>
      </c>
      <c r="O4483" s="11" t="s">
        <v>1735</v>
      </c>
      <c r="P4483" s="11" t="s">
        <v>38</v>
      </c>
      <c r="Q4483" s="20">
        <v>40581.0</v>
      </c>
      <c r="R4483" s="17">
        <f t="shared" si="2"/>
        <v>39.23862516</v>
      </c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>
        <f t="shared" si="8"/>
        <v>2</v>
      </c>
      <c r="AF4483" s="19">
        <f t="shared" si="13"/>
        <v>4</v>
      </c>
      <c r="AG4483" s="9"/>
      <c r="AH4483" s="9"/>
      <c r="AI4483" s="9"/>
    </row>
    <row r="4484" ht="15.0" customHeight="1">
      <c r="A4484" s="11">
        <v>4483.0</v>
      </c>
      <c r="B4484" s="12">
        <f t="shared" ref="B4484:B4498" si="708">DATE(2012,12,31)-694</f>
        <v>40580</v>
      </c>
      <c r="C4484" s="13">
        <v>2011.0</v>
      </c>
      <c r="D4484" s="11" t="s">
        <v>39</v>
      </c>
      <c r="E4484" s="11">
        <v>39.0</v>
      </c>
      <c r="F4484" s="21" t="s">
        <v>562</v>
      </c>
      <c r="G4484" s="15">
        <v>0.011323813743655918</v>
      </c>
      <c r="H4484" s="11" t="s">
        <v>45</v>
      </c>
      <c r="I4484" s="16">
        <v>100.80000000000001</v>
      </c>
      <c r="J4484" s="11" t="s">
        <v>1625</v>
      </c>
      <c r="K4484" s="11" t="s">
        <v>35</v>
      </c>
      <c r="L4484" s="11" t="s">
        <v>41</v>
      </c>
      <c r="M4484" s="11" t="s">
        <v>49</v>
      </c>
      <c r="N4484" s="11" t="s">
        <v>50</v>
      </c>
      <c r="O4484" s="11" t="s">
        <v>1649</v>
      </c>
      <c r="P4484" s="11" t="s">
        <v>52</v>
      </c>
      <c r="Q4484" s="20">
        <v>40581.0</v>
      </c>
      <c r="R4484" s="17">
        <f t="shared" si="2"/>
        <v>222.3532743</v>
      </c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>
        <f t="shared" si="8"/>
        <v>3</v>
      </c>
      <c r="AF4484" s="19">
        <f t="shared" si="13"/>
        <v>2</v>
      </c>
      <c r="AG4484" s="9"/>
      <c r="AH4484" s="9"/>
      <c r="AI4484" s="9"/>
    </row>
    <row r="4485" ht="15.0" customHeight="1">
      <c r="A4485" s="11">
        <v>4484.0</v>
      </c>
      <c r="B4485" s="12">
        <f t="shared" si="708"/>
        <v>40580</v>
      </c>
      <c r="C4485" s="13">
        <v>2011.0</v>
      </c>
      <c r="D4485" s="11" t="s">
        <v>39</v>
      </c>
      <c r="E4485" s="11">
        <v>7.0</v>
      </c>
      <c r="F4485" s="21" t="s">
        <v>394</v>
      </c>
      <c r="G4485" s="15">
        <v>0.07542974588938715</v>
      </c>
      <c r="H4485" s="11" t="s">
        <v>33</v>
      </c>
      <c r="I4485" s="16">
        <v>3.3600000000000003</v>
      </c>
      <c r="J4485" s="11" t="s">
        <v>1625</v>
      </c>
      <c r="K4485" s="11" t="s">
        <v>35</v>
      </c>
      <c r="L4485" s="11" t="s">
        <v>41</v>
      </c>
      <c r="M4485" s="11" t="s">
        <v>66</v>
      </c>
      <c r="N4485" s="11" t="s">
        <v>80</v>
      </c>
      <c r="O4485" s="11" t="s">
        <v>1874</v>
      </c>
      <c r="P4485" s="11" t="s">
        <v>38</v>
      </c>
      <c r="Q4485" s="20">
        <v>40581.0</v>
      </c>
      <c r="R4485" s="17">
        <f t="shared" si="2"/>
        <v>74.64980232</v>
      </c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>
        <f t="shared" si="8"/>
        <v>3</v>
      </c>
      <c r="AF4485" s="19">
        <f t="shared" si="13"/>
        <v>2</v>
      </c>
      <c r="AG4485" s="9"/>
      <c r="AH4485" s="9"/>
      <c r="AI4485" s="9"/>
    </row>
    <row r="4486" ht="15.0" customHeight="1">
      <c r="A4486" s="11">
        <v>4485.0</v>
      </c>
      <c r="B4486" s="12">
        <f t="shared" si="708"/>
        <v>40580</v>
      </c>
      <c r="C4486" s="13">
        <v>2011.0</v>
      </c>
      <c r="D4486" s="11" t="s">
        <v>102</v>
      </c>
      <c r="E4486" s="11">
        <v>27.0</v>
      </c>
      <c r="F4486" s="21" t="s">
        <v>865</v>
      </c>
      <c r="G4486" s="15">
        <v>0.0915720450971864</v>
      </c>
      <c r="H4486" s="11" t="s">
        <v>33</v>
      </c>
      <c r="I4486" s="16">
        <v>6.464</v>
      </c>
      <c r="J4486" s="11" t="s">
        <v>1142</v>
      </c>
      <c r="K4486" s="11" t="s">
        <v>47</v>
      </c>
      <c r="L4486" s="11" t="s">
        <v>36</v>
      </c>
      <c r="M4486" s="11" t="s">
        <v>66</v>
      </c>
      <c r="N4486" s="11" t="s">
        <v>80</v>
      </c>
      <c r="O4486" s="11" t="s">
        <v>1411</v>
      </c>
      <c r="P4486" s="11" t="s">
        <v>38</v>
      </c>
      <c r="Q4486" s="20">
        <v>40581.0</v>
      </c>
      <c r="R4486" s="17">
        <f t="shared" si="2"/>
        <v>497.3061659</v>
      </c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>
        <f t="shared" si="8"/>
        <v>2</v>
      </c>
      <c r="AF4486" s="19">
        <f t="shared" si="13"/>
        <v>3</v>
      </c>
      <c r="AG4486" s="9"/>
      <c r="AH4486" s="9"/>
      <c r="AI4486" s="9"/>
    </row>
    <row r="4487" ht="15.0" customHeight="1">
      <c r="A4487" s="11">
        <v>4486.0</v>
      </c>
      <c r="B4487" s="12">
        <f t="shared" si="708"/>
        <v>40580</v>
      </c>
      <c r="C4487" s="13">
        <v>2011.0</v>
      </c>
      <c r="D4487" s="11" t="s">
        <v>102</v>
      </c>
      <c r="E4487" s="11">
        <v>4.0</v>
      </c>
      <c r="F4487" s="21" t="s">
        <v>1900</v>
      </c>
      <c r="G4487" s="15">
        <v>0.08865642728656427</v>
      </c>
      <c r="H4487" s="11" t="s">
        <v>45</v>
      </c>
      <c r="I4487" s="16">
        <v>34.856</v>
      </c>
      <c r="J4487" s="11" t="s">
        <v>1877</v>
      </c>
      <c r="K4487" s="11" t="s">
        <v>26</v>
      </c>
      <c r="L4487" s="11" t="s">
        <v>41</v>
      </c>
      <c r="M4487" s="11" t="s">
        <v>49</v>
      </c>
      <c r="N4487" s="11" t="s">
        <v>85</v>
      </c>
      <c r="O4487" s="11" t="s">
        <v>1902</v>
      </c>
      <c r="P4487" s="11" t="s">
        <v>87</v>
      </c>
      <c r="Q4487" s="20">
        <v>40581.0</v>
      </c>
      <c r="R4487" s="17">
        <f t="shared" si="2"/>
        <v>116.7832108</v>
      </c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>
        <f t="shared" si="8"/>
        <v>3</v>
      </c>
      <c r="AF4487" s="19">
        <f t="shared" si="13"/>
        <v>1</v>
      </c>
      <c r="AG4487" s="9"/>
      <c r="AH4487" s="9"/>
      <c r="AI4487" s="9"/>
    </row>
    <row r="4488" ht="15.0" customHeight="1">
      <c r="A4488" s="11">
        <v>4487.0</v>
      </c>
      <c r="B4488" s="12">
        <f t="shared" si="708"/>
        <v>40580</v>
      </c>
      <c r="C4488" s="13">
        <v>2011.0</v>
      </c>
      <c r="D4488" s="11" t="s">
        <v>39</v>
      </c>
      <c r="E4488" s="11">
        <v>34.0</v>
      </c>
      <c r="F4488" s="21" t="s">
        <v>122</v>
      </c>
      <c r="G4488" s="15">
        <v>0.03513847808550697</v>
      </c>
      <c r="H4488" s="11" t="s">
        <v>24</v>
      </c>
      <c r="I4488" s="16">
        <v>7.064</v>
      </c>
      <c r="J4488" s="11" t="s">
        <v>1772</v>
      </c>
      <c r="K4488" s="11" t="s">
        <v>65</v>
      </c>
      <c r="L4488" s="11" t="s">
        <v>48</v>
      </c>
      <c r="M4488" s="11" t="s">
        <v>28</v>
      </c>
      <c r="N4488" s="11" t="s">
        <v>42</v>
      </c>
      <c r="O4488" s="11" t="s">
        <v>175</v>
      </c>
      <c r="P4488" s="11" t="s">
        <v>38</v>
      </c>
      <c r="Q4488" s="20">
        <v>40581.0</v>
      </c>
      <c r="R4488" s="17">
        <f t="shared" si="2"/>
        <v>25.21762074</v>
      </c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>
        <f t="shared" si="8"/>
        <v>4</v>
      </c>
      <c r="AF4488" s="19">
        <f t="shared" si="13"/>
        <v>5</v>
      </c>
      <c r="AG4488" s="9"/>
      <c r="AH4488" s="9"/>
      <c r="AI4488" s="9"/>
    </row>
    <row r="4489" ht="15.0" customHeight="1">
      <c r="A4489" s="11">
        <v>4488.0</v>
      </c>
      <c r="B4489" s="12">
        <f t="shared" si="708"/>
        <v>40580</v>
      </c>
      <c r="C4489" s="13">
        <v>2011.0</v>
      </c>
      <c r="D4489" s="11" t="s">
        <v>39</v>
      </c>
      <c r="E4489" s="11">
        <v>31.0</v>
      </c>
      <c r="F4489" s="21" t="s">
        <v>103</v>
      </c>
      <c r="G4489" s="15">
        <v>0.07382483918852048</v>
      </c>
      <c r="H4489" s="11" t="s">
        <v>33</v>
      </c>
      <c r="I4489" s="16">
        <v>4.28</v>
      </c>
      <c r="J4489" s="11" t="s">
        <v>1772</v>
      </c>
      <c r="K4489" s="11" t="s">
        <v>65</v>
      </c>
      <c r="L4489" s="11" t="s">
        <v>48</v>
      </c>
      <c r="M4489" s="11" t="s">
        <v>28</v>
      </c>
      <c r="N4489" s="11" t="s">
        <v>56</v>
      </c>
      <c r="O4489" s="11" t="s">
        <v>464</v>
      </c>
      <c r="P4489" s="11" t="s">
        <v>38</v>
      </c>
      <c r="Q4489" s="20">
        <v>40582.0</v>
      </c>
      <c r="R4489" s="17">
        <f t="shared" si="2"/>
        <v>13.8185334</v>
      </c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>
        <f t="shared" si="8"/>
        <v>4</v>
      </c>
      <c r="AF4489" s="19">
        <f t="shared" si="13"/>
        <v>5</v>
      </c>
      <c r="AG4489" s="9"/>
      <c r="AH4489" s="9"/>
      <c r="AI4489" s="9"/>
    </row>
    <row r="4490" ht="15.0" customHeight="1">
      <c r="A4490" s="11">
        <v>4489.0</v>
      </c>
      <c r="B4490" s="12">
        <f t="shared" si="708"/>
        <v>40580</v>
      </c>
      <c r="C4490" s="13">
        <v>2011.0</v>
      </c>
      <c r="D4490" s="11" t="s">
        <v>32</v>
      </c>
      <c r="E4490" s="11">
        <v>11.0</v>
      </c>
      <c r="F4490" s="21" t="s">
        <v>336</v>
      </c>
      <c r="G4490" s="15">
        <v>0.07515994436717678</v>
      </c>
      <c r="H4490" s="11" t="s">
        <v>33</v>
      </c>
      <c r="I4490" s="16">
        <v>2.696</v>
      </c>
      <c r="J4490" s="11" t="s">
        <v>262</v>
      </c>
      <c r="K4490" s="11" t="s">
        <v>61</v>
      </c>
      <c r="L4490" s="11" t="s">
        <v>27</v>
      </c>
      <c r="M4490" s="11" t="s">
        <v>28</v>
      </c>
      <c r="N4490" s="11" t="s">
        <v>216</v>
      </c>
      <c r="O4490" s="11" t="s">
        <v>557</v>
      </c>
      <c r="P4490" s="11" t="s">
        <v>58</v>
      </c>
      <c r="Q4490" s="20">
        <v>40582.0</v>
      </c>
      <c r="R4490" s="17">
        <f t="shared" si="2"/>
        <v>4.997835661</v>
      </c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>
        <f t="shared" si="8"/>
        <v>1</v>
      </c>
      <c r="AF4490" s="19">
        <f t="shared" si="13"/>
        <v>4</v>
      </c>
      <c r="AG4490" s="9"/>
      <c r="AH4490" s="9"/>
      <c r="AI4490" s="9"/>
    </row>
    <row r="4491" ht="15.0" customHeight="1">
      <c r="A4491" s="11">
        <v>4490.0</v>
      </c>
      <c r="B4491" s="12">
        <f t="shared" si="708"/>
        <v>40580</v>
      </c>
      <c r="C4491" s="13">
        <v>2011.0</v>
      </c>
      <c r="D4491" s="11" t="s">
        <v>32</v>
      </c>
      <c r="E4491" s="11">
        <v>3.0</v>
      </c>
      <c r="F4491" s="21" t="s">
        <v>126</v>
      </c>
      <c r="G4491" s="15">
        <v>0.05949748743718581</v>
      </c>
      <c r="H4491" s="11" t="s">
        <v>33</v>
      </c>
      <c r="I4491" s="16">
        <v>4.016</v>
      </c>
      <c r="J4491" s="11" t="s">
        <v>832</v>
      </c>
      <c r="K4491" s="11" t="s">
        <v>65</v>
      </c>
      <c r="L4491" s="11" t="s">
        <v>48</v>
      </c>
      <c r="M4491" s="11" t="s">
        <v>28</v>
      </c>
      <c r="N4491" s="11" t="s">
        <v>56</v>
      </c>
      <c r="O4491" s="11" t="s">
        <v>1766</v>
      </c>
      <c r="P4491" s="11" t="s">
        <v>38</v>
      </c>
      <c r="Q4491" s="20">
        <v>40582.0</v>
      </c>
      <c r="R4491" s="17">
        <f t="shared" si="2"/>
        <v>1.113554975</v>
      </c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>
        <f t="shared" si="8"/>
        <v>4</v>
      </c>
      <c r="AF4491" s="19">
        <f t="shared" si="13"/>
        <v>5</v>
      </c>
      <c r="AG4491" s="9"/>
      <c r="AH4491" s="9"/>
      <c r="AI4491" s="9"/>
    </row>
    <row r="4492" ht="15.0" customHeight="1">
      <c r="A4492" s="11">
        <v>4491.0</v>
      </c>
      <c r="B4492" s="12">
        <f t="shared" si="708"/>
        <v>40580</v>
      </c>
      <c r="C4492" s="13">
        <v>2011.0</v>
      </c>
      <c r="D4492" s="11" t="s">
        <v>32</v>
      </c>
      <c r="E4492" s="11">
        <v>1.0</v>
      </c>
      <c r="F4492" s="21" t="s">
        <v>784</v>
      </c>
      <c r="G4492" s="15">
        <v>0.048965871321641756</v>
      </c>
      <c r="H4492" s="11" t="s">
        <v>33</v>
      </c>
      <c r="I4492" s="16">
        <v>19.592</v>
      </c>
      <c r="J4492" s="11" t="s">
        <v>832</v>
      </c>
      <c r="K4492" s="11" t="s">
        <v>65</v>
      </c>
      <c r="L4492" s="11" t="s">
        <v>48</v>
      </c>
      <c r="M4492" s="11" t="s">
        <v>66</v>
      </c>
      <c r="N4492" s="11" t="s">
        <v>170</v>
      </c>
      <c r="O4492" s="11" t="s">
        <v>785</v>
      </c>
      <c r="P4492" s="11" t="s">
        <v>31</v>
      </c>
      <c r="Q4492" s="20">
        <v>40582.0</v>
      </c>
      <c r="R4492" s="17">
        <f t="shared" si="2"/>
        <v>172.3349924</v>
      </c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>
        <f t="shared" si="8"/>
        <v>4</v>
      </c>
      <c r="AF4492" s="19">
        <f t="shared" si="13"/>
        <v>5</v>
      </c>
      <c r="AG4492" s="9"/>
      <c r="AH4492" s="9"/>
      <c r="AI4492" s="9"/>
    </row>
    <row r="4493" ht="15.0" customHeight="1">
      <c r="A4493" s="11">
        <v>4492.0</v>
      </c>
      <c r="B4493" s="12">
        <f t="shared" si="708"/>
        <v>40580</v>
      </c>
      <c r="C4493" s="13">
        <v>2011.0</v>
      </c>
      <c r="D4493" s="11" t="s">
        <v>102</v>
      </c>
      <c r="E4493" s="11">
        <v>32.0</v>
      </c>
      <c r="F4493" s="21" t="s">
        <v>306</v>
      </c>
      <c r="G4493" s="15">
        <v>0.052980953787095844</v>
      </c>
      <c r="H4493" s="11" t="s">
        <v>33</v>
      </c>
      <c r="I4493" s="16">
        <v>4.616</v>
      </c>
      <c r="J4493" s="11" t="s">
        <v>1707</v>
      </c>
      <c r="K4493" s="11" t="s">
        <v>35</v>
      </c>
      <c r="L4493" s="11" t="s">
        <v>41</v>
      </c>
      <c r="M4493" s="11" t="s">
        <v>28</v>
      </c>
      <c r="N4493" s="11" t="s">
        <v>56</v>
      </c>
      <c r="O4493" s="11" t="s">
        <v>1169</v>
      </c>
      <c r="P4493" s="11" t="s">
        <v>38</v>
      </c>
      <c r="Q4493" s="20">
        <v>40582.0</v>
      </c>
      <c r="R4493" s="17">
        <f t="shared" si="2"/>
        <v>33.98283145</v>
      </c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>
        <f t="shared" si="8"/>
        <v>3</v>
      </c>
      <c r="AF4493" s="19">
        <f t="shared" si="13"/>
        <v>2</v>
      </c>
      <c r="AG4493" s="9"/>
      <c r="AH4493" s="9"/>
      <c r="AI4493" s="9"/>
    </row>
    <row r="4494" ht="15.0" customHeight="1">
      <c r="A4494" s="11">
        <v>4493.0</v>
      </c>
      <c r="B4494" s="12">
        <f t="shared" si="708"/>
        <v>40580</v>
      </c>
      <c r="C4494" s="13">
        <v>2011.0</v>
      </c>
      <c r="D4494" s="11" t="s">
        <v>102</v>
      </c>
      <c r="E4494" s="11">
        <v>27.0</v>
      </c>
      <c r="F4494" s="21" t="s">
        <v>2363</v>
      </c>
      <c r="G4494" s="15">
        <v>0.012304017742898363</v>
      </c>
      <c r="H4494" s="11" t="s">
        <v>33</v>
      </c>
      <c r="I4494" s="16">
        <v>4.976</v>
      </c>
      <c r="J4494" s="11" t="s">
        <v>1707</v>
      </c>
      <c r="K4494" s="11" t="s">
        <v>35</v>
      </c>
      <c r="L4494" s="11" t="s">
        <v>41</v>
      </c>
      <c r="M4494" s="11" t="s">
        <v>28</v>
      </c>
      <c r="N4494" s="11" t="s">
        <v>29</v>
      </c>
      <c r="O4494" s="11" t="s">
        <v>2364</v>
      </c>
      <c r="P4494" s="11" t="s">
        <v>38</v>
      </c>
      <c r="Q4494" s="20">
        <v>40582.0</v>
      </c>
      <c r="R4494" s="17">
        <f t="shared" si="2"/>
        <v>14.24652685</v>
      </c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>
        <f t="shared" si="8"/>
        <v>3</v>
      </c>
      <c r="AF4494" s="19">
        <f t="shared" si="13"/>
        <v>2</v>
      </c>
      <c r="AG4494" s="9"/>
      <c r="AH4494" s="9"/>
      <c r="AI4494" s="9"/>
    </row>
    <row r="4495" ht="15.0" customHeight="1">
      <c r="A4495" s="11">
        <v>4494.0</v>
      </c>
      <c r="B4495" s="12">
        <f t="shared" si="708"/>
        <v>40580</v>
      </c>
      <c r="C4495" s="13">
        <v>2011.0</v>
      </c>
      <c r="D4495" s="11" t="s">
        <v>39</v>
      </c>
      <c r="E4495" s="11">
        <v>17.0</v>
      </c>
      <c r="F4495" s="21" t="s">
        <v>126</v>
      </c>
      <c r="G4495" s="15">
        <v>0.03580645161290311</v>
      </c>
      <c r="H4495" s="11" t="s">
        <v>33</v>
      </c>
      <c r="I4495" s="16">
        <v>0.392</v>
      </c>
      <c r="J4495" s="11" t="s">
        <v>370</v>
      </c>
      <c r="K4495" s="11" t="s">
        <v>65</v>
      </c>
      <c r="L4495" s="11" t="s">
        <v>41</v>
      </c>
      <c r="M4495" s="11" t="s">
        <v>28</v>
      </c>
      <c r="N4495" s="11" t="s">
        <v>188</v>
      </c>
      <c r="O4495" s="11" t="s">
        <v>1703</v>
      </c>
      <c r="P4495" s="11" t="s">
        <v>38</v>
      </c>
      <c r="Q4495" s="20">
        <v>40582.0</v>
      </c>
      <c r="R4495" s="17">
        <f t="shared" si="2"/>
        <v>2.996713548</v>
      </c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>
        <f t="shared" si="8"/>
        <v>3</v>
      </c>
      <c r="AF4495" s="19">
        <f t="shared" si="13"/>
        <v>5</v>
      </c>
      <c r="AG4495" s="9"/>
      <c r="AH4495" s="9"/>
      <c r="AI4495" s="9"/>
    </row>
    <row r="4496" ht="15.0" customHeight="1">
      <c r="A4496" s="11">
        <v>4495.0</v>
      </c>
      <c r="B4496" s="12">
        <f t="shared" si="708"/>
        <v>40580</v>
      </c>
      <c r="C4496" s="13">
        <v>2011.0</v>
      </c>
      <c r="D4496" s="11" t="s">
        <v>39</v>
      </c>
      <c r="E4496" s="11">
        <v>2.0</v>
      </c>
      <c r="F4496" s="21" t="s">
        <v>1047</v>
      </c>
      <c r="G4496" s="15">
        <v>0.06020111731843581</v>
      </c>
      <c r="H4496" s="11" t="s">
        <v>33</v>
      </c>
      <c r="I4496" s="16">
        <v>11.112000000000002</v>
      </c>
      <c r="J4496" s="11" t="s">
        <v>370</v>
      </c>
      <c r="K4496" s="11" t="s">
        <v>65</v>
      </c>
      <c r="L4496" s="11" t="s">
        <v>41</v>
      </c>
      <c r="M4496" s="11" t="s">
        <v>28</v>
      </c>
      <c r="N4496" s="11" t="s">
        <v>62</v>
      </c>
      <c r="O4496" s="11" t="s">
        <v>1049</v>
      </c>
      <c r="P4496" s="11" t="s">
        <v>58</v>
      </c>
      <c r="Q4496" s="20">
        <v>40582.0</v>
      </c>
      <c r="R4496" s="17">
        <f t="shared" si="2"/>
        <v>5.06363638</v>
      </c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>
        <f t="shared" si="8"/>
        <v>3</v>
      </c>
      <c r="AF4496" s="19">
        <f t="shared" si="13"/>
        <v>5</v>
      </c>
      <c r="AG4496" s="9"/>
      <c r="AH4496" s="9"/>
      <c r="AI4496" s="9"/>
    </row>
    <row r="4497" ht="15.0" customHeight="1">
      <c r="A4497" s="11">
        <v>4496.0</v>
      </c>
      <c r="B4497" s="12">
        <f t="shared" si="708"/>
        <v>40580</v>
      </c>
      <c r="C4497" s="13">
        <v>2011.0</v>
      </c>
      <c r="D4497" s="11" t="s">
        <v>44</v>
      </c>
      <c r="E4497" s="11">
        <v>25.0</v>
      </c>
      <c r="F4497" s="21" t="s">
        <v>280</v>
      </c>
      <c r="G4497" s="15">
        <v>0.011895435548635458</v>
      </c>
      <c r="H4497" s="11" t="s">
        <v>33</v>
      </c>
      <c r="I4497" s="16">
        <v>5.784000000000001</v>
      </c>
      <c r="J4497" s="11" t="s">
        <v>636</v>
      </c>
      <c r="K4497" s="11" t="s">
        <v>61</v>
      </c>
      <c r="L4497" s="11" t="s">
        <v>41</v>
      </c>
      <c r="M4497" s="11" t="s">
        <v>28</v>
      </c>
      <c r="N4497" s="11" t="s">
        <v>56</v>
      </c>
      <c r="O4497" s="11" t="s">
        <v>2248</v>
      </c>
      <c r="P4497" s="11" t="s">
        <v>38</v>
      </c>
      <c r="Q4497" s="20">
        <v>40583.0</v>
      </c>
      <c r="R4497" s="17">
        <f t="shared" si="2"/>
        <v>14.34332586</v>
      </c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>
        <f t="shared" si="8"/>
        <v>3</v>
      </c>
      <c r="AF4497" s="19">
        <f t="shared" si="13"/>
        <v>4</v>
      </c>
      <c r="AG4497" s="9"/>
      <c r="AH4497" s="9"/>
      <c r="AI4497" s="9"/>
    </row>
    <row r="4498" ht="15.0" customHeight="1">
      <c r="A4498" s="11">
        <v>4497.0</v>
      </c>
      <c r="B4498" s="12">
        <f t="shared" si="708"/>
        <v>40580</v>
      </c>
      <c r="C4498" s="13">
        <v>2011.0</v>
      </c>
      <c r="D4498" s="11" t="s">
        <v>32</v>
      </c>
      <c r="E4498" s="11">
        <v>12.0</v>
      </c>
      <c r="F4498" s="21" t="s">
        <v>130</v>
      </c>
      <c r="G4498" s="15">
        <v>0.08528375733855194</v>
      </c>
      <c r="H4498" s="11" t="s">
        <v>24</v>
      </c>
      <c r="I4498" s="16">
        <v>3.136</v>
      </c>
      <c r="J4498" s="11" t="s">
        <v>1801</v>
      </c>
      <c r="K4498" s="11" t="s">
        <v>26</v>
      </c>
      <c r="L4498" s="11" t="s">
        <v>48</v>
      </c>
      <c r="M4498" s="11" t="s">
        <v>49</v>
      </c>
      <c r="N4498" s="11" t="s">
        <v>73</v>
      </c>
      <c r="O4498" s="11" t="s">
        <v>877</v>
      </c>
      <c r="P4498" s="11" t="s">
        <v>99</v>
      </c>
      <c r="Q4498" s="20">
        <v>40583.0</v>
      </c>
      <c r="R4498" s="17">
        <f t="shared" si="2"/>
        <v>31.89066708</v>
      </c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>
        <f t="shared" si="8"/>
        <v>4</v>
      </c>
      <c r="AF4498" s="19">
        <f t="shared" si="13"/>
        <v>1</v>
      </c>
      <c r="AG4498" s="9"/>
      <c r="AH4498" s="9"/>
      <c r="AI4498" s="9"/>
    </row>
    <row r="4499" ht="15.0" customHeight="1">
      <c r="A4499" s="11">
        <v>4498.0</v>
      </c>
      <c r="B4499" s="12">
        <f t="shared" ref="B4499:B4506" si="709">DATE(2012,12,31)-693</f>
        <v>40581</v>
      </c>
      <c r="C4499" s="13">
        <v>2011.0</v>
      </c>
      <c r="D4499" s="11" t="s">
        <v>23</v>
      </c>
      <c r="E4499" s="11">
        <v>36.0</v>
      </c>
      <c r="F4499" s="21" t="s">
        <v>1091</v>
      </c>
      <c r="G4499" s="15">
        <v>0.0977485278836163</v>
      </c>
      <c r="H4499" s="11" t="s">
        <v>24</v>
      </c>
      <c r="I4499" s="16">
        <v>28.0</v>
      </c>
      <c r="J4499" s="11" t="s">
        <v>1314</v>
      </c>
      <c r="K4499" s="11" t="s">
        <v>47</v>
      </c>
      <c r="L4499" s="11" t="s">
        <v>48</v>
      </c>
      <c r="M4499" s="11" t="s">
        <v>28</v>
      </c>
      <c r="N4499" s="11" t="s">
        <v>29</v>
      </c>
      <c r="O4499" s="11" t="s">
        <v>2018</v>
      </c>
      <c r="P4499" s="11" t="s">
        <v>31</v>
      </c>
      <c r="Q4499" s="20">
        <v>40583.0</v>
      </c>
      <c r="R4499" s="17">
        <f t="shared" si="2"/>
        <v>127.3076827</v>
      </c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>
        <f t="shared" si="8"/>
        <v>4</v>
      </c>
      <c r="AF4499" s="19">
        <f t="shared" si="13"/>
        <v>3</v>
      </c>
      <c r="AG4499" s="9"/>
      <c r="AH4499" s="9"/>
      <c r="AI4499" s="9"/>
    </row>
    <row r="4500" ht="15.0" customHeight="1">
      <c r="A4500" s="11">
        <v>4499.0</v>
      </c>
      <c r="B4500" s="12">
        <f t="shared" si="709"/>
        <v>40581</v>
      </c>
      <c r="C4500" s="13">
        <v>2011.0</v>
      </c>
      <c r="D4500" s="11" t="s">
        <v>23</v>
      </c>
      <c r="E4500" s="11">
        <v>10.0</v>
      </c>
      <c r="F4500" s="21" t="s">
        <v>838</v>
      </c>
      <c r="G4500" s="15">
        <v>0.06983870967741942</v>
      </c>
      <c r="H4500" s="11" t="s">
        <v>33</v>
      </c>
      <c r="I4500" s="16">
        <v>15.991999999999999</v>
      </c>
      <c r="J4500" s="11" t="s">
        <v>1314</v>
      </c>
      <c r="K4500" s="11" t="s">
        <v>47</v>
      </c>
      <c r="L4500" s="11" t="s">
        <v>48</v>
      </c>
      <c r="M4500" s="11" t="s">
        <v>66</v>
      </c>
      <c r="N4500" s="11" t="s">
        <v>67</v>
      </c>
      <c r="O4500" s="11" t="s">
        <v>845</v>
      </c>
      <c r="P4500" s="11" t="s">
        <v>38</v>
      </c>
      <c r="Q4500" s="20">
        <v>40583.0</v>
      </c>
      <c r="R4500" s="17">
        <f t="shared" si="2"/>
        <v>70.88573161</v>
      </c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>
        <f t="shared" si="8"/>
        <v>4</v>
      </c>
      <c r="AF4500" s="19">
        <f t="shared" si="13"/>
        <v>3</v>
      </c>
      <c r="AG4500" s="9"/>
      <c r="AH4500" s="9"/>
      <c r="AI4500" s="9"/>
    </row>
    <row r="4501" ht="15.0" customHeight="1">
      <c r="A4501" s="11">
        <v>4500.0</v>
      </c>
      <c r="B4501" s="12">
        <f t="shared" si="709"/>
        <v>40581</v>
      </c>
      <c r="C4501" s="13">
        <v>2011.0</v>
      </c>
      <c r="D4501" s="11" t="s">
        <v>23</v>
      </c>
      <c r="E4501" s="11">
        <v>47.0</v>
      </c>
      <c r="F4501" s="21" t="s">
        <v>130</v>
      </c>
      <c r="G4501" s="15">
        <v>0.0775553027430161</v>
      </c>
      <c r="H4501" s="11" t="s">
        <v>33</v>
      </c>
      <c r="I4501" s="16">
        <v>7.192</v>
      </c>
      <c r="J4501" s="11" t="s">
        <v>1314</v>
      </c>
      <c r="K4501" s="11" t="s">
        <v>47</v>
      </c>
      <c r="L4501" s="11" t="s">
        <v>48</v>
      </c>
      <c r="M4501" s="11" t="s">
        <v>28</v>
      </c>
      <c r="N4501" s="11" t="s">
        <v>62</v>
      </c>
      <c r="O4501" s="11" t="s">
        <v>1590</v>
      </c>
      <c r="P4501" s="11" t="s">
        <v>99</v>
      </c>
      <c r="Q4501" s="20">
        <v>40583.0</v>
      </c>
      <c r="R4501" s="17">
        <f t="shared" si="2"/>
        <v>113.1913439</v>
      </c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>
        <f t="shared" si="8"/>
        <v>4</v>
      </c>
      <c r="AF4501" s="19">
        <f t="shared" si="13"/>
        <v>3</v>
      </c>
      <c r="AG4501" s="9"/>
      <c r="AH4501" s="9"/>
      <c r="AI4501" s="9"/>
    </row>
    <row r="4502" ht="15.0" customHeight="1">
      <c r="A4502" s="11">
        <v>4501.0</v>
      </c>
      <c r="B4502" s="12">
        <f t="shared" si="709"/>
        <v>40581</v>
      </c>
      <c r="C4502" s="13">
        <v>2011.0</v>
      </c>
      <c r="D4502" s="11" t="s">
        <v>44</v>
      </c>
      <c r="E4502" s="11">
        <v>37.0</v>
      </c>
      <c r="F4502" s="21" t="s">
        <v>461</v>
      </c>
      <c r="G4502" s="15">
        <v>0.04243531031382574</v>
      </c>
      <c r="H4502" s="11" t="s">
        <v>24</v>
      </c>
      <c r="I4502" s="16">
        <v>44.96000000000001</v>
      </c>
      <c r="J4502" s="11" t="s">
        <v>91</v>
      </c>
      <c r="K4502" s="11" t="s">
        <v>35</v>
      </c>
      <c r="L4502" s="11" t="s">
        <v>27</v>
      </c>
      <c r="M4502" s="11" t="s">
        <v>49</v>
      </c>
      <c r="N4502" s="11" t="s">
        <v>73</v>
      </c>
      <c r="O4502" s="11" t="s">
        <v>463</v>
      </c>
      <c r="P4502" s="11" t="s">
        <v>75</v>
      </c>
      <c r="Q4502" s="20">
        <v>40584.0</v>
      </c>
      <c r="R4502" s="17">
        <f t="shared" si="2"/>
        <v>144.6305707</v>
      </c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>
        <f t="shared" si="8"/>
        <v>1</v>
      </c>
      <c r="AF4502" s="19">
        <f t="shared" si="13"/>
        <v>2</v>
      </c>
      <c r="AG4502" s="9"/>
      <c r="AH4502" s="9"/>
      <c r="AI4502" s="9"/>
    </row>
    <row r="4503" ht="15.0" customHeight="1">
      <c r="A4503" s="11">
        <v>4502.0</v>
      </c>
      <c r="B4503" s="12">
        <f t="shared" si="709"/>
        <v>40581</v>
      </c>
      <c r="C4503" s="13">
        <v>2011.0</v>
      </c>
      <c r="D4503" s="11" t="s">
        <v>39</v>
      </c>
      <c r="E4503" s="11">
        <v>42.0</v>
      </c>
      <c r="F4503" s="21" t="s">
        <v>256</v>
      </c>
      <c r="G4503" s="15">
        <v>0.025170046303688163</v>
      </c>
      <c r="H4503" s="11" t="s">
        <v>33</v>
      </c>
      <c r="I4503" s="16">
        <v>5.736000000000001</v>
      </c>
      <c r="J4503" s="11" t="s">
        <v>2048</v>
      </c>
      <c r="K4503" s="11" t="s">
        <v>26</v>
      </c>
      <c r="L4503" s="11" t="s">
        <v>27</v>
      </c>
      <c r="M4503" s="11" t="s">
        <v>28</v>
      </c>
      <c r="N4503" s="11" t="s">
        <v>42</v>
      </c>
      <c r="O4503" s="11" t="s">
        <v>1946</v>
      </c>
      <c r="P4503" s="11" t="s">
        <v>38</v>
      </c>
      <c r="Q4503" s="20">
        <v>40584.0</v>
      </c>
      <c r="R4503" s="17">
        <f t="shared" si="2"/>
        <v>15.36721939</v>
      </c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>
        <f t="shared" si="8"/>
        <v>1</v>
      </c>
      <c r="AF4503" s="19">
        <f t="shared" si="13"/>
        <v>1</v>
      </c>
      <c r="AG4503" s="9"/>
      <c r="AH4503" s="9"/>
      <c r="AI4503" s="9"/>
    </row>
    <row r="4504" ht="15.0" customHeight="1">
      <c r="A4504" s="11">
        <v>4503.0</v>
      </c>
      <c r="B4504" s="12">
        <f t="shared" si="709"/>
        <v>40581</v>
      </c>
      <c r="C4504" s="13">
        <v>2011.0</v>
      </c>
      <c r="D4504" s="11" t="s">
        <v>39</v>
      </c>
      <c r="E4504" s="11">
        <v>42.0</v>
      </c>
      <c r="F4504" s="21" t="s">
        <v>328</v>
      </c>
      <c r="G4504" s="15">
        <v>0.0749225760343047</v>
      </c>
      <c r="H4504" s="11" t="s">
        <v>33</v>
      </c>
      <c r="I4504" s="16">
        <v>2.0</v>
      </c>
      <c r="J4504" s="11" t="s">
        <v>1664</v>
      </c>
      <c r="K4504" s="11" t="s">
        <v>35</v>
      </c>
      <c r="L4504" s="11" t="s">
        <v>48</v>
      </c>
      <c r="M4504" s="11" t="s">
        <v>66</v>
      </c>
      <c r="N4504" s="11" t="s">
        <v>80</v>
      </c>
      <c r="O4504" s="11" t="s">
        <v>81</v>
      </c>
      <c r="P4504" s="11" t="s">
        <v>38</v>
      </c>
      <c r="Q4504" s="20">
        <v>40584.0</v>
      </c>
      <c r="R4504" s="17">
        <f t="shared" si="2"/>
        <v>349.1242198</v>
      </c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>
        <f t="shared" si="8"/>
        <v>4</v>
      </c>
      <c r="AF4504" s="19">
        <f t="shared" si="13"/>
        <v>2</v>
      </c>
      <c r="AG4504" s="9"/>
      <c r="AH4504" s="9"/>
      <c r="AI4504" s="9"/>
    </row>
    <row r="4505" ht="15.0" customHeight="1">
      <c r="A4505" s="11">
        <v>4504.0</v>
      </c>
      <c r="B4505" s="12">
        <f t="shared" si="709"/>
        <v>40581</v>
      </c>
      <c r="C4505" s="13">
        <v>2011.0</v>
      </c>
      <c r="D4505" s="11" t="s">
        <v>39</v>
      </c>
      <c r="E4505" s="11">
        <v>35.0</v>
      </c>
      <c r="F4505" s="21" t="s">
        <v>440</v>
      </c>
      <c r="G4505" s="15">
        <v>0.02841512469831051</v>
      </c>
      <c r="H4505" s="11" t="s">
        <v>33</v>
      </c>
      <c r="I4505" s="16">
        <v>3.536</v>
      </c>
      <c r="J4505" s="11" t="s">
        <v>1664</v>
      </c>
      <c r="K4505" s="11" t="s">
        <v>35</v>
      </c>
      <c r="L4505" s="11" t="s">
        <v>48</v>
      </c>
      <c r="M4505" s="11" t="s">
        <v>28</v>
      </c>
      <c r="N4505" s="11" t="s">
        <v>442</v>
      </c>
      <c r="O4505" s="11" t="s">
        <v>2484</v>
      </c>
      <c r="P4505" s="11" t="s">
        <v>99</v>
      </c>
      <c r="Q4505" s="20">
        <v>40584.0</v>
      </c>
      <c r="R4505" s="17">
        <f t="shared" si="2"/>
        <v>6.863275559</v>
      </c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>
        <f t="shared" si="8"/>
        <v>4</v>
      </c>
      <c r="AF4505" s="19">
        <f t="shared" si="13"/>
        <v>2</v>
      </c>
      <c r="AG4505" s="9"/>
      <c r="AH4505" s="9"/>
      <c r="AI4505" s="9"/>
    </row>
    <row r="4506" ht="15.0" customHeight="1">
      <c r="A4506" s="11">
        <v>4505.0</v>
      </c>
      <c r="B4506" s="12">
        <f t="shared" si="709"/>
        <v>40581</v>
      </c>
      <c r="C4506" s="13">
        <v>2011.0</v>
      </c>
      <c r="D4506" s="11" t="s">
        <v>102</v>
      </c>
      <c r="E4506" s="11">
        <v>37.0</v>
      </c>
      <c r="F4506" s="21" t="s">
        <v>126</v>
      </c>
      <c r="G4506" s="15">
        <v>0.03055991627420186</v>
      </c>
      <c r="H4506" s="11" t="s">
        <v>33</v>
      </c>
      <c r="I4506" s="16">
        <v>3.9600000000000004</v>
      </c>
      <c r="J4506" s="11" t="s">
        <v>2169</v>
      </c>
      <c r="K4506" s="11" t="s">
        <v>26</v>
      </c>
      <c r="L4506" s="11" t="s">
        <v>48</v>
      </c>
      <c r="M4506" s="11" t="s">
        <v>28</v>
      </c>
      <c r="N4506" s="11" t="s">
        <v>42</v>
      </c>
      <c r="O4506" s="11" t="s">
        <v>1350</v>
      </c>
      <c r="P4506" s="11" t="s">
        <v>38</v>
      </c>
      <c r="Q4506" s="20">
        <v>40584.0</v>
      </c>
      <c r="R4506" s="17">
        <f t="shared" si="2"/>
        <v>5.661530089</v>
      </c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>
        <f t="shared" si="8"/>
        <v>4</v>
      </c>
      <c r="AF4506" s="19">
        <f t="shared" si="13"/>
        <v>1</v>
      </c>
      <c r="AG4506" s="9"/>
      <c r="AH4506" s="9"/>
      <c r="AI4506" s="9"/>
    </row>
    <row r="4507" ht="15.0" customHeight="1">
      <c r="A4507" s="11">
        <v>4506.0</v>
      </c>
      <c r="B4507" s="12">
        <f t="shared" ref="B4507:B4509" si="710">DATE(2012,12,31)-692</f>
        <v>40582</v>
      </c>
      <c r="C4507" s="13">
        <v>2011.0</v>
      </c>
      <c r="D4507" s="11" t="s">
        <v>32</v>
      </c>
      <c r="E4507" s="11">
        <v>42.0</v>
      </c>
      <c r="F4507" s="21" t="s">
        <v>1195</v>
      </c>
      <c r="G4507" s="15">
        <v>0.06573708525829478</v>
      </c>
      <c r="H4507" s="11" t="s">
        <v>24</v>
      </c>
      <c r="I4507" s="16">
        <v>4.048</v>
      </c>
      <c r="J4507" s="11" t="s">
        <v>488</v>
      </c>
      <c r="K4507" s="11" t="s">
        <v>61</v>
      </c>
      <c r="L4507" s="11" t="s">
        <v>27</v>
      </c>
      <c r="M4507" s="11" t="s">
        <v>28</v>
      </c>
      <c r="N4507" s="11" t="s">
        <v>56</v>
      </c>
      <c r="O4507" s="11" t="s">
        <v>2203</v>
      </c>
      <c r="P4507" s="11" t="s">
        <v>38</v>
      </c>
      <c r="Q4507" s="20">
        <v>40584.0</v>
      </c>
      <c r="R4507" s="17">
        <f t="shared" si="2"/>
        <v>14.62308314</v>
      </c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>
        <f t="shared" si="8"/>
        <v>1</v>
      </c>
      <c r="AF4507" s="19">
        <f t="shared" si="13"/>
        <v>4</v>
      </c>
      <c r="AG4507" s="9"/>
      <c r="AH4507" s="9"/>
      <c r="AI4507" s="9"/>
    </row>
    <row r="4508" ht="15.0" customHeight="1">
      <c r="A4508" s="11">
        <v>4507.0</v>
      </c>
      <c r="B4508" s="12">
        <f t="shared" si="710"/>
        <v>40582</v>
      </c>
      <c r="C4508" s="13">
        <v>2011.0</v>
      </c>
      <c r="D4508" s="11" t="s">
        <v>39</v>
      </c>
      <c r="E4508" s="11">
        <v>13.0</v>
      </c>
      <c r="F4508" s="21" t="s">
        <v>1441</v>
      </c>
      <c r="G4508" s="15">
        <v>0.042834138486312345</v>
      </c>
      <c r="H4508" s="11" t="s">
        <v>33</v>
      </c>
      <c r="I4508" s="16">
        <v>4.4799999999999995</v>
      </c>
      <c r="J4508" s="11" t="s">
        <v>353</v>
      </c>
      <c r="K4508" s="11" t="s">
        <v>117</v>
      </c>
      <c r="L4508" s="11" t="s">
        <v>41</v>
      </c>
      <c r="M4508" s="11" t="s">
        <v>28</v>
      </c>
      <c r="N4508" s="11" t="s">
        <v>42</v>
      </c>
      <c r="O4508" s="11" t="s">
        <v>1443</v>
      </c>
      <c r="P4508" s="11" t="s">
        <v>38</v>
      </c>
      <c r="Q4508" s="20">
        <v>40584.0</v>
      </c>
      <c r="R4508" s="17">
        <f t="shared" si="2"/>
        <v>5.092122383</v>
      </c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>
        <f t="shared" si="8"/>
        <v>3</v>
      </c>
      <c r="AF4508" s="19" t="b">
        <f t="shared" si="13"/>
        <v>0</v>
      </c>
      <c r="AG4508" s="9"/>
      <c r="AH4508" s="9"/>
      <c r="AI4508" s="9"/>
    </row>
    <row r="4509" ht="15.0" customHeight="1">
      <c r="A4509" s="11">
        <v>4508.0</v>
      </c>
      <c r="B4509" s="12">
        <f t="shared" si="710"/>
        <v>40582</v>
      </c>
      <c r="C4509" s="13">
        <v>2011.0</v>
      </c>
      <c r="D4509" s="11" t="s">
        <v>39</v>
      </c>
      <c r="E4509" s="11">
        <v>50.0</v>
      </c>
      <c r="F4509" s="21" t="s">
        <v>440</v>
      </c>
      <c r="G4509" s="15">
        <v>0.04832281087016191</v>
      </c>
      <c r="H4509" s="11" t="s">
        <v>33</v>
      </c>
      <c r="I4509" s="16">
        <v>6.696</v>
      </c>
      <c r="J4509" s="11" t="s">
        <v>808</v>
      </c>
      <c r="K4509" s="11" t="s">
        <v>83</v>
      </c>
      <c r="L4509" s="11" t="s">
        <v>48</v>
      </c>
      <c r="M4509" s="11" t="s">
        <v>28</v>
      </c>
      <c r="N4509" s="11" t="s">
        <v>442</v>
      </c>
      <c r="O4509" s="11" t="s">
        <v>443</v>
      </c>
      <c r="P4509" s="11" t="s">
        <v>99</v>
      </c>
      <c r="Q4509" s="20">
        <v>40584.0</v>
      </c>
      <c r="R4509" s="17">
        <f t="shared" si="2"/>
        <v>16.75332524</v>
      </c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>
        <f t="shared" si="8"/>
        <v>4</v>
      </c>
      <c r="AF4509" s="19" t="b">
        <f t="shared" si="13"/>
        <v>0</v>
      </c>
      <c r="AG4509" s="9"/>
      <c r="AH4509" s="9"/>
      <c r="AI4509" s="9"/>
    </row>
    <row r="4510" ht="15.0" customHeight="1">
      <c r="A4510" s="11">
        <v>4509.0</v>
      </c>
      <c r="B4510" s="12">
        <f t="shared" ref="B4510:B4511" si="711">DATE(2012,12,31)-691</f>
        <v>40583</v>
      </c>
      <c r="C4510" s="13">
        <v>2011.0</v>
      </c>
      <c r="D4510" s="11" t="s">
        <v>39</v>
      </c>
      <c r="E4510" s="11">
        <v>50.0</v>
      </c>
      <c r="F4510" s="21" t="s">
        <v>221</v>
      </c>
      <c r="G4510" s="15">
        <v>0.08306608815946671</v>
      </c>
      <c r="H4510" s="11" t="s">
        <v>24</v>
      </c>
      <c r="I4510" s="16">
        <v>3.2</v>
      </c>
      <c r="J4510" s="11" t="s">
        <v>2105</v>
      </c>
      <c r="K4510" s="11" t="s">
        <v>61</v>
      </c>
      <c r="L4510" s="11" t="s">
        <v>36</v>
      </c>
      <c r="M4510" s="11" t="s">
        <v>66</v>
      </c>
      <c r="N4510" s="11" t="s">
        <v>67</v>
      </c>
      <c r="O4510" s="11" t="s">
        <v>1132</v>
      </c>
      <c r="P4510" s="11" t="s">
        <v>38</v>
      </c>
      <c r="Q4510" s="20">
        <v>40585.0</v>
      </c>
      <c r="R4510" s="17">
        <f t="shared" si="2"/>
        <v>121.1269698</v>
      </c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>
        <f t="shared" si="8"/>
        <v>2</v>
      </c>
      <c r="AF4510" s="19">
        <f t="shared" si="13"/>
        <v>4</v>
      </c>
      <c r="AG4510" s="9"/>
      <c r="AH4510" s="9"/>
      <c r="AI4510" s="9"/>
    </row>
    <row r="4511" ht="15.0" customHeight="1">
      <c r="A4511" s="11">
        <v>4510.0</v>
      </c>
      <c r="B4511" s="12">
        <f t="shared" si="711"/>
        <v>40583</v>
      </c>
      <c r="C4511" s="13">
        <v>2011.0</v>
      </c>
      <c r="D4511" s="11" t="s">
        <v>39</v>
      </c>
      <c r="E4511" s="11">
        <v>10.0</v>
      </c>
      <c r="F4511" s="21" t="s">
        <v>328</v>
      </c>
      <c r="G4511" s="15">
        <v>0.012219469026548666</v>
      </c>
      <c r="H4511" s="11" t="s">
        <v>33</v>
      </c>
      <c r="I4511" s="16">
        <v>7.192</v>
      </c>
      <c r="J4511" s="11" t="s">
        <v>2105</v>
      </c>
      <c r="K4511" s="11" t="s">
        <v>61</v>
      </c>
      <c r="L4511" s="11" t="s">
        <v>36</v>
      </c>
      <c r="M4511" s="11" t="s">
        <v>66</v>
      </c>
      <c r="N4511" s="11" t="s">
        <v>80</v>
      </c>
      <c r="O4511" s="11" t="s">
        <v>1651</v>
      </c>
      <c r="P4511" s="11" t="s">
        <v>38</v>
      </c>
      <c r="Q4511" s="20">
        <v>40585.0</v>
      </c>
      <c r="R4511" s="17">
        <f t="shared" si="2"/>
        <v>13.63927357</v>
      </c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>
        <f t="shared" si="8"/>
        <v>2</v>
      </c>
      <c r="AF4511" s="19">
        <f t="shared" si="13"/>
        <v>4</v>
      </c>
      <c r="AG4511" s="9"/>
      <c r="AH4511" s="9"/>
      <c r="AI4511" s="9"/>
    </row>
    <row r="4512" ht="15.0" customHeight="1">
      <c r="A4512" s="11">
        <v>4511.0</v>
      </c>
      <c r="B4512" s="12">
        <f t="shared" ref="B4512:B4519" si="712">DATE(2012,12,31)-690</f>
        <v>40584</v>
      </c>
      <c r="C4512" s="13">
        <v>2011.0</v>
      </c>
      <c r="D4512" s="11" t="s">
        <v>44</v>
      </c>
      <c r="E4512" s="11">
        <v>9.0</v>
      </c>
      <c r="F4512" s="21" t="s">
        <v>2327</v>
      </c>
      <c r="G4512" s="15">
        <v>0.044331641285955965</v>
      </c>
      <c r="H4512" s="11" t="s">
        <v>33</v>
      </c>
      <c r="I4512" s="16">
        <v>4.960000000000001</v>
      </c>
      <c r="J4512" s="11" t="s">
        <v>648</v>
      </c>
      <c r="K4512" s="11" t="s">
        <v>35</v>
      </c>
      <c r="L4512" s="11" t="s">
        <v>27</v>
      </c>
      <c r="M4512" s="11" t="s">
        <v>49</v>
      </c>
      <c r="N4512" s="11" t="s">
        <v>73</v>
      </c>
      <c r="O4512" s="11" t="s">
        <v>2328</v>
      </c>
      <c r="P4512" s="11" t="s">
        <v>58</v>
      </c>
      <c r="Q4512" s="20">
        <v>40585.0</v>
      </c>
      <c r="R4512" s="17">
        <f t="shared" si="2"/>
        <v>5.0077022</v>
      </c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>
        <f t="shared" si="8"/>
        <v>1</v>
      </c>
      <c r="AF4512" s="19">
        <f t="shared" si="13"/>
        <v>2</v>
      </c>
      <c r="AG4512" s="9"/>
      <c r="AH4512" s="9"/>
      <c r="AI4512" s="9"/>
    </row>
    <row r="4513" ht="15.0" customHeight="1">
      <c r="A4513" s="11">
        <v>4512.0</v>
      </c>
      <c r="B4513" s="12">
        <f t="shared" si="712"/>
        <v>40584</v>
      </c>
      <c r="C4513" s="13">
        <v>2011.0</v>
      </c>
      <c r="D4513" s="11" t="s">
        <v>44</v>
      </c>
      <c r="E4513" s="11">
        <v>35.0</v>
      </c>
      <c r="F4513" s="21" t="s">
        <v>128</v>
      </c>
      <c r="G4513" s="15">
        <v>0.0393299058905542</v>
      </c>
      <c r="H4513" s="11" t="s">
        <v>33</v>
      </c>
      <c r="I4513" s="16">
        <v>3.3600000000000003</v>
      </c>
      <c r="J4513" s="11" t="s">
        <v>648</v>
      </c>
      <c r="K4513" s="11" t="s">
        <v>35</v>
      </c>
      <c r="L4513" s="11" t="s">
        <v>27</v>
      </c>
      <c r="M4513" s="11" t="s">
        <v>66</v>
      </c>
      <c r="N4513" s="11" t="s">
        <v>80</v>
      </c>
      <c r="O4513" s="11" t="s">
        <v>1601</v>
      </c>
      <c r="P4513" s="11" t="s">
        <v>38</v>
      </c>
      <c r="Q4513" s="20">
        <v>40586.0</v>
      </c>
      <c r="R4513" s="17">
        <f t="shared" si="2"/>
        <v>173.4393788</v>
      </c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>
        <f t="shared" si="8"/>
        <v>1</v>
      </c>
      <c r="AF4513" s="19">
        <f t="shared" si="13"/>
        <v>2</v>
      </c>
      <c r="AG4513" s="9"/>
      <c r="AH4513" s="9"/>
      <c r="AI4513" s="9"/>
    </row>
    <row r="4514" ht="15.0" customHeight="1">
      <c r="A4514" s="11">
        <v>4513.0</v>
      </c>
      <c r="B4514" s="12">
        <f t="shared" si="712"/>
        <v>40584</v>
      </c>
      <c r="C4514" s="13">
        <v>2011.0</v>
      </c>
      <c r="D4514" s="11" t="s">
        <v>44</v>
      </c>
      <c r="E4514" s="11">
        <v>48.0</v>
      </c>
      <c r="F4514" s="21" t="s">
        <v>933</v>
      </c>
      <c r="G4514" s="15">
        <v>0.04948533833256698</v>
      </c>
      <c r="H4514" s="11" t="s">
        <v>33</v>
      </c>
      <c r="I4514" s="16">
        <v>4.0</v>
      </c>
      <c r="J4514" s="11" t="s">
        <v>1349</v>
      </c>
      <c r="K4514" s="11" t="s">
        <v>61</v>
      </c>
      <c r="L4514" s="11" t="s">
        <v>36</v>
      </c>
      <c r="M4514" s="11" t="s">
        <v>66</v>
      </c>
      <c r="N4514" s="11" t="s">
        <v>80</v>
      </c>
      <c r="O4514" s="11" t="s">
        <v>1026</v>
      </c>
      <c r="P4514" s="11" t="s">
        <v>99</v>
      </c>
      <c r="Q4514" s="20">
        <v>40586.0</v>
      </c>
      <c r="R4514" s="17">
        <f t="shared" si="2"/>
        <v>132.9770012</v>
      </c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>
        <f t="shared" si="8"/>
        <v>2</v>
      </c>
      <c r="AF4514" s="19">
        <f t="shared" si="13"/>
        <v>4</v>
      </c>
      <c r="AG4514" s="9"/>
      <c r="AH4514" s="9"/>
      <c r="AI4514" s="9"/>
    </row>
    <row r="4515" ht="15.0" customHeight="1">
      <c r="A4515" s="11">
        <v>4514.0</v>
      </c>
      <c r="B4515" s="12">
        <f t="shared" si="712"/>
        <v>40584</v>
      </c>
      <c r="C4515" s="13">
        <v>2011.0</v>
      </c>
      <c r="D4515" s="11" t="s">
        <v>39</v>
      </c>
      <c r="E4515" s="11">
        <v>31.0</v>
      </c>
      <c r="F4515" s="21" t="s">
        <v>325</v>
      </c>
      <c r="G4515" s="15">
        <v>0.022857142857142878</v>
      </c>
      <c r="H4515" s="11" t="s">
        <v>33</v>
      </c>
      <c r="I4515" s="16">
        <v>1.8800000000000001</v>
      </c>
      <c r="J4515" s="11" t="s">
        <v>928</v>
      </c>
      <c r="K4515" s="11" t="s">
        <v>61</v>
      </c>
      <c r="L4515" s="11" t="s">
        <v>36</v>
      </c>
      <c r="M4515" s="11" t="s">
        <v>28</v>
      </c>
      <c r="N4515" s="11" t="s">
        <v>62</v>
      </c>
      <c r="O4515" s="11" t="s">
        <v>1113</v>
      </c>
      <c r="P4515" s="11" t="s">
        <v>58</v>
      </c>
      <c r="Q4515" s="20">
        <v>40586.0</v>
      </c>
      <c r="R4515" s="17">
        <f t="shared" si="2"/>
        <v>5.002971429</v>
      </c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>
        <f t="shared" si="8"/>
        <v>2</v>
      </c>
      <c r="AF4515" s="19">
        <f t="shared" si="13"/>
        <v>4</v>
      </c>
      <c r="AG4515" s="9"/>
      <c r="AH4515" s="9"/>
      <c r="AI4515" s="9"/>
    </row>
    <row r="4516" ht="15.0" customHeight="1">
      <c r="A4516" s="11">
        <v>4515.0</v>
      </c>
      <c r="B4516" s="12">
        <f t="shared" si="712"/>
        <v>40584</v>
      </c>
      <c r="C4516" s="13">
        <v>2011.0</v>
      </c>
      <c r="D4516" s="11" t="s">
        <v>39</v>
      </c>
      <c r="E4516" s="11">
        <v>4.0</v>
      </c>
      <c r="F4516" s="21" t="s">
        <v>2160</v>
      </c>
      <c r="G4516" s="15">
        <v>0.00819469379613007</v>
      </c>
      <c r="H4516" s="11" t="s">
        <v>33</v>
      </c>
      <c r="I4516" s="16">
        <v>15.991999999999999</v>
      </c>
      <c r="J4516" s="11" t="s">
        <v>928</v>
      </c>
      <c r="K4516" s="11" t="s">
        <v>61</v>
      </c>
      <c r="L4516" s="11" t="s">
        <v>36</v>
      </c>
      <c r="M4516" s="11" t="s">
        <v>28</v>
      </c>
      <c r="N4516" s="11" t="s">
        <v>29</v>
      </c>
      <c r="O4516" s="11" t="s">
        <v>2161</v>
      </c>
      <c r="P4516" s="11" t="s">
        <v>38</v>
      </c>
      <c r="Q4516" s="20">
        <v>40586.0</v>
      </c>
      <c r="R4516" s="17">
        <f t="shared" si="2"/>
        <v>4.074336198</v>
      </c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>
        <f t="shared" si="8"/>
        <v>2</v>
      </c>
      <c r="AF4516" s="19">
        <f t="shared" si="13"/>
        <v>4</v>
      </c>
      <c r="AG4516" s="9"/>
      <c r="AH4516" s="9"/>
      <c r="AI4516" s="9"/>
    </row>
    <row r="4517" ht="15.0" customHeight="1">
      <c r="A4517" s="11">
        <v>4516.0</v>
      </c>
      <c r="B4517" s="12">
        <f t="shared" si="712"/>
        <v>40584</v>
      </c>
      <c r="C4517" s="13">
        <v>2011.0</v>
      </c>
      <c r="D4517" s="11" t="s">
        <v>39</v>
      </c>
      <c r="E4517" s="11">
        <v>6.0</v>
      </c>
      <c r="F4517" s="21" t="s">
        <v>100</v>
      </c>
      <c r="G4517" s="15">
        <v>0.05835707790239453</v>
      </c>
      <c r="H4517" s="11" t="s">
        <v>24</v>
      </c>
      <c r="I4517" s="16">
        <v>7.192</v>
      </c>
      <c r="J4517" s="11" t="s">
        <v>928</v>
      </c>
      <c r="K4517" s="11" t="s">
        <v>61</v>
      </c>
      <c r="L4517" s="11" t="s">
        <v>36</v>
      </c>
      <c r="M4517" s="11" t="s">
        <v>66</v>
      </c>
      <c r="N4517" s="11" t="s">
        <v>80</v>
      </c>
      <c r="O4517" s="11" t="s">
        <v>615</v>
      </c>
      <c r="P4517" s="11" t="s">
        <v>38</v>
      </c>
      <c r="Q4517" s="20">
        <v>40586.0</v>
      </c>
      <c r="R4517" s="17">
        <f t="shared" si="2"/>
        <v>72.51403814</v>
      </c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>
        <f t="shared" si="8"/>
        <v>2</v>
      </c>
      <c r="AF4517" s="19">
        <f t="shared" si="13"/>
        <v>4</v>
      </c>
      <c r="AG4517" s="9"/>
      <c r="AH4517" s="9"/>
      <c r="AI4517" s="9"/>
    </row>
    <row r="4518" ht="15.0" customHeight="1">
      <c r="A4518" s="11">
        <v>4517.0</v>
      </c>
      <c r="B4518" s="12">
        <f t="shared" si="712"/>
        <v>40584</v>
      </c>
      <c r="C4518" s="13">
        <v>2011.0</v>
      </c>
      <c r="D4518" s="11" t="s">
        <v>44</v>
      </c>
      <c r="E4518" s="11">
        <v>26.0</v>
      </c>
      <c r="F4518" s="21" t="s">
        <v>1084</v>
      </c>
      <c r="G4518" s="15">
        <v>0.08950800237107272</v>
      </c>
      <c r="H4518" s="11" t="s">
        <v>33</v>
      </c>
      <c r="I4518" s="16">
        <v>39.2</v>
      </c>
      <c r="J4518" s="11" t="s">
        <v>659</v>
      </c>
      <c r="K4518" s="11" t="s">
        <v>26</v>
      </c>
      <c r="L4518" s="11" t="s">
        <v>48</v>
      </c>
      <c r="M4518" s="11" t="s">
        <v>28</v>
      </c>
      <c r="N4518" s="11" t="s">
        <v>197</v>
      </c>
      <c r="O4518" s="11" t="s">
        <v>1096</v>
      </c>
      <c r="P4518" s="11" t="s">
        <v>31</v>
      </c>
      <c r="Q4518" s="20">
        <v>40587.0</v>
      </c>
      <c r="R4518" s="17">
        <f t="shared" si="2"/>
        <v>13.74842916</v>
      </c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>
        <f t="shared" si="8"/>
        <v>4</v>
      </c>
      <c r="AF4518" s="19">
        <f t="shared" si="13"/>
        <v>1</v>
      </c>
      <c r="AG4518" s="9"/>
      <c r="AH4518" s="9"/>
      <c r="AI4518" s="9"/>
    </row>
    <row r="4519" ht="15.0" customHeight="1">
      <c r="A4519" s="11">
        <v>4518.0</v>
      </c>
      <c r="B4519" s="12">
        <f t="shared" si="712"/>
        <v>40584</v>
      </c>
      <c r="C4519" s="13">
        <v>2011.0</v>
      </c>
      <c r="D4519" s="11" t="s">
        <v>23</v>
      </c>
      <c r="E4519" s="11">
        <v>43.0</v>
      </c>
      <c r="F4519" s="21" t="s">
        <v>306</v>
      </c>
      <c r="G4519" s="15">
        <v>0.07188063546586523</v>
      </c>
      <c r="H4519" s="11" t="s">
        <v>33</v>
      </c>
      <c r="I4519" s="16">
        <v>8.936</v>
      </c>
      <c r="J4519" s="11" t="s">
        <v>1256</v>
      </c>
      <c r="K4519" s="11" t="s">
        <v>83</v>
      </c>
      <c r="L4519" s="11" t="s">
        <v>48</v>
      </c>
      <c r="M4519" s="11" t="s">
        <v>49</v>
      </c>
      <c r="N4519" s="11" t="s">
        <v>73</v>
      </c>
      <c r="O4519" s="11" t="s">
        <v>125</v>
      </c>
      <c r="P4519" s="11" t="s">
        <v>31</v>
      </c>
      <c r="Q4519" s="20">
        <v>40587.0</v>
      </c>
      <c r="R4519" s="17">
        <f t="shared" si="2"/>
        <v>62.15058513</v>
      </c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>
        <f t="shared" si="8"/>
        <v>4</v>
      </c>
      <c r="AF4519" s="19" t="b">
        <f t="shared" si="13"/>
        <v>0</v>
      </c>
      <c r="AG4519" s="9"/>
      <c r="AH4519" s="9"/>
      <c r="AI4519" s="9"/>
    </row>
    <row r="4520" ht="15.0" customHeight="1">
      <c r="A4520" s="11">
        <v>4519.0</v>
      </c>
      <c r="B4520" s="12">
        <f t="shared" ref="B4520:B4524" si="713">DATE(2012,12,31)-689</f>
        <v>40585</v>
      </c>
      <c r="C4520" s="13">
        <v>2011.0</v>
      </c>
      <c r="D4520" s="11" t="s">
        <v>44</v>
      </c>
      <c r="E4520" s="11">
        <v>41.0</v>
      </c>
      <c r="F4520" s="21" t="s">
        <v>1144</v>
      </c>
      <c r="G4520" s="15">
        <v>0.06044215334724276</v>
      </c>
      <c r="H4520" s="11" t="s">
        <v>33</v>
      </c>
      <c r="I4520" s="16">
        <v>15.991999999999999</v>
      </c>
      <c r="J4520" s="11" t="s">
        <v>1257</v>
      </c>
      <c r="K4520" s="11" t="s">
        <v>35</v>
      </c>
      <c r="L4520" s="11" t="s">
        <v>36</v>
      </c>
      <c r="M4520" s="11" t="s">
        <v>28</v>
      </c>
      <c r="N4520" s="11" t="s">
        <v>29</v>
      </c>
      <c r="O4520" s="11" t="s">
        <v>1146</v>
      </c>
      <c r="P4520" s="11" t="s">
        <v>38</v>
      </c>
      <c r="Q4520" s="20">
        <v>40587.0</v>
      </c>
      <c r="R4520" s="17">
        <f t="shared" si="2"/>
        <v>1039.550156</v>
      </c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>
        <f t="shared" si="8"/>
        <v>2</v>
      </c>
      <c r="AF4520" s="19">
        <f t="shared" si="13"/>
        <v>2</v>
      </c>
      <c r="AG4520" s="9"/>
      <c r="AH4520" s="9"/>
      <c r="AI4520" s="9"/>
    </row>
    <row r="4521" ht="15.0" customHeight="1">
      <c r="A4521" s="11">
        <v>4520.0</v>
      </c>
      <c r="B4521" s="12">
        <f t="shared" si="713"/>
        <v>40585</v>
      </c>
      <c r="C4521" s="13">
        <v>2011.0</v>
      </c>
      <c r="D4521" s="11" t="s">
        <v>39</v>
      </c>
      <c r="E4521" s="11">
        <v>1.0</v>
      </c>
      <c r="F4521" s="21" t="s">
        <v>1904</v>
      </c>
      <c r="G4521" s="15">
        <v>0.029691470054446552</v>
      </c>
      <c r="H4521" s="11" t="s">
        <v>33</v>
      </c>
      <c r="I4521" s="16">
        <v>19.592</v>
      </c>
      <c r="J4521" s="11" t="s">
        <v>2035</v>
      </c>
      <c r="K4521" s="11" t="s">
        <v>35</v>
      </c>
      <c r="L4521" s="11" t="s">
        <v>27</v>
      </c>
      <c r="M4521" s="11" t="s">
        <v>49</v>
      </c>
      <c r="N4521" s="11" t="s">
        <v>50</v>
      </c>
      <c r="O4521" s="11" t="s">
        <v>2054</v>
      </c>
      <c r="P4521" s="11" t="s">
        <v>31</v>
      </c>
      <c r="Q4521" s="20">
        <v>40587.0</v>
      </c>
      <c r="R4521" s="17">
        <f t="shared" si="2"/>
        <v>4.762274265</v>
      </c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>
        <f t="shared" si="8"/>
        <v>1</v>
      </c>
      <c r="AF4521" s="19">
        <f t="shared" si="13"/>
        <v>2</v>
      </c>
      <c r="AG4521" s="9"/>
      <c r="AH4521" s="9"/>
      <c r="AI4521" s="9"/>
    </row>
    <row r="4522" ht="15.0" customHeight="1">
      <c r="A4522" s="11">
        <v>4521.0</v>
      </c>
      <c r="B4522" s="12">
        <f t="shared" si="713"/>
        <v>40585</v>
      </c>
      <c r="C4522" s="13">
        <v>2011.0</v>
      </c>
      <c r="D4522" s="11" t="s">
        <v>32</v>
      </c>
      <c r="E4522" s="11">
        <v>10.0</v>
      </c>
      <c r="F4522" s="21" t="s">
        <v>264</v>
      </c>
      <c r="G4522" s="15">
        <v>0.09515911282545814</v>
      </c>
      <c r="H4522" s="11" t="s">
        <v>33</v>
      </c>
      <c r="I4522" s="16">
        <v>6.832</v>
      </c>
      <c r="J4522" s="11" t="s">
        <v>2229</v>
      </c>
      <c r="K4522" s="11" t="s">
        <v>61</v>
      </c>
      <c r="L4522" s="11" t="s">
        <v>27</v>
      </c>
      <c r="M4522" s="11" t="s">
        <v>49</v>
      </c>
      <c r="N4522" s="11" t="s">
        <v>73</v>
      </c>
      <c r="O4522" s="11" t="s">
        <v>1838</v>
      </c>
      <c r="P4522" s="11" t="s">
        <v>99</v>
      </c>
      <c r="Q4522" s="20">
        <v>40587.0</v>
      </c>
      <c r="R4522" s="17">
        <f t="shared" si="2"/>
        <v>8.928969875</v>
      </c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>
        <f t="shared" si="8"/>
        <v>1</v>
      </c>
      <c r="AF4522" s="19">
        <f t="shared" si="13"/>
        <v>4</v>
      </c>
      <c r="AG4522" s="9"/>
      <c r="AH4522" s="9"/>
      <c r="AI4522" s="9"/>
    </row>
    <row r="4523" ht="15.0" customHeight="1">
      <c r="A4523" s="11">
        <v>4522.0</v>
      </c>
      <c r="B4523" s="12">
        <f t="shared" si="713"/>
        <v>40585</v>
      </c>
      <c r="C4523" s="13">
        <v>2011.0</v>
      </c>
      <c r="D4523" s="11" t="s">
        <v>32</v>
      </c>
      <c r="E4523" s="11">
        <v>40.0</v>
      </c>
      <c r="F4523" s="21" t="s">
        <v>552</v>
      </c>
      <c r="G4523" s="15">
        <v>0.05559796437659021</v>
      </c>
      <c r="H4523" s="11" t="s">
        <v>24</v>
      </c>
      <c r="I4523" s="16">
        <v>8.92</v>
      </c>
      <c r="J4523" s="11" t="s">
        <v>2229</v>
      </c>
      <c r="K4523" s="11" t="s">
        <v>61</v>
      </c>
      <c r="L4523" s="11" t="s">
        <v>27</v>
      </c>
      <c r="M4523" s="11" t="s">
        <v>28</v>
      </c>
      <c r="N4523" s="11" t="s">
        <v>56</v>
      </c>
      <c r="O4523" s="11" t="s">
        <v>553</v>
      </c>
      <c r="P4523" s="11" t="s">
        <v>38</v>
      </c>
      <c r="Q4523" s="20">
        <v>40588.0</v>
      </c>
      <c r="R4523" s="17">
        <f t="shared" si="2"/>
        <v>16.50814758</v>
      </c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>
        <f t="shared" si="8"/>
        <v>1</v>
      </c>
      <c r="AF4523" s="19">
        <f t="shared" si="13"/>
        <v>4</v>
      </c>
      <c r="AG4523" s="9"/>
      <c r="AH4523" s="9"/>
      <c r="AI4523" s="9"/>
    </row>
    <row r="4524" ht="15.0" customHeight="1">
      <c r="A4524" s="11">
        <v>4523.0</v>
      </c>
      <c r="B4524" s="12">
        <f t="shared" si="713"/>
        <v>40585</v>
      </c>
      <c r="C4524" s="13">
        <v>2011.0</v>
      </c>
      <c r="D4524" s="11" t="s">
        <v>32</v>
      </c>
      <c r="E4524" s="11">
        <v>35.0</v>
      </c>
      <c r="F4524" s="21" t="s">
        <v>1091</v>
      </c>
      <c r="G4524" s="15">
        <v>0.027105889579973858</v>
      </c>
      <c r="H4524" s="11" t="s">
        <v>33</v>
      </c>
      <c r="I4524" s="16">
        <v>28.0</v>
      </c>
      <c r="J4524" s="11" t="s">
        <v>2229</v>
      </c>
      <c r="K4524" s="11" t="s">
        <v>61</v>
      </c>
      <c r="L4524" s="11" t="s">
        <v>27</v>
      </c>
      <c r="M4524" s="11" t="s">
        <v>28</v>
      </c>
      <c r="N4524" s="11" t="s">
        <v>29</v>
      </c>
      <c r="O4524" s="11" t="s">
        <v>2018</v>
      </c>
      <c r="P4524" s="11" t="s">
        <v>31</v>
      </c>
      <c r="Q4524" s="20">
        <v>40588.0</v>
      </c>
      <c r="R4524" s="17">
        <f t="shared" si="2"/>
        <v>34.3431621</v>
      </c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>
        <f t="shared" si="8"/>
        <v>1</v>
      </c>
      <c r="AF4524" s="19">
        <f t="shared" si="13"/>
        <v>4</v>
      </c>
      <c r="AG4524" s="9"/>
      <c r="AH4524" s="9"/>
      <c r="AI4524" s="9"/>
    </row>
    <row r="4525" ht="15.0" customHeight="1">
      <c r="A4525" s="11">
        <v>4524.0</v>
      </c>
      <c r="B4525" s="12">
        <f t="shared" ref="B4525:B4528" si="714">DATE(2012,12,31)-688</f>
        <v>40586</v>
      </c>
      <c r="C4525" s="13">
        <v>2011.0</v>
      </c>
      <c r="D4525" s="11" t="s">
        <v>44</v>
      </c>
      <c r="E4525" s="11">
        <v>30.0</v>
      </c>
      <c r="F4525" s="21" t="s">
        <v>1330</v>
      </c>
      <c r="G4525" s="15">
        <v>0.015702663901738616</v>
      </c>
      <c r="H4525" s="11" t="s">
        <v>33</v>
      </c>
      <c r="I4525" s="16">
        <v>5.056000000000001</v>
      </c>
      <c r="J4525" s="11" t="s">
        <v>196</v>
      </c>
      <c r="K4525" s="11" t="s">
        <v>65</v>
      </c>
      <c r="L4525" s="11" t="s">
        <v>27</v>
      </c>
      <c r="M4525" s="11" t="s">
        <v>28</v>
      </c>
      <c r="N4525" s="11" t="s">
        <v>197</v>
      </c>
      <c r="O4525" s="11" t="s">
        <v>1331</v>
      </c>
      <c r="P4525" s="11" t="s">
        <v>38</v>
      </c>
      <c r="Q4525" s="20">
        <v>40588.0</v>
      </c>
      <c r="R4525" s="17">
        <f t="shared" si="2"/>
        <v>9.689422977</v>
      </c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>
        <f t="shared" si="8"/>
        <v>1</v>
      </c>
      <c r="AF4525" s="19">
        <f t="shared" si="13"/>
        <v>5</v>
      </c>
      <c r="AG4525" s="9"/>
      <c r="AH4525" s="9"/>
      <c r="AI4525" s="9"/>
    </row>
    <row r="4526" ht="15.0" customHeight="1">
      <c r="A4526" s="11">
        <v>4525.0</v>
      </c>
      <c r="B4526" s="12">
        <f t="shared" si="714"/>
        <v>40586</v>
      </c>
      <c r="C4526" s="13">
        <v>2011.0</v>
      </c>
      <c r="D4526" s="11" t="s">
        <v>44</v>
      </c>
      <c r="E4526" s="11">
        <v>35.0</v>
      </c>
      <c r="F4526" s="21" t="s">
        <v>632</v>
      </c>
      <c r="G4526" s="15">
        <v>0.07427901524032829</v>
      </c>
      <c r="H4526" s="11" t="s">
        <v>33</v>
      </c>
      <c r="I4526" s="16">
        <v>2.3920000000000003</v>
      </c>
      <c r="J4526" s="11" t="s">
        <v>196</v>
      </c>
      <c r="K4526" s="11" t="s">
        <v>65</v>
      </c>
      <c r="L4526" s="11" t="s">
        <v>27</v>
      </c>
      <c r="M4526" s="11" t="s">
        <v>28</v>
      </c>
      <c r="N4526" s="11" t="s">
        <v>42</v>
      </c>
      <c r="O4526" s="11" t="s">
        <v>1576</v>
      </c>
      <c r="P4526" s="11" t="s">
        <v>38</v>
      </c>
      <c r="Q4526" s="20">
        <v>40588.0</v>
      </c>
      <c r="R4526" s="17">
        <f t="shared" si="2"/>
        <v>17.59610448</v>
      </c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>
        <f t="shared" si="8"/>
        <v>1</v>
      </c>
      <c r="AF4526" s="19">
        <f t="shared" si="13"/>
        <v>5</v>
      </c>
      <c r="AG4526" s="9"/>
      <c r="AH4526" s="9"/>
      <c r="AI4526" s="9"/>
    </row>
    <row r="4527" ht="15.0" customHeight="1">
      <c r="A4527" s="11">
        <v>4526.0</v>
      </c>
      <c r="B4527" s="12">
        <f t="shared" si="714"/>
        <v>40586</v>
      </c>
      <c r="C4527" s="13">
        <v>2011.0</v>
      </c>
      <c r="D4527" s="11" t="s">
        <v>44</v>
      </c>
      <c r="E4527" s="11">
        <v>14.0</v>
      </c>
      <c r="F4527" s="21" t="s">
        <v>624</v>
      </c>
      <c r="G4527" s="15">
        <v>0.07635597682991048</v>
      </c>
      <c r="H4527" s="11" t="s">
        <v>33</v>
      </c>
      <c r="I4527" s="16">
        <v>0.4</v>
      </c>
      <c r="J4527" s="11" t="s">
        <v>196</v>
      </c>
      <c r="K4527" s="11" t="s">
        <v>65</v>
      </c>
      <c r="L4527" s="11" t="s">
        <v>27</v>
      </c>
      <c r="M4527" s="11" t="s">
        <v>28</v>
      </c>
      <c r="N4527" s="11" t="s">
        <v>188</v>
      </c>
      <c r="O4527" s="11" t="s">
        <v>1083</v>
      </c>
      <c r="P4527" s="11" t="s">
        <v>38</v>
      </c>
      <c r="Q4527" s="20">
        <v>40588.0</v>
      </c>
      <c r="R4527" s="17">
        <f t="shared" si="2"/>
        <v>13.39283834</v>
      </c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>
        <f t="shared" si="8"/>
        <v>1</v>
      </c>
      <c r="AF4527" s="19">
        <f t="shared" si="13"/>
        <v>5</v>
      </c>
      <c r="AG4527" s="9"/>
      <c r="AH4527" s="9"/>
      <c r="AI4527" s="9"/>
    </row>
    <row r="4528" ht="15.0" customHeight="1">
      <c r="A4528" s="11">
        <v>4527.0</v>
      </c>
      <c r="B4528" s="12">
        <f t="shared" si="714"/>
        <v>40586</v>
      </c>
      <c r="C4528" s="13">
        <v>2011.0</v>
      </c>
      <c r="D4528" s="11" t="s">
        <v>23</v>
      </c>
      <c r="E4528" s="11">
        <v>35.0</v>
      </c>
      <c r="F4528" s="21" t="s">
        <v>1416</v>
      </c>
      <c r="G4528" s="15">
        <v>0.01220280391780295</v>
      </c>
      <c r="H4528" s="11" t="s">
        <v>45</v>
      </c>
      <c r="I4528" s="16">
        <v>36.96</v>
      </c>
      <c r="J4528" s="11" t="s">
        <v>1578</v>
      </c>
      <c r="K4528" s="11" t="s">
        <v>26</v>
      </c>
      <c r="L4528" s="11" t="s">
        <v>27</v>
      </c>
      <c r="M4528" s="11" t="s">
        <v>49</v>
      </c>
      <c r="N4528" s="11" t="s">
        <v>85</v>
      </c>
      <c r="O4528" s="11" t="s">
        <v>1418</v>
      </c>
      <c r="P4528" s="11" t="s">
        <v>87</v>
      </c>
      <c r="Q4528" s="20">
        <v>40588.0</v>
      </c>
      <c r="R4528" s="17">
        <f t="shared" si="2"/>
        <v>62.76463384</v>
      </c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>
        <f t="shared" si="8"/>
        <v>1</v>
      </c>
      <c r="AF4528" s="19">
        <f t="shared" si="13"/>
        <v>1</v>
      </c>
      <c r="AG4528" s="9"/>
      <c r="AH4528" s="9"/>
      <c r="AI4528" s="9"/>
    </row>
    <row r="4529" ht="15.0" customHeight="1">
      <c r="A4529" s="11">
        <v>4528.0</v>
      </c>
      <c r="B4529" s="12">
        <f t="shared" ref="B4529:B4539" si="715">DATE(2012,12,31)-687</f>
        <v>40587</v>
      </c>
      <c r="C4529" s="13">
        <v>2011.0</v>
      </c>
      <c r="D4529" s="11" t="s">
        <v>102</v>
      </c>
      <c r="E4529" s="11">
        <v>28.0</v>
      </c>
      <c r="F4529" s="21" t="s">
        <v>178</v>
      </c>
      <c r="G4529" s="15">
        <v>0.03605820830630604</v>
      </c>
      <c r="H4529" s="11" t="s">
        <v>33</v>
      </c>
      <c r="I4529" s="16">
        <v>7.192</v>
      </c>
      <c r="J4529" s="11" t="s">
        <v>251</v>
      </c>
      <c r="K4529" s="11" t="s">
        <v>65</v>
      </c>
      <c r="L4529" s="11" t="s">
        <v>41</v>
      </c>
      <c r="M4529" s="11" t="s">
        <v>66</v>
      </c>
      <c r="N4529" s="11" t="s">
        <v>80</v>
      </c>
      <c r="O4529" s="11" t="s">
        <v>1213</v>
      </c>
      <c r="P4529" s="11" t="s">
        <v>38</v>
      </c>
      <c r="Q4529" s="20">
        <v>40588.0</v>
      </c>
      <c r="R4529" s="17">
        <f t="shared" si="2"/>
        <v>66.7939366</v>
      </c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>
        <f t="shared" si="8"/>
        <v>3</v>
      </c>
      <c r="AF4529" s="19">
        <f t="shared" si="13"/>
        <v>5</v>
      </c>
      <c r="AG4529" s="9"/>
      <c r="AH4529" s="9"/>
      <c r="AI4529" s="9"/>
    </row>
    <row r="4530" ht="15.0" customHeight="1">
      <c r="A4530" s="11">
        <v>4529.0</v>
      </c>
      <c r="B4530" s="12">
        <f t="shared" si="715"/>
        <v>40587</v>
      </c>
      <c r="C4530" s="13">
        <v>2011.0</v>
      </c>
      <c r="D4530" s="11" t="s">
        <v>102</v>
      </c>
      <c r="E4530" s="11">
        <v>17.0</v>
      </c>
      <c r="F4530" s="21" t="s">
        <v>122</v>
      </c>
      <c r="G4530" s="15">
        <v>0.02413812003288586</v>
      </c>
      <c r="H4530" s="11" t="s">
        <v>33</v>
      </c>
      <c r="I4530" s="16">
        <v>0.792</v>
      </c>
      <c r="J4530" s="11" t="s">
        <v>251</v>
      </c>
      <c r="K4530" s="11" t="s">
        <v>65</v>
      </c>
      <c r="L4530" s="11" t="s">
        <v>41</v>
      </c>
      <c r="M4530" s="11" t="s">
        <v>66</v>
      </c>
      <c r="N4530" s="11" t="s">
        <v>80</v>
      </c>
      <c r="O4530" s="11" t="s">
        <v>1854</v>
      </c>
      <c r="P4530" s="11" t="s">
        <v>58</v>
      </c>
      <c r="Q4530" s="20">
        <v>40589.0</v>
      </c>
      <c r="R4530" s="17">
        <f t="shared" si="2"/>
        <v>8.595391439</v>
      </c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>
        <f t="shared" si="8"/>
        <v>3</v>
      </c>
      <c r="AF4530" s="19">
        <f t="shared" si="13"/>
        <v>5</v>
      </c>
      <c r="AG4530" s="9"/>
      <c r="AH4530" s="9"/>
      <c r="AI4530" s="9"/>
    </row>
    <row r="4531" ht="15.0" customHeight="1">
      <c r="A4531" s="11">
        <v>4530.0</v>
      </c>
      <c r="B4531" s="12">
        <f t="shared" si="715"/>
        <v>40587</v>
      </c>
      <c r="C4531" s="13">
        <v>2011.0</v>
      </c>
      <c r="D4531" s="11" t="s">
        <v>23</v>
      </c>
      <c r="E4531" s="11">
        <v>6.0</v>
      </c>
      <c r="F4531" s="21" t="s">
        <v>137</v>
      </c>
      <c r="G4531" s="15">
        <v>0.10369774618909558</v>
      </c>
      <c r="H4531" s="11" t="s">
        <v>45</v>
      </c>
      <c r="I4531" s="16">
        <v>53.016</v>
      </c>
      <c r="J4531" s="11" t="s">
        <v>2023</v>
      </c>
      <c r="K4531" s="11" t="s">
        <v>83</v>
      </c>
      <c r="L4531" s="11" t="s">
        <v>36</v>
      </c>
      <c r="M4531" s="11" t="s">
        <v>49</v>
      </c>
      <c r="N4531" s="11" t="s">
        <v>156</v>
      </c>
      <c r="O4531" s="11" t="s">
        <v>1553</v>
      </c>
      <c r="P4531" s="11" t="s">
        <v>87</v>
      </c>
      <c r="Q4531" s="20">
        <v>40589.0</v>
      </c>
      <c r="R4531" s="17">
        <f t="shared" si="2"/>
        <v>99.38557911</v>
      </c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>
        <f t="shared" si="8"/>
        <v>2</v>
      </c>
      <c r="AF4531" s="19" t="b">
        <f t="shared" si="13"/>
        <v>0</v>
      </c>
      <c r="AG4531" s="9"/>
      <c r="AH4531" s="9"/>
      <c r="AI4531" s="9"/>
    </row>
    <row r="4532" ht="15.0" customHeight="1">
      <c r="A4532" s="11">
        <v>4531.0</v>
      </c>
      <c r="B4532" s="12">
        <f t="shared" si="715"/>
        <v>40587</v>
      </c>
      <c r="C4532" s="13">
        <v>2011.0</v>
      </c>
      <c r="D4532" s="11" t="s">
        <v>23</v>
      </c>
      <c r="E4532" s="11">
        <v>43.0</v>
      </c>
      <c r="F4532" s="21" t="s">
        <v>666</v>
      </c>
      <c r="G4532" s="15">
        <v>0.018420128730251586</v>
      </c>
      <c r="H4532" s="11" t="s">
        <v>33</v>
      </c>
      <c r="I4532" s="16">
        <v>4.352</v>
      </c>
      <c r="J4532" s="11" t="s">
        <v>2023</v>
      </c>
      <c r="K4532" s="11" t="s">
        <v>83</v>
      </c>
      <c r="L4532" s="11" t="s">
        <v>36</v>
      </c>
      <c r="M4532" s="11" t="s">
        <v>28</v>
      </c>
      <c r="N4532" s="11" t="s">
        <v>42</v>
      </c>
      <c r="O4532" s="11" t="s">
        <v>1587</v>
      </c>
      <c r="P4532" s="11" t="s">
        <v>38</v>
      </c>
      <c r="Q4532" s="20">
        <v>40589.0</v>
      </c>
      <c r="R4532" s="17">
        <f t="shared" si="2"/>
        <v>3.090013435</v>
      </c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>
        <f t="shared" si="8"/>
        <v>2</v>
      </c>
      <c r="AF4532" s="19" t="b">
        <f t="shared" si="13"/>
        <v>0</v>
      </c>
      <c r="AG4532" s="9"/>
      <c r="AH4532" s="9"/>
      <c r="AI4532" s="9"/>
    </row>
    <row r="4533" ht="15.0" customHeight="1">
      <c r="A4533" s="11">
        <v>4532.0</v>
      </c>
      <c r="B4533" s="12">
        <f t="shared" si="715"/>
        <v>40587</v>
      </c>
      <c r="C4533" s="13">
        <v>2011.0</v>
      </c>
      <c r="D4533" s="11" t="s">
        <v>102</v>
      </c>
      <c r="E4533" s="11">
        <v>27.0</v>
      </c>
      <c r="F4533" s="21" t="s">
        <v>163</v>
      </c>
      <c r="G4533" s="15">
        <v>0.06120238579368307</v>
      </c>
      <c r="H4533" s="11" t="s">
        <v>45</v>
      </c>
      <c r="I4533" s="16">
        <v>45.904</v>
      </c>
      <c r="J4533" s="11" t="s">
        <v>1345</v>
      </c>
      <c r="K4533" s="11" t="s">
        <v>83</v>
      </c>
      <c r="L4533" s="11" t="s">
        <v>48</v>
      </c>
      <c r="M4533" s="11" t="s">
        <v>49</v>
      </c>
      <c r="N4533" s="11" t="s">
        <v>156</v>
      </c>
      <c r="O4533" s="11" t="s">
        <v>852</v>
      </c>
      <c r="P4533" s="11" t="s">
        <v>87</v>
      </c>
      <c r="Q4533" s="20">
        <v>40589.0</v>
      </c>
      <c r="R4533" s="17">
        <f t="shared" si="2"/>
        <v>169.5430939</v>
      </c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>
        <f t="shared" si="8"/>
        <v>4</v>
      </c>
      <c r="AF4533" s="19" t="b">
        <f t="shared" si="13"/>
        <v>0</v>
      </c>
      <c r="AG4533" s="9"/>
      <c r="AH4533" s="9"/>
      <c r="AI4533" s="9"/>
    </row>
    <row r="4534" ht="15.0" customHeight="1">
      <c r="A4534" s="11">
        <v>4533.0</v>
      </c>
      <c r="B4534" s="12">
        <f t="shared" si="715"/>
        <v>40587</v>
      </c>
      <c r="C4534" s="13">
        <v>2011.0</v>
      </c>
      <c r="D4534" s="11" t="s">
        <v>102</v>
      </c>
      <c r="E4534" s="11">
        <v>20.0</v>
      </c>
      <c r="F4534" s="21" t="s">
        <v>536</v>
      </c>
      <c r="G4534" s="15">
        <v>0.04448160535117056</v>
      </c>
      <c r="H4534" s="11" t="s">
        <v>45</v>
      </c>
      <c r="I4534" s="16">
        <v>56.160000000000004</v>
      </c>
      <c r="J4534" s="11" t="s">
        <v>1345</v>
      </c>
      <c r="K4534" s="11" t="s">
        <v>83</v>
      </c>
      <c r="L4534" s="11" t="s">
        <v>48</v>
      </c>
      <c r="M4534" s="11" t="s">
        <v>49</v>
      </c>
      <c r="N4534" s="11" t="s">
        <v>50</v>
      </c>
      <c r="O4534" s="11" t="s">
        <v>537</v>
      </c>
      <c r="P4534" s="11" t="s">
        <v>52</v>
      </c>
      <c r="Q4534" s="20">
        <v>40589.0</v>
      </c>
      <c r="R4534" s="17">
        <f t="shared" si="2"/>
        <v>111.8338729</v>
      </c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>
        <f t="shared" si="8"/>
        <v>4</v>
      </c>
      <c r="AF4534" s="19" t="b">
        <f t="shared" si="13"/>
        <v>0</v>
      </c>
      <c r="AG4534" s="9"/>
      <c r="AH4534" s="9"/>
      <c r="AI4534" s="9"/>
    </row>
    <row r="4535" ht="15.0" customHeight="1">
      <c r="A4535" s="11">
        <v>4534.0</v>
      </c>
      <c r="B4535" s="12">
        <f t="shared" si="715"/>
        <v>40587</v>
      </c>
      <c r="C4535" s="13">
        <v>2011.0</v>
      </c>
      <c r="D4535" s="11" t="s">
        <v>102</v>
      </c>
      <c r="E4535" s="11">
        <v>23.0</v>
      </c>
      <c r="F4535" s="21" t="s">
        <v>1074</v>
      </c>
      <c r="G4535" s="15">
        <v>0.10451525423728811</v>
      </c>
      <c r="H4535" s="11" t="s">
        <v>33</v>
      </c>
      <c r="I4535" s="16">
        <v>5.5840000000000005</v>
      </c>
      <c r="J4535" s="11" t="s">
        <v>1345</v>
      </c>
      <c r="K4535" s="11" t="s">
        <v>83</v>
      </c>
      <c r="L4535" s="11" t="s">
        <v>48</v>
      </c>
      <c r="M4535" s="11" t="s">
        <v>28</v>
      </c>
      <c r="N4535" s="11" t="s">
        <v>42</v>
      </c>
      <c r="O4535" s="11" t="s">
        <v>1893</v>
      </c>
      <c r="P4535" s="11" t="s">
        <v>38</v>
      </c>
      <c r="Q4535" s="20">
        <v>40589.0</v>
      </c>
      <c r="R4535" s="17">
        <f t="shared" si="2"/>
        <v>13.80479284</v>
      </c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>
        <f t="shared" si="8"/>
        <v>4</v>
      </c>
      <c r="AF4535" s="19" t="b">
        <f t="shared" si="13"/>
        <v>0</v>
      </c>
      <c r="AG4535" s="9"/>
      <c r="AH4535" s="9"/>
      <c r="AI4535" s="9"/>
    </row>
    <row r="4536" ht="15.0" customHeight="1">
      <c r="A4536" s="11">
        <v>4535.0</v>
      </c>
      <c r="B4536" s="12">
        <f t="shared" si="715"/>
        <v>40587</v>
      </c>
      <c r="C4536" s="13">
        <v>2011.0</v>
      </c>
      <c r="D4536" s="11" t="s">
        <v>23</v>
      </c>
      <c r="E4536" s="11">
        <v>19.0</v>
      </c>
      <c r="F4536" s="21" t="s">
        <v>1795</v>
      </c>
      <c r="G4536" s="15">
        <v>0.058876527573340665</v>
      </c>
      <c r="H4536" s="11" t="s">
        <v>45</v>
      </c>
      <c r="I4536" s="16">
        <v>49.408</v>
      </c>
      <c r="J4536" s="11" t="s">
        <v>738</v>
      </c>
      <c r="K4536" s="11" t="s">
        <v>65</v>
      </c>
      <c r="L4536" s="11" t="s">
        <v>48</v>
      </c>
      <c r="M4536" s="11" t="s">
        <v>49</v>
      </c>
      <c r="N4536" s="11" t="s">
        <v>85</v>
      </c>
      <c r="O4536" s="11" t="s">
        <v>1796</v>
      </c>
      <c r="P4536" s="11" t="s">
        <v>87</v>
      </c>
      <c r="Q4536" s="20">
        <v>40589.0</v>
      </c>
      <c r="R4536" s="17">
        <f t="shared" si="2"/>
        <v>323.7389455</v>
      </c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>
        <f t="shared" si="8"/>
        <v>4</v>
      </c>
      <c r="AF4536" s="19">
        <f t="shared" si="13"/>
        <v>5</v>
      </c>
      <c r="AG4536" s="9"/>
      <c r="AH4536" s="9"/>
      <c r="AI4536" s="9"/>
    </row>
    <row r="4537" ht="15.0" customHeight="1">
      <c r="A4537" s="11">
        <v>4536.0</v>
      </c>
      <c r="B4537" s="12">
        <f t="shared" si="715"/>
        <v>40587</v>
      </c>
      <c r="C4537" s="13">
        <v>2011.0</v>
      </c>
      <c r="D4537" s="11" t="s">
        <v>39</v>
      </c>
      <c r="E4537" s="11">
        <v>8.0</v>
      </c>
      <c r="F4537" s="21" t="s">
        <v>676</v>
      </c>
      <c r="G4537" s="15">
        <v>0.037484276729559826</v>
      </c>
      <c r="H4537" s="11" t="s">
        <v>33</v>
      </c>
      <c r="I4537" s="16">
        <v>1.1119999999999999</v>
      </c>
      <c r="J4537" s="11" t="s">
        <v>1518</v>
      </c>
      <c r="K4537" s="11" t="s">
        <v>83</v>
      </c>
      <c r="L4537" s="11" t="s">
        <v>48</v>
      </c>
      <c r="M4537" s="11" t="s">
        <v>28</v>
      </c>
      <c r="N4537" s="11" t="s">
        <v>236</v>
      </c>
      <c r="O4537" s="11" t="s">
        <v>677</v>
      </c>
      <c r="P4537" s="11" t="s">
        <v>38</v>
      </c>
      <c r="Q4537" s="20">
        <v>40589.0</v>
      </c>
      <c r="R4537" s="17">
        <f t="shared" si="2"/>
        <v>1.720978113</v>
      </c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>
        <f t="shared" si="8"/>
        <v>4</v>
      </c>
      <c r="AF4537" s="19" t="b">
        <f t="shared" si="13"/>
        <v>0</v>
      </c>
      <c r="AG4537" s="9"/>
      <c r="AH4537" s="9"/>
      <c r="AI4537" s="9"/>
    </row>
    <row r="4538" ht="15.0" customHeight="1">
      <c r="A4538" s="11">
        <v>4537.0</v>
      </c>
      <c r="B4538" s="12">
        <f t="shared" si="715"/>
        <v>40587</v>
      </c>
      <c r="C4538" s="13">
        <v>2011.0</v>
      </c>
      <c r="D4538" s="11" t="s">
        <v>39</v>
      </c>
      <c r="E4538" s="11">
        <v>6.0</v>
      </c>
      <c r="F4538" s="21" t="s">
        <v>654</v>
      </c>
      <c r="G4538" s="15">
        <v>0.007832206430247114</v>
      </c>
      <c r="H4538" s="11" t="s">
        <v>45</v>
      </c>
      <c r="I4538" s="16">
        <v>67.872</v>
      </c>
      <c r="J4538" s="11" t="s">
        <v>1518</v>
      </c>
      <c r="K4538" s="11" t="s">
        <v>83</v>
      </c>
      <c r="L4538" s="11" t="s">
        <v>48</v>
      </c>
      <c r="M4538" s="11" t="s">
        <v>49</v>
      </c>
      <c r="N4538" s="11" t="s">
        <v>85</v>
      </c>
      <c r="O4538" s="11" t="s">
        <v>655</v>
      </c>
      <c r="P4538" s="11" t="s">
        <v>87</v>
      </c>
      <c r="Q4538" s="20">
        <v>40589.0</v>
      </c>
      <c r="R4538" s="17">
        <f t="shared" si="2"/>
        <v>16.89463319</v>
      </c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>
        <f t="shared" si="8"/>
        <v>4</v>
      </c>
      <c r="AF4538" s="19" t="b">
        <f t="shared" si="13"/>
        <v>0</v>
      </c>
      <c r="AG4538" s="9"/>
      <c r="AH4538" s="9"/>
      <c r="AI4538" s="9"/>
    </row>
    <row r="4539" ht="15.0" customHeight="1">
      <c r="A4539" s="11">
        <v>4538.0</v>
      </c>
      <c r="B4539" s="12">
        <f t="shared" si="715"/>
        <v>40587</v>
      </c>
      <c r="C4539" s="13">
        <v>2011.0</v>
      </c>
      <c r="D4539" s="11" t="s">
        <v>39</v>
      </c>
      <c r="E4539" s="11">
        <v>30.0</v>
      </c>
      <c r="F4539" s="21" t="s">
        <v>956</v>
      </c>
      <c r="G4539" s="15">
        <v>0.05944751381215472</v>
      </c>
      <c r="H4539" s="11" t="s">
        <v>33</v>
      </c>
      <c r="I4539" s="16">
        <v>1.192</v>
      </c>
      <c r="J4539" s="11" t="s">
        <v>2183</v>
      </c>
      <c r="K4539" s="11" t="s">
        <v>83</v>
      </c>
      <c r="L4539" s="11" t="s">
        <v>36</v>
      </c>
      <c r="M4539" s="11" t="s">
        <v>28</v>
      </c>
      <c r="N4539" s="11" t="s">
        <v>42</v>
      </c>
      <c r="O4539" s="11" t="s">
        <v>957</v>
      </c>
      <c r="P4539" s="11" t="s">
        <v>38</v>
      </c>
      <c r="Q4539" s="20">
        <v>40589.0</v>
      </c>
      <c r="R4539" s="17">
        <f t="shared" si="2"/>
        <v>8.096275801</v>
      </c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>
        <f t="shared" si="8"/>
        <v>2</v>
      </c>
      <c r="AF4539" s="19" t="b">
        <f t="shared" si="13"/>
        <v>0</v>
      </c>
      <c r="AG4539" s="9"/>
      <c r="AH4539" s="9"/>
      <c r="AI4539" s="9"/>
    </row>
    <row r="4540" ht="15.0" customHeight="1">
      <c r="A4540" s="11">
        <v>4539.0</v>
      </c>
      <c r="B4540" s="12">
        <f t="shared" ref="B4540:B4550" si="716">DATE(2012,12,31)-686</f>
        <v>40588</v>
      </c>
      <c r="C4540" s="13">
        <v>2011.0</v>
      </c>
      <c r="D4540" s="11" t="s">
        <v>23</v>
      </c>
      <c r="E4540" s="11">
        <v>27.0</v>
      </c>
      <c r="F4540" s="21" t="s">
        <v>455</v>
      </c>
      <c r="G4540" s="15">
        <v>0.07717741935483868</v>
      </c>
      <c r="H4540" s="11" t="s">
        <v>33</v>
      </c>
      <c r="I4540" s="16">
        <v>4.5040000000000004</v>
      </c>
      <c r="J4540" s="11" t="s">
        <v>1664</v>
      </c>
      <c r="K4540" s="11" t="s">
        <v>35</v>
      </c>
      <c r="L4540" s="11" t="s">
        <v>48</v>
      </c>
      <c r="M4540" s="11" t="s">
        <v>28</v>
      </c>
      <c r="N4540" s="11" t="s">
        <v>42</v>
      </c>
      <c r="O4540" s="11" t="s">
        <v>1232</v>
      </c>
      <c r="P4540" s="11" t="s">
        <v>38</v>
      </c>
      <c r="Q4540" s="20">
        <v>40590.0</v>
      </c>
      <c r="R4540" s="17">
        <f t="shared" si="2"/>
        <v>24.72795387</v>
      </c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>
        <f t="shared" si="8"/>
        <v>4</v>
      </c>
      <c r="AF4540" s="19">
        <f t="shared" si="13"/>
        <v>2</v>
      </c>
      <c r="AG4540" s="9"/>
      <c r="AH4540" s="9"/>
      <c r="AI4540" s="9"/>
    </row>
    <row r="4541" ht="15.0" customHeight="1">
      <c r="A4541" s="11">
        <v>4540.0</v>
      </c>
      <c r="B4541" s="12">
        <f t="shared" si="716"/>
        <v>40588</v>
      </c>
      <c r="C4541" s="13">
        <v>2011.0</v>
      </c>
      <c r="D4541" s="11" t="s">
        <v>23</v>
      </c>
      <c r="E4541" s="11">
        <v>34.0</v>
      </c>
      <c r="F4541" s="21" t="s">
        <v>204</v>
      </c>
      <c r="G4541" s="15">
        <v>0.030563674321502955</v>
      </c>
      <c r="H4541" s="11" t="s">
        <v>24</v>
      </c>
      <c r="I4541" s="16">
        <v>1.072</v>
      </c>
      <c r="J4541" s="11" t="s">
        <v>1664</v>
      </c>
      <c r="K4541" s="11" t="s">
        <v>35</v>
      </c>
      <c r="L4541" s="11" t="s">
        <v>48</v>
      </c>
      <c r="M4541" s="11" t="s">
        <v>28</v>
      </c>
      <c r="N4541" s="11" t="s">
        <v>62</v>
      </c>
      <c r="O4541" s="11" t="s">
        <v>1514</v>
      </c>
      <c r="P4541" s="11" t="s">
        <v>58</v>
      </c>
      <c r="Q4541" s="20">
        <v>40590.0</v>
      </c>
      <c r="R4541" s="17">
        <f t="shared" si="2"/>
        <v>2.838509562</v>
      </c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>
        <f t="shared" si="8"/>
        <v>4</v>
      </c>
      <c r="AF4541" s="19">
        <f t="shared" si="13"/>
        <v>2</v>
      </c>
      <c r="AG4541" s="9"/>
      <c r="AH4541" s="9"/>
      <c r="AI4541" s="9"/>
    </row>
    <row r="4542" ht="15.0" customHeight="1">
      <c r="A4542" s="11">
        <v>4541.0</v>
      </c>
      <c r="B4542" s="12">
        <f t="shared" si="716"/>
        <v>40588</v>
      </c>
      <c r="C4542" s="13">
        <v>2011.0</v>
      </c>
      <c r="D4542" s="11" t="s">
        <v>23</v>
      </c>
      <c r="E4542" s="11">
        <v>27.0</v>
      </c>
      <c r="F4542" s="21" t="s">
        <v>506</v>
      </c>
      <c r="G4542" s="15">
        <v>0.03022488755622176</v>
      </c>
      <c r="H4542" s="11" t="s">
        <v>33</v>
      </c>
      <c r="I4542" s="16">
        <v>7.752</v>
      </c>
      <c r="J4542" s="11" t="s">
        <v>1664</v>
      </c>
      <c r="K4542" s="11" t="s">
        <v>35</v>
      </c>
      <c r="L4542" s="11" t="s">
        <v>48</v>
      </c>
      <c r="M4542" s="11" t="s">
        <v>28</v>
      </c>
      <c r="N4542" s="11" t="s">
        <v>29</v>
      </c>
      <c r="O4542" s="11" t="s">
        <v>1800</v>
      </c>
      <c r="P4542" s="11" t="s">
        <v>38</v>
      </c>
      <c r="Q4542" s="20">
        <v>40590.0</v>
      </c>
      <c r="R4542" s="17">
        <f t="shared" si="2"/>
        <v>5.86519988</v>
      </c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>
        <f t="shared" si="8"/>
        <v>4</v>
      </c>
      <c r="AF4542" s="19">
        <f t="shared" si="13"/>
        <v>2</v>
      </c>
      <c r="AG4542" s="9"/>
      <c r="AH4542" s="9"/>
      <c r="AI4542" s="9"/>
    </row>
    <row r="4543" ht="15.0" customHeight="1">
      <c r="A4543" s="11">
        <v>4542.0</v>
      </c>
      <c r="B4543" s="12">
        <f t="shared" si="716"/>
        <v>40588</v>
      </c>
      <c r="C4543" s="13">
        <v>2011.0</v>
      </c>
      <c r="D4543" s="11" t="s">
        <v>23</v>
      </c>
      <c r="E4543" s="11">
        <v>25.0</v>
      </c>
      <c r="F4543" s="21" t="s">
        <v>100</v>
      </c>
      <c r="G4543" s="15">
        <v>0.04813041790658568</v>
      </c>
      <c r="H4543" s="11" t="s">
        <v>33</v>
      </c>
      <c r="I4543" s="16">
        <v>2.4000000000000004</v>
      </c>
      <c r="J4543" s="11" t="s">
        <v>1664</v>
      </c>
      <c r="K4543" s="11" t="s">
        <v>35</v>
      </c>
      <c r="L4543" s="11" t="s">
        <v>48</v>
      </c>
      <c r="M4543" s="11" t="s">
        <v>66</v>
      </c>
      <c r="N4543" s="11" t="s">
        <v>80</v>
      </c>
      <c r="O4543" s="11" t="s">
        <v>1595</v>
      </c>
      <c r="P4543" s="11" t="s">
        <v>38</v>
      </c>
      <c r="Q4543" s="20">
        <v>40590.0</v>
      </c>
      <c r="R4543" s="17">
        <f t="shared" si="2"/>
        <v>247.8668392</v>
      </c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>
        <f t="shared" si="8"/>
        <v>4</v>
      </c>
      <c r="AF4543" s="19">
        <f t="shared" si="13"/>
        <v>2</v>
      </c>
      <c r="AG4543" s="9"/>
      <c r="AH4543" s="9"/>
      <c r="AI4543" s="9"/>
    </row>
    <row r="4544" ht="15.0" customHeight="1">
      <c r="A4544" s="11">
        <v>4543.0</v>
      </c>
      <c r="B4544" s="12">
        <f t="shared" si="716"/>
        <v>40588</v>
      </c>
      <c r="C4544" s="13">
        <v>2011.0</v>
      </c>
      <c r="D4544" s="11" t="s">
        <v>102</v>
      </c>
      <c r="E4544" s="11">
        <v>18.0</v>
      </c>
      <c r="F4544" s="21" t="s">
        <v>2464</v>
      </c>
      <c r="G4544" s="15">
        <v>0.01695881430810879</v>
      </c>
      <c r="H4544" s="11" t="s">
        <v>33</v>
      </c>
      <c r="I4544" s="16">
        <v>55.2</v>
      </c>
      <c r="J4544" s="11" t="s">
        <v>1761</v>
      </c>
      <c r="K4544" s="11" t="s">
        <v>35</v>
      </c>
      <c r="L4544" s="11" t="s">
        <v>41</v>
      </c>
      <c r="M4544" s="11" t="s">
        <v>49</v>
      </c>
      <c r="N4544" s="11" t="s">
        <v>85</v>
      </c>
      <c r="O4544" s="11" t="s">
        <v>2404</v>
      </c>
      <c r="P4544" s="11" t="s">
        <v>31</v>
      </c>
      <c r="Q4544" s="20">
        <v>40590.0</v>
      </c>
      <c r="R4544" s="17">
        <f t="shared" si="2"/>
        <v>35.09457033</v>
      </c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>
        <f t="shared" si="8"/>
        <v>3</v>
      </c>
      <c r="AF4544" s="19">
        <f t="shared" si="13"/>
        <v>2</v>
      </c>
      <c r="AG4544" s="9"/>
      <c r="AH4544" s="9"/>
      <c r="AI4544" s="9"/>
    </row>
    <row r="4545" ht="15.0" customHeight="1">
      <c r="A4545" s="11">
        <v>4544.0</v>
      </c>
      <c r="B4545" s="12">
        <f t="shared" si="716"/>
        <v>40588</v>
      </c>
      <c r="C4545" s="13">
        <v>2011.0</v>
      </c>
      <c r="D4545" s="11" t="s">
        <v>44</v>
      </c>
      <c r="E4545" s="11">
        <v>1.0</v>
      </c>
      <c r="F4545" s="21" t="s">
        <v>163</v>
      </c>
      <c r="G4545" s="15">
        <v>0.1390564784053156</v>
      </c>
      <c r="H4545" s="11" t="s">
        <v>45</v>
      </c>
      <c r="I4545" s="16">
        <v>28.672000000000004</v>
      </c>
      <c r="J4545" s="11" t="s">
        <v>174</v>
      </c>
      <c r="K4545" s="11" t="s">
        <v>35</v>
      </c>
      <c r="L4545" s="11" t="s">
        <v>41</v>
      </c>
      <c r="M4545" s="11" t="s">
        <v>49</v>
      </c>
      <c r="N4545" s="11" t="s">
        <v>156</v>
      </c>
      <c r="O4545" s="11" t="s">
        <v>165</v>
      </c>
      <c r="P4545" s="11" t="s">
        <v>87</v>
      </c>
      <c r="Q4545" s="20">
        <v>40590.0</v>
      </c>
      <c r="R4545" s="17">
        <f t="shared" si="2"/>
        <v>18.01782602</v>
      </c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>
        <f t="shared" si="8"/>
        <v>3</v>
      </c>
      <c r="AF4545" s="19">
        <f t="shared" si="13"/>
        <v>2</v>
      </c>
      <c r="AG4545" s="9"/>
      <c r="AH4545" s="9"/>
      <c r="AI4545" s="9"/>
    </row>
    <row r="4546" ht="15.0" customHeight="1">
      <c r="A4546" s="11">
        <v>4545.0</v>
      </c>
      <c r="B4546" s="12">
        <f t="shared" si="716"/>
        <v>40588</v>
      </c>
      <c r="C4546" s="13">
        <v>2011.0</v>
      </c>
      <c r="D4546" s="11" t="s">
        <v>44</v>
      </c>
      <c r="E4546" s="11">
        <v>50.0</v>
      </c>
      <c r="F4546" s="21" t="s">
        <v>186</v>
      </c>
      <c r="G4546" s="15">
        <v>0.07226738934056019</v>
      </c>
      <c r="H4546" s="11" t="s">
        <v>33</v>
      </c>
      <c r="I4546" s="16">
        <v>0.4</v>
      </c>
      <c r="J4546" s="11" t="s">
        <v>174</v>
      </c>
      <c r="K4546" s="11" t="s">
        <v>35</v>
      </c>
      <c r="L4546" s="11" t="s">
        <v>41</v>
      </c>
      <c r="M4546" s="11" t="s">
        <v>28</v>
      </c>
      <c r="N4546" s="11" t="s">
        <v>188</v>
      </c>
      <c r="O4546" s="11" t="s">
        <v>1968</v>
      </c>
      <c r="P4546" s="11" t="s">
        <v>38</v>
      </c>
      <c r="Q4546" s="20">
        <v>40591.0</v>
      </c>
      <c r="R4546" s="17">
        <f t="shared" si="2"/>
        <v>14.84372177</v>
      </c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>
        <f t="shared" si="8"/>
        <v>3</v>
      </c>
      <c r="AF4546" s="19">
        <f t="shared" si="13"/>
        <v>2</v>
      </c>
      <c r="AG4546" s="9"/>
      <c r="AH4546" s="9"/>
      <c r="AI4546" s="9"/>
    </row>
    <row r="4547" ht="15.0" customHeight="1">
      <c r="A4547" s="11">
        <v>4546.0</v>
      </c>
      <c r="B4547" s="12">
        <f t="shared" si="716"/>
        <v>40588</v>
      </c>
      <c r="C4547" s="13">
        <v>2011.0</v>
      </c>
      <c r="D4547" s="11" t="s">
        <v>23</v>
      </c>
      <c r="E4547" s="11">
        <v>34.0</v>
      </c>
      <c r="F4547" s="21" t="s">
        <v>245</v>
      </c>
      <c r="G4547" s="15">
        <v>0.05282545805207337</v>
      </c>
      <c r="H4547" s="11" t="s">
        <v>33</v>
      </c>
      <c r="I4547" s="16">
        <v>1.888</v>
      </c>
      <c r="J4547" s="11" t="s">
        <v>2343</v>
      </c>
      <c r="K4547" s="11" t="s">
        <v>83</v>
      </c>
      <c r="L4547" s="11" t="s">
        <v>36</v>
      </c>
      <c r="M4547" s="11" t="s">
        <v>28</v>
      </c>
      <c r="N4547" s="11" t="s">
        <v>62</v>
      </c>
      <c r="O4547" s="11" t="s">
        <v>246</v>
      </c>
      <c r="P4547" s="11" t="s">
        <v>58</v>
      </c>
      <c r="Q4547" s="20">
        <v>40591.0</v>
      </c>
      <c r="R4547" s="17">
        <f t="shared" si="2"/>
        <v>20.75448856</v>
      </c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>
        <f t="shared" si="8"/>
        <v>2</v>
      </c>
      <c r="AF4547" s="19" t="b">
        <f t="shared" si="13"/>
        <v>0</v>
      </c>
      <c r="AG4547" s="9"/>
      <c r="AH4547" s="9"/>
      <c r="AI4547" s="9"/>
    </row>
    <row r="4548" ht="15.0" customHeight="1">
      <c r="A4548" s="11">
        <v>4547.0</v>
      </c>
      <c r="B4548" s="12">
        <f t="shared" si="716"/>
        <v>40588</v>
      </c>
      <c r="C4548" s="13">
        <v>2011.0</v>
      </c>
      <c r="D4548" s="11" t="s">
        <v>23</v>
      </c>
      <c r="E4548" s="11">
        <v>6.0</v>
      </c>
      <c r="F4548" s="21" t="s">
        <v>536</v>
      </c>
      <c r="G4548" s="15">
        <v>0.017992822670461532</v>
      </c>
      <c r="H4548" s="11" t="s">
        <v>45</v>
      </c>
      <c r="I4548" s="16">
        <v>56.160000000000004</v>
      </c>
      <c r="J4548" s="11" t="s">
        <v>588</v>
      </c>
      <c r="K4548" s="11" t="s">
        <v>47</v>
      </c>
      <c r="L4548" s="11" t="s">
        <v>27</v>
      </c>
      <c r="M4548" s="11" t="s">
        <v>49</v>
      </c>
      <c r="N4548" s="11" t="s">
        <v>50</v>
      </c>
      <c r="O4548" s="11" t="s">
        <v>537</v>
      </c>
      <c r="P4548" s="11" t="s">
        <v>52</v>
      </c>
      <c r="Q4548" s="20">
        <v>40591.0</v>
      </c>
      <c r="R4548" s="17">
        <f t="shared" si="2"/>
        <v>14.27838436</v>
      </c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>
        <f t="shared" si="8"/>
        <v>1</v>
      </c>
      <c r="AF4548" s="19">
        <f t="shared" si="13"/>
        <v>3</v>
      </c>
      <c r="AG4548" s="9"/>
      <c r="AH4548" s="9"/>
      <c r="AI4548" s="9"/>
    </row>
    <row r="4549" ht="15.0" customHeight="1">
      <c r="A4549" s="11">
        <v>4548.0</v>
      </c>
      <c r="B4549" s="12">
        <f t="shared" si="716"/>
        <v>40588</v>
      </c>
      <c r="C4549" s="13">
        <v>2011.0</v>
      </c>
      <c r="D4549" s="11" t="s">
        <v>23</v>
      </c>
      <c r="E4549" s="11">
        <v>45.0</v>
      </c>
      <c r="F4549" s="21" t="s">
        <v>122</v>
      </c>
      <c r="G4549" s="15">
        <v>0.034211495193291176</v>
      </c>
      <c r="H4549" s="11" t="s">
        <v>33</v>
      </c>
      <c r="I4549" s="16">
        <v>3.848</v>
      </c>
      <c r="J4549" s="11" t="s">
        <v>588</v>
      </c>
      <c r="K4549" s="11" t="s">
        <v>47</v>
      </c>
      <c r="L4549" s="11" t="s">
        <v>27</v>
      </c>
      <c r="M4549" s="11" t="s">
        <v>66</v>
      </c>
      <c r="N4549" s="11" t="s">
        <v>80</v>
      </c>
      <c r="O4549" s="11" t="s">
        <v>899</v>
      </c>
      <c r="P4549" s="11" t="s">
        <v>75</v>
      </c>
      <c r="Q4549" s="20">
        <v>40591.0</v>
      </c>
      <c r="R4549" s="17">
        <f t="shared" si="2"/>
        <v>32.30755706</v>
      </c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>
        <f t="shared" si="8"/>
        <v>1</v>
      </c>
      <c r="AF4549" s="19">
        <f t="shared" si="13"/>
        <v>3</v>
      </c>
      <c r="AG4549" s="9"/>
      <c r="AH4549" s="9"/>
      <c r="AI4549" s="9"/>
    </row>
    <row r="4550" ht="15.0" customHeight="1">
      <c r="A4550" s="11">
        <v>4549.0</v>
      </c>
      <c r="B4550" s="12">
        <f t="shared" si="716"/>
        <v>40588</v>
      </c>
      <c r="C4550" s="13">
        <v>2011.0</v>
      </c>
      <c r="D4550" s="11" t="s">
        <v>44</v>
      </c>
      <c r="E4550" s="11">
        <v>17.0</v>
      </c>
      <c r="F4550" s="21" t="s">
        <v>328</v>
      </c>
      <c r="G4550" s="15">
        <v>0.0670485580478185</v>
      </c>
      <c r="H4550" s="11" t="s">
        <v>33</v>
      </c>
      <c r="I4550" s="16">
        <v>7.192</v>
      </c>
      <c r="J4550" s="11" t="s">
        <v>806</v>
      </c>
      <c r="K4550" s="11" t="s">
        <v>61</v>
      </c>
      <c r="L4550" s="11" t="s">
        <v>27</v>
      </c>
      <c r="M4550" s="11" t="s">
        <v>66</v>
      </c>
      <c r="N4550" s="11" t="s">
        <v>80</v>
      </c>
      <c r="O4550" s="11" t="s">
        <v>1651</v>
      </c>
      <c r="P4550" s="11" t="s">
        <v>38</v>
      </c>
      <c r="Q4550" s="20">
        <v>40591.0</v>
      </c>
      <c r="R4550" s="17">
        <f t="shared" si="2"/>
        <v>126.8888597</v>
      </c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>
        <f t="shared" si="8"/>
        <v>1</v>
      </c>
      <c r="AF4550" s="19">
        <f t="shared" si="13"/>
        <v>4</v>
      </c>
      <c r="AG4550" s="9"/>
      <c r="AH4550" s="9"/>
      <c r="AI4550" s="9"/>
    </row>
    <row r="4551" ht="15.0" customHeight="1">
      <c r="A4551" s="11">
        <v>4550.0</v>
      </c>
      <c r="B4551" s="12">
        <f t="shared" ref="B4551:B4556" si="717">DATE(2012,12,31)-685</f>
        <v>40589</v>
      </c>
      <c r="C4551" s="13">
        <v>2011.0</v>
      </c>
      <c r="D4551" s="11" t="s">
        <v>102</v>
      </c>
      <c r="E4551" s="11">
        <v>23.0</v>
      </c>
      <c r="F4551" s="21" t="s">
        <v>336</v>
      </c>
      <c r="G4551" s="15">
        <v>0.011578947368421076</v>
      </c>
      <c r="H4551" s="11" t="s">
        <v>33</v>
      </c>
      <c r="I4551" s="16">
        <v>1.816</v>
      </c>
      <c r="J4551" s="11" t="s">
        <v>855</v>
      </c>
      <c r="K4551" s="11" t="s">
        <v>26</v>
      </c>
      <c r="L4551" s="11" t="s">
        <v>36</v>
      </c>
      <c r="M4551" s="11" t="s">
        <v>28</v>
      </c>
      <c r="N4551" s="11" t="s">
        <v>62</v>
      </c>
      <c r="O4551" s="11" t="s">
        <v>1391</v>
      </c>
      <c r="P4551" s="11" t="s">
        <v>58</v>
      </c>
      <c r="Q4551" s="20">
        <v>40591.0</v>
      </c>
      <c r="R4551" s="17">
        <f t="shared" si="2"/>
        <v>1.565658947</v>
      </c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>
        <f t="shared" si="8"/>
        <v>2</v>
      </c>
      <c r="AF4551" s="19">
        <f t="shared" si="13"/>
        <v>1</v>
      </c>
      <c r="AG4551" s="9"/>
      <c r="AH4551" s="9"/>
      <c r="AI4551" s="9"/>
    </row>
    <row r="4552" ht="15.0" customHeight="1">
      <c r="A4552" s="11">
        <v>4551.0</v>
      </c>
      <c r="B4552" s="12">
        <f t="shared" si="717"/>
        <v>40589</v>
      </c>
      <c r="C4552" s="13">
        <v>2011.0</v>
      </c>
      <c r="D4552" s="11" t="s">
        <v>23</v>
      </c>
      <c r="E4552" s="11">
        <v>39.0</v>
      </c>
      <c r="F4552" s="21" t="s">
        <v>389</v>
      </c>
      <c r="G4552" s="15">
        <v>0.02264574362371626</v>
      </c>
      <c r="H4552" s="11" t="s">
        <v>45</v>
      </c>
      <c r="I4552" s="16">
        <v>44.912000000000006</v>
      </c>
      <c r="J4552" s="11" t="s">
        <v>2104</v>
      </c>
      <c r="K4552" s="11" t="s">
        <v>47</v>
      </c>
      <c r="L4552" s="11" t="s">
        <v>48</v>
      </c>
      <c r="M4552" s="11" t="s">
        <v>66</v>
      </c>
      <c r="N4552" s="11" t="s">
        <v>69</v>
      </c>
      <c r="O4552" s="11" t="s">
        <v>390</v>
      </c>
      <c r="P4552" s="11" t="s">
        <v>87</v>
      </c>
      <c r="Q4552" s="20">
        <v>40591.0</v>
      </c>
      <c r="R4552" s="17">
        <f t="shared" si="2"/>
        <v>106.9108274</v>
      </c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>
        <f t="shared" si="8"/>
        <v>4</v>
      </c>
      <c r="AF4552" s="19">
        <f t="shared" si="13"/>
        <v>3</v>
      </c>
      <c r="AG4552" s="9"/>
      <c r="AH4552" s="9"/>
      <c r="AI4552" s="9"/>
    </row>
    <row r="4553" ht="15.0" customHeight="1">
      <c r="A4553" s="11">
        <v>4552.0</v>
      </c>
      <c r="B4553" s="12">
        <f t="shared" si="717"/>
        <v>40589</v>
      </c>
      <c r="C4553" s="13">
        <v>2011.0</v>
      </c>
      <c r="D4553" s="11" t="s">
        <v>44</v>
      </c>
      <c r="E4553" s="11">
        <v>29.0</v>
      </c>
      <c r="F4553" s="21" t="s">
        <v>408</v>
      </c>
      <c r="G4553" s="15">
        <v>0.0914547445092387</v>
      </c>
      <c r="H4553" s="11" t="s">
        <v>45</v>
      </c>
      <c r="I4553" s="16">
        <v>18.552000000000003</v>
      </c>
      <c r="J4553" s="11" t="s">
        <v>1357</v>
      </c>
      <c r="K4553" s="11" t="s">
        <v>35</v>
      </c>
      <c r="L4553" s="11" t="s">
        <v>27</v>
      </c>
      <c r="M4553" s="11" t="s">
        <v>28</v>
      </c>
      <c r="N4553" s="11" t="s">
        <v>197</v>
      </c>
      <c r="O4553" s="11" t="s">
        <v>409</v>
      </c>
      <c r="P4553" s="11" t="s">
        <v>52</v>
      </c>
      <c r="Q4553" s="20">
        <v>40591.0</v>
      </c>
      <c r="R4553" s="17">
        <f t="shared" si="2"/>
        <v>743.7787563</v>
      </c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>
        <f t="shared" si="8"/>
        <v>1</v>
      </c>
      <c r="AF4553" s="19">
        <f t="shared" si="13"/>
        <v>2</v>
      </c>
      <c r="AG4553" s="9"/>
      <c r="AH4553" s="9"/>
      <c r="AI4553" s="9"/>
    </row>
    <row r="4554" ht="15.0" customHeight="1">
      <c r="A4554" s="11">
        <v>4553.0</v>
      </c>
      <c r="B4554" s="12">
        <f t="shared" si="717"/>
        <v>40589</v>
      </c>
      <c r="C4554" s="13">
        <v>2011.0</v>
      </c>
      <c r="D4554" s="11" t="s">
        <v>44</v>
      </c>
      <c r="E4554" s="11">
        <v>22.0</v>
      </c>
      <c r="F4554" s="21" t="s">
        <v>1207</v>
      </c>
      <c r="G4554" s="15">
        <v>0.0843434112427389</v>
      </c>
      <c r="H4554" s="11" t="s">
        <v>45</v>
      </c>
      <c r="I4554" s="16">
        <v>24.0</v>
      </c>
      <c r="J4554" s="11" t="s">
        <v>1357</v>
      </c>
      <c r="K4554" s="11" t="s">
        <v>35</v>
      </c>
      <c r="L4554" s="11" t="s">
        <v>27</v>
      </c>
      <c r="M4554" s="11" t="s">
        <v>49</v>
      </c>
      <c r="N4554" s="11" t="s">
        <v>50</v>
      </c>
      <c r="O4554" s="11" t="s">
        <v>1677</v>
      </c>
      <c r="P4554" s="11" t="s">
        <v>52</v>
      </c>
      <c r="Q4554" s="20">
        <v>40592.0</v>
      </c>
      <c r="R4554" s="17">
        <f t="shared" si="2"/>
        <v>337.6941499</v>
      </c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>
        <f t="shared" si="8"/>
        <v>1</v>
      </c>
      <c r="AF4554" s="19">
        <f t="shared" si="13"/>
        <v>2</v>
      </c>
      <c r="AG4554" s="9"/>
      <c r="AH4554" s="9"/>
      <c r="AI4554" s="9"/>
    </row>
    <row r="4555" ht="15.0" customHeight="1">
      <c r="A4555" s="11">
        <v>4554.0</v>
      </c>
      <c r="B4555" s="12">
        <f t="shared" si="717"/>
        <v>40589</v>
      </c>
      <c r="C4555" s="13">
        <v>2011.0</v>
      </c>
      <c r="D4555" s="11" t="s">
        <v>44</v>
      </c>
      <c r="E4555" s="11">
        <v>44.0</v>
      </c>
      <c r="F4555" s="21" t="s">
        <v>186</v>
      </c>
      <c r="G4555" s="15">
        <v>0.04116303219106971</v>
      </c>
      <c r="H4555" s="11" t="s">
        <v>33</v>
      </c>
      <c r="I4555" s="16">
        <v>4.272</v>
      </c>
      <c r="J4555" s="11" t="s">
        <v>1496</v>
      </c>
      <c r="K4555" s="11" t="s">
        <v>61</v>
      </c>
      <c r="L4555" s="11" t="s">
        <v>48</v>
      </c>
      <c r="M4555" s="11" t="s">
        <v>28</v>
      </c>
      <c r="N4555" s="11" t="s">
        <v>42</v>
      </c>
      <c r="O4555" s="11" t="s">
        <v>1483</v>
      </c>
      <c r="P4555" s="11" t="s">
        <v>38</v>
      </c>
      <c r="Q4555" s="20">
        <v>40592.0</v>
      </c>
      <c r="R4555" s="17">
        <f t="shared" si="2"/>
        <v>7.601659481</v>
      </c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>
        <f t="shared" si="8"/>
        <v>4</v>
      </c>
      <c r="AF4555" s="19">
        <f t="shared" si="13"/>
        <v>4</v>
      </c>
      <c r="AG4555" s="9"/>
      <c r="AH4555" s="9"/>
      <c r="AI4555" s="9"/>
    </row>
    <row r="4556" ht="15.0" customHeight="1">
      <c r="A4556" s="11">
        <v>4555.0</v>
      </c>
      <c r="B4556" s="12">
        <f t="shared" si="717"/>
        <v>40589</v>
      </c>
      <c r="C4556" s="13">
        <v>2011.0</v>
      </c>
      <c r="D4556" s="11" t="s">
        <v>44</v>
      </c>
      <c r="E4556" s="11">
        <v>35.0</v>
      </c>
      <c r="F4556" s="21" t="s">
        <v>1369</v>
      </c>
      <c r="G4556" s="15">
        <v>0.06272572402044296</v>
      </c>
      <c r="H4556" s="11" t="s">
        <v>33</v>
      </c>
      <c r="I4556" s="16">
        <v>1.536</v>
      </c>
      <c r="J4556" s="11" t="s">
        <v>1496</v>
      </c>
      <c r="K4556" s="11" t="s">
        <v>61</v>
      </c>
      <c r="L4556" s="11" t="s">
        <v>48</v>
      </c>
      <c r="M4556" s="11" t="s">
        <v>28</v>
      </c>
      <c r="N4556" s="11" t="s">
        <v>442</v>
      </c>
      <c r="O4556" s="11" t="s">
        <v>1776</v>
      </c>
      <c r="P4556" s="11" t="s">
        <v>58</v>
      </c>
      <c r="Q4556" s="20">
        <v>40592.0</v>
      </c>
      <c r="R4556" s="17">
        <f t="shared" si="2"/>
        <v>6.902087768</v>
      </c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>
        <f t="shared" si="8"/>
        <v>4</v>
      </c>
      <c r="AF4556" s="19">
        <f t="shared" si="13"/>
        <v>4</v>
      </c>
      <c r="AG4556" s="9"/>
      <c r="AH4556" s="9"/>
      <c r="AI4556" s="9"/>
    </row>
    <row r="4557" ht="15.0" customHeight="1">
      <c r="A4557" s="11">
        <v>4556.0</v>
      </c>
      <c r="B4557" s="12">
        <f t="shared" ref="B4557:B4561" si="718">DATE(2012,12,31)-684</f>
        <v>40590</v>
      </c>
      <c r="C4557" s="13">
        <v>2011.0</v>
      </c>
      <c r="D4557" s="11" t="s">
        <v>39</v>
      </c>
      <c r="E4557" s="11">
        <v>45.0</v>
      </c>
      <c r="F4557" s="21" t="s">
        <v>1136</v>
      </c>
      <c r="G4557" s="15">
        <v>0.06901316976366571</v>
      </c>
      <c r="H4557" s="11" t="s">
        <v>33</v>
      </c>
      <c r="I4557" s="16">
        <v>1.592</v>
      </c>
      <c r="J4557" s="11" t="s">
        <v>1917</v>
      </c>
      <c r="K4557" s="11" t="s">
        <v>35</v>
      </c>
      <c r="L4557" s="11" t="s">
        <v>41</v>
      </c>
      <c r="M4557" s="11" t="s">
        <v>66</v>
      </c>
      <c r="N4557" s="11" t="s">
        <v>67</v>
      </c>
      <c r="O4557" s="11" t="s">
        <v>1138</v>
      </c>
      <c r="P4557" s="11" t="s">
        <v>99</v>
      </c>
      <c r="Q4557" s="20">
        <v>40593.0</v>
      </c>
      <c r="R4557" s="17">
        <f t="shared" si="2"/>
        <v>71.22794041</v>
      </c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>
        <f t="shared" si="8"/>
        <v>3</v>
      </c>
      <c r="AF4557" s="19">
        <f t="shared" si="13"/>
        <v>2</v>
      </c>
      <c r="AG4557" s="9"/>
      <c r="AH4557" s="9"/>
      <c r="AI4557" s="9"/>
    </row>
    <row r="4558" ht="15.0" customHeight="1">
      <c r="A4558" s="11">
        <v>4557.0</v>
      </c>
      <c r="B4558" s="12">
        <f t="shared" si="718"/>
        <v>40590</v>
      </c>
      <c r="C4558" s="13">
        <v>2011.0</v>
      </c>
      <c r="D4558" s="11" t="s">
        <v>39</v>
      </c>
      <c r="E4558" s="11">
        <v>12.0</v>
      </c>
      <c r="F4558" s="21" t="s">
        <v>1944</v>
      </c>
      <c r="G4558" s="15">
        <v>0.09897142857142853</v>
      </c>
      <c r="H4558" s="11" t="s">
        <v>33</v>
      </c>
      <c r="I4558" s="16">
        <v>1.536</v>
      </c>
      <c r="J4558" s="11" t="s">
        <v>1917</v>
      </c>
      <c r="K4558" s="11" t="s">
        <v>35</v>
      </c>
      <c r="L4558" s="11" t="s">
        <v>41</v>
      </c>
      <c r="M4558" s="11" t="s">
        <v>28</v>
      </c>
      <c r="N4558" s="11" t="s">
        <v>442</v>
      </c>
      <c r="O4558" s="11" t="s">
        <v>1945</v>
      </c>
      <c r="P4558" s="11" t="s">
        <v>58</v>
      </c>
      <c r="Q4558" s="20">
        <v>40593.0</v>
      </c>
      <c r="R4558" s="17">
        <f t="shared" si="2"/>
        <v>3.121162971</v>
      </c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>
        <f t="shared" si="8"/>
        <v>3</v>
      </c>
      <c r="AF4558" s="19">
        <f t="shared" si="13"/>
        <v>2</v>
      </c>
      <c r="AG4558" s="9"/>
      <c r="AH4558" s="9"/>
      <c r="AI4558" s="9"/>
    </row>
    <row r="4559" ht="15.0" customHeight="1">
      <c r="A4559" s="11">
        <v>4558.0</v>
      </c>
      <c r="B4559" s="12">
        <f t="shared" si="718"/>
        <v>40590</v>
      </c>
      <c r="C4559" s="13">
        <v>2011.0</v>
      </c>
      <c r="D4559" s="11" t="s">
        <v>23</v>
      </c>
      <c r="E4559" s="11">
        <v>37.0</v>
      </c>
      <c r="F4559" s="21" t="s">
        <v>103</v>
      </c>
      <c r="G4559" s="15">
        <v>0.02478972996901281</v>
      </c>
      <c r="H4559" s="11" t="s">
        <v>33</v>
      </c>
      <c r="I4559" s="16">
        <v>2.0</v>
      </c>
      <c r="J4559" s="11" t="s">
        <v>2384</v>
      </c>
      <c r="K4559" s="11" t="s">
        <v>61</v>
      </c>
      <c r="L4559" s="11" t="s">
        <v>27</v>
      </c>
      <c r="M4559" s="11" t="s">
        <v>28</v>
      </c>
      <c r="N4559" s="11" t="s">
        <v>236</v>
      </c>
      <c r="O4559" s="11" t="s">
        <v>1164</v>
      </c>
      <c r="P4559" s="11" t="s">
        <v>38</v>
      </c>
      <c r="Q4559" s="20">
        <v>40593.0</v>
      </c>
      <c r="R4559" s="17">
        <f t="shared" si="2"/>
        <v>5.461177512</v>
      </c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>
        <f t="shared" si="8"/>
        <v>1</v>
      </c>
      <c r="AF4559" s="19">
        <f t="shared" si="13"/>
        <v>4</v>
      </c>
      <c r="AG4559" s="9"/>
      <c r="AH4559" s="9"/>
      <c r="AI4559" s="9"/>
    </row>
    <row r="4560" ht="15.0" customHeight="1">
      <c r="A4560" s="11">
        <v>4559.0</v>
      </c>
      <c r="B4560" s="12">
        <f t="shared" si="718"/>
        <v>40590</v>
      </c>
      <c r="C4560" s="13">
        <v>2011.0</v>
      </c>
      <c r="D4560" s="11" t="s">
        <v>23</v>
      </c>
      <c r="E4560" s="11">
        <v>2.0</v>
      </c>
      <c r="F4560" s="21" t="s">
        <v>747</v>
      </c>
      <c r="G4560" s="15">
        <v>0.041221374045801465</v>
      </c>
      <c r="H4560" s="11" t="s">
        <v>33</v>
      </c>
      <c r="I4560" s="16">
        <v>4.32</v>
      </c>
      <c r="J4560" s="11" t="s">
        <v>2384</v>
      </c>
      <c r="K4560" s="11" t="s">
        <v>61</v>
      </c>
      <c r="L4560" s="11" t="s">
        <v>27</v>
      </c>
      <c r="M4560" s="11" t="s">
        <v>49</v>
      </c>
      <c r="N4560" s="11" t="s">
        <v>73</v>
      </c>
      <c r="O4560" s="11" t="s">
        <v>1011</v>
      </c>
      <c r="P4560" s="11" t="s">
        <v>99</v>
      </c>
      <c r="Q4560" s="20">
        <v>40593.0</v>
      </c>
      <c r="R4560" s="17">
        <f t="shared" si="2"/>
        <v>1.035480916</v>
      </c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>
        <f t="shared" si="8"/>
        <v>1</v>
      </c>
      <c r="AF4560" s="19">
        <f t="shared" si="13"/>
        <v>4</v>
      </c>
      <c r="AG4560" s="9"/>
      <c r="AH4560" s="9"/>
      <c r="AI4560" s="9"/>
    </row>
    <row r="4561" ht="15.0" customHeight="1">
      <c r="A4561" s="11">
        <v>4560.0</v>
      </c>
      <c r="B4561" s="12">
        <f t="shared" si="718"/>
        <v>40590</v>
      </c>
      <c r="C4561" s="13">
        <v>2011.0</v>
      </c>
      <c r="D4561" s="11" t="s">
        <v>44</v>
      </c>
      <c r="E4561" s="11">
        <v>19.0</v>
      </c>
      <c r="F4561" s="21" t="s">
        <v>629</v>
      </c>
      <c r="G4561" s="15">
        <v>0.09757881462799495</v>
      </c>
      <c r="H4561" s="11" t="s">
        <v>33</v>
      </c>
      <c r="I4561" s="16">
        <v>4.424</v>
      </c>
      <c r="J4561" s="11" t="s">
        <v>2513</v>
      </c>
      <c r="K4561" s="11" t="s">
        <v>65</v>
      </c>
      <c r="L4561" s="11" t="s">
        <v>48</v>
      </c>
      <c r="M4561" s="11" t="s">
        <v>66</v>
      </c>
      <c r="N4561" s="11" t="s">
        <v>67</v>
      </c>
      <c r="O4561" s="11" t="s">
        <v>1610</v>
      </c>
      <c r="P4561" s="11" t="s">
        <v>99</v>
      </c>
      <c r="Q4561" s="20">
        <v>40594.0</v>
      </c>
      <c r="R4561" s="17">
        <f t="shared" si="2"/>
        <v>13.96587026</v>
      </c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>
        <f t="shared" si="8"/>
        <v>4</v>
      </c>
      <c r="AF4561" s="19">
        <f t="shared" si="13"/>
        <v>5</v>
      </c>
      <c r="AG4561" s="9"/>
      <c r="AH4561" s="9"/>
      <c r="AI4561" s="9"/>
    </row>
    <row r="4562" ht="15.0" customHeight="1">
      <c r="A4562" s="11">
        <v>4561.0</v>
      </c>
      <c r="B4562" s="12">
        <f t="shared" ref="B4562:B4564" si="719">DATE(2012,12,31)-683</f>
        <v>40591</v>
      </c>
      <c r="C4562" s="13">
        <v>2011.0</v>
      </c>
      <c r="D4562" s="11" t="s">
        <v>32</v>
      </c>
      <c r="E4562" s="11">
        <v>12.0</v>
      </c>
      <c r="F4562" s="21" t="s">
        <v>473</v>
      </c>
      <c r="G4562" s="15">
        <v>0.04193997217253047</v>
      </c>
      <c r="H4562" s="11" t="s">
        <v>33</v>
      </c>
      <c r="I4562" s="16">
        <v>3.2</v>
      </c>
      <c r="J4562" s="11" t="s">
        <v>1377</v>
      </c>
      <c r="K4562" s="11" t="s">
        <v>47</v>
      </c>
      <c r="L4562" s="11" t="s">
        <v>48</v>
      </c>
      <c r="M4562" s="11" t="s">
        <v>66</v>
      </c>
      <c r="N4562" s="11" t="s">
        <v>67</v>
      </c>
      <c r="O4562" s="11" t="s">
        <v>1019</v>
      </c>
      <c r="P4562" s="11" t="s">
        <v>38</v>
      </c>
      <c r="Q4562" s="20">
        <v>40594.0</v>
      </c>
      <c r="R4562" s="17">
        <f t="shared" si="2"/>
        <v>20.21506659</v>
      </c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>
        <f t="shared" si="8"/>
        <v>4</v>
      </c>
      <c r="AF4562" s="19">
        <f t="shared" si="13"/>
        <v>3</v>
      </c>
      <c r="AG4562" s="9"/>
      <c r="AH4562" s="9"/>
      <c r="AI4562" s="9"/>
    </row>
    <row r="4563" ht="15.0" customHeight="1">
      <c r="A4563" s="11">
        <v>4562.0</v>
      </c>
      <c r="B4563" s="12">
        <f t="shared" si="719"/>
        <v>40591</v>
      </c>
      <c r="C4563" s="13">
        <v>2011.0</v>
      </c>
      <c r="D4563" s="11" t="s">
        <v>44</v>
      </c>
      <c r="E4563" s="11">
        <v>5.0</v>
      </c>
      <c r="F4563" s="21" t="s">
        <v>110</v>
      </c>
      <c r="G4563" s="15">
        <v>0.0614332742466447</v>
      </c>
      <c r="H4563" s="11" t="s">
        <v>45</v>
      </c>
      <c r="I4563" s="16">
        <v>14.280000000000001</v>
      </c>
      <c r="J4563" s="11" t="s">
        <v>1393</v>
      </c>
      <c r="K4563" s="11" t="s">
        <v>117</v>
      </c>
      <c r="L4563" s="11" t="s">
        <v>36</v>
      </c>
      <c r="M4563" s="11" t="s">
        <v>66</v>
      </c>
      <c r="N4563" s="11" t="s">
        <v>69</v>
      </c>
      <c r="O4563" s="11" t="s">
        <v>111</v>
      </c>
      <c r="P4563" s="11" t="s">
        <v>52</v>
      </c>
      <c r="Q4563" s="20">
        <v>40595.0</v>
      </c>
      <c r="R4563" s="17">
        <f t="shared" si="2"/>
        <v>45.53925753</v>
      </c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>
        <f t="shared" si="8"/>
        <v>2</v>
      </c>
      <c r="AF4563" s="19" t="b">
        <f t="shared" si="13"/>
        <v>0</v>
      </c>
      <c r="AG4563" s="9"/>
      <c r="AH4563" s="9"/>
      <c r="AI4563" s="9"/>
    </row>
    <row r="4564" ht="15.0" customHeight="1">
      <c r="A4564" s="11">
        <v>4563.0</v>
      </c>
      <c r="B4564" s="12">
        <f t="shared" si="719"/>
        <v>40591</v>
      </c>
      <c r="C4564" s="13">
        <v>2011.0</v>
      </c>
      <c r="D4564" s="11" t="s">
        <v>44</v>
      </c>
      <c r="E4564" s="11">
        <v>1.0</v>
      </c>
      <c r="F4564" s="21" t="s">
        <v>610</v>
      </c>
      <c r="G4564" s="15">
        <v>0.10450261780104723</v>
      </c>
      <c r="H4564" s="11" t="s">
        <v>33</v>
      </c>
      <c r="I4564" s="16">
        <v>4.904</v>
      </c>
      <c r="J4564" s="11" t="s">
        <v>1393</v>
      </c>
      <c r="K4564" s="11" t="s">
        <v>117</v>
      </c>
      <c r="L4564" s="11" t="s">
        <v>36</v>
      </c>
      <c r="M4564" s="11" t="s">
        <v>28</v>
      </c>
      <c r="N4564" s="11" t="s">
        <v>29</v>
      </c>
      <c r="O4564" s="11" t="s">
        <v>1969</v>
      </c>
      <c r="P4564" s="11" t="s">
        <v>38</v>
      </c>
      <c r="Q4564" s="20">
        <v>40595.0</v>
      </c>
      <c r="R4564" s="17">
        <f t="shared" si="2"/>
        <v>1.787412775</v>
      </c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>
        <f t="shared" si="8"/>
        <v>2</v>
      </c>
      <c r="AF4564" s="19" t="b">
        <f t="shared" si="13"/>
        <v>0</v>
      </c>
      <c r="AG4564" s="9"/>
      <c r="AH4564" s="9"/>
      <c r="AI4564" s="9"/>
    </row>
    <row r="4565" ht="15.0" customHeight="1">
      <c r="A4565" s="11">
        <v>4564.0</v>
      </c>
      <c r="B4565" s="12">
        <f t="shared" ref="B4565:B4568" si="720">DATE(2012,12,31)-682</f>
        <v>40592</v>
      </c>
      <c r="C4565" s="13">
        <v>2011.0</v>
      </c>
      <c r="D4565" s="11" t="s">
        <v>44</v>
      </c>
      <c r="E4565" s="11">
        <v>50.0</v>
      </c>
      <c r="F4565" s="21" t="s">
        <v>2151</v>
      </c>
      <c r="G4565" s="15">
        <v>0.03571556409222563</v>
      </c>
      <c r="H4565" s="11" t="s">
        <v>33</v>
      </c>
      <c r="I4565" s="16">
        <v>10.576</v>
      </c>
      <c r="J4565" s="11" t="s">
        <v>1693</v>
      </c>
      <c r="K4565" s="11" t="s">
        <v>61</v>
      </c>
      <c r="L4565" s="11" t="s">
        <v>48</v>
      </c>
      <c r="M4565" s="11" t="s">
        <v>28</v>
      </c>
      <c r="N4565" s="11" t="s">
        <v>197</v>
      </c>
      <c r="O4565" s="11" t="s">
        <v>2152</v>
      </c>
      <c r="P4565" s="11" t="s">
        <v>38</v>
      </c>
      <c r="Q4565" s="20">
        <v>40595.0</v>
      </c>
      <c r="R4565" s="17">
        <f t="shared" si="2"/>
        <v>101.9885076</v>
      </c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>
        <f t="shared" si="8"/>
        <v>4</v>
      </c>
      <c r="AF4565" s="19">
        <f t="shared" si="13"/>
        <v>4</v>
      </c>
      <c r="AG4565" s="9"/>
      <c r="AH4565" s="9"/>
      <c r="AI4565" s="9"/>
    </row>
    <row r="4566" ht="15.0" customHeight="1">
      <c r="A4566" s="11">
        <v>4565.0</v>
      </c>
      <c r="B4566" s="12">
        <f t="shared" si="720"/>
        <v>40592</v>
      </c>
      <c r="C4566" s="13">
        <v>2011.0</v>
      </c>
      <c r="D4566" s="11" t="s">
        <v>44</v>
      </c>
      <c r="E4566" s="11">
        <v>47.0</v>
      </c>
      <c r="F4566" s="21" t="s">
        <v>715</v>
      </c>
      <c r="G4566" s="15">
        <v>0.07428858937882096</v>
      </c>
      <c r="H4566" s="11" t="s">
        <v>45</v>
      </c>
      <c r="I4566" s="16">
        <v>11.76</v>
      </c>
      <c r="J4566" s="11" t="s">
        <v>1693</v>
      </c>
      <c r="K4566" s="11" t="s">
        <v>61</v>
      </c>
      <c r="L4566" s="11" t="s">
        <v>48</v>
      </c>
      <c r="M4566" s="11" t="s">
        <v>66</v>
      </c>
      <c r="N4566" s="11" t="s">
        <v>69</v>
      </c>
      <c r="O4566" s="11" t="s">
        <v>717</v>
      </c>
      <c r="P4566" s="11" t="s">
        <v>52</v>
      </c>
      <c r="Q4566" s="20">
        <v>40595.0</v>
      </c>
      <c r="R4566" s="17">
        <f t="shared" si="2"/>
        <v>1544.493946</v>
      </c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>
        <f t="shared" si="8"/>
        <v>4</v>
      </c>
      <c r="AF4566" s="19">
        <f t="shared" si="13"/>
        <v>4</v>
      </c>
      <c r="AG4566" s="9"/>
      <c r="AH4566" s="9"/>
      <c r="AI4566" s="9"/>
    </row>
    <row r="4567" ht="15.0" customHeight="1">
      <c r="A4567" s="11">
        <v>4566.0</v>
      </c>
      <c r="B4567" s="12">
        <f t="shared" si="720"/>
        <v>40592</v>
      </c>
      <c r="C4567" s="13">
        <v>2011.0</v>
      </c>
      <c r="D4567" s="11" t="s">
        <v>39</v>
      </c>
      <c r="E4567" s="11">
        <v>8.0</v>
      </c>
      <c r="F4567" s="21" t="s">
        <v>668</v>
      </c>
      <c r="G4567" s="15">
        <v>0.07317073170731696</v>
      </c>
      <c r="H4567" s="11" t="s">
        <v>33</v>
      </c>
      <c r="I4567" s="16">
        <v>5.2</v>
      </c>
      <c r="J4567" s="11" t="s">
        <v>1036</v>
      </c>
      <c r="K4567" s="11" t="s">
        <v>65</v>
      </c>
      <c r="L4567" s="11" t="s">
        <v>36</v>
      </c>
      <c r="M4567" s="11" t="s">
        <v>28</v>
      </c>
      <c r="N4567" s="11" t="s">
        <v>29</v>
      </c>
      <c r="O4567" s="11" t="s">
        <v>1509</v>
      </c>
      <c r="P4567" s="11" t="s">
        <v>75</v>
      </c>
      <c r="Q4567" s="20">
        <v>40595.0</v>
      </c>
      <c r="R4567" s="17">
        <f t="shared" si="2"/>
        <v>5.004878049</v>
      </c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>
        <f t="shared" si="8"/>
        <v>2</v>
      </c>
      <c r="AF4567" s="19">
        <f t="shared" si="13"/>
        <v>5</v>
      </c>
      <c r="AG4567" s="9"/>
      <c r="AH4567" s="9"/>
      <c r="AI4567" s="9"/>
    </row>
    <row r="4568" ht="15.0" customHeight="1">
      <c r="A4568" s="11">
        <v>4567.0</v>
      </c>
      <c r="B4568" s="12">
        <f t="shared" si="720"/>
        <v>40592</v>
      </c>
      <c r="C4568" s="13">
        <v>2011.0</v>
      </c>
      <c r="D4568" s="11" t="s">
        <v>32</v>
      </c>
      <c r="E4568" s="11">
        <v>28.0</v>
      </c>
      <c r="F4568" s="21" t="s">
        <v>2380</v>
      </c>
      <c r="G4568" s="15">
        <v>0.06011187388761765</v>
      </c>
      <c r="H4568" s="11" t="s">
        <v>24</v>
      </c>
      <c r="I4568" s="16">
        <v>0.392</v>
      </c>
      <c r="J4568" s="11" t="s">
        <v>1492</v>
      </c>
      <c r="K4568" s="11" t="s">
        <v>35</v>
      </c>
      <c r="L4568" s="11" t="s">
        <v>36</v>
      </c>
      <c r="M4568" s="11" t="s">
        <v>28</v>
      </c>
      <c r="N4568" s="11" t="s">
        <v>188</v>
      </c>
      <c r="O4568" s="11" t="s">
        <v>2381</v>
      </c>
      <c r="P4568" s="11" t="s">
        <v>38</v>
      </c>
      <c r="Q4568" s="20">
        <v>40595.0</v>
      </c>
      <c r="R4568" s="17">
        <f t="shared" si="2"/>
        <v>165.4754855</v>
      </c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>
        <f t="shared" si="8"/>
        <v>2</v>
      </c>
      <c r="AF4568" s="19">
        <f t="shared" si="13"/>
        <v>2</v>
      </c>
      <c r="AG4568" s="9"/>
      <c r="AH4568" s="9"/>
      <c r="AI4568" s="9"/>
    </row>
    <row r="4569" ht="15.0" customHeight="1">
      <c r="A4569" s="11">
        <v>4568.0</v>
      </c>
      <c r="B4569" s="12">
        <f t="shared" ref="B4569:B4572" si="721">DATE(2012,12,31)-681</f>
        <v>40593</v>
      </c>
      <c r="C4569" s="13">
        <v>2011.0</v>
      </c>
      <c r="D4569" s="11" t="s">
        <v>23</v>
      </c>
      <c r="E4569" s="11">
        <v>15.0</v>
      </c>
      <c r="F4569" s="21" t="s">
        <v>632</v>
      </c>
      <c r="G4569" s="15">
        <v>0.03206020696142993</v>
      </c>
      <c r="H4569" s="11" t="s">
        <v>33</v>
      </c>
      <c r="I4569" s="16">
        <v>2.3920000000000003</v>
      </c>
      <c r="J4569" s="11" t="s">
        <v>1054</v>
      </c>
      <c r="K4569" s="11" t="s">
        <v>61</v>
      </c>
      <c r="L4569" s="11" t="s">
        <v>48</v>
      </c>
      <c r="M4569" s="11" t="s">
        <v>28</v>
      </c>
      <c r="N4569" s="11" t="s">
        <v>42</v>
      </c>
      <c r="O4569" s="11" t="s">
        <v>1576</v>
      </c>
      <c r="P4569" s="11" t="s">
        <v>38</v>
      </c>
      <c r="Q4569" s="20">
        <v>40595.0</v>
      </c>
      <c r="R4569" s="17">
        <f t="shared" si="2"/>
        <v>3.298738815</v>
      </c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>
        <f t="shared" si="8"/>
        <v>4</v>
      </c>
      <c r="AF4569" s="19">
        <f t="shared" si="13"/>
        <v>4</v>
      </c>
      <c r="AG4569" s="9"/>
      <c r="AH4569" s="9"/>
      <c r="AI4569" s="9"/>
    </row>
    <row r="4570" ht="15.0" customHeight="1">
      <c r="A4570" s="11">
        <v>4569.0</v>
      </c>
      <c r="B4570" s="12">
        <f t="shared" si="721"/>
        <v>40593</v>
      </c>
      <c r="C4570" s="13">
        <v>2011.0</v>
      </c>
      <c r="D4570" s="11" t="s">
        <v>23</v>
      </c>
      <c r="E4570" s="11">
        <v>13.0</v>
      </c>
      <c r="F4570" s="21" t="s">
        <v>112</v>
      </c>
      <c r="G4570" s="15">
        <v>0.03205314812018716</v>
      </c>
      <c r="H4570" s="11" t="s">
        <v>45</v>
      </c>
      <c r="I4570" s="16">
        <v>34.656</v>
      </c>
      <c r="J4570" s="11" t="s">
        <v>1054</v>
      </c>
      <c r="K4570" s="11" t="s">
        <v>61</v>
      </c>
      <c r="L4570" s="11" t="s">
        <v>48</v>
      </c>
      <c r="M4570" s="11" t="s">
        <v>49</v>
      </c>
      <c r="N4570" s="11" t="s">
        <v>50</v>
      </c>
      <c r="O4570" s="11" t="s">
        <v>114</v>
      </c>
      <c r="P4570" s="11" t="s">
        <v>52</v>
      </c>
      <c r="Q4570" s="20">
        <v>40595.0</v>
      </c>
      <c r="R4570" s="17">
        <f t="shared" si="2"/>
        <v>102.7417506</v>
      </c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>
        <f t="shared" si="8"/>
        <v>4</v>
      </c>
      <c r="AF4570" s="19">
        <f t="shared" si="13"/>
        <v>4</v>
      </c>
      <c r="AG4570" s="9"/>
      <c r="AH4570" s="9"/>
      <c r="AI4570" s="9"/>
    </row>
    <row r="4571" ht="15.0" customHeight="1">
      <c r="A4571" s="11">
        <v>4570.0</v>
      </c>
      <c r="B4571" s="12">
        <f t="shared" si="721"/>
        <v>40593</v>
      </c>
      <c r="C4571" s="13">
        <v>2011.0</v>
      </c>
      <c r="D4571" s="11" t="s">
        <v>102</v>
      </c>
      <c r="E4571" s="11">
        <v>4.0</v>
      </c>
      <c r="F4571" s="21" t="s">
        <v>192</v>
      </c>
      <c r="G4571" s="15">
        <v>0.07517207750545359</v>
      </c>
      <c r="H4571" s="11" t="s">
        <v>33</v>
      </c>
      <c r="I4571" s="16">
        <v>15.991999999999999</v>
      </c>
      <c r="J4571" s="11" t="s">
        <v>878</v>
      </c>
      <c r="K4571" s="11" t="s">
        <v>61</v>
      </c>
      <c r="L4571" s="11" t="s">
        <v>36</v>
      </c>
      <c r="M4571" s="11" t="s">
        <v>28</v>
      </c>
      <c r="N4571" s="11" t="s">
        <v>42</v>
      </c>
      <c r="O4571" s="11" t="s">
        <v>194</v>
      </c>
      <c r="P4571" s="11" t="s">
        <v>38</v>
      </c>
      <c r="Q4571" s="20">
        <v>40595.0</v>
      </c>
      <c r="R4571" s="17">
        <f t="shared" si="2"/>
        <v>270.8894971</v>
      </c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>
        <f t="shared" si="8"/>
        <v>2</v>
      </c>
      <c r="AF4571" s="19">
        <f t="shared" si="13"/>
        <v>4</v>
      </c>
      <c r="AG4571" s="9"/>
      <c r="AH4571" s="9"/>
      <c r="AI4571" s="9"/>
    </row>
    <row r="4572" ht="15.0" customHeight="1">
      <c r="A4572" s="11">
        <v>4571.0</v>
      </c>
      <c r="B4572" s="12">
        <f t="shared" si="721"/>
        <v>40593</v>
      </c>
      <c r="C4572" s="13">
        <v>2011.0</v>
      </c>
      <c r="D4572" s="11" t="s">
        <v>102</v>
      </c>
      <c r="E4572" s="11">
        <v>13.0</v>
      </c>
      <c r="F4572" s="21" t="s">
        <v>163</v>
      </c>
      <c r="G4572" s="15">
        <v>0.05822860819215107</v>
      </c>
      <c r="H4572" s="11" t="s">
        <v>33</v>
      </c>
      <c r="I4572" s="16">
        <v>5.744</v>
      </c>
      <c r="J4572" s="11" t="s">
        <v>878</v>
      </c>
      <c r="K4572" s="11" t="s">
        <v>61</v>
      </c>
      <c r="L4572" s="11" t="s">
        <v>36</v>
      </c>
      <c r="M4572" s="11" t="s">
        <v>66</v>
      </c>
      <c r="N4572" s="11" t="s">
        <v>67</v>
      </c>
      <c r="O4572" s="11" t="s">
        <v>1031</v>
      </c>
      <c r="P4572" s="11" t="s">
        <v>38</v>
      </c>
      <c r="Q4572" s="20">
        <v>40595.0</v>
      </c>
      <c r="R4572" s="17">
        <f t="shared" si="2"/>
        <v>76.71293049</v>
      </c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>
        <f t="shared" si="8"/>
        <v>2</v>
      </c>
      <c r="AF4572" s="19">
        <f t="shared" si="13"/>
        <v>4</v>
      </c>
      <c r="AG4572" s="9"/>
      <c r="AH4572" s="9"/>
      <c r="AI4572" s="9"/>
    </row>
    <row r="4573" ht="15.0" customHeight="1">
      <c r="A4573" s="11">
        <v>4572.0</v>
      </c>
      <c r="B4573" s="12">
        <f t="shared" ref="B4573:B4580" si="722">DATE(2012,12,31)-680</f>
        <v>40594</v>
      </c>
      <c r="C4573" s="13">
        <v>2011.0</v>
      </c>
      <c r="D4573" s="11" t="s">
        <v>32</v>
      </c>
      <c r="E4573" s="11">
        <v>3.0</v>
      </c>
      <c r="F4573" s="21" t="s">
        <v>1187</v>
      </c>
      <c r="G4573" s="15">
        <v>0.0794248366013071</v>
      </c>
      <c r="H4573" s="11" t="s">
        <v>24</v>
      </c>
      <c r="I4573" s="16">
        <v>4.424</v>
      </c>
      <c r="J4573" s="11" t="s">
        <v>2095</v>
      </c>
      <c r="K4573" s="11" t="s">
        <v>35</v>
      </c>
      <c r="L4573" s="11" t="s">
        <v>36</v>
      </c>
      <c r="M4573" s="11" t="s">
        <v>28</v>
      </c>
      <c r="N4573" s="11" t="s">
        <v>62</v>
      </c>
      <c r="O4573" s="11" t="s">
        <v>1188</v>
      </c>
      <c r="P4573" s="11" t="s">
        <v>99</v>
      </c>
      <c r="Q4573" s="20">
        <v>40595.0</v>
      </c>
      <c r="R4573" s="17">
        <f t="shared" si="2"/>
        <v>5.593414693</v>
      </c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>
        <f t="shared" si="8"/>
        <v>2</v>
      </c>
      <c r="AF4573" s="19">
        <f t="shared" si="13"/>
        <v>2</v>
      </c>
      <c r="AG4573" s="9"/>
      <c r="AH4573" s="9"/>
      <c r="AI4573" s="9"/>
    </row>
    <row r="4574" ht="15.0" customHeight="1">
      <c r="A4574" s="11">
        <v>4573.0</v>
      </c>
      <c r="B4574" s="12">
        <f t="shared" si="722"/>
        <v>40594</v>
      </c>
      <c r="C4574" s="13">
        <v>2011.0</v>
      </c>
      <c r="D4574" s="11" t="s">
        <v>32</v>
      </c>
      <c r="E4574" s="11">
        <v>31.0</v>
      </c>
      <c r="F4574" s="21" t="s">
        <v>163</v>
      </c>
      <c r="G4574" s="15">
        <v>0.0781061376245388</v>
      </c>
      <c r="H4574" s="11" t="s">
        <v>45</v>
      </c>
      <c r="I4574" s="16">
        <v>45.904</v>
      </c>
      <c r="J4574" s="11" t="s">
        <v>992</v>
      </c>
      <c r="K4574" s="11" t="s">
        <v>61</v>
      </c>
      <c r="L4574" s="11" t="s">
        <v>48</v>
      </c>
      <c r="M4574" s="11" t="s">
        <v>49</v>
      </c>
      <c r="N4574" s="11" t="s">
        <v>156</v>
      </c>
      <c r="O4574" s="11" t="s">
        <v>852</v>
      </c>
      <c r="P4574" s="11" t="s">
        <v>87</v>
      </c>
      <c r="Q4574" s="20">
        <v>40595.0</v>
      </c>
      <c r="R4574" s="17">
        <f t="shared" si="2"/>
        <v>247.893572</v>
      </c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>
        <f t="shared" si="8"/>
        <v>4</v>
      </c>
      <c r="AF4574" s="19">
        <f t="shared" si="13"/>
        <v>4</v>
      </c>
      <c r="AG4574" s="9"/>
      <c r="AH4574" s="9"/>
      <c r="AI4574" s="9"/>
    </row>
    <row r="4575" ht="15.0" customHeight="1">
      <c r="A4575" s="11">
        <v>4574.0</v>
      </c>
      <c r="B4575" s="12">
        <f t="shared" si="722"/>
        <v>40594</v>
      </c>
      <c r="C4575" s="13">
        <v>2011.0</v>
      </c>
      <c r="D4575" s="11" t="s">
        <v>32</v>
      </c>
      <c r="E4575" s="11">
        <v>42.0</v>
      </c>
      <c r="F4575" s="21" t="s">
        <v>270</v>
      </c>
      <c r="G4575" s="15">
        <v>0.041081562256592936</v>
      </c>
      <c r="H4575" s="11" t="s">
        <v>33</v>
      </c>
      <c r="I4575" s="16">
        <v>5.760000000000001</v>
      </c>
      <c r="J4575" s="11" t="s">
        <v>992</v>
      </c>
      <c r="K4575" s="11" t="s">
        <v>61</v>
      </c>
      <c r="L4575" s="11" t="s">
        <v>48</v>
      </c>
      <c r="M4575" s="11" t="s">
        <v>28</v>
      </c>
      <c r="N4575" s="11" t="s">
        <v>197</v>
      </c>
      <c r="O4575" s="11" t="s">
        <v>1366</v>
      </c>
      <c r="P4575" s="11" t="s">
        <v>38</v>
      </c>
      <c r="Q4575" s="20">
        <v>40596.0</v>
      </c>
      <c r="R4575" s="17">
        <f t="shared" si="2"/>
        <v>70.80653744</v>
      </c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>
        <f t="shared" si="8"/>
        <v>4</v>
      </c>
      <c r="AF4575" s="19">
        <f t="shared" si="13"/>
        <v>4</v>
      </c>
      <c r="AG4575" s="9"/>
      <c r="AH4575" s="9"/>
      <c r="AI4575" s="9"/>
    </row>
    <row r="4576" ht="15.0" customHeight="1">
      <c r="A4576" s="11">
        <v>4575.0</v>
      </c>
      <c r="B4576" s="12">
        <f t="shared" si="722"/>
        <v>40594</v>
      </c>
      <c r="C4576" s="13">
        <v>2011.0</v>
      </c>
      <c r="D4576" s="11" t="s">
        <v>39</v>
      </c>
      <c r="E4576" s="11">
        <v>39.0</v>
      </c>
      <c r="F4576" s="21" t="s">
        <v>256</v>
      </c>
      <c r="G4576" s="15">
        <v>0.062440486099550586</v>
      </c>
      <c r="H4576" s="11" t="s">
        <v>33</v>
      </c>
      <c r="I4576" s="16">
        <v>1.592</v>
      </c>
      <c r="J4576" s="11" t="s">
        <v>232</v>
      </c>
      <c r="K4576" s="11" t="s">
        <v>47</v>
      </c>
      <c r="L4576" s="11" t="s">
        <v>41</v>
      </c>
      <c r="M4576" s="11" t="s">
        <v>66</v>
      </c>
      <c r="N4576" s="11" t="s">
        <v>67</v>
      </c>
      <c r="O4576" s="11" t="s">
        <v>2335</v>
      </c>
      <c r="P4576" s="11" t="s">
        <v>99</v>
      </c>
      <c r="Q4576" s="20">
        <v>40596.0</v>
      </c>
      <c r="R4576" s="17">
        <f t="shared" si="2"/>
        <v>35.16598225</v>
      </c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>
        <f t="shared" si="8"/>
        <v>3</v>
      </c>
      <c r="AF4576" s="19">
        <f t="shared" si="13"/>
        <v>3</v>
      </c>
      <c r="AG4576" s="9"/>
      <c r="AH4576" s="9"/>
      <c r="AI4576" s="9"/>
    </row>
    <row r="4577" ht="15.0" customHeight="1">
      <c r="A4577" s="11">
        <v>4576.0</v>
      </c>
      <c r="B4577" s="12">
        <f t="shared" si="722"/>
        <v>40594</v>
      </c>
      <c r="C4577" s="13">
        <v>2011.0</v>
      </c>
      <c r="D4577" s="11" t="s">
        <v>39</v>
      </c>
      <c r="E4577" s="11">
        <v>15.0</v>
      </c>
      <c r="F4577" s="21" t="s">
        <v>670</v>
      </c>
      <c r="G4577" s="15">
        <v>0.0588434280269191</v>
      </c>
      <c r="H4577" s="11" t="s">
        <v>45</v>
      </c>
      <c r="I4577" s="16">
        <v>60.184000000000005</v>
      </c>
      <c r="J4577" s="11" t="s">
        <v>232</v>
      </c>
      <c r="K4577" s="11" t="s">
        <v>47</v>
      </c>
      <c r="L4577" s="11" t="s">
        <v>41</v>
      </c>
      <c r="M4577" s="11" t="s">
        <v>49</v>
      </c>
      <c r="N4577" s="11" t="s">
        <v>85</v>
      </c>
      <c r="O4577" s="11" t="s">
        <v>671</v>
      </c>
      <c r="P4577" s="11" t="s">
        <v>87</v>
      </c>
      <c r="Q4577" s="20">
        <v>40596.0</v>
      </c>
      <c r="R4577" s="17">
        <f t="shared" si="2"/>
        <v>371.9601357</v>
      </c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>
        <f t="shared" si="8"/>
        <v>3</v>
      </c>
      <c r="AF4577" s="19">
        <f t="shared" si="13"/>
        <v>3</v>
      </c>
      <c r="AG4577" s="9"/>
      <c r="AH4577" s="9"/>
      <c r="AI4577" s="9"/>
    </row>
    <row r="4578" ht="15.0" customHeight="1">
      <c r="A4578" s="11">
        <v>4577.0</v>
      </c>
      <c r="B4578" s="12">
        <f t="shared" si="722"/>
        <v>40594</v>
      </c>
      <c r="C4578" s="13">
        <v>2011.0</v>
      </c>
      <c r="D4578" s="11" t="s">
        <v>39</v>
      </c>
      <c r="E4578" s="11">
        <v>28.0</v>
      </c>
      <c r="F4578" s="21" t="s">
        <v>2469</v>
      </c>
      <c r="G4578" s="15">
        <v>0.03066276555145661</v>
      </c>
      <c r="H4578" s="11" t="s">
        <v>33</v>
      </c>
      <c r="I4578" s="16">
        <v>0.792</v>
      </c>
      <c r="J4578" s="11" t="s">
        <v>1266</v>
      </c>
      <c r="K4578" s="11" t="s">
        <v>65</v>
      </c>
      <c r="L4578" s="11" t="s">
        <v>48</v>
      </c>
      <c r="M4578" s="11" t="s">
        <v>28</v>
      </c>
      <c r="N4578" s="11" t="s">
        <v>197</v>
      </c>
      <c r="O4578" s="11" t="s">
        <v>2470</v>
      </c>
      <c r="P4578" s="11" t="s">
        <v>38</v>
      </c>
      <c r="Q4578" s="20">
        <v>40596.0</v>
      </c>
      <c r="R4578" s="17">
        <f t="shared" si="2"/>
        <v>46.7298094</v>
      </c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>
        <f t="shared" si="8"/>
        <v>4</v>
      </c>
      <c r="AF4578" s="19">
        <f t="shared" si="13"/>
        <v>5</v>
      </c>
      <c r="AG4578" s="9"/>
      <c r="AH4578" s="9"/>
      <c r="AI4578" s="9"/>
    </row>
    <row r="4579" ht="15.0" customHeight="1">
      <c r="A4579" s="11">
        <v>4578.0</v>
      </c>
      <c r="B4579" s="12">
        <f t="shared" si="722"/>
        <v>40594</v>
      </c>
      <c r="C4579" s="13">
        <v>2011.0</v>
      </c>
      <c r="D4579" s="11" t="s">
        <v>39</v>
      </c>
      <c r="E4579" s="11">
        <v>30.0</v>
      </c>
      <c r="F4579" s="21" t="s">
        <v>128</v>
      </c>
      <c r="G4579" s="15">
        <v>0.04872713378229932</v>
      </c>
      <c r="H4579" s="11" t="s">
        <v>33</v>
      </c>
      <c r="I4579" s="16">
        <v>7.192</v>
      </c>
      <c r="J4579" s="11" t="s">
        <v>1266</v>
      </c>
      <c r="K4579" s="11" t="s">
        <v>65</v>
      </c>
      <c r="L4579" s="11" t="s">
        <v>48</v>
      </c>
      <c r="M4579" s="11" t="s">
        <v>66</v>
      </c>
      <c r="N4579" s="11" t="s">
        <v>80</v>
      </c>
      <c r="O4579" s="11" t="s">
        <v>214</v>
      </c>
      <c r="P4579" s="11" t="s">
        <v>38</v>
      </c>
      <c r="Q4579" s="20">
        <v>40597.0</v>
      </c>
      <c r="R4579" s="17">
        <f t="shared" si="2"/>
        <v>184.3928298</v>
      </c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>
        <f t="shared" si="8"/>
        <v>4</v>
      </c>
      <c r="AF4579" s="19">
        <f t="shared" si="13"/>
        <v>5</v>
      </c>
      <c r="AG4579" s="9"/>
      <c r="AH4579" s="9"/>
      <c r="AI4579" s="9"/>
    </row>
    <row r="4580" ht="15.0" customHeight="1">
      <c r="A4580" s="11">
        <v>4579.0</v>
      </c>
      <c r="B4580" s="12">
        <f t="shared" si="722"/>
        <v>40594</v>
      </c>
      <c r="C4580" s="13">
        <v>2011.0</v>
      </c>
      <c r="D4580" s="11" t="s">
        <v>39</v>
      </c>
      <c r="E4580" s="11">
        <v>42.0</v>
      </c>
      <c r="F4580" s="21" t="s">
        <v>1369</v>
      </c>
      <c r="G4580" s="15">
        <v>0.052940330697339874</v>
      </c>
      <c r="H4580" s="11" t="s">
        <v>33</v>
      </c>
      <c r="I4580" s="16">
        <v>1.536</v>
      </c>
      <c r="J4580" s="11" t="s">
        <v>373</v>
      </c>
      <c r="K4580" s="11" t="s">
        <v>83</v>
      </c>
      <c r="L4580" s="11" t="s">
        <v>48</v>
      </c>
      <c r="M4580" s="11" t="s">
        <v>28</v>
      </c>
      <c r="N4580" s="11" t="s">
        <v>442</v>
      </c>
      <c r="O4580" s="11" t="s">
        <v>1776</v>
      </c>
      <c r="P4580" s="11" t="s">
        <v>58</v>
      </c>
      <c r="Q4580" s="20">
        <v>40597.0</v>
      </c>
      <c r="R4580" s="17">
        <f t="shared" si="2"/>
        <v>6.974147405</v>
      </c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>
        <f t="shared" si="8"/>
        <v>4</v>
      </c>
      <c r="AF4580" s="19" t="b">
        <f t="shared" si="13"/>
        <v>0</v>
      </c>
      <c r="AG4580" s="9"/>
      <c r="AH4580" s="9"/>
      <c r="AI4580" s="9"/>
    </row>
    <row r="4581" ht="15.0" customHeight="1">
      <c r="A4581" s="11">
        <v>4580.0</v>
      </c>
      <c r="B4581" s="12">
        <f t="shared" ref="B4581:B4586" si="723">DATE(2012,12,31)-679</f>
        <v>40595</v>
      </c>
      <c r="C4581" s="13">
        <v>2011.0</v>
      </c>
      <c r="D4581" s="11" t="s">
        <v>44</v>
      </c>
      <c r="E4581" s="11">
        <v>43.0</v>
      </c>
      <c r="F4581" s="21" t="s">
        <v>140</v>
      </c>
      <c r="G4581" s="15">
        <v>0.04331457160725463</v>
      </c>
      <c r="H4581" s="11" t="s">
        <v>24</v>
      </c>
      <c r="I4581" s="16">
        <v>11.192</v>
      </c>
      <c r="J4581" s="11" t="s">
        <v>2297</v>
      </c>
      <c r="K4581" s="11" t="s">
        <v>47</v>
      </c>
      <c r="L4581" s="11" t="s">
        <v>41</v>
      </c>
      <c r="M4581" s="11" t="s">
        <v>28</v>
      </c>
      <c r="N4581" s="11" t="s">
        <v>29</v>
      </c>
      <c r="O4581" s="11" t="s">
        <v>141</v>
      </c>
      <c r="P4581" s="11" t="s">
        <v>75</v>
      </c>
      <c r="Q4581" s="20">
        <v>40597.0</v>
      </c>
      <c r="R4581" s="17">
        <f t="shared" si="2"/>
        <v>53.00802622</v>
      </c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>
        <f t="shared" si="8"/>
        <v>3</v>
      </c>
      <c r="AF4581" s="19">
        <f t="shared" si="13"/>
        <v>3</v>
      </c>
      <c r="AG4581" s="9"/>
      <c r="AH4581" s="9"/>
      <c r="AI4581" s="9"/>
    </row>
    <row r="4582" ht="15.0" customHeight="1">
      <c r="A4582" s="11">
        <v>4581.0</v>
      </c>
      <c r="B4582" s="12">
        <f t="shared" si="723"/>
        <v>40595</v>
      </c>
      <c r="C4582" s="13">
        <v>2011.0</v>
      </c>
      <c r="D4582" s="11" t="s">
        <v>102</v>
      </c>
      <c r="E4582" s="11">
        <v>7.0</v>
      </c>
      <c r="F4582" s="21" t="s">
        <v>869</v>
      </c>
      <c r="G4582" s="15">
        <v>0.03985333970986751</v>
      </c>
      <c r="H4582" s="11" t="s">
        <v>33</v>
      </c>
      <c r="I4582" s="16">
        <v>1.0</v>
      </c>
      <c r="J4582" s="11" t="s">
        <v>942</v>
      </c>
      <c r="K4582" s="11" t="s">
        <v>61</v>
      </c>
      <c r="L4582" s="11" t="s">
        <v>48</v>
      </c>
      <c r="M4582" s="11" t="s">
        <v>66</v>
      </c>
      <c r="N4582" s="11" t="s">
        <v>80</v>
      </c>
      <c r="O4582" s="11" t="s">
        <v>2349</v>
      </c>
      <c r="P4582" s="11" t="s">
        <v>99</v>
      </c>
      <c r="Q4582" s="20">
        <v>40597.0</v>
      </c>
      <c r="R4582" s="17">
        <f t="shared" si="2"/>
        <v>24.00366651</v>
      </c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>
        <f t="shared" si="8"/>
        <v>4</v>
      </c>
      <c r="AF4582" s="19">
        <f t="shared" si="13"/>
        <v>4</v>
      </c>
      <c r="AG4582" s="9"/>
      <c r="AH4582" s="9"/>
      <c r="AI4582" s="9"/>
    </row>
    <row r="4583" ht="15.0" customHeight="1">
      <c r="A4583" s="11">
        <v>4582.0</v>
      </c>
      <c r="B4583" s="12">
        <f t="shared" si="723"/>
        <v>40595</v>
      </c>
      <c r="C4583" s="13">
        <v>2011.0</v>
      </c>
      <c r="D4583" s="11" t="s">
        <v>102</v>
      </c>
      <c r="E4583" s="11">
        <v>39.0</v>
      </c>
      <c r="F4583" s="21" t="s">
        <v>668</v>
      </c>
      <c r="G4583" s="15">
        <v>0.06099879663056545</v>
      </c>
      <c r="H4583" s="11" t="s">
        <v>33</v>
      </c>
      <c r="I4583" s="16">
        <v>4.024</v>
      </c>
      <c r="J4583" s="11" t="s">
        <v>942</v>
      </c>
      <c r="K4583" s="11" t="s">
        <v>61</v>
      </c>
      <c r="L4583" s="11" t="s">
        <v>48</v>
      </c>
      <c r="M4583" s="11" t="s">
        <v>66</v>
      </c>
      <c r="N4583" s="11" t="s">
        <v>80</v>
      </c>
      <c r="O4583" s="11" t="s">
        <v>1603</v>
      </c>
      <c r="P4583" s="11" t="s">
        <v>75</v>
      </c>
      <c r="Q4583" s="20">
        <v>40598.0</v>
      </c>
      <c r="R4583" s="17">
        <f t="shared" si="2"/>
        <v>19.0391884</v>
      </c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>
        <f t="shared" si="8"/>
        <v>4</v>
      </c>
      <c r="AF4583" s="19">
        <f t="shared" si="13"/>
        <v>4</v>
      </c>
      <c r="AG4583" s="9"/>
      <c r="AH4583" s="9"/>
      <c r="AI4583" s="9"/>
    </row>
    <row r="4584" ht="15.0" customHeight="1">
      <c r="A4584" s="11">
        <v>4583.0</v>
      </c>
      <c r="B4584" s="12">
        <f t="shared" si="723"/>
        <v>40595</v>
      </c>
      <c r="C4584" s="13">
        <v>2011.0</v>
      </c>
      <c r="D4584" s="11" t="s">
        <v>102</v>
      </c>
      <c r="E4584" s="11">
        <v>1.0</v>
      </c>
      <c r="F4584" s="21" t="s">
        <v>100</v>
      </c>
      <c r="G4584" s="15">
        <v>0.01496483825597753</v>
      </c>
      <c r="H4584" s="11" t="s">
        <v>33</v>
      </c>
      <c r="I4584" s="16">
        <v>4.208</v>
      </c>
      <c r="J4584" s="11" t="s">
        <v>942</v>
      </c>
      <c r="K4584" s="11" t="s">
        <v>61</v>
      </c>
      <c r="L4584" s="11" t="s">
        <v>48</v>
      </c>
      <c r="M4584" s="11" t="s">
        <v>66</v>
      </c>
      <c r="N4584" s="11" t="s">
        <v>80</v>
      </c>
      <c r="O4584" s="11" t="s">
        <v>1810</v>
      </c>
      <c r="P4584" s="11" t="s">
        <v>38</v>
      </c>
      <c r="Q4584" s="20">
        <v>40598.0</v>
      </c>
      <c r="R4584" s="17">
        <f t="shared" si="2"/>
        <v>3.144232236</v>
      </c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>
        <f t="shared" si="8"/>
        <v>4</v>
      </c>
      <c r="AF4584" s="19">
        <f t="shared" si="13"/>
        <v>4</v>
      </c>
      <c r="AG4584" s="9"/>
      <c r="AH4584" s="9"/>
      <c r="AI4584" s="9"/>
    </row>
    <row r="4585" ht="15.0" customHeight="1">
      <c r="A4585" s="11">
        <v>4584.0</v>
      </c>
      <c r="B4585" s="12">
        <f t="shared" si="723"/>
        <v>40595</v>
      </c>
      <c r="C4585" s="13">
        <v>2011.0</v>
      </c>
      <c r="D4585" s="11" t="s">
        <v>39</v>
      </c>
      <c r="E4585" s="11">
        <v>30.0</v>
      </c>
      <c r="F4585" s="21" t="s">
        <v>126</v>
      </c>
      <c r="G4585" s="15">
        <v>0.024652644996813224</v>
      </c>
      <c r="H4585" s="11" t="s">
        <v>33</v>
      </c>
      <c r="I4585" s="16">
        <v>6.032</v>
      </c>
      <c r="J4585" s="11" t="s">
        <v>1684</v>
      </c>
      <c r="K4585" s="11" t="s">
        <v>47</v>
      </c>
      <c r="L4585" s="11" t="s">
        <v>48</v>
      </c>
      <c r="M4585" s="11" t="s">
        <v>28</v>
      </c>
      <c r="N4585" s="11" t="s">
        <v>56</v>
      </c>
      <c r="O4585" s="11" t="s">
        <v>842</v>
      </c>
      <c r="P4585" s="11" t="s">
        <v>38</v>
      </c>
      <c r="Q4585" s="20">
        <v>40598.0</v>
      </c>
      <c r="R4585" s="17">
        <f t="shared" si="2"/>
        <v>3.772643569</v>
      </c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>
        <f t="shared" si="8"/>
        <v>4</v>
      </c>
      <c r="AF4585" s="19">
        <f t="shared" si="13"/>
        <v>3</v>
      </c>
      <c r="AG4585" s="9"/>
      <c r="AH4585" s="9"/>
      <c r="AI4585" s="9"/>
    </row>
    <row r="4586" ht="15.0" customHeight="1">
      <c r="A4586" s="11">
        <v>4585.0</v>
      </c>
      <c r="B4586" s="12">
        <f t="shared" si="723"/>
        <v>40595</v>
      </c>
      <c r="C4586" s="13">
        <v>2011.0</v>
      </c>
      <c r="D4586" s="11" t="s">
        <v>39</v>
      </c>
      <c r="E4586" s="11">
        <v>19.0</v>
      </c>
      <c r="F4586" s="21" t="s">
        <v>802</v>
      </c>
      <c r="G4586" s="15">
        <v>0.0833118395128067</v>
      </c>
      <c r="H4586" s="11" t="s">
        <v>24</v>
      </c>
      <c r="I4586" s="16">
        <v>4.648</v>
      </c>
      <c r="J4586" s="11" t="s">
        <v>1684</v>
      </c>
      <c r="K4586" s="11" t="s">
        <v>47</v>
      </c>
      <c r="L4586" s="11" t="s">
        <v>48</v>
      </c>
      <c r="M4586" s="11" t="s">
        <v>49</v>
      </c>
      <c r="N4586" s="11" t="s">
        <v>73</v>
      </c>
      <c r="O4586" s="11" t="s">
        <v>804</v>
      </c>
      <c r="P4586" s="11" t="s">
        <v>75</v>
      </c>
      <c r="Q4586" s="20">
        <v>40599.0</v>
      </c>
      <c r="R4586" s="17">
        <f t="shared" si="2"/>
        <v>170.5516656</v>
      </c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>
        <f t="shared" si="8"/>
        <v>4</v>
      </c>
      <c r="AF4586" s="19">
        <f t="shared" si="13"/>
        <v>3</v>
      </c>
      <c r="AG4586" s="9"/>
      <c r="AH4586" s="9"/>
      <c r="AI4586" s="9"/>
    </row>
    <row r="4587" ht="15.0" customHeight="1">
      <c r="A4587" s="11">
        <v>4586.0</v>
      </c>
      <c r="B4587" s="12">
        <f t="shared" ref="B4587:B4591" si="724">DATE(2012,12,31)-678</f>
        <v>40596</v>
      </c>
      <c r="C4587" s="13">
        <v>2011.0</v>
      </c>
      <c r="D4587" s="11" t="s">
        <v>102</v>
      </c>
      <c r="E4587" s="11">
        <v>19.0</v>
      </c>
      <c r="F4587" s="21" t="s">
        <v>151</v>
      </c>
      <c r="G4587" s="15">
        <v>0.09033973412112259</v>
      </c>
      <c r="H4587" s="11" t="s">
        <v>24</v>
      </c>
      <c r="I4587" s="16">
        <v>0.784</v>
      </c>
      <c r="J4587" s="11" t="s">
        <v>674</v>
      </c>
      <c r="K4587" s="11" t="s">
        <v>61</v>
      </c>
      <c r="L4587" s="11" t="s">
        <v>36</v>
      </c>
      <c r="M4587" s="11" t="s">
        <v>28</v>
      </c>
      <c r="N4587" s="11" t="s">
        <v>62</v>
      </c>
      <c r="O4587" s="11" t="s">
        <v>1986</v>
      </c>
      <c r="P4587" s="11" t="s">
        <v>58</v>
      </c>
      <c r="Q4587" s="20">
        <v>40599.0</v>
      </c>
      <c r="R4587" s="17">
        <f t="shared" si="2"/>
        <v>5.563482186</v>
      </c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>
        <f t="shared" si="8"/>
        <v>2</v>
      </c>
      <c r="AF4587" s="19">
        <f t="shared" si="13"/>
        <v>4</v>
      </c>
      <c r="AG4587" s="9"/>
      <c r="AH4587" s="9"/>
      <c r="AI4587" s="9"/>
    </row>
    <row r="4588" ht="15.0" customHeight="1">
      <c r="A4588" s="11">
        <v>4587.0</v>
      </c>
      <c r="B4588" s="12">
        <f t="shared" si="724"/>
        <v>40596</v>
      </c>
      <c r="C4588" s="13">
        <v>2011.0</v>
      </c>
      <c r="D4588" s="11" t="s">
        <v>44</v>
      </c>
      <c r="E4588" s="11">
        <v>2.0</v>
      </c>
      <c r="F4588" s="21" t="s">
        <v>933</v>
      </c>
      <c r="G4588" s="15">
        <v>0.08256938937351302</v>
      </c>
      <c r="H4588" s="11" t="s">
        <v>33</v>
      </c>
      <c r="I4588" s="16">
        <v>3.8880000000000003</v>
      </c>
      <c r="J4588" s="11" t="s">
        <v>2064</v>
      </c>
      <c r="K4588" s="11" t="s">
        <v>61</v>
      </c>
      <c r="L4588" s="11" t="s">
        <v>27</v>
      </c>
      <c r="M4588" s="11" t="s">
        <v>28</v>
      </c>
      <c r="N4588" s="11" t="s">
        <v>56</v>
      </c>
      <c r="O4588" s="11" t="s">
        <v>1566</v>
      </c>
      <c r="P4588" s="11" t="s">
        <v>38</v>
      </c>
      <c r="Q4588" s="20">
        <v>40599.0</v>
      </c>
      <c r="R4588" s="17">
        <f t="shared" si="2"/>
        <v>9.552287518</v>
      </c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>
        <f t="shared" si="8"/>
        <v>1</v>
      </c>
      <c r="AF4588" s="19">
        <f t="shared" si="13"/>
        <v>4</v>
      </c>
      <c r="AG4588" s="9"/>
      <c r="AH4588" s="9"/>
      <c r="AI4588" s="9"/>
    </row>
    <row r="4589" ht="15.0" customHeight="1">
      <c r="A4589" s="11">
        <v>4588.0</v>
      </c>
      <c r="B4589" s="12">
        <f t="shared" si="724"/>
        <v>40596</v>
      </c>
      <c r="C4589" s="13">
        <v>2011.0</v>
      </c>
      <c r="D4589" s="11" t="s">
        <v>44</v>
      </c>
      <c r="E4589" s="11">
        <v>25.0</v>
      </c>
      <c r="F4589" s="21" t="s">
        <v>1379</v>
      </c>
      <c r="G4589" s="15">
        <v>0.052121385628399707</v>
      </c>
      <c r="H4589" s="11" t="s">
        <v>33</v>
      </c>
      <c r="I4589" s="16">
        <v>4.688000000000001</v>
      </c>
      <c r="J4589" s="11" t="s">
        <v>2064</v>
      </c>
      <c r="K4589" s="11" t="s">
        <v>61</v>
      </c>
      <c r="L4589" s="11" t="s">
        <v>27</v>
      </c>
      <c r="M4589" s="11" t="s">
        <v>28</v>
      </c>
      <c r="N4589" s="11" t="s">
        <v>56</v>
      </c>
      <c r="O4589" s="11" t="s">
        <v>2082</v>
      </c>
      <c r="P4589" s="11" t="s">
        <v>38</v>
      </c>
      <c r="Q4589" s="20">
        <v>40599.0</v>
      </c>
      <c r="R4589" s="17">
        <f t="shared" si="2"/>
        <v>34.51415611</v>
      </c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>
        <f t="shared" si="8"/>
        <v>1</v>
      </c>
      <c r="AF4589" s="19">
        <f t="shared" si="13"/>
        <v>4</v>
      </c>
      <c r="AG4589" s="9"/>
      <c r="AH4589" s="9"/>
      <c r="AI4589" s="9"/>
    </row>
    <row r="4590" ht="15.0" customHeight="1">
      <c r="A4590" s="11">
        <v>4589.0</v>
      </c>
      <c r="B4590" s="12">
        <f t="shared" si="724"/>
        <v>40596</v>
      </c>
      <c r="C4590" s="13">
        <v>2011.0</v>
      </c>
      <c r="D4590" s="11" t="s">
        <v>44</v>
      </c>
      <c r="E4590" s="11">
        <v>24.0</v>
      </c>
      <c r="F4590" s="21" t="s">
        <v>2011</v>
      </c>
      <c r="G4590" s="15">
        <v>0.06613460333375111</v>
      </c>
      <c r="H4590" s="11" t="s">
        <v>33</v>
      </c>
      <c r="I4590" s="16">
        <v>5.656000000000001</v>
      </c>
      <c r="J4590" s="11" t="s">
        <v>2064</v>
      </c>
      <c r="K4590" s="11" t="s">
        <v>61</v>
      </c>
      <c r="L4590" s="11" t="s">
        <v>27</v>
      </c>
      <c r="M4590" s="11" t="s">
        <v>28</v>
      </c>
      <c r="N4590" s="11" t="s">
        <v>29</v>
      </c>
      <c r="O4590" s="11" t="s">
        <v>54</v>
      </c>
      <c r="P4590" s="11" t="s">
        <v>38</v>
      </c>
      <c r="Q4590" s="20">
        <v>40599.0</v>
      </c>
      <c r="R4590" s="17">
        <f t="shared" si="2"/>
        <v>246.3947817</v>
      </c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>
        <f t="shared" si="8"/>
        <v>1</v>
      </c>
      <c r="AF4590" s="19">
        <f t="shared" si="13"/>
        <v>4</v>
      </c>
      <c r="AG4590" s="9"/>
      <c r="AH4590" s="9"/>
      <c r="AI4590" s="9"/>
    </row>
    <row r="4591" ht="15.0" customHeight="1">
      <c r="A4591" s="11">
        <v>4590.0</v>
      </c>
      <c r="B4591" s="12">
        <f t="shared" si="724"/>
        <v>40596</v>
      </c>
      <c r="C4591" s="13">
        <v>2011.0</v>
      </c>
      <c r="D4591" s="11" t="s">
        <v>39</v>
      </c>
      <c r="E4591" s="11">
        <v>18.0</v>
      </c>
      <c r="F4591" s="21" t="s">
        <v>126</v>
      </c>
      <c r="G4591" s="15">
        <v>0.06460268317853463</v>
      </c>
      <c r="H4591" s="11" t="s">
        <v>33</v>
      </c>
      <c r="I4591" s="16">
        <v>2.44</v>
      </c>
      <c r="J4591" s="11" t="s">
        <v>1009</v>
      </c>
      <c r="K4591" s="11" t="s">
        <v>65</v>
      </c>
      <c r="L4591" s="11" t="s">
        <v>36</v>
      </c>
      <c r="M4591" s="11" t="s">
        <v>49</v>
      </c>
      <c r="N4591" s="11" t="s">
        <v>73</v>
      </c>
      <c r="O4591" s="11" t="s">
        <v>2209</v>
      </c>
      <c r="P4591" s="11" t="s">
        <v>99</v>
      </c>
      <c r="Q4591" s="20">
        <v>40599.0</v>
      </c>
      <c r="R4591" s="17">
        <f t="shared" si="2"/>
        <v>5.855587203</v>
      </c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>
        <f t="shared" si="8"/>
        <v>2</v>
      </c>
      <c r="AF4591" s="19">
        <f t="shared" si="13"/>
        <v>5</v>
      </c>
      <c r="AG4591" s="9"/>
      <c r="AH4591" s="9"/>
      <c r="AI4591" s="9"/>
    </row>
    <row r="4592" ht="15.0" customHeight="1">
      <c r="A4592" s="11">
        <v>4591.0</v>
      </c>
      <c r="B4592" s="12">
        <f>DATE(2012,12,31)-677</f>
        <v>40597</v>
      </c>
      <c r="C4592" s="13">
        <v>2011.0</v>
      </c>
      <c r="D4592" s="11" t="s">
        <v>102</v>
      </c>
      <c r="E4592" s="11">
        <v>27.0</v>
      </c>
      <c r="F4592" s="21" t="s">
        <v>254</v>
      </c>
      <c r="G4592" s="15">
        <v>0.015792734441002546</v>
      </c>
      <c r="H4592" s="11" t="s">
        <v>33</v>
      </c>
      <c r="I4592" s="16">
        <v>1.192</v>
      </c>
      <c r="J4592" s="11" t="s">
        <v>2163</v>
      </c>
      <c r="K4592" s="11" t="s">
        <v>65</v>
      </c>
      <c r="L4592" s="11" t="s">
        <v>41</v>
      </c>
      <c r="M4592" s="11" t="s">
        <v>28</v>
      </c>
      <c r="N4592" s="11" t="s">
        <v>42</v>
      </c>
      <c r="O4592" s="11" t="s">
        <v>556</v>
      </c>
      <c r="P4592" s="11" t="s">
        <v>38</v>
      </c>
      <c r="Q4592" s="20">
        <v>40599.0</v>
      </c>
      <c r="R4592" s="17">
        <f t="shared" si="2"/>
        <v>5.519434345</v>
      </c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>
        <f t="shared" si="8"/>
        <v>3</v>
      </c>
      <c r="AF4592" s="19">
        <f t="shared" si="13"/>
        <v>5</v>
      </c>
      <c r="AG4592" s="9"/>
      <c r="AH4592" s="9"/>
      <c r="AI4592" s="9"/>
    </row>
    <row r="4593" ht="15.0" customHeight="1">
      <c r="A4593" s="11">
        <v>4592.0</v>
      </c>
      <c r="B4593" s="12">
        <f t="shared" ref="B4593:B4602" si="725">DATE(2012,12,31)-676</f>
        <v>40598</v>
      </c>
      <c r="C4593" s="13">
        <v>2011.0</v>
      </c>
      <c r="D4593" s="11" t="s">
        <v>102</v>
      </c>
      <c r="E4593" s="11">
        <v>38.0</v>
      </c>
      <c r="F4593" s="21" t="s">
        <v>115</v>
      </c>
      <c r="G4593" s="15">
        <v>0.08413240196856644</v>
      </c>
      <c r="H4593" s="11" t="s">
        <v>45</v>
      </c>
      <c r="I4593" s="16">
        <v>21.040000000000003</v>
      </c>
      <c r="J4593" s="11" t="s">
        <v>2498</v>
      </c>
      <c r="K4593" s="11" t="s">
        <v>26</v>
      </c>
      <c r="L4593" s="11" t="s">
        <v>27</v>
      </c>
      <c r="M4593" s="11" t="s">
        <v>66</v>
      </c>
      <c r="N4593" s="11" t="s">
        <v>69</v>
      </c>
      <c r="O4593" s="11" t="s">
        <v>118</v>
      </c>
      <c r="P4593" s="11" t="s">
        <v>52</v>
      </c>
      <c r="Q4593" s="20">
        <v>40600.0</v>
      </c>
      <c r="R4593" s="17">
        <f t="shared" si="2"/>
        <v>388.2912269</v>
      </c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>
        <f t="shared" si="8"/>
        <v>1</v>
      </c>
      <c r="AF4593" s="19">
        <f t="shared" si="13"/>
        <v>1</v>
      </c>
      <c r="AG4593" s="9"/>
      <c r="AH4593" s="9"/>
      <c r="AI4593" s="9"/>
    </row>
    <row r="4594" ht="15.0" customHeight="1">
      <c r="A4594" s="11">
        <v>4593.0</v>
      </c>
      <c r="B4594" s="12">
        <f t="shared" si="725"/>
        <v>40598</v>
      </c>
      <c r="C4594" s="13">
        <v>2011.0</v>
      </c>
      <c r="D4594" s="11" t="s">
        <v>102</v>
      </c>
      <c r="E4594" s="11">
        <v>34.0</v>
      </c>
      <c r="F4594" s="21" t="s">
        <v>1015</v>
      </c>
      <c r="G4594" s="15">
        <v>0.08465201465201465</v>
      </c>
      <c r="H4594" s="11" t="s">
        <v>33</v>
      </c>
      <c r="I4594" s="16">
        <v>6.112</v>
      </c>
      <c r="J4594" s="11" t="s">
        <v>2498</v>
      </c>
      <c r="K4594" s="11" t="s">
        <v>26</v>
      </c>
      <c r="L4594" s="11" t="s">
        <v>27</v>
      </c>
      <c r="M4594" s="11" t="s">
        <v>28</v>
      </c>
      <c r="N4594" s="11" t="s">
        <v>56</v>
      </c>
      <c r="O4594" s="11" t="s">
        <v>1016</v>
      </c>
      <c r="P4594" s="11" t="s">
        <v>38</v>
      </c>
      <c r="Q4594" s="20">
        <v>40600.0</v>
      </c>
      <c r="R4594" s="17">
        <f t="shared" si="2"/>
        <v>16.92295355</v>
      </c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>
        <f t="shared" si="8"/>
        <v>1</v>
      </c>
      <c r="AF4594" s="19">
        <f t="shared" si="13"/>
        <v>1</v>
      </c>
      <c r="AG4594" s="9"/>
      <c r="AH4594" s="9"/>
      <c r="AI4594" s="9"/>
    </row>
    <row r="4595" ht="15.0" customHeight="1">
      <c r="A4595" s="11">
        <v>4594.0</v>
      </c>
      <c r="B4595" s="12">
        <f t="shared" si="725"/>
        <v>40598</v>
      </c>
      <c r="C4595" s="13">
        <v>2011.0</v>
      </c>
      <c r="D4595" s="11" t="s">
        <v>102</v>
      </c>
      <c r="E4595" s="11">
        <v>30.0</v>
      </c>
      <c r="F4595" s="21" t="s">
        <v>1203</v>
      </c>
      <c r="G4595" s="15">
        <v>0.02289732770745429</v>
      </c>
      <c r="H4595" s="11" t="s">
        <v>33</v>
      </c>
      <c r="I4595" s="16">
        <v>7.888</v>
      </c>
      <c r="J4595" s="11" t="s">
        <v>1496</v>
      </c>
      <c r="K4595" s="11" t="s">
        <v>61</v>
      </c>
      <c r="L4595" s="11" t="s">
        <v>48</v>
      </c>
      <c r="M4595" s="11" t="s">
        <v>28</v>
      </c>
      <c r="N4595" s="11" t="s">
        <v>56</v>
      </c>
      <c r="O4595" s="11" t="s">
        <v>1204</v>
      </c>
      <c r="P4595" s="11" t="s">
        <v>38</v>
      </c>
      <c r="Q4595" s="20">
        <v>40600.0</v>
      </c>
      <c r="R4595" s="17">
        <f t="shared" si="2"/>
        <v>6.362892602</v>
      </c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>
        <f t="shared" si="8"/>
        <v>4</v>
      </c>
      <c r="AF4595" s="19">
        <f t="shared" si="13"/>
        <v>4</v>
      </c>
      <c r="AG4595" s="9"/>
      <c r="AH4595" s="9"/>
      <c r="AI4595" s="9"/>
    </row>
    <row r="4596" ht="15.0" customHeight="1">
      <c r="A4596" s="11">
        <v>4595.0</v>
      </c>
      <c r="B4596" s="12">
        <f t="shared" si="725"/>
        <v>40598</v>
      </c>
      <c r="C4596" s="13">
        <v>2011.0</v>
      </c>
      <c r="D4596" s="11" t="s">
        <v>44</v>
      </c>
      <c r="E4596" s="11">
        <v>38.0</v>
      </c>
      <c r="F4596" s="21" t="s">
        <v>894</v>
      </c>
      <c r="G4596" s="15">
        <v>0.06880226789510985</v>
      </c>
      <c r="H4596" s="11" t="s">
        <v>33</v>
      </c>
      <c r="I4596" s="16">
        <v>5.992000000000001</v>
      </c>
      <c r="J4596" s="11" t="s">
        <v>2026</v>
      </c>
      <c r="K4596" s="11" t="s">
        <v>65</v>
      </c>
      <c r="L4596" s="11" t="s">
        <v>48</v>
      </c>
      <c r="M4596" s="11" t="s">
        <v>28</v>
      </c>
      <c r="N4596" s="11" t="s">
        <v>62</v>
      </c>
      <c r="O4596" s="11" t="s">
        <v>1215</v>
      </c>
      <c r="P4596" s="11" t="s">
        <v>58</v>
      </c>
      <c r="Q4596" s="20">
        <v>40600.0</v>
      </c>
      <c r="R4596" s="17">
        <f t="shared" si="2"/>
        <v>9.040067583</v>
      </c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>
        <f t="shared" si="8"/>
        <v>4</v>
      </c>
      <c r="AF4596" s="19">
        <f t="shared" si="13"/>
        <v>5</v>
      </c>
      <c r="AG4596" s="9"/>
      <c r="AH4596" s="9"/>
      <c r="AI4596" s="9"/>
    </row>
    <row r="4597" ht="15.0" customHeight="1">
      <c r="A4597" s="11">
        <v>4596.0</v>
      </c>
      <c r="B4597" s="12">
        <f t="shared" si="725"/>
        <v>40598</v>
      </c>
      <c r="C4597" s="13">
        <v>2011.0</v>
      </c>
      <c r="D4597" s="11" t="s">
        <v>32</v>
      </c>
      <c r="E4597" s="11">
        <v>2.0</v>
      </c>
      <c r="F4597" s="21" t="s">
        <v>415</v>
      </c>
      <c r="G4597" s="15">
        <v>0.09946902654867261</v>
      </c>
      <c r="H4597" s="11" t="s">
        <v>33</v>
      </c>
      <c r="I4597" s="16">
        <v>2.3760000000000003</v>
      </c>
      <c r="J4597" s="11" t="s">
        <v>2187</v>
      </c>
      <c r="K4597" s="11" t="s">
        <v>26</v>
      </c>
      <c r="L4597" s="11" t="s">
        <v>36</v>
      </c>
      <c r="M4597" s="11" t="s">
        <v>28</v>
      </c>
      <c r="N4597" s="11" t="s">
        <v>56</v>
      </c>
      <c r="O4597" s="11" t="s">
        <v>2111</v>
      </c>
      <c r="P4597" s="11" t="s">
        <v>58</v>
      </c>
      <c r="Q4597" s="20">
        <v>40600.0</v>
      </c>
      <c r="R4597" s="17">
        <f t="shared" si="2"/>
        <v>1.012196814</v>
      </c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>
        <f t="shared" si="8"/>
        <v>2</v>
      </c>
      <c r="AF4597" s="19">
        <f t="shared" si="13"/>
        <v>1</v>
      </c>
      <c r="AG4597" s="9"/>
      <c r="AH4597" s="9"/>
      <c r="AI4597" s="9"/>
    </row>
    <row r="4598" ht="15.0" customHeight="1">
      <c r="A4598" s="11">
        <v>4597.0</v>
      </c>
      <c r="B4598" s="12">
        <f t="shared" si="725"/>
        <v>40598</v>
      </c>
      <c r="C4598" s="13">
        <v>2011.0</v>
      </c>
      <c r="D4598" s="11" t="s">
        <v>32</v>
      </c>
      <c r="E4598" s="11">
        <v>25.0</v>
      </c>
      <c r="F4598" s="21" t="s">
        <v>838</v>
      </c>
      <c r="G4598" s="15">
        <v>0.09315871126023727</v>
      </c>
      <c r="H4598" s="11" t="s">
        <v>33</v>
      </c>
      <c r="I4598" s="16">
        <v>15.991999999999999</v>
      </c>
      <c r="J4598" s="11" t="s">
        <v>2187</v>
      </c>
      <c r="K4598" s="11" t="s">
        <v>26</v>
      </c>
      <c r="L4598" s="11" t="s">
        <v>36</v>
      </c>
      <c r="M4598" s="11" t="s">
        <v>66</v>
      </c>
      <c r="N4598" s="11" t="s">
        <v>67</v>
      </c>
      <c r="O4598" s="11" t="s">
        <v>845</v>
      </c>
      <c r="P4598" s="11" t="s">
        <v>38</v>
      </c>
      <c r="Q4598" s="20">
        <v>40600.0</v>
      </c>
      <c r="R4598" s="17">
        <f t="shared" si="2"/>
        <v>234.1536755</v>
      </c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>
        <f t="shared" si="8"/>
        <v>2</v>
      </c>
      <c r="AF4598" s="19">
        <f t="shared" si="13"/>
        <v>1</v>
      </c>
      <c r="AG4598" s="9"/>
      <c r="AH4598" s="9"/>
      <c r="AI4598" s="9"/>
    </row>
    <row r="4599" ht="15.0" customHeight="1">
      <c r="A4599" s="11">
        <v>4598.0</v>
      </c>
      <c r="B4599" s="12">
        <f t="shared" si="725"/>
        <v>40598</v>
      </c>
      <c r="C4599" s="13">
        <v>2011.0</v>
      </c>
      <c r="D4599" s="11" t="s">
        <v>32</v>
      </c>
      <c r="E4599" s="11">
        <v>27.0</v>
      </c>
      <c r="F4599" s="21" t="s">
        <v>810</v>
      </c>
      <c r="G4599" s="15">
        <v>0.04747915330339953</v>
      </c>
      <c r="H4599" s="11" t="s">
        <v>33</v>
      </c>
      <c r="I4599" s="16">
        <v>2.696</v>
      </c>
      <c r="J4599" s="11" t="s">
        <v>1722</v>
      </c>
      <c r="K4599" s="11" t="s">
        <v>26</v>
      </c>
      <c r="L4599" s="11" t="s">
        <v>27</v>
      </c>
      <c r="M4599" s="11" t="s">
        <v>28</v>
      </c>
      <c r="N4599" s="11" t="s">
        <v>442</v>
      </c>
      <c r="O4599" s="11" t="s">
        <v>1111</v>
      </c>
      <c r="P4599" s="11" t="s">
        <v>99</v>
      </c>
      <c r="Q4599" s="20">
        <v>40600.0</v>
      </c>
      <c r="R4599" s="17">
        <f t="shared" si="2"/>
        <v>14.10111861</v>
      </c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>
        <f t="shared" si="8"/>
        <v>1</v>
      </c>
      <c r="AF4599" s="19">
        <f t="shared" si="13"/>
        <v>1</v>
      </c>
      <c r="AG4599" s="9"/>
      <c r="AH4599" s="9"/>
      <c r="AI4599" s="9"/>
    </row>
    <row r="4600" ht="15.0" customHeight="1">
      <c r="A4600" s="11">
        <v>4599.0</v>
      </c>
      <c r="B4600" s="12">
        <f t="shared" si="725"/>
        <v>40598</v>
      </c>
      <c r="C4600" s="13">
        <v>2011.0</v>
      </c>
      <c r="D4600" s="11" t="s">
        <v>44</v>
      </c>
      <c r="E4600" s="11">
        <v>50.0</v>
      </c>
      <c r="F4600" s="21" t="s">
        <v>788</v>
      </c>
      <c r="G4600" s="15">
        <v>0.060614238335377824</v>
      </c>
      <c r="H4600" s="11" t="s">
        <v>33</v>
      </c>
      <c r="I4600" s="16">
        <v>3.9920000000000004</v>
      </c>
      <c r="J4600" s="11" t="s">
        <v>2035</v>
      </c>
      <c r="K4600" s="11" t="s">
        <v>35</v>
      </c>
      <c r="L4600" s="11" t="s">
        <v>27</v>
      </c>
      <c r="M4600" s="11" t="s">
        <v>66</v>
      </c>
      <c r="N4600" s="11" t="s">
        <v>80</v>
      </c>
      <c r="O4600" s="11" t="s">
        <v>789</v>
      </c>
      <c r="P4600" s="11" t="s">
        <v>38</v>
      </c>
      <c r="Q4600" s="20">
        <v>40601.0</v>
      </c>
      <c r="R4600" s="17">
        <f t="shared" si="2"/>
        <v>533.3441982</v>
      </c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>
        <f t="shared" si="8"/>
        <v>1</v>
      </c>
      <c r="AF4600" s="19">
        <f t="shared" si="13"/>
        <v>2</v>
      </c>
      <c r="AG4600" s="9"/>
      <c r="AH4600" s="9"/>
      <c r="AI4600" s="9"/>
    </row>
    <row r="4601" ht="15.0" customHeight="1">
      <c r="A4601" s="11">
        <v>4600.0</v>
      </c>
      <c r="B4601" s="12">
        <f t="shared" si="725"/>
        <v>40598</v>
      </c>
      <c r="C4601" s="13">
        <v>2011.0</v>
      </c>
      <c r="D4601" s="11" t="s">
        <v>102</v>
      </c>
      <c r="E4601" s="11">
        <v>46.0</v>
      </c>
      <c r="F4601" s="21" t="s">
        <v>694</v>
      </c>
      <c r="G4601" s="15">
        <v>0.09311088911088918</v>
      </c>
      <c r="H4601" s="11" t="s">
        <v>33</v>
      </c>
      <c r="I4601" s="16">
        <v>3.192</v>
      </c>
      <c r="J4601" s="11" t="s">
        <v>2514</v>
      </c>
      <c r="K4601" s="11" t="s">
        <v>83</v>
      </c>
      <c r="L4601" s="11" t="s">
        <v>27</v>
      </c>
      <c r="M4601" s="11" t="s">
        <v>28</v>
      </c>
      <c r="N4601" s="11" t="s">
        <v>197</v>
      </c>
      <c r="O4601" s="11" t="s">
        <v>2515</v>
      </c>
      <c r="P4601" s="11" t="s">
        <v>38</v>
      </c>
      <c r="Q4601" s="20">
        <v>40601.0</v>
      </c>
      <c r="R4601" s="17">
        <f t="shared" si="2"/>
        <v>169.0513854</v>
      </c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>
        <f t="shared" si="8"/>
        <v>1</v>
      </c>
      <c r="AF4601" s="19" t="b">
        <f t="shared" si="13"/>
        <v>0</v>
      </c>
      <c r="AG4601" s="9"/>
      <c r="AH4601" s="9"/>
      <c r="AI4601" s="9"/>
    </row>
    <row r="4602" ht="15.0" customHeight="1">
      <c r="A4602" s="11">
        <v>4601.0</v>
      </c>
      <c r="B4602" s="12">
        <f t="shared" si="725"/>
        <v>40598</v>
      </c>
      <c r="C4602" s="13">
        <v>2011.0</v>
      </c>
      <c r="D4602" s="11" t="s">
        <v>32</v>
      </c>
      <c r="E4602" s="11">
        <v>7.0</v>
      </c>
      <c r="F4602" s="21" t="s">
        <v>350</v>
      </c>
      <c r="G4602" s="15">
        <v>0.08463246959280799</v>
      </c>
      <c r="H4602" s="11" t="s">
        <v>33</v>
      </c>
      <c r="I4602" s="16">
        <v>13.496000000000002</v>
      </c>
      <c r="J4602" s="11" t="s">
        <v>2516</v>
      </c>
      <c r="K4602" s="11" t="s">
        <v>61</v>
      </c>
      <c r="L4602" s="11" t="s">
        <v>27</v>
      </c>
      <c r="M4602" s="11" t="s">
        <v>28</v>
      </c>
      <c r="N4602" s="11" t="s">
        <v>56</v>
      </c>
      <c r="O4602" s="11" t="s">
        <v>1630</v>
      </c>
      <c r="P4602" s="11" t="s">
        <v>38</v>
      </c>
      <c r="Q4602" s="20">
        <v>40601.0</v>
      </c>
      <c r="R4602" s="17">
        <f t="shared" si="2"/>
        <v>14.64954196</v>
      </c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>
        <f t="shared" si="8"/>
        <v>1</v>
      </c>
      <c r="AF4602" s="19">
        <f t="shared" si="13"/>
        <v>4</v>
      </c>
      <c r="AG4602" s="9"/>
      <c r="AH4602" s="9"/>
      <c r="AI4602" s="9"/>
    </row>
    <row r="4603" ht="15.0" customHeight="1">
      <c r="A4603" s="11">
        <v>4602.0</v>
      </c>
      <c r="B4603" s="12">
        <f t="shared" ref="B4603:B4605" si="726">DATE(2012,12,31)-675</f>
        <v>40599</v>
      </c>
      <c r="C4603" s="13">
        <v>2011.0</v>
      </c>
      <c r="D4603" s="11" t="s">
        <v>44</v>
      </c>
      <c r="E4603" s="11">
        <v>4.0</v>
      </c>
      <c r="F4603" s="21" t="s">
        <v>158</v>
      </c>
      <c r="G4603" s="15">
        <v>0.0946666666666667</v>
      </c>
      <c r="H4603" s="11" t="s">
        <v>24</v>
      </c>
      <c r="I4603" s="16">
        <v>6.992000000000001</v>
      </c>
      <c r="J4603" s="11" t="s">
        <v>1501</v>
      </c>
      <c r="K4603" s="11" t="s">
        <v>35</v>
      </c>
      <c r="L4603" s="11" t="s">
        <v>48</v>
      </c>
      <c r="M4603" s="11" t="s">
        <v>28</v>
      </c>
      <c r="N4603" s="11" t="s">
        <v>56</v>
      </c>
      <c r="O4603" s="11" t="s">
        <v>2047</v>
      </c>
      <c r="P4603" s="11" t="s">
        <v>38</v>
      </c>
      <c r="Q4603" s="20">
        <v>40601.0</v>
      </c>
      <c r="R4603" s="17">
        <f t="shared" si="2"/>
        <v>3.085376</v>
      </c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>
        <f t="shared" si="8"/>
        <v>4</v>
      </c>
      <c r="AF4603" s="19">
        <f t="shared" si="13"/>
        <v>2</v>
      </c>
      <c r="AG4603" s="9"/>
      <c r="AH4603" s="9"/>
      <c r="AI4603" s="9"/>
    </row>
    <row r="4604" ht="15.0" customHeight="1">
      <c r="A4604" s="11">
        <v>4603.0</v>
      </c>
      <c r="B4604" s="12">
        <f t="shared" si="726"/>
        <v>40599</v>
      </c>
      <c r="C4604" s="13">
        <v>2011.0</v>
      </c>
      <c r="D4604" s="11" t="s">
        <v>44</v>
      </c>
      <c r="E4604" s="11">
        <v>30.0</v>
      </c>
      <c r="F4604" s="21" t="s">
        <v>740</v>
      </c>
      <c r="G4604" s="15">
        <v>0.08411678066299465</v>
      </c>
      <c r="H4604" s="11" t="s">
        <v>45</v>
      </c>
      <c r="I4604" s="16">
        <v>51.784000000000006</v>
      </c>
      <c r="J4604" s="11" t="s">
        <v>1501</v>
      </c>
      <c r="K4604" s="11" t="s">
        <v>35</v>
      </c>
      <c r="L4604" s="11" t="s">
        <v>48</v>
      </c>
      <c r="M4604" s="11" t="s">
        <v>49</v>
      </c>
      <c r="N4604" s="11" t="s">
        <v>50</v>
      </c>
      <c r="O4604" s="11" t="s">
        <v>742</v>
      </c>
      <c r="P4604" s="11" t="s">
        <v>52</v>
      </c>
      <c r="Q4604" s="20">
        <v>40601.0</v>
      </c>
      <c r="R4604" s="17">
        <f t="shared" si="2"/>
        <v>763.6780824</v>
      </c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>
        <f t="shared" si="8"/>
        <v>4</v>
      </c>
      <c r="AF4604" s="19">
        <f t="shared" si="13"/>
        <v>2</v>
      </c>
      <c r="AG4604" s="9"/>
      <c r="AH4604" s="9"/>
      <c r="AI4604" s="9"/>
    </row>
    <row r="4605" ht="15.0" customHeight="1">
      <c r="A4605" s="11">
        <v>4604.0</v>
      </c>
      <c r="B4605" s="12">
        <f t="shared" si="726"/>
        <v>40599</v>
      </c>
      <c r="C4605" s="13">
        <v>2011.0</v>
      </c>
      <c r="D4605" s="11" t="s">
        <v>44</v>
      </c>
      <c r="E4605" s="11">
        <v>2.0</v>
      </c>
      <c r="F4605" s="21" t="s">
        <v>151</v>
      </c>
      <c r="G4605" s="15">
        <v>0.08780487804878036</v>
      </c>
      <c r="H4605" s="11" t="s">
        <v>33</v>
      </c>
      <c r="I4605" s="16">
        <v>1.08</v>
      </c>
      <c r="J4605" s="11" t="s">
        <v>1118</v>
      </c>
      <c r="K4605" s="11" t="s">
        <v>26</v>
      </c>
      <c r="L4605" s="11" t="s">
        <v>48</v>
      </c>
      <c r="M4605" s="11" t="s">
        <v>28</v>
      </c>
      <c r="N4605" s="11" t="s">
        <v>216</v>
      </c>
      <c r="O4605" s="11" t="s">
        <v>217</v>
      </c>
      <c r="P4605" s="11" t="s">
        <v>58</v>
      </c>
      <c r="Q4605" s="20">
        <v>40601.0</v>
      </c>
      <c r="R4605" s="17">
        <f t="shared" si="2"/>
        <v>0.6567804878</v>
      </c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>
        <f t="shared" si="8"/>
        <v>4</v>
      </c>
      <c r="AF4605" s="19">
        <f t="shared" si="13"/>
        <v>1</v>
      </c>
      <c r="AG4605" s="9"/>
      <c r="AH4605" s="9"/>
      <c r="AI4605" s="9"/>
    </row>
    <row r="4606" ht="15.0" customHeight="1">
      <c r="A4606" s="11">
        <v>4605.0</v>
      </c>
      <c r="B4606" s="12">
        <f t="shared" ref="B4606:B4615" si="727">DATE(2012,12,31)-674</f>
        <v>40600</v>
      </c>
      <c r="C4606" s="13">
        <v>2011.0</v>
      </c>
      <c r="D4606" s="11" t="s">
        <v>39</v>
      </c>
      <c r="E4606" s="11">
        <v>9.0</v>
      </c>
      <c r="F4606" s="21" t="s">
        <v>552</v>
      </c>
      <c r="G4606" s="15">
        <v>0.0924026845637584</v>
      </c>
      <c r="H4606" s="11" t="s">
        <v>33</v>
      </c>
      <c r="I4606" s="16">
        <v>2.8160000000000003</v>
      </c>
      <c r="J4606" s="11" t="s">
        <v>1110</v>
      </c>
      <c r="K4606" s="11" t="s">
        <v>61</v>
      </c>
      <c r="L4606" s="11" t="s">
        <v>48</v>
      </c>
      <c r="M4606" s="11" t="s">
        <v>66</v>
      </c>
      <c r="N4606" s="11" t="s">
        <v>67</v>
      </c>
      <c r="O4606" s="11" t="s">
        <v>1445</v>
      </c>
      <c r="P4606" s="11" t="s">
        <v>99</v>
      </c>
      <c r="Q4606" s="20">
        <v>40601.0</v>
      </c>
      <c r="R4606" s="17">
        <f t="shared" si="2"/>
        <v>6.247899919</v>
      </c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>
        <f t="shared" si="8"/>
        <v>4</v>
      </c>
      <c r="AF4606" s="19">
        <f t="shared" si="13"/>
        <v>4</v>
      </c>
      <c r="AG4606" s="9"/>
      <c r="AH4606" s="9"/>
      <c r="AI4606" s="9"/>
    </row>
    <row r="4607" ht="15.0" customHeight="1">
      <c r="A4607" s="11">
        <v>4606.0</v>
      </c>
      <c r="B4607" s="12">
        <f t="shared" si="727"/>
        <v>40600</v>
      </c>
      <c r="C4607" s="13">
        <v>2011.0</v>
      </c>
      <c r="D4607" s="11" t="s">
        <v>39</v>
      </c>
      <c r="E4607" s="11">
        <v>21.0</v>
      </c>
      <c r="F4607" s="21" t="s">
        <v>2278</v>
      </c>
      <c r="G4607" s="15">
        <v>0.008236842105263221</v>
      </c>
      <c r="H4607" s="11" t="s">
        <v>24</v>
      </c>
      <c r="I4607" s="16">
        <v>7.4959999999999996</v>
      </c>
      <c r="J4607" s="11" t="s">
        <v>1110</v>
      </c>
      <c r="K4607" s="11" t="s">
        <v>61</v>
      </c>
      <c r="L4607" s="11" t="s">
        <v>48</v>
      </c>
      <c r="M4607" s="11" t="s">
        <v>28</v>
      </c>
      <c r="N4607" s="11" t="s">
        <v>29</v>
      </c>
      <c r="O4607" s="11" t="s">
        <v>2279</v>
      </c>
      <c r="P4607" s="11" t="s">
        <v>38</v>
      </c>
      <c r="Q4607" s="20">
        <v>40601.0</v>
      </c>
      <c r="R4607" s="17">
        <f t="shared" si="2"/>
        <v>2.483374947</v>
      </c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>
        <f t="shared" si="8"/>
        <v>4</v>
      </c>
      <c r="AF4607" s="19">
        <f t="shared" si="13"/>
        <v>4</v>
      </c>
      <c r="AG4607" s="9"/>
      <c r="AH4607" s="9"/>
      <c r="AI4607" s="9"/>
    </row>
    <row r="4608" ht="15.0" customHeight="1">
      <c r="A4608" s="11">
        <v>4607.0</v>
      </c>
      <c r="B4608" s="12">
        <f t="shared" si="727"/>
        <v>40600</v>
      </c>
      <c r="C4608" s="13">
        <v>2011.0</v>
      </c>
      <c r="D4608" s="11" t="s">
        <v>102</v>
      </c>
      <c r="E4608" s="11">
        <v>11.0</v>
      </c>
      <c r="F4608" s="21" t="s">
        <v>1091</v>
      </c>
      <c r="G4608" s="15">
        <v>0.041947893839785755</v>
      </c>
      <c r="H4608" s="11" t="s">
        <v>33</v>
      </c>
      <c r="I4608" s="16">
        <v>4.072</v>
      </c>
      <c r="J4608" s="11" t="s">
        <v>1277</v>
      </c>
      <c r="K4608" s="11" t="s">
        <v>65</v>
      </c>
      <c r="L4608" s="11" t="s">
        <v>48</v>
      </c>
      <c r="M4608" s="11" t="s">
        <v>28</v>
      </c>
      <c r="N4608" s="11" t="s">
        <v>56</v>
      </c>
      <c r="O4608" s="11" t="s">
        <v>1093</v>
      </c>
      <c r="P4608" s="11" t="s">
        <v>38</v>
      </c>
      <c r="Q4608" s="20">
        <v>40601.0</v>
      </c>
      <c r="R4608" s="17">
        <f t="shared" si="2"/>
        <v>16.50532168</v>
      </c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>
        <f t="shared" si="8"/>
        <v>4</v>
      </c>
      <c r="AF4608" s="19">
        <f t="shared" si="13"/>
        <v>5</v>
      </c>
      <c r="AG4608" s="9"/>
      <c r="AH4608" s="9"/>
      <c r="AI4608" s="9"/>
    </row>
    <row r="4609" ht="15.0" customHeight="1">
      <c r="A4609" s="11">
        <v>4608.0</v>
      </c>
      <c r="B4609" s="12">
        <f t="shared" si="727"/>
        <v>40600</v>
      </c>
      <c r="C4609" s="13">
        <v>2011.0</v>
      </c>
      <c r="D4609" s="11" t="s">
        <v>39</v>
      </c>
      <c r="E4609" s="11">
        <v>20.0</v>
      </c>
      <c r="F4609" s="21" t="s">
        <v>2517</v>
      </c>
      <c r="G4609" s="15">
        <v>0.07483843537414955</v>
      </c>
      <c r="H4609" s="11" t="s">
        <v>33</v>
      </c>
      <c r="I4609" s="16">
        <v>2.3920000000000003</v>
      </c>
      <c r="J4609" s="11" t="s">
        <v>196</v>
      </c>
      <c r="K4609" s="11" t="s">
        <v>65</v>
      </c>
      <c r="L4609" s="11" t="s">
        <v>27</v>
      </c>
      <c r="M4609" s="11" t="s">
        <v>28</v>
      </c>
      <c r="N4609" s="11" t="s">
        <v>42</v>
      </c>
      <c r="O4609" s="11" t="s">
        <v>2518</v>
      </c>
      <c r="P4609" s="11" t="s">
        <v>38</v>
      </c>
      <c r="Q4609" s="20">
        <v>40601.0</v>
      </c>
      <c r="R4609" s="17">
        <f t="shared" si="2"/>
        <v>65.13877544</v>
      </c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>
        <f t="shared" si="8"/>
        <v>1</v>
      </c>
      <c r="AF4609" s="19">
        <f t="shared" si="13"/>
        <v>5</v>
      </c>
      <c r="AG4609" s="9"/>
      <c r="AH4609" s="9"/>
      <c r="AI4609" s="9"/>
    </row>
    <row r="4610" ht="15.0" customHeight="1">
      <c r="A4610" s="11">
        <v>4609.0</v>
      </c>
      <c r="B4610" s="12">
        <f t="shared" si="727"/>
        <v>40600</v>
      </c>
      <c r="C4610" s="13">
        <v>2011.0</v>
      </c>
      <c r="D4610" s="11" t="s">
        <v>23</v>
      </c>
      <c r="E4610" s="11">
        <v>17.0</v>
      </c>
      <c r="F4610" s="21" t="s">
        <v>1280</v>
      </c>
      <c r="G4610" s="15">
        <v>0.08569468267581491</v>
      </c>
      <c r="H4610" s="11" t="s">
        <v>33</v>
      </c>
      <c r="I4610" s="16">
        <v>3.512</v>
      </c>
      <c r="J4610" s="11" t="s">
        <v>2519</v>
      </c>
      <c r="K4610" s="11" t="s">
        <v>35</v>
      </c>
      <c r="L4610" s="11" t="s">
        <v>27</v>
      </c>
      <c r="M4610" s="11" t="s">
        <v>28</v>
      </c>
      <c r="N4610" s="11" t="s">
        <v>56</v>
      </c>
      <c r="O4610" s="11" t="s">
        <v>1281</v>
      </c>
      <c r="P4610" s="11" t="s">
        <v>58</v>
      </c>
      <c r="Q4610" s="20">
        <v>40602.0</v>
      </c>
      <c r="R4610" s="17">
        <f t="shared" si="2"/>
        <v>13.7036081</v>
      </c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>
        <f t="shared" si="8"/>
        <v>1</v>
      </c>
      <c r="AF4610" s="19">
        <f t="shared" si="13"/>
        <v>2</v>
      </c>
      <c r="AG4610" s="9"/>
      <c r="AH4610" s="9"/>
      <c r="AI4610" s="9"/>
    </row>
    <row r="4611" ht="15.0" customHeight="1">
      <c r="A4611" s="11">
        <v>4610.0</v>
      </c>
      <c r="B4611" s="12">
        <f t="shared" si="727"/>
        <v>40600</v>
      </c>
      <c r="C4611" s="13">
        <v>2011.0</v>
      </c>
      <c r="D4611" s="11" t="s">
        <v>32</v>
      </c>
      <c r="E4611" s="11">
        <v>40.0</v>
      </c>
      <c r="F4611" s="21" t="s">
        <v>2011</v>
      </c>
      <c r="G4611" s="15">
        <v>0.048197671743431605</v>
      </c>
      <c r="H4611" s="11" t="s">
        <v>33</v>
      </c>
      <c r="I4611" s="16">
        <v>5.656000000000001</v>
      </c>
      <c r="J4611" s="11" t="s">
        <v>2009</v>
      </c>
      <c r="K4611" s="11" t="s">
        <v>65</v>
      </c>
      <c r="L4611" s="11" t="s">
        <v>41</v>
      </c>
      <c r="M4611" s="11" t="s">
        <v>28</v>
      </c>
      <c r="N4611" s="11" t="s">
        <v>29</v>
      </c>
      <c r="O4611" s="11" t="s">
        <v>54</v>
      </c>
      <c r="P4611" s="11" t="s">
        <v>38</v>
      </c>
      <c r="Q4611" s="20">
        <v>40602.0</v>
      </c>
      <c r="R4611" s="17">
        <f t="shared" si="2"/>
        <v>299.0981708</v>
      </c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>
        <f t="shared" si="8"/>
        <v>3</v>
      </c>
      <c r="AF4611" s="19">
        <f t="shared" si="13"/>
        <v>5</v>
      </c>
      <c r="AG4611" s="9"/>
      <c r="AH4611" s="9"/>
      <c r="AI4611" s="9"/>
    </row>
    <row r="4612" ht="15.0" customHeight="1">
      <c r="A4612" s="11">
        <v>4611.0</v>
      </c>
      <c r="B4612" s="12">
        <f t="shared" si="727"/>
        <v>40600</v>
      </c>
      <c r="C4612" s="13">
        <v>2011.0</v>
      </c>
      <c r="D4612" s="11" t="s">
        <v>32</v>
      </c>
      <c r="E4612" s="11">
        <v>7.0</v>
      </c>
      <c r="F4612" s="21" t="s">
        <v>1757</v>
      </c>
      <c r="G4612" s="15">
        <v>0.027687580025608224</v>
      </c>
      <c r="H4612" s="11" t="s">
        <v>33</v>
      </c>
      <c r="I4612" s="16">
        <v>12.888</v>
      </c>
      <c r="J4612" s="11" t="s">
        <v>392</v>
      </c>
      <c r="K4612" s="11" t="s">
        <v>65</v>
      </c>
      <c r="L4612" s="11" t="s">
        <v>41</v>
      </c>
      <c r="M4612" s="11" t="s">
        <v>28</v>
      </c>
      <c r="N4612" s="11" t="s">
        <v>42</v>
      </c>
      <c r="O4612" s="11" t="s">
        <v>1758</v>
      </c>
      <c r="P4612" s="11" t="s">
        <v>38</v>
      </c>
      <c r="Q4612" s="20">
        <v>40603.0</v>
      </c>
      <c r="R4612" s="17">
        <f t="shared" si="2"/>
        <v>10.51264188</v>
      </c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>
        <f t="shared" si="8"/>
        <v>3</v>
      </c>
      <c r="AF4612" s="19">
        <f t="shared" si="13"/>
        <v>5</v>
      </c>
      <c r="AG4612" s="9"/>
      <c r="AH4612" s="9"/>
      <c r="AI4612" s="9"/>
    </row>
    <row r="4613" ht="15.0" customHeight="1">
      <c r="A4613" s="11">
        <v>4612.0</v>
      </c>
      <c r="B4613" s="12">
        <f t="shared" si="727"/>
        <v>40600</v>
      </c>
      <c r="C4613" s="13">
        <v>2011.0</v>
      </c>
      <c r="D4613" s="11" t="s">
        <v>32</v>
      </c>
      <c r="E4613" s="11">
        <v>15.0</v>
      </c>
      <c r="F4613" s="21" t="s">
        <v>126</v>
      </c>
      <c r="G4613" s="15">
        <v>0.0972522522522522</v>
      </c>
      <c r="H4613" s="11" t="s">
        <v>33</v>
      </c>
      <c r="I4613" s="16">
        <v>6.664000000000001</v>
      </c>
      <c r="J4613" s="11" t="s">
        <v>392</v>
      </c>
      <c r="K4613" s="11" t="s">
        <v>65</v>
      </c>
      <c r="L4613" s="11" t="s">
        <v>41</v>
      </c>
      <c r="M4613" s="11" t="s">
        <v>28</v>
      </c>
      <c r="N4613" s="11" t="s">
        <v>56</v>
      </c>
      <c r="O4613" s="11" t="s">
        <v>2216</v>
      </c>
      <c r="P4613" s="11" t="s">
        <v>38</v>
      </c>
      <c r="Q4613" s="20">
        <v>40603.0</v>
      </c>
      <c r="R4613" s="17">
        <f t="shared" si="2"/>
        <v>7.79612955</v>
      </c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>
        <f t="shared" si="8"/>
        <v>3</v>
      </c>
      <c r="AF4613" s="19">
        <f t="shared" si="13"/>
        <v>5</v>
      </c>
      <c r="AG4613" s="9"/>
      <c r="AH4613" s="9"/>
      <c r="AI4613" s="9"/>
    </row>
    <row r="4614" ht="15.0" customHeight="1">
      <c r="A4614" s="11">
        <v>4613.0</v>
      </c>
      <c r="B4614" s="12">
        <f t="shared" si="727"/>
        <v>40600</v>
      </c>
      <c r="C4614" s="13">
        <v>2011.0</v>
      </c>
      <c r="D4614" s="11" t="s">
        <v>32</v>
      </c>
      <c r="E4614" s="11">
        <v>18.0</v>
      </c>
      <c r="F4614" s="21" t="s">
        <v>2287</v>
      </c>
      <c r="G4614" s="15">
        <v>0.06056702449766023</v>
      </c>
      <c r="H4614" s="11" t="s">
        <v>33</v>
      </c>
      <c r="I4614" s="16">
        <v>2.8960000000000004</v>
      </c>
      <c r="J4614" s="11" t="s">
        <v>550</v>
      </c>
      <c r="K4614" s="11" t="s">
        <v>65</v>
      </c>
      <c r="L4614" s="11" t="s">
        <v>48</v>
      </c>
      <c r="M4614" s="11" t="s">
        <v>49</v>
      </c>
      <c r="N4614" s="11" t="s">
        <v>73</v>
      </c>
      <c r="O4614" s="11" t="s">
        <v>2288</v>
      </c>
      <c r="P4614" s="11" t="s">
        <v>58</v>
      </c>
      <c r="Q4614" s="20">
        <v>40603.0</v>
      </c>
      <c r="R4614" s="17">
        <f t="shared" si="2"/>
        <v>20.67128319</v>
      </c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>
        <f t="shared" si="8"/>
        <v>4</v>
      </c>
      <c r="AF4614" s="19">
        <f t="shared" si="13"/>
        <v>5</v>
      </c>
      <c r="AG4614" s="9"/>
      <c r="AH4614" s="9"/>
      <c r="AI4614" s="9"/>
    </row>
    <row r="4615" ht="15.0" customHeight="1">
      <c r="A4615" s="11">
        <v>4614.0</v>
      </c>
      <c r="B4615" s="12">
        <f t="shared" si="727"/>
        <v>40600</v>
      </c>
      <c r="C4615" s="13">
        <v>2011.0</v>
      </c>
      <c r="D4615" s="11" t="s">
        <v>32</v>
      </c>
      <c r="E4615" s="11">
        <v>9.0</v>
      </c>
      <c r="F4615" s="21" t="s">
        <v>1662</v>
      </c>
      <c r="G4615" s="15">
        <v>0.027269119874184546</v>
      </c>
      <c r="H4615" s="11" t="s">
        <v>33</v>
      </c>
      <c r="I4615" s="16">
        <v>5.416</v>
      </c>
      <c r="J4615" s="11" t="s">
        <v>550</v>
      </c>
      <c r="K4615" s="11" t="s">
        <v>65</v>
      </c>
      <c r="L4615" s="11" t="s">
        <v>48</v>
      </c>
      <c r="M4615" s="11" t="s">
        <v>49</v>
      </c>
      <c r="N4615" s="11" t="s">
        <v>73</v>
      </c>
      <c r="O4615" s="11" t="s">
        <v>1663</v>
      </c>
      <c r="P4615" s="11" t="s">
        <v>38</v>
      </c>
      <c r="Q4615" s="20">
        <v>40603.0</v>
      </c>
      <c r="R4615" s="17">
        <f t="shared" si="2"/>
        <v>11.65798505</v>
      </c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>
        <f t="shared" si="8"/>
        <v>4</v>
      </c>
      <c r="AF4615" s="19">
        <f t="shared" si="13"/>
        <v>5</v>
      </c>
      <c r="AG4615" s="9"/>
      <c r="AH4615" s="9"/>
      <c r="AI4615" s="9"/>
    </row>
    <row r="4616" ht="15.0" customHeight="1">
      <c r="A4616" s="11">
        <v>4615.0</v>
      </c>
      <c r="B4616" s="12">
        <f>DATE(2012,12,31)-673</f>
        <v>40601</v>
      </c>
      <c r="C4616" s="13">
        <v>2011.0</v>
      </c>
      <c r="D4616" s="11" t="s">
        <v>44</v>
      </c>
      <c r="E4616" s="11">
        <v>19.0</v>
      </c>
      <c r="F4616" s="21" t="s">
        <v>287</v>
      </c>
      <c r="G4616" s="15">
        <v>0.04856870908631789</v>
      </c>
      <c r="H4616" s="11" t="s">
        <v>24</v>
      </c>
      <c r="I4616" s="16">
        <v>2.0</v>
      </c>
      <c r="J4616" s="11" t="s">
        <v>1653</v>
      </c>
      <c r="K4616" s="11" t="s">
        <v>83</v>
      </c>
      <c r="L4616" s="11" t="s">
        <v>36</v>
      </c>
      <c r="M4616" s="11" t="s">
        <v>66</v>
      </c>
      <c r="N4616" s="11" t="s">
        <v>80</v>
      </c>
      <c r="O4616" s="11" t="s">
        <v>644</v>
      </c>
      <c r="P4616" s="11" t="s">
        <v>38</v>
      </c>
      <c r="Q4616" s="20">
        <v>40603.0</v>
      </c>
      <c r="R4616" s="17">
        <f t="shared" si="2"/>
        <v>107.0502917</v>
      </c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>
        <f t="shared" si="8"/>
        <v>2</v>
      </c>
      <c r="AF4616" s="19" t="b">
        <f t="shared" si="13"/>
        <v>0</v>
      </c>
      <c r="AG4616" s="9"/>
      <c r="AH4616" s="9"/>
      <c r="AI4616" s="9"/>
    </row>
    <row r="4617" ht="15.0" customHeight="1">
      <c r="A4617" s="11">
        <v>4616.0</v>
      </c>
      <c r="B4617" s="12">
        <f t="shared" ref="B4617:B4620" si="728">DATE(2012,12,31)-672</f>
        <v>40602</v>
      </c>
      <c r="C4617" s="13">
        <v>2011.0</v>
      </c>
      <c r="D4617" s="11" t="s">
        <v>39</v>
      </c>
      <c r="E4617" s="11">
        <v>9.0</v>
      </c>
      <c r="F4617" s="21" t="s">
        <v>1074</v>
      </c>
      <c r="G4617" s="15">
        <v>0.10867313915857596</v>
      </c>
      <c r="H4617" s="11" t="s">
        <v>33</v>
      </c>
      <c r="I4617" s="16">
        <v>5.5840000000000005</v>
      </c>
      <c r="J4617" s="11" t="s">
        <v>871</v>
      </c>
      <c r="K4617" s="11" t="s">
        <v>26</v>
      </c>
      <c r="L4617" s="11" t="s">
        <v>27</v>
      </c>
      <c r="M4617" s="11" t="s">
        <v>28</v>
      </c>
      <c r="N4617" s="11" t="s">
        <v>42</v>
      </c>
      <c r="O4617" s="11" t="s">
        <v>1893</v>
      </c>
      <c r="P4617" s="11" t="s">
        <v>38</v>
      </c>
      <c r="Q4617" s="20">
        <v>40604.0</v>
      </c>
      <c r="R4617" s="17">
        <f t="shared" si="2"/>
        <v>5.986151197</v>
      </c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>
        <f t="shared" si="8"/>
        <v>1</v>
      </c>
      <c r="AF4617" s="19">
        <f t="shared" si="13"/>
        <v>1</v>
      </c>
      <c r="AG4617" s="9"/>
      <c r="AH4617" s="9"/>
      <c r="AI4617" s="9"/>
    </row>
    <row r="4618" ht="15.0" customHeight="1">
      <c r="A4618" s="11">
        <v>4617.0</v>
      </c>
      <c r="B4618" s="12">
        <f t="shared" si="728"/>
        <v>40602</v>
      </c>
      <c r="C4618" s="13">
        <v>2011.0</v>
      </c>
      <c r="D4618" s="11" t="s">
        <v>23</v>
      </c>
      <c r="E4618" s="11">
        <v>13.0</v>
      </c>
      <c r="F4618" s="21" t="s">
        <v>1182</v>
      </c>
      <c r="G4618" s="15">
        <v>0.02661179698216732</v>
      </c>
      <c r="H4618" s="11" t="s">
        <v>33</v>
      </c>
      <c r="I4618" s="16">
        <v>0.76</v>
      </c>
      <c r="J4618" s="11" t="s">
        <v>1960</v>
      </c>
      <c r="K4618" s="11" t="s">
        <v>65</v>
      </c>
      <c r="L4618" s="11" t="s">
        <v>36</v>
      </c>
      <c r="M4618" s="11" t="s">
        <v>28</v>
      </c>
      <c r="N4618" s="11" t="s">
        <v>56</v>
      </c>
      <c r="O4618" s="11" t="s">
        <v>1183</v>
      </c>
      <c r="P4618" s="11" t="s">
        <v>58</v>
      </c>
      <c r="Q4618" s="20">
        <v>40604.0</v>
      </c>
      <c r="R4618" s="17">
        <f t="shared" si="2"/>
        <v>1.888373114</v>
      </c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>
        <f t="shared" si="8"/>
        <v>2</v>
      </c>
      <c r="AF4618" s="19">
        <f t="shared" si="13"/>
        <v>5</v>
      </c>
      <c r="AG4618" s="9"/>
      <c r="AH4618" s="9"/>
      <c r="AI4618" s="9"/>
    </row>
    <row r="4619" ht="15.0" customHeight="1">
      <c r="A4619" s="11">
        <v>4618.0</v>
      </c>
      <c r="B4619" s="12">
        <f t="shared" si="728"/>
        <v>40602</v>
      </c>
      <c r="C4619" s="13">
        <v>2011.0</v>
      </c>
      <c r="D4619" s="11" t="s">
        <v>23</v>
      </c>
      <c r="E4619" s="11">
        <v>5.0</v>
      </c>
      <c r="F4619" s="21" t="s">
        <v>810</v>
      </c>
      <c r="G4619" s="15">
        <v>0.05617161716171623</v>
      </c>
      <c r="H4619" s="11" t="s">
        <v>33</v>
      </c>
      <c r="I4619" s="16">
        <v>2.696</v>
      </c>
      <c r="J4619" s="11" t="s">
        <v>1960</v>
      </c>
      <c r="K4619" s="11" t="s">
        <v>65</v>
      </c>
      <c r="L4619" s="11" t="s">
        <v>36</v>
      </c>
      <c r="M4619" s="11" t="s">
        <v>28</v>
      </c>
      <c r="N4619" s="11" t="s">
        <v>442</v>
      </c>
      <c r="O4619" s="11" t="s">
        <v>1111</v>
      </c>
      <c r="P4619" s="11" t="s">
        <v>99</v>
      </c>
      <c r="Q4619" s="20">
        <v>40604.0</v>
      </c>
      <c r="R4619" s="17">
        <f t="shared" si="2"/>
        <v>3.212791815</v>
      </c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>
        <f t="shared" si="8"/>
        <v>2</v>
      </c>
      <c r="AF4619" s="19">
        <f t="shared" si="13"/>
        <v>5</v>
      </c>
      <c r="AG4619" s="9"/>
      <c r="AH4619" s="9"/>
      <c r="AI4619" s="9"/>
    </row>
    <row r="4620" ht="15.0" customHeight="1">
      <c r="A4620" s="11">
        <v>4619.0</v>
      </c>
      <c r="B4620" s="12">
        <f t="shared" si="728"/>
        <v>40602</v>
      </c>
      <c r="C4620" s="13">
        <v>2011.0</v>
      </c>
      <c r="D4620" s="11" t="s">
        <v>32</v>
      </c>
      <c r="E4620" s="11">
        <v>9.0</v>
      </c>
      <c r="F4620" s="21" t="s">
        <v>1227</v>
      </c>
      <c r="G4620" s="15">
        <v>0.10406926406926406</v>
      </c>
      <c r="H4620" s="11" t="s">
        <v>33</v>
      </c>
      <c r="I4620" s="16">
        <v>0.8960000000000001</v>
      </c>
      <c r="J4620" s="11" t="s">
        <v>1697</v>
      </c>
      <c r="K4620" s="11" t="s">
        <v>61</v>
      </c>
      <c r="L4620" s="11" t="s">
        <v>48</v>
      </c>
      <c r="M4620" s="11" t="s">
        <v>28</v>
      </c>
      <c r="N4620" s="11" t="s">
        <v>62</v>
      </c>
      <c r="O4620" s="11" t="s">
        <v>2510</v>
      </c>
      <c r="P4620" s="11" t="s">
        <v>58</v>
      </c>
      <c r="Q4620" s="20">
        <v>40605.0</v>
      </c>
      <c r="R4620" s="17">
        <f t="shared" si="2"/>
        <v>2.153817489</v>
      </c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>
        <f t="shared" si="8"/>
        <v>4</v>
      </c>
      <c r="AF4620" s="19">
        <f t="shared" si="13"/>
        <v>4</v>
      </c>
      <c r="AG4620" s="9"/>
      <c r="AH4620" s="9"/>
      <c r="AI4620" s="9"/>
    </row>
    <row r="4621" ht="15.0" customHeight="1">
      <c r="A4621" s="11">
        <v>4620.0</v>
      </c>
      <c r="B4621" s="12">
        <f t="shared" ref="B4621:B4626" si="729">DATE(2012,12,31)-671</f>
        <v>40603</v>
      </c>
      <c r="C4621" s="13">
        <v>2011.0</v>
      </c>
      <c r="D4621" s="11" t="s">
        <v>44</v>
      </c>
      <c r="E4621" s="11">
        <v>21.0</v>
      </c>
      <c r="F4621" s="21" t="s">
        <v>273</v>
      </c>
      <c r="G4621" s="15">
        <v>0.05839468379003964</v>
      </c>
      <c r="H4621" s="11" t="s">
        <v>24</v>
      </c>
      <c r="I4621" s="16">
        <v>3.192</v>
      </c>
      <c r="J4621" s="11" t="s">
        <v>716</v>
      </c>
      <c r="K4621" s="11" t="s">
        <v>61</v>
      </c>
      <c r="L4621" s="11" t="s">
        <v>41</v>
      </c>
      <c r="M4621" s="11" t="s">
        <v>28</v>
      </c>
      <c r="N4621" s="11" t="s">
        <v>197</v>
      </c>
      <c r="O4621" s="11" t="s">
        <v>275</v>
      </c>
      <c r="P4621" s="11" t="s">
        <v>38</v>
      </c>
      <c r="Q4621" s="20">
        <v>40605.0</v>
      </c>
      <c r="R4621" s="17">
        <f t="shared" si="2"/>
        <v>73.64106857</v>
      </c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>
        <f t="shared" si="8"/>
        <v>3</v>
      </c>
      <c r="AF4621" s="19">
        <f t="shared" si="13"/>
        <v>4</v>
      </c>
      <c r="AG4621" s="9"/>
      <c r="AH4621" s="9"/>
      <c r="AI4621" s="9"/>
    </row>
    <row r="4622" ht="15.0" customHeight="1">
      <c r="A4622" s="11">
        <v>4621.0</v>
      </c>
      <c r="B4622" s="12">
        <f t="shared" si="729"/>
        <v>40603</v>
      </c>
      <c r="C4622" s="13">
        <v>2011.0</v>
      </c>
      <c r="D4622" s="11" t="s">
        <v>44</v>
      </c>
      <c r="E4622" s="11">
        <v>26.0</v>
      </c>
      <c r="F4622" s="21" t="s">
        <v>195</v>
      </c>
      <c r="G4622" s="15">
        <v>0.028614916286149095</v>
      </c>
      <c r="H4622" s="11" t="s">
        <v>24</v>
      </c>
      <c r="I4622" s="16">
        <v>5.920000000000001</v>
      </c>
      <c r="J4622" s="11" t="s">
        <v>716</v>
      </c>
      <c r="K4622" s="11" t="s">
        <v>61</v>
      </c>
      <c r="L4622" s="11" t="s">
        <v>41</v>
      </c>
      <c r="M4622" s="11" t="s">
        <v>49</v>
      </c>
      <c r="N4622" s="11" t="s">
        <v>73</v>
      </c>
      <c r="O4622" s="11" t="s">
        <v>2036</v>
      </c>
      <c r="P4622" s="11" t="s">
        <v>38</v>
      </c>
      <c r="Q4622" s="20">
        <v>40605.0</v>
      </c>
      <c r="R4622" s="17">
        <f t="shared" si="2"/>
        <v>10.95722374</v>
      </c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>
        <f t="shared" si="8"/>
        <v>3</v>
      </c>
      <c r="AF4622" s="19">
        <f t="shared" si="13"/>
        <v>4</v>
      </c>
      <c r="AG4622" s="9"/>
      <c r="AH4622" s="9"/>
      <c r="AI4622" s="9"/>
    </row>
    <row r="4623" ht="15.0" customHeight="1">
      <c r="A4623" s="11">
        <v>4622.0</v>
      </c>
      <c r="B4623" s="12">
        <f t="shared" si="729"/>
        <v>40603</v>
      </c>
      <c r="C4623" s="13">
        <v>2011.0</v>
      </c>
      <c r="D4623" s="11" t="s">
        <v>23</v>
      </c>
      <c r="E4623" s="11">
        <v>24.0</v>
      </c>
      <c r="F4623" s="21" t="s">
        <v>316</v>
      </c>
      <c r="G4623" s="15">
        <v>0.05128906250000009</v>
      </c>
      <c r="H4623" s="11" t="s">
        <v>33</v>
      </c>
      <c r="I4623" s="16">
        <v>2.2960000000000003</v>
      </c>
      <c r="J4623" s="11" t="s">
        <v>253</v>
      </c>
      <c r="K4623" s="11" t="s">
        <v>61</v>
      </c>
      <c r="L4623" s="11" t="s">
        <v>36</v>
      </c>
      <c r="M4623" s="11" t="s">
        <v>28</v>
      </c>
      <c r="N4623" s="11" t="s">
        <v>56</v>
      </c>
      <c r="O4623" s="11" t="s">
        <v>331</v>
      </c>
      <c r="P4623" s="11" t="s">
        <v>58</v>
      </c>
      <c r="Q4623" s="20">
        <v>40606.0</v>
      </c>
      <c r="R4623" s="17">
        <f t="shared" si="2"/>
        <v>9.965259688</v>
      </c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>
        <f t="shared" si="8"/>
        <v>2</v>
      </c>
      <c r="AF4623" s="19">
        <f t="shared" si="13"/>
        <v>4</v>
      </c>
      <c r="AG4623" s="9"/>
      <c r="AH4623" s="9"/>
      <c r="AI4623" s="9"/>
    </row>
    <row r="4624" ht="15.0" customHeight="1">
      <c r="A4624" s="11">
        <v>4623.0</v>
      </c>
      <c r="B4624" s="12">
        <f t="shared" si="729"/>
        <v>40603</v>
      </c>
      <c r="C4624" s="13">
        <v>2011.0</v>
      </c>
      <c r="D4624" s="11" t="s">
        <v>39</v>
      </c>
      <c r="E4624" s="11">
        <v>19.0</v>
      </c>
      <c r="F4624" s="21" t="s">
        <v>569</v>
      </c>
      <c r="G4624" s="15">
        <v>0.06067278287461784</v>
      </c>
      <c r="H4624" s="11" t="s">
        <v>33</v>
      </c>
      <c r="I4624" s="16">
        <v>3.192</v>
      </c>
      <c r="J4624" s="11" t="s">
        <v>832</v>
      </c>
      <c r="K4624" s="11" t="s">
        <v>65</v>
      </c>
      <c r="L4624" s="11" t="s">
        <v>48</v>
      </c>
      <c r="M4624" s="11" t="s">
        <v>66</v>
      </c>
      <c r="N4624" s="11" t="s">
        <v>80</v>
      </c>
      <c r="O4624" s="11" t="s">
        <v>570</v>
      </c>
      <c r="P4624" s="11" t="s">
        <v>38</v>
      </c>
      <c r="Q4624" s="20">
        <v>40606.0</v>
      </c>
      <c r="R4624" s="17">
        <f t="shared" si="2"/>
        <v>226.0238327</v>
      </c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>
        <f t="shared" si="8"/>
        <v>4</v>
      </c>
      <c r="AF4624" s="19">
        <f t="shared" si="13"/>
        <v>5</v>
      </c>
      <c r="AG4624" s="9"/>
      <c r="AH4624" s="9"/>
      <c r="AI4624" s="9"/>
    </row>
    <row r="4625" ht="15.0" customHeight="1">
      <c r="A4625" s="11">
        <v>4624.0</v>
      </c>
      <c r="B4625" s="12">
        <f t="shared" si="729"/>
        <v>40603</v>
      </c>
      <c r="C4625" s="13">
        <v>2011.0</v>
      </c>
      <c r="D4625" s="11" t="s">
        <v>39</v>
      </c>
      <c r="E4625" s="11">
        <v>31.0</v>
      </c>
      <c r="F4625" s="21" t="s">
        <v>147</v>
      </c>
      <c r="G4625" s="15">
        <v>0.11528239202657815</v>
      </c>
      <c r="H4625" s="11" t="s">
        <v>33</v>
      </c>
      <c r="I4625" s="16">
        <v>0.5599999999999999</v>
      </c>
      <c r="J4625" s="11" t="s">
        <v>2495</v>
      </c>
      <c r="K4625" s="11" t="s">
        <v>61</v>
      </c>
      <c r="L4625" s="11" t="s">
        <v>41</v>
      </c>
      <c r="M4625" s="11" t="s">
        <v>28</v>
      </c>
      <c r="N4625" s="11" t="s">
        <v>62</v>
      </c>
      <c r="O4625" s="11" t="s">
        <v>182</v>
      </c>
      <c r="P4625" s="11" t="s">
        <v>58</v>
      </c>
      <c r="Q4625" s="20">
        <v>40606.0</v>
      </c>
      <c r="R4625" s="17">
        <f t="shared" si="2"/>
        <v>6.139940199</v>
      </c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>
        <f t="shared" si="8"/>
        <v>3</v>
      </c>
      <c r="AF4625" s="19">
        <f t="shared" si="13"/>
        <v>4</v>
      </c>
      <c r="AG4625" s="9"/>
      <c r="AH4625" s="9"/>
      <c r="AI4625" s="9"/>
    </row>
    <row r="4626" ht="15.0" customHeight="1">
      <c r="A4626" s="11">
        <v>4625.0</v>
      </c>
      <c r="B4626" s="12">
        <f t="shared" si="729"/>
        <v>40603</v>
      </c>
      <c r="C4626" s="13">
        <v>2011.0</v>
      </c>
      <c r="D4626" s="11" t="s">
        <v>39</v>
      </c>
      <c r="E4626" s="11">
        <v>2.0</v>
      </c>
      <c r="F4626" s="21" t="s">
        <v>1084</v>
      </c>
      <c r="G4626" s="15">
        <v>0.11127272727272729</v>
      </c>
      <c r="H4626" s="11" t="s">
        <v>33</v>
      </c>
      <c r="I4626" s="16">
        <v>0.976</v>
      </c>
      <c r="J4626" s="11" t="s">
        <v>2495</v>
      </c>
      <c r="K4626" s="11" t="s">
        <v>61</v>
      </c>
      <c r="L4626" s="11" t="s">
        <v>41</v>
      </c>
      <c r="M4626" s="11" t="s">
        <v>28</v>
      </c>
      <c r="N4626" s="11" t="s">
        <v>56</v>
      </c>
      <c r="O4626" s="11" t="s">
        <v>2308</v>
      </c>
      <c r="P4626" s="11" t="s">
        <v>58</v>
      </c>
      <c r="Q4626" s="20">
        <v>40606.0</v>
      </c>
      <c r="R4626" s="17">
        <f t="shared" si="2"/>
        <v>1.087802182</v>
      </c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>
        <f t="shared" si="8"/>
        <v>3</v>
      </c>
      <c r="AF4626" s="19">
        <f t="shared" si="13"/>
        <v>4</v>
      </c>
      <c r="AG4626" s="9"/>
      <c r="AH4626" s="9"/>
      <c r="AI4626" s="9"/>
    </row>
    <row r="4627" ht="15.0" customHeight="1">
      <c r="A4627" s="11">
        <v>4626.0</v>
      </c>
      <c r="B4627" s="12">
        <f t="shared" ref="B4627:B4631" si="730">DATE(2012,12,31)-670</f>
        <v>40604</v>
      </c>
      <c r="C4627" s="13">
        <v>2011.0</v>
      </c>
      <c r="D4627" s="11" t="s">
        <v>23</v>
      </c>
      <c r="E4627" s="11">
        <v>46.0</v>
      </c>
      <c r="F4627" s="21" t="s">
        <v>100</v>
      </c>
      <c r="G4627" s="15">
        <v>0.06587782872356164</v>
      </c>
      <c r="H4627" s="11" t="s">
        <v>33</v>
      </c>
      <c r="I4627" s="16">
        <v>2.0</v>
      </c>
      <c r="J4627" s="11" t="s">
        <v>491</v>
      </c>
      <c r="K4627" s="11" t="s">
        <v>47</v>
      </c>
      <c r="L4627" s="11" t="s">
        <v>48</v>
      </c>
      <c r="M4627" s="11" t="s">
        <v>66</v>
      </c>
      <c r="N4627" s="11" t="s">
        <v>80</v>
      </c>
      <c r="O4627" s="11" t="s">
        <v>478</v>
      </c>
      <c r="P4627" s="11" t="s">
        <v>38</v>
      </c>
      <c r="Q4627" s="20">
        <v>40606.0</v>
      </c>
      <c r="R4627" s="17">
        <f t="shared" si="2"/>
        <v>624.0870226</v>
      </c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>
        <f t="shared" si="8"/>
        <v>4</v>
      </c>
      <c r="AF4627" s="19">
        <f t="shared" si="13"/>
        <v>3</v>
      </c>
      <c r="AG4627" s="9"/>
      <c r="AH4627" s="9"/>
      <c r="AI4627" s="9"/>
    </row>
    <row r="4628" ht="15.0" customHeight="1">
      <c r="A4628" s="11">
        <v>4627.0</v>
      </c>
      <c r="B4628" s="12">
        <f t="shared" si="730"/>
        <v>40604</v>
      </c>
      <c r="C4628" s="13">
        <v>2011.0</v>
      </c>
      <c r="D4628" s="11" t="s">
        <v>39</v>
      </c>
      <c r="E4628" s="11">
        <v>19.0</v>
      </c>
      <c r="F4628" s="21" t="s">
        <v>204</v>
      </c>
      <c r="G4628" s="15">
        <v>0.08759581881533086</v>
      </c>
      <c r="H4628" s="11" t="s">
        <v>33</v>
      </c>
      <c r="I4628" s="16">
        <v>1.072</v>
      </c>
      <c r="J4628" s="11" t="s">
        <v>2520</v>
      </c>
      <c r="K4628" s="11" t="s">
        <v>61</v>
      </c>
      <c r="L4628" s="11" t="s">
        <v>48</v>
      </c>
      <c r="M4628" s="11" t="s">
        <v>28</v>
      </c>
      <c r="N4628" s="11" t="s">
        <v>62</v>
      </c>
      <c r="O4628" s="11" t="s">
        <v>1514</v>
      </c>
      <c r="P4628" s="11" t="s">
        <v>58</v>
      </c>
      <c r="Q4628" s="20">
        <v>40606.0</v>
      </c>
      <c r="R4628" s="17">
        <f t="shared" si="2"/>
        <v>4.587568223</v>
      </c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>
        <f t="shared" si="8"/>
        <v>4</v>
      </c>
      <c r="AF4628" s="19">
        <f t="shared" si="13"/>
        <v>4</v>
      </c>
      <c r="AG4628" s="9"/>
      <c r="AH4628" s="9"/>
      <c r="AI4628" s="9"/>
    </row>
    <row r="4629" ht="15.0" customHeight="1">
      <c r="A4629" s="11">
        <v>4628.0</v>
      </c>
      <c r="B4629" s="12">
        <f t="shared" si="730"/>
        <v>40604</v>
      </c>
      <c r="C4629" s="13">
        <v>2011.0</v>
      </c>
      <c r="D4629" s="11" t="s">
        <v>32</v>
      </c>
      <c r="E4629" s="11">
        <v>50.0</v>
      </c>
      <c r="F4629" s="21" t="s">
        <v>322</v>
      </c>
      <c r="G4629" s="15">
        <v>0.06932818201330748</v>
      </c>
      <c r="H4629" s="11" t="s">
        <v>33</v>
      </c>
      <c r="I4629" s="16">
        <v>3.6</v>
      </c>
      <c r="J4629" s="11" t="s">
        <v>595</v>
      </c>
      <c r="K4629" s="11" t="s">
        <v>26</v>
      </c>
      <c r="L4629" s="11" t="s">
        <v>41</v>
      </c>
      <c r="M4629" s="11" t="s">
        <v>28</v>
      </c>
      <c r="N4629" s="11" t="s">
        <v>197</v>
      </c>
      <c r="O4629" s="11" t="s">
        <v>2521</v>
      </c>
      <c r="P4629" s="11" t="s">
        <v>38</v>
      </c>
      <c r="Q4629" s="20">
        <v>40607.0</v>
      </c>
      <c r="R4629" s="17">
        <f t="shared" si="2"/>
        <v>30.06069972</v>
      </c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>
        <f t="shared" si="8"/>
        <v>3</v>
      </c>
      <c r="AF4629" s="19">
        <f t="shared" si="13"/>
        <v>1</v>
      </c>
      <c r="AG4629" s="9"/>
      <c r="AH4629" s="9"/>
      <c r="AI4629" s="9"/>
    </row>
    <row r="4630" ht="15.0" customHeight="1">
      <c r="A4630" s="11">
        <v>4629.0</v>
      </c>
      <c r="B4630" s="12">
        <f t="shared" si="730"/>
        <v>40604</v>
      </c>
      <c r="C4630" s="13">
        <v>2011.0</v>
      </c>
      <c r="D4630" s="11" t="s">
        <v>39</v>
      </c>
      <c r="E4630" s="11">
        <v>35.0</v>
      </c>
      <c r="F4630" s="21" t="s">
        <v>306</v>
      </c>
      <c r="G4630" s="15">
        <v>0.09552740434332986</v>
      </c>
      <c r="H4630" s="11" t="s">
        <v>33</v>
      </c>
      <c r="I4630" s="16">
        <v>3.2</v>
      </c>
      <c r="J4630" s="11" t="s">
        <v>1024</v>
      </c>
      <c r="K4630" s="11" t="s">
        <v>26</v>
      </c>
      <c r="L4630" s="11" t="s">
        <v>36</v>
      </c>
      <c r="M4630" s="11" t="s">
        <v>66</v>
      </c>
      <c r="N4630" s="11" t="s">
        <v>67</v>
      </c>
      <c r="O4630" s="11" t="s">
        <v>920</v>
      </c>
      <c r="P4630" s="11" t="s">
        <v>38</v>
      </c>
      <c r="Q4630" s="20">
        <v>40607.0</v>
      </c>
      <c r="R4630" s="17">
        <f t="shared" si="2"/>
        <v>66.84052482</v>
      </c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>
        <f t="shared" si="8"/>
        <v>2</v>
      </c>
      <c r="AF4630" s="19">
        <f t="shared" si="13"/>
        <v>1</v>
      </c>
      <c r="AG4630" s="9"/>
      <c r="AH4630" s="9"/>
      <c r="AI4630" s="9"/>
    </row>
    <row r="4631" ht="15.0" customHeight="1">
      <c r="A4631" s="11">
        <v>4630.0</v>
      </c>
      <c r="B4631" s="12">
        <f t="shared" si="730"/>
        <v>40604</v>
      </c>
      <c r="C4631" s="13">
        <v>2011.0</v>
      </c>
      <c r="D4631" s="11" t="s">
        <v>39</v>
      </c>
      <c r="E4631" s="11">
        <v>38.0</v>
      </c>
      <c r="F4631" s="21" t="s">
        <v>610</v>
      </c>
      <c r="G4631" s="15">
        <v>0.009139716761784124</v>
      </c>
      <c r="H4631" s="11" t="s">
        <v>33</v>
      </c>
      <c r="I4631" s="16">
        <v>5.176</v>
      </c>
      <c r="J4631" s="11" t="s">
        <v>1024</v>
      </c>
      <c r="K4631" s="11" t="s">
        <v>26</v>
      </c>
      <c r="L4631" s="11" t="s">
        <v>36</v>
      </c>
      <c r="M4631" s="11" t="s">
        <v>28</v>
      </c>
      <c r="N4631" s="11" t="s">
        <v>56</v>
      </c>
      <c r="O4631" s="11" t="s">
        <v>2006</v>
      </c>
      <c r="P4631" s="11" t="s">
        <v>38</v>
      </c>
      <c r="Q4631" s="20">
        <v>40607.0</v>
      </c>
      <c r="R4631" s="17">
        <f t="shared" si="2"/>
        <v>4.284479865</v>
      </c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>
        <f t="shared" si="8"/>
        <v>2</v>
      </c>
      <c r="AF4631" s="19">
        <f t="shared" si="13"/>
        <v>1</v>
      </c>
      <c r="AG4631" s="9"/>
      <c r="AH4631" s="9"/>
      <c r="AI4631" s="9"/>
    </row>
    <row r="4632" ht="15.0" customHeight="1">
      <c r="A4632" s="11">
        <v>4631.0</v>
      </c>
      <c r="B4632" s="12">
        <f t="shared" ref="B4632:B4635" si="731">DATE(2012,12,31)-669</f>
        <v>40605</v>
      </c>
      <c r="C4632" s="13">
        <v>2011.0</v>
      </c>
      <c r="D4632" s="11" t="s">
        <v>39</v>
      </c>
      <c r="E4632" s="11">
        <v>44.0</v>
      </c>
      <c r="F4632" s="21" t="s">
        <v>122</v>
      </c>
      <c r="G4632" s="15">
        <v>0.051826516946533535</v>
      </c>
      <c r="H4632" s="11" t="s">
        <v>33</v>
      </c>
      <c r="I4632" s="16">
        <v>0.792</v>
      </c>
      <c r="J4632" s="11" t="s">
        <v>2311</v>
      </c>
      <c r="K4632" s="11" t="s">
        <v>61</v>
      </c>
      <c r="L4632" s="11" t="s">
        <v>27</v>
      </c>
      <c r="M4632" s="11" t="s">
        <v>66</v>
      </c>
      <c r="N4632" s="11" t="s">
        <v>80</v>
      </c>
      <c r="O4632" s="11" t="s">
        <v>1321</v>
      </c>
      <c r="P4632" s="11" t="s">
        <v>58</v>
      </c>
      <c r="Q4632" s="20">
        <v>40607.0</v>
      </c>
      <c r="R4632" s="17">
        <f t="shared" si="2"/>
        <v>47.70071159</v>
      </c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>
        <f t="shared" si="8"/>
        <v>1</v>
      </c>
      <c r="AF4632" s="19">
        <f t="shared" si="13"/>
        <v>4</v>
      </c>
      <c r="AG4632" s="9"/>
      <c r="AH4632" s="9"/>
      <c r="AI4632" s="9"/>
    </row>
    <row r="4633" ht="15.0" customHeight="1">
      <c r="A4633" s="11">
        <v>4632.0</v>
      </c>
      <c r="B4633" s="12">
        <f t="shared" si="731"/>
        <v>40605</v>
      </c>
      <c r="C4633" s="13">
        <v>2011.0</v>
      </c>
      <c r="D4633" s="11" t="s">
        <v>44</v>
      </c>
      <c r="E4633" s="11">
        <v>8.0</v>
      </c>
      <c r="F4633" s="21" t="s">
        <v>178</v>
      </c>
      <c r="G4633" s="15">
        <v>0.03308194343727326</v>
      </c>
      <c r="H4633" s="11" t="s">
        <v>33</v>
      </c>
      <c r="I4633" s="16">
        <v>6.152000000000001</v>
      </c>
      <c r="J4633" s="11" t="s">
        <v>403</v>
      </c>
      <c r="K4633" s="11" t="s">
        <v>61</v>
      </c>
      <c r="L4633" s="11" t="s">
        <v>41</v>
      </c>
      <c r="M4633" s="11" t="s">
        <v>66</v>
      </c>
      <c r="N4633" s="11" t="s">
        <v>80</v>
      </c>
      <c r="O4633" s="11" t="s">
        <v>2286</v>
      </c>
      <c r="P4633" s="11" t="s">
        <v>38</v>
      </c>
      <c r="Q4633" s="20">
        <v>40607.0</v>
      </c>
      <c r="R4633" s="17">
        <f t="shared" si="2"/>
        <v>17.6443207</v>
      </c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>
        <f t="shared" si="8"/>
        <v>3</v>
      </c>
      <c r="AF4633" s="19">
        <f t="shared" si="13"/>
        <v>4</v>
      </c>
      <c r="AG4633" s="9"/>
      <c r="AH4633" s="9"/>
      <c r="AI4633" s="9"/>
    </row>
    <row r="4634" ht="15.0" customHeight="1">
      <c r="A4634" s="11">
        <v>4633.0</v>
      </c>
      <c r="B4634" s="12">
        <f t="shared" si="731"/>
        <v>40605</v>
      </c>
      <c r="C4634" s="13">
        <v>2011.0</v>
      </c>
      <c r="D4634" s="11" t="s">
        <v>102</v>
      </c>
      <c r="E4634" s="11">
        <v>40.0</v>
      </c>
      <c r="F4634" s="21" t="s">
        <v>183</v>
      </c>
      <c r="G4634" s="15">
        <v>0.01600985221674873</v>
      </c>
      <c r="H4634" s="11" t="s">
        <v>33</v>
      </c>
      <c r="I4634" s="16">
        <v>3.2</v>
      </c>
      <c r="J4634" s="11" t="s">
        <v>1168</v>
      </c>
      <c r="K4634" s="11" t="s">
        <v>61</v>
      </c>
      <c r="L4634" s="11" t="s">
        <v>36</v>
      </c>
      <c r="M4634" s="11" t="s">
        <v>66</v>
      </c>
      <c r="N4634" s="11" t="s">
        <v>67</v>
      </c>
      <c r="O4634" s="11" t="s">
        <v>941</v>
      </c>
      <c r="P4634" s="11" t="s">
        <v>38</v>
      </c>
      <c r="Q4634" s="20">
        <v>40607.0</v>
      </c>
      <c r="R4634" s="17">
        <f t="shared" si="2"/>
        <v>10.23349754</v>
      </c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>
        <f t="shared" si="8"/>
        <v>2</v>
      </c>
      <c r="AF4634" s="19">
        <f t="shared" si="13"/>
        <v>4</v>
      </c>
      <c r="AG4634" s="9"/>
      <c r="AH4634" s="9"/>
      <c r="AI4634" s="9"/>
    </row>
    <row r="4635" ht="15.0" customHeight="1">
      <c r="A4635" s="11">
        <v>4634.0</v>
      </c>
      <c r="B4635" s="12">
        <f t="shared" si="731"/>
        <v>40605</v>
      </c>
      <c r="C4635" s="13">
        <v>2011.0</v>
      </c>
      <c r="D4635" s="11" t="s">
        <v>44</v>
      </c>
      <c r="E4635" s="11">
        <v>1.0</v>
      </c>
      <c r="F4635" s="21" t="s">
        <v>926</v>
      </c>
      <c r="G4635" s="15">
        <v>0.08375690607734816</v>
      </c>
      <c r="H4635" s="11" t="s">
        <v>24</v>
      </c>
      <c r="I4635" s="16">
        <v>3.9840000000000004</v>
      </c>
      <c r="J4635" s="11" t="s">
        <v>2303</v>
      </c>
      <c r="K4635" s="11" t="s">
        <v>83</v>
      </c>
      <c r="L4635" s="11" t="s">
        <v>27</v>
      </c>
      <c r="M4635" s="11" t="s">
        <v>49</v>
      </c>
      <c r="N4635" s="11" t="s">
        <v>73</v>
      </c>
      <c r="O4635" s="11" t="s">
        <v>927</v>
      </c>
      <c r="P4635" s="11" t="s">
        <v>99</v>
      </c>
      <c r="Q4635" s="20">
        <v>40608.0</v>
      </c>
      <c r="R4635" s="17">
        <f t="shared" si="2"/>
        <v>1.38902453</v>
      </c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>
        <f t="shared" si="8"/>
        <v>1</v>
      </c>
      <c r="AF4635" s="19" t="b">
        <f t="shared" si="13"/>
        <v>0</v>
      </c>
      <c r="AG4635" s="9"/>
      <c r="AH4635" s="9"/>
      <c r="AI4635" s="9"/>
    </row>
    <row r="4636" ht="15.0" customHeight="1">
      <c r="A4636" s="11">
        <v>4635.0</v>
      </c>
      <c r="B4636" s="12">
        <f t="shared" ref="B4636:B4644" si="732">DATE(2012,12,31)-668</f>
        <v>40606</v>
      </c>
      <c r="C4636" s="13">
        <v>2011.0</v>
      </c>
      <c r="D4636" s="11" t="s">
        <v>23</v>
      </c>
      <c r="E4636" s="11">
        <v>29.0</v>
      </c>
      <c r="F4636" s="21" t="s">
        <v>2004</v>
      </c>
      <c r="G4636" s="15">
        <v>0.05149472891566272</v>
      </c>
      <c r="H4636" s="11" t="s">
        <v>24</v>
      </c>
      <c r="I4636" s="16">
        <v>7.192</v>
      </c>
      <c r="J4636" s="11" t="s">
        <v>97</v>
      </c>
      <c r="K4636" s="11" t="s">
        <v>61</v>
      </c>
      <c r="L4636" s="11" t="s">
        <v>41</v>
      </c>
      <c r="M4636" s="11" t="s">
        <v>28</v>
      </c>
      <c r="N4636" s="11" t="s">
        <v>62</v>
      </c>
      <c r="O4636" s="11" t="s">
        <v>2007</v>
      </c>
      <c r="P4636" s="11" t="s">
        <v>99</v>
      </c>
      <c r="Q4636" s="20">
        <v>40608.0</v>
      </c>
      <c r="R4636" s="17">
        <f t="shared" si="2"/>
        <v>51.89082637</v>
      </c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>
        <f t="shared" si="8"/>
        <v>3</v>
      </c>
      <c r="AF4636" s="19">
        <f t="shared" si="13"/>
        <v>4</v>
      </c>
      <c r="AG4636" s="9"/>
      <c r="AH4636" s="9"/>
      <c r="AI4636" s="9"/>
    </row>
    <row r="4637" ht="15.0" customHeight="1">
      <c r="A4637" s="11">
        <v>4636.0</v>
      </c>
      <c r="B4637" s="12">
        <f t="shared" si="732"/>
        <v>40606</v>
      </c>
      <c r="C4637" s="13">
        <v>2011.0</v>
      </c>
      <c r="D4637" s="11" t="s">
        <v>23</v>
      </c>
      <c r="E4637" s="11">
        <v>35.0</v>
      </c>
      <c r="F4637" s="21" t="s">
        <v>372</v>
      </c>
      <c r="G4637" s="15">
        <v>0.05129947341600143</v>
      </c>
      <c r="H4637" s="11" t="s">
        <v>33</v>
      </c>
      <c r="I4637" s="16">
        <v>9.0</v>
      </c>
      <c r="J4637" s="11" t="s">
        <v>97</v>
      </c>
      <c r="K4637" s="11" t="s">
        <v>61</v>
      </c>
      <c r="L4637" s="11" t="s">
        <v>41</v>
      </c>
      <c r="M4637" s="11" t="s">
        <v>28</v>
      </c>
      <c r="N4637" s="11" t="s">
        <v>29</v>
      </c>
      <c r="O4637" s="11" t="s">
        <v>1741</v>
      </c>
      <c r="P4637" s="11" t="s">
        <v>38</v>
      </c>
      <c r="Q4637" s="20">
        <v>40608.0</v>
      </c>
      <c r="R4637" s="17">
        <f t="shared" si="2"/>
        <v>28.6507559</v>
      </c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>
        <f t="shared" si="8"/>
        <v>3</v>
      </c>
      <c r="AF4637" s="19">
        <f t="shared" si="13"/>
        <v>4</v>
      </c>
      <c r="AG4637" s="9"/>
      <c r="AH4637" s="9"/>
      <c r="AI4637" s="9"/>
    </row>
    <row r="4638" ht="15.0" customHeight="1">
      <c r="A4638" s="11">
        <v>4637.0</v>
      </c>
      <c r="B4638" s="12">
        <f t="shared" si="732"/>
        <v>40606</v>
      </c>
      <c r="C4638" s="13">
        <v>2011.0</v>
      </c>
      <c r="D4638" s="11" t="s">
        <v>39</v>
      </c>
      <c r="E4638" s="11">
        <v>19.0</v>
      </c>
      <c r="F4638" s="21" t="s">
        <v>158</v>
      </c>
      <c r="G4638" s="15">
        <v>0.06741506646971934</v>
      </c>
      <c r="H4638" s="11" t="s">
        <v>33</v>
      </c>
      <c r="I4638" s="16">
        <v>4.672</v>
      </c>
      <c r="J4638" s="11" t="s">
        <v>2441</v>
      </c>
      <c r="K4638" s="11" t="s">
        <v>35</v>
      </c>
      <c r="L4638" s="11" t="s">
        <v>48</v>
      </c>
      <c r="M4638" s="11" t="s">
        <v>28</v>
      </c>
      <c r="N4638" s="11" t="s">
        <v>56</v>
      </c>
      <c r="O4638" s="11" t="s">
        <v>2050</v>
      </c>
      <c r="P4638" s="11" t="s">
        <v>38</v>
      </c>
      <c r="Q4638" s="20">
        <v>40608.0</v>
      </c>
      <c r="R4638" s="17">
        <f t="shared" si="2"/>
        <v>8.512635273</v>
      </c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>
        <f t="shared" si="8"/>
        <v>4</v>
      </c>
      <c r="AF4638" s="19">
        <f t="shared" si="13"/>
        <v>2</v>
      </c>
      <c r="AG4638" s="9"/>
      <c r="AH4638" s="9"/>
      <c r="AI4638" s="9"/>
    </row>
    <row r="4639" ht="15.0" customHeight="1">
      <c r="A4639" s="11">
        <v>4638.0</v>
      </c>
      <c r="B4639" s="12">
        <f t="shared" si="732"/>
        <v>40606</v>
      </c>
      <c r="C4639" s="13">
        <v>2011.0</v>
      </c>
      <c r="D4639" s="11" t="s">
        <v>23</v>
      </c>
      <c r="E4639" s="11">
        <v>31.0</v>
      </c>
      <c r="F4639" s="21" t="s">
        <v>440</v>
      </c>
      <c r="G4639" s="15">
        <v>0.0882033898305086</v>
      </c>
      <c r="H4639" s="11" t="s">
        <v>33</v>
      </c>
      <c r="I4639" s="16">
        <v>4.384</v>
      </c>
      <c r="J4639" s="11" t="s">
        <v>1045</v>
      </c>
      <c r="K4639" s="11" t="s">
        <v>35</v>
      </c>
      <c r="L4639" s="11" t="s">
        <v>36</v>
      </c>
      <c r="M4639" s="11" t="s">
        <v>28</v>
      </c>
      <c r="N4639" s="11" t="s">
        <v>42</v>
      </c>
      <c r="O4639" s="11" t="s">
        <v>2379</v>
      </c>
      <c r="P4639" s="11" t="s">
        <v>38</v>
      </c>
      <c r="Q4639" s="20">
        <v>40608.0</v>
      </c>
      <c r="R4639" s="17">
        <f t="shared" si="2"/>
        <v>18.97995824</v>
      </c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>
        <f t="shared" si="8"/>
        <v>2</v>
      </c>
      <c r="AF4639" s="19">
        <f t="shared" si="13"/>
        <v>2</v>
      </c>
      <c r="AG4639" s="9"/>
      <c r="AH4639" s="9"/>
      <c r="AI4639" s="9"/>
    </row>
    <row r="4640" ht="15.0" customHeight="1">
      <c r="A4640" s="11">
        <v>4639.0</v>
      </c>
      <c r="B4640" s="12">
        <f t="shared" si="732"/>
        <v>40606</v>
      </c>
      <c r="C4640" s="13">
        <v>2011.0</v>
      </c>
      <c r="D4640" s="11" t="s">
        <v>23</v>
      </c>
      <c r="E4640" s="11">
        <v>4.0</v>
      </c>
      <c r="F4640" s="21" t="s">
        <v>183</v>
      </c>
      <c r="G4640" s="15">
        <v>0.09248470012239898</v>
      </c>
      <c r="H4640" s="11" t="s">
        <v>33</v>
      </c>
      <c r="I4640" s="16">
        <v>10.544</v>
      </c>
      <c r="J4640" s="11" t="s">
        <v>1045</v>
      </c>
      <c r="K4640" s="11" t="s">
        <v>35</v>
      </c>
      <c r="L4640" s="11" t="s">
        <v>36</v>
      </c>
      <c r="M4640" s="11" t="s">
        <v>28</v>
      </c>
      <c r="N4640" s="11" t="s">
        <v>42</v>
      </c>
      <c r="O4640" s="11" t="s">
        <v>185</v>
      </c>
      <c r="P4640" s="11" t="s">
        <v>38</v>
      </c>
      <c r="Q4640" s="20">
        <v>40608.0</v>
      </c>
      <c r="R4640" s="17">
        <f t="shared" si="2"/>
        <v>6.857185606</v>
      </c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>
        <f t="shared" si="8"/>
        <v>2</v>
      </c>
      <c r="AF4640" s="19">
        <f t="shared" si="13"/>
        <v>2</v>
      </c>
      <c r="AG4640" s="9"/>
      <c r="AH4640" s="9"/>
      <c r="AI4640" s="9"/>
    </row>
    <row r="4641" ht="15.0" customHeight="1">
      <c r="A4641" s="11">
        <v>4640.0</v>
      </c>
      <c r="B4641" s="12">
        <f t="shared" si="732"/>
        <v>40606</v>
      </c>
      <c r="C4641" s="13">
        <v>2011.0</v>
      </c>
      <c r="D4641" s="11" t="s">
        <v>102</v>
      </c>
      <c r="E4641" s="11">
        <v>50.0</v>
      </c>
      <c r="F4641" s="21" t="s">
        <v>112</v>
      </c>
      <c r="G4641" s="15">
        <v>0.07503150124416677</v>
      </c>
      <c r="H4641" s="11" t="s">
        <v>45</v>
      </c>
      <c r="I4641" s="16">
        <v>34.656</v>
      </c>
      <c r="J4641" s="11" t="s">
        <v>769</v>
      </c>
      <c r="K4641" s="11" t="s">
        <v>35</v>
      </c>
      <c r="L4641" s="11" t="s">
        <v>48</v>
      </c>
      <c r="M4641" s="11" t="s">
        <v>49</v>
      </c>
      <c r="N4641" s="11" t="s">
        <v>50</v>
      </c>
      <c r="O4641" s="11" t="s">
        <v>114</v>
      </c>
      <c r="P4641" s="11" t="s">
        <v>52</v>
      </c>
      <c r="Q4641" s="20">
        <v>40608.0</v>
      </c>
      <c r="R4641" s="17">
        <f t="shared" si="2"/>
        <v>917.6094494</v>
      </c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>
        <f t="shared" si="8"/>
        <v>4</v>
      </c>
      <c r="AF4641" s="19">
        <f t="shared" si="13"/>
        <v>2</v>
      </c>
      <c r="AG4641" s="9"/>
      <c r="AH4641" s="9"/>
      <c r="AI4641" s="9"/>
    </row>
    <row r="4642" ht="15.0" customHeight="1">
      <c r="A4642" s="11">
        <v>4641.0</v>
      </c>
      <c r="B4642" s="12">
        <f t="shared" si="732"/>
        <v>40606</v>
      </c>
      <c r="C4642" s="13">
        <v>2011.0</v>
      </c>
      <c r="D4642" s="11" t="s">
        <v>102</v>
      </c>
      <c r="E4642" s="11">
        <v>15.0</v>
      </c>
      <c r="F4642" s="21" t="s">
        <v>948</v>
      </c>
      <c r="G4642" s="15">
        <v>0.11795586527293836</v>
      </c>
      <c r="H4642" s="11" t="s">
        <v>33</v>
      </c>
      <c r="I4642" s="16">
        <v>3.944</v>
      </c>
      <c r="J4642" s="11" t="s">
        <v>769</v>
      </c>
      <c r="K4642" s="11" t="s">
        <v>35</v>
      </c>
      <c r="L4642" s="11" t="s">
        <v>48</v>
      </c>
      <c r="M4642" s="11" t="s">
        <v>66</v>
      </c>
      <c r="N4642" s="11" t="s">
        <v>67</v>
      </c>
      <c r="O4642" s="11" t="s">
        <v>1295</v>
      </c>
      <c r="P4642" s="11" t="s">
        <v>99</v>
      </c>
      <c r="Q4642" s="20">
        <v>40608.0</v>
      </c>
      <c r="R4642" s="17">
        <f t="shared" si="2"/>
        <v>8.958040232</v>
      </c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>
        <f t="shared" si="8"/>
        <v>4</v>
      </c>
      <c r="AF4642" s="19">
        <f t="shared" si="13"/>
        <v>2</v>
      </c>
      <c r="AG4642" s="9"/>
      <c r="AH4642" s="9"/>
      <c r="AI4642" s="9"/>
    </row>
    <row r="4643" ht="15.0" customHeight="1">
      <c r="A4643" s="11">
        <v>4642.0</v>
      </c>
      <c r="B4643" s="12">
        <f t="shared" si="732"/>
        <v>40606</v>
      </c>
      <c r="C4643" s="13">
        <v>2011.0</v>
      </c>
      <c r="D4643" s="11" t="s">
        <v>102</v>
      </c>
      <c r="E4643" s="11">
        <v>2.0</v>
      </c>
      <c r="F4643" s="21" t="s">
        <v>126</v>
      </c>
      <c r="G4643" s="15">
        <v>0.09217391304347815</v>
      </c>
      <c r="H4643" s="11" t="s">
        <v>33</v>
      </c>
      <c r="I4643" s="16">
        <v>0.6400000000000001</v>
      </c>
      <c r="J4643" s="11" t="s">
        <v>769</v>
      </c>
      <c r="K4643" s="11" t="s">
        <v>35</v>
      </c>
      <c r="L4643" s="11" t="s">
        <v>48</v>
      </c>
      <c r="M4643" s="11" t="s">
        <v>28</v>
      </c>
      <c r="N4643" s="11" t="s">
        <v>56</v>
      </c>
      <c r="O4643" s="11" t="s">
        <v>517</v>
      </c>
      <c r="P4643" s="11" t="s">
        <v>58</v>
      </c>
      <c r="Q4643" s="20">
        <v>40609.0</v>
      </c>
      <c r="R4643" s="17">
        <f t="shared" si="2"/>
        <v>0.9622956522</v>
      </c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>
        <f t="shared" si="8"/>
        <v>4</v>
      </c>
      <c r="AF4643" s="19">
        <f t="shared" si="13"/>
        <v>2</v>
      </c>
      <c r="AG4643" s="9"/>
      <c r="AH4643" s="9"/>
      <c r="AI4643" s="9"/>
    </row>
    <row r="4644" ht="15.0" customHeight="1">
      <c r="A4644" s="11">
        <v>4643.0</v>
      </c>
      <c r="B4644" s="12">
        <f t="shared" si="732"/>
        <v>40606</v>
      </c>
      <c r="C4644" s="13">
        <v>2011.0</v>
      </c>
      <c r="D4644" s="11" t="s">
        <v>39</v>
      </c>
      <c r="E4644" s="11">
        <v>43.0</v>
      </c>
      <c r="F4644" s="21" t="s">
        <v>766</v>
      </c>
      <c r="G4644" s="15">
        <v>0.043370156526382625</v>
      </c>
      <c r="H4644" s="11" t="s">
        <v>45</v>
      </c>
      <c r="I4644" s="16">
        <v>104.0</v>
      </c>
      <c r="J4644" s="11" t="s">
        <v>514</v>
      </c>
      <c r="K4644" s="11" t="s">
        <v>61</v>
      </c>
      <c r="L4644" s="11" t="s">
        <v>27</v>
      </c>
      <c r="M4644" s="11" t="s">
        <v>49</v>
      </c>
      <c r="N4644" s="11" t="s">
        <v>50</v>
      </c>
      <c r="O4644" s="11" t="s">
        <v>1150</v>
      </c>
      <c r="P4644" s="11" t="s">
        <v>52</v>
      </c>
      <c r="Q4644" s="20">
        <v>40609.0</v>
      </c>
      <c r="R4644" s="17">
        <f t="shared" si="2"/>
        <v>248.6280963</v>
      </c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>
        <f t="shared" si="8"/>
        <v>1</v>
      </c>
      <c r="AF4644" s="19">
        <f t="shared" si="13"/>
        <v>4</v>
      </c>
      <c r="AG4644" s="9"/>
      <c r="AH4644" s="9"/>
      <c r="AI4644" s="9"/>
    </row>
    <row r="4645" ht="15.0" customHeight="1">
      <c r="A4645" s="11">
        <v>4644.0</v>
      </c>
      <c r="B4645" s="12">
        <f t="shared" ref="B4645:B4651" si="733">DATE(2012,12,31)-667</f>
        <v>40607</v>
      </c>
      <c r="C4645" s="13">
        <v>2011.0</v>
      </c>
      <c r="D4645" s="11" t="s">
        <v>23</v>
      </c>
      <c r="E4645" s="11">
        <v>49.0</v>
      </c>
      <c r="F4645" s="21" t="s">
        <v>1504</v>
      </c>
      <c r="G4645" s="15">
        <v>0.03899685150677898</v>
      </c>
      <c r="H4645" s="11" t="s">
        <v>33</v>
      </c>
      <c r="I4645" s="16">
        <v>15.991999999999999</v>
      </c>
      <c r="J4645" s="11" t="s">
        <v>1355</v>
      </c>
      <c r="K4645" s="11" t="s">
        <v>61</v>
      </c>
      <c r="L4645" s="11" t="s">
        <v>27</v>
      </c>
      <c r="M4645" s="11" t="s">
        <v>28</v>
      </c>
      <c r="N4645" s="11" t="s">
        <v>42</v>
      </c>
      <c r="O4645" s="11" t="s">
        <v>1505</v>
      </c>
      <c r="P4645" s="11" t="s">
        <v>38</v>
      </c>
      <c r="Q4645" s="20">
        <v>40609.0</v>
      </c>
      <c r="R4645" s="17">
        <f t="shared" si="2"/>
        <v>583.2404988</v>
      </c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>
        <f t="shared" si="8"/>
        <v>1</v>
      </c>
      <c r="AF4645" s="19">
        <f t="shared" si="13"/>
        <v>4</v>
      </c>
      <c r="AG4645" s="9"/>
      <c r="AH4645" s="9"/>
      <c r="AI4645" s="9"/>
    </row>
    <row r="4646" ht="15.0" customHeight="1">
      <c r="A4646" s="11">
        <v>4645.0</v>
      </c>
      <c r="B4646" s="12">
        <f t="shared" si="733"/>
        <v>40607</v>
      </c>
      <c r="C4646" s="13">
        <v>2011.0</v>
      </c>
      <c r="D4646" s="11" t="s">
        <v>23</v>
      </c>
      <c r="E4646" s="11">
        <v>15.0</v>
      </c>
      <c r="F4646" s="21" t="s">
        <v>319</v>
      </c>
      <c r="G4646" s="15">
        <v>0.11111111111111119</v>
      </c>
      <c r="H4646" s="11" t="s">
        <v>33</v>
      </c>
      <c r="I4646" s="16">
        <v>0.4</v>
      </c>
      <c r="J4646" s="11" t="s">
        <v>1355</v>
      </c>
      <c r="K4646" s="11" t="s">
        <v>61</v>
      </c>
      <c r="L4646" s="11" t="s">
        <v>27</v>
      </c>
      <c r="M4646" s="11" t="s">
        <v>28</v>
      </c>
      <c r="N4646" s="11" t="s">
        <v>188</v>
      </c>
      <c r="O4646" s="11" t="s">
        <v>437</v>
      </c>
      <c r="P4646" s="11" t="s">
        <v>38</v>
      </c>
      <c r="Q4646" s="20">
        <v>40609.0</v>
      </c>
      <c r="R4646" s="17">
        <f t="shared" si="2"/>
        <v>4.711111111</v>
      </c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>
        <f t="shared" si="8"/>
        <v>1</v>
      </c>
      <c r="AF4646" s="19">
        <f t="shared" si="13"/>
        <v>4</v>
      </c>
      <c r="AG4646" s="9"/>
      <c r="AH4646" s="9"/>
      <c r="AI4646" s="9"/>
    </row>
    <row r="4647" ht="15.0" customHeight="1">
      <c r="A4647" s="11">
        <v>4646.0</v>
      </c>
      <c r="B4647" s="12">
        <f t="shared" si="733"/>
        <v>40607</v>
      </c>
      <c r="C4647" s="13">
        <v>2011.0</v>
      </c>
      <c r="D4647" s="11" t="s">
        <v>23</v>
      </c>
      <c r="E4647" s="11">
        <v>41.0</v>
      </c>
      <c r="F4647" s="21" t="s">
        <v>128</v>
      </c>
      <c r="G4647" s="15">
        <v>0.09169465595160631</v>
      </c>
      <c r="H4647" s="11" t="s">
        <v>33</v>
      </c>
      <c r="I4647" s="16">
        <v>3.3600000000000003</v>
      </c>
      <c r="J4647" s="11" t="s">
        <v>1355</v>
      </c>
      <c r="K4647" s="11" t="s">
        <v>61</v>
      </c>
      <c r="L4647" s="11" t="s">
        <v>27</v>
      </c>
      <c r="M4647" s="11" t="s">
        <v>66</v>
      </c>
      <c r="N4647" s="11" t="s">
        <v>80</v>
      </c>
      <c r="O4647" s="11" t="s">
        <v>1601</v>
      </c>
      <c r="P4647" s="11" t="s">
        <v>38</v>
      </c>
      <c r="Q4647" s="20">
        <v>40609.0</v>
      </c>
      <c r="R4647" s="17">
        <f t="shared" si="2"/>
        <v>473.6267386</v>
      </c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>
        <f t="shared" si="8"/>
        <v>1</v>
      </c>
      <c r="AF4647" s="19">
        <f t="shared" si="13"/>
        <v>4</v>
      </c>
      <c r="AG4647" s="9"/>
      <c r="AH4647" s="9"/>
      <c r="AI4647" s="9"/>
    </row>
    <row r="4648" ht="15.0" customHeight="1">
      <c r="A4648" s="11">
        <v>4647.0</v>
      </c>
      <c r="B4648" s="12">
        <f t="shared" si="733"/>
        <v>40607</v>
      </c>
      <c r="C4648" s="13">
        <v>2011.0</v>
      </c>
      <c r="D4648" s="11" t="s">
        <v>32</v>
      </c>
      <c r="E4648" s="11">
        <v>34.0</v>
      </c>
      <c r="F4648" s="21" t="s">
        <v>1280</v>
      </c>
      <c r="G4648" s="15">
        <v>0.07484059666569179</v>
      </c>
      <c r="H4648" s="11" t="s">
        <v>33</v>
      </c>
      <c r="I4648" s="16">
        <v>3.512</v>
      </c>
      <c r="J4648" s="11" t="s">
        <v>535</v>
      </c>
      <c r="K4648" s="11" t="s">
        <v>35</v>
      </c>
      <c r="L4648" s="11" t="s">
        <v>48</v>
      </c>
      <c r="M4648" s="11" t="s">
        <v>28</v>
      </c>
      <c r="N4648" s="11" t="s">
        <v>56</v>
      </c>
      <c r="O4648" s="11" t="s">
        <v>1281</v>
      </c>
      <c r="P4648" s="11" t="s">
        <v>58</v>
      </c>
      <c r="Q4648" s="20">
        <v>40610.0</v>
      </c>
      <c r="R4648" s="17">
        <f t="shared" si="2"/>
        <v>23.67297881</v>
      </c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>
        <f t="shared" si="8"/>
        <v>4</v>
      </c>
      <c r="AF4648" s="19">
        <f t="shared" si="13"/>
        <v>2</v>
      </c>
      <c r="AG4648" s="9"/>
      <c r="AH4648" s="9"/>
      <c r="AI4648" s="9"/>
    </row>
    <row r="4649" ht="15.0" customHeight="1">
      <c r="A4649" s="11">
        <v>4648.0</v>
      </c>
      <c r="B4649" s="12">
        <f t="shared" si="733"/>
        <v>40607</v>
      </c>
      <c r="C4649" s="13">
        <v>2011.0</v>
      </c>
      <c r="D4649" s="11" t="s">
        <v>32</v>
      </c>
      <c r="E4649" s="11">
        <v>42.0</v>
      </c>
      <c r="F4649" s="21" t="s">
        <v>666</v>
      </c>
      <c r="G4649" s="15">
        <v>0.023414634146341484</v>
      </c>
      <c r="H4649" s="11" t="s">
        <v>33</v>
      </c>
      <c r="I4649" s="16">
        <v>0.5599999999999999</v>
      </c>
      <c r="J4649" s="11" t="s">
        <v>535</v>
      </c>
      <c r="K4649" s="11" t="s">
        <v>35</v>
      </c>
      <c r="L4649" s="11" t="s">
        <v>48</v>
      </c>
      <c r="M4649" s="11" t="s">
        <v>28</v>
      </c>
      <c r="N4649" s="11" t="s">
        <v>62</v>
      </c>
      <c r="O4649" s="11" t="s">
        <v>2121</v>
      </c>
      <c r="P4649" s="11" t="s">
        <v>58</v>
      </c>
      <c r="Q4649" s="20">
        <v>40610.0</v>
      </c>
      <c r="R4649" s="17">
        <f t="shared" si="2"/>
        <v>3.750087805</v>
      </c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>
        <f t="shared" si="8"/>
        <v>4</v>
      </c>
      <c r="AF4649" s="19">
        <f t="shared" si="13"/>
        <v>2</v>
      </c>
      <c r="AG4649" s="9"/>
      <c r="AH4649" s="9"/>
      <c r="AI4649" s="9"/>
    </row>
    <row r="4650" ht="15.0" customHeight="1">
      <c r="A4650" s="11">
        <v>4649.0</v>
      </c>
      <c r="B4650" s="12">
        <f t="shared" si="733"/>
        <v>40607</v>
      </c>
      <c r="C4650" s="13">
        <v>2011.0</v>
      </c>
      <c r="D4650" s="11" t="s">
        <v>44</v>
      </c>
      <c r="E4650" s="11">
        <v>23.0</v>
      </c>
      <c r="F4650" s="21" t="s">
        <v>1911</v>
      </c>
      <c r="G4650" s="15">
        <v>0.04409293807943243</v>
      </c>
      <c r="H4650" s="11" t="s">
        <v>33</v>
      </c>
      <c r="I4650" s="16">
        <v>11.776000000000002</v>
      </c>
      <c r="J4650" s="11" t="s">
        <v>2250</v>
      </c>
      <c r="K4650" s="11" t="s">
        <v>61</v>
      </c>
      <c r="L4650" s="11" t="s">
        <v>48</v>
      </c>
      <c r="M4650" s="11" t="s">
        <v>28</v>
      </c>
      <c r="N4650" s="11" t="s">
        <v>236</v>
      </c>
      <c r="O4650" s="11" t="s">
        <v>1912</v>
      </c>
      <c r="P4650" s="11" t="s">
        <v>38</v>
      </c>
      <c r="Q4650" s="20">
        <v>40610.0</v>
      </c>
      <c r="R4650" s="17">
        <f t="shared" si="2"/>
        <v>36.82536365</v>
      </c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>
        <f t="shared" si="8"/>
        <v>4</v>
      </c>
      <c r="AF4650" s="19">
        <f t="shared" si="13"/>
        <v>4</v>
      </c>
      <c r="AG4650" s="9"/>
      <c r="AH4650" s="9"/>
      <c r="AI4650" s="9"/>
    </row>
    <row r="4651" ht="15.0" customHeight="1">
      <c r="A4651" s="11">
        <v>4650.0</v>
      </c>
      <c r="B4651" s="12">
        <f t="shared" si="733"/>
        <v>40607</v>
      </c>
      <c r="C4651" s="13">
        <v>2011.0</v>
      </c>
      <c r="D4651" s="11" t="s">
        <v>23</v>
      </c>
      <c r="E4651" s="11">
        <v>50.0</v>
      </c>
      <c r="F4651" s="21" t="s">
        <v>137</v>
      </c>
      <c r="G4651" s="15">
        <v>0.03531888501687144</v>
      </c>
      <c r="H4651" s="11" t="s">
        <v>45</v>
      </c>
      <c r="I4651" s="16">
        <v>31.400000000000002</v>
      </c>
      <c r="J4651" s="11" t="s">
        <v>1390</v>
      </c>
      <c r="K4651" s="11" t="s">
        <v>26</v>
      </c>
      <c r="L4651" s="11" t="s">
        <v>48</v>
      </c>
      <c r="M4651" s="11" t="s">
        <v>49</v>
      </c>
      <c r="N4651" s="11" t="s">
        <v>85</v>
      </c>
      <c r="O4651" s="11" t="s">
        <v>127</v>
      </c>
      <c r="P4651" s="11" t="s">
        <v>87</v>
      </c>
      <c r="Q4651" s="20">
        <v>40611.0</v>
      </c>
      <c r="R4651" s="17">
        <f t="shared" si="2"/>
        <v>267.5900004</v>
      </c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>
        <f t="shared" si="8"/>
        <v>4</v>
      </c>
      <c r="AF4651" s="19">
        <f t="shared" si="13"/>
        <v>1</v>
      </c>
      <c r="AG4651" s="9"/>
      <c r="AH4651" s="9"/>
      <c r="AI4651" s="9"/>
    </row>
    <row r="4652" ht="15.0" customHeight="1">
      <c r="A4652" s="11">
        <v>4651.0</v>
      </c>
      <c r="B4652" s="12">
        <f t="shared" ref="B4652:B4657" si="734">DATE(2012,12,31)-665</f>
        <v>40609</v>
      </c>
      <c r="C4652" s="13">
        <v>2011.0</v>
      </c>
      <c r="D4652" s="11" t="s">
        <v>32</v>
      </c>
      <c r="E4652" s="11">
        <v>12.0</v>
      </c>
      <c r="F4652" s="21" t="s">
        <v>119</v>
      </c>
      <c r="G4652" s="15">
        <v>0.014867256637168076</v>
      </c>
      <c r="H4652" s="11" t="s">
        <v>24</v>
      </c>
      <c r="I4652" s="16">
        <v>0.664</v>
      </c>
      <c r="J4652" s="11" t="s">
        <v>2513</v>
      </c>
      <c r="K4652" s="11" t="s">
        <v>65</v>
      </c>
      <c r="L4652" s="11" t="s">
        <v>48</v>
      </c>
      <c r="M4652" s="11" t="s">
        <v>28</v>
      </c>
      <c r="N4652" s="11" t="s">
        <v>62</v>
      </c>
      <c r="O4652" s="11" t="s">
        <v>1714</v>
      </c>
      <c r="P4652" s="11" t="s">
        <v>58</v>
      </c>
      <c r="Q4652" s="20">
        <v>40611.0</v>
      </c>
      <c r="R4652" s="17">
        <f t="shared" si="2"/>
        <v>0.3310046018</v>
      </c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>
        <f t="shared" si="8"/>
        <v>4</v>
      </c>
      <c r="AF4652" s="19">
        <f t="shared" si="13"/>
        <v>5</v>
      </c>
      <c r="AG4652" s="9"/>
      <c r="AH4652" s="9"/>
      <c r="AI4652" s="9"/>
    </row>
    <row r="4653" ht="15.0" customHeight="1">
      <c r="A4653" s="11">
        <v>4652.0</v>
      </c>
      <c r="B4653" s="12">
        <f t="shared" si="734"/>
        <v>40609</v>
      </c>
      <c r="C4653" s="13">
        <v>2011.0</v>
      </c>
      <c r="D4653" s="11" t="s">
        <v>102</v>
      </c>
      <c r="E4653" s="11">
        <v>44.0</v>
      </c>
      <c r="F4653" s="21" t="s">
        <v>948</v>
      </c>
      <c r="G4653" s="15">
        <v>0.018753979081400744</v>
      </c>
      <c r="H4653" s="11" t="s">
        <v>33</v>
      </c>
      <c r="I4653" s="16">
        <v>4.576</v>
      </c>
      <c r="J4653" s="11" t="s">
        <v>2413</v>
      </c>
      <c r="K4653" s="11" t="s">
        <v>83</v>
      </c>
      <c r="L4653" s="11" t="s">
        <v>48</v>
      </c>
      <c r="M4653" s="11" t="s">
        <v>49</v>
      </c>
      <c r="N4653" s="11" t="s">
        <v>73</v>
      </c>
      <c r="O4653" s="11" t="s">
        <v>1873</v>
      </c>
      <c r="P4653" s="11" t="s">
        <v>99</v>
      </c>
      <c r="Q4653" s="20">
        <v>40611.0</v>
      </c>
      <c r="R4653" s="17">
        <f t="shared" si="2"/>
        <v>4.04665859</v>
      </c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>
        <f t="shared" si="8"/>
        <v>4</v>
      </c>
      <c r="AF4653" s="19" t="b">
        <f t="shared" si="13"/>
        <v>0</v>
      </c>
      <c r="AG4653" s="9"/>
      <c r="AH4653" s="9"/>
      <c r="AI4653" s="9"/>
    </row>
    <row r="4654" ht="15.0" customHeight="1">
      <c r="A4654" s="11">
        <v>4653.0</v>
      </c>
      <c r="B4654" s="12">
        <f t="shared" si="734"/>
        <v>40609</v>
      </c>
      <c r="C4654" s="13">
        <v>2011.0</v>
      </c>
      <c r="D4654" s="11" t="s">
        <v>44</v>
      </c>
      <c r="E4654" s="11">
        <v>36.0</v>
      </c>
      <c r="F4654" s="21" t="s">
        <v>199</v>
      </c>
      <c r="G4654" s="15">
        <v>0.05622750499888924</v>
      </c>
      <c r="H4654" s="11" t="s">
        <v>33</v>
      </c>
      <c r="I4654" s="16">
        <v>7.192</v>
      </c>
      <c r="J4654" s="11" t="s">
        <v>697</v>
      </c>
      <c r="K4654" s="11" t="s">
        <v>61</v>
      </c>
      <c r="L4654" s="11" t="s">
        <v>48</v>
      </c>
      <c r="M4654" s="11" t="s">
        <v>28</v>
      </c>
      <c r="N4654" s="11" t="s">
        <v>62</v>
      </c>
      <c r="O4654" s="11" t="s">
        <v>201</v>
      </c>
      <c r="P4654" s="11" t="s">
        <v>99</v>
      </c>
      <c r="Q4654" s="20">
        <v>40611.0</v>
      </c>
      <c r="R4654" s="17">
        <f t="shared" si="2"/>
        <v>23.8849943</v>
      </c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>
        <f t="shared" si="8"/>
        <v>4</v>
      </c>
      <c r="AF4654" s="19">
        <f t="shared" si="13"/>
        <v>4</v>
      </c>
      <c r="AG4654" s="9"/>
      <c r="AH4654" s="9"/>
      <c r="AI4654" s="9"/>
    </row>
    <row r="4655" ht="15.0" customHeight="1">
      <c r="A4655" s="11">
        <v>4654.0</v>
      </c>
      <c r="B4655" s="12">
        <f t="shared" si="734"/>
        <v>40609</v>
      </c>
      <c r="C4655" s="13">
        <v>2011.0</v>
      </c>
      <c r="D4655" s="11" t="s">
        <v>44</v>
      </c>
      <c r="E4655" s="11">
        <v>33.0</v>
      </c>
      <c r="F4655" s="21" t="s">
        <v>2094</v>
      </c>
      <c r="G4655" s="15">
        <v>0.0929340243173211</v>
      </c>
      <c r="H4655" s="11" t="s">
        <v>33</v>
      </c>
      <c r="I4655" s="16">
        <v>8.6</v>
      </c>
      <c r="J4655" s="11" t="s">
        <v>1586</v>
      </c>
      <c r="K4655" s="11" t="s">
        <v>65</v>
      </c>
      <c r="L4655" s="11" t="s">
        <v>27</v>
      </c>
      <c r="M4655" s="11" t="s">
        <v>28</v>
      </c>
      <c r="N4655" s="11" t="s">
        <v>56</v>
      </c>
      <c r="O4655" s="11" t="s">
        <v>2096</v>
      </c>
      <c r="P4655" s="11" t="s">
        <v>38</v>
      </c>
      <c r="Q4655" s="20">
        <v>40611.0</v>
      </c>
      <c r="R4655" s="17">
        <f t="shared" si="2"/>
        <v>169.1678045</v>
      </c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>
        <f t="shared" si="8"/>
        <v>1</v>
      </c>
      <c r="AF4655" s="19">
        <f t="shared" si="13"/>
        <v>5</v>
      </c>
      <c r="AG4655" s="9"/>
      <c r="AH4655" s="9"/>
      <c r="AI4655" s="9"/>
    </row>
    <row r="4656" ht="15.0" customHeight="1">
      <c r="A4656" s="11">
        <v>4655.0</v>
      </c>
      <c r="B4656" s="12">
        <f t="shared" si="734"/>
        <v>40609</v>
      </c>
      <c r="C4656" s="13">
        <v>2011.0</v>
      </c>
      <c r="D4656" s="11" t="s">
        <v>39</v>
      </c>
      <c r="E4656" s="11">
        <v>38.0</v>
      </c>
      <c r="F4656" s="21" t="s">
        <v>438</v>
      </c>
      <c r="G4656" s="15">
        <v>0.08341468801766977</v>
      </c>
      <c r="H4656" s="11" t="s">
        <v>45</v>
      </c>
      <c r="I4656" s="16">
        <v>23.28</v>
      </c>
      <c r="J4656" s="11" t="s">
        <v>1439</v>
      </c>
      <c r="K4656" s="11" t="s">
        <v>61</v>
      </c>
      <c r="L4656" s="11" t="s">
        <v>41</v>
      </c>
      <c r="M4656" s="11" t="s">
        <v>49</v>
      </c>
      <c r="N4656" s="11" t="s">
        <v>85</v>
      </c>
      <c r="O4656" s="11" t="s">
        <v>439</v>
      </c>
      <c r="P4656" s="11" t="s">
        <v>87</v>
      </c>
      <c r="Q4656" s="20">
        <v>40611.0</v>
      </c>
      <c r="R4656" s="17">
        <f t="shared" si="2"/>
        <v>692.3152178</v>
      </c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>
        <f t="shared" si="8"/>
        <v>3</v>
      </c>
      <c r="AF4656" s="19">
        <f t="shared" si="13"/>
        <v>4</v>
      </c>
      <c r="AG4656" s="9"/>
      <c r="AH4656" s="9"/>
      <c r="AI4656" s="9"/>
    </row>
    <row r="4657" ht="15.0" customHeight="1">
      <c r="A4657" s="11">
        <v>4656.0</v>
      </c>
      <c r="B4657" s="12">
        <f t="shared" si="734"/>
        <v>40609</v>
      </c>
      <c r="C4657" s="13">
        <v>2011.0</v>
      </c>
      <c r="D4657" s="11" t="s">
        <v>39</v>
      </c>
      <c r="E4657" s="11">
        <v>8.0</v>
      </c>
      <c r="F4657" s="21" t="s">
        <v>1726</v>
      </c>
      <c r="G4657" s="15">
        <v>0.055431161596854225</v>
      </c>
      <c r="H4657" s="11" t="s">
        <v>33</v>
      </c>
      <c r="I4657" s="16">
        <v>55.2</v>
      </c>
      <c r="J4657" s="11" t="s">
        <v>1439</v>
      </c>
      <c r="K4657" s="11" t="s">
        <v>61</v>
      </c>
      <c r="L4657" s="11" t="s">
        <v>41</v>
      </c>
      <c r="M4657" s="11" t="s">
        <v>49</v>
      </c>
      <c r="N4657" s="11" t="s">
        <v>85</v>
      </c>
      <c r="O4657" s="11" t="s">
        <v>1727</v>
      </c>
      <c r="P4657" s="11" t="s">
        <v>31</v>
      </c>
      <c r="Q4657" s="20">
        <v>40611.0</v>
      </c>
      <c r="R4657" s="17">
        <f t="shared" si="2"/>
        <v>95.8737371</v>
      </c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>
        <f t="shared" si="8"/>
        <v>3</v>
      </c>
      <c r="AF4657" s="19">
        <f t="shared" si="13"/>
        <v>4</v>
      </c>
      <c r="AG4657" s="9"/>
      <c r="AH4657" s="9"/>
      <c r="AI4657" s="9"/>
    </row>
    <row r="4658" ht="15.0" customHeight="1">
      <c r="A4658" s="11">
        <v>4657.0</v>
      </c>
      <c r="B4658" s="12">
        <f t="shared" ref="B4658:B4665" si="735">DATE(2012,12,31)-664</f>
        <v>40610</v>
      </c>
      <c r="C4658" s="13">
        <v>2011.0</v>
      </c>
      <c r="D4658" s="11" t="s">
        <v>23</v>
      </c>
      <c r="E4658" s="11">
        <v>40.0</v>
      </c>
      <c r="F4658" s="21" t="s">
        <v>632</v>
      </c>
      <c r="G4658" s="15">
        <v>0.01925281102647803</v>
      </c>
      <c r="H4658" s="11" t="s">
        <v>33</v>
      </c>
      <c r="I4658" s="16">
        <v>2.3920000000000003</v>
      </c>
      <c r="J4658" s="11" t="s">
        <v>798</v>
      </c>
      <c r="K4658" s="11" t="s">
        <v>117</v>
      </c>
      <c r="L4658" s="11" t="s">
        <v>36</v>
      </c>
      <c r="M4658" s="11" t="s">
        <v>28</v>
      </c>
      <c r="N4658" s="11" t="s">
        <v>42</v>
      </c>
      <c r="O4658" s="11" t="s">
        <v>1576</v>
      </c>
      <c r="P4658" s="11" t="s">
        <v>38</v>
      </c>
      <c r="Q4658" s="20">
        <v>40612.0</v>
      </c>
      <c r="R4658" s="17">
        <f t="shared" si="2"/>
        <v>5.205806079</v>
      </c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>
        <f t="shared" si="8"/>
        <v>2</v>
      </c>
      <c r="AF4658" s="19" t="b">
        <f t="shared" si="13"/>
        <v>0</v>
      </c>
      <c r="AG4658" s="9"/>
      <c r="AH4658" s="9"/>
      <c r="AI4658" s="9"/>
    </row>
    <row r="4659" ht="15.0" customHeight="1">
      <c r="A4659" s="11">
        <v>4658.0</v>
      </c>
      <c r="B4659" s="12">
        <f t="shared" si="735"/>
        <v>40610</v>
      </c>
      <c r="C4659" s="13">
        <v>2011.0</v>
      </c>
      <c r="D4659" s="11" t="s">
        <v>23</v>
      </c>
      <c r="E4659" s="11">
        <v>27.0</v>
      </c>
      <c r="F4659" s="21" t="s">
        <v>762</v>
      </c>
      <c r="G4659" s="15">
        <v>0.008582749161840996</v>
      </c>
      <c r="H4659" s="11" t="s">
        <v>33</v>
      </c>
      <c r="I4659" s="16">
        <v>3.9840000000000004</v>
      </c>
      <c r="J4659" s="11" t="s">
        <v>2095</v>
      </c>
      <c r="K4659" s="11" t="s">
        <v>35</v>
      </c>
      <c r="L4659" s="11" t="s">
        <v>36</v>
      </c>
      <c r="M4659" s="11" t="s">
        <v>28</v>
      </c>
      <c r="N4659" s="11" t="s">
        <v>197</v>
      </c>
      <c r="O4659" s="11" t="s">
        <v>1001</v>
      </c>
      <c r="P4659" s="11" t="s">
        <v>38</v>
      </c>
      <c r="Q4659" s="20">
        <v>40612.0</v>
      </c>
      <c r="R4659" s="17">
        <f t="shared" si="2"/>
        <v>2.791830978</v>
      </c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>
        <f t="shared" si="8"/>
        <v>2</v>
      </c>
      <c r="AF4659" s="19">
        <f t="shared" si="13"/>
        <v>2</v>
      </c>
      <c r="AG4659" s="9"/>
      <c r="AH4659" s="9"/>
      <c r="AI4659" s="9"/>
    </row>
    <row r="4660" ht="15.0" customHeight="1">
      <c r="A4660" s="11">
        <v>4659.0</v>
      </c>
      <c r="B4660" s="12">
        <f t="shared" si="735"/>
        <v>40610</v>
      </c>
      <c r="C4660" s="13">
        <v>2011.0</v>
      </c>
      <c r="D4660" s="11" t="s">
        <v>23</v>
      </c>
      <c r="E4660" s="11">
        <v>26.0</v>
      </c>
      <c r="F4660" s="21" t="s">
        <v>158</v>
      </c>
      <c r="G4660" s="15">
        <v>0.08491005291005292</v>
      </c>
      <c r="H4660" s="11" t="s">
        <v>24</v>
      </c>
      <c r="I4660" s="16">
        <v>6.552</v>
      </c>
      <c r="J4660" s="11" t="s">
        <v>2095</v>
      </c>
      <c r="K4660" s="11" t="s">
        <v>35</v>
      </c>
      <c r="L4660" s="11" t="s">
        <v>36</v>
      </c>
      <c r="M4660" s="11" t="s">
        <v>28</v>
      </c>
      <c r="N4660" s="11" t="s">
        <v>56</v>
      </c>
      <c r="O4660" s="11" t="s">
        <v>637</v>
      </c>
      <c r="P4660" s="11" t="s">
        <v>38</v>
      </c>
      <c r="Q4660" s="20">
        <v>40612.0</v>
      </c>
      <c r="R4660" s="17">
        <f t="shared" si="2"/>
        <v>14.68536347</v>
      </c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>
        <f t="shared" si="8"/>
        <v>2</v>
      </c>
      <c r="AF4660" s="19">
        <f t="shared" si="13"/>
        <v>2</v>
      </c>
      <c r="AG4660" s="9"/>
      <c r="AH4660" s="9"/>
      <c r="AI4660" s="9"/>
    </row>
    <row r="4661" ht="15.0" customHeight="1">
      <c r="A4661" s="11">
        <v>4660.0</v>
      </c>
      <c r="B4661" s="12">
        <f t="shared" si="735"/>
        <v>40610</v>
      </c>
      <c r="C4661" s="13">
        <v>2011.0</v>
      </c>
      <c r="D4661" s="11" t="s">
        <v>39</v>
      </c>
      <c r="E4661" s="11">
        <v>17.0</v>
      </c>
      <c r="F4661" s="21" t="s">
        <v>415</v>
      </c>
      <c r="G4661" s="15">
        <v>0.04201086956521738</v>
      </c>
      <c r="H4661" s="11" t="s">
        <v>33</v>
      </c>
      <c r="I4661" s="16">
        <v>4.208</v>
      </c>
      <c r="J4661" s="11" t="s">
        <v>2295</v>
      </c>
      <c r="K4661" s="11" t="s">
        <v>26</v>
      </c>
      <c r="L4661" s="11" t="s">
        <v>41</v>
      </c>
      <c r="M4661" s="11" t="s">
        <v>28</v>
      </c>
      <c r="N4661" s="11" t="s">
        <v>42</v>
      </c>
      <c r="O4661" s="11" t="s">
        <v>971</v>
      </c>
      <c r="P4661" s="11" t="s">
        <v>38</v>
      </c>
      <c r="Q4661" s="20">
        <v>40612.0</v>
      </c>
      <c r="R4661" s="17">
        <f t="shared" si="2"/>
        <v>2.962102391</v>
      </c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>
        <f t="shared" si="8"/>
        <v>3</v>
      </c>
      <c r="AF4661" s="19">
        <f t="shared" si="13"/>
        <v>1</v>
      </c>
      <c r="AG4661" s="9"/>
      <c r="AH4661" s="9"/>
      <c r="AI4661" s="9"/>
    </row>
    <row r="4662" ht="15.0" customHeight="1">
      <c r="A4662" s="11">
        <v>4661.0</v>
      </c>
      <c r="B4662" s="12">
        <f t="shared" si="735"/>
        <v>40610</v>
      </c>
      <c r="C4662" s="13">
        <v>2011.0</v>
      </c>
      <c r="D4662" s="11" t="s">
        <v>39</v>
      </c>
      <c r="E4662" s="11">
        <v>4.0</v>
      </c>
      <c r="F4662" s="21" t="s">
        <v>290</v>
      </c>
      <c r="G4662" s="15">
        <v>0.14378378378378368</v>
      </c>
      <c r="H4662" s="11" t="s">
        <v>33</v>
      </c>
      <c r="I4662" s="16">
        <v>5.376</v>
      </c>
      <c r="J4662" s="11" t="s">
        <v>2295</v>
      </c>
      <c r="K4662" s="11" t="s">
        <v>26</v>
      </c>
      <c r="L4662" s="11" t="s">
        <v>41</v>
      </c>
      <c r="M4662" s="11" t="s">
        <v>28</v>
      </c>
      <c r="N4662" s="11" t="s">
        <v>56</v>
      </c>
      <c r="O4662" s="11" t="s">
        <v>2233</v>
      </c>
      <c r="P4662" s="11" t="s">
        <v>38</v>
      </c>
      <c r="Q4662" s="20">
        <v>40613.0</v>
      </c>
      <c r="R4662" s="17">
        <f t="shared" si="2"/>
        <v>3.188549189</v>
      </c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>
        <f t="shared" si="8"/>
        <v>3</v>
      </c>
      <c r="AF4662" s="19">
        <f t="shared" si="13"/>
        <v>1</v>
      </c>
      <c r="AG4662" s="9"/>
      <c r="AH4662" s="9"/>
      <c r="AI4662" s="9"/>
    </row>
    <row r="4663" ht="15.0" customHeight="1">
      <c r="A4663" s="11">
        <v>4662.0</v>
      </c>
      <c r="B4663" s="12">
        <f t="shared" si="735"/>
        <v>40610</v>
      </c>
      <c r="C4663" s="13">
        <v>2011.0</v>
      </c>
      <c r="D4663" s="11" t="s">
        <v>44</v>
      </c>
      <c r="E4663" s="11">
        <v>41.0</v>
      </c>
      <c r="F4663" s="21" t="s">
        <v>336</v>
      </c>
      <c r="G4663" s="15">
        <v>0.014353132628153051</v>
      </c>
      <c r="H4663" s="11" t="s">
        <v>33</v>
      </c>
      <c r="I4663" s="16">
        <v>4.472</v>
      </c>
      <c r="J4663" s="11" t="s">
        <v>1697</v>
      </c>
      <c r="K4663" s="11" t="s">
        <v>61</v>
      </c>
      <c r="L4663" s="11" t="s">
        <v>48</v>
      </c>
      <c r="M4663" s="11" t="s">
        <v>28</v>
      </c>
      <c r="N4663" s="11" t="s">
        <v>42</v>
      </c>
      <c r="O4663" s="11" t="s">
        <v>2143</v>
      </c>
      <c r="P4663" s="11" t="s">
        <v>38</v>
      </c>
      <c r="Q4663" s="20">
        <v>40613.0</v>
      </c>
      <c r="R4663" s="17">
        <f t="shared" si="2"/>
        <v>3.477362148</v>
      </c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>
        <f t="shared" si="8"/>
        <v>4</v>
      </c>
      <c r="AF4663" s="19">
        <f t="shared" si="13"/>
        <v>4</v>
      </c>
      <c r="AG4663" s="9"/>
      <c r="AH4663" s="9"/>
      <c r="AI4663" s="9"/>
    </row>
    <row r="4664" ht="15.0" customHeight="1">
      <c r="A4664" s="11">
        <v>4663.0</v>
      </c>
      <c r="B4664" s="12">
        <f t="shared" si="735"/>
        <v>40610</v>
      </c>
      <c r="C4664" s="13">
        <v>2011.0</v>
      </c>
      <c r="D4664" s="11" t="s">
        <v>23</v>
      </c>
      <c r="E4664" s="11">
        <v>12.0</v>
      </c>
      <c r="F4664" s="21" t="s">
        <v>455</v>
      </c>
      <c r="G4664" s="15">
        <v>0.08114140773620812</v>
      </c>
      <c r="H4664" s="11" t="s">
        <v>33</v>
      </c>
      <c r="I4664" s="16">
        <v>4.5040000000000004</v>
      </c>
      <c r="J4664" s="11" t="s">
        <v>781</v>
      </c>
      <c r="K4664" s="11" t="s">
        <v>65</v>
      </c>
      <c r="L4664" s="11" t="s">
        <v>27</v>
      </c>
      <c r="M4664" s="11" t="s">
        <v>28</v>
      </c>
      <c r="N4664" s="11" t="s">
        <v>42</v>
      </c>
      <c r="O4664" s="11" t="s">
        <v>1232</v>
      </c>
      <c r="P4664" s="11" t="s">
        <v>38</v>
      </c>
      <c r="Q4664" s="20">
        <v>40613.0</v>
      </c>
      <c r="R4664" s="17">
        <f t="shared" si="2"/>
        <v>11.75771455</v>
      </c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>
        <f t="shared" si="8"/>
        <v>1</v>
      </c>
      <c r="AF4664" s="19">
        <f t="shared" si="13"/>
        <v>5</v>
      </c>
      <c r="AG4664" s="9"/>
      <c r="AH4664" s="9"/>
      <c r="AI4664" s="9"/>
    </row>
    <row r="4665" ht="15.0" customHeight="1">
      <c r="A4665" s="11">
        <v>4664.0</v>
      </c>
      <c r="B4665" s="12">
        <f t="shared" si="735"/>
        <v>40610</v>
      </c>
      <c r="C4665" s="13">
        <v>2011.0</v>
      </c>
      <c r="D4665" s="11" t="s">
        <v>23</v>
      </c>
      <c r="E4665" s="11">
        <v>16.0</v>
      </c>
      <c r="F4665" s="21" t="s">
        <v>130</v>
      </c>
      <c r="G4665" s="15">
        <v>0.02459976571651714</v>
      </c>
      <c r="H4665" s="11" t="s">
        <v>33</v>
      </c>
      <c r="I4665" s="16">
        <v>5.2</v>
      </c>
      <c r="J4665" s="11" t="s">
        <v>781</v>
      </c>
      <c r="K4665" s="11" t="s">
        <v>65</v>
      </c>
      <c r="L4665" s="11" t="s">
        <v>27</v>
      </c>
      <c r="M4665" s="11" t="s">
        <v>66</v>
      </c>
      <c r="N4665" s="11" t="s">
        <v>67</v>
      </c>
      <c r="O4665" s="11" t="s">
        <v>1305</v>
      </c>
      <c r="P4665" s="11" t="s">
        <v>38</v>
      </c>
      <c r="Q4665" s="20">
        <v>40613.0</v>
      </c>
      <c r="R4665" s="17">
        <f t="shared" si="2"/>
        <v>12.29004295</v>
      </c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>
        <f t="shared" si="8"/>
        <v>1</v>
      </c>
      <c r="AF4665" s="19">
        <f t="shared" si="13"/>
        <v>5</v>
      </c>
      <c r="AG4665" s="9"/>
      <c r="AH4665" s="9"/>
      <c r="AI4665" s="9"/>
    </row>
    <row r="4666" ht="15.0" customHeight="1">
      <c r="A4666" s="11">
        <v>4665.0</v>
      </c>
      <c r="B4666" s="12">
        <f t="shared" ref="B4666:B4667" si="736">DATE(2012,12,31)-663</f>
        <v>40611</v>
      </c>
      <c r="C4666" s="13">
        <v>2011.0</v>
      </c>
      <c r="D4666" s="11" t="s">
        <v>44</v>
      </c>
      <c r="E4666" s="11">
        <v>33.0</v>
      </c>
      <c r="F4666" s="21" t="s">
        <v>183</v>
      </c>
      <c r="G4666" s="15">
        <v>0.10027903849386444</v>
      </c>
      <c r="H4666" s="11" t="s">
        <v>33</v>
      </c>
      <c r="I4666" s="16">
        <v>10.544</v>
      </c>
      <c r="J4666" s="11" t="s">
        <v>2140</v>
      </c>
      <c r="K4666" s="11" t="s">
        <v>714</v>
      </c>
      <c r="L4666" s="11" t="s">
        <v>48</v>
      </c>
      <c r="M4666" s="11" t="s">
        <v>28</v>
      </c>
      <c r="N4666" s="11" t="s">
        <v>42</v>
      </c>
      <c r="O4666" s="11" t="s">
        <v>185</v>
      </c>
      <c r="P4666" s="11" t="s">
        <v>38</v>
      </c>
      <c r="Q4666" s="20">
        <v>40613.0</v>
      </c>
      <c r="R4666" s="17">
        <f t="shared" si="2"/>
        <v>53.67375368</v>
      </c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>
        <f t="shared" si="8"/>
        <v>4</v>
      </c>
      <c r="AF4666" s="19" t="b">
        <f t="shared" si="13"/>
        <v>0</v>
      </c>
      <c r="AG4666" s="9"/>
      <c r="AH4666" s="9"/>
      <c r="AI4666" s="9"/>
    </row>
    <row r="4667" ht="15.0" customHeight="1">
      <c r="A4667" s="11">
        <v>4666.0</v>
      </c>
      <c r="B4667" s="12">
        <f t="shared" si="736"/>
        <v>40611</v>
      </c>
      <c r="C4667" s="13">
        <v>2011.0</v>
      </c>
      <c r="D4667" s="11" t="s">
        <v>44</v>
      </c>
      <c r="E4667" s="11">
        <v>38.0</v>
      </c>
      <c r="F4667" s="21" t="s">
        <v>948</v>
      </c>
      <c r="G4667" s="15">
        <v>0.06921078921078919</v>
      </c>
      <c r="H4667" s="11" t="s">
        <v>33</v>
      </c>
      <c r="I4667" s="16">
        <v>3.944</v>
      </c>
      <c r="J4667" s="11" t="s">
        <v>2140</v>
      </c>
      <c r="K4667" s="11" t="s">
        <v>714</v>
      </c>
      <c r="L4667" s="11" t="s">
        <v>48</v>
      </c>
      <c r="M4667" s="11" t="s">
        <v>66</v>
      </c>
      <c r="N4667" s="11" t="s">
        <v>67</v>
      </c>
      <c r="O4667" s="11" t="s">
        <v>1295</v>
      </c>
      <c r="P4667" s="11" t="s">
        <v>99</v>
      </c>
      <c r="Q4667" s="20">
        <v>40613.0</v>
      </c>
      <c r="R4667" s="17">
        <f t="shared" si="2"/>
        <v>12.8970153</v>
      </c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>
        <f t="shared" si="8"/>
        <v>4</v>
      </c>
      <c r="AF4667" s="19" t="b">
        <f t="shared" si="13"/>
        <v>0</v>
      </c>
      <c r="AG4667" s="9"/>
      <c r="AH4667" s="9"/>
      <c r="AI4667" s="9"/>
    </row>
    <row r="4668" ht="15.0" customHeight="1">
      <c r="A4668" s="11">
        <v>4667.0</v>
      </c>
      <c r="B4668" s="12">
        <f t="shared" ref="B4668:B4678" si="737">DATE(2012,12,31)-662</f>
        <v>40612</v>
      </c>
      <c r="C4668" s="13">
        <v>2011.0</v>
      </c>
      <c r="D4668" s="11" t="s">
        <v>102</v>
      </c>
      <c r="E4668" s="11">
        <v>23.0</v>
      </c>
      <c r="F4668" s="21" t="s">
        <v>1015</v>
      </c>
      <c r="G4668" s="15">
        <v>0.06950413223140486</v>
      </c>
      <c r="H4668" s="11" t="s">
        <v>33</v>
      </c>
      <c r="I4668" s="16">
        <v>4.008</v>
      </c>
      <c r="J4668" s="11" t="s">
        <v>815</v>
      </c>
      <c r="K4668" s="11" t="s">
        <v>61</v>
      </c>
      <c r="L4668" s="11" t="s">
        <v>36</v>
      </c>
      <c r="M4668" s="11" t="s">
        <v>28</v>
      </c>
      <c r="N4668" s="11" t="s">
        <v>42</v>
      </c>
      <c r="O4668" s="11" t="s">
        <v>1547</v>
      </c>
      <c r="P4668" s="11" t="s">
        <v>38</v>
      </c>
      <c r="Q4668" s="20">
        <v>40613.0</v>
      </c>
      <c r="R4668" s="17">
        <f t="shared" si="2"/>
        <v>9.390564298</v>
      </c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>
        <f t="shared" si="8"/>
        <v>2</v>
      </c>
      <c r="AF4668" s="19">
        <f t="shared" si="13"/>
        <v>4</v>
      </c>
      <c r="AG4668" s="9"/>
      <c r="AH4668" s="9"/>
      <c r="AI4668" s="9"/>
    </row>
    <row r="4669" ht="15.0" customHeight="1">
      <c r="A4669" s="11">
        <v>4668.0</v>
      </c>
      <c r="B4669" s="12">
        <f t="shared" si="737"/>
        <v>40612</v>
      </c>
      <c r="C4669" s="13">
        <v>2011.0</v>
      </c>
      <c r="D4669" s="11" t="s">
        <v>102</v>
      </c>
      <c r="E4669" s="11">
        <v>23.0</v>
      </c>
      <c r="F4669" s="21" t="s">
        <v>709</v>
      </c>
      <c r="G4669" s="15">
        <v>0.06936223426427685</v>
      </c>
      <c r="H4669" s="11" t="s">
        <v>33</v>
      </c>
      <c r="I4669" s="16">
        <v>4.920000000000001</v>
      </c>
      <c r="J4669" s="11" t="s">
        <v>1936</v>
      </c>
      <c r="K4669" s="11" t="s">
        <v>35</v>
      </c>
      <c r="L4669" s="11" t="s">
        <v>27</v>
      </c>
      <c r="M4669" s="11" t="s">
        <v>49</v>
      </c>
      <c r="N4669" s="11" t="s">
        <v>73</v>
      </c>
      <c r="O4669" s="11" t="s">
        <v>710</v>
      </c>
      <c r="P4669" s="11" t="s">
        <v>99</v>
      </c>
      <c r="Q4669" s="20">
        <v>40614.0</v>
      </c>
      <c r="R4669" s="17">
        <f t="shared" si="2"/>
        <v>30.97162484</v>
      </c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>
        <f t="shared" si="8"/>
        <v>1</v>
      </c>
      <c r="AF4669" s="19">
        <f t="shared" si="13"/>
        <v>2</v>
      </c>
      <c r="AG4669" s="9"/>
      <c r="AH4669" s="9"/>
      <c r="AI4669" s="9"/>
    </row>
    <row r="4670" ht="15.0" customHeight="1">
      <c r="A4670" s="11">
        <v>4669.0</v>
      </c>
      <c r="B4670" s="12">
        <f t="shared" si="737"/>
        <v>40612</v>
      </c>
      <c r="C4670" s="13">
        <v>2011.0</v>
      </c>
      <c r="D4670" s="11" t="s">
        <v>102</v>
      </c>
      <c r="E4670" s="11">
        <v>17.0</v>
      </c>
      <c r="F4670" s="21" t="s">
        <v>869</v>
      </c>
      <c r="G4670" s="15">
        <v>0.07514115710849466</v>
      </c>
      <c r="H4670" s="11" t="s">
        <v>24</v>
      </c>
      <c r="I4670" s="16">
        <v>0.792</v>
      </c>
      <c r="J4670" s="11" t="s">
        <v>1936</v>
      </c>
      <c r="K4670" s="11" t="s">
        <v>35</v>
      </c>
      <c r="L4670" s="11" t="s">
        <v>27</v>
      </c>
      <c r="M4670" s="11" t="s">
        <v>66</v>
      </c>
      <c r="N4670" s="11" t="s">
        <v>80</v>
      </c>
      <c r="O4670" s="11" t="s">
        <v>1055</v>
      </c>
      <c r="P4670" s="11" t="s">
        <v>58</v>
      </c>
      <c r="Q4670" s="20">
        <v>40614.0</v>
      </c>
      <c r="R4670" s="17">
        <f t="shared" si="2"/>
        <v>109.7881435</v>
      </c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>
        <f t="shared" si="8"/>
        <v>1</v>
      </c>
      <c r="AF4670" s="19">
        <f t="shared" si="13"/>
        <v>2</v>
      </c>
      <c r="AG4670" s="9"/>
      <c r="AH4670" s="9"/>
      <c r="AI4670" s="9"/>
    </row>
    <row r="4671" ht="15.0" customHeight="1">
      <c r="A4671" s="11">
        <v>4670.0</v>
      </c>
      <c r="B4671" s="12">
        <f t="shared" si="737"/>
        <v>40612</v>
      </c>
      <c r="C4671" s="13">
        <v>2011.0</v>
      </c>
      <c r="D4671" s="11" t="s">
        <v>39</v>
      </c>
      <c r="E4671" s="11">
        <v>45.0</v>
      </c>
      <c r="F4671" s="21" t="s">
        <v>654</v>
      </c>
      <c r="G4671" s="15">
        <v>0.020135548371796905</v>
      </c>
      <c r="H4671" s="11" t="s">
        <v>45</v>
      </c>
      <c r="I4671" s="16">
        <v>32.152</v>
      </c>
      <c r="J4671" s="11" t="s">
        <v>180</v>
      </c>
      <c r="K4671" s="11" t="s">
        <v>35</v>
      </c>
      <c r="L4671" s="11" t="s">
        <v>36</v>
      </c>
      <c r="M4671" s="11" t="s">
        <v>49</v>
      </c>
      <c r="N4671" s="11" t="s">
        <v>85</v>
      </c>
      <c r="O4671" s="11" t="s">
        <v>655</v>
      </c>
      <c r="P4671" s="11" t="s">
        <v>87</v>
      </c>
      <c r="Q4671" s="20">
        <v>40614.0</v>
      </c>
      <c r="R4671" s="17">
        <f t="shared" si="2"/>
        <v>316.1513056</v>
      </c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>
        <f t="shared" si="8"/>
        <v>2</v>
      </c>
      <c r="AF4671" s="19">
        <f t="shared" si="13"/>
        <v>2</v>
      </c>
      <c r="AG4671" s="9"/>
      <c r="AH4671" s="9"/>
      <c r="AI4671" s="9"/>
    </row>
    <row r="4672" ht="15.0" customHeight="1">
      <c r="A4672" s="11">
        <v>4671.0</v>
      </c>
      <c r="B4672" s="12">
        <f t="shared" si="737"/>
        <v>40612</v>
      </c>
      <c r="C4672" s="13">
        <v>2011.0</v>
      </c>
      <c r="D4672" s="11" t="s">
        <v>102</v>
      </c>
      <c r="E4672" s="11">
        <v>47.0</v>
      </c>
      <c r="F4672" s="21" t="s">
        <v>610</v>
      </c>
      <c r="G4672" s="15">
        <v>0.00809621993127146</v>
      </c>
      <c r="H4672" s="11" t="s">
        <v>24</v>
      </c>
      <c r="I4672" s="16">
        <v>3.8880000000000003</v>
      </c>
      <c r="J4672" s="11" t="s">
        <v>1218</v>
      </c>
      <c r="K4672" s="11" t="s">
        <v>61</v>
      </c>
      <c r="L4672" s="11" t="s">
        <v>41</v>
      </c>
      <c r="M4672" s="11" t="s">
        <v>28</v>
      </c>
      <c r="N4672" s="11" t="s">
        <v>56</v>
      </c>
      <c r="O4672" s="11" t="s">
        <v>976</v>
      </c>
      <c r="P4672" s="11" t="s">
        <v>38</v>
      </c>
      <c r="Q4672" s="20">
        <v>40614.0</v>
      </c>
      <c r="R4672" s="17">
        <f t="shared" si="2"/>
        <v>4.673850612</v>
      </c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>
        <f t="shared" si="8"/>
        <v>3</v>
      </c>
      <c r="AF4672" s="19">
        <f t="shared" si="13"/>
        <v>4</v>
      </c>
      <c r="AG4672" s="9"/>
      <c r="AH4672" s="9"/>
      <c r="AI4672" s="9"/>
    </row>
    <row r="4673" ht="15.0" customHeight="1">
      <c r="A4673" s="11">
        <v>4672.0</v>
      </c>
      <c r="B4673" s="12">
        <f t="shared" si="737"/>
        <v>40612</v>
      </c>
      <c r="C4673" s="13">
        <v>2011.0</v>
      </c>
      <c r="D4673" s="11" t="s">
        <v>32</v>
      </c>
      <c r="E4673" s="11">
        <v>31.0</v>
      </c>
      <c r="F4673" s="21" t="s">
        <v>186</v>
      </c>
      <c r="G4673" s="15">
        <v>0.07272727272727272</v>
      </c>
      <c r="H4673" s="11" t="s">
        <v>33</v>
      </c>
      <c r="I4673" s="16">
        <v>0.4</v>
      </c>
      <c r="J4673" s="11" t="s">
        <v>2076</v>
      </c>
      <c r="K4673" s="11" t="s">
        <v>83</v>
      </c>
      <c r="L4673" s="11" t="s">
        <v>41</v>
      </c>
      <c r="M4673" s="11" t="s">
        <v>28</v>
      </c>
      <c r="N4673" s="11" t="s">
        <v>188</v>
      </c>
      <c r="O4673" s="11" t="s">
        <v>1968</v>
      </c>
      <c r="P4673" s="11" t="s">
        <v>38</v>
      </c>
      <c r="Q4673" s="20">
        <v>40614.0</v>
      </c>
      <c r="R4673" s="17">
        <f t="shared" si="2"/>
        <v>9.272727273</v>
      </c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>
        <f t="shared" si="8"/>
        <v>3</v>
      </c>
      <c r="AF4673" s="19" t="b">
        <f t="shared" si="13"/>
        <v>0</v>
      </c>
      <c r="AG4673" s="9"/>
      <c r="AH4673" s="9"/>
      <c r="AI4673" s="9"/>
    </row>
    <row r="4674" ht="15.0" customHeight="1">
      <c r="A4674" s="11">
        <v>4673.0</v>
      </c>
      <c r="B4674" s="12">
        <f t="shared" si="737"/>
        <v>40612</v>
      </c>
      <c r="C4674" s="13">
        <v>2011.0</v>
      </c>
      <c r="D4674" s="11" t="s">
        <v>102</v>
      </c>
      <c r="E4674" s="11">
        <v>30.0</v>
      </c>
      <c r="F4674" s="21" t="s">
        <v>1074</v>
      </c>
      <c r="G4674" s="15">
        <v>0.02300114547537223</v>
      </c>
      <c r="H4674" s="11" t="s">
        <v>33</v>
      </c>
      <c r="I4674" s="16">
        <v>5.5840000000000005</v>
      </c>
      <c r="J4674" s="11" t="s">
        <v>1010</v>
      </c>
      <c r="K4674" s="11" t="s">
        <v>35</v>
      </c>
      <c r="L4674" s="11" t="s">
        <v>48</v>
      </c>
      <c r="M4674" s="11" t="s">
        <v>28</v>
      </c>
      <c r="N4674" s="11" t="s">
        <v>42</v>
      </c>
      <c r="O4674" s="11" t="s">
        <v>1893</v>
      </c>
      <c r="P4674" s="11" t="s">
        <v>38</v>
      </c>
      <c r="Q4674" s="20">
        <v>40614.0</v>
      </c>
      <c r="R4674" s="17">
        <f t="shared" si="2"/>
        <v>3.9236274</v>
      </c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>
        <f t="shared" si="8"/>
        <v>4</v>
      </c>
      <c r="AF4674" s="19">
        <f t="shared" si="13"/>
        <v>2</v>
      </c>
      <c r="AG4674" s="9"/>
      <c r="AH4674" s="9"/>
      <c r="AI4674" s="9"/>
    </row>
    <row r="4675" ht="15.0" customHeight="1">
      <c r="A4675" s="11">
        <v>4674.0</v>
      </c>
      <c r="B4675" s="12">
        <f t="shared" si="737"/>
        <v>40612</v>
      </c>
      <c r="C4675" s="13">
        <v>2011.0</v>
      </c>
      <c r="D4675" s="11" t="s">
        <v>102</v>
      </c>
      <c r="E4675" s="11">
        <v>29.0</v>
      </c>
      <c r="F4675" s="21" t="s">
        <v>1966</v>
      </c>
      <c r="G4675" s="15">
        <v>0.05993124220390028</v>
      </c>
      <c r="H4675" s="11" t="s">
        <v>45</v>
      </c>
      <c r="I4675" s="16">
        <v>33.312000000000005</v>
      </c>
      <c r="J4675" s="11" t="s">
        <v>1010</v>
      </c>
      <c r="K4675" s="11" t="s">
        <v>35</v>
      </c>
      <c r="L4675" s="11" t="s">
        <v>48</v>
      </c>
      <c r="M4675" s="11" t="s">
        <v>49</v>
      </c>
      <c r="N4675" s="11" t="s">
        <v>85</v>
      </c>
      <c r="O4675" s="11" t="s">
        <v>1967</v>
      </c>
      <c r="P4675" s="11" t="s">
        <v>87</v>
      </c>
      <c r="Q4675" s="20">
        <v>40614.0</v>
      </c>
      <c r="R4675" s="17">
        <f t="shared" si="2"/>
        <v>185.1822645</v>
      </c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>
        <f t="shared" si="8"/>
        <v>4</v>
      </c>
      <c r="AF4675" s="19">
        <f t="shared" si="13"/>
        <v>2</v>
      </c>
      <c r="AG4675" s="9"/>
      <c r="AH4675" s="9"/>
      <c r="AI4675" s="9"/>
    </row>
    <row r="4676" ht="15.0" customHeight="1">
      <c r="A4676" s="11">
        <v>4675.0</v>
      </c>
      <c r="B4676" s="12">
        <f t="shared" si="737"/>
        <v>40612</v>
      </c>
      <c r="C4676" s="13">
        <v>2011.0</v>
      </c>
      <c r="D4676" s="11" t="s">
        <v>44</v>
      </c>
      <c r="E4676" s="11">
        <v>2.0</v>
      </c>
      <c r="F4676" s="21" t="s">
        <v>96</v>
      </c>
      <c r="G4676" s="15">
        <v>0.02841930116472555</v>
      </c>
      <c r="H4676" s="11" t="s">
        <v>33</v>
      </c>
      <c r="I4676" s="16">
        <v>1.592</v>
      </c>
      <c r="J4676" s="11" t="s">
        <v>1529</v>
      </c>
      <c r="K4676" s="11" t="s">
        <v>61</v>
      </c>
      <c r="L4676" s="11" t="s">
        <v>27</v>
      </c>
      <c r="M4676" s="11" t="s">
        <v>66</v>
      </c>
      <c r="N4676" s="11" t="s">
        <v>67</v>
      </c>
      <c r="O4676" s="11" t="s">
        <v>98</v>
      </c>
      <c r="P4676" s="11" t="s">
        <v>99</v>
      </c>
      <c r="Q4676" s="20">
        <v>40614.0</v>
      </c>
      <c r="R4676" s="17">
        <f t="shared" si="2"/>
        <v>1.659459834</v>
      </c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>
        <f t="shared" si="8"/>
        <v>1</v>
      </c>
      <c r="AF4676" s="19">
        <f t="shared" si="13"/>
        <v>4</v>
      </c>
      <c r="AG4676" s="9"/>
      <c r="AH4676" s="9"/>
      <c r="AI4676" s="9"/>
    </row>
    <row r="4677" ht="15.0" customHeight="1">
      <c r="A4677" s="11">
        <v>4676.0</v>
      </c>
      <c r="B4677" s="12">
        <f t="shared" si="737"/>
        <v>40612</v>
      </c>
      <c r="C4677" s="13">
        <v>2011.0</v>
      </c>
      <c r="D4677" s="11" t="s">
        <v>102</v>
      </c>
      <c r="E4677" s="11">
        <v>27.0</v>
      </c>
      <c r="F4677" s="21" t="s">
        <v>1074</v>
      </c>
      <c r="G4677" s="15">
        <v>0.05179076923076921</v>
      </c>
      <c r="H4677" s="11" t="s">
        <v>33</v>
      </c>
      <c r="I4677" s="16">
        <v>5.5840000000000005</v>
      </c>
      <c r="J4677" s="11" t="s">
        <v>382</v>
      </c>
      <c r="K4677" s="11" t="s">
        <v>65</v>
      </c>
      <c r="L4677" s="11" t="s">
        <v>48</v>
      </c>
      <c r="M4677" s="11" t="s">
        <v>28</v>
      </c>
      <c r="N4677" s="11" t="s">
        <v>42</v>
      </c>
      <c r="O4677" s="11" t="s">
        <v>1893</v>
      </c>
      <c r="P4677" s="11" t="s">
        <v>38</v>
      </c>
      <c r="Q4677" s="20">
        <v>40614.0</v>
      </c>
      <c r="R4677" s="17">
        <f t="shared" si="2"/>
        <v>7.980128886</v>
      </c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>
        <f t="shared" si="8"/>
        <v>4</v>
      </c>
      <c r="AF4677" s="19">
        <f t="shared" si="13"/>
        <v>5</v>
      </c>
      <c r="AG4677" s="9"/>
      <c r="AH4677" s="9"/>
      <c r="AI4677" s="9"/>
    </row>
    <row r="4678" ht="15.0" customHeight="1">
      <c r="A4678" s="11">
        <v>4677.0</v>
      </c>
      <c r="B4678" s="12">
        <f t="shared" si="737"/>
        <v>40612</v>
      </c>
      <c r="C4678" s="13">
        <v>2011.0</v>
      </c>
      <c r="D4678" s="11" t="s">
        <v>102</v>
      </c>
      <c r="E4678" s="11">
        <v>31.0</v>
      </c>
      <c r="F4678" s="21" t="s">
        <v>933</v>
      </c>
      <c r="G4678" s="15">
        <v>0.09360012473364171</v>
      </c>
      <c r="H4678" s="11" t="s">
        <v>33</v>
      </c>
      <c r="I4678" s="16">
        <v>11.104000000000001</v>
      </c>
      <c r="J4678" s="11" t="s">
        <v>382</v>
      </c>
      <c r="K4678" s="11" t="s">
        <v>65</v>
      </c>
      <c r="L4678" s="11" t="s">
        <v>48</v>
      </c>
      <c r="M4678" s="11" t="s">
        <v>28</v>
      </c>
      <c r="N4678" s="11" t="s">
        <v>56</v>
      </c>
      <c r="O4678" s="11" t="s">
        <v>989</v>
      </c>
      <c r="P4678" s="11" t="s">
        <v>38</v>
      </c>
      <c r="Q4678" s="20">
        <v>40615.0</v>
      </c>
      <c r="R4678" s="17">
        <f t="shared" si="2"/>
        <v>163.2389919</v>
      </c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>
        <f t="shared" si="8"/>
        <v>4</v>
      </c>
      <c r="AF4678" s="19">
        <f t="shared" si="13"/>
        <v>5</v>
      </c>
      <c r="AG4678" s="9"/>
      <c r="AH4678" s="9"/>
      <c r="AI4678" s="9"/>
    </row>
    <row r="4679" ht="15.0" customHeight="1">
      <c r="A4679" s="11">
        <v>4678.0</v>
      </c>
      <c r="B4679" s="12">
        <f t="shared" ref="B4679:B4681" si="738">DATE(2012,12,31)-661</f>
        <v>40613</v>
      </c>
      <c r="C4679" s="13">
        <v>2011.0</v>
      </c>
      <c r="D4679" s="11" t="s">
        <v>23</v>
      </c>
      <c r="E4679" s="11">
        <v>6.0</v>
      </c>
      <c r="F4679" s="21" t="s">
        <v>306</v>
      </c>
      <c r="G4679" s="15">
        <v>0.08302169035153324</v>
      </c>
      <c r="H4679" s="11" t="s">
        <v>24</v>
      </c>
      <c r="I4679" s="16">
        <v>3.2</v>
      </c>
      <c r="J4679" s="11" t="s">
        <v>611</v>
      </c>
      <c r="K4679" s="11" t="s">
        <v>65</v>
      </c>
      <c r="L4679" s="11" t="s">
        <v>48</v>
      </c>
      <c r="M4679" s="11" t="s">
        <v>66</v>
      </c>
      <c r="N4679" s="11" t="s">
        <v>67</v>
      </c>
      <c r="O4679" s="11" t="s">
        <v>920</v>
      </c>
      <c r="P4679" s="11" t="s">
        <v>38</v>
      </c>
      <c r="Q4679" s="20">
        <v>40615.0</v>
      </c>
      <c r="R4679" s="17">
        <f t="shared" si="2"/>
        <v>10.17845924</v>
      </c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>
        <f t="shared" si="8"/>
        <v>4</v>
      </c>
      <c r="AF4679" s="19">
        <f t="shared" si="13"/>
        <v>5</v>
      </c>
      <c r="AG4679" s="9"/>
      <c r="AH4679" s="9"/>
      <c r="AI4679" s="9"/>
    </row>
    <row r="4680" ht="15.0" customHeight="1">
      <c r="A4680" s="11">
        <v>4679.0</v>
      </c>
      <c r="B4680" s="12">
        <f t="shared" si="738"/>
        <v>40613</v>
      </c>
      <c r="C4680" s="13">
        <v>2011.0</v>
      </c>
      <c r="D4680" s="11" t="s">
        <v>102</v>
      </c>
      <c r="E4680" s="11">
        <v>29.0</v>
      </c>
      <c r="F4680" s="21" t="s">
        <v>377</v>
      </c>
      <c r="G4680" s="15">
        <v>0.09545255520110098</v>
      </c>
      <c r="H4680" s="11" t="s">
        <v>33</v>
      </c>
      <c r="I4680" s="16">
        <v>28.0</v>
      </c>
      <c r="J4680" s="11" t="s">
        <v>611</v>
      </c>
      <c r="K4680" s="11" t="s">
        <v>65</v>
      </c>
      <c r="L4680" s="11" t="s">
        <v>36</v>
      </c>
      <c r="M4680" s="11" t="s">
        <v>28</v>
      </c>
      <c r="N4680" s="11" t="s">
        <v>29</v>
      </c>
      <c r="O4680" s="11" t="s">
        <v>1749</v>
      </c>
      <c r="P4680" s="11" t="s">
        <v>31</v>
      </c>
      <c r="Q4680" s="20">
        <v>40615.0</v>
      </c>
      <c r="R4680" s="17">
        <f t="shared" si="2"/>
        <v>138.0339401</v>
      </c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>
        <f t="shared" si="8"/>
        <v>2</v>
      </c>
      <c r="AF4680" s="19">
        <f t="shared" si="13"/>
        <v>5</v>
      </c>
      <c r="AG4680" s="9"/>
      <c r="AH4680" s="9"/>
      <c r="AI4680" s="9"/>
    </row>
    <row r="4681" ht="15.0" customHeight="1">
      <c r="A4681" s="11">
        <v>4680.0</v>
      </c>
      <c r="B4681" s="12">
        <f t="shared" si="738"/>
        <v>40613</v>
      </c>
      <c r="C4681" s="13">
        <v>2011.0</v>
      </c>
      <c r="D4681" s="11" t="s">
        <v>102</v>
      </c>
      <c r="E4681" s="11">
        <v>16.0</v>
      </c>
      <c r="F4681" s="21" t="s">
        <v>1746</v>
      </c>
      <c r="G4681" s="15">
        <v>0.0709327916031827</v>
      </c>
      <c r="H4681" s="11" t="s">
        <v>45</v>
      </c>
      <c r="I4681" s="16">
        <v>33.6</v>
      </c>
      <c r="J4681" s="11" t="s">
        <v>353</v>
      </c>
      <c r="K4681" s="11" t="s">
        <v>65</v>
      </c>
      <c r="L4681" s="11" t="s">
        <v>41</v>
      </c>
      <c r="M4681" s="11" t="s">
        <v>49</v>
      </c>
      <c r="N4681" s="11" t="s">
        <v>50</v>
      </c>
      <c r="O4681" s="11" t="s">
        <v>1748</v>
      </c>
      <c r="P4681" s="11" t="s">
        <v>52</v>
      </c>
      <c r="Q4681" s="20">
        <v>40616.0</v>
      </c>
      <c r="R4681" s="17">
        <f t="shared" si="2"/>
        <v>116.7837481</v>
      </c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>
        <f t="shared" si="8"/>
        <v>3</v>
      </c>
      <c r="AF4681" s="19">
        <f t="shared" si="13"/>
        <v>5</v>
      </c>
      <c r="AG4681" s="9"/>
      <c r="AH4681" s="9"/>
      <c r="AI4681" s="9"/>
    </row>
    <row r="4682" ht="15.0" customHeight="1">
      <c r="A4682" s="11">
        <v>4681.0</v>
      </c>
      <c r="B4682" s="12">
        <f t="shared" ref="B4682:B4688" si="739">DATE(2012,12,31)-660</f>
        <v>40614</v>
      </c>
      <c r="C4682" s="13">
        <v>2011.0</v>
      </c>
      <c r="D4682" s="11" t="s">
        <v>32</v>
      </c>
      <c r="E4682" s="11">
        <v>42.0</v>
      </c>
      <c r="F4682" s="21" t="s">
        <v>707</v>
      </c>
      <c r="G4682" s="15">
        <v>0.044186343331206225</v>
      </c>
      <c r="H4682" s="11" t="s">
        <v>33</v>
      </c>
      <c r="I4682" s="16">
        <v>4.128</v>
      </c>
      <c r="J4682" s="11" t="s">
        <v>2027</v>
      </c>
      <c r="K4682" s="11" t="s">
        <v>83</v>
      </c>
      <c r="L4682" s="11" t="s">
        <v>48</v>
      </c>
      <c r="M4682" s="11" t="s">
        <v>49</v>
      </c>
      <c r="N4682" s="11" t="s">
        <v>73</v>
      </c>
      <c r="O4682" s="11" t="s">
        <v>975</v>
      </c>
      <c r="P4682" s="11" t="s">
        <v>38</v>
      </c>
      <c r="Q4682" s="20">
        <v>40616.0</v>
      </c>
      <c r="R4682" s="17">
        <f t="shared" si="2"/>
        <v>19.85416128</v>
      </c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>
        <f t="shared" si="8"/>
        <v>4</v>
      </c>
      <c r="AF4682" s="19" t="b">
        <f t="shared" si="13"/>
        <v>0</v>
      </c>
      <c r="AG4682" s="9"/>
      <c r="AH4682" s="9"/>
      <c r="AI4682" s="9"/>
    </row>
    <row r="4683" ht="15.0" customHeight="1">
      <c r="A4683" s="11">
        <v>4682.0</v>
      </c>
      <c r="B4683" s="12">
        <f t="shared" si="739"/>
        <v>40614</v>
      </c>
      <c r="C4683" s="13">
        <v>2011.0</v>
      </c>
      <c r="D4683" s="11" t="s">
        <v>32</v>
      </c>
      <c r="E4683" s="11">
        <v>15.0</v>
      </c>
      <c r="F4683" s="21" t="s">
        <v>256</v>
      </c>
      <c r="G4683" s="15">
        <v>0.097431716265797</v>
      </c>
      <c r="H4683" s="11" t="s">
        <v>24</v>
      </c>
      <c r="I4683" s="16">
        <v>5.4</v>
      </c>
      <c r="J4683" s="11" t="s">
        <v>2027</v>
      </c>
      <c r="K4683" s="11" t="s">
        <v>83</v>
      </c>
      <c r="L4683" s="11" t="s">
        <v>48</v>
      </c>
      <c r="M4683" s="11" t="s">
        <v>28</v>
      </c>
      <c r="N4683" s="11" t="s">
        <v>197</v>
      </c>
      <c r="O4683" s="11" t="s">
        <v>257</v>
      </c>
      <c r="P4683" s="11" t="s">
        <v>75</v>
      </c>
      <c r="Q4683" s="20">
        <v>40616.0</v>
      </c>
      <c r="R4683" s="17">
        <f t="shared" si="2"/>
        <v>21.57138198</v>
      </c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>
        <f t="shared" si="8"/>
        <v>4</v>
      </c>
      <c r="AF4683" s="19" t="b">
        <f t="shared" si="13"/>
        <v>0</v>
      </c>
      <c r="AG4683" s="9"/>
      <c r="AH4683" s="9"/>
      <c r="AI4683" s="9"/>
    </row>
    <row r="4684" ht="15.0" customHeight="1">
      <c r="A4684" s="11">
        <v>4683.0</v>
      </c>
      <c r="B4684" s="12">
        <f t="shared" si="739"/>
        <v>40614</v>
      </c>
      <c r="C4684" s="13">
        <v>2011.0</v>
      </c>
      <c r="D4684" s="11" t="s">
        <v>32</v>
      </c>
      <c r="E4684" s="11">
        <v>5.0</v>
      </c>
      <c r="F4684" s="21" t="s">
        <v>408</v>
      </c>
      <c r="G4684" s="15">
        <v>0.07711458333333339</v>
      </c>
      <c r="H4684" s="11" t="s">
        <v>45</v>
      </c>
      <c r="I4684" s="16">
        <v>18.552000000000003</v>
      </c>
      <c r="J4684" s="11" t="s">
        <v>2027</v>
      </c>
      <c r="K4684" s="11" t="s">
        <v>83</v>
      </c>
      <c r="L4684" s="11" t="s">
        <v>48</v>
      </c>
      <c r="M4684" s="11" t="s">
        <v>28</v>
      </c>
      <c r="N4684" s="11" t="s">
        <v>197</v>
      </c>
      <c r="O4684" s="11" t="s">
        <v>409</v>
      </c>
      <c r="P4684" s="11" t="s">
        <v>52</v>
      </c>
      <c r="Q4684" s="20">
        <v>40616.0</v>
      </c>
      <c r="R4684" s="17">
        <f t="shared" si="2"/>
        <v>109.3139318</v>
      </c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>
        <f t="shared" si="8"/>
        <v>4</v>
      </c>
      <c r="AF4684" s="19" t="b">
        <f t="shared" si="13"/>
        <v>0</v>
      </c>
      <c r="AG4684" s="9"/>
      <c r="AH4684" s="9"/>
      <c r="AI4684" s="9"/>
    </row>
    <row r="4685" ht="15.0" customHeight="1">
      <c r="A4685" s="11">
        <v>4684.0</v>
      </c>
      <c r="B4685" s="12">
        <f t="shared" si="739"/>
        <v>40614</v>
      </c>
      <c r="C4685" s="13">
        <v>2011.0</v>
      </c>
      <c r="D4685" s="11" t="s">
        <v>32</v>
      </c>
      <c r="E4685" s="11">
        <v>12.0</v>
      </c>
      <c r="F4685" s="21" t="s">
        <v>336</v>
      </c>
      <c r="G4685" s="15">
        <v>0.028160442600276645</v>
      </c>
      <c r="H4685" s="11" t="s">
        <v>24</v>
      </c>
      <c r="I4685" s="16">
        <v>0.664</v>
      </c>
      <c r="J4685" s="11" t="s">
        <v>2027</v>
      </c>
      <c r="K4685" s="11" t="s">
        <v>83</v>
      </c>
      <c r="L4685" s="11" t="s">
        <v>48</v>
      </c>
      <c r="M4685" s="11" t="s">
        <v>28</v>
      </c>
      <c r="N4685" s="11" t="s">
        <v>62</v>
      </c>
      <c r="O4685" s="11" t="s">
        <v>1341</v>
      </c>
      <c r="P4685" s="11" t="s">
        <v>58</v>
      </c>
      <c r="Q4685" s="20">
        <v>40617.0</v>
      </c>
      <c r="R4685" s="17">
        <f t="shared" si="2"/>
        <v>1.978665339</v>
      </c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>
        <f t="shared" si="8"/>
        <v>4</v>
      </c>
      <c r="AF4685" s="19" t="b">
        <f t="shared" si="13"/>
        <v>0</v>
      </c>
      <c r="AG4685" s="9"/>
      <c r="AH4685" s="9"/>
      <c r="AI4685" s="9"/>
    </row>
    <row r="4686" ht="15.0" customHeight="1">
      <c r="A4686" s="11">
        <v>4685.0</v>
      </c>
      <c r="B4686" s="12">
        <f t="shared" si="739"/>
        <v>40614</v>
      </c>
      <c r="C4686" s="13">
        <v>2011.0</v>
      </c>
      <c r="D4686" s="11" t="s">
        <v>44</v>
      </c>
      <c r="E4686" s="11">
        <v>26.0</v>
      </c>
      <c r="F4686" s="21" t="s">
        <v>122</v>
      </c>
      <c r="G4686" s="15">
        <v>0.025057757241869597</v>
      </c>
      <c r="H4686" s="11" t="s">
        <v>33</v>
      </c>
      <c r="I4686" s="16">
        <v>5.2</v>
      </c>
      <c r="J4686" s="11" t="s">
        <v>769</v>
      </c>
      <c r="K4686" s="11" t="s">
        <v>35</v>
      </c>
      <c r="L4686" s="11" t="s">
        <v>48</v>
      </c>
      <c r="M4686" s="11" t="s">
        <v>66</v>
      </c>
      <c r="N4686" s="11" t="s">
        <v>67</v>
      </c>
      <c r="O4686" s="11" t="s">
        <v>2130</v>
      </c>
      <c r="P4686" s="11" t="s">
        <v>38</v>
      </c>
      <c r="Q4686" s="20">
        <v>40617.0</v>
      </c>
      <c r="R4686" s="17">
        <f t="shared" si="2"/>
        <v>13.74668562</v>
      </c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>
        <f t="shared" si="8"/>
        <v>4</v>
      </c>
      <c r="AF4686" s="19">
        <f t="shared" si="13"/>
        <v>2</v>
      </c>
      <c r="AG4686" s="9"/>
      <c r="AH4686" s="9"/>
      <c r="AI4686" s="9"/>
    </row>
    <row r="4687" ht="15.0" customHeight="1">
      <c r="A4687" s="11">
        <v>4686.0</v>
      </c>
      <c r="B4687" s="12">
        <f t="shared" si="739"/>
        <v>40614</v>
      </c>
      <c r="C4687" s="13">
        <v>2011.0</v>
      </c>
      <c r="D4687" s="11" t="s">
        <v>44</v>
      </c>
      <c r="E4687" s="11">
        <v>47.0</v>
      </c>
      <c r="F4687" s="21" t="s">
        <v>158</v>
      </c>
      <c r="G4687" s="15">
        <v>0.1061031769163509</v>
      </c>
      <c r="H4687" s="11" t="s">
        <v>33</v>
      </c>
      <c r="I4687" s="16">
        <v>5.896000000000001</v>
      </c>
      <c r="J4687" s="11" t="s">
        <v>769</v>
      </c>
      <c r="K4687" s="11" t="s">
        <v>35</v>
      </c>
      <c r="L4687" s="11" t="s">
        <v>48</v>
      </c>
      <c r="M4687" s="11" t="s">
        <v>28</v>
      </c>
      <c r="N4687" s="11" t="s">
        <v>56</v>
      </c>
      <c r="O4687" s="11" t="s">
        <v>860</v>
      </c>
      <c r="P4687" s="11" t="s">
        <v>38</v>
      </c>
      <c r="Q4687" s="20">
        <v>40617.0</v>
      </c>
      <c r="R4687" s="17">
        <f t="shared" si="2"/>
        <v>32.54141995</v>
      </c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>
        <f t="shared" si="8"/>
        <v>4</v>
      </c>
      <c r="AF4687" s="19">
        <f t="shared" si="13"/>
        <v>2</v>
      </c>
      <c r="AG4687" s="9"/>
      <c r="AH4687" s="9"/>
      <c r="AI4687" s="9"/>
    </row>
    <row r="4688" ht="15.0" customHeight="1">
      <c r="A4688" s="11">
        <v>4687.0</v>
      </c>
      <c r="B4688" s="12">
        <f t="shared" si="739"/>
        <v>40614</v>
      </c>
      <c r="C4688" s="13">
        <v>2011.0</v>
      </c>
      <c r="D4688" s="11" t="s">
        <v>23</v>
      </c>
      <c r="E4688" s="11">
        <v>23.0</v>
      </c>
      <c r="F4688" s="21" t="s">
        <v>1828</v>
      </c>
      <c r="G4688" s="15">
        <v>0.09152255008589069</v>
      </c>
      <c r="H4688" s="11" t="s">
        <v>33</v>
      </c>
      <c r="I4688" s="16">
        <v>15.991999999999999</v>
      </c>
      <c r="J4688" s="11" t="s">
        <v>148</v>
      </c>
      <c r="K4688" s="11" t="s">
        <v>65</v>
      </c>
      <c r="L4688" s="11" t="s">
        <v>41</v>
      </c>
      <c r="M4688" s="11" t="s">
        <v>28</v>
      </c>
      <c r="N4688" s="11" t="s">
        <v>42</v>
      </c>
      <c r="O4688" s="11" t="s">
        <v>1830</v>
      </c>
      <c r="P4688" s="11" t="s">
        <v>38</v>
      </c>
      <c r="Q4688" s="20">
        <v>40617.0</v>
      </c>
      <c r="R4688" s="17">
        <f t="shared" si="2"/>
        <v>818.0003637</v>
      </c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>
        <f t="shared" si="8"/>
        <v>3</v>
      </c>
      <c r="AF4688" s="19">
        <f t="shared" si="13"/>
        <v>5</v>
      </c>
      <c r="AG4688" s="9"/>
      <c r="AH4688" s="9"/>
      <c r="AI4688" s="9"/>
    </row>
    <row r="4689" ht="15.0" customHeight="1">
      <c r="A4689" s="11">
        <v>4688.0</v>
      </c>
      <c r="B4689" s="12">
        <f t="shared" ref="B4689:B4693" si="740">DATE(2012,12,31)-659</f>
        <v>40615</v>
      </c>
      <c r="C4689" s="13">
        <v>2011.0</v>
      </c>
      <c r="D4689" s="11" t="s">
        <v>32</v>
      </c>
      <c r="E4689" s="11">
        <v>10.0</v>
      </c>
      <c r="F4689" s="21" t="s">
        <v>1166</v>
      </c>
      <c r="G4689" s="15">
        <v>0.05069860279441116</v>
      </c>
      <c r="H4689" s="11" t="s">
        <v>33</v>
      </c>
      <c r="I4689" s="16">
        <v>0.5599999999999999</v>
      </c>
      <c r="J4689" s="11" t="s">
        <v>1224</v>
      </c>
      <c r="K4689" s="11" t="s">
        <v>61</v>
      </c>
      <c r="L4689" s="11" t="s">
        <v>48</v>
      </c>
      <c r="M4689" s="11" t="s">
        <v>28</v>
      </c>
      <c r="N4689" s="11" t="s">
        <v>216</v>
      </c>
      <c r="O4689" s="11" t="s">
        <v>1406</v>
      </c>
      <c r="P4689" s="11" t="s">
        <v>58</v>
      </c>
      <c r="Q4689" s="20">
        <v>40618.0</v>
      </c>
      <c r="R4689" s="17">
        <f t="shared" si="2"/>
        <v>2.411225549</v>
      </c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>
        <f t="shared" si="8"/>
        <v>4</v>
      </c>
      <c r="AF4689" s="19">
        <f t="shared" si="13"/>
        <v>4</v>
      </c>
      <c r="AG4689" s="9"/>
      <c r="AH4689" s="9"/>
      <c r="AI4689" s="9"/>
    </row>
    <row r="4690" ht="15.0" customHeight="1">
      <c r="A4690" s="11">
        <v>4689.0</v>
      </c>
      <c r="B4690" s="12">
        <f t="shared" si="740"/>
        <v>40615</v>
      </c>
      <c r="C4690" s="13">
        <v>2011.0</v>
      </c>
      <c r="D4690" s="11" t="s">
        <v>44</v>
      </c>
      <c r="E4690" s="11">
        <v>20.0</v>
      </c>
      <c r="F4690" s="21" t="s">
        <v>886</v>
      </c>
      <c r="G4690" s="15">
        <v>0.04659882163899298</v>
      </c>
      <c r="H4690" s="11" t="s">
        <v>45</v>
      </c>
      <c r="I4690" s="16">
        <v>48.0</v>
      </c>
      <c r="J4690" s="11" t="s">
        <v>571</v>
      </c>
      <c r="K4690" s="11" t="s">
        <v>65</v>
      </c>
      <c r="L4690" s="11" t="s">
        <v>27</v>
      </c>
      <c r="M4690" s="11" t="s">
        <v>28</v>
      </c>
      <c r="N4690" s="11" t="s">
        <v>197</v>
      </c>
      <c r="O4690" s="11" t="s">
        <v>888</v>
      </c>
      <c r="P4690" s="11" t="s">
        <v>52</v>
      </c>
      <c r="Q4690" s="20">
        <v>40618.0</v>
      </c>
      <c r="R4690" s="17">
        <f t="shared" si="2"/>
        <v>66.35672201</v>
      </c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>
        <f t="shared" si="8"/>
        <v>1</v>
      </c>
      <c r="AF4690" s="19">
        <f t="shared" si="13"/>
        <v>5</v>
      </c>
      <c r="AG4690" s="9"/>
      <c r="AH4690" s="9"/>
      <c r="AI4690" s="9"/>
    </row>
    <row r="4691" ht="15.0" customHeight="1">
      <c r="A4691" s="11">
        <v>4690.0</v>
      </c>
      <c r="B4691" s="12">
        <f t="shared" si="740"/>
        <v>40615</v>
      </c>
      <c r="C4691" s="13">
        <v>2011.0</v>
      </c>
      <c r="D4691" s="11" t="s">
        <v>44</v>
      </c>
      <c r="E4691" s="11">
        <v>42.0</v>
      </c>
      <c r="F4691" s="21" t="s">
        <v>569</v>
      </c>
      <c r="G4691" s="15">
        <v>0.04814311981774648</v>
      </c>
      <c r="H4691" s="11" t="s">
        <v>24</v>
      </c>
      <c r="I4691" s="16">
        <v>3.192</v>
      </c>
      <c r="J4691" s="11" t="s">
        <v>571</v>
      </c>
      <c r="K4691" s="11" t="s">
        <v>65</v>
      </c>
      <c r="L4691" s="11" t="s">
        <v>27</v>
      </c>
      <c r="M4691" s="11" t="s">
        <v>66</v>
      </c>
      <c r="N4691" s="11" t="s">
        <v>80</v>
      </c>
      <c r="O4691" s="11" t="s">
        <v>2483</v>
      </c>
      <c r="P4691" s="11" t="s">
        <v>38</v>
      </c>
      <c r="Q4691" s="20">
        <v>40618.0</v>
      </c>
      <c r="R4691" s="17">
        <f t="shared" si="2"/>
        <v>396.2656341</v>
      </c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>
        <f t="shared" si="8"/>
        <v>1</v>
      </c>
      <c r="AF4691" s="19">
        <f t="shared" si="13"/>
        <v>5</v>
      </c>
      <c r="AG4691" s="9"/>
      <c r="AH4691" s="9"/>
      <c r="AI4691" s="9"/>
    </row>
    <row r="4692" ht="15.0" customHeight="1">
      <c r="A4692" s="11">
        <v>4691.0</v>
      </c>
      <c r="B4692" s="12">
        <f t="shared" si="740"/>
        <v>40615</v>
      </c>
      <c r="C4692" s="13">
        <v>2011.0</v>
      </c>
      <c r="D4692" s="11" t="s">
        <v>44</v>
      </c>
      <c r="E4692" s="11">
        <v>20.0</v>
      </c>
      <c r="F4692" s="21" t="s">
        <v>316</v>
      </c>
      <c r="G4692" s="15">
        <v>0.10470273165506161</v>
      </c>
      <c r="H4692" s="11" t="s">
        <v>24</v>
      </c>
      <c r="I4692" s="16">
        <v>7.152</v>
      </c>
      <c r="J4692" s="11" t="s">
        <v>94</v>
      </c>
      <c r="K4692" s="11" t="s">
        <v>26</v>
      </c>
      <c r="L4692" s="11" t="s">
        <v>48</v>
      </c>
      <c r="M4692" s="11" t="s">
        <v>28</v>
      </c>
      <c r="N4692" s="11" t="s">
        <v>42</v>
      </c>
      <c r="O4692" s="11" t="s">
        <v>1126</v>
      </c>
      <c r="P4692" s="11" t="s">
        <v>38</v>
      </c>
      <c r="Q4692" s="20">
        <v>40618.0</v>
      </c>
      <c r="R4692" s="17">
        <f t="shared" si="2"/>
        <v>17.501271</v>
      </c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>
        <f t="shared" si="8"/>
        <v>4</v>
      </c>
      <c r="AF4692" s="19">
        <f t="shared" si="13"/>
        <v>1</v>
      </c>
      <c r="AG4692" s="9"/>
      <c r="AH4692" s="9"/>
      <c r="AI4692" s="9"/>
    </row>
    <row r="4693" ht="15.0" customHeight="1">
      <c r="A4693" s="11">
        <v>4692.0</v>
      </c>
      <c r="B4693" s="12">
        <f t="shared" si="740"/>
        <v>40615</v>
      </c>
      <c r="C4693" s="13">
        <v>2011.0</v>
      </c>
      <c r="D4693" s="11" t="s">
        <v>32</v>
      </c>
      <c r="E4693" s="11">
        <v>6.0</v>
      </c>
      <c r="F4693" s="21" t="s">
        <v>869</v>
      </c>
      <c r="G4693" s="15">
        <v>0.058008026267785395</v>
      </c>
      <c r="H4693" s="11" t="s">
        <v>33</v>
      </c>
      <c r="I4693" s="16">
        <v>1.0</v>
      </c>
      <c r="J4693" s="11" t="s">
        <v>947</v>
      </c>
      <c r="K4693" s="11" t="s">
        <v>35</v>
      </c>
      <c r="L4693" s="11" t="s">
        <v>48</v>
      </c>
      <c r="M4693" s="11" t="s">
        <v>66</v>
      </c>
      <c r="N4693" s="11" t="s">
        <v>80</v>
      </c>
      <c r="O4693" s="11" t="s">
        <v>2349</v>
      </c>
      <c r="P4693" s="11" t="s">
        <v>99</v>
      </c>
      <c r="Q4693" s="20">
        <v>40618.0</v>
      </c>
      <c r="R4693" s="17">
        <f t="shared" si="2"/>
        <v>29.95534476</v>
      </c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>
        <f t="shared" si="8"/>
        <v>4</v>
      </c>
      <c r="AF4693" s="19">
        <f t="shared" si="13"/>
        <v>2</v>
      </c>
      <c r="AG4693" s="9"/>
      <c r="AH4693" s="9"/>
      <c r="AI4693" s="9"/>
    </row>
    <row r="4694" ht="15.0" customHeight="1">
      <c r="A4694" s="11">
        <v>4693.0</v>
      </c>
      <c r="B4694" s="12">
        <f>DATE(2012,12,31)-658</f>
        <v>40616</v>
      </c>
      <c r="C4694" s="13">
        <v>2011.0</v>
      </c>
      <c r="D4694" s="11" t="s">
        <v>32</v>
      </c>
      <c r="E4694" s="11">
        <v>32.0</v>
      </c>
      <c r="F4694" s="21" t="s">
        <v>668</v>
      </c>
      <c r="G4694" s="15">
        <v>0.04903703703703707</v>
      </c>
      <c r="H4694" s="11" t="s">
        <v>24</v>
      </c>
      <c r="I4694" s="16">
        <v>3.9600000000000004</v>
      </c>
      <c r="J4694" s="11" t="s">
        <v>1684</v>
      </c>
      <c r="K4694" s="11" t="s">
        <v>47</v>
      </c>
      <c r="L4694" s="11" t="s">
        <v>48</v>
      </c>
      <c r="M4694" s="11" t="s">
        <v>49</v>
      </c>
      <c r="N4694" s="11" t="s">
        <v>73</v>
      </c>
      <c r="O4694" s="11" t="s">
        <v>1481</v>
      </c>
      <c r="P4694" s="11" t="s">
        <v>38</v>
      </c>
      <c r="Q4694" s="20">
        <v>40618.0</v>
      </c>
      <c r="R4694" s="17">
        <f t="shared" si="2"/>
        <v>12.59074963</v>
      </c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>
        <f t="shared" si="8"/>
        <v>4</v>
      </c>
      <c r="AF4694" s="19">
        <f t="shared" si="13"/>
        <v>3</v>
      </c>
      <c r="AG4694" s="9"/>
      <c r="AH4694" s="9"/>
      <c r="AI4694" s="9"/>
    </row>
    <row r="4695" ht="15.0" customHeight="1">
      <c r="A4695" s="11">
        <v>4694.0</v>
      </c>
      <c r="B4695" s="12">
        <f t="shared" ref="B4695:B4706" si="741">DATE(2012,12,31)-657</f>
        <v>40617</v>
      </c>
      <c r="C4695" s="13">
        <v>2011.0</v>
      </c>
      <c r="D4695" s="11" t="s">
        <v>44</v>
      </c>
      <c r="E4695" s="11">
        <v>20.0</v>
      </c>
      <c r="F4695" s="21" t="s">
        <v>2327</v>
      </c>
      <c r="G4695" s="15">
        <v>0.08391922213911732</v>
      </c>
      <c r="H4695" s="11" t="s">
        <v>33</v>
      </c>
      <c r="I4695" s="16">
        <v>4.960000000000001</v>
      </c>
      <c r="J4695" s="11" t="s">
        <v>1444</v>
      </c>
      <c r="K4695" s="11" t="s">
        <v>61</v>
      </c>
      <c r="L4695" s="11" t="s">
        <v>36</v>
      </c>
      <c r="M4695" s="11" t="s">
        <v>49</v>
      </c>
      <c r="N4695" s="11" t="s">
        <v>73</v>
      </c>
      <c r="O4695" s="11" t="s">
        <v>2328</v>
      </c>
      <c r="P4695" s="11" t="s">
        <v>58</v>
      </c>
      <c r="Q4695" s="20">
        <v>40618.0</v>
      </c>
      <c r="R4695" s="17">
        <f t="shared" si="2"/>
        <v>20.55685266</v>
      </c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>
        <f t="shared" si="8"/>
        <v>2</v>
      </c>
      <c r="AF4695" s="19">
        <f t="shared" si="13"/>
        <v>4</v>
      </c>
      <c r="AG4695" s="9"/>
      <c r="AH4695" s="9"/>
      <c r="AI4695" s="9"/>
    </row>
    <row r="4696" ht="15.0" customHeight="1">
      <c r="A4696" s="11">
        <v>4695.0</v>
      </c>
      <c r="B4696" s="12">
        <f t="shared" si="741"/>
        <v>40617</v>
      </c>
      <c r="C4696" s="13">
        <v>2011.0</v>
      </c>
      <c r="D4696" s="11" t="s">
        <v>102</v>
      </c>
      <c r="E4696" s="11">
        <v>18.0</v>
      </c>
      <c r="F4696" s="21" t="s">
        <v>1659</v>
      </c>
      <c r="G4696" s="15">
        <v>0.07640356897735057</v>
      </c>
      <c r="H4696" s="11" t="s">
        <v>33</v>
      </c>
      <c r="I4696" s="16">
        <v>1.368</v>
      </c>
      <c r="J4696" s="11" t="s">
        <v>2026</v>
      </c>
      <c r="K4696" s="11" t="s">
        <v>65</v>
      </c>
      <c r="L4696" s="11" t="s">
        <v>41</v>
      </c>
      <c r="M4696" s="11" t="s">
        <v>28</v>
      </c>
      <c r="N4696" s="11" t="s">
        <v>56</v>
      </c>
      <c r="O4696" s="11" t="s">
        <v>2342</v>
      </c>
      <c r="P4696" s="11" t="s">
        <v>58</v>
      </c>
      <c r="Q4696" s="20">
        <v>40618.0</v>
      </c>
      <c r="R4696" s="17">
        <f t="shared" si="2"/>
        <v>10.28147547</v>
      </c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>
        <f t="shared" si="8"/>
        <v>3</v>
      </c>
      <c r="AF4696" s="19">
        <f t="shared" si="13"/>
        <v>5</v>
      </c>
      <c r="AG4696" s="9"/>
      <c r="AH4696" s="9"/>
      <c r="AI4696" s="9"/>
    </row>
    <row r="4697" ht="15.0" customHeight="1">
      <c r="A4697" s="11">
        <v>4696.0</v>
      </c>
      <c r="B4697" s="12">
        <f t="shared" si="741"/>
        <v>40617</v>
      </c>
      <c r="C4697" s="13">
        <v>2011.0</v>
      </c>
      <c r="D4697" s="11" t="s">
        <v>32</v>
      </c>
      <c r="E4697" s="11">
        <v>50.0</v>
      </c>
      <c r="F4697" s="21" t="s">
        <v>952</v>
      </c>
      <c r="G4697" s="15">
        <v>0.08285460228991533</v>
      </c>
      <c r="H4697" s="11" t="s">
        <v>33</v>
      </c>
      <c r="I4697" s="16">
        <v>19.592</v>
      </c>
      <c r="J4697" s="11" t="s">
        <v>1210</v>
      </c>
      <c r="K4697" s="11" t="s">
        <v>47</v>
      </c>
      <c r="L4697" s="11" t="s">
        <v>36</v>
      </c>
      <c r="M4697" s="11" t="s">
        <v>66</v>
      </c>
      <c r="N4697" s="11" t="s">
        <v>170</v>
      </c>
      <c r="O4697" s="11" t="s">
        <v>2110</v>
      </c>
      <c r="P4697" s="11" t="s">
        <v>31</v>
      </c>
      <c r="Q4697" s="20">
        <v>40618.0</v>
      </c>
      <c r="R4697" s="17">
        <f t="shared" si="2"/>
        <v>2486.847083</v>
      </c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>
        <f t="shared" si="8"/>
        <v>2</v>
      </c>
      <c r="AF4697" s="19">
        <f t="shared" si="13"/>
        <v>3</v>
      </c>
      <c r="AG4697" s="9"/>
      <c r="AH4697" s="9"/>
      <c r="AI4697" s="9"/>
    </row>
    <row r="4698" ht="15.0" customHeight="1">
      <c r="A4698" s="11">
        <v>4697.0</v>
      </c>
      <c r="B4698" s="12">
        <f t="shared" si="741"/>
        <v>40617</v>
      </c>
      <c r="C4698" s="13">
        <v>2011.0</v>
      </c>
      <c r="D4698" s="11" t="s">
        <v>32</v>
      </c>
      <c r="E4698" s="11">
        <v>6.0</v>
      </c>
      <c r="F4698" s="21" t="s">
        <v>128</v>
      </c>
      <c r="G4698" s="15">
        <v>0.03181598678358093</v>
      </c>
      <c r="H4698" s="11" t="s">
        <v>33</v>
      </c>
      <c r="I4698" s="16">
        <v>6.464</v>
      </c>
      <c r="J4698" s="11" t="s">
        <v>1210</v>
      </c>
      <c r="K4698" s="11" t="s">
        <v>47</v>
      </c>
      <c r="L4698" s="11" t="s">
        <v>36</v>
      </c>
      <c r="M4698" s="11" t="s">
        <v>66</v>
      </c>
      <c r="N4698" s="11" t="s">
        <v>80</v>
      </c>
      <c r="O4698" s="11" t="s">
        <v>2243</v>
      </c>
      <c r="P4698" s="11" t="s">
        <v>38</v>
      </c>
      <c r="Q4698" s="20">
        <v>40618.0</v>
      </c>
      <c r="R4698" s="17">
        <f t="shared" si="2"/>
        <v>24.23945495</v>
      </c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>
        <f t="shared" si="8"/>
        <v>2</v>
      </c>
      <c r="AF4698" s="19">
        <f t="shared" si="13"/>
        <v>3</v>
      </c>
      <c r="AG4698" s="9"/>
      <c r="AH4698" s="9"/>
      <c r="AI4698" s="9"/>
    </row>
    <row r="4699" ht="15.0" customHeight="1">
      <c r="A4699" s="11">
        <v>4698.0</v>
      </c>
      <c r="B4699" s="12">
        <f t="shared" si="741"/>
        <v>40617</v>
      </c>
      <c r="C4699" s="13">
        <v>2011.0</v>
      </c>
      <c r="D4699" s="11" t="s">
        <v>32</v>
      </c>
      <c r="E4699" s="11">
        <v>36.0</v>
      </c>
      <c r="F4699" s="21" t="s">
        <v>126</v>
      </c>
      <c r="G4699" s="15">
        <v>0.09766883441720861</v>
      </c>
      <c r="H4699" s="11" t="s">
        <v>33</v>
      </c>
      <c r="I4699" s="16">
        <v>3.976</v>
      </c>
      <c r="J4699" s="11" t="s">
        <v>546</v>
      </c>
      <c r="K4699" s="11" t="s">
        <v>61</v>
      </c>
      <c r="L4699" s="11" t="s">
        <v>48</v>
      </c>
      <c r="M4699" s="11" t="s">
        <v>28</v>
      </c>
      <c r="N4699" s="11" t="s">
        <v>42</v>
      </c>
      <c r="O4699" s="11" t="s">
        <v>1609</v>
      </c>
      <c r="P4699" s="11" t="s">
        <v>38</v>
      </c>
      <c r="Q4699" s="20">
        <v>40619.0</v>
      </c>
      <c r="R4699" s="17">
        <f t="shared" si="2"/>
        <v>17.61711368</v>
      </c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>
        <f t="shared" si="8"/>
        <v>4</v>
      </c>
      <c r="AF4699" s="19">
        <f t="shared" si="13"/>
        <v>4</v>
      </c>
      <c r="AG4699" s="9"/>
      <c r="AH4699" s="9"/>
      <c r="AI4699" s="9"/>
    </row>
    <row r="4700" ht="15.0" customHeight="1">
      <c r="A4700" s="11">
        <v>4699.0</v>
      </c>
      <c r="B4700" s="12">
        <f t="shared" si="741"/>
        <v>40617</v>
      </c>
      <c r="C4700" s="13">
        <v>2011.0</v>
      </c>
      <c r="D4700" s="11" t="s">
        <v>32</v>
      </c>
      <c r="E4700" s="11">
        <v>3.0</v>
      </c>
      <c r="F4700" s="21" t="s">
        <v>1904</v>
      </c>
      <c r="G4700" s="15">
        <v>0.1009113100081367</v>
      </c>
      <c r="H4700" s="11" t="s">
        <v>33</v>
      </c>
      <c r="I4700" s="16">
        <v>19.592</v>
      </c>
      <c r="J4700" s="11" t="s">
        <v>546</v>
      </c>
      <c r="K4700" s="11" t="s">
        <v>61</v>
      </c>
      <c r="L4700" s="11" t="s">
        <v>48</v>
      </c>
      <c r="M4700" s="11" t="s">
        <v>49</v>
      </c>
      <c r="N4700" s="11" t="s">
        <v>50</v>
      </c>
      <c r="O4700" s="11" t="s">
        <v>2054</v>
      </c>
      <c r="P4700" s="11" t="s">
        <v>31</v>
      </c>
      <c r="Q4700" s="20">
        <v>40619.0</v>
      </c>
      <c r="R4700" s="17">
        <f t="shared" si="2"/>
        <v>44.60199173</v>
      </c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>
        <f t="shared" si="8"/>
        <v>4</v>
      </c>
      <c r="AF4700" s="19">
        <f t="shared" si="13"/>
        <v>4</v>
      </c>
      <c r="AG4700" s="9"/>
      <c r="AH4700" s="9"/>
      <c r="AI4700" s="9"/>
    </row>
    <row r="4701" ht="15.0" customHeight="1">
      <c r="A4701" s="11">
        <v>4700.0</v>
      </c>
      <c r="B4701" s="12">
        <f t="shared" si="741"/>
        <v>40617</v>
      </c>
      <c r="C4701" s="13">
        <v>2011.0</v>
      </c>
      <c r="D4701" s="11" t="s">
        <v>32</v>
      </c>
      <c r="E4701" s="11">
        <v>48.0</v>
      </c>
      <c r="F4701" s="21" t="s">
        <v>1074</v>
      </c>
      <c r="G4701" s="15">
        <v>0.014674115456238352</v>
      </c>
      <c r="H4701" s="11" t="s">
        <v>24</v>
      </c>
      <c r="I4701" s="16">
        <v>0.5599999999999999</v>
      </c>
      <c r="J4701" s="11" t="s">
        <v>546</v>
      </c>
      <c r="K4701" s="11" t="s">
        <v>61</v>
      </c>
      <c r="L4701" s="11" t="s">
        <v>48</v>
      </c>
      <c r="M4701" s="11" t="s">
        <v>28</v>
      </c>
      <c r="N4701" s="11" t="s">
        <v>62</v>
      </c>
      <c r="O4701" s="11" t="s">
        <v>2445</v>
      </c>
      <c r="P4701" s="11" t="s">
        <v>58</v>
      </c>
      <c r="Q4701" s="20">
        <v>40619.0</v>
      </c>
      <c r="R4701" s="17">
        <f t="shared" si="2"/>
        <v>3.882183985</v>
      </c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>
        <f t="shared" si="8"/>
        <v>4</v>
      </c>
      <c r="AF4701" s="19">
        <f t="shared" si="13"/>
        <v>4</v>
      </c>
      <c r="AG4701" s="9"/>
      <c r="AH4701" s="9"/>
      <c r="AI4701" s="9"/>
    </row>
    <row r="4702" ht="15.0" customHeight="1">
      <c r="A4702" s="11">
        <v>4701.0</v>
      </c>
      <c r="B4702" s="12">
        <f t="shared" si="741"/>
        <v>40617</v>
      </c>
      <c r="C4702" s="13">
        <v>2011.0</v>
      </c>
      <c r="D4702" s="11" t="s">
        <v>23</v>
      </c>
      <c r="E4702" s="11">
        <v>44.0</v>
      </c>
      <c r="F4702" s="21" t="s">
        <v>2425</v>
      </c>
      <c r="G4702" s="15">
        <v>0.011221299210567028</v>
      </c>
      <c r="H4702" s="11" t="s">
        <v>45</v>
      </c>
      <c r="I4702" s="16">
        <v>51.36000000000001</v>
      </c>
      <c r="J4702" s="11" t="s">
        <v>78</v>
      </c>
      <c r="K4702" s="11" t="s">
        <v>35</v>
      </c>
      <c r="L4702" s="11" t="s">
        <v>48</v>
      </c>
      <c r="M4702" s="11" t="s">
        <v>49</v>
      </c>
      <c r="N4702" s="11" t="s">
        <v>50</v>
      </c>
      <c r="O4702" s="11" t="s">
        <v>2426</v>
      </c>
      <c r="P4702" s="11" t="s">
        <v>52</v>
      </c>
      <c r="Q4702" s="20">
        <v>40619.0</v>
      </c>
      <c r="R4702" s="17">
        <f t="shared" si="2"/>
        <v>107.5197959</v>
      </c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>
        <f t="shared" si="8"/>
        <v>4</v>
      </c>
      <c r="AF4702" s="19">
        <f t="shared" si="13"/>
        <v>2</v>
      </c>
      <c r="AG4702" s="9"/>
      <c r="AH4702" s="9"/>
      <c r="AI4702" s="9"/>
    </row>
    <row r="4703" ht="15.0" customHeight="1">
      <c r="A4703" s="11">
        <v>4702.0</v>
      </c>
      <c r="B4703" s="12">
        <f t="shared" si="741"/>
        <v>40617</v>
      </c>
      <c r="C4703" s="13">
        <v>2011.0</v>
      </c>
      <c r="D4703" s="11" t="s">
        <v>44</v>
      </c>
      <c r="E4703" s="11">
        <v>36.0</v>
      </c>
      <c r="F4703" s="21" t="s">
        <v>506</v>
      </c>
      <c r="G4703" s="15">
        <v>0.091014904187367</v>
      </c>
      <c r="H4703" s="11" t="s">
        <v>33</v>
      </c>
      <c r="I4703" s="16">
        <v>7.752</v>
      </c>
      <c r="J4703" s="11" t="s">
        <v>2093</v>
      </c>
      <c r="K4703" s="11" t="s">
        <v>35</v>
      </c>
      <c r="L4703" s="11" t="s">
        <v>36</v>
      </c>
      <c r="M4703" s="11" t="s">
        <v>28</v>
      </c>
      <c r="N4703" s="11" t="s">
        <v>29</v>
      </c>
      <c r="O4703" s="11" t="s">
        <v>1800</v>
      </c>
      <c r="P4703" s="11" t="s">
        <v>38</v>
      </c>
      <c r="Q4703" s="20">
        <v>40620.0</v>
      </c>
      <c r="R4703" s="17">
        <f t="shared" si="2"/>
        <v>23.31364974</v>
      </c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>
        <f t="shared" si="8"/>
        <v>2</v>
      </c>
      <c r="AF4703" s="19">
        <f t="shared" si="13"/>
        <v>2</v>
      </c>
      <c r="AG4703" s="9"/>
      <c r="AH4703" s="9"/>
      <c r="AI4703" s="9"/>
    </row>
    <row r="4704" ht="15.0" customHeight="1">
      <c r="A4704" s="11">
        <v>4703.0</v>
      </c>
      <c r="B4704" s="12">
        <f t="shared" si="741"/>
        <v>40617</v>
      </c>
      <c r="C4704" s="13">
        <v>2011.0</v>
      </c>
      <c r="D4704" s="11" t="s">
        <v>44</v>
      </c>
      <c r="E4704" s="11">
        <v>50.0</v>
      </c>
      <c r="F4704" s="21" t="s">
        <v>1282</v>
      </c>
      <c r="G4704" s="15">
        <v>0.029797651610173514</v>
      </c>
      <c r="H4704" s="11" t="s">
        <v>33</v>
      </c>
      <c r="I4704" s="16">
        <v>10.120000000000001</v>
      </c>
      <c r="J4704" s="11" t="s">
        <v>1209</v>
      </c>
      <c r="K4704" s="11" t="s">
        <v>65</v>
      </c>
      <c r="L4704" s="11" t="s">
        <v>27</v>
      </c>
      <c r="M4704" s="11" t="s">
        <v>49</v>
      </c>
      <c r="N4704" s="11" t="s">
        <v>50</v>
      </c>
      <c r="O4704" s="11" t="s">
        <v>1283</v>
      </c>
      <c r="P4704" s="11" t="s">
        <v>75</v>
      </c>
      <c r="Q4704" s="20">
        <v>40620.0</v>
      </c>
      <c r="R4704" s="17">
        <f t="shared" si="2"/>
        <v>191.3044991</v>
      </c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>
        <f t="shared" si="8"/>
        <v>1</v>
      </c>
      <c r="AF4704" s="19">
        <f t="shared" si="13"/>
        <v>5</v>
      </c>
      <c r="AG4704" s="9"/>
      <c r="AH4704" s="9"/>
      <c r="AI4704" s="9"/>
    </row>
    <row r="4705" ht="15.0" customHeight="1">
      <c r="A4705" s="11">
        <v>4704.0</v>
      </c>
      <c r="B4705" s="12">
        <f t="shared" si="741"/>
        <v>40617</v>
      </c>
      <c r="C4705" s="13">
        <v>2011.0</v>
      </c>
      <c r="D4705" s="11" t="s">
        <v>44</v>
      </c>
      <c r="E4705" s="11">
        <v>47.0</v>
      </c>
      <c r="F4705" s="21" t="s">
        <v>290</v>
      </c>
      <c r="G4705" s="15">
        <v>0.10012715712988181</v>
      </c>
      <c r="H4705" s="11" t="s">
        <v>33</v>
      </c>
      <c r="I4705" s="16">
        <v>0.752</v>
      </c>
      <c r="J4705" s="11" t="s">
        <v>1209</v>
      </c>
      <c r="K4705" s="11" t="s">
        <v>65</v>
      </c>
      <c r="L4705" s="11" t="s">
        <v>27</v>
      </c>
      <c r="M4705" s="11" t="s">
        <v>28</v>
      </c>
      <c r="N4705" s="11" t="s">
        <v>62</v>
      </c>
      <c r="O4705" s="11" t="s">
        <v>291</v>
      </c>
      <c r="P4705" s="11" t="s">
        <v>58</v>
      </c>
      <c r="Q4705" s="20">
        <v>40620.0</v>
      </c>
      <c r="R4705" s="17">
        <f t="shared" si="2"/>
        <v>19.84039644</v>
      </c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>
        <f t="shared" si="8"/>
        <v>1</v>
      </c>
      <c r="AF4705" s="19">
        <f t="shared" si="13"/>
        <v>5</v>
      </c>
      <c r="AG4705" s="9"/>
      <c r="AH4705" s="9"/>
      <c r="AI4705" s="9"/>
    </row>
    <row r="4706" ht="15.0" customHeight="1">
      <c r="A4706" s="11">
        <v>4705.0</v>
      </c>
      <c r="B4706" s="12">
        <f t="shared" si="741"/>
        <v>40617</v>
      </c>
      <c r="C4706" s="13">
        <v>2011.0</v>
      </c>
      <c r="D4706" s="11" t="s">
        <v>32</v>
      </c>
      <c r="E4706" s="11">
        <v>37.0</v>
      </c>
      <c r="F4706" s="21" t="s">
        <v>705</v>
      </c>
      <c r="G4706" s="15">
        <v>0.07790463398253858</v>
      </c>
      <c r="H4706" s="11" t="s">
        <v>33</v>
      </c>
      <c r="I4706" s="16">
        <v>0.4</v>
      </c>
      <c r="J4706" s="11" t="s">
        <v>326</v>
      </c>
      <c r="K4706" s="11" t="s">
        <v>35</v>
      </c>
      <c r="L4706" s="11" t="s">
        <v>48</v>
      </c>
      <c r="M4706" s="11" t="s">
        <v>28</v>
      </c>
      <c r="N4706" s="11" t="s">
        <v>188</v>
      </c>
      <c r="O4706" s="11" t="s">
        <v>1976</v>
      </c>
      <c r="P4706" s="11" t="s">
        <v>38</v>
      </c>
      <c r="Q4706" s="20">
        <v>40620.0</v>
      </c>
      <c r="R4706" s="17">
        <f t="shared" si="2"/>
        <v>10.69630625</v>
      </c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>
        <f t="shared" si="8"/>
        <v>4</v>
      </c>
      <c r="AF4706" s="19">
        <f t="shared" si="13"/>
        <v>2</v>
      </c>
      <c r="AG4706" s="9"/>
      <c r="AH4706" s="9"/>
      <c r="AI4706" s="9"/>
    </row>
    <row r="4707" ht="15.0" customHeight="1">
      <c r="A4707" s="11">
        <v>4706.0</v>
      </c>
      <c r="B4707" s="12">
        <f t="shared" ref="B4707:B4711" si="742">DATE(2012,12,31)-656</f>
        <v>40618</v>
      </c>
      <c r="C4707" s="13">
        <v>2011.0</v>
      </c>
      <c r="D4707" s="11" t="s">
        <v>44</v>
      </c>
      <c r="E4707" s="11">
        <v>4.0</v>
      </c>
      <c r="F4707" s="21" t="s">
        <v>666</v>
      </c>
      <c r="G4707" s="15">
        <v>0.041403508771929935</v>
      </c>
      <c r="H4707" s="11" t="s">
        <v>33</v>
      </c>
      <c r="I4707" s="16">
        <v>1.192</v>
      </c>
      <c r="J4707" s="11" t="s">
        <v>608</v>
      </c>
      <c r="K4707" s="11" t="s">
        <v>35</v>
      </c>
      <c r="L4707" s="11" t="s">
        <v>48</v>
      </c>
      <c r="M4707" s="11" t="s">
        <v>28</v>
      </c>
      <c r="N4707" s="11" t="s">
        <v>42</v>
      </c>
      <c r="O4707" s="11" t="s">
        <v>667</v>
      </c>
      <c r="P4707" s="11" t="s">
        <v>38</v>
      </c>
      <c r="Q4707" s="20">
        <v>40620.0</v>
      </c>
      <c r="R4707" s="17">
        <f t="shared" si="2"/>
        <v>0.6786863158</v>
      </c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>
        <f t="shared" si="8"/>
        <v>4</v>
      </c>
      <c r="AF4707" s="19">
        <f t="shared" si="13"/>
        <v>2</v>
      </c>
      <c r="AG4707" s="9"/>
      <c r="AH4707" s="9"/>
      <c r="AI4707" s="9"/>
    </row>
    <row r="4708" ht="15.0" customHeight="1">
      <c r="A4708" s="11">
        <v>4707.0</v>
      </c>
      <c r="B4708" s="12">
        <f t="shared" si="742"/>
        <v>40618</v>
      </c>
      <c r="C4708" s="13">
        <v>2011.0</v>
      </c>
      <c r="D4708" s="11" t="s">
        <v>23</v>
      </c>
      <c r="E4708" s="11">
        <v>24.0</v>
      </c>
      <c r="F4708" s="21" t="s">
        <v>372</v>
      </c>
      <c r="G4708" s="15">
        <v>0.09606373008434878</v>
      </c>
      <c r="H4708" s="11" t="s">
        <v>33</v>
      </c>
      <c r="I4708" s="16">
        <v>9.0</v>
      </c>
      <c r="J4708" s="11" t="s">
        <v>581</v>
      </c>
      <c r="K4708" s="11" t="s">
        <v>47</v>
      </c>
      <c r="L4708" s="11" t="s">
        <v>36</v>
      </c>
      <c r="M4708" s="11" t="s">
        <v>28</v>
      </c>
      <c r="N4708" s="11" t="s">
        <v>29</v>
      </c>
      <c r="O4708" s="11" t="s">
        <v>1741</v>
      </c>
      <c r="P4708" s="11" t="s">
        <v>38</v>
      </c>
      <c r="Q4708" s="20">
        <v>40620.0</v>
      </c>
      <c r="R4708" s="17">
        <f t="shared" si="2"/>
        <v>37.06138707</v>
      </c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>
        <f t="shared" si="8"/>
        <v>2</v>
      </c>
      <c r="AF4708" s="19">
        <f t="shared" si="13"/>
        <v>3</v>
      </c>
      <c r="AG4708" s="9"/>
      <c r="AH4708" s="9"/>
      <c r="AI4708" s="9"/>
    </row>
    <row r="4709" ht="15.0" customHeight="1">
      <c r="A4709" s="11">
        <v>4708.0</v>
      </c>
      <c r="B4709" s="12">
        <f t="shared" si="742"/>
        <v>40618</v>
      </c>
      <c r="C4709" s="13">
        <v>2011.0</v>
      </c>
      <c r="D4709" s="11" t="s">
        <v>44</v>
      </c>
      <c r="E4709" s="11">
        <v>31.0</v>
      </c>
      <c r="F4709" s="21" t="s">
        <v>894</v>
      </c>
      <c r="G4709" s="15">
        <v>0.06211293260473582</v>
      </c>
      <c r="H4709" s="11" t="s">
        <v>33</v>
      </c>
      <c r="I4709" s="16">
        <v>0.68</v>
      </c>
      <c r="J4709" s="11" t="s">
        <v>993</v>
      </c>
      <c r="K4709" s="11" t="s">
        <v>83</v>
      </c>
      <c r="L4709" s="11" t="s">
        <v>48</v>
      </c>
      <c r="M4709" s="11" t="s">
        <v>28</v>
      </c>
      <c r="N4709" s="11" t="s">
        <v>62</v>
      </c>
      <c r="O4709" s="11" t="s">
        <v>1206</v>
      </c>
      <c r="P4709" s="11" t="s">
        <v>58</v>
      </c>
      <c r="Q4709" s="20">
        <v>40620.0</v>
      </c>
      <c r="R4709" s="17">
        <f t="shared" si="2"/>
        <v>6.3963898</v>
      </c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>
        <f t="shared" si="8"/>
        <v>4</v>
      </c>
      <c r="AF4709" s="19" t="b">
        <f t="shared" si="13"/>
        <v>0</v>
      </c>
      <c r="AG4709" s="9"/>
      <c r="AH4709" s="9"/>
      <c r="AI4709" s="9"/>
    </row>
    <row r="4710" ht="15.0" customHeight="1">
      <c r="A4710" s="11">
        <v>4709.0</v>
      </c>
      <c r="B4710" s="12">
        <f t="shared" si="742"/>
        <v>40618</v>
      </c>
      <c r="C4710" s="13">
        <v>2011.0</v>
      </c>
      <c r="D4710" s="11" t="s">
        <v>32</v>
      </c>
      <c r="E4710" s="11">
        <v>50.0</v>
      </c>
      <c r="F4710" s="21" t="s">
        <v>130</v>
      </c>
      <c r="G4710" s="15">
        <v>0.027045159168217696</v>
      </c>
      <c r="H4710" s="11" t="s">
        <v>33</v>
      </c>
      <c r="I4710" s="16">
        <v>7.344</v>
      </c>
      <c r="J4710" s="11" t="s">
        <v>1588</v>
      </c>
      <c r="K4710" s="11" t="s">
        <v>65</v>
      </c>
      <c r="L4710" s="11" t="s">
        <v>36</v>
      </c>
      <c r="M4710" s="11" t="s">
        <v>28</v>
      </c>
      <c r="N4710" s="11" t="s">
        <v>56</v>
      </c>
      <c r="O4710" s="11" t="s">
        <v>1175</v>
      </c>
      <c r="P4710" s="11" t="s">
        <v>38</v>
      </c>
      <c r="Q4710" s="20">
        <v>40620.0</v>
      </c>
      <c r="R4710" s="17">
        <f t="shared" si="2"/>
        <v>41.98339056</v>
      </c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>
        <f t="shared" si="8"/>
        <v>2</v>
      </c>
      <c r="AF4710" s="19">
        <f t="shared" si="13"/>
        <v>5</v>
      </c>
      <c r="AG4710" s="9"/>
      <c r="AH4710" s="9"/>
      <c r="AI4710" s="9"/>
    </row>
    <row r="4711" ht="15.0" customHeight="1">
      <c r="A4711" s="11">
        <v>4710.0</v>
      </c>
      <c r="B4711" s="12">
        <f t="shared" si="742"/>
        <v>40618</v>
      </c>
      <c r="C4711" s="13">
        <v>2011.0</v>
      </c>
      <c r="D4711" s="11" t="s">
        <v>23</v>
      </c>
      <c r="E4711" s="11">
        <v>14.0</v>
      </c>
      <c r="F4711" s="21" t="s">
        <v>304</v>
      </c>
      <c r="G4711" s="15">
        <v>0.022464141228392808</v>
      </c>
      <c r="H4711" s="11" t="s">
        <v>33</v>
      </c>
      <c r="I4711" s="16">
        <v>1.192</v>
      </c>
      <c r="J4711" s="11" t="s">
        <v>2052</v>
      </c>
      <c r="K4711" s="11" t="s">
        <v>65</v>
      </c>
      <c r="L4711" s="11" t="s">
        <v>27</v>
      </c>
      <c r="M4711" s="11" t="s">
        <v>28</v>
      </c>
      <c r="N4711" s="11" t="s">
        <v>42</v>
      </c>
      <c r="O4711" s="11" t="s">
        <v>2377</v>
      </c>
      <c r="P4711" s="11" t="s">
        <v>38</v>
      </c>
      <c r="Q4711" s="20">
        <v>40621.0</v>
      </c>
      <c r="R4711" s="17">
        <f t="shared" si="2"/>
        <v>5.970789025</v>
      </c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>
        <f t="shared" si="8"/>
        <v>1</v>
      </c>
      <c r="AF4711" s="19">
        <f t="shared" si="13"/>
        <v>5</v>
      </c>
      <c r="AG4711" s="9"/>
      <c r="AH4711" s="9"/>
      <c r="AI4711" s="9"/>
    </row>
    <row r="4712" ht="15.0" customHeight="1">
      <c r="A4712" s="11">
        <v>4711.0</v>
      </c>
      <c r="B4712" s="12">
        <f t="shared" ref="B4712:B4718" si="743">DATE(2012,12,31)-655</f>
        <v>40619</v>
      </c>
      <c r="C4712" s="13">
        <v>2011.0</v>
      </c>
      <c r="D4712" s="11" t="s">
        <v>39</v>
      </c>
      <c r="E4712" s="11">
        <v>32.0</v>
      </c>
      <c r="F4712" s="21" t="s">
        <v>1615</v>
      </c>
      <c r="G4712" s="15">
        <v>0.02047072512825935</v>
      </c>
      <c r="H4712" s="11" t="s">
        <v>33</v>
      </c>
      <c r="I4712" s="16">
        <v>1.592</v>
      </c>
      <c r="J4712" s="11" t="s">
        <v>88</v>
      </c>
      <c r="K4712" s="11" t="s">
        <v>35</v>
      </c>
      <c r="L4712" s="11" t="s">
        <v>48</v>
      </c>
      <c r="M4712" s="11" t="s">
        <v>66</v>
      </c>
      <c r="N4712" s="11" t="s">
        <v>67</v>
      </c>
      <c r="O4712" s="11" t="s">
        <v>1616</v>
      </c>
      <c r="P4712" s="11" t="s">
        <v>99</v>
      </c>
      <c r="Q4712" s="20">
        <v>40621.0</v>
      </c>
      <c r="R4712" s="17">
        <f t="shared" si="2"/>
        <v>75.82340211</v>
      </c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>
        <f t="shared" si="8"/>
        <v>4</v>
      </c>
      <c r="AF4712" s="19">
        <f t="shared" si="13"/>
        <v>2</v>
      </c>
      <c r="AG4712" s="9"/>
      <c r="AH4712" s="9"/>
      <c r="AI4712" s="9"/>
    </row>
    <row r="4713" ht="15.0" customHeight="1">
      <c r="A4713" s="11">
        <v>4712.0</v>
      </c>
      <c r="B4713" s="12">
        <f t="shared" si="743"/>
        <v>40619</v>
      </c>
      <c r="C4713" s="13">
        <v>2011.0</v>
      </c>
      <c r="D4713" s="11" t="s">
        <v>39</v>
      </c>
      <c r="E4713" s="11">
        <v>35.0</v>
      </c>
      <c r="F4713" s="21" t="s">
        <v>1435</v>
      </c>
      <c r="G4713" s="15">
        <v>0.13495934959349593</v>
      </c>
      <c r="H4713" s="11" t="s">
        <v>33</v>
      </c>
      <c r="I4713" s="16">
        <v>0.5599999999999999</v>
      </c>
      <c r="J4713" s="11" t="s">
        <v>735</v>
      </c>
      <c r="K4713" s="11" t="s">
        <v>83</v>
      </c>
      <c r="L4713" s="11" t="s">
        <v>36</v>
      </c>
      <c r="M4713" s="11" t="s">
        <v>28</v>
      </c>
      <c r="N4713" s="11" t="s">
        <v>216</v>
      </c>
      <c r="O4713" s="11" t="s">
        <v>1436</v>
      </c>
      <c r="P4713" s="11" t="s">
        <v>58</v>
      </c>
      <c r="Q4713" s="20">
        <v>40621.0</v>
      </c>
      <c r="R4713" s="17">
        <f t="shared" si="2"/>
        <v>5.743869919</v>
      </c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>
        <f t="shared" si="8"/>
        <v>2</v>
      </c>
      <c r="AF4713" s="19" t="b">
        <f t="shared" si="13"/>
        <v>0</v>
      </c>
      <c r="AG4713" s="9"/>
      <c r="AH4713" s="9"/>
      <c r="AI4713" s="9"/>
    </row>
    <row r="4714" ht="15.0" customHeight="1">
      <c r="A4714" s="11">
        <v>4713.0</v>
      </c>
      <c r="B4714" s="12">
        <f t="shared" si="743"/>
        <v>40619</v>
      </c>
      <c r="C4714" s="13">
        <v>2011.0</v>
      </c>
      <c r="D4714" s="11" t="s">
        <v>39</v>
      </c>
      <c r="E4714" s="11">
        <v>8.0</v>
      </c>
      <c r="F4714" s="21" t="s">
        <v>290</v>
      </c>
      <c r="G4714" s="15">
        <v>0.10927835051546379</v>
      </c>
      <c r="H4714" s="11" t="s">
        <v>33</v>
      </c>
      <c r="I4714" s="16">
        <v>0.96</v>
      </c>
      <c r="J4714" s="11" t="s">
        <v>735</v>
      </c>
      <c r="K4714" s="11" t="s">
        <v>83</v>
      </c>
      <c r="L4714" s="11" t="s">
        <v>36</v>
      </c>
      <c r="M4714" s="11" t="s">
        <v>28</v>
      </c>
      <c r="N4714" s="11" t="s">
        <v>62</v>
      </c>
      <c r="O4714" s="11" t="s">
        <v>63</v>
      </c>
      <c r="P4714" s="11" t="s">
        <v>58</v>
      </c>
      <c r="Q4714" s="20">
        <v>40621.0</v>
      </c>
      <c r="R4714" s="17">
        <f t="shared" si="2"/>
        <v>3.776659794</v>
      </c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>
        <f t="shared" si="8"/>
        <v>2</v>
      </c>
      <c r="AF4714" s="19" t="b">
        <f t="shared" si="13"/>
        <v>0</v>
      </c>
      <c r="AG4714" s="9"/>
      <c r="AH4714" s="9"/>
      <c r="AI4714" s="9"/>
    </row>
    <row r="4715" ht="15.0" customHeight="1">
      <c r="A4715" s="11">
        <v>4714.0</v>
      </c>
      <c r="B4715" s="12">
        <f t="shared" si="743"/>
        <v>40619</v>
      </c>
      <c r="C4715" s="13">
        <v>2011.0</v>
      </c>
      <c r="D4715" s="11" t="s">
        <v>39</v>
      </c>
      <c r="E4715" s="11">
        <v>2.0</v>
      </c>
      <c r="F4715" s="21" t="s">
        <v>1452</v>
      </c>
      <c r="G4715" s="15">
        <v>0.07913461538461543</v>
      </c>
      <c r="H4715" s="11" t="s">
        <v>33</v>
      </c>
      <c r="I4715" s="16">
        <v>19.592</v>
      </c>
      <c r="J4715" s="11" t="s">
        <v>2251</v>
      </c>
      <c r="K4715" s="11" t="s">
        <v>35</v>
      </c>
      <c r="L4715" s="11" t="s">
        <v>36</v>
      </c>
      <c r="M4715" s="11" t="s">
        <v>66</v>
      </c>
      <c r="N4715" s="11" t="s">
        <v>170</v>
      </c>
      <c r="O4715" s="11" t="s">
        <v>1453</v>
      </c>
      <c r="P4715" s="11" t="s">
        <v>31</v>
      </c>
      <c r="Q4715" s="20">
        <v>40621.0</v>
      </c>
      <c r="R4715" s="17">
        <f t="shared" si="2"/>
        <v>72.75573231</v>
      </c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>
        <f t="shared" si="8"/>
        <v>2</v>
      </c>
      <c r="AF4715" s="19">
        <f t="shared" si="13"/>
        <v>2</v>
      </c>
      <c r="AG4715" s="9"/>
      <c r="AH4715" s="9"/>
      <c r="AI4715" s="9"/>
    </row>
    <row r="4716" ht="15.0" customHeight="1">
      <c r="A4716" s="11">
        <v>4715.0</v>
      </c>
      <c r="B4716" s="12">
        <f t="shared" si="743"/>
        <v>40619</v>
      </c>
      <c r="C4716" s="13">
        <v>2011.0</v>
      </c>
      <c r="D4716" s="11" t="s">
        <v>39</v>
      </c>
      <c r="E4716" s="11">
        <v>18.0</v>
      </c>
      <c r="F4716" s="21" t="s">
        <v>112</v>
      </c>
      <c r="G4716" s="15">
        <v>0.021828632062958837</v>
      </c>
      <c r="H4716" s="11" t="s">
        <v>45</v>
      </c>
      <c r="I4716" s="16">
        <v>34.656</v>
      </c>
      <c r="J4716" s="11" t="s">
        <v>155</v>
      </c>
      <c r="K4716" s="11" t="s">
        <v>117</v>
      </c>
      <c r="L4716" s="11" t="s">
        <v>48</v>
      </c>
      <c r="M4716" s="11" t="s">
        <v>49</v>
      </c>
      <c r="N4716" s="11" t="s">
        <v>50</v>
      </c>
      <c r="O4716" s="11" t="s">
        <v>114</v>
      </c>
      <c r="P4716" s="11" t="s">
        <v>52</v>
      </c>
      <c r="Q4716" s="20">
        <v>40621.0</v>
      </c>
      <c r="R4716" s="17">
        <f t="shared" si="2"/>
        <v>96.58855356</v>
      </c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>
        <f t="shared" si="8"/>
        <v>4</v>
      </c>
      <c r="AF4716" s="19" t="b">
        <f t="shared" si="13"/>
        <v>0</v>
      </c>
      <c r="AG4716" s="9"/>
      <c r="AH4716" s="9"/>
      <c r="AI4716" s="9"/>
    </row>
    <row r="4717" ht="15.0" customHeight="1">
      <c r="A4717" s="11">
        <v>4716.0</v>
      </c>
      <c r="B4717" s="12">
        <f t="shared" si="743"/>
        <v>40619</v>
      </c>
      <c r="C4717" s="13">
        <v>2011.0</v>
      </c>
      <c r="D4717" s="11" t="s">
        <v>39</v>
      </c>
      <c r="E4717" s="11">
        <v>42.0</v>
      </c>
      <c r="F4717" s="21" t="s">
        <v>473</v>
      </c>
      <c r="G4717" s="15">
        <v>0.022611927298066346</v>
      </c>
      <c r="H4717" s="11" t="s">
        <v>33</v>
      </c>
      <c r="I4717" s="16">
        <v>7.359999999999999</v>
      </c>
      <c r="J4717" s="11" t="s">
        <v>155</v>
      </c>
      <c r="K4717" s="11" t="s">
        <v>117</v>
      </c>
      <c r="L4717" s="11" t="s">
        <v>48</v>
      </c>
      <c r="M4717" s="11" t="s">
        <v>49</v>
      </c>
      <c r="N4717" s="11" t="s">
        <v>73</v>
      </c>
      <c r="O4717" s="11" t="s">
        <v>1836</v>
      </c>
      <c r="P4717" s="11" t="s">
        <v>58</v>
      </c>
      <c r="Q4717" s="20">
        <v>40621.0</v>
      </c>
      <c r="R4717" s="17">
        <f t="shared" si="2"/>
        <v>38.05949155</v>
      </c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>
        <f t="shared" si="8"/>
        <v>4</v>
      </c>
      <c r="AF4717" s="19" t="b">
        <f t="shared" si="13"/>
        <v>0</v>
      </c>
      <c r="AG4717" s="9"/>
      <c r="AH4717" s="9"/>
      <c r="AI4717" s="9"/>
    </row>
    <row r="4718" ht="15.0" customHeight="1">
      <c r="A4718" s="11">
        <v>4717.0</v>
      </c>
      <c r="B4718" s="12">
        <f t="shared" si="743"/>
        <v>40619</v>
      </c>
      <c r="C4718" s="13">
        <v>2011.0</v>
      </c>
      <c r="D4718" s="11" t="s">
        <v>32</v>
      </c>
      <c r="E4718" s="11">
        <v>12.0</v>
      </c>
      <c r="F4718" s="21" t="s">
        <v>473</v>
      </c>
      <c r="G4718" s="15">
        <v>0.096259981429898</v>
      </c>
      <c r="H4718" s="11" t="s">
        <v>24</v>
      </c>
      <c r="I4718" s="16">
        <v>7.864000000000001</v>
      </c>
      <c r="J4718" s="11" t="s">
        <v>1917</v>
      </c>
      <c r="K4718" s="11" t="s">
        <v>35</v>
      </c>
      <c r="L4718" s="11" t="s">
        <v>41</v>
      </c>
      <c r="M4718" s="11" t="s">
        <v>28</v>
      </c>
      <c r="N4718" s="11" t="s">
        <v>236</v>
      </c>
      <c r="O4718" s="11" t="s">
        <v>2171</v>
      </c>
      <c r="P4718" s="11" t="s">
        <v>38</v>
      </c>
      <c r="Q4718" s="20">
        <v>40622.0</v>
      </c>
      <c r="R4718" s="17">
        <f t="shared" si="2"/>
        <v>46.8462676</v>
      </c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>
        <f t="shared" si="8"/>
        <v>3</v>
      </c>
      <c r="AF4718" s="19">
        <f t="shared" si="13"/>
        <v>2</v>
      </c>
      <c r="AG4718" s="9"/>
      <c r="AH4718" s="9"/>
      <c r="AI4718" s="9"/>
    </row>
    <row r="4719" ht="15.0" customHeight="1">
      <c r="A4719" s="11">
        <v>4718.0</v>
      </c>
      <c r="B4719" s="12">
        <f t="shared" ref="B4719:B4727" si="744">DATE(2012,12,31)-654</f>
        <v>40620</v>
      </c>
      <c r="C4719" s="13">
        <v>2011.0</v>
      </c>
      <c r="D4719" s="11" t="s">
        <v>23</v>
      </c>
      <c r="E4719" s="11">
        <v>42.0</v>
      </c>
      <c r="F4719" s="21" t="s">
        <v>322</v>
      </c>
      <c r="G4719" s="15">
        <v>0.03856312731114639</v>
      </c>
      <c r="H4719" s="11" t="s">
        <v>33</v>
      </c>
      <c r="I4719" s="16">
        <v>2.8000000000000003</v>
      </c>
      <c r="J4719" s="11" t="s">
        <v>82</v>
      </c>
      <c r="K4719" s="11" t="s">
        <v>83</v>
      </c>
      <c r="L4719" s="11" t="s">
        <v>27</v>
      </c>
      <c r="M4719" s="11" t="s">
        <v>28</v>
      </c>
      <c r="N4719" s="11" t="s">
        <v>197</v>
      </c>
      <c r="O4719" s="11" t="s">
        <v>2172</v>
      </c>
      <c r="P4719" s="11" t="s">
        <v>38</v>
      </c>
      <c r="Q4719" s="20">
        <v>40622.0</v>
      </c>
      <c r="R4719" s="17">
        <f t="shared" si="2"/>
        <v>14.03697834</v>
      </c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>
        <f t="shared" si="8"/>
        <v>1</v>
      </c>
      <c r="AF4719" s="19" t="b">
        <f t="shared" si="13"/>
        <v>0</v>
      </c>
      <c r="AG4719" s="9"/>
      <c r="AH4719" s="9"/>
      <c r="AI4719" s="9"/>
    </row>
    <row r="4720" ht="15.0" customHeight="1">
      <c r="A4720" s="11">
        <v>4719.0</v>
      </c>
      <c r="B4720" s="12">
        <f t="shared" si="744"/>
        <v>40620</v>
      </c>
      <c r="C4720" s="13">
        <v>2011.0</v>
      </c>
      <c r="D4720" s="11" t="s">
        <v>23</v>
      </c>
      <c r="E4720" s="11">
        <v>21.0</v>
      </c>
      <c r="F4720" s="21" t="s">
        <v>176</v>
      </c>
      <c r="G4720" s="15">
        <v>0.011442374928485013</v>
      </c>
      <c r="H4720" s="11" t="s">
        <v>33</v>
      </c>
      <c r="I4720" s="16">
        <v>3.2</v>
      </c>
      <c r="J4720" s="11" t="s">
        <v>82</v>
      </c>
      <c r="K4720" s="11" t="s">
        <v>83</v>
      </c>
      <c r="L4720" s="11" t="s">
        <v>27</v>
      </c>
      <c r="M4720" s="11" t="s">
        <v>66</v>
      </c>
      <c r="N4720" s="11" t="s">
        <v>67</v>
      </c>
      <c r="O4720" s="11" t="s">
        <v>177</v>
      </c>
      <c r="P4720" s="11" t="s">
        <v>38</v>
      </c>
      <c r="Q4720" s="20">
        <v>40622.0</v>
      </c>
      <c r="R4720" s="17">
        <f t="shared" si="2"/>
        <v>17.79403725</v>
      </c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>
        <f t="shared" si="8"/>
        <v>1</v>
      </c>
      <c r="AF4720" s="19" t="b">
        <f t="shared" si="13"/>
        <v>0</v>
      </c>
      <c r="AG4720" s="9"/>
      <c r="AH4720" s="9"/>
      <c r="AI4720" s="9"/>
    </row>
    <row r="4721" ht="15.0" customHeight="1">
      <c r="A4721" s="11">
        <v>4720.0</v>
      </c>
      <c r="B4721" s="12">
        <f t="shared" si="744"/>
        <v>40620</v>
      </c>
      <c r="C4721" s="13">
        <v>2011.0</v>
      </c>
      <c r="D4721" s="11" t="s">
        <v>23</v>
      </c>
      <c r="E4721" s="11">
        <v>14.0</v>
      </c>
      <c r="F4721" s="21" t="s">
        <v>130</v>
      </c>
      <c r="G4721" s="15">
        <v>0.07643916913946591</v>
      </c>
      <c r="H4721" s="11" t="s">
        <v>33</v>
      </c>
      <c r="I4721" s="16">
        <v>3.136</v>
      </c>
      <c r="J4721" s="11" t="s">
        <v>82</v>
      </c>
      <c r="K4721" s="11" t="s">
        <v>83</v>
      </c>
      <c r="L4721" s="11" t="s">
        <v>27</v>
      </c>
      <c r="M4721" s="11" t="s">
        <v>49</v>
      </c>
      <c r="N4721" s="11" t="s">
        <v>73</v>
      </c>
      <c r="O4721" s="11" t="s">
        <v>877</v>
      </c>
      <c r="P4721" s="11" t="s">
        <v>99</v>
      </c>
      <c r="Q4721" s="20">
        <v>40622.0</v>
      </c>
      <c r="R4721" s="17">
        <f t="shared" si="2"/>
        <v>33.3072978</v>
      </c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>
        <f t="shared" si="8"/>
        <v>1</v>
      </c>
      <c r="AF4721" s="19" t="b">
        <f t="shared" si="13"/>
        <v>0</v>
      </c>
      <c r="AG4721" s="9"/>
      <c r="AH4721" s="9"/>
      <c r="AI4721" s="9"/>
    </row>
    <row r="4722" ht="15.0" customHeight="1">
      <c r="A4722" s="11">
        <v>4721.0</v>
      </c>
      <c r="B4722" s="12">
        <f t="shared" si="744"/>
        <v>40620</v>
      </c>
      <c r="C4722" s="13">
        <v>2011.0</v>
      </c>
      <c r="D4722" s="11" t="s">
        <v>23</v>
      </c>
      <c r="E4722" s="11">
        <v>18.0</v>
      </c>
      <c r="F4722" s="21" t="s">
        <v>461</v>
      </c>
      <c r="G4722" s="15">
        <v>0.09314103269844755</v>
      </c>
      <c r="H4722" s="11" t="s">
        <v>45</v>
      </c>
      <c r="I4722" s="16">
        <v>11.200000000000001</v>
      </c>
      <c r="J4722" s="11" t="s">
        <v>82</v>
      </c>
      <c r="K4722" s="11" t="s">
        <v>83</v>
      </c>
      <c r="L4722" s="11" t="s">
        <v>27</v>
      </c>
      <c r="M4722" s="11" t="s">
        <v>66</v>
      </c>
      <c r="N4722" s="11" t="s">
        <v>69</v>
      </c>
      <c r="O4722" s="11" t="s">
        <v>779</v>
      </c>
      <c r="P4722" s="11" t="s">
        <v>52</v>
      </c>
      <c r="Q4722" s="20">
        <v>40622.0</v>
      </c>
      <c r="R4722" s="17">
        <f t="shared" si="2"/>
        <v>153.4405373</v>
      </c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>
        <f t="shared" si="8"/>
        <v>1</v>
      </c>
      <c r="AF4722" s="19" t="b">
        <f t="shared" si="13"/>
        <v>0</v>
      </c>
      <c r="AG4722" s="9"/>
      <c r="AH4722" s="9"/>
      <c r="AI4722" s="9"/>
    </row>
    <row r="4723" ht="15.0" customHeight="1">
      <c r="A4723" s="11">
        <v>4722.0</v>
      </c>
      <c r="B4723" s="12">
        <f t="shared" si="744"/>
        <v>40620</v>
      </c>
      <c r="C4723" s="13">
        <v>2011.0</v>
      </c>
      <c r="D4723" s="11" t="s">
        <v>39</v>
      </c>
      <c r="E4723" s="11">
        <v>6.0</v>
      </c>
      <c r="F4723" s="21" t="s">
        <v>1050</v>
      </c>
      <c r="G4723" s="15">
        <v>0.022906898861352894</v>
      </c>
      <c r="H4723" s="11" t="s">
        <v>33</v>
      </c>
      <c r="I4723" s="16">
        <v>12.08</v>
      </c>
      <c r="J4723" s="11" t="s">
        <v>2493</v>
      </c>
      <c r="K4723" s="11" t="s">
        <v>26</v>
      </c>
      <c r="L4723" s="11" t="s">
        <v>27</v>
      </c>
      <c r="M4723" s="11" t="s">
        <v>28</v>
      </c>
      <c r="N4723" s="11" t="s">
        <v>42</v>
      </c>
      <c r="O4723" s="11" t="s">
        <v>1052</v>
      </c>
      <c r="P4723" s="11" t="s">
        <v>38</v>
      </c>
      <c r="Q4723" s="20">
        <v>40622.0</v>
      </c>
      <c r="R4723" s="17">
        <f t="shared" si="2"/>
        <v>3.341658406</v>
      </c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>
        <f t="shared" si="8"/>
        <v>1</v>
      </c>
      <c r="AF4723" s="19">
        <f t="shared" si="13"/>
        <v>1</v>
      </c>
      <c r="AG4723" s="9"/>
      <c r="AH4723" s="9"/>
      <c r="AI4723" s="9"/>
    </row>
    <row r="4724" ht="15.0" customHeight="1">
      <c r="A4724" s="11">
        <v>4723.0</v>
      </c>
      <c r="B4724" s="12">
        <f t="shared" si="744"/>
        <v>40620</v>
      </c>
      <c r="C4724" s="13">
        <v>2011.0</v>
      </c>
      <c r="D4724" s="11" t="s">
        <v>39</v>
      </c>
      <c r="E4724" s="11">
        <v>47.0</v>
      </c>
      <c r="F4724" s="21" t="s">
        <v>142</v>
      </c>
      <c r="G4724" s="15">
        <v>0.09328678839957037</v>
      </c>
      <c r="H4724" s="11" t="s">
        <v>33</v>
      </c>
      <c r="I4724" s="16">
        <v>1.0</v>
      </c>
      <c r="J4724" s="11" t="s">
        <v>2493</v>
      </c>
      <c r="K4724" s="11" t="s">
        <v>26</v>
      </c>
      <c r="L4724" s="11" t="s">
        <v>27</v>
      </c>
      <c r="M4724" s="11" t="s">
        <v>66</v>
      </c>
      <c r="N4724" s="11" t="s">
        <v>80</v>
      </c>
      <c r="O4724" s="11" t="s">
        <v>1661</v>
      </c>
      <c r="P4724" s="11" t="s">
        <v>99</v>
      </c>
      <c r="Q4724" s="20">
        <v>40622.0</v>
      </c>
      <c r="R4724" s="17">
        <f t="shared" si="2"/>
        <v>157.4960849</v>
      </c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>
        <f t="shared" si="8"/>
        <v>1</v>
      </c>
      <c r="AF4724" s="19">
        <f t="shared" si="13"/>
        <v>1</v>
      </c>
      <c r="AG4724" s="9"/>
      <c r="AH4724" s="9"/>
      <c r="AI4724" s="9"/>
    </row>
    <row r="4725" ht="15.0" customHeight="1">
      <c r="A4725" s="11">
        <v>4724.0</v>
      </c>
      <c r="B4725" s="12">
        <f t="shared" si="744"/>
        <v>40620</v>
      </c>
      <c r="C4725" s="13">
        <v>2011.0</v>
      </c>
      <c r="D4725" s="11" t="s">
        <v>102</v>
      </c>
      <c r="E4725" s="11">
        <v>15.0</v>
      </c>
      <c r="F4725" s="21" t="s">
        <v>766</v>
      </c>
      <c r="G4725" s="15">
        <v>0.013451801846520357</v>
      </c>
      <c r="H4725" s="11" t="s">
        <v>45</v>
      </c>
      <c r="I4725" s="16">
        <v>24.0</v>
      </c>
      <c r="J4725" s="11" t="s">
        <v>456</v>
      </c>
      <c r="K4725" s="11" t="s">
        <v>35</v>
      </c>
      <c r="L4725" s="11" t="s">
        <v>27</v>
      </c>
      <c r="M4725" s="11" t="s">
        <v>49</v>
      </c>
      <c r="N4725" s="11" t="s">
        <v>50</v>
      </c>
      <c r="O4725" s="11" t="s">
        <v>1150</v>
      </c>
      <c r="P4725" s="11" t="s">
        <v>52</v>
      </c>
      <c r="Q4725" s="20">
        <v>40623.0</v>
      </c>
      <c r="R4725" s="17">
        <f t="shared" si="2"/>
        <v>26.73545617</v>
      </c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>
        <f t="shared" si="8"/>
        <v>1</v>
      </c>
      <c r="AF4725" s="19">
        <f t="shared" si="13"/>
        <v>2</v>
      </c>
      <c r="AG4725" s="9"/>
      <c r="AH4725" s="9"/>
      <c r="AI4725" s="9"/>
    </row>
    <row r="4726" ht="15.0" customHeight="1">
      <c r="A4726" s="11">
        <v>4725.0</v>
      </c>
      <c r="B4726" s="12">
        <f t="shared" si="744"/>
        <v>40620</v>
      </c>
      <c r="C4726" s="13">
        <v>2011.0</v>
      </c>
      <c r="D4726" s="11" t="s">
        <v>44</v>
      </c>
      <c r="E4726" s="11">
        <v>14.0</v>
      </c>
      <c r="F4726" s="21" t="s">
        <v>290</v>
      </c>
      <c r="G4726" s="15">
        <v>0.053153961136023976</v>
      </c>
      <c r="H4726" s="11" t="s">
        <v>24</v>
      </c>
      <c r="I4726" s="16">
        <v>4.544</v>
      </c>
      <c r="J4726" s="11" t="s">
        <v>1384</v>
      </c>
      <c r="K4726" s="11" t="s">
        <v>35</v>
      </c>
      <c r="L4726" s="11" t="s">
        <v>48</v>
      </c>
      <c r="M4726" s="11" t="s">
        <v>28</v>
      </c>
      <c r="N4726" s="11" t="s">
        <v>56</v>
      </c>
      <c r="O4726" s="11" t="s">
        <v>2070</v>
      </c>
      <c r="P4726" s="11" t="s">
        <v>38</v>
      </c>
      <c r="Q4726" s="20">
        <v>40623.0</v>
      </c>
      <c r="R4726" s="17">
        <f t="shared" si="2"/>
        <v>3.366984514</v>
      </c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>
        <f t="shared" si="8"/>
        <v>4</v>
      </c>
      <c r="AF4726" s="19">
        <f t="shared" si="13"/>
        <v>2</v>
      </c>
      <c r="AG4726" s="9"/>
      <c r="AH4726" s="9"/>
      <c r="AI4726" s="9"/>
    </row>
    <row r="4727" ht="15.0" customHeight="1">
      <c r="A4727" s="11">
        <v>4726.0</v>
      </c>
      <c r="B4727" s="12">
        <f t="shared" si="744"/>
        <v>40620</v>
      </c>
      <c r="C4727" s="13">
        <v>2011.0</v>
      </c>
      <c r="D4727" s="11" t="s">
        <v>39</v>
      </c>
      <c r="E4727" s="11">
        <v>50.0</v>
      </c>
      <c r="F4727" s="21" t="s">
        <v>1097</v>
      </c>
      <c r="G4727" s="15">
        <v>0.04840670048141886</v>
      </c>
      <c r="H4727" s="11" t="s">
        <v>45</v>
      </c>
      <c r="I4727" s="16">
        <v>48.0</v>
      </c>
      <c r="J4727" s="11" t="s">
        <v>1384</v>
      </c>
      <c r="K4727" s="11" t="s">
        <v>35</v>
      </c>
      <c r="L4727" s="11" t="s">
        <v>48</v>
      </c>
      <c r="M4727" s="11" t="s">
        <v>49</v>
      </c>
      <c r="N4727" s="11" t="s">
        <v>85</v>
      </c>
      <c r="O4727" s="11" t="s">
        <v>1098</v>
      </c>
      <c r="P4727" s="11" t="s">
        <v>52</v>
      </c>
      <c r="Q4727" s="20">
        <v>40623.0</v>
      </c>
      <c r="R4727" s="17">
        <f t="shared" si="2"/>
        <v>847.988579</v>
      </c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>
        <f t="shared" si="8"/>
        <v>4</v>
      </c>
      <c r="AF4727" s="19">
        <f t="shared" si="13"/>
        <v>2</v>
      </c>
      <c r="AG4727" s="9"/>
      <c r="AH4727" s="9"/>
      <c r="AI4727" s="9"/>
    </row>
    <row r="4728" ht="15.0" customHeight="1">
      <c r="A4728" s="11">
        <v>4727.0</v>
      </c>
      <c r="B4728" s="12">
        <f t="shared" ref="B4728:B4730" si="745">DATE(2012,12,31)-653</f>
        <v>40621</v>
      </c>
      <c r="C4728" s="13">
        <v>2011.0</v>
      </c>
      <c r="D4728" s="11" t="s">
        <v>102</v>
      </c>
      <c r="E4728" s="11">
        <v>43.0</v>
      </c>
      <c r="F4728" s="21" t="s">
        <v>100</v>
      </c>
      <c r="G4728" s="15">
        <v>0.02016502964339429</v>
      </c>
      <c r="H4728" s="11" t="s">
        <v>33</v>
      </c>
      <c r="I4728" s="16">
        <v>4.792000000000001</v>
      </c>
      <c r="J4728" s="11" t="s">
        <v>2027</v>
      </c>
      <c r="K4728" s="11" t="s">
        <v>83</v>
      </c>
      <c r="L4728" s="11" t="s">
        <v>48</v>
      </c>
      <c r="M4728" s="11" t="s">
        <v>66</v>
      </c>
      <c r="N4728" s="11" t="s">
        <v>80</v>
      </c>
      <c r="O4728" s="11" t="s">
        <v>101</v>
      </c>
      <c r="P4728" s="11" t="s">
        <v>38</v>
      </c>
      <c r="Q4728" s="20">
        <v>40624.0</v>
      </c>
      <c r="R4728" s="17">
        <f t="shared" si="2"/>
        <v>178.6317538</v>
      </c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>
        <f t="shared" si="8"/>
        <v>4</v>
      </c>
      <c r="AF4728" s="19" t="b">
        <f t="shared" si="13"/>
        <v>0</v>
      </c>
      <c r="AG4728" s="9"/>
      <c r="AH4728" s="9"/>
      <c r="AI4728" s="9"/>
    </row>
    <row r="4729" ht="15.0" customHeight="1">
      <c r="A4729" s="11">
        <v>4728.0</v>
      </c>
      <c r="B4729" s="12">
        <f t="shared" si="745"/>
        <v>40621</v>
      </c>
      <c r="C4729" s="13">
        <v>2011.0</v>
      </c>
      <c r="D4729" s="11" t="s">
        <v>39</v>
      </c>
      <c r="E4729" s="11">
        <v>31.0</v>
      </c>
      <c r="F4729" s="21" t="s">
        <v>126</v>
      </c>
      <c r="G4729" s="15">
        <v>0.10322654462242568</v>
      </c>
      <c r="H4729" s="11" t="s">
        <v>33</v>
      </c>
      <c r="I4729" s="16">
        <v>4.856000000000001</v>
      </c>
      <c r="J4729" s="11" t="s">
        <v>2383</v>
      </c>
      <c r="K4729" s="11" t="s">
        <v>117</v>
      </c>
      <c r="L4729" s="11" t="s">
        <v>48</v>
      </c>
      <c r="M4729" s="11" t="s">
        <v>28</v>
      </c>
      <c r="N4729" s="11" t="s">
        <v>56</v>
      </c>
      <c r="O4729" s="11" t="s">
        <v>1316</v>
      </c>
      <c r="P4729" s="11" t="s">
        <v>38</v>
      </c>
      <c r="Q4729" s="20">
        <v>40624.0</v>
      </c>
      <c r="R4729" s="17">
        <f t="shared" si="2"/>
        <v>16.18138023</v>
      </c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>
        <f t="shared" si="8"/>
        <v>4</v>
      </c>
      <c r="AF4729" s="19" t="b">
        <f t="shared" si="13"/>
        <v>0</v>
      </c>
      <c r="AG4729" s="9"/>
      <c r="AH4729" s="9"/>
      <c r="AI4729" s="9"/>
    </row>
    <row r="4730" ht="15.0" customHeight="1">
      <c r="A4730" s="11">
        <v>4729.0</v>
      </c>
      <c r="B4730" s="12">
        <f t="shared" si="745"/>
        <v>40621</v>
      </c>
      <c r="C4730" s="13">
        <v>2011.0</v>
      </c>
      <c r="D4730" s="11" t="s">
        <v>23</v>
      </c>
      <c r="E4730" s="11">
        <v>35.0</v>
      </c>
      <c r="F4730" s="21" t="s">
        <v>705</v>
      </c>
      <c r="G4730" s="15">
        <v>0.030863095238095207</v>
      </c>
      <c r="H4730" s="11" t="s">
        <v>33</v>
      </c>
      <c r="I4730" s="16">
        <v>0.752</v>
      </c>
      <c r="J4730" s="11" t="s">
        <v>533</v>
      </c>
      <c r="K4730" s="11" t="s">
        <v>35</v>
      </c>
      <c r="L4730" s="11" t="s">
        <v>48</v>
      </c>
      <c r="M4730" s="11" t="s">
        <v>28</v>
      </c>
      <c r="N4730" s="11" t="s">
        <v>216</v>
      </c>
      <c r="O4730" s="11" t="s">
        <v>2042</v>
      </c>
      <c r="P4730" s="11" t="s">
        <v>58</v>
      </c>
      <c r="Q4730" s="20">
        <v>40624.0</v>
      </c>
      <c r="R4730" s="17">
        <f t="shared" si="2"/>
        <v>4.019979881</v>
      </c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>
        <f t="shared" si="8"/>
        <v>4</v>
      </c>
      <c r="AF4730" s="19">
        <f t="shared" si="13"/>
        <v>2</v>
      </c>
      <c r="AG4730" s="9"/>
      <c r="AH4730" s="9"/>
      <c r="AI4730" s="9"/>
    </row>
    <row r="4731" ht="15.0" customHeight="1">
      <c r="A4731" s="11">
        <v>4730.0</v>
      </c>
      <c r="B4731" s="12">
        <f t="shared" ref="B4731:B4735" si="746">DATE(2012,12,31)-652</f>
        <v>40622</v>
      </c>
      <c r="C4731" s="13">
        <v>2011.0</v>
      </c>
      <c r="D4731" s="11" t="s">
        <v>32</v>
      </c>
      <c r="E4731" s="11">
        <v>32.0</v>
      </c>
      <c r="F4731" s="21" t="s">
        <v>415</v>
      </c>
      <c r="G4731" s="15">
        <v>0.06483991064780352</v>
      </c>
      <c r="H4731" s="11" t="s">
        <v>33</v>
      </c>
      <c r="I4731" s="16">
        <v>0.792</v>
      </c>
      <c r="J4731" s="11" t="s">
        <v>897</v>
      </c>
      <c r="K4731" s="11" t="s">
        <v>26</v>
      </c>
      <c r="L4731" s="11" t="s">
        <v>41</v>
      </c>
      <c r="M4731" s="11" t="s">
        <v>28</v>
      </c>
      <c r="N4731" s="11" t="s">
        <v>216</v>
      </c>
      <c r="O4731" s="11" t="s">
        <v>1940</v>
      </c>
      <c r="P4731" s="11" t="s">
        <v>58</v>
      </c>
      <c r="Q4731" s="20">
        <v>40624.0</v>
      </c>
      <c r="R4731" s="17">
        <f t="shared" si="2"/>
        <v>8.143374058</v>
      </c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>
        <f t="shared" si="8"/>
        <v>3</v>
      </c>
      <c r="AF4731" s="19">
        <f t="shared" si="13"/>
        <v>1</v>
      </c>
      <c r="AG4731" s="9"/>
      <c r="AH4731" s="9"/>
      <c r="AI4731" s="9"/>
    </row>
    <row r="4732" ht="15.0" customHeight="1">
      <c r="A4732" s="11">
        <v>4731.0</v>
      </c>
      <c r="B4732" s="12">
        <f t="shared" si="746"/>
        <v>40622</v>
      </c>
      <c r="C4732" s="13">
        <v>2011.0</v>
      </c>
      <c r="D4732" s="11" t="s">
        <v>32</v>
      </c>
      <c r="E4732" s="11">
        <v>19.0</v>
      </c>
      <c r="F4732" s="21" t="s">
        <v>1544</v>
      </c>
      <c r="G4732" s="15">
        <v>0.057772908366533884</v>
      </c>
      <c r="H4732" s="11" t="s">
        <v>33</v>
      </c>
      <c r="I4732" s="16">
        <v>7.192</v>
      </c>
      <c r="J4732" s="11" t="s">
        <v>897</v>
      </c>
      <c r="K4732" s="11" t="s">
        <v>26</v>
      </c>
      <c r="L4732" s="11" t="s">
        <v>41</v>
      </c>
      <c r="M4732" s="11" t="s">
        <v>49</v>
      </c>
      <c r="N4732" s="11" t="s">
        <v>73</v>
      </c>
      <c r="O4732" s="11" t="s">
        <v>1545</v>
      </c>
      <c r="P4732" s="11" t="s">
        <v>99</v>
      </c>
      <c r="Q4732" s="20">
        <v>40624.0</v>
      </c>
      <c r="R4732" s="17">
        <f t="shared" si="2"/>
        <v>109.3058804</v>
      </c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>
        <f t="shared" si="8"/>
        <v>3</v>
      </c>
      <c r="AF4732" s="19">
        <f t="shared" si="13"/>
        <v>1</v>
      </c>
      <c r="AG4732" s="9"/>
      <c r="AH4732" s="9"/>
      <c r="AI4732" s="9"/>
    </row>
    <row r="4733" ht="15.0" customHeight="1">
      <c r="A4733" s="11">
        <v>4732.0</v>
      </c>
      <c r="B4733" s="12">
        <f t="shared" si="746"/>
        <v>40622</v>
      </c>
      <c r="C4733" s="13">
        <v>2011.0</v>
      </c>
      <c r="D4733" s="11" t="s">
        <v>23</v>
      </c>
      <c r="E4733" s="11">
        <v>44.0</v>
      </c>
      <c r="F4733" s="21" t="s">
        <v>562</v>
      </c>
      <c r="G4733" s="15">
        <v>0.08326943822089465</v>
      </c>
      <c r="H4733" s="11" t="s">
        <v>45</v>
      </c>
      <c r="I4733" s="16">
        <v>55.44</v>
      </c>
      <c r="J4733" s="11" t="s">
        <v>268</v>
      </c>
      <c r="K4733" s="11" t="s">
        <v>65</v>
      </c>
      <c r="L4733" s="11" t="s">
        <v>48</v>
      </c>
      <c r="M4733" s="11" t="s">
        <v>66</v>
      </c>
      <c r="N4733" s="11" t="s">
        <v>69</v>
      </c>
      <c r="O4733" s="11" t="s">
        <v>2222</v>
      </c>
      <c r="P4733" s="11" t="s">
        <v>52</v>
      </c>
      <c r="Q4733" s="20">
        <v>40625.0</v>
      </c>
      <c r="R4733" s="17">
        <f t="shared" si="2"/>
        <v>1839.841568</v>
      </c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>
        <f t="shared" si="8"/>
        <v>4</v>
      </c>
      <c r="AF4733" s="19">
        <f t="shared" si="13"/>
        <v>5</v>
      </c>
      <c r="AG4733" s="9"/>
      <c r="AH4733" s="9"/>
      <c r="AI4733" s="9"/>
    </row>
    <row r="4734" ht="15.0" customHeight="1">
      <c r="A4734" s="11">
        <v>4733.0</v>
      </c>
      <c r="B4734" s="12">
        <f t="shared" si="746"/>
        <v>40622</v>
      </c>
      <c r="C4734" s="13">
        <v>2011.0</v>
      </c>
      <c r="D4734" s="11" t="s">
        <v>23</v>
      </c>
      <c r="E4734" s="11">
        <v>1.0</v>
      </c>
      <c r="F4734" s="21" t="s">
        <v>1166</v>
      </c>
      <c r="G4734" s="15">
        <v>0.16376470588235287</v>
      </c>
      <c r="H4734" s="11" t="s">
        <v>33</v>
      </c>
      <c r="I4734" s="16">
        <v>2.408</v>
      </c>
      <c r="J4734" s="11" t="s">
        <v>268</v>
      </c>
      <c r="K4734" s="11" t="s">
        <v>65</v>
      </c>
      <c r="L4734" s="11" t="s">
        <v>48</v>
      </c>
      <c r="M4734" s="11" t="s">
        <v>28</v>
      </c>
      <c r="N4734" s="11" t="s">
        <v>56</v>
      </c>
      <c r="O4734" s="11" t="s">
        <v>2060</v>
      </c>
      <c r="P4734" s="11" t="s">
        <v>58</v>
      </c>
      <c r="Q4734" s="20">
        <v>40625.0</v>
      </c>
      <c r="R4734" s="17">
        <f t="shared" si="2"/>
        <v>1.164039529</v>
      </c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>
        <f t="shared" si="8"/>
        <v>4</v>
      </c>
      <c r="AF4734" s="19">
        <f t="shared" si="13"/>
        <v>5</v>
      </c>
      <c r="AG4734" s="9"/>
      <c r="AH4734" s="9"/>
      <c r="AI4734" s="9"/>
    </row>
    <row r="4735" ht="15.0" customHeight="1">
      <c r="A4735" s="11">
        <v>4734.0</v>
      </c>
      <c r="B4735" s="12">
        <f t="shared" si="746"/>
        <v>40622</v>
      </c>
      <c r="C4735" s="13">
        <v>2011.0</v>
      </c>
      <c r="D4735" s="11" t="s">
        <v>44</v>
      </c>
      <c r="E4735" s="11">
        <v>50.0</v>
      </c>
      <c r="F4735" s="21" t="s">
        <v>103</v>
      </c>
      <c r="G4735" s="15">
        <v>0.09559694656488547</v>
      </c>
      <c r="H4735" s="11" t="s">
        <v>24</v>
      </c>
      <c r="I4735" s="16">
        <v>1.192</v>
      </c>
      <c r="J4735" s="11" t="s">
        <v>1468</v>
      </c>
      <c r="K4735" s="11" t="s">
        <v>83</v>
      </c>
      <c r="L4735" s="11" t="s">
        <v>27</v>
      </c>
      <c r="M4735" s="11" t="s">
        <v>28</v>
      </c>
      <c r="N4735" s="11" t="s">
        <v>42</v>
      </c>
      <c r="O4735" s="11" t="s">
        <v>1473</v>
      </c>
      <c r="P4735" s="11" t="s">
        <v>38</v>
      </c>
      <c r="Q4735" s="20">
        <v>40625.0</v>
      </c>
      <c r="R4735" s="17">
        <f t="shared" si="2"/>
        <v>28.3150508</v>
      </c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>
        <f t="shared" si="8"/>
        <v>1</v>
      </c>
      <c r="AF4735" s="19" t="b">
        <f t="shared" si="13"/>
        <v>0</v>
      </c>
      <c r="AG4735" s="9"/>
      <c r="AH4735" s="9"/>
      <c r="AI4735" s="9"/>
    </row>
    <row r="4736" ht="15.0" customHeight="1">
      <c r="A4736" s="11">
        <v>4735.0</v>
      </c>
      <c r="B4736" s="12">
        <f t="shared" ref="B4736:B4739" si="747">DATE(2012,12,31)-651</f>
        <v>40623</v>
      </c>
      <c r="C4736" s="13">
        <v>2011.0</v>
      </c>
      <c r="D4736" s="11" t="s">
        <v>44</v>
      </c>
      <c r="E4736" s="11">
        <v>7.0</v>
      </c>
      <c r="F4736" s="21" t="s">
        <v>178</v>
      </c>
      <c r="G4736" s="15">
        <v>0.02253367003366985</v>
      </c>
      <c r="H4736" s="11" t="s">
        <v>33</v>
      </c>
      <c r="I4736" s="16">
        <v>3.192</v>
      </c>
      <c r="J4736" s="11" t="s">
        <v>1099</v>
      </c>
      <c r="K4736" s="11" t="s">
        <v>47</v>
      </c>
      <c r="L4736" s="11" t="s">
        <v>48</v>
      </c>
      <c r="M4736" s="11" t="s">
        <v>66</v>
      </c>
      <c r="N4736" s="11" t="s">
        <v>80</v>
      </c>
      <c r="O4736" s="11" t="s">
        <v>587</v>
      </c>
      <c r="P4736" s="11" t="s">
        <v>38</v>
      </c>
      <c r="Q4736" s="20">
        <v>40625.0</v>
      </c>
      <c r="R4736" s="17">
        <f t="shared" si="2"/>
        <v>10.46670946</v>
      </c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>
        <f t="shared" si="8"/>
        <v>4</v>
      </c>
      <c r="AF4736" s="19">
        <f t="shared" si="13"/>
        <v>3</v>
      </c>
      <c r="AG4736" s="9"/>
      <c r="AH4736" s="9"/>
      <c r="AI4736" s="9"/>
    </row>
    <row r="4737" ht="15.0" customHeight="1">
      <c r="A4737" s="11">
        <v>4736.0</v>
      </c>
      <c r="B4737" s="12">
        <f t="shared" si="747"/>
        <v>40623</v>
      </c>
      <c r="C4737" s="13">
        <v>2011.0</v>
      </c>
      <c r="D4737" s="11" t="s">
        <v>39</v>
      </c>
      <c r="E4737" s="11">
        <v>46.0</v>
      </c>
      <c r="F4737" s="21" t="s">
        <v>210</v>
      </c>
      <c r="G4737" s="15">
        <v>0.0783410138248846</v>
      </c>
      <c r="H4737" s="11" t="s">
        <v>33</v>
      </c>
      <c r="I4737" s="16">
        <v>0.4</v>
      </c>
      <c r="J4737" s="11" t="s">
        <v>711</v>
      </c>
      <c r="K4737" s="11" t="s">
        <v>83</v>
      </c>
      <c r="L4737" s="11" t="s">
        <v>36</v>
      </c>
      <c r="M4737" s="11" t="s">
        <v>28</v>
      </c>
      <c r="N4737" s="11" t="s">
        <v>188</v>
      </c>
      <c r="O4737" s="11" t="s">
        <v>1356</v>
      </c>
      <c r="P4737" s="11" t="s">
        <v>38</v>
      </c>
      <c r="Q4737" s="20">
        <v>40625.0</v>
      </c>
      <c r="R4737" s="17">
        <f t="shared" si="2"/>
        <v>9.400921659</v>
      </c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>
        <f t="shared" si="8"/>
        <v>2</v>
      </c>
      <c r="AF4737" s="19" t="b">
        <f t="shared" si="13"/>
        <v>0</v>
      </c>
      <c r="AG4737" s="9"/>
      <c r="AH4737" s="9"/>
      <c r="AI4737" s="9"/>
    </row>
    <row r="4738" ht="15.0" customHeight="1">
      <c r="A4738" s="11">
        <v>4737.0</v>
      </c>
      <c r="B4738" s="12">
        <f t="shared" si="747"/>
        <v>40623</v>
      </c>
      <c r="C4738" s="13">
        <v>2011.0</v>
      </c>
      <c r="D4738" s="11" t="s">
        <v>44</v>
      </c>
      <c r="E4738" s="11">
        <v>29.0</v>
      </c>
      <c r="F4738" s="21" t="s">
        <v>319</v>
      </c>
      <c r="G4738" s="15">
        <v>0.05756321839080471</v>
      </c>
      <c r="H4738" s="11" t="s">
        <v>33</v>
      </c>
      <c r="I4738" s="16">
        <v>0.792</v>
      </c>
      <c r="J4738" s="11" t="s">
        <v>1773</v>
      </c>
      <c r="K4738" s="11" t="s">
        <v>61</v>
      </c>
      <c r="L4738" s="11" t="s">
        <v>48</v>
      </c>
      <c r="M4738" s="11" t="s">
        <v>28</v>
      </c>
      <c r="N4738" s="11" t="s">
        <v>188</v>
      </c>
      <c r="O4738" s="11" t="s">
        <v>2320</v>
      </c>
      <c r="P4738" s="11" t="s">
        <v>38</v>
      </c>
      <c r="Q4738" s="20">
        <v>40625.0</v>
      </c>
      <c r="R4738" s="17">
        <f t="shared" si="2"/>
        <v>4.719723402</v>
      </c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>
        <f t="shared" si="8"/>
        <v>4</v>
      </c>
      <c r="AF4738" s="19">
        <f t="shared" si="13"/>
        <v>4</v>
      </c>
      <c r="AG4738" s="9"/>
      <c r="AH4738" s="9"/>
      <c r="AI4738" s="9"/>
    </row>
    <row r="4739" ht="15.0" customHeight="1">
      <c r="A4739" s="11">
        <v>4738.0</v>
      </c>
      <c r="B4739" s="12">
        <f t="shared" si="747"/>
        <v>40623</v>
      </c>
      <c r="C4739" s="13">
        <v>2011.0</v>
      </c>
      <c r="D4739" s="11" t="s">
        <v>44</v>
      </c>
      <c r="E4739" s="11">
        <v>46.0</v>
      </c>
      <c r="F4739" s="21" t="s">
        <v>2269</v>
      </c>
      <c r="G4739" s="15">
        <v>0.09457732335220012</v>
      </c>
      <c r="H4739" s="11" t="s">
        <v>45</v>
      </c>
      <c r="I4739" s="16">
        <v>48.0</v>
      </c>
      <c r="J4739" s="11" t="s">
        <v>1773</v>
      </c>
      <c r="K4739" s="11" t="s">
        <v>61</v>
      </c>
      <c r="L4739" s="11" t="s">
        <v>48</v>
      </c>
      <c r="M4739" s="11" t="s">
        <v>49</v>
      </c>
      <c r="N4739" s="11" t="s">
        <v>85</v>
      </c>
      <c r="O4739" s="11" t="s">
        <v>2270</v>
      </c>
      <c r="P4739" s="11" t="s">
        <v>52</v>
      </c>
      <c r="Q4739" s="20">
        <v>40625.0</v>
      </c>
      <c r="R4739" s="17">
        <f t="shared" si="2"/>
        <v>375.2071572</v>
      </c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>
        <f t="shared" si="8"/>
        <v>4</v>
      </c>
      <c r="AF4739" s="19">
        <f t="shared" si="13"/>
        <v>4</v>
      </c>
      <c r="AG4739" s="9"/>
      <c r="AH4739" s="9"/>
      <c r="AI4739" s="9"/>
    </row>
    <row r="4740" ht="15.0" customHeight="1">
      <c r="A4740" s="11">
        <v>4739.0</v>
      </c>
      <c r="B4740" s="12">
        <f t="shared" ref="B4740:B4743" si="748">DATE(2012,12,31)-650</f>
        <v>40624</v>
      </c>
      <c r="C4740" s="13">
        <v>2011.0</v>
      </c>
      <c r="D4740" s="11" t="s">
        <v>32</v>
      </c>
      <c r="E4740" s="11">
        <v>12.0</v>
      </c>
      <c r="F4740" s="21" t="s">
        <v>245</v>
      </c>
      <c r="G4740" s="15">
        <v>0.015928718300205705</v>
      </c>
      <c r="H4740" s="11" t="s">
        <v>33</v>
      </c>
      <c r="I4740" s="16">
        <v>5.5760000000000005</v>
      </c>
      <c r="J4740" s="11" t="s">
        <v>1634</v>
      </c>
      <c r="K4740" s="11" t="s">
        <v>65</v>
      </c>
      <c r="L4740" s="11" t="s">
        <v>41</v>
      </c>
      <c r="M4740" s="11" t="s">
        <v>28</v>
      </c>
      <c r="N4740" s="11" t="s">
        <v>236</v>
      </c>
      <c r="O4740" s="11" t="s">
        <v>376</v>
      </c>
      <c r="P4740" s="11" t="s">
        <v>38</v>
      </c>
      <c r="Q4740" s="20">
        <v>40626.0</v>
      </c>
      <c r="R4740" s="17">
        <f t="shared" si="2"/>
        <v>2.286981659</v>
      </c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>
        <f t="shared" si="8"/>
        <v>3</v>
      </c>
      <c r="AF4740" s="19">
        <f t="shared" si="13"/>
        <v>5</v>
      </c>
      <c r="AG4740" s="9"/>
      <c r="AH4740" s="9"/>
      <c r="AI4740" s="9"/>
    </row>
    <row r="4741" ht="15.0" customHeight="1">
      <c r="A4741" s="11">
        <v>4740.0</v>
      </c>
      <c r="B4741" s="12">
        <f t="shared" si="748"/>
        <v>40624</v>
      </c>
      <c r="C4741" s="13">
        <v>2011.0</v>
      </c>
      <c r="D4741" s="11" t="s">
        <v>32</v>
      </c>
      <c r="E4741" s="11">
        <v>37.0</v>
      </c>
      <c r="F4741" s="21" t="s">
        <v>299</v>
      </c>
      <c r="G4741" s="15">
        <v>0.014883720930232356</v>
      </c>
      <c r="H4741" s="11" t="s">
        <v>33</v>
      </c>
      <c r="I4741" s="16">
        <v>7.384</v>
      </c>
      <c r="J4741" s="11" t="s">
        <v>1634</v>
      </c>
      <c r="K4741" s="11" t="s">
        <v>65</v>
      </c>
      <c r="L4741" s="11" t="s">
        <v>41</v>
      </c>
      <c r="M4741" s="11" t="s">
        <v>28</v>
      </c>
      <c r="N4741" s="11" t="s">
        <v>197</v>
      </c>
      <c r="O4741" s="11" t="s">
        <v>301</v>
      </c>
      <c r="P4741" s="11" t="s">
        <v>38</v>
      </c>
      <c r="Q4741" s="20">
        <v>40626.0</v>
      </c>
      <c r="R4741" s="17">
        <f t="shared" si="2"/>
        <v>4.350273488</v>
      </c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>
        <f t="shared" si="8"/>
        <v>3</v>
      </c>
      <c r="AF4741" s="19">
        <f t="shared" si="13"/>
        <v>5</v>
      </c>
      <c r="AG4741" s="9"/>
      <c r="AH4741" s="9"/>
      <c r="AI4741" s="9"/>
    </row>
    <row r="4742" ht="15.0" customHeight="1">
      <c r="A4742" s="11">
        <v>4741.0</v>
      </c>
      <c r="B4742" s="12">
        <f t="shared" si="748"/>
        <v>40624</v>
      </c>
      <c r="C4742" s="13">
        <v>2011.0</v>
      </c>
      <c r="D4742" s="11" t="s">
        <v>32</v>
      </c>
      <c r="E4742" s="11">
        <v>7.0</v>
      </c>
      <c r="F4742" s="21" t="s">
        <v>1158</v>
      </c>
      <c r="G4742" s="15">
        <v>0.13024096385542172</v>
      </c>
      <c r="H4742" s="11" t="s">
        <v>33</v>
      </c>
      <c r="I4742" s="16">
        <v>4.376</v>
      </c>
      <c r="J4742" s="11" t="s">
        <v>1439</v>
      </c>
      <c r="K4742" s="11" t="s">
        <v>61</v>
      </c>
      <c r="L4742" s="11" t="s">
        <v>41</v>
      </c>
      <c r="M4742" s="11" t="s">
        <v>28</v>
      </c>
      <c r="N4742" s="11" t="s">
        <v>42</v>
      </c>
      <c r="O4742" s="11" t="s">
        <v>1530</v>
      </c>
      <c r="P4742" s="11" t="s">
        <v>38</v>
      </c>
      <c r="Q4742" s="20">
        <v>40626.0</v>
      </c>
      <c r="R4742" s="17">
        <f t="shared" si="2"/>
        <v>3.760838072</v>
      </c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>
        <f t="shared" si="8"/>
        <v>3</v>
      </c>
      <c r="AF4742" s="19">
        <f t="shared" si="13"/>
        <v>4</v>
      </c>
      <c r="AG4742" s="9"/>
      <c r="AH4742" s="9"/>
      <c r="AI4742" s="9"/>
    </row>
    <row r="4743" ht="15.0" customHeight="1">
      <c r="A4743" s="11">
        <v>4742.0</v>
      </c>
      <c r="B4743" s="12">
        <f t="shared" si="748"/>
        <v>40624</v>
      </c>
      <c r="C4743" s="13">
        <v>2011.0</v>
      </c>
      <c r="D4743" s="11" t="s">
        <v>32</v>
      </c>
      <c r="E4743" s="11">
        <v>33.0</v>
      </c>
      <c r="F4743" s="21" t="s">
        <v>178</v>
      </c>
      <c r="G4743" s="15">
        <v>0.011725326560232157</v>
      </c>
      <c r="H4743" s="11" t="s">
        <v>24</v>
      </c>
      <c r="I4743" s="16">
        <v>4.248</v>
      </c>
      <c r="J4743" s="11" t="s">
        <v>1217</v>
      </c>
      <c r="K4743" s="11" t="s">
        <v>26</v>
      </c>
      <c r="L4743" s="11" t="s">
        <v>36</v>
      </c>
      <c r="M4743" s="11" t="s">
        <v>66</v>
      </c>
      <c r="N4743" s="11" t="s">
        <v>80</v>
      </c>
      <c r="O4743" s="11" t="s">
        <v>1738</v>
      </c>
      <c r="P4743" s="11" t="s">
        <v>38</v>
      </c>
      <c r="Q4743" s="20">
        <v>40626.0</v>
      </c>
      <c r="R4743" s="17">
        <f t="shared" si="2"/>
        <v>25.54887686</v>
      </c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>
        <f t="shared" si="8"/>
        <v>2</v>
      </c>
      <c r="AF4743" s="19">
        <f t="shared" si="13"/>
        <v>1</v>
      </c>
      <c r="AG4743" s="9"/>
      <c r="AH4743" s="9"/>
      <c r="AI4743" s="9"/>
    </row>
    <row r="4744" ht="15.0" customHeight="1">
      <c r="A4744" s="11">
        <v>4743.0</v>
      </c>
      <c r="B4744" s="12">
        <f t="shared" ref="B4744:B4747" si="749">DATE(2012,12,31)-649</f>
        <v>40625</v>
      </c>
      <c r="C4744" s="13">
        <v>2011.0</v>
      </c>
      <c r="D4744" s="11" t="s">
        <v>102</v>
      </c>
      <c r="E4744" s="11">
        <v>6.0</v>
      </c>
      <c r="F4744" s="21" t="s">
        <v>190</v>
      </c>
      <c r="G4744" s="15">
        <v>0.051012574454003964</v>
      </c>
      <c r="H4744" s="11" t="s">
        <v>33</v>
      </c>
      <c r="I4744" s="16">
        <v>7.192</v>
      </c>
      <c r="J4744" s="11" t="s">
        <v>2140</v>
      </c>
      <c r="K4744" s="11" t="s">
        <v>117</v>
      </c>
      <c r="L4744" s="11" t="s">
        <v>48</v>
      </c>
      <c r="M4744" s="11" t="s">
        <v>49</v>
      </c>
      <c r="N4744" s="11" t="s">
        <v>73</v>
      </c>
      <c r="O4744" s="11" t="s">
        <v>191</v>
      </c>
      <c r="P4744" s="11" t="s">
        <v>99</v>
      </c>
      <c r="Q4744" s="20">
        <v>40627.0</v>
      </c>
      <c r="R4744" s="17">
        <f t="shared" si="2"/>
        <v>7.314795076</v>
      </c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>
        <f t="shared" si="8"/>
        <v>4</v>
      </c>
      <c r="AF4744" s="19" t="b">
        <f t="shared" si="13"/>
        <v>0</v>
      </c>
      <c r="AG4744" s="9"/>
      <c r="AH4744" s="9"/>
      <c r="AI4744" s="9"/>
    </row>
    <row r="4745" ht="15.0" customHeight="1">
      <c r="A4745" s="11">
        <v>4744.0</v>
      </c>
      <c r="B4745" s="12">
        <f t="shared" si="749"/>
        <v>40625</v>
      </c>
      <c r="C4745" s="13">
        <v>2011.0</v>
      </c>
      <c r="D4745" s="11" t="s">
        <v>23</v>
      </c>
      <c r="E4745" s="11">
        <v>22.0</v>
      </c>
      <c r="F4745" s="21" t="s">
        <v>147</v>
      </c>
      <c r="G4745" s="15">
        <v>0.1043817787418656</v>
      </c>
      <c r="H4745" s="11" t="s">
        <v>24</v>
      </c>
      <c r="I4745" s="16">
        <v>3.8880000000000003</v>
      </c>
      <c r="J4745" s="11" t="s">
        <v>2145</v>
      </c>
      <c r="K4745" s="11" t="s">
        <v>26</v>
      </c>
      <c r="L4745" s="11" t="s">
        <v>36</v>
      </c>
      <c r="M4745" s="11" t="s">
        <v>49</v>
      </c>
      <c r="N4745" s="11" t="s">
        <v>73</v>
      </c>
      <c r="O4745" s="11" t="s">
        <v>1119</v>
      </c>
      <c r="P4745" s="11" t="s">
        <v>38</v>
      </c>
      <c r="Q4745" s="20">
        <v>40627.0</v>
      </c>
      <c r="R4745" s="17">
        <f t="shared" si="2"/>
        <v>4.309714881</v>
      </c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>
        <f t="shared" si="8"/>
        <v>2</v>
      </c>
      <c r="AF4745" s="19">
        <f t="shared" si="13"/>
        <v>1</v>
      </c>
      <c r="AG4745" s="9"/>
      <c r="AH4745" s="9"/>
      <c r="AI4745" s="9"/>
    </row>
    <row r="4746" ht="15.0" customHeight="1">
      <c r="A4746" s="11">
        <v>4745.0</v>
      </c>
      <c r="B4746" s="12">
        <f t="shared" si="749"/>
        <v>40625</v>
      </c>
      <c r="C4746" s="13">
        <v>2011.0</v>
      </c>
      <c r="D4746" s="11" t="s">
        <v>23</v>
      </c>
      <c r="E4746" s="11">
        <v>31.0</v>
      </c>
      <c r="F4746" s="21" t="s">
        <v>1891</v>
      </c>
      <c r="G4746" s="15">
        <v>0.08628766697732201</v>
      </c>
      <c r="H4746" s="11" t="s">
        <v>33</v>
      </c>
      <c r="I4746" s="16">
        <v>5.824000000000001</v>
      </c>
      <c r="J4746" s="11" t="s">
        <v>2145</v>
      </c>
      <c r="K4746" s="11" t="s">
        <v>26</v>
      </c>
      <c r="L4746" s="11" t="s">
        <v>36</v>
      </c>
      <c r="M4746" s="11" t="s">
        <v>28</v>
      </c>
      <c r="N4746" s="11" t="s">
        <v>29</v>
      </c>
      <c r="O4746" s="11" t="s">
        <v>2382</v>
      </c>
      <c r="P4746" s="11" t="s">
        <v>38</v>
      </c>
      <c r="Q4746" s="20">
        <v>40627.0</v>
      </c>
      <c r="R4746" s="17">
        <f t="shared" si="2"/>
        <v>25.37927376</v>
      </c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>
        <f t="shared" si="8"/>
        <v>2</v>
      </c>
      <c r="AF4746" s="19">
        <f t="shared" si="13"/>
        <v>1</v>
      </c>
      <c r="AG4746" s="9"/>
      <c r="AH4746" s="9"/>
      <c r="AI4746" s="9"/>
    </row>
    <row r="4747" ht="15.0" customHeight="1">
      <c r="A4747" s="11">
        <v>4746.0</v>
      </c>
      <c r="B4747" s="12">
        <f t="shared" si="749"/>
        <v>40625</v>
      </c>
      <c r="C4747" s="13">
        <v>2011.0</v>
      </c>
      <c r="D4747" s="11" t="s">
        <v>102</v>
      </c>
      <c r="E4747" s="11">
        <v>37.0</v>
      </c>
      <c r="F4747" s="21" t="s">
        <v>440</v>
      </c>
      <c r="G4747" s="15">
        <v>0.015446153846153922</v>
      </c>
      <c r="H4747" s="11" t="s">
        <v>33</v>
      </c>
      <c r="I4747" s="16">
        <v>4.384</v>
      </c>
      <c r="J4747" s="11" t="s">
        <v>366</v>
      </c>
      <c r="K4747" s="11" t="s">
        <v>35</v>
      </c>
      <c r="L4747" s="11" t="s">
        <v>48</v>
      </c>
      <c r="M4747" s="11" t="s">
        <v>28</v>
      </c>
      <c r="N4747" s="11" t="s">
        <v>42</v>
      </c>
      <c r="O4747" s="11" t="s">
        <v>2379</v>
      </c>
      <c r="P4747" s="11" t="s">
        <v>38</v>
      </c>
      <c r="Q4747" s="20">
        <v>40627.0</v>
      </c>
      <c r="R4747" s="17">
        <f t="shared" si="2"/>
        <v>3.953968246</v>
      </c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>
        <f t="shared" si="8"/>
        <v>4</v>
      </c>
      <c r="AF4747" s="19">
        <f t="shared" si="13"/>
        <v>2</v>
      </c>
      <c r="AG4747" s="9"/>
      <c r="AH4747" s="9"/>
      <c r="AI4747" s="9"/>
    </row>
    <row r="4748" ht="15.0" customHeight="1">
      <c r="A4748" s="11">
        <v>4747.0</v>
      </c>
      <c r="B4748" s="12">
        <f t="shared" ref="B4748:B4752" si="750">DATE(2012,12,31)-648</f>
        <v>40626</v>
      </c>
      <c r="C4748" s="13">
        <v>2011.0</v>
      </c>
      <c r="D4748" s="11" t="s">
        <v>32</v>
      </c>
      <c r="E4748" s="11">
        <v>21.0</v>
      </c>
      <c r="F4748" s="21" t="s">
        <v>734</v>
      </c>
      <c r="G4748" s="15">
        <v>0.06789966257082834</v>
      </c>
      <c r="H4748" s="11" t="s">
        <v>24</v>
      </c>
      <c r="I4748" s="16">
        <v>28.0</v>
      </c>
      <c r="J4748" s="11" t="s">
        <v>1756</v>
      </c>
      <c r="K4748" s="11" t="s">
        <v>117</v>
      </c>
      <c r="L4748" s="11" t="s">
        <v>48</v>
      </c>
      <c r="M4748" s="11" t="s">
        <v>28</v>
      </c>
      <c r="N4748" s="11" t="s">
        <v>29</v>
      </c>
      <c r="O4748" s="11" t="s">
        <v>736</v>
      </c>
      <c r="P4748" s="11" t="s">
        <v>31</v>
      </c>
      <c r="Q4748" s="20">
        <v>40628.0</v>
      </c>
      <c r="R4748" s="17">
        <f t="shared" si="2"/>
        <v>198.817002</v>
      </c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>
        <f t="shared" si="8"/>
        <v>4</v>
      </c>
      <c r="AF4748" s="19" t="b">
        <f t="shared" si="13"/>
        <v>0</v>
      </c>
      <c r="AG4748" s="9"/>
      <c r="AH4748" s="9"/>
      <c r="AI4748" s="9"/>
    </row>
    <row r="4749" ht="15.0" customHeight="1">
      <c r="A4749" s="11">
        <v>4748.0</v>
      </c>
      <c r="B4749" s="12">
        <f t="shared" si="750"/>
        <v>40626</v>
      </c>
      <c r="C4749" s="13">
        <v>2011.0</v>
      </c>
      <c r="D4749" s="11" t="s">
        <v>102</v>
      </c>
      <c r="E4749" s="11">
        <v>45.0</v>
      </c>
      <c r="F4749" s="21" t="s">
        <v>1074</v>
      </c>
      <c r="G4749" s="15">
        <v>0.027655465430668092</v>
      </c>
      <c r="H4749" s="11" t="s">
        <v>33</v>
      </c>
      <c r="I4749" s="16">
        <v>4.24</v>
      </c>
      <c r="J4749" s="11" t="s">
        <v>271</v>
      </c>
      <c r="K4749" s="11" t="s">
        <v>61</v>
      </c>
      <c r="L4749" s="11" t="s">
        <v>41</v>
      </c>
      <c r="M4749" s="11" t="s">
        <v>28</v>
      </c>
      <c r="N4749" s="11" t="s">
        <v>236</v>
      </c>
      <c r="O4749" s="11" t="s">
        <v>1075</v>
      </c>
      <c r="P4749" s="11" t="s">
        <v>38</v>
      </c>
      <c r="Q4749" s="20">
        <v>40628.0</v>
      </c>
      <c r="R4749" s="17">
        <f t="shared" si="2"/>
        <v>6.961986868</v>
      </c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>
        <f t="shared" si="8"/>
        <v>3</v>
      </c>
      <c r="AF4749" s="19">
        <f t="shared" si="13"/>
        <v>4</v>
      </c>
      <c r="AG4749" s="9"/>
      <c r="AH4749" s="9"/>
      <c r="AI4749" s="9"/>
    </row>
    <row r="4750" ht="15.0" customHeight="1">
      <c r="A4750" s="11">
        <v>4749.0</v>
      </c>
      <c r="B4750" s="12">
        <f t="shared" si="750"/>
        <v>40626</v>
      </c>
      <c r="C4750" s="13">
        <v>2011.0</v>
      </c>
      <c r="D4750" s="11" t="s">
        <v>39</v>
      </c>
      <c r="E4750" s="11">
        <v>13.0</v>
      </c>
      <c r="F4750" s="21" t="s">
        <v>126</v>
      </c>
      <c r="G4750" s="15">
        <v>0.03418282548476459</v>
      </c>
      <c r="H4750" s="11" t="s">
        <v>33</v>
      </c>
      <c r="I4750" s="16">
        <v>6.032</v>
      </c>
      <c r="J4750" s="11" t="s">
        <v>861</v>
      </c>
      <c r="K4750" s="11" t="s">
        <v>35</v>
      </c>
      <c r="L4750" s="11" t="s">
        <v>27</v>
      </c>
      <c r="M4750" s="11" t="s">
        <v>28</v>
      </c>
      <c r="N4750" s="11" t="s">
        <v>56</v>
      </c>
      <c r="O4750" s="11" t="s">
        <v>842</v>
      </c>
      <c r="P4750" s="11" t="s">
        <v>38</v>
      </c>
      <c r="Q4750" s="20">
        <v>40628.0</v>
      </c>
      <c r="R4750" s="17">
        <f t="shared" si="2"/>
        <v>2.383636787</v>
      </c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>
        <f t="shared" si="8"/>
        <v>1</v>
      </c>
      <c r="AF4750" s="19">
        <f t="shared" si="13"/>
        <v>2</v>
      </c>
      <c r="AG4750" s="9"/>
      <c r="AH4750" s="9"/>
      <c r="AI4750" s="9"/>
    </row>
    <row r="4751" ht="15.0" customHeight="1">
      <c r="A4751" s="11">
        <v>4750.0</v>
      </c>
      <c r="B4751" s="12">
        <f t="shared" si="750"/>
        <v>40626</v>
      </c>
      <c r="C4751" s="13">
        <v>2011.0</v>
      </c>
      <c r="D4751" s="11" t="s">
        <v>39</v>
      </c>
      <c r="E4751" s="11">
        <v>21.0</v>
      </c>
      <c r="F4751" s="21" t="s">
        <v>218</v>
      </c>
      <c r="G4751" s="15">
        <v>0.03652648825778257</v>
      </c>
      <c r="H4751" s="11" t="s">
        <v>33</v>
      </c>
      <c r="I4751" s="16">
        <v>2.112</v>
      </c>
      <c r="J4751" s="11" t="s">
        <v>861</v>
      </c>
      <c r="K4751" s="11" t="s">
        <v>35</v>
      </c>
      <c r="L4751" s="11" t="s">
        <v>27</v>
      </c>
      <c r="M4751" s="11" t="s">
        <v>28</v>
      </c>
      <c r="N4751" s="11" t="s">
        <v>442</v>
      </c>
      <c r="O4751" s="11" t="s">
        <v>512</v>
      </c>
      <c r="P4751" s="11" t="s">
        <v>99</v>
      </c>
      <c r="Q4751" s="20">
        <v>40628.0</v>
      </c>
      <c r="R4751" s="17">
        <f t="shared" si="2"/>
        <v>6.443710847</v>
      </c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>
        <f t="shared" si="8"/>
        <v>1</v>
      </c>
      <c r="AF4751" s="19">
        <f t="shared" si="13"/>
        <v>2</v>
      </c>
      <c r="AG4751" s="9"/>
      <c r="AH4751" s="9"/>
      <c r="AI4751" s="9"/>
    </row>
    <row r="4752" ht="15.0" customHeight="1">
      <c r="A4752" s="11">
        <v>4751.0</v>
      </c>
      <c r="B4752" s="12">
        <f t="shared" si="750"/>
        <v>40626</v>
      </c>
      <c r="C4752" s="13">
        <v>2011.0</v>
      </c>
      <c r="D4752" s="11" t="s">
        <v>102</v>
      </c>
      <c r="E4752" s="11">
        <v>5.0</v>
      </c>
      <c r="F4752" s="21" t="s">
        <v>122</v>
      </c>
      <c r="G4752" s="15">
        <v>0.09052092228864214</v>
      </c>
      <c r="H4752" s="11" t="s">
        <v>33</v>
      </c>
      <c r="I4752" s="16">
        <v>2.0</v>
      </c>
      <c r="J4752" s="11" t="s">
        <v>1623</v>
      </c>
      <c r="K4752" s="11" t="s">
        <v>35</v>
      </c>
      <c r="L4752" s="11" t="s">
        <v>48</v>
      </c>
      <c r="M4752" s="11" t="s">
        <v>66</v>
      </c>
      <c r="N4752" s="11" t="s">
        <v>80</v>
      </c>
      <c r="O4752" s="11" t="s">
        <v>1381</v>
      </c>
      <c r="P4752" s="11" t="s">
        <v>58</v>
      </c>
      <c r="Q4752" s="20">
        <v>40629.0</v>
      </c>
      <c r="R4752" s="17">
        <f t="shared" si="2"/>
        <v>9.640478224</v>
      </c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>
        <f t="shared" si="8"/>
        <v>4</v>
      </c>
      <c r="AF4752" s="19">
        <f t="shared" si="13"/>
        <v>2</v>
      </c>
      <c r="AG4752" s="9"/>
      <c r="AH4752" s="9"/>
      <c r="AI4752" s="9"/>
    </row>
    <row r="4753" ht="15.0" customHeight="1">
      <c r="A4753" s="11">
        <v>4752.0</v>
      </c>
      <c r="B4753" s="12">
        <f t="shared" ref="B4753:B4755" si="751">DATE(2012,12,31)-647</f>
        <v>40627</v>
      </c>
      <c r="C4753" s="13">
        <v>2011.0</v>
      </c>
      <c r="D4753" s="11" t="s">
        <v>39</v>
      </c>
      <c r="E4753" s="11">
        <v>26.0</v>
      </c>
      <c r="F4753" s="21" t="s">
        <v>183</v>
      </c>
      <c r="G4753" s="15">
        <v>0.035648148148148096</v>
      </c>
      <c r="H4753" s="11" t="s">
        <v>33</v>
      </c>
      <c r="I4753" s="16">
        <v>3.2</v>
      </c>
      <c r="J4753" s="11" t="s">
        <v>2101</v>
      </c>
      <c r="K4753" s="11" t="s">
        <v>65</v>
      </c>
      <c r="L4753" s="11" t="s">
        <v>48</v>
      </c>
      <c r="M4753" s="11" t="s">
        <v>66</v>
      </c>
      <c r="N4753" s="11" t="s">
        <v>67</v>
      </c>
      <c r="O4753" s="11" t="s">
        <v>941</v>
      </c>
      <c r="P4753" s="11" t="s">
        <v>38</v>
      </c>
      <c r="Q4753" s="20">
        <v>40629.0</v>
      </c>
      <c r="R4753" s="17">
        <f t="shared" si="2"/>
        <v>14.85101852</v>
      </c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>
        <f t="shared" si="8"/>
        <v>4</v>
      </c>
      <c r="AF4753" s="19">
        <f t="shared" si="13"/>
        <v>5</v>
      </c>
      <c r="AG4753" s="9"/>
      <c r="AH4753" s="9"/>
      <c r="AI4753" s="9"/>
    </row>
    <row r="4754" ht="15.0" customHeight="1">
      <c r="A4754" s="11">
        <v>4753.0</v>
      </c>
      <c r="B4754" s="12">
        <f t="shared" si="751"/>
        <v>40627</v>
      </c>
      <c r="C4754" s="13">
        <v>2011.0</v>
      </c>
      <c r="D4754" s="11" t="s">
        <v>39</v>
      </c>
      <c r="E4754" s="11">
        <v>22.0</v>
      </c>
      <c r="F4754" s="21" t="s">
        <v>130</v>
      </c>
      <c r="G4754" s="15">
        <v>0.09456904541241891</v>
      </c>
      <c r="H4754" s="11" t="s">
        <v>24</v>
      </c>
      <c r="I4754" s="16">
        <v>4.072</v>
      </c>
      <c r="J4754" s="11" t="s">
        <v>2101</v>
      </c>
      <c r="K4754" s="11" t="s">
        <v>65</v>
      </c>
      <c r="L4754" s="11" t="s">
        <v>48</v>
      </c>
      <c r="M4754" s="11" t="s">
        <v>28</v>
      </c>
      <c r="N4754" s="11" t="s">
        <v>56</v>
      </c>
      <c r="O4754" s="11" t="s">
        <v>150</v>
      </c>
      <c r="P4754" s="11" t="s">
        <v>38</v>
      </c>
      <c r="Q4754" s="20">
        <v>40629.0</v>
      </c>
      <c r="R4754" s="17">
        <f t="shared" si="2"/>
        <v>64.67312222</v>
      </c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>
        <f t="shared" si="8"/>
        <v>4</v>
      </c>
      <c r="AF4754" s="19">
        <f t="shared" si="13"/>
        <v>5</v>
      </c>
      <c r="AG4754" s="9"/>
      <c r="AH4754" s="9"/>
      <c r="AI4754" s="9"/>
    </row>
    <row r="4755" ht="15.0" customHeight="1">
      <c r="A4755" s="11">
        <v>4754.0</v>
      </c>
      <c r="B4755" s="12">
        <f t="shared" si="751"/>
        <v>40627</v>
      </c>
      <c r="C4755" s="13">
        <v>2011.0</v>
      </c>
      <c r="D4755" s="11" t="s">
        <v>39</v>
      </c>
      <c r="E4755" s="11">
        <v>2.0</v>
      </c>
      <c r="F4755" s="21" t="s">
        <v>2083</v>
      </c>
      <c r="G4755" s="15">
        <v>0.030314540059347205</v>
      </c>
      <c r="H4755" s="11" t="s">
        <v>33</v>
      </c>
      <c r="I4755" s="16">
        <v>0.792</v>
      </c>
      <c r="J4755" s="11" t="s">
        <v>2101</v>
      </c>
      <c r="K4755" s="11" t="s">
        <v>65</v>
      </c>
      <c r="L4755" s="11" t="s">
        <v>48</v>
      </c>
      <c r="M4755" s="11" t="s">
        <v>28</v>
      </c>
      <c r="N4755" s="11" t="s">
        <v>197</v>
      </c>
      <c r="O4755" s="11" t="s">
        <v>2085</v>
      </c>
      <c r="P4755" s="11" t="s">
        <v>38</v>
      </c>
      <c r="Q4755" s="20">
        <v>40629.0</v>
      </c>
      <c r="R4755" s="17">
        <f t="shared" si="2"/>
        <v>4.953153329</v>
      </c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>
        <f t="shared" si="8"/>
        <v>4</v>
      </c>
      <c r="AF4755" s="19">
        <f t="shared" si="13"/>
        <v>5</v>
      </c>
      <c r="AG4755" s="9"/>
      <c r="AH4755" s="9"/>
      <c r="AI4755" s="9"/>
    </row>
    <row r="4756" ht="15.0" customHeight="1">
      <c r="A4756" s="11">
        <v>4755.0</v>
      </c>
      <c r="B4756" s="12">
        <f t="shared" ref="B4756:B4764" si="752">DATE(2012,12,31)-646</f>
        <v>40628</v>
      </c>
      <c r="C4756" s="13">
        <v>2011.0</v>
      </c>
      <c r="D4756" s="11" t="s">
        <v>102</v>
      </c>
      <c r="E4756" s="11">
        <v>44.0</v>
      </c>
      <c r="F4756" s="21" t="s">
        <v>126</v>
      </c>
      <c r="G4756" s="15">
        <v>0.05882352941176458</v>
      </c>
      <c r="H4756" s="11" t="s">
        <v>33</v>
      </c>
      <c r="I4756" s="16">
        <v>0.4</v>
      </c>
      <c r="J4756" s="11" t="s">
        <v>2009</v>
      </c>
      <c r="K4756" s="11" t="s">
        <v>65</v>
      </c>
      <c r="L4756" s="11" t="s">
        <v>41</v>
      </c>
      <c r="M4756" s="11" t="s">
        <v>28</v>
      </c>
      <c r="N4756" s="11" t="s">
        <v>188</v>
      </c>
      <c r="O4756" s="11" t="s">
        <v>410</v>
      </c>
      <c r="P4756" s="11" t="s">
        <v>38</v>
      </c>
      <c r="Q4756" s="20">
        <v>40629.0</v>
      </c>
      <c r="R4756" s="17">
        <f t="shared" si="2"/>
        <v>12.70588235</v>
      </c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>
        <f t="shared" si="8"/>
        <v>3</v>
      </c>
      <c r="AF4756" s="19">
        <f t="shared" si="13"/>
        <v>5</v>
      </c>
      <c r="AG4756" s="9"/>
      <c r="AH4756" s="9"/>
      <c r="AI4756" s="9"/>
    </row>
    <row r="4757" ht="15.0" customHeight="1">
      <c r="A4757" s="11">
        <v>4756.0</v>
      </c>
      <c r="B4757" s="12">
        <f t="shared" si="752"/>
        <v>40628</v>
      </c>
      <c r="C4757" s="13">
        <v>2011.0</v>
      </c>
      <c r="D4757" s="11" t="s">
        <v>102</v>
      </c>
      <c r="E4757" s="11">
        <v>21.0</v>
      </c>
      <c r="F4757" s="21" t="s">
        <v>846</v>
      </c>
      <c r="G4757" s="15">
        <v>0.0666700291157522</v>
      </c>
      <c r="H4757" s="11" t="s">
        <v>33</v>
      </c>
      <c r="I4757" s="16">
        <v>15.991999999999999</v>
      </c>
      <c r="J4757" s="11" t="s">
        <v>2009</v>
      </c>
      <c r="K4757" s="11" t="s">
        <v>65</v>
      </c>
      <c r="L4757" s="11" t="s">
        <v>41</v>
      </c>
      <c r="M4757" s="11" t="s">
        <v>28</v>
      </c>
      <c r="N4757" s="11" t="s">
        <v>29</v>
      </c>
      <c r="O4757" s="11" t="s">
        <v>847</v>
      </c>
      <c r="P4757" s="11" t="s">
        <v>38</v>
      </c>
      <c r="Q4757" s="20">
        <v>40629.0</v>
      </c>
      <c r="R4757" s="17">
        <f t="shared" si="2"/>
        <v>271.4198222</v>
      </c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>
        <f t="shared" si="8"/>
        <v>3</v>
      </c>
      <c r="AF4757" s="19">
        <f t="shared" si="13"/>
        <v>5</v>
      </c>
      <c r="AG4757" s="9"/>
      <c r="AH4757" s="9"/>
      <c r="AI4757" s="9"/>
    </row>
    <row r="4758" ht="15.0" customHeight="1">
      <c r="A4758" s="11">
        <v>4757.0</v>
      </c>
      <c r="B4758" s="12">
        <f t="shared" si="752"/>
        <v>40628</v>
      </c>
      <c r="C4758" s="13">
        <v>2011.0</v>
      </c>
      <c r="D4758" s="11" t="s">
        <v>102</v>
      </c>
      <c r="E4758" s="11">
        <v>20.0</v>
      </c>
      <c r="F4758" s="21" t="s">
        <v>1156</v>
      </c>
      <c r="G4758" s="15">
        <v>0.09193630869363084</v>
      </c>
      <c r="H4758" s="11" t="s">
        <v>33</v>
      </c>
      <c r="I4758" s="16">
        <v>7.192</v>
      </c>
      <c r="J4758" s="11" t="s">
        <v>2009</v>
      </c>
      <c r="K4758" s="11" t="s">
        <v>65</v>
      </c>
      <c r="L4758" s="11" t="s">
        <v>41</v>
      </c>
      <c r="M4758" s="11" t="s">
        <v>66</v>
      </c>
      <c r="N4758" s="11" t="s">
        <v>80</v>
      </c>
      <c r="O4758" s="11" t="s">
        <v>1580</v>
      </c>
      <c r="P4758" s="11" t="s">
        <v>38</v>
      </c>
      <c r="Q4758" s="20">
        <v>40630.0</v>
      </c>
      <c r="R4758" s="17">
        <f t="shared" si="2"/>
        <v>287.3186164</v>
      </c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>
        <f t="shared" si="8"/>
        <v>3</v>
      </c>
      <c r="AF4758" s="19">
        <f t="shared" si="13"/>
        <v>5</v>
      </c>
      <c r="AG4758" s="9"/>
      <c r="AH4758" s="9"/>
      <c r="AI4758" s="9"/>
    </row>
    <row r="4759" ht="15.0" customHeight="1">
      <c r="A4759" s="11">
        <v>4758.0</v>
      </c>
      <c r="B4759" s="12">
        <f t="shared" si="752"/>
        <v>40628</v>
      </c>
      <c r="C4759" s="13">
        <v>2011.0</v>
      </c>
      <c r="D4759" s="11" t="s">
        <v>39</v>
      </c>
      <c r="E4759" s="11">
        <v>12.0</v>
      </c>
      <c r="F4759" s="21" t="s">
        <v>1247</v>
      </c>
      <c r="G4759" s="15">
        <v>0.10543799772468715</v>
      </c>
      <c r="H4759" s="11" t="s">
        <v>33</v>
      </c>
      <c r="I4759" s="16">
        <v>4.232</v>
      </c>
      <c r="J4759" s="11" t="s">
        <v>1256</v>
      </c>
      <c r="K4759" s="11" t="s">
        <v>83</v>
      </c>
      <c r="L4759" s="11" t="s">
        <v>48</v>
      </c>
      <c r="M4759" s="11" t="s">
        <v>49</v>
      </c>
      <c r="N4759" s="11" t="s">
        <v>73</v>
      </c>
      <c r="O4759" s="11" t="s">
        <v>1248</v>
      </c>
      <c r="P4759" s="11" t="s">
        <v>38</v>
      </c>
      <c r="Q4759" s="20">
        <v>40630.0</v>
      </c>
      <c r="R4759" s="17">
        <f t="shared" si="2"/>
        <v>8.290800637</v>
      </c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>
        <f t="shared" si="8"/>
        <v>4</v>
      </c>
      <c r="AF4759" s="19" t="b">
        <f t="shared" si="13"/>
        <v>0</v>
      </c>
      <c r="AG4759" s="9"/>
      <c r="AH4759" s="9"/>
      <c r="AI4759" s="9"/>
    </row>
    <row r="4760" ht="15.0" customHeight="1">
      <c r="A4760" s="11">
        <v>4759.0</v>
      </c>
      <c r="B4760" s="12">
        <f t="shared" si="752"/>
        <v>40628</v>
      </c>
      <c r="C4760" s="13">
        <v>2011.0</v>
      </c>
      <c r="D4760" s="11" t="s">
        <v>102</v>
      </c>
      <c r="E4760" s="11">
        <v>35.0</v>
      </c>
      <c r="F4760" s="21" t="s">
        <v>752</v>
      </c>
      <c r="G4760" s="15">
        <v>0.07449582584803971</v>
      </c>
      <c r="H4760" s="11" t="s">
        <v>33</v>
      </c>
      <c r="I4760" s="16">
        <v>19.592</v>
      </c>
      <c r="J4760" s="11" t="s">
        <v>2383</v>
      </c>
      <c r="K4760" s="11" t="s">
        <v>117</v>
      </c>
      <c r="L4760" s="11" t="s">
        <v>48</v>
      </c>
      <c r="M4760" s="11" t="s">
        <v>66</v>
      </c>
      <c r="N4760" s="11" t="s">
        <v>170</v>
      </c>
      <c r="O4760" s="11" t="s">
        <v>753</v>
      </c>
      <c r="P4760" s="11" t="s">
        <v>31</v>
      </c>
      <c r="Q4760" s="20">
        <v>40630.0</v>
      </c>
      <c r="R4760" s="17">
        <f t="shared" si="2"/>
        <v>1304.875739</v>
      </c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>
        <f t="shared" si="8"/>
        <v>4</v>
      </c>
      <c r="AF4760" s="19" t="b">
        <f t="shared" si="13"/>
        <v>0</v>
      </c>
      <c r="AG4760" s="9"/>
      <c r="AH4760" s="9"/>
      <c r="AI4760" s="9"/>
    </row>
    <row r="4761" ht="15.0" customHeight="1">
      <c r="A4761" s="11">
        <v>4760.0</v>
      </c>
      <c r="B4761" s="12">
        <f t="shared" si="752"/>
        <v>40628</v>
      </c>
      <c r="C4761" s="13">
        <v>2011.0</v>
      </c>
      <c r="D4761" s="11" t="s">
        <v>102</v>
      </c>
      <c r="E4761" s="11">
        <v>44.0</v>
      </c>
      <c r="F4761" s="21" t="s">
        <v>734</v>
      </c>
      <c r="G4761" s="15">
        <v>0.048981117965975034</v>
      </c>
      <c r="H4761" s="11" t="s">
        <v>33</v>
      </c>
      <c r="I4761" s="16">
        <v>28.0</v>
      </c>
      <c r="J4761" s="11" t="s">
        <v>2383</v>
      </c>
      <c r="K4761" s="11" t="s">
        <v>117</v>
      </c>
      <c r="L4761" s="11" t="s">
        <v>48</v>
      </c>
      <c r="M4761" s="11" t="s">
        <v>28</v>
      </c>
      <c r="N4761" s="11" t="s">
        <v>29</v>
      </c>
      <c r="O4761" s="11" t="s">
        <v>736</v>
      </c>
      <c r="P4761" s="11" t="s">
        <v>31</v>
      </c>
      <c r="Q4761" s="20">
        <v>40630.0</v>
      </c>
      <c r="R4761" s="17">
        <f t="shared" si="2"/>
        <v>299.0003365</v>
      </c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>
        <f t="shared" si="8"/>
        <v>4</v>
      </c>
      <c r="AF4761" s="19" t="b">
        <f t="shared" si="13"/>
        <v>0</v>
      </c>
      <c r="AG4761" s="9"/>
      <c r="AH4761" s="9"/>
      <c r="AI4761" s="9"/>
    </row>
    <row r="4762" ht="15.0" customHeight="1">
      <c r="A4762" s="11">
        <v>4761.0</v>
      </c>
      <c r="B4762" s="12">
        <f t="shared" si="752"/>
        <v>40628</v>
      </c>
      <c r="C4762" s="13">
        <v>2011.0</v>
      </c>
      <c r="D4762" s="11" t="s">
        <v>39</v>
      </c>
      <c r="E4762" s="11">
        <v>3.0</v>
      </c>
      <c r="F4762" s="21" t="s">
        <v>151</v>
      </c>
      <c r="G4762" s="15">
        <v>0.10028169014084491</v>
      </c>
      <c r="H4762" s="11" t="s">
        <v>33</v>
      </c>
      <c r="I4762" s="16">
        <v>3.176</v>
      </c>
      <c r="J4762" s="11" t="s">
        <v>1345</v>
      </c>
      <c r="K4762" s="11" t="s">
        <v>83</v>
      </c>
      <c r="L4762" s="11" t="s">
        <v>48</v>
      </c>
      <c r="M4762" s="11" t="s">
        <v>28</v>
      </c>
      <c r="N4762" s="11" t="s">
        <v>62</v>
      </c>
      <c r="O4762" s="11" t="s">
        <v>209</v>
      </c>
      <c r="P4762" s="11" t="s">
        <v>58</v>
      </c>
      <c r="Q4762" s="20">
        <v>40630.0</v>
      </c>
      <c r="R4762" s="17">
        <f t="shared" si="2"/>
        <v>1.281198873</v>
      </c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>
        <f t="shared" si="8"/>
        <v>4</v>
      </c>
      <c r="AF4762" s="19" t="b">
        <f t="shared" si="13"/>
        <v>0</v>
      </c>
      <c r="AG4762" s="9"/>
      <c r="AH4762" s="9"/>
      <c r="AI4762" s="9"/>
    </row>
    <row r="4763" ht="15.0" customHeight="1">
      <c r="A4763" s="11">
        <v>4762.0</v>
      </c>
      <c r="B4763" s="12">
        <f t="shared" si="752"/>
        <v>40628</v>
      </c>
      <c r="C4763" s="13">
        <v>2011.0</v>
      </c>
      <c r="D4763" s="11" t="s">
        <v>32</v>
      </c>
      <c r="E4763" s="11">
        <v>18.0</v>
      </c>
      <c r="F4763" s="21" t="s">
        <v>2260</v>
      </c>
      <c r="G4763" s="15">
        <v>0.048325229334803745</v>
      </c>
      <c r="H4763" s="11" t="s">
        <v>33</v>
      </c>
      <c r="I4763" s="16">
        <v>7.992000000000001</v>
      </c>
      <c r="J4763" s="11" t="s">
        <v>808</v>
      </c>
      <c r="K4763" s="11" t="s">
        <v>83</v>
      </c>
      <c r="L4763" s="11" t="s">
        <v>48</v>
      </c>
      <c r="M4763" s="11" t="s">
        <v>28</v>
      </c>
      <c r="N4763" s="11" t="s">
        <v>29</v>
      </c>
      <c r="O4763" s="11" t="s">
        <v>2261</v>
      </c>
      <c r="P4763" s="11" t="s">
        <v>38</v>
      </c>
      <c r="Q4763" s="20">
        <v>40630.0</v>
      </c>
      <c r="R4763" s="17">
        <f t="shared" si="2"/>
        <v>183.4905092</v>
      </c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>
        <f t="shared" si="8"/>
        <v>4</v>
      </c>
      <c r="AF4763" s="19" t="b">
        <f t="shared" si="13"/>
        <v>0</v>
      </c>
      <c r="AG4763" s="9"/>
      <c r="AH4763" s="9"/>
      <c r="AI4763" s="9"/>
    </row>
    <row r="4764" ht="15.0" customHeight="1">
      <c r="A4764" s="11">
        <v>4763.0</v>
      </c>
      <c r="B4764" s="12">
        <f t="shared" si="752"/>
        <v>40628</v>
      </c>
      <c r="C4764" s="13">
        <v>2011.0</v>
      </c>
      <c r="D4764" s="11" t="s">
        <v>32</v>
      </c>
      <c r="E4764" s="11">
        <v>10.0</v>
      </c>
      <c r="F4764" s="21" t="s">
        <v>2522</v>
      </c>
      <c r="G4764" s="15">
        <v>0.045680641559232564</v>
      </c>
      <c r="H4764" s="11" t="s">
        <v>33</v>
      </c>
      <c r="I4764" s="16">
        <v>55.2</v>
      </c>
      <c r="J4764" s="11" t="s">
        <v>808</v>
      </c>
      <c r="K4764" s="11" t="s">
        <v>83</v>
      </c>
      <c r="L4764" s="11" t="s">
        <v>48</v>
      </c>
      <c r="M4764" s="11" t="s">
        <v>49</v>
      </c>
      <c r="N4764" s="11" t="s">
        <v>85</v>
      </c>
      <c r="O4764" s="11" t="s">
        <v>2523</v>
      </c>
      <c r="P4764" s="11" t="s">
        <v>31</v>
      </c>
      <c r="Q4764" s="20">
        <v>40630.0</v>
      </c>
      <c r="R4764" s="17">
        <f t="shared" si="2"/>
        <v>85.88874226</v>
      </c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>
        <f t="shared" si="8"/>
        <v>4</v>
      </c>
      <c r="AF4764" s="19" t="b">
        <f t="shared" si="13"/>
        <v>0</v>
      </c>
      <c r="AG4764" s="9"/>
      <c r="AH4764" s="9"/>
      <c r="AI4764" s="9"/>
    </row>
    <row r="4765" ht="15.0" customHeight="1">
      <c r="A4765" s="11">
        <v>4764.0</v>
      </c>
      <c r="B4765" s="12">
        <f t="shared" ref="B4765:B4766" si="753">DATE(2012,12,31)-645</f>
        <v>40629</v>
      </c>
      <c r="C4765" s="13">
        <v>2011.0</v>
      </c>
      <c r="D4765" s="11" t="s">
        <v>39</v>
      </c>
      <c r="E4765" s="11">
        <v>41.0</v>
      </c>
      <c r="F4765" s="21" t="s">
        <v>894</v>
      </c>
      <c r="G4765" s="15">
        <v>0.11416666666666686</v>
      </c>
      <c r="H4765" s="11" t="s">
        <v>33</v>
      </c>
      <c r="I4765" s="16">
        <v>5.016</v>
      </c>
      <c r="J4765" s="11" t="s">
        <v>1466</v>
      </c>
      <c r="K4765" s="11" t="s">
        <v>65</v>
      </c>
      <c r="L4765" s="11" t="s">
        <v>27</v>
      </c>
      <c r="M4765" s="11" t="s">
        <v>28</v>
      </c>
      <c r="N4765" s="11" t="s">
        <v>42</v>
      </c>
      <c r="O4765" s="11" t="s">
        <v>89</v>
      </c>
      <c r="P4765" s="11" t="s">
        <v>38</v>
      </c>
      <c r="Q4765" s="20">
        <v>40631.0</v>
      </c>
      <c r="R4765" s="17">
        <f t="shared" si="2"/>
        <v>16.01941</v>
      </c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>
        <f t="shared" si="8"/>
        <v>1</v>
      </c>
      <c r="AF4765" s="19">
        <f t="shared" si="13"/>
        <v>5</v>
      </c>
      <c r="AG4765" s="9"/>
      <c r="AH4765" s="9"/>
      <c r="AI4765" s="9"/>
    </row>
    <row r="4766" ht="15.0" customHeight="1">
      <c r="A4766" s="11">
        <v>4765.0</v>
      </c>
      <c r="B4766" s="12">
        <f t="shared" si="753"/>
        <v>40629</v>
      </c>
      <c r="C4766" s="13">
        <v>2011.0</v>
      </c>
      <c r="D4766" s="11" t="s">
        <v>39</v>
      </c>
      <c r="E4766" s="11">
        <v>24.0</v>
      </c>
      <c r="F4766" s="21" t="s">
        <v>126</v>
      </c>
      <c r="G4766" s="15">
        <v>0.06905747126436772</v>
      </c>
      <c r="H4766" s="11" t="s">
        <v>33</v>
      </c>
      <c r="I4766" s="16">
        <v>3.8880000000000003</v>
      </c>
      <c r="J4766" s="11" t="s">
        <v>1466</v>
      </c>
      <c r="K4766" s="11" t="s">
        <v>65</v>
      </c>
      <c r="L4766" s="11" t="s">
        <v>27</v>
      </c>
      <c r="M4766" s="11" t="s">
        <v>28</v>
      </c>
      <c r="N4766" s="11" t="s">
        <v>56</v>
      </c>
      <c r="O4766" s="11" t="s">
        <v>1732</v>
      </c>
      <c r="P4766" s="11" t="s">
        <v>38</v>
      </c>
      <c r="Q4766" s="20">
        <v>40631.0</v>
      </c>
      <c r="R4766" s="17">
        <f t="shared" si="2"/>
        <v>8.389654069</v>
      </c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>
        <f t="shared" si="8"/>
        <v>1</v>
      </c>
      <c r="AF4766" s="19">
        <f t="shared" si="13"/>
        <v>5</v>
      </c>
      <c r="AG4766" s="9"/>
      <c r="AH4766" s="9"/>
      <c r="AI4766" s="9"/>
    </row>
    <row r="4767" ht="15.0" customHeight="1">
      <c r="A4767" s="11">
        <v>4766.0</v>
      </c>
      <c r="B4767" s="12">
        <f t="shared" ref="B4767:B4769" si="754">DATE(2012,12,31)-644</f>
        <v>40630</v>
      </c>
      <c r="C4767" s="13">
        <v>2011.0</v>
      </c>
      <c r="D4767" s="11" t="s">
        <v>44</v>
      </c>
      <c r="E4767" s="11">
        <v>1.0</v>
      </c>
      <c r="F4767" s="21" t="s">
        <v>1782</v>
      </c>
      <c r="G4767" s="15">
        <v>0.06328358208955229</v>
      </c>
      <c r="H4767" s="11" t="s">
        <v>33</v>
      </c>
      <c r="I4767" s="16">
        <v>2.904</v>
      </c>
      <c r="J4767" s="11" t="s">
        <v>993</v>
      </c>
      <c r="K4767" s="11" t="s">
        <v>83</v>
      </c>
      <c r="L4767" s="11" t="s">
        <v>48</v>
      </c>
      <c r="M4767" s="11" t="s">
        <v>49</v>
      </c>
      <c r="N4767" s="11" t="s">
        <v>73</v>
      </c>
      <c r="O4767" s="11" t="s">
        <v>1783</v>
      </c>
      <c r="P4767" s="11" t="s">
        <v>99</v>
      </c>
      <c r="Q4767" s="20">
        <v>40632.0</v>
      </c>
      <c r="R4767" s="17">
        <f t="shared" si="2"/>
        <v>1.588671045</v>
      </c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>
        <f t="shared" si="8"/>
        <v>4</v>
      </c>
      <c r="AF4767" s="19" t="b">
        <f t="shared" si="13"/>
        <v>0</v>
      </c>
      <c r="AG4767" s="9"/>
      <c r="AH4767" s="9"/>
      <c r="AI4767" s="9"/>
    </row>
    <row r="4768" ht="15.0" customHeight="1">
      <c r="A4768" s="11">
        <v>4767.0</v>
      </c>
      <c r="B4768" s="12">
        <f t="shared" si="754"/>
        <v>40630</v>
      </c>
      <c r="C4768" s="13">
        <v>2011.0</v>
      </c>
      <c r="D4768" s="11" t="s">
        <v>44</v>
      </c>
      <c r="E4768" s="11">
        <v>45.0</v>
      </c>
      <c r="F4768" s="21" t="s">
        <v>1050</v>
      </c>
      <c r="G4768" s="15">
        <v>0.053778067641852154</v>
      </c>
      <c r="H4768" s="11" t="s">
        <v>33</v>
      </c>
      <c r="I4768" s="16">
        <v>12.08</v>
      </c>
      <c r="J4768" s="11" t="s">
        <v>2524</v>
      </c>
      <c r="K4768" s="11" t="s">
        <v>117</v>
      </c>
      <c r="L4768" s="11" t="s">
        <v>27</v>
      </c>
      <c r="M4768" s="11" t="s">
        <v>28</v>
      </c>
      <c r="N4768" s="11" t="s">
        <v>42</v>
      </c>
      <c r="O4768" s="11" t="s">
        <v>1052</v>
      </c>
      <c r="P4768" s="11" t="s">
        <v>38</v>
      </c>
      <c r="Q4768" s="20">
        <v>40632.0</v>
      </c>
      <c r="R4768" s="17">
        <f t="shared" si="2"/>
        <v>54.61592994</v>
      </c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>
        <f t="shared" si="8"/>
        <v>1</v>
      </c>
      <c r="AF4768" s="19" t="b">
        <f t="shared" si="13"/>
        <v>0</v>
      </c>
      <c r="AG4768" s="9"/>
      <c r="AH4768" s="9"/>
      <c r="AI4768" s="9"/>
    </row>
    <row r="4769" ht="15.0" customHeight="1">
      <c r="A4769" s="11">
        <v>4768.0</v>
      </c>
      <c r="B4769" s="12">
        <f t="shared" si="754"/>
        <v>40630</v>
      </c>
      <c r="C4769" s="13">
        <v>2011.0</v>
      </c>
      <c r="D4769" s="11" t="s">
        <v>44</v>
      </c>
      <c r="E4769" s="11">
        <v>47.0</v>
      </c>
      <c r="F4769" s="21" t="s">
        <v>254</v>
      </c>
      <c r="G4769" s="15">
        <v>0.08749401913875576</v>
      </c>
      <c r="H4769" s="11" t="s">
        <v>33</v>
      </c>
      <c r="I4769" s="16">
        <v>3.9840000000000004</v>
      </c>
      <c r="J4769" s="11" t="s">
        <v>2524</v>
      </c>
      <c r="K4769" s="11" t="s">
        <v>117</v>
      </c>
      <c r="L4769" s="11" t="s">
        <v>27</v>
      </c>
      <c r="M4769" s="11" t="s">
        <v>28</v>
      </c>
      <c r="N4769" s="11" t="s">
        <v>42</v>
      </c>
      <c r="O4769" s="11" t="s">
        <v>2040</v>
      </c>
      <c r="P4769" s="11" t="s">
        <v>38</v>
      </c>
      <c r="Q4769" s="20">
        <v>40632.0</v>
      </c>
      <c r="R4769" s="17">
        <f t="shared" si="2"/>
        <v>53.39619998</v>
      </c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>
        <f t="shared" si="8"/>
        <v>1</v>
      </c>
      <c r="AF4769" s="19" t="b">
        <f t="shared" si="13"/>
        <v>0</v>
      </c>
      <c r="AG4769" s="9"/>
      <c r="AH4769" s="9"/>
      <c r="AI4769" s="9"/>
    </row>
    <row r="4770" ht="15.0" customHeight="1">
      <c r="A4770" s="11">
        <v>4769.0</v>
      </c>
      <c r="B4770" s="12">
        <f t="shared" ref="B4770:B4771" si="755">DATE(2012,12,31)-643</f>
        <v>40631</v>
      </c>
      <c r="C4770" s="13">
        <v>2011.0</v>
      </c>
      <c r="D4770" s="11" t="s">
        <v>44</v>
      </c>
      <c r="E4770" s="11">
        <v>6.0</v>
      </c>
      <c r="F4770" s="21" t="s">
        <v>493</v>
      </c>
      <c r="G4770" s="15">
        <v>0.06703671071953017</v>
      </c>
      <c r="H4770" s="11" t="s">
        <v>24</v>
      </c>
      <c r="I4770" s="16">
        <v>15.991999999999999</v>
      </c>
      <c r="J4770" s="11" t="s">
        <v>2099</v>
      </c>
      <c r="K4770" s="11" t="s">
        <v>83</v>
      </c>
      <c r="L4770" s="11" t="s">
        <v>48</v>
      </c>
      <c r="M4770" s="11" t="s">
        <v>28</v>
      </c>
      <c r="N4770" s="11" t="s">
        <v>42</v>
      </c>
      <c r="O4770" s="11" t="s">
        <v>495</v>
      </c>
      <c r="P4770" s="11" t="s">
        <v>38</v>
      </c>
      <c r="Q4770" s="20">
        <v>40633.0</v>
      </c>
      <c r="R4770" s="17">
        <f t="shared" si="2"/>
        <v>170.3665603</v>
      </c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>
        <f t="shared" si="8"/>
        <v>4</v>
      </c>
      <c r="AF4770" s="19" t="b">
        <f t="shared" si="13"/>
        <v>0</v>
      </c>
      <c r="AG4770" s="9"/>
      <c r="AH4770" s="9"/>
      <c r="AI4770" s="9"/>
    </row>
    <row r="4771" ht="15.0" customHeight="1">
      <c r="A4771" s="11">
        <v>4770.0</v>
      </c>
      <c r="B4771" s="12">
        <f t="shared" si="755"/>
        <v>40631</v>
      </c>
      <c r="C4771" s="13">
        <v>2011.0</v>
      </c>
      <c r="D4771" s="11" t="s">
        <v>44</v>
      </c>
      <c r="E4771" s="11">
        <v>42.0</v>
      </c>
      <c r="F4771" s="21" t="s">
        <v>221</v>
      </c>
      <c r="G4771" s="15">
        <v>0.0862835476916214</v>
      </c>
      <c r="H4771" s="11" t="s">
        <v>33</v>
      </c>
      <c r="I4771" s="16">
        <v>6.840000000000001</v>
      </c>
      <c r="J4771" s="11" t="s">
        <v>2099</v>
      </c>
      <c r="K4771" s="11" t="s">
        <v>83</v>
      </c>
      <c r="L4771" s="11" t="s">
        <v>48</v>
      </c>
      <c r="M4771" s="11" t="s">
        <v>49</v>
      </c>
      <c r="N4771" s="11" t="s">
        <v>73</v>
      </c>
      <c r="O4771" s="11" t="s">
        <v>223</v>
      </c>
      <c r="P4771" s="11" t="s">
        <v>38</v>
      </c>
      <c r="Q4771" s="20">
        <v>40634.0</v>
      </c>
      <c r="R4771" s="17">
        <f t="shared" si="2"/>
        <v>106.0459315</v>
      </c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>
        <f t="shared" si="8"/>
        <v>4</v>
      </c>
      <c r="AF4771" s="19" t="b">
        <f t="shared" si="13"/>
        <v>0</v>
      </c>
      <c r="AG4771" s="9"/>
      <c r="AH4771" s="9"/>
      <c r="AI4771" s="9"/>
    </row>
    <row r="4772" ht="15.0" customHeight="1">
      <c r="A4772" s="11">
        <v>4771.0</v>
      </c>
      <c r="B4772" s="12">
        <f t="shared" ref="B4772:B4774" si="756">DATE(2012,12,31)-642</f>
        <v>40632</v>
      </c>
      <c r="C4772" s="13">
        <v>2011.0</v>
      </c>
      <c r="D4772" s="11" t="s">
        <v>102</v>
      </c>
      <c r="E4772" s="11">
        <v>41.0</v>
      </c>
      <c r="F4772" s="21" t="s">
        <v>142</v>
      </c>
      <c r="G4772" s="15">
        <v>0.04097154392133885</v>
      </c>
      <c r="H4772" s="11" t="s">
        <v>33</v>
      </c>
      <c r="I4772" s="16">
        <v>0.8800000000000001</v>
      </c>
      <c r="J4772" s="11" t="s">
        <v>1802</v>
      </c>
      <c r="K4772" s="11" t="s">
        <v>61</v>
      </c>
      <c r="L4772" s="11" t="s">
        <v>48</v>
      </c>
      <c r="M4772" s="11" t="s">
        <v>66</v>
      </c>
      <c r="N4772" s="11" t="s">
        <v>80</v>
      </c>
      <c r="O4772" s="11" t="s">
        <v>143</v>
      </c>
      <c r="P4772" s="11" t="s">
        <v>38</v>
      </c>
      <c r="Q4772" s="20">
        <v>40634.0</v>
      </c>
      <c r="R4772" s="17">
        <f t="shared" si="2"/>
        <v>60.34207046</v>
      </c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>
        <f t="shared" si="8"/>
        <v>4</v>
      </c>
      <c r="AF4772" s="19">
        <f t="shared" si="13"/>
        <v>4</v>
      </c>
      <c r="AG4772" s="9"/>
      <c r="AH4772" s="9"/>
      <c r="AI4772" s="9"/>
    </row>
    <row r="4773" ht="15.0" customHeight="1">
      <c r="A4773" s="11">
        <v>4772.0</v>
      </c>
      <c r="B4773" s="12">
        <f t="shared" si="756"/>
        <v>40632</v>
      </c>
      <c r="C4773" s="13">
        <v>2011.0</v>
      </c>
      <c r="D4773" s="11" t="s">
        <v>102</v>
      </c>
      <c r="E4773" s="11">
        <v>42.0</v>
      </c>
      <c r="F4773" s="21" t="s">
        <v>287</v>
      </c>
      <c r="G4773" s="15">
        <v>0.048439728784414805</v>
      </c>
      <c r="H4773" s="11" t="s">
        <v>33</v>
      </c>
      <c r="I4773" s="16">
        <v>2.0</v>
      </c>
      <c r="J4773" s="11" t="s">
        <v>2105</v>
      </c>
      <c r="K4773" s="11" t="s">
        <v>61</v>
      </c>
      <c r="L4773" s="11" t="s">
        <v>36</v>
      </c>
      <c r="M4773" s="11" t="s">
        <v>66</v>
      </c>
      <c r="N4773" s="11" t="s">
        <v>80</v>
      </c>
      <c r="O4773" s="11" t="s">
        <v>644</v>
      </c>
      <c r="P4773" s="11" t="s">
        <v>38</v>
      </c>
      <c r="Q4773" s="20">
        <v>40634.0</v>
      </c>
      <c r="R4773" s="17">
        <f t="shared" si="2"/>
        <v>235.8917912</v>
      </c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>
        <f t="shared" si="8"/>
        <v>2</v>
      </c>
      <c r="AF4773" s="19">
        <f t="shared" si="13"/>
        <v>4</v>
      </c>
      <c r="AG4773" s="9"/>
      <c r="AH4773" s="9"/>
      <c r="AI4773" s="9"/>
    </row>
    <row r="4774" ht="15.0" customHeight="1">
      <c r="A4774" s="11">
        <v>4773.0</v>
      </c>
      <c r="B4774" s="12">
        <f t="shared" si="756"/>
        <v>40632</v>
      </c>
      <c r="C4774" s="13">
        <v>2011.0</v>
      </c>
      <c r="D4774" s="11" t="s">
        <v>102</v>
      </c>
      <c r="E4774" s="11">
        <v>7.0</v>
      </c>
      <c r="F4774" s="21" t="s">
        <v>1369</v>
      </c>
      <c r="G4774" s="15">
        <v>0.03913043478260879</v>
      </c>
      <c r="H4774" s="11" t="s">
        <v>33</v>
      </c>
      <c r="I4774" s="16">
        <v>0.4</v>
      </c>
      <c r="J4774" s="11" t="s">
        <v>78</v>
      </c>
      <c r="K4774" s="11" t="s">
        <v>35</v>
      </c>
      <c r="L4774" s="11" t="s">
        <v>48</v>
      </c>
      <c r="M4774" s="11" t="s">
        <v>28</v>
      </c>
      <c r="N4774" s="11" t="s">
        <v>188</v>
      </c>
      <c r="O4774" s="11" t="s">
        <v>1575</v>
      </c>
      <c r="P4774" s="11" t="s">
        <v>38</v>
      </c>
      <c r="Q4774" s="20">
        <v>40634.0</v>
      </c>
      <c r="R4774" s="17">
        <f t="shared" si="2"/>
        <v>0.8647826087</v>
      </c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>
        <f t="shared" si="8"/>
        <v>4</v>
      </c>
      <c r="AF4774" s="19">
        <f t="shared" si="13"/>
        <v>2</v>
      </c>
      <c r="AG4774" s="9"/>
      <c r="AH4774" s="9"/>
      <c r="AI4774" s="9"/>
    </row>
    <row r="4775" ht="15.0" customHeight="1">
      <c r="A4775" s="11">
        <v>4774.0</v>
      </c>
      <c r="B4775" s="12">
        <f t="shared" ref="B4775:B4776" si="757">DATE(2012,12,31)-641</f>
        <v>40633</v>
      </c>
      <c r="C4775" s="13">
        <v>2011.0</v>
      </c>
      <c r="D4775" s="11" t="s">
        <v>32</v>
      </c>
      <c r="E4775" s="11">
        <v>9.0</v>
      </c>
      <c r="F4775" s="21" t="s">
        <v>126</v>
      </c>
      <c r="G4775" s="15">
        <v>0.06339483394833947</v>
      </c>
      <c r="H4775" s="11" t="s">
        <v>24</v>
      </c>
      <c r="I4775" s="16">
        <v>6.664000000000001</v>
      </c>
      <c r="J4775" s="11" t="s">
        <v>1948</v>
      </c>
      <c r="K4775" s="11" t="s">
        <v>61</v>
      </c>
      <c r="L4775" s="11" t="s">
        <v>41</v>
      </c>
      <c r="M4775" s="11" t="s">
        <v>28</v>
      </c>
      <c r="N4775" s="11" t="s">
        <v>56</v>
      </c>
      <c r="O4775" s="11" t="s">
        <v>2216</v>
      </c>
      <c r="P4775" s="11" t="s">
        <v>38</v>
      </c>
      <c r="Q4775" s="20">
        <v>40634.0</v>
      </c>
      <c r="R4775" s="17">
        <f t="shared" si="2"/>
        <v>3.218175351</v>
      </c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>
        <f t="shared" si="8"/>
        <v>3</v>
      </c>
      <c r="AF4775" s="19">
        <f t="shared" si="13"/>
        <v>4</v>
      </c>
      <c r="AG4775" s="9"/>
      <c r="AH4775" s="9"/>
      <c r="AI4775" s="9"/>
    </row>
    <row r="4776" ht="15.0" customHeight="1">
      <c r="A4776" s="11">
        <v>4775.0</v>
      </c>
      <c r="B4776" s="12">
        <f t="shared" si="757"/>
        <v>40633</v>
      </c>
      <c r="C4776" s="13">
        <v>2011.0</v>
      </c>
      <c r="D4776" s="11" t="s">
        <v>39</v>
      </c>
      <c r="E4776" s="11">
        <v>12.0</v>
      </c>
      <c r="F4776" s="21" t="s">
        <v>440</v>
      </c>
      <c r="G4776" s="15">
        <v>0.06028415300546454</v>
      </c>
      <c r="H4776" s="11" t="s">
        <v>33</v>
      </c>
      <c r="I4776" s="16">
        <v>4.384</v>
      </c>
      <c r="J4776" s="11" t="s">
        <v>795</v>
      </c>
      <c r="K4776" s="11" t="s">
        <v>35</v>
      </c>
      <c r="L4776" s="11" t="s">
        <v>41</v>
      </c>
      <c r="M4776" s="11" t="s">
        <v>28</v>
      </c>
      <c r="N4776" s="11" t="s">
        <v>42</v>
      </c>
      <c r="O4776" s="11" t="s">
        <v>2379</v>
      </c>
      <c r="P4776" s="11" t="s">
        <v>38</v>
      </c>
      <c r="Q4776" s="20">
        <v>40634.0</v>
      </c>
      <c r="R4776" s="17">
        <f t="shared" si="2"/>
        <v>5.183472612</v>
      </c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>
        <f t="shared" si="8"/>
        <v>3</v>
      </c>
      <c r="AF4776" s="19">
        <f t="shared" si="13"/>
        <v>2</v>
      </c>
      <c r="AG4776" s="9"/>
      <c r="AH4776" s="9"/>
      <c r="AI4776" s="9"/>
    </row>
    <row r="4777" ht="15.0" customHeight="1">
      <c r="A4777" s="11">
        <v>4776.0</v>
      </c>
      <c r="B4777" s="12">
        <f t="shared" ref="B4777:B4780" si="758">DATE(2012,12,31)-640</f>
        <v>40634</v>
      </c>
      <c r="C4777" s="13">
        <v>2011.0</v>
      </c>
      <c r="D4777" s="11" t="s">
        <v>39</v>
      </c>
      <c r="E4777" s="11">
        <v>29.0</v>
      </c>
      <c r="F4777" s="21" t="s">
        <v>2450</v>
      </c>
      <c r="G4777" s="15">
        <v>0.0766190476190475</v>
      </c>
      <c r="H4777" s="11" t="s">
        <v>33</v>
      </c>
      <c r="I4777" s="16">
        <v>4.24</v>
      </c>
      <c r="J4777" s="11" t="s">
        <v>1021</v>
      </c>
      <c r="K4777" s="11" t="s">
        <v>61</v>
      </c>
      <c r="L4777" s="11" t="s">
        <v>27</v>
      </c>
      <c r="M4777" s="11" t="s">
        <v>49</v>
      </c>
      <c r="N4777" s="11" t="s">
        <v>50</v>
      </c>
      <c r="O4777" s="11" t="s">
        <v>2451</v>
      </c>
      <c r="P4777" s="11" t="s">
        <v>75</v>
      </c>
      <c r="Q4777" s="20">
        <v>40635.0</v>
      </c>
      <c r="R4777" s="17">
        <f t="shared" si="2"/>
        <v>59.4287981</v>
      </c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>
        <f t="shared" si="8"/>
        <v>1</v>
      </c>
      <c r="AF4777" s="19">
        <f t="shared" si="13"/>
        <v>4</v>
      </c>
      <c r="AG4777" s="9"/>
      <c r="AH4777" s="9"/>
      <c r="AI4777" s="9"/>
    </row>
    <row r="4778" ht="15.0" customHeight="1">
      <c r="A4778" s="11">
        <v>4777.0</v>
      </c>
      <c r="B4778" s="12">
        <f t="shared" si="758"/>
        <v>40634</v>
      </c>
      <c r="C4778" s="13">
        <v>2011.0</v>
      </c>
      <c r="D4778" s="11" t="s">
        <v>39</v>
      </c>
      <c r="E4778" s="11">
        <v>47.0</v>
      </c>
      <c r="F4778" s="21" t="s">
        <v>573</v>
      </c>
      <c r="G4778" s="15">
        <v>0.010912924309508723</v>
      </c>
      <c r="H4778" s="11" t="s">
        <v>33</v>
      </c>
      <c r="I4778" s="16">
        <v>3.8240000000000003</v>
      </c>
      <c r="J4778" s="11" t="s">
        <v>1021</v>
      </c>
      <c r="K4778" s="11" t="s">
        <v>61</v>
      </c>
      <c r="L4778" s="11" t="s">
        <v>27</v>
      </c>
      <c r="M4778" s="11" t="s">
        <v>28</v>
      </c>
      <c r="N4778" s="11" t="s">
        <v>56</v>
      </c>
      <c r="O4778" s="11" t="s">
        <v>1806</v>
      </c>
      <c r="P4778" s="11" t="s">
        <v>38</v>
      </c>
      <c r="Q4778" s="20">
        <v>40635.0</v>
      </c>
      <c r="R4778" s="17">
        <f t="shared" si="2"/>
        <v>5.119514704</v>
      </c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>
        <f t="shared" si="8"/>
        <v>1</v>
      </c>
      <c r="AF4778" s="19">
        <f t="shared" si="13"/>
        <v>4</v>
      </c>
      <c r="AG4778" s="9"/>
      <c r="AH4778" s="9"/>
      <c r="AI4778" s="9"/>
    </row>
    <row r="4779" ht="15.0" customHeight="1">
      <c r="A4779" s="11">
        <v>4778.0</v>
      </c>
      <c r="B4779" s="12">
        <f t="shared" si="758"/>
        <v>40634</v>
      </c>
      <c r="C4779" s="13">
        <v>2011.0</v>
      </c>
      <c r="D4779" s="11" t="s">
        <v>39</v>
      </c>
      <c r="E4779" s="11">
        <v>42.0</v>
      </c>
      <c r="F4779" s="21" t="s">
        <v>1158</v>
      </c>
      <c r="G4779" s="15">
        <v>0.0798509316770186</v>
      </c>
      <c r="H4779" s="11" t="s">
        <v>33</v>
      </c>
      <c r="I4779" s="16">
        <v>1.144</v>
      </c>
      <c r="J4779" s="11" t="s">
        <v>1021</v>
      </c>
      <c r="K4779" s="11" t="s">
        <v>61</v>
      </c>
      <c r="L4779" s="11" t="s">
        <v>27</v>
      </c>
      <c r="M4779" s="11" t="s">
        <v>28</v>
      </c>
      <c r="N4779" s="11" t="s">
        <v>216</v>
      </c>
      <c r="O4779" s="11" t="s">
        <v>2471</v>
      </c>
      <c r="P4779" s="11" t="s">
        <v>58</v>
      </c>
      <c r="Q4779" s="20">
        <v>40635.0</v>
      </c>
      <c r="R4779" s="17">
        <f t="shared" si="2"/>
        <v>11.82943642</v>
      </c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>
        <f t="shared" si="8"/>
        <v>1</v>
      </c>
      <c r="AF4779" s="19">
        <f t="shared" si="13"/>
        <v>4</v>
      </c>
      <c r="AG4779" s="9"/>
      <c r="AH4779" s="9"/>
      <c r="AI4779" s="9"/>
    </row>
    <row r="4780" ht="15.0" customHeight="1">
      <c r="A4780" s="11">
        <v>4779.0</v>
      </c>
      <c r="B4780" s="12">
        <f t="shared" si="758"/>
        <v>40634</v>
      </c>
      <c r="C4780" s="13">
        <v>2011.0</v>
      </c>
      <c r="D4780" s="11" t="s">
        <v>32</v>
      </c>
      <c r="E4780" s="11">
        <v>40.0</v>
      </c>
      <c r="F4780" s="21" t="s">
        <v>270</v>
      </c>
      <c r="G4780" s="15">
        <v>0.02174910394265227</v>
      </c>
      <c r="H4780" s="11" t="s">
        <v>33</v>
      </c>
      <c r="I4780" s="16">
        <v>1.592</v>
      </c>
      <c r="J4780" s="11" t="s">
        <v>2478</v>
      </c>
      <c r="K4780" s="11" t="s">
        <v>65</v>
      </c>
      <c r="L4780" s="11" t="s">
        <v>41</v>
      </c>
      <c r="M4780" s="11" t="s">
        <v>66</v>
      </c>
      <c r="N4780" s="11" t="s">
        <v>67</v>
      </c>
      <c r="O4780" s="11" t="s">
        <v>2453</v>
      </c>
      <c r="P4780" s="11" t="s">
        <v>99</v>
      </c>
      <c r="Q4780" s="20">
        <v>40636.0</v>
      </c>
      <c r="R4780" s="17">
        <f t="shared" si="2"/>
        <v>35.61615862</v>
      </c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>
        <f t="shared" si="8"/>
        <v>3</v>
      </c>
      <c r="AF4780" s="19">
        <f t="shared" si="13"/>
        <v>5</v>
      </c>
      <c r="AG4780" s="9"/>
      <c r="AH4780" s="9"/>
      <c r="AI4780" s="9"/>
    </row>
    <row r="4781" ht="15.0" customHeight="1">
      <c r="A4781" s="11">
        <v>4780.0</v>
      </c>
      <c r="B4781" s="12">
        <f t="shared" ref="B4781:B4788" si="759">DATE(2012,12,31)-639</f>
        <v>40635</v>
      </c>
      <c r="C4781" s="13">
        <v>2011.0</v>
      </c>
      <c r="D4781" s="11" t="s">
        <v>23</v>
      </c>
      <c r="E4781" s="11">
        <v>32.0</v>
      </c>
      <c r="F4781" s="21" t="s">
        <v>596</v>
      </c>
      <c r="G4781" s="15">
        <v>0.026735340729001657</v>
      </c>
      <c r="H4781" s="11" t="s">
        <v>33</v>
      </c>
      <c r="I4781" s="16">
        <v>8.104000000000001</v>
      </c>
      <c r="J4781" s="11" t="s">
        <v>2069</v>
      </c>
      <c r="K4781" s="11" t="s">
        <v>35</v>
      </c>
      <c r="L4781" s="11" t="s">
        <v>48</v>
      </c>
      <c r="M4781" s="11" t="s">
        <v>28</v>
      </c>
      <c r="N4781" s="11" t="s">
        <v>42</v>
      </c>
      <c r="O4781" s="11" t="s">
        <v>2415</v>
      </c>
      <c r="P4781" s="11" t="s">
        <v>38</v>
      </c>
      <c r="Q4781" s="20">
        <v>40636.0</v>
      </c>
      <c r="R4781" s="17">
        <f t="shared" si="2"/>
        <v>13.13517984</v>
      </c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>
        <f t="shared" si="8"/>
        <v>4</v>
      </c>
      <c r="AF4781" s="19">
        <f t="shared" si="13"/>
        <v>2</v>
      </c>
      <c r="AG4781" s="9"/>
      <c r="AH4781" s="9"/>
      <c r="AI4781" s="9"/>
    </row>
    <row r="4782" ht="15.0" customHeight="1">
      <c r="A4782" s="11">
        <v>4781.0</v>
      </c>
      <c r="B4782" s="12">
        <f t="shared" si="759"/>
        <v>40635</v>
      </c>
      <c r="C4782" s="13">
        <v>2011.0</v>
      </c>
      <c r="D4782" s="11" t="s">
        <v>23</v>
      </c>
      <c r="E4782" s="11">
        <v>4.0</v>
      </c>
      <c r="F4782" s="21" t="s">
        <v>629</v>
      </c>
      <c r="G4782" s="15">
        <v>0.038386167146974084</v>
      </c>
      <c r="H4782" s="11" t="s">
        <v>33</v>
      </c>
      <c r="I4782" s="16">
        <v>4.168</v>
      </c>
      <c r="J4782" s="11" t="s">
        <v>2069</v>
      </c>
      <c r="K4782" s="11" t="s">
        <v>35</v>
      </c>
      <c r="L4782" s="11" t="s">
        <v>48</v>
      </c>
      <c r="M4782" s="11" t="s">
        <v>49</v>
      </c>
      <c r="N4782" s="11" t="s">
        <v>73</v>
      </c>
      <c r="O4782" s="11" t="s">
        <v>1477</v>
      </c>
      <c r="P4782" s="11" t="s">
        <v>38</v>
      </c>
      <c r="Q4782" s="20">
        <v>40637.0</v>
      </c>
      <c r="R4782" s="17">
        <f t="shared" si="2"/>
        <v>1.280869625</v>
      </c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>
        <f t="shared" si="8"/>
        <v>4</v>
      </c>
      <c r="AF4782" s="19">
        <f t="shared" si="13"/>
        <v>2</v>
      </c>
      <c r="AG4782" s="9"/>
      <c r="AH4782" s="9"/>
      <c r="AI4782" s="9"/>
    </row>
    <row r="4783" ht="15.0" customHeight="1">
      <c r="A4783" s="11">
        <v>4782.0</v>
      </c>
      <c r="B4783" s="12">
        <f t="shared" si="759"/>
        <v>40635</v>
      </c>
      <c r="C4783" s="13">
        <v>2011.0</v>
      </c>
      <c r="D4783" s="11" t="s">
        <v>102</v>
      </c>
      <c r="E4783" s="11">
        <v>14.0</v>
      </c>
      <c r="F4783" s="21" t="s">
        <v>2210</v>
      </c>
      <c r="G4783" s="15">
        <v>0.08986817325800374</v>
      </c>
      <c r="H4783" s="11" t="s">
        <v>33</v>
      </c>
      <c r="I4783" s="16">
        <v>0.7280000000000001</v>
      </c>
      <c r="J4783" s="11" t="s">
        <v>1965</v>
      </c>
      <c r="K4783" s="11" t="s">
        <v>35</v>
      </c>
      <c r="L4783" s="11" t="s">
        <v>48</v>
      </c>
      <c r="M4783" s="11" t="s">
        <v>28</v>
      </c>
      <c r="N4783" s="11" t="s">
        <v>197</v>
      </c>
      <c r="O4783" s="11" t="s">
        <v>2265</v>
      </c>
      <c r="P4783" s="11" t="s">
        <v>31</v>
      </c>
      <c r="Q4783" s="20">
        <v>40637.0</v>
      </c>
      <c r="R4783" s="17">
        <f t="shared" si="2"/>
        <v>4.343149077</v>
      </c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>
        <f t="shared" si="8"/>
        <v>4</v>
      </c>
      <c r="AF4783" s="19">
        <f t="shared" si="13"/>
        <v>2</v>
      </c>
      <c r="AG4783" s="9"/>
      <c r="AH4783" s="9"/>
      <c r="AI4783" s="9"/>
    </row>
    <row r="4784" ht="15.0" customHeight="1">
      <c r="A4784" s="11">
        <v>4783.0</v>
      </c>
      <c r="B4784" s="12">
        <f t="shared" si="759"/>
        <v>40635</v>
      </c>
      <c r="C4784" s="13">
        <v>2011.0</v>
      </c>
      <c r="D4784" s="11" t="s">
        <v>102</v>
      </c>
      <c r="E4784" s="11">
        <v>4.0</v>
      </c>
      <c r="F4784" s="21" t="s">
        <v>103</v>
      </c>
      <c r="G4784" s="15">
        <v>0.08516605166051659</v>
      </c>
      <c r="H4784" s="11" t="s">
        <v>33</v>
      </c>
      <c r="I4784" s="16">
        <v>1.192</v>
      </c>
      <c r="J4784" s="11" t="s">
        <v>1965</v>
      </c>
      <c r="K4784" s="11" t="s">
        <v>35</v>
      </c>
      <c r="L4784" s="11" t="s">
        <v>48</v>
      </c>
      <c r="M4784" s="11" t="s">
        <v>28</v>
      </c>
      <c r="N4784" s="11" t="s">
        <v>42</v>
      </c>
      <c r="O4784" s="11" t="s">
        <v>1473</v>
      </c>
      <c r="P4784" s="11" t="s">
        <v>38</v>
      </c>
      <c r="Q4784" s="20">
        <v>40637.0</v>
      </c>
      <c r="R4784" s="17">
        <f t="shared" si="2"/>
        <v>2.111436753</v>
      </c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>
        <f t="shared" si="8"/>
        <v>4</v>
      </c>
      <c r="AF4784" s="19">
        <f t="shared" si="13"/>
        <v>2</v>
      </c>
      <c r="AG4784" s="9"/>
      <c r="AH4784" s="9"/>
      <c r="AI4784" s="9"/>
    </row>
    <row r="4785" ht="15.0" customHeight="1">
      <c r="A4785" s="11">
        <v>4784.0</v>
      </c>
      <c r="B4785" s="12">
        <f t="shared" si="759"/>
        <v>40635</v>
      </c>
      <c r="C4785" s="13">
        <v>2011.0</v>
      </c>
      <c r="D4785" s="11" t="s">
        <v>102</v>
      </c>
      <c r="E4785" s="11">
        <v>46.0</v>
      </c>
      <c r="F4785" s="21" t="s">
        <v>2138</v>
      </c>
      <c r="G4785" s="15">
        <v>0.05221643286573154</v>
      </c>
      <c r="H4785" s="11" t="s">
        <v>33</v>
      </c>
      <c r="I4785" s="16">
        <v>3.7439999999999998</v>
      </c>
      <c r="J4785" s="11" t="s">
        <v>1965</v>
      </c>
      <c r="K4785" s="11" t="s">
        <v>35</v>
      </c>
      <c r="L4785" s="11" t="s">
        <v>48</v>
      </c>
      <c r="M4785" s="11" t="s">
        <v>28</v>
      </c>
      <c r="N4785" s="11" t="s">
        <v>442</v>
      </c>
      <c r="O4785" s="11" t="s">
        <v>2139</v>
      </c>
      <c r="P4785" s="11" t="s">
        <v>99</v>
      </c>
      <c r="Q4785" s="20">
        <v>40637.0</v>
      </c>
      <c r="R4785" s="17">
        <f t="shared" si="2"/>
        <v>24.69544863</v>
      </c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>
        <f t="shared" si="8"/>
        <v>4</v>
      </c>
      <c r="AF4785" s="19">
        <f t="shared" si="13"/>
        <v>2</v>
      </c>
      <c r="AG4785" s="9"/>
      <c r="AH4785" s="9"/>
      <c r="AI4785" s="9"/>
    </row>
    <row r="4786" ht="15.0" customHeight="1">
      <c r="A4786" s="11">
        <v>4785.0</v>
      </c>
      <c r="B4786" s="12">
        <f t="shared" si="759"/>
        <v>40635</v>
      </c>
      <c r="C4786" s="13">
        <v>2011.0</v>
      </c>
      <c r="D4786" s="11" t="s">
        <v>39</v>
      </c>
      <c r="E4786" s="11">
        <v>28.0</v>
      </c>
      <c r="F4786" s="21" t="s">
        <v>1195</v>
      </c>
      <c r="G4786" s="15">
        <v>0.03776332899869975</v>
      </c>
      <c r="H4786" s="11" t="s">
        <v>24</v>
      </c>
      <c r="I4786" s="16">
        <v>2.3920000000000003</v>
      </c>
      <c r="J4786" s="11" t="s">
        <v>504</v>
      </c>
      <c r="K4786" s="11" t="s">
        <v>117</v>
      </c>
      <c r="L4786" s="11" t="s">
        <v>48</v>
      </c>
      <c r="M4786" s="11" t="s">
        <v>28</v>
      </c>
      <c r="N4786" s="11" t="s">
        <v>42</v>
      </c>
      <c r="O4786" s="11" t="s">
        <v>2199</v>
      </c>
      <c r="P4786" s="11" t="s">
        <v>38</v>
      </c>
      <c r="Q4786" s="20">
        <v>40637.0</v>
      </c>
      <c r="R4786" s="17">
        <f t="shared" si="2"/>
        <v>5.588670585</v>
      </c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>
        <f t="shared" si="8"/>
        <v>4</v>
      </c>
      <c r="AF4786" s="19" t="b">
        <f t="shared" si="13"/>
        <v>0</v>
      </c>
      <c r="AG4786" s="9"/>
      <c r="AH4786" s="9"/>
      <c r="AI4786" s="9"/>
    </row>
    <row r="4787" ht="15.0" customHeight="1">
      <c r="A4787" s="11">
        <v>4786.0</v>
      </c>
      <c r="B4787" s="12">
        <f t="shared" si="759"/>
        <v>40635</v>
      </c>
      <c r="C4787" s="13">
        <v>2011.0</v>
      </c>
      <c r="D4787" s="11" t="s">
        <v>44</v>
      </c>
      <c r="E4787" s="11">
        <v>48.0</v>
      </c>
      <c r="F4787" s="21" t="s">
        <v>415</v>
      </c>
      <c r="G4787" s="15">
        <v>0.058375125376128455</v>
      </c>
      <c r="H4787" s="11" t="s">
        <v>33</v>
      </c>
      <c r="I4787" s="16">
        <v>0.5599999999999999</v>
      </c>
      <c r="J4787" s="11" t="s">
        <v>279</v>
      </c>
      <c r="K4787" s="11" t="s">
        <v>47</v>
      </c>
      <c r="L4787" s="11" t="s">
        <v>48</v>
      </c>
      <c r="M4787" s="11" t="s">
        <v>28</v>
      </c>
      <c r="N4787" s="11" t="s">
        <v>62</v>
      </c>
      <c r="O4787" s="11" t="s">
        <v>417</v>
      </c>
      <c r="P4787" s="11" t="s">
        <v>58</v>
      </c>
      <c r="Q4787" s="20">
        <v>40637.0</v>
      </c>
      <c r="R4787" s="17">
        <f t="shared" si="2"/>
        <v>10.96051354</v>
      </c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>
        <f t="shared" si="8"/>
        <v>4</v>
      </c>
      <c r="AF4787" s="19">
        <f t="shared" si="13"/>
        <v>3</v>
      </c>
      <c r="AG4787" s="9"/>
      <c r="AH4787" s="9"/>
      <c r="AI4787" s="9"/>
    </row>
    <row r="4788" ht="15.0" customHeight="1">
      <c r="A4788" s="11">
        <v>4787.0</v>
      </c>
      <c r="B4788" s="12">
        <f t="shared" si="759"/>
        <v>40635</v>
      </c>
      <c r="C4788" s="13">
        <v>2011.0</v>
      </c>
      <c r="D4788" s="11" t="s">
        <v>44</v>
      </c>
      <c r="E4788" s="11">
        <v>16.0</v>
      </c>
      <c r="F4788" s="21" t="s">
        <v>1227</v>
      </c>
      <c r="G4788" s="15">
        <v>0.07455012853470433</v>
      </c>
      <c r="H4788" s="11" t="s">
        <v>24</v>
      </c>
      <c r="I4788" s="16">
        <v>0.8</v>
      </c>
      <c r="J4788" s="11" t="s">
        <v>279</v>
      </c>
      <c r="K4788" s="11" t="s">
        <v>47</v>
      </c>
      <c r="L4788" s="11" t="s">
        <v>48</v>
      </c>
      <c r="M4788" s="11" t="s">
        <v>28</v>
      </c>
      <c r="N4788" s="11" t="s">
        <v>62</v>
      </c>
      <c r="O4788" s="11" t="s">
        <v>1786</v>
      </c>
      <c r="P4788" s="11" t="s">
        <v>58</v>
      </c>
      <c r="Q4788" s="20">
        <v>40637.0</v>
      </c>
      <c r="R4788" s="17">
        <f t="shared" si="2"/>
        <v>2.683804627</v>
      </c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>
        <f t="shared" si="8"/>
        <v>4</v>
      </c>
      <c r="AF4788" s="19">
        <f t="shared" si="13"/>
        <v>3</v>
      </c>
      <c r="AG4788" s="9"/>
      <c r="AH4788" s="9"/>
      <c r="AI4788" s="9"/>
    </row>
    <row r="4789" ht="15.0" customHeight="1">
      <c r="A4789" s="11">
        <v>4788.0</v>
      </c>
      <c r="B4789" s="12">
        <f t="shared" ref="B4789:B4794" si="760">DATE(2012,12,31)-638</f>
        <v>40636</v>
      </c>
      <c r="C4789" s="13">
        <v>2011.0</v>
      </c>
      <c r="D4789" s="11" t="s">
        <v>39</v>
      </c>
      <c r="E4789" s="11">
        <v>26.0</v>
      </c>
      <c r="F4789" s="21" t="s">
        <v>126</v>
      </c>
      <c r="G4789" s="15">
        <v>0.10648988136776007</v>
      </c>
      <c r="H4789" s="11" t="s">
        <v>33</v>
      </c>
      <c r="I4789" s="16">
        <v>0.6400000000000001</v>
      </c>
      <c r="J4789" s="11" t="s">
        <v>934</v>
      </c>
      <c r="K4789" s="11" t="s">
        <v>61</v>
      </c>
      <c r="L4789" s="11" t="s">
        <v>41</v>
      </c>
      <c r="M4789" s="11" t="s">
        <v>28</v>
      </c>
      <c r="N4789" s="11" t="s">
        <v>56</v>
      </c>
      <c r="O4789" s="11" t="s">
        <v>517</v>
      </c>
      <c r="P4789" s="11" t="s">
        <v>58</v>
      </c>
      <c r="Q4789" s="20">
        <v>40637.0</v>
      </c>
      <c r="R4789" s="17">
        <f t="shared" si="2"/>
        <v>13.63496441</v>
      </c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>
        <f t="shared" si="8"/>
        <v>3</v>
      </c>
      <c r="AF4789" s="19">
        <f t="shared" si="13"/>
        <v>4</v>
      </c>
      <c r="AG4789" s="9"/>
      <c r="AH4789" s="9"/>
      <c r="AI4789" s="9"/>
    </row>
    <row r="4790" ht="15.0" customHeight="1">
      <c r="A4790" s="11">
        <v>4789.0</v>
      </c>
      <c r="B4790" s="12">
        <f t="shared" si="760"/>
        <v>40636</v>
      </c>
      <c r="C4790" s="13">
        <v>2011.0</v>
      </c>
      <c r="D4790" s="11" t="s">
        <v>23</v>
      </c>
      <c r="E4790" s="11">
        <v>26.0</v>
      </c>
      <c r="F4790" s="21" t="s">
        <v>473</v>
      </c>
      <c r="G4790" s="15">
        <v>0.0322887095277858</v>
      </c>
      <c r="H4790" s="11" t="s">
        <v>33</v>
      </c>
      <c r="I4790" s="16">
        <v>5.696000000000001</v>
      </c>
      <c r="J4790" s="11" t="s">
        <v>945</v>
      </c>
      <c r="K4790" s="11" t="s">
        <v>65</v>
      </c>
      <c r="L4790" s="11" t="s">
        <v>41</v>
      </c>
      <c r="M4790" s="11" t="s">
        <v>66</v>
      </c>
      <c r="N4790" s="11" t="s">
        <v>67</v>
      </c>
      <c r="O4790" s="11" t="s">
        <v>475</v>
      </c>
      <c r="P4790" s="11" t="s">
        <v>38</v>
      </c>
      <c r="Q4790" s="20">
        <v>40638.0</v>
      </c>
      <c r="R4790" s="17">
        <f t="shared" si="2"/>
        <v>33.68022375</v>
      </c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>
        <f t="shared" si="8"/>
        <v>3</v>
      </c>
      <c r="AF4790" s="19">
        <f t="shared" si="13"/>
        <v>5</v>
      </c>
      <c r="AG4790" s="9"/>
      <c r="AH4790" s="9"/>
      <c r="AI4790" s="9"/>
    </row>
    <row r="4791" ht="15.0" customHeight="1">
      <c r="A4791" s="11">
        <v>4790.0</v>
      </c>
      <c r="B4791" s="12">
        <f t="shared" si="760"/>
        <v>40636</v>
      </c>
      <c r="C4791" s="13">
        <v>2011.0</v>
      </c>
      <c r="D4791" s="11" t="s">
        <v>23</v>
      </c>
      <c r="E4791" s="11">
        <v>21.0</v>
      </c>
      <c r="F4791" s="21" t="s">
        <v>178</v>
      </c>
      <c r="G4791" s="15">
        <v>0.03095431046527874</v>
      </c>
      <c r="H4791" s="11" t="s">
        <v>33</v>
      </c>
      <c r="I4791" s="16">
        <v>3.192</v>
      </c>
      <c r="J4791" s="11" t="s">
        <v>945</v>
      </c>
      <c r="K4791" s="11" t="s">
        <v>65</v>
      </c>
      <c r="L4791" s="11" t="s">
        <v>41</v>
      </c>
      <c r="M4791" s="11" t="s">
        <v>66</v>
      </c>
      <c r="N4791" s="11" t="s">
        <v>80</v>
      </c>
      <c r="O4791" s="11" t="s">
        <v>587</v>
      </c>
      <c r="P4791" s="11" t="s">
        <v>38</v>
      </c>
      <c r="Q4791" s="20">
        <v>40638.0</v>
      </c>
      <c r="R4791" s="17">
        <f t="shared" si="2"/>
        <v>42.93647641</v>
      </c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>
        <f t="shared" si="8"/>
        <v>3</v>
      </c>
      <c r="AF4791" s="19">
        <f t="shared" si="13"/>
        <v>5</v>
      </c>
      <c r="AG4791" s="9"/>
      <c r="AH4791" s="9"/>
      <c r="AI4791" s="9"/>
    </row>
    <row r="4792" ht="15.0" customHeight="1">
      <c r="A4792" s="11">
        <v>4791.0</v>
      </c>
      <c r="B4792" s="12">
        <f t="shared" si="760"/>
        <v>40636</v>
      </c>
      <c r="C4792" s="13">
        <v>2011.0</v>
      </c>
      <c r="D4792" s="11" t="s">
        <v>23</v>
      </c>
      <c r="E4792" s="11">
        <v>24.0</v>
      </c>
      <c r="F4792" s="21" t="s">
        <v>799</v>
      </c>
      <c r="G4792" s="15">
        <v>0.09212213863298076</v>
      </c>
      <c r="H4792" s="11" t="s">
        <v>45</v>
      </c>
      <c r="I4792" s="16">
        <v>28.536</v>
      </c>
      <c r="J4792" s="11" t="s">
        <v>945</v>
      </c>
      <c r="K4792" s="11" t="s">
        <v>65</v>
      </c>
      <c r="L4792" s="11" t="s">
        <v>41</v>
      </c>
      <c r="M4792" s="11" t="s">
        <v>49</v>
      </c>
      <c r="N4792" s="11" t="s">
        <v>85</v>
      </c>
      <c r="O4792" s="11" t="s">
        <v>1323</v>
      </c>
      <c r="P4792" s="11" t="s">
        <v>87</v>
      </c>
      <c r="Q4792" s="20">
        <v>40638.0</v>
      </c>
      <c r="R4792" s="17">
        <f t="shared" si="2"/>
        <v>623.6794072</v>
      </c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>
        <f t="shared" si="8"/>
        <v>3</v>
      </c>
      <c r="AF4792" s="19">
        <f t="shared" si="13"/>
        <v>5</v>
      </c>
      <c r="AG4792" s="9"/>
      <c r="AH4792" s="9"/>
      <c r="AI4792" s="9"/>
    </row>
    <row r="4793" ht="15.0" customHeight="1">
      <c r="A4793" s="11">
        <v>4792.0</v>
      </c>
      <c r="B4793" s="12">
        <f t="shared" si="760"/>
        <v>40636</v>
      </c>
      <c r="C4793" s="13">
        <v>2011.0</v>
      </c>
      <c r="D4793" s="11" t="s">
        <v>32</v>
      </c>
      <c r="E4793" s="11">
        <v>50.0</v>
      </c>
      <c r="F4793" s="21" t="s">
        <v>1369</v>
      </c>
      <c r="G4793" s="15">
        <v>0.013839342188488224</v>
      </c>
      <c r="H4793" s="11" t="s">
        <v>33</v>
      </c>
      <c r="I4793" s="16">
        <v>0.9119999999999999</v>
      </c>
      <c r="J4793" s="11" t="s">
        <v>479</v>
      </c>
      <c r="K4793" s="11" t="s">
        <v>35</v>
      </c>
      <c r="L4793" s="11" t="s">
        <v>48</v>
      </c>
      <c r="M4793" s="11" t="s">
        <v>28</v>
      </c>
      <c r="N4793" s="11" t="s">
        <v>56</v>
      </c>
      <c r="O4793" s="11" t="s">
        <v>2313</v>
      </c>
      <c r="P4793" s="11" t="s">
        <v>58</v>
      </c>
      <c r="Q4793" s="20">
        <v>40638.0</v>
      </c>
      <c r="R4793" s="17">
        <f t="shared" si="2"/>
        <v>2.157719519</v>
      </c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>
        <f t="shared" si="8"/>
        <v>4</v>
      </c>
      <c r="AF4793" s="19">
        <f t="shared" si="13"/>
        <v>2</v>
      </c>
      <c r="AG4793" s="9"/>
      <c r="AH4793" s="9"/>
      <c r="AI4793" s="9"/>
    </row>
    <row r="4794" ht="15.0" customHeight="1">
      <c r="A4794" s="11">
        <v>4793.0</v>
      </c>
      <c r="B4794" s="12">
        <f t="shared" si="760"/>
        <v>40636</v>
      </c>
      <c r="C4794" s="13">
        <v>2011.0</v>
      </c>
      <c r="D4794" s="11" t="s">
        <v>44</v>
      </c>
      <c r="E4794" s="11">
        <v>47.0</v>
      </c>
      <c r="F4794" s="21" t="s">
        <v>284</v>
      </c>
      <c r="G4794" s="15">
        <v>0.11118580765639591</v>
      </c>
      <c r="H4794" s="11" t="s">
        <v>33</v>
      </c>
      <c r="I4794" s="16">
        <v>1.192</v>
      </c>
      <c r="J4794" s="11" t="s">
        <v>904</v>
      </c>
      <c r="K4794" s="11" t="s">
        <v>61</v>
      </c>
      <c r="L4794" s="11" t="s">
        <v>27</v>
      </c>
      <c r="M4794" s="11" t="s">
        <v>28</v>
      </c>
      <c r="N4794" s="11" t="s">
        <v>42</v>
      </c>
      <c r="O4794" s="11" t="s">
        <v>2299</v>
      </c>
      <c r="P4794" s="11" t="s">
        <v>38</v>
      </c>
      <c r="Q4794" s="20">
        <v>40638.0</v>
      </c>
      <c r="R4794" s="17">
        <f t="shared" si="2"/>
        <v>10.5839994</v>
      </c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>
        <f t="shared" si="8"/>
        <v>1</v>
      </c>
      <c r="AF4794" s="19">
        <f t="shared" si="13"/>
        <v>4</v>
      </c>
      <c r="AG4794" s="9"/>
      <c r="AH4794" s="9"/>
      <c r="AI4794" s="9"/>
    </row>
    <row r="4795" ht="15.0" customHeight="1">
      <c r="A4795" s="11">
        <v>4794.0</v>
      </c>
      <c r="B4795" s="12">
        <f t="shared" ref="B4795:B4797" si="761">DATE(2012,12,31)-637</f>
        <v>40637</v>
      </c>
      <c r="C4795" s="13">
        <v>2011.0</v>
      </c>
      <c r="D4795" s="11" t="s">
        <v>102</v>
      </c>
      <c r="E4795" s="11">
        <v>24.0</v>
      </c>
      <c r="F4795" s="21" t="s">
        <v>126</v>
      </c>
      <c r="G4795" s="15">
        <v>0.09792048929663613</v>
      </c>
      <c r="H4795" s="11" t="s">
        <v>24</v>
      </c>
      <c r="I4795" s="16">
        <v>0.392</v>
      </c>
      <c r="J4795" s="11" t="s">
        <v>1448</v>
      </c>
      <c r="K4795" s="11" t="s">
        <v>61</v>
      </c>
      <c r="L4795" s="11" t="s">
        <v>27</v>
      </c>
      <c r="M4795" s="11" t="s">
        <v>28</v>
      </c>
      <c r="N4795" s="11" t="s">
        <v>188</v>
      </c>
      <c r="O4795" s="11" t="s">
        <v>1703</v>
      </c>
      <c r="P4795" s="11" t="s">
        <v>38</v>
      </c>
      <c r="Q4795" s="20">
        <v>40638.0</v>
      </c>
      <c r="R4795" s="17">
        <f t="shared" si="2"/>
        <v>11.55383437</v>
      </c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>
        <f t="shared" si="8"/>
        <v>1</v>
      </c>
      <c r="AF4795" s="19">
        <f t="shared" si="13"/>
        <v>4</v>
      </c>
      <c r="AG4795" s="9"/>
      <c r="AH4795" s="9"/>
      <c r="AI4795" s="9"/>
    </row>
    <row r="4796" ht="15.0" customHeight="1">
      <c r="A4796" s="11">
        <v>4795.0</v>
      </c>
      <c r="B4796" s="12">
        <f t="shared" si="761"/>
        <v>40637</v>
      </c>
      <c r="C4796" s="13">
        <v>2011.0</v>
      </c>
      <c r="D4796" s="11" t="s">
        <v>102</v>
      </c>
      <c r="E4796" s="11">
        <v>46.0</v>
      </c>
      <c r="F4796" s="21" t="s">
        <v>422</v>
      </c>
      <c r="G4796" s="15">
        <v>0.06805527937959827</v>
      </c>
      <c r="H4796" s="11" t="s">
        <v>33</v>
      </c>
      <c r="I4796" s="16">
        <v>28.0</v>
      </c>
      <c r="J4796" s="11" t="s">
        <v>1448</v>
      </c>
      <c r="K4796" s="11" t="s">
        <v>61</v>
      </c>
      <c r="L4796" s="11" t="s">
        <v>27</v>
      </c>
      <c r="M4796" s="11" t="s">
        <v>28</v>
      </c>
      <c r="N4796" s="11" t="s">
        <v>29</v>
      </c>
      <c r="O4796" s="11" t="s">
        <v>424</v>
      </c>
      <c r="P4796" s="11" t="s">
        <v>31</v>
      </c>
      <c r="Q4796" s="20">
        <v>40639.0</v>
      </c>
      <c r="R4796" s="17">
        <f t="shared" si="2"/>
        <v>255.1664645</v>
      </c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>
        <f t="shared" si="8"/>
        <v>1</v>
      </c>
      <c r="AF4796" s="19">
        <f t="shared" si="13"/>
        <v>4</v>
      </c>
      <c r="AG4796" s="9"/>
      <c r="AH4796" s="9"/>
      <c r="AI4796" s="9"/>
    </row>
    <row r="4797" ht="15.0" customHeight="1">
      <c r="A4797" s="11">
        <v>4796.0</v>
      </c>
      <c r="B4797" s="12">
        <f t="shared" si="761"/>
        <v>40637</v>
      </c>
      <c r="C4797" s="13">
        <v>2011.0</v>
      </c>
      <c r="D4797" s="11" t="s">
        <v>102</v>
      </c>
      <c r="E4797" s="11">
        <v>38.0</v>
      </c>
      <c r="F4797" s="21" t="s">
        <v>287</v>
      </c>
      <c r="G4797" s="15">
        <v>0.0484612701795987</v>
      </c>
      <c r="H4797" s="11" t="s">
        <v>33</v>
      </c>
      <c r="I4797" s="16">
        <v>2.0</v>
      </c>
      <c r="J4797" s="11" t="s">
        <v>1448</v>
      </c>
      <c r="K4797" s="11" t="s">
        <v>61</v>
      </c>
      <c r="L4797" s="11" t="s">
        <v>27</v>
      </c>
      <c r="M4797" s="11" t="s">
        <v>66</v>
      </c>
      <c r="N4797" s="11" t="s">
        <v>80</v>
      </c>
      <c r="O4797" s="11" t="s">
        <v>644</v>
      </c>
      <c r="P4797" s="11" t="s">
        <v>38</v>
      </c>
      <c r="Q4797" s="20">
        <v>40639.0</v>
      </c>
      <c r="R4797" s="17">
        <f t="shared" si="2"/>
        <v>213.5300487</v>
      </c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>
        <f t="shared" si="8"/>
        <v>1</v>
      </c>
      <c r="AF4797" s="19">
        <f t="shared" si="13"/>
        <v>4</v>
      </c>
      <c r="AG4797" s="9"/>
      <c r="AH4797" s="9"/>
      <c r="AI4797" s="9"/>
    </row>
    <row r="4798" ht="15.0" customHeight="1">
      <c r="A4798" s="11">
        <v>4797.0</v>
      </c>
      <c r="B4798" s="12">
        <f t="shared" ref="B4798:B4803" si="762">DATE(2012,12,31)-636</f>
        <v>40638</v>
      </c>
      <c r="C4798" s="13">
        <v>2011.0</v>
      </c>
      <c r="D4798" s="11" t="s">
        <v>32</v>
      </c>
      <c r="E4798" s="11">
        <v>38.0</v>
      </c>
      <c r="F4798" s="21" t="s">
        <v>137</v>
      </c>
      <c r="G4798" s="15">
        <v>0.010898824177526812</v>
      </c>
      <c r="H4798" s="11" t="s">
        <v>33</v>
      </c>
      <c r="I4798" s="16">
        <v>11.192</v>
      </c>
      <c r="J4798" s="11" t="s">
        <v>2324</v>
      </c>
      <c r="K4798" s="11" t="s">
        <v>61</v>
      </c>
      <c r="L4798" s="11" t="s">
        <v>27</v>
      </c>
      <c r="M4798" s="11" t="s">
        <v>66</v>
      </c>
      <c r="N4798" s="11" t="s">
        <v>69</v>
      </c>
      <c r="O4798" s="11" t="s">
        <v>468</v>
      </c>
      <c r="P4798" s="11" t="s">
        <v>75</v>
      </c>
      <c r="Q4798" s="20">
        <v>40639.0</v>
      </c>
      <c r="R4798" s="17">
        <f t="shared" si="2"/>
        <v>62.61801724</v>
      </c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>
        <f t="shared" si="8"/>
        <v>1</v>
      </c>
      <c r="AF4798" s="19">
        <f t="shared" si="13"/>
        <v>4</v>
      </c>
      <c r="AG4798" s="9"/>
      <c r="AH4798" s="9"/>
      <c r="AI4798" s="9"/>
    </row>
    <row r="4799" ht="15.0" customHeight="1">
      <c r="A4799" s="11">
        <v>4798.0</v>
      </c>
      <c r="B4799" s="12">
        <f t="shared" si="762"/>
        <v>40638</v>
      </c>
      <c r="C4799" s="13">
        <v>2011.0</v>
      </c>
      <c r="D4799" s="11" t="s">
        <v>32</v>
      </c>
      <c r="E4799" s="11">
        <v>11.0</v>
      </c>
      <c r="F4799" s="21" t="s">
        <v>1233</v>
      </c>
      <c r="G4799" s="15">
        <v>0.05725006171315727</v>
      </c>
      <c r="H4799" s="11" t="s">
        <v>33</v>
      </c>
      <c r="I4799" s="16">
        <v>9.096</v>
      </c>
      <c r="J4799" s="11" t="s">
        <v>2324</v>
      </c>
      <c r="K4799" s="11" t="s">
        <v>61</v>
      </c>
      <c r="L4799" s="11" t="s">
        <v>27</v>
      </c>
      <c r="M4799" s="11" t="s">
        <v>28</v>
      </c>
      <c r="N4799" s="11" t="s">
        <v>29</v>
      </c>
      <c r="O4799" s="11" t="s">
        <v>1234</v>
      </c>
      <c r="P4799" s="11" t="s">
        <v>38</v>
      </c>
      <c r="Q4799" s="20">
        <v>40639.0</v>
      </c>
      <c r="R4799" s="17">
        <f t="shared" si="2"/>
        <v>262.3710788</v>
      </c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>
        <f t="shared" si="8"/>
        <v>1</v>
      </c>
      <c r="AF4799" s="19">
        <f t="shared" si="13"/>
        <v>4</v>
      </c>
      <c r="AG4799" s="9"/>
      <c r="AH4799" s="9"/>
      <c r="AI4799" s="9"/>
    </row>
    <row r="4800" ht="15.0" customHeight="1">
      <c r="A4800" s="11">
        <v>4799.0</v>
      </c>
      <c r="B4800" s="12">
        <f t="shared" si="762"/>
        <v>40638</v>
      </c>
      <c r="C4800" s="13">
        <v>2011.0</v>
      </c>
      <c r="D4800" s="11" t="s">
        <v>32</v>
      </c>
      <c r="E4800" s="11">
        <v>26.0</v>
      </c>
      <c r="F4800" s="21" t="s">
        <v>569</v>
      </c>
      <c r="G4800" s="15">
        <v>0.04820631571084417</v>
      </c>
      <c r="H4800" s="11" t="s">
        <v>33</v>
      </c>
      <c r="I4800" s="16">
        <v>3.3600000000000003</v>
      </c>
      <c r="J4800" s="11" t="s">
        <v>2324</v>
      </c>
      <c r="K4800" s="11" t="s">
        <v>61</v>
      </c>
      <c r="L4800" s="11" t="s">
        <v>27</v>
      </c>
      <c r="M4800" s="11" t="s">
        <v>66</v>
      </c>
      <c r="N4800" s="11" t="s">
        <v>80</v>
      </c>
      <c r="O4800" s="11" t="s">
        <v>2067</v>
      </c>
      <c r="P4800" s="11" t="s">
        <v>38</v>
      </c>
      <c r="Q4800" s="20">
        <v>40639.0</v>
      </c>
      <c r="R4800" s="17">
        <f t="shared" si="2"/>
        <v>245.6960217</v>
      </c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>
        <f t="shared" si="8"/>
        <v>1</v>
      </c>
      <c r="AF4800" s="19">
        <f t="shared" si="13"/>
        <v>4</v>
      </c>
      <c r="AG4800" s="9"/>
      <c r="AH4800" s="9"/>
      <c r="AI4800" s="9"/>
    </row>
    <row r="4801" ht="15.0" customHeight="1">
      <c r="A4801" s="11">
        <v>4800.0</v>
      </c>
      <c r="B4801" s="12">
        <f t="shared" si="762"/>
        <v>40638</v>
      </c>
      <c r="C4801" s="13">
        <v>2011.0</v>
      </c>
      <c r="D4801" s="11" t="s">
        <v>102</v>
      </c>
      <c r="E4801" s="11">
        <v>35.0</v>
      </c>
      <c r="F4801" s="21" t="s">
        <v>1435</v>
      </c>
      <c r="G4801" s="15">
        <v>0.10210970464135014</v>
      </c>
      <c r="H4801" s="11" t="s">
        <v>24</v>
      </c>
      <c r="I4801" s="16">
        <v>0.5599999999999999</v>
      </c>
      <c r="J4801" s="11" t="s">
        <v>574</v>
      </c>
      <c r="K4801" s="11" t="s">
        <v>61</v>
      </c>
      <c r="L4801" s="11" t="s">
        <v>48</v>
      </c>
      <c r="M4801" s="11" t="s">
        <v>28</v>
      </c>
      <c r="N4801" s="11" t="s">
        <v>216</v>
      </c>
      <c r="O4801" s="11" t="s">
        <v>1436</v>
      </c>
      <c r="P4801" s="11" t="s">
        <v>58</v>
      </c>
      <c r="Q4801" s="20">
        <v>40640.0</v>
      </c>
      <c r="R4801" s="17">
        <f t="shared" si="2"/>
        <v>4.34578903</v>
      </c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>
        <f t="shared" si="8"/>
        <v>4</v>
      </c>
      <c r="AF4801" s="19">
        <f t="shared" si="13"/>
        <v>4</v>
      </c>
      <c r="AG4801" s="9"/>
      <c r="AH4801" s="9"/>
      <c r="AI4801" s="9"/>
    </row>
    <row r="4802" ht="15.0" customHeight="1">
      <c r="A4802" s="11">
        <v>4801.0</v>
      </c>
      <c r="B4802" s="12">
        <f t="shared" si="762"/>
        <v>40638</v>
      </c>
      <c r="C4802" s="13">
        <v>2011.0</v>
      </c>
      <c r="D4802" s="11" t="s">
        <v>23</v>
      </c>
      <c r="E4802" s="11">
        <v>12.0</v>
      </c>
      <c r="F4802" s="21" t="s">
        <v>990</v>
      </c>
      <c r="G4802" s="15">
        <v>0.08488254260709349</v>
      </c>
      <c r="H4802" s="11" t="s">
        <v>33</v>
      </c>
      <c r="I4802" s="16">
        <v>6.672000000000001</v>
      </c>
      <c r="J4802" s="11" t="s">
        <v>426</v>
      </c>
      <c r="K4802" s="11" t="s">
        <v>61</v>
      </c>
      <c r="L4802" s="11" t="s">
        <v>27</v>
      </c>
      <c r="M4802" s="11" t="s">
        <v>28</v>
      </c>
      <c r="N4802" s="11" t="s">
        <v>29</v>
      </c>
      <c r="O4802" s="11" t="s">
        <v>991</v>
      </c>
      <c r="P4802" s="11" t="s">
        <v>38</v>
      </c>
      <c r="Q4802" s="20">
        <v>40640.0</v>
      </c>
      <c r="R4802" s="17">
        <f t="shared" si="2"/>
        <v>16.8637845</v>
      </c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>
        <f t="shared" si="8"/>
        <v>1</v>
      </c>
      <c r="AF4802" s="19">
        <f t="shared" si="13"/>
        <v>4</v>
      </c>
      <c r="AG4802" s="9"/>
      <c r="AH4802" s="9"/>
      <c r="AI4802" s="9"/>
    </row>
    <row r="4803" ht="15.0" customHeight="1">
      <c r="A4803" s="11">
        <v>4802.0</v>
      </c>
      <c r="B4803" s="12">
        <f t="shared" si="762"/>
        <v>40638</v>
      </c>
      <c r="C4803" s="13">
        <v>2011.0</v>
      </c>
      <c r="D4803" s="11" t="s">
        <v>39</v>
      </c>
      <c r="E4803" s="11">
        <v>23.0</v>
      </c>
      <c r="F4803" s="21" t="s">
        <v>245</v>
      </c>
      <c r="G4803" s="15">
        <v>0.05785714285714286</v>
      </c>
      <c r="H4803" s="11" t="s">
        <v>33</v>
      </c>
      <c r="I4803" s="16">
        <v>4.576</v>
      </c>
      <c r="J4803" s="11" t="s">
        <v>1440</v>
      </c>
      <c r="K4803" s="11" t="s">
        <v>26</v>
      </c>
      <c r="L4803" s="11" t="s">
        <v>27</v>
      </c>
      <c r="M4803" s="11" t="s">
        <v>28</v>
      </c>
      <c r="N4803" s="11" t="s">
        <v>236</v>
      </c>
      <c r="O4803" s="11" t="s">
        <v>376</v>
      </c>
      <c r="P4803" s="11" t="s">
        <v>38</v>
      </c>
      <c r="Q4803" s="20">
        <v>40640.0</v>
      </c>
      <c r="R4803" s="17">
        <f t="shared" si="2"/>
        <v>15.56796857</v>
      </c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>
        <f t="shared" si="8"/>
        <v>1</v>
      </c>
      <c r="AF4803" s="19">
        <f t="shared" si="13"/>
        <v>1</v>
      </c>
      <c r="AG4803" s="9"/>
      <c r="AH4803" s="9"/>
      <c r="AI4803" s="9"/>
    </row>
    <row r="4804" ht="15.0" customHeight="1">
      <c r="A4804" s="11">
        <v>4803.0</v>
      </c>
      <c r="B4804" s="12">
        <f t="shared" ref="B4804:B4806" si="763">DATE(2012,12,31)-635</f>
        <v>40639</v>
      </c>
      <c r="C4804" s="13">
        <v>2011.0</v>
      </c>
      <c r="D4804" s="11" t="s">
        <v>32</v>
      </c>
      <c r="E4804" s="11">
        <v>23.0</v>
      </c>
      <c r="F4804" s="21" t="s">
        <v>254</v>
      </c>
      <c r="G4804" s="15">
        <v>0.017688772160210222</v>
      </c>
      <c r="H4804" s="11" t="s">
        <v>33</v>
      </c>
      <c r="I4804" s="16">
        <v>2.5120000000000005</v>
      </c>
      <c r="J4804" s="11" t="s">
        <v>2156</v>
      </c>
      <c r="K4804" s="11" t="s">
        <v>65</v>
      </c>
      <c r="L4804" s="11" t="s">
        <v>27</v>
      </c>
      <c r="M4804" s="11" t="s">
        <v>28</v>
      </c>
      <c r="N4804" s="11" t="s">
        <v>442</v>
      </c>
      <c r="O4804" s="11" t="s">
        <v>1613</v>
      </c>
      <c r="P4804" s="11" t="s">
        <v>99</v>
      </c>
      <c r="Q4804" s="20">
        <v>40640.0</v>
      </c>
      <c r="R4804" s="17">
        <f t="shared" si="2"/>
        <v>5.292692896</v>
      </c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>
        <f t="shared" si="8"/>
        <v>1</v>
      </c>
      <c r="AF4804" s="19">
        <f t="shared" si="13"/>
        <v>5</v>
      </c>
      <c r="AG4804" s="9"/>
      <c r="AH4804" s="9"/>
      <c r="AI4804" s="9"/>
    </row>
    <row r="4805" ht="15.0" customHeight="1">
      <c r="A4805" s="11">
        <v>4804.0</v>
      </c>
      <c r="B4805" s="12">
        <f t="shared" si="763"/>
        <v>40639</v>
      </c>
      <c r="C4805" s="13">
        <v>2011.0</v>
      </c>
      <c r="D4805" s="11" t="s">
        <v>39</v>
      </c>
      <c r="E4805" s="11">
        <v>16.0</v>
      </c>
      <c r="F4805" s="21" t="s">
        <v>299</v>
      </c>
      <c r="G4805" s="15">
        <v>0.06858773181169747</v>
      </c>
      <c r="H4805" s="11" t="s">
        <v>24</v>
      </c>
      <c r="I4805" s="16">
        <v>7.384</v>
      </c>
      <c r="J4805" s="11" t="s">
        <v>1308</v>
      </c>
      <c r="K4805" s="11" t="s">
        <v>61</v>
      </c>
      <c r="L4805" s="11" t="s">
        <v>36</v>
      </c>
      <c r="M4805" s="11" t="s">
        <v>28</v>
      </c>
      <c r="N4805" s="11" t="s">
        <v>197</v>
      </c>
      <c r="O4805" s="11" t="s">
        <v>301</v>
      </c>
      <c r="P4805" s="11" t="s">
        <v>38</v>
      </c>
      <c r="Q4805" s="20">
        <v>40641.0</v>
      </c>
      <c r="R4805" s="17">
        <f t="shared" si="2"/>
        <v>8.956460371</v>
      </c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>
        <f t="shared" si="8"/>
        <v>2</v>
      </c>
      <c r="AF4805" s="19">
        <f t="shared" si="13"/>
        <v>4</v>
      </c>
      <c r="AG4805" s="9"/>
      <c r="AH4805" s="9"/>
      <c r="AI4805" s="9"/>
    </row>
    <row r="4806" ht="15.0" customHeight="1">
      <c r="A4806" s="11">
        <v>4805.0</v>
      </c>
      <c r="B4806" s="12">
        <f t="shared" si="763"/>
        <v>40639</v>
      </c>
      <c r="C4806" s="13">
        <v>2011.0</v>
      </c>
      <c r="D4806" s="11" t="s">
        <v>44</v>
      </c>
      <c r="E4806" s="11">
        <v>20.0</v>
      </c>
      <c r="F4806" s="21" t="s">
        <v>2525</v>
      </c>
      <c r="G4806" s="15">
        <v>0.08566885311071358</v>
      </c>
      <c r="H4806" s="11" t="s">
        <v>33</v>
      </c>
      <c r="I4806" s="16">
        <v>28.0</v>
      </c>
      <c r="J4806" s="11" t="s">
        <v>1442</v>
      </c>
      <c r="K4806" s="11" t="s">
        <v>35</v>
      </c>
      <c r="L4806" s="11" t="s">
        <v>41</v>
      </c>
      <c r="M4806" s="11" t="s">
        <v>28</v>
      </c>
      <c r="N4806" s="11" t="s">
        <v>29</v>
      </c>
      <c r="O4806" s="11" t="s">
        <v>2526</v>
      </c>
      <c r="P4806" s="11" t="s">
        <v>31</v>
      </c>
      <c r="Q4806" s="20">
        <v>40641.0</v>
      </c>
      <c r="R4806" s="17">
        <f t="shared" si="2"/>
        <v>197.0383622</v>
      </c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>
        <f t="shared" si="8"/>
        <v>3</v>
      </c>
      <c r="AF4806" s="19">
        <f t="shared" si="13"/>
        <v>2</v>
      </c>
      <c r="AG4806" s="9"/>
      <c r="AH4806" s="9"/>
      <c r="AI4806" s="9"/>
    </row>
    <row r="4807" ht="15.0" customHeight="1">
      <c r="A4807" s="11">
        <v>4806.0</v>
      </c>
      <c r="B4807" s="12">
        <f t="shared" ref="B4807:B4808" si="764">DATE(2012,12,31)-634</f>
        <v>40640</v>
      </c>
      <c r="C4807" s="13">
        <v>2011.0</v>
      </c>
      <c r="D4807" s="11" t="s">
        <v>23</v>
      </c>
      <c r="E4807" s="11">
        <v>43.0</v>
      </c>
      <c r="F4807" s="21" t="s">
        <v>304</v>
      </c>
      <c r="G4807" s="15">
        <v>0.04412491260778392</v>
      </c>
      <c r="H4807" s="11" t="s">
        <v>33</v>
      </c>
      <c r="I4807" s="16">
        <v>7.632</v>
      </c>
      <c r="J4807" s="11" t="s">
        <v>603</v>
      </c>
      <c r="K4807" s="11" t="s">
        <v>61</v>
      </c>
      <c r="L4807" s="11" t="s">
        <v>48</v>
      </c>
      <c r="M4807" s="11" t="s">
        <v>28</v>
      </c>
      <c r="N4807" s="11" t="s">
        <v>56</v>
      </c>
      <c r="O4807" s="11" t="s">
        <v>305</v>
      </c>
      <c r="P4807" s="11" t="s">
        <v>38</v>
      </c>
      <c r="Q4807" s="20">
        <v>40641.0</v>
      </c>
      <c r="R4807" s="17">
        <f t="shared" si="2"/>
        <v>36.19707781</v>
      </c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>
        <f t="shared" si="8"/>
        <v>4</v>
      </c>
      <c r="AF4807" s="19">
        <f t="shared" si="13"/>
        <v>4</v>
      </c>
      <c r="AG4807" s="9"/>
      <c r="AH4807" s="9"/>
      <c r="AI4807" s="9"/>
    </row>
    <row r="4808" ht="15.0" customHeight="1">
      <c r="A4808" s="11">
        <v>4807.0</v>
      </c>
      <c r="B4808" s="12">
        <f t="shared" si="764"/>
        <v>40640</v>
      </c>
      <c r="C4808" s="13">
        <v>2011.0</v>
      </c>
      <c r="D4808" s="11" t="s">
        <v>44</v>
      </c>
      <c r="E4808" s="11">
        <v>36.0</v>
      </c>
      <c r="F4808" s="21" t="s">
        <v>158</v>
      </c>
      <c r="G4808" s="15">
        <v>0.018425849212924637</v>
      </c>
      <c r="H4808" s="11" t="s">
        <v>33</v>
      </c>
      <c r="I4808" s="16">
        <v>6.552</v>
      </c>
      <c r="J4808" s="11" t="s">
        <v>1773</v>
      </c>
      <c r="K4808" s="11" t="s">
        <v>61</v>
      </c>
      <c r="L4808" s="11" t="s">
        <v>48</v>
      </c>
      <c r="M4808" s="11" t="s">
        <v>28</v>
      </c>
      <c r="N4808" s="11" t="s">
        <v>56</v>
      </c>
      <c r="O4808" s="11" t="s">
        <v>637</v>
      </c>
      <c r="P4808" s="11" t="s">
        <v>38</v>
      </c>
      <c r="Q4808" s="20">
        <v>40641.0</v>
      </c>
      <c r="R4808" s="17">
        <f t="shared" si="2"/>
        <v>4.366041823</v>
      </c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>
        <f t="shared" si="8"/>
        <v>4</v>
      </c>
      <c r="AF4808" s="19">
        <f t="shared" si="13"/>
        <v>4</v>
      </c>
      <c r="AG4808" s="9"/>
      <c r="AH4808" s="9"/>
      <c r="AI4808" s="9"/>
    </row>
    <row r="4809" ht="15.0" customHeight="1">
      <c r="A4809" s="11">
        <v>4808.0</v>
      </c>
      <c r="B4809" s="12">
        <f t="shared" ref="B4809:B4820" si="765">DATE(2012,12,31)-633</f>
        <v>40641</v>
      </c>
      <c r="C4809" s="13">
        <v>2011.0</v>
      </c>
      <c r="D4809" s="11" t="s">
        <v>23</v>
      </c>
      <c r="E4809" s="11">
        <v>32.0</v>
      </c>
      <c r="F4809" s="21" t="s">
        <v>1091</v>
      </c>
      <c r="G4809" s="15">
        <v>0.042832861189801806</v>
      </c>
      <c r="H4809" s="11" t="s">
        <v>33</v>
      </c>
      <c r="I4809" s="16">
        <v>15.991999999999999</v>
      </c>
      <c r="J4809" s="11" t="s">
        <v>2527</v>
      </c>
      <c r="K4809" s="11" t="s">
        <v>61</v>
      </c>
      <c r="L4809" s="11" t="s">
        <v>36</v>
      </c>
      <c r="M4809" s="11" t="s">
        <v>28</v>
      </c>
      <c r="N4809" s="11" t="s">
        <v>56</v>
      </c>
      <c r="O4809" s="11" t="s">
        <v>1943</v>
      </c>
      <c r="P4809" s="11" t="s">
        <v>38</v>
      </c>
      <c r="Q4809" s="20">
        <v>40642.0</v>
      </c>
      <c r="R4809" s="17">
        <f t="shared" si="2"/>
        <v>49.20604827</v>
      </c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>
        <f t="shared" si="8"/>
        <v>2</v>
      </c>
      <c r="AF4809" s="19">
        <f t="shared" si="13"/>
        <v>4</v>
      </c>
      <c r="AG4809" s="9"/>
      <c r="AH4809" s="9"/>
      <c r="AI4809" s="9"/>
    </row>
    <row r="4810" ht="15.0" customHeight="1">
      <c r="A4810" s="11">
        <v>4809.0</v>
      </c>
      <c r="B4810" s="12">
        <f t="shared" si="765"/>
        <v>40641</v>
      </c>
      <c r="C4810" s="13">
        <v>2011.0</v>
      </c>
      <c r="D4810" s="11" t="s">
        <v>23</v>
      </c>
      <c r="E4810" s="11">
        <v>31.0</v>
      </c>
      <c r="F4810" s="21" t="s">
        <v>1261</v>
      </c>
      <c r="G4810" s="15">
        <v>0.014955016512925705</v>
      </c>
      <c r="H4810" s="11" t="s">
        <v>33</v>
      </c>
      <c r="I4810" s="16">
        <v>15.568000000000001</v>
      </c>
      <c r="J4810" s="11" t="s">
        <v>2398</v>
      </c>
      <c r="K4810" s="11" t="s">
        <v>35</v>
      </c>
      <c r="L4810" s="11" t="s">
        <v>41</v>
      </c>
      <c r="M4810" s="11" t="s">
        <v>49</v>
      </c>
      <c r="N4810" s="11" t="s">
        <v>73</v>
      </c>
      <c r="O4810" s="11" t="s">
        <v>2421</v>
      </c>
      <c r="P4810" s="11" t="s">
        <v>38</v>
      </c>
      <c r="Q4810" s="20">
        <v>40642.0</v>
      </c>
      <c r="R4810" s="17">
        <f t="shared" si="2"/>
        <v>12.93561072</v>
      </c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>
        <f t="shared" si="8"/>
        <v>3</v>
      </c>
      <c r="AF4810" s="19">
        <f t="shared" si="13"/>
        <v>2</v>
      </c>
      <c r="AG4810" s="9"/>
      <c r="AH4810" s="9"/>
      <c r="AI4810" s="9"/>
    </row>
    <row r="4811" ht="15.0" customHeight="1">
      <c r="A4811" s="11">
        <v>4810.0</v>
      </c>
      <c r="B4811" s="12">
        <f t="shared" si="765"/>
        <v>40641</v>
      </c>
      <c r="C4811" s="13">
        <v>2011.0</v>
      </c>
      <c r="D4811" s="11" t="s">
        <v>102</v>
      </c>
      <c r="E4811" s="11">
        <v>20.0</v>
      </c>
      <c r="F4811" s="21" t="s">
        <v>1084</v>
      </c>
      <c r="G4811" s="15">
        <v>0.10861948142957244</v>
      </c>
      <c r="H4811" s="11" t="s">
        <v>33</v>
      </c>
      <c r="I4811" s="16">
        <v>39.2</v>
      </c>
      <c r="J4811" s="11" t="s">
        <v>426</v>
      </c>
      <c r="K4811" s="11" t="s">
        <v>61</v>
      </c>
      <c r="L4811" s="11" t="s">
        <v>27</v>
      </c>
      <c r="M4811" s="11" t="s">
        <v>28</v>
      </c>
      <c r="N4811" s="11" t="s">
        <v>197</v>
      </c>
      <c r="O4811" s="11" t="s">
        <v>1096</v>
      </c>
      <c r="P4811" s="11" t="s">
        <v>31</v>
      </c>
      <c r="Q4811" s="20">
        <v>40642.0</v>
      </c>
      <c r="R4811" s="17">
        <f t="shared" si="2"/>
        <v>13.81639804</v>
      </c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>
        <f t="shared" si="8"/>
        <v>1</v>
      </c>
      <c r="AF4811" s="19">
        <f t="shared" si="13"/>
        <v>4</v>
      </c>
      <c r="AG4811" s="9"/>
      <c r="AH4811" s="9"/>
      <c r="AI4811" s="9"/>
    </row>
    <row r="4812" ht="15.0" customHeight="1">
      <c r="A4812" s="11">
        <v>4811.0</v>
      </c>
      <c r="B4812" s="12">
        <f t="shared" si="765"/>
        <v>40641</v>
      </c>
      <c r="C4812" s="13">
        <v>2011.0</v>
      </c>
      <c r="D4812" s="11" t="s">
        <v>102</v>
      </c>
      <c r="E4812" s="11">
        <v>11.0</v>
      </c>
      <c r="F4812" s="21" t="s">
        <v>997</v>
      </c>
      <c r="G4812" s="15">
        <v>0.0269851222709911</v>
      </c>
      <c r="H4812" s="11" t="s">
        <v>45</v>
      </c>
      <c r="I4812" s="16">
        <v>48.160000000000004</v>
      </c>
      <c r="J4812" s="11" t="s">
        <v>426</v>
      </c>
      <c r="K4812" s="11" t="s">
        <v>61</v>
      </c>
      <c r="L4812" s="11" t="s">
        <v>27</v>
      </c>
      <c r="M4812" s="11" t="s">
        <v>49</v>
      </c>
      <c r="N4812" s="11" t="s">
        <v>50</v>
      </c>
      <c r="O4812" s="11" t="s">
        <v>999</v>
      </c>
      <c r="P4812" s="11" t="s">
        <v>52</v>
      </c>
      <c r="Q4812" s="20">
        <v>40642.0</v>
      </c>
      <c r="R4812" s="17">
        <f t="shared" si="2"/>
        <v>46.06252431</v>
      </c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>
        <f t="shared" si="8"/>
        <v>1</v>
      </c>
      <c r="AF4812" s="19">
        <f t="shared" si="13"/>
        <v>4</v>
      </c>
      <c r="AG4812" s="9"/>
      <c r="AH4812" s="9"/>
      <c r="AI4812" s="9"/>
    </row>
    <row r="4813" ht="15.0" customHeight="1">
      <c r="A4813" s="11">
        <v>4812.0</v>
      </c>
      <c r="B4813" s="12">
        <f t="shared" si="765"/>
        <v>40641</v>
      </c>
      <c r="C4813" s="13">
        <v>2011.0</v>
      </c>
      <c r="D4813" s="11" t="s">
        <v>23</v>
      </c>
      <c r="E4813" s="11">
        <v>33.0</v>
      </c>
      <c r="F4813" s="21" t="s">
        <v>834</v>
      </c>
      <c r="G4813" s="15">
        <v>0.010787445016029294</v>
      </c>
      <c r="H4813" s="11" t="s">
        <v>45</v>
      </c>
      <c r="I4813" s="16">
        <v>38.608000000000004</v>
      </c>
      <c r="J4813" s="11" t="s">
        <v>1621</v>
      </c>
      <c r="K4813" s="11" t="s">
        <v>35</v>
      </c>
      <c r="L4813" s="11" t="s">
        <v>36</v>
      </c>
      <c r="M4813" s="11" t="s">
        <v>66</v>
      </c>
      <c r="N4813" s="11" t="s">
        <v>69</v>
      </c>
      <c r="O4813" s="11" t="s">
        <v>835</v>
      </c>
      <c r="P4813" s="11" t="s">
        <v>87</v>
      </c>
      <c r="Q4813" s="20">
        <v>40642.0</v>
      </c>
      <c r="R4813" s="17">
        <f t="shared" si="2"/>
        <v>143.131143</v>
      </c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>
        <f t="shared" si="8"/>
        <v>2</v>
      </c>
      <c r="AF4813" s="19">
        <f t="shared" si="13"/>
        <v>2</v>
      </c>
      <c r="AG4813" s="9"/>
      <c r="AH4813" s="9"/>
      <c r="AI4813" s="9"/>
    </row>
    <row r="4814" ht="15.0" customHeight="1">
      <c r="A4814" s="11">
        <v>4813.0</v>
      </c>
      <c r="B4814" s="12">
        <f t="shared" si="765"/>
        <v>40641</v>
      </c>
      <c r="C4814" s="13">
        <v>2011.0</v>
      </c>
      <c r="D4814" s="11" t="s">
        <v>32</v>
      </c>
      <c r="E4814" s="11">
        <v>43.0</v>
      </c>
      <c r="F4814" s="21" t="s">
        <v>183</v>
      </c>
      <c r="G4814" s="15">
        <v>0.04633002207505509</v>
      </c>
      <c r="H4814" s="11" t="s">
        <v>24</v>
      </c>
      <c r="I4814" s="16">
        <v>7.5200000000000005</v>
      </c>
      <c r="J4814" s="11" t="s">
        <v>2081</v>
      </c>
      <c r="K4814" s="11" t="s">
        <v>117</v>
      </c>
      <c r="L4814" s="11" t="s">
        <v>36</v>
      </c>
      <c r="M4814" s="11" t="s">
        <v>66</v>
      </c>
      <c r="N4814" s="11" t="s">
        <v>69</v>
      </c>
      <c r="O4814" s="11" t="s">
        <v>381</v>
      </c>
      <c r="P4814" s="11" t="s">
        <v>38</v>
      </c>
      <c r="Q4814" s="20">
        <v>40642.0</v>
      </c>
      <c r="R4814" s="17">
        <f t="shared" si="2"/>
        <v>32.02423786</v>
      </c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>
        <f t="shared" si="8"/>
        <v>2</v>
      </c>
      <c r="AF4814" s="19" t="b">
        <f t="shared" si="13"/>
        <v>0</v>
      </c>
      <c r="AG4814" s="9"/>
      <c r="AH4814" s="9"/>
      <c r="AI4814" s="9"/>
    </row>
    <row r="4815" ht="15.0" customHeight="1">
      <c r="A4815" s="11">
        <v>4814.0</v>
      </c>
      <c r="B4815" s="12">
        <f t="shared" si="765"/>
        <v>40641</v>
      </c>
      <c r="C4815" s="13">
        <v>2011.0</v>
      </c>
      <c r="D4815" s="11" t="s">
        <v>32</v>
      </c>
      <c r="E4815" s="11">
        <v>19.0</v>
      </c>
      <c r="F4815" s="21" t="s">
        <v>204</v>
      </c>
      <c r="G4815" s="15">
        <v>0.07760141093474424</v>
      </c>
      <c r="H4815" s="11" t="s">
        <v>33</v>
      </c>
      <c r="I4815" s="16">
        <v>1.0</v>
      </c>
      <c r="J4815" s="11" t="s">
        <v>2081</v>
      </c>
      <c r="K4815" s="11" t="s">
        <v>117</v>
      </c>
      <c r="L4815" s="11" t="s">
        <v>36</v>
      </c>
      <c r="M4815" s="11" t="s">
        <v>28</v>
      </c>
      <c r="N4815" s="11" t="s">
        <v>62</v>
      </c>
      <c r="O4815" s="11" t="s">
        <v>1105</v>
      </c>
      <c r="P4815" s="11" t="s">
        <v>58</v>
      </c>
      <c r="Q4815" s="20">
        <v>40642.0</v>
      </c>
      <c r="R4815" s="17">
        <f t="shared" si="2"/>
        <v>4.058553792</v>
      </c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>
        <f t="shared" si="8"/>
        <v>2</v>
      </c>
      <c r="AF4815" s="19" t="b">
        <f t="shared" si="13"/>
        <v>0</v>
      </c>
      <c r="AG4815" s="9"/>
      <c r="AH4815" s="9"/>
      <c r="AI4815" s="9"/>
    </row>
    <row r="4816" ht="15.0" customHeight="1">
      <c r="A4816" s="11">
        <v>4815.0</v>
      </c>
      <c r="B4816" s="12">
        <f t="shared" si="765"/>
        <v>40641</v>
      </c>
      <c r="C4816" s="13">
        <v>2011.0</v>
      </c>
      <c r="D4816" s="11" t="s">
        <v>32</v>
      </c>
      <c r="E4816" s="11">
        <v>7.0</v>
      </c>
      <c r="F4816" s="21" t="s">
        <v>158</v>
      </c>
      <c r="G4816" s="15">
        <v>0.034261603375527326</v>
      </c>
      <c r="H4816" s="11" t="s">
        <v>33</v>
      </c>
      <c r="I4816" s="16">
        <v>0.976</v>
      </c>
      <c r="J4816" s="11" t="s">
        <v>2081</v>
      </c>
      <c r="K4816" s="11" t="s">
        <v>117</v>
      </c>
      <c r="L4816" s="11" t="s">
        <v>36</v>
      </c>
      <c r="M4816" s="11" t="s">
        <v>28</v>
      </c>
      <c r="N4816" s="11" t="s">
        <v>62</v>
      </c>
      <c r="O4816" s="11" t="s">
        <v>1426</v>
      </c>
      <c r="P4816" s="11" t="s">
        <v>58</v>
      </c>
      <c r="Q4816" s="20">
        <v>40642.0</v>
      </c>
      <c r="R4816" s="17">
        <f t="shared" si="2"/>
        <v>1.568359156</v>
      </c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>
        <f t="shared" si="8"/>
        <v>2</v>
      </c>
      <c r="AF4816" s="19" t="b">
        <f t="shared" si="13"/>
        <v>0</v>
      </c>
      <c r="AG4816" s="9"/>
      <c r="AH4816" s="9"/>
      <c r="AI4816" s="9"/>
    </row>
    <row r="4817" ht="15.0" customHeight="1">
      <c r="A4817" s="11">
        <v>4816.0</v>
      </c>
      <c r="B4817" s="12">
        <f t="shared" si="765"/>
        <v>40641</v>
      </c>
      <c r="C4817" s="13">
        <v>2011.0</v>
      </c>
      <c r="D4817" s="11" t="s">
        <v>32</v>
      </c>
      <c r="E4817" s="11">
        <v>20.0</v>
      </c>
      <c r="F4817" s="21" t="s">
        <v>415</v>
      </c>
      <c r="G4817" s="15">
        <v>0.03794871794871799</v>
      </c>
      <c r="H4817" s="11" t="s">
        <v>33</v>
      </c>
      <c r="I4817" s="16">
        <v>0.792</v>
      </c>
      <c r="J4817" s="11" t="s">
        <v>2081</v>
      </c>
      <c r="K4817" s="11" t="s">
        <v>117</v>
      </c>
      <c r="L4817" s="11" t="s">
        <v>36</v>
      </c>
      <c r="M4817" s="11" t="s">
        <v>28</v>
      </c>
      <c r="N4817" s="11" t="s">
        <v>216</v>
      </c>
      <c r="O4817" s="11" t="s">
        <v>1940</v>
      </c>
      <c r="P4817" s="11" t="s">
        <v>58</v>
      </c>
      <c r="Q4817" s="20">
        <v>40642.0</v>
      </c>
      <c r="R4817" s="17">
        <f t="shared" si="2"/>
        <v>2.990055385</v>
      </c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>
        <f t="shared" si="8"/>
        <v>2</v>
      </c>
      <c r="AF4817" s="19" t="b">
        <f t="shared" si="13"/>
        <v>0</v>
      </c>
      <c r="AG4817" s="9"/>
      <c r="AH4817" s="9"/>
      <c r="AI4817" s="9"/>
    </row>
    <row r="4818" ht="15.0" customHeight="1">
      <c r="A4818" s="11">
        <v>4817.0</v>
      </c>
      <c r="B4818" s="12">
        <f t="shared" si="765"/>
        <v>40641</v>
      </c>
      <c r="C4818" s="13">
        <v>2011.0</v>
      </c>
      <c r="D4818" s="11" t="s">
        <v>23</v>
      </c>
      <c r="E4818" s="11">
        <v>37.0</v>
      </c>
      <c r="F4818" s="21" t="s">
        <v>1782</v>
      </c>
      <c r="G4818" s="15">
        <v>0.031600187705302714</v>
      </c>
      <c r="H4818" s="11" t="s">
        <v>24</v>
      </c>
      <c r="I4818" s="16">
        <v>4.064</v>
      </c>
      <c r="J4818" s="11" t="s">
        <v>626</v>
      </c>
      <c r="K4818" s="11" t="s">
        <v>61</v>
      </c>
      <c r="L4818" s="11" t="s">
        <v>27</v>
      </c>
      <c r="M4818" s="11" t="s">
        <v>49</v>
      </c>
      <c r="N4818" s="11" t="s">
        <v>73</v>
      </c>
      <c r="O4818" s="11" t="s">
        <v>2488</v>
      </c>
      <c r="P4818" s="11" t="s">
        <v>99</v>
      </c>
      <c r="Q4818" s="20">
        <v>40643.0</v>
      </c>
      <c r="R4818" s="17">
        <f t="shared" si="2"/>
        <v>26.08481734</v>
      </c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>
        <f t="shared" si="8"/>
        <v>1</v>
      </c>
      <c r="AF4818" s="19">
        <f t="shared" si="13"/>
        <v>4</v>
      </c>
      <c r="AG4818" s="9"/>
      <c r="AH4818" s="9"/>
      <c r="AI4818" s="9"/>
    </row>
    <row r="4819" ht="15.0" customHeight="1">
      <c r="A4819" s="11">
        <v>4818.0</v>
      </c>
      <c r="B4819" s="12">
        <f t="shared" si="765"/>
        <v>40641</v>
      </c>
      <c r="C4819" s="13">
        <v>2011.0</v>
      </c>
      <c r="D4819" s="11" t="s">
        <v>23</v>
      </c>
      <c r="E4819" s="11">
        <v>8.0</v>
      </c>
      <c r="F4819" s="21" t="s">
        <v>178</v>
      </c>
      <c r="G4819" s="15">
        <v>0.052067867564235516</v>
      </c>
      <c r="H4819" s="11" t="s">
        <v>33</v>
      </c>
      <c r="I4819" s="16">
        <v>7.192</v>
      </c>
      <c r="J4819" s="11" t="s">
        <v>626</v>
      </c>
      <c r="K4819" s="11" t="s">
        <v>61</v>
      </c>
      <c r="L4819" s="11" t="s">
        <v>27</v>
      </c>
      <c r="M4819" s="11" t="s">
        <v>66</v>
      </c>
      <c r="N4819" s="11" t="s">
        <v>80</v>
      </c>
      <c r="O4819" s="11" t="s">
        <v>1263</v>
      </c>
      <c r="P4819" s="11" t="s">
        <v>38</v>
      </c>
      <c r="Q4819" s="20">
        <v>40643.0</v>
      </c>
      <c r="R4819" s="17">
        <f t="shared" si="2"/>
        <v>27.82465188</v>
      </c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>
        <f t="shared" si="8"/>
        <v>1</v>
      </c>
      <c r="AF4819" s="19">
        <f t="shared" si="13"/>
        <v>4</v>
      </c>
      <c r="AG4819" s="9"/>
      <c r="AH4819" s="9"/>
      <c r="AI4819" s="9"/>
    </row>
    <row r="4820" ht="15.0" customHeight="1">
      <c r="A4820" s="11">
        <v>4819.0</v>
      </c>
      <c r="B4820" s="12">
        <f t="shared" si="765"/>
        <v>40641</v>
      </c>
      <c r="C4820" s="13">
        <v>2011.0</v>
      </c>
      <c r="D4820" s="11" t="s">
        <v>23</v>
      </c>
      <c r="E4820" s="11">
        <v>33.0</v>
      </c>
      <c r="F4820" s="21" t="s">
        <v>306</v>
      </c>
      <c r="G4820" s="15">
        <v>0.08771416747137545</v>
      </c>
      <c r="H4820" s="11" t="s">
        <v>33</v>
      </c>
      <c r="I4820" s="16">
        <v>4.616</v>
      </c>
      <c r="J4820" s="11" t="s">
        <v>626</v>
      </c>
      <c r="K4820" s="11" t="s">
        <v>61</v>
      </c>
      <c r="L4820" s="11" t="s">
        <v>27</v>
      </c>
      <c r="M4820" s="11" t="s">
        <v>28</v>
      </c>
      <c r="N4820" s="11" t="s">
        <v>56</v>
      </c>
      <c r="O4820" s="11" t="s">
        <v>1169</v>
      </c>
      <c r="P4820" s="11" t="s">
        <v>38</v>
      </c>
      <c r="Q4820" s="20">
        <v>40643.0</v>
      </c>
      <c r="R4820" s="17">
        <f t="shared" si="2"/>
        <v>58.00678238</v>
      </c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>
        <f t="shared" si="8"/>
        <v>1</v>
      </c>
      <c r="AF4820" s="19">
        <f t="shared" si="13"/>
        <v>4</v>
      </c>
      <c r="AG4820" s="9"/>
      <c r="AH4820" s="9"/>
      <c r="AI4820" s="9"/>
    </row>
    <row r="4821" ht="15.0" customHeight="1">
      <c r="A4821" s="11">
        <v>4820.0</v>
      </c>
      <c r="B4821" s="12">
        <f t="shared" ref="B4821:B4830" si="766">DATE(2012,12,31)-632</f>
        <v>40642</v>
      </c>
      <c r="C4821" s="13">
        <v>2011.0</v>
      </c>
      <c r="D4821" s="11" t="s">
        <v>44</v>
      </c>
      <c r="E4821" s="11">
        <v>1.0</v>
      </c>
      <c r="F4821" s="21" t="s">
        <v>1091</v>
      </c>
      <c r="G4821" s="15">
        <v>0.09995133819951348</v>
      </c>
      <c r="H4821" s="11" t="s">
        <v>33</v>
      </c>
      <c r="I4821" s="16">
        <v>1.592</v>
      </c>
      <c r="J4821" s="11" t="s">
        <v>2528</v>
      </c>
      <c r="K4821" s="11" t="s">
        <v>61</v>
      </c>
      <c r="L4821" s="11" t="s">
        <v>48</v>
      </c>
      <c r="M4821" s="11" t="s">
        <v>66</v>
      </c>
      <c r="N4821" s="11" t="s">
        <v>67</v>
      </c>
      <c r="O4821" s="11" t="s">
        <v>1200</v>
      </c>
      <c r="P4821" s="11" t="s">
        <v>99</v>
      </c>
      <c r="Q4821" s="20">
        <v>40643.0</v>
      </c>
      <c r="R4821" s="17">
        <f t="shared" si="2"/>
        <v>3.697399903</v>
      </c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>
        <f t="shared" si="8"/>
        <v>4</v>
      </c>
      <c r="AF4821" s="19">
        <f t="shared" si="13"/>
        <v>4</v>
      </c>
      <c r="AG4821" s="9"/>
      <c r="AH4821" s="9"/>
      <c r="AI4821" s="9"/>
    </row>
    <row r="4822" ht="15.0" customHeight="1">
      <c r="A4822" s="11">
        <v>4821.0</v>
      </c>
      <c r="B4822" s="12">
        <f t="shared" si="766"/>
        <v>40642</v>
      </c>
      <c r="C4822" s="13">
        <v>2011.0</v>
      </c>
      <c r="D4822" s="11" t="s">
        <v>44</v>
      </c>
      <c r="E4822" s="11">
        <v>33.0</v>
      </c>
      <c r="F4822" s="21" t="s">
        <v>1646</v>
      </c>
      <c r="G4822" s="15">
        <v>0.05216132931542304</v>
      </c>
      <c r="H4822" s="11" t="s">
        <v>33</v>
      </c>
      <c r="I4822" s="16">
        <v>5.632000000000001</v>
      </c>
      <c r="J4822" s="11" t="s">
        <v>2528</v>
      </c>
      <c r="K4822" s="11" t="s">
        <v>61</v>
      </c>
      <c r="L4822" s="11" t="s">
        <v>48</v>
      </c>
      <c r="M4822" s="11" t="s">
        <v>28</v>
      </c>
      <c r="N4822" s="11" t="s">
        <v>29</v>
      </c>
      <c r="O4822" s="11" t="s">
        <v>1647</v>
      </c>
      <c r="P4822" s="11" t="s">
        <v>38</v>
      </c>
      <c r="Q4822" s="20">
        <v>40643.0</v>
      </c>
      <c r="R4822" s="17">
        <f t="shared" si="2"/>
        <v>29.03988119</v>
      </c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>
        <f t="shared" si="8"/>
        <v>4</v>
      </c>
      <c r="AF4822" s="19">
        <f t="shared" si="13"/>
        <v>4</v>
      </c>
      <c r="AG4822" s="9"/>
      <c r="AH4822" s="9"/>
      <c r="AI4822" s="9"/>
    </row>
    <row r="4823" ht="15.0" customHeight="1">
      <c r="A4823" s="11">
        <v>4822.0</v>
      </c>
      <c r="B4823" s="12">
        <f t="shared" si="766"/>
        <v>40642</v>
      </c>
      <c r="C4823" s="13">
        <v>2011.0</v>
      </c>
      <c r="D4823" s="11" t="s">
        <v>23</v>
      </c>
      <c r="E4823" s="11">
        <v>29.0</v>
      </c>
      <c r="F4823" s="21" t="s">
        <v>166</v>
      </c>
      <c r="G4823" s="15">
        <v>0.12974889217134425</v>
      </c>
      <c r="H4823" s="11" t="s">
        <v>33</v>
      </c>
      <c r="I4823" s="16">
        <v>3.816</v>
      </c>
      <c r="J4823" s="11" t="s">
        <v>2105</v>
      </c>
      <c r="K4823" s="11" t="s">
        <v>61</v>
      </c>
      <c r="L4823" s="11" t="s">
        <v>36</v>
      </c>
      <c r="M4823" s="11" t="s">
        <v>28</v>
      </c>
      <c r="N4823" s="11" t="s">
        <v>42</v>
      </c>
      <c r="O4823" s="11" t="s">
        <v>168</v>
      </c>
      <c r="P4823" s="11" t="s">
        <v>38</v>
      </c>
      <c r="Q4823" s="20">
        <v>40643.0</v>
      </c>
      <c r="R4823" s="17">
        <f t="shared" si="2"/>
        <v>7.644285731</v>
      </c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>
        <f t="shared" si="8"/>
        <v>2</v>
      </c>
      <c r="AF4823" s="19">
        <f t="shared" si="13"/>
        <v>4</v>
      </c>
      <c r="AG4823" s="9"/>
      <c r="AH4823" s="9"/>
      <c r="AI4823" s="9"/>
    </row>
    <row r="4824" ht="15.0" customHeight="1">
      <c r="A4824" s="11">
        <v>4823.0</v>
      </c>
      <c r="B4824" s="12">
        <f t="shared" si="766"/>
        <v>40642</v>
      </c>
      <c r="C4824" s="13">
        <v>2011.0</v>
      </c>
      <c r="D4824" s="11" t="s">
        <v>23</v>
      </c>
      <c r="E4824" s="11">
        <v>37.0</v>
      </c>
      <c r="F4824" s="21" t="s">
        <v>142</v>
      </c>
      <c r="G4824" s="15">
        <v>0.05011076967054948</v>
      </c>
      <c r="H4824" s="11" t="s">
        <v>33</v>
      </c>
      <c r="I4824" s="16">
        <v>0.8800000000000001</v>
      </c>
      <c r="J4824" s="11" t="s">
        <v>2105</v>
      </c>
      <c r="K4824" s="11" t="s">
        <v>61</v>
      </c>
      <c r="L4824" s="11" t="s">
        <v>36</v>
      </c>
      <c r="M4824" s="11" t="s">
        <v>66</v>
      </c>
      <c r="N4824" s="11" t="s">
        <v>80</v>
      </c>
      <c r="O4824" s="11" t="s">
        <v>143</v>
      </c>
      <c r="P4824" s="11" t="s">
        <v>38</v>
      </c>
      <c r="Q4824" s="20">
        <v>40644.0</v>
      </c>
      <c r="R4824" s="17">
        <f t="shared" si="2"/>
        <v>66.60623283</v>
      </c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>
        <f t="shared" si="8"/>
        <v>2</v>
      </c>
      <c r="AF4824" s="19">
        <f t="shared" si="13"/>
        <v>4</v>
      </c>
      <c r="AG4824" s="9"/>
      <c r="AH4824" s="9"/>
      <c r="AI4824" s="9"/>
    </row>
    <row r="4825" ht="15.0" customHeight="1">
      <c r="A4825" s="11">
        <v>4824.0</v>
      </c>
      <c r="B4825" s="12">
        <f t="shared" si="766"/>
        <v>40642</v>
      </c>
      <c r="C4825" s="13">
        <v>2011.0</v>
      </c>
      <c r="D4825" s="11" t="s">
        <v>102</v>
      </c>
      <c r="E4825" s="11">
        <v>3.0</v>
      </c>
      <c r="F4825" s="21" t="s">
        <v>506</v>
      </c>
      <c r="G4825" s="15">
        <v>0.05107438016528914</v>
      </c>
      <c r="H4825" s="11" t="s">
        <v>24</v>
      </c>
      <c r="I4825" s="16">
        <v>2.2640000000000002</v>
      </c>
      <c r="J4825" s="11" t="s">
        <v>1950</v>
      </c>
      <c r="K4825" s="11" t="s">
        <v>65</v>
      </c>
      <c r="L4825" s="11" t="s">
        <v>36</v>
      </c>
      <c r="M4825" s="11" t="s">
        <v>49</v>
      </c>
      <c r="N4825" s="11" t="s">
        <v>73</v>
      </c>
      <c r="O4825" s="11" t="s">
        <v>1053</v>
      </c>
      <c r="P4825" s="11" t="s">
        <v>99</v>
      </c>
      <c r="Q4825" s="20">
        <v>40644.0</v>
      </c>
      <c r="R4825" s="17">
        <f t="shared" si="2"/>
        <v>1.172872066</v>
      </c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>
        <f t="shared" si="8"/>
        <v>2</v>
      </c>
      <c r="AF4825" s="19">
        <f t="shared" si="13"/>
        <v>5</v>
      </c>
      <c r="AG4825" s="9"/>
      <c r="AH4825" s="9"/>
      <c r="AI4825" s="9"/>
    </row>
    <row r="4826" ht="15.0" customHeight="1">
      <c r="A4826" s="11">
        <v>4825.0</v>
      </c>
      <c r="B4826" s="12">
        <f t="shared" si="766"/>
        <v>40642</v>
      </c>
      <c r="C4826" s="13">
        <v>2011.0</v>
      </c>
      <c r="D4826" s="11" t="s">
        <v>102</v>
      </c>
      <c r="E4826" s="11">
        <v>24.0</v>
      </c>
      <c r="F4826" s="21" t="s">
        <v>336</v>
      </c>
      <c r="G4826" s="15">
        <v>0.015977808599167836</v>
      </c>
      <c r="H4826" s="11" t="s">
        <v>33</v>
      </c>
      <c r="I4826" s="16">
        <v>2.696</v>
      </c>
      <c r="J4826" s="11" t="s">
        <v>1950</v>
      </c>
      <c r="K4826" s="11" t="s">
        <v>65</v>
      </c>
      <c r="L4826" s="11" t="s">
        <v>36</v>
      </c>
      <c r="M4826" s="11" t="s">
        <v>28</v>
      </c>
      <c r="N4826" s="11" t="s">
        <v>216</v>
      </c>
      <c r="O4826" s="11" t="s">
        <v>557</v>
      </c>
      <c r="P4826" s="11" t="s">
        <v>58</v>
      </c>
      <c r="Q4826" s="20">
        <v>40644.0</v>
      </c>
      <c r="R4826" s="17">
        <f t="shared" si="2"/>
        <v>2.267187129</v>
      </c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>
        <f t="shared" si="8"/>
        <v>2</v>
      </c>
      <c r="AF4826" s="19">
        <f t="shared" si="13"/>
        <v>5</v>
      </c>
      <c r="AG4826" s="9"/>
      <c r="AH4826" s="9"/>
      <c r="AI4826" s="9"/>
    </row>
    <row r="4827" ht="15.0" customHeight="1">
      <c r="A4827" s="11">
        <v>4826.0</v>
      </c>
      <c r="B4827" s="12">
        <f t="shared" si="766"/>
        <v>40642</v>
      </c>
      <c r="C4827" s="13">
        <v>2011.0</v>
      </c>
      <c r="D4827" s="11" t="s">
        <v>39</v>
      </c>
      <c r="E4827" s="11">
        <v>21.0</v>
      </c>
      <c r="F4827" s="21" t="s">
        <v>1227</v>
      </c>
      <c r="G4827" s="15">
        <v>0.09777777777777776</v>
      </c>
      <c r="H4827" s="11" t="s">
        <v>24</v>
      </c>
      <c r="I4827" s="16">
        <v>0.8960000000000001</v>
      </c>
      <c r="J4827" s="11" t="s">
        <v>395</v>
      </c>
      <c r="K4827" s="11" t="s">
        <v>35</v>
      </c>
      <c r="L4827" s="11" t="s">
        <v>36</v>
      </c>
      <c r="M4827" s="11" t="s">
        <v>28</v>
      </c>
      <c r="N4827" s="11" t="s">
        <v>62</v>
      </c>
      <c r="O4827" s="11" t="s">
        <v>2510</v>
      </c>
      <c r="P4827" s="11" t="s">
        <v>58</v>
      </c>
      <c r="Q4827" s="20">
        <v>40644.0</v>
      </c>
      <c r="R4827" s="17">
        <f t="shared" si="2"/>
        <v>4.604942222</v>
      </c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>
        <f t="shared" si="8"/>
        <v>2</v>
      </c>
      <c r="AF4827" s="19">
        <f t="shared" si="13"/>
        <v>2</v>
      </c>
      <c r="AG4827" s="9"/>
      <c r="AH4827" s="9"/>
      <c r="AI4827" s="9"/>
    </row>
    <row r="4828" ht="15.0" customHeight="1">
      <c r="A4828" s="11">
        <v>4827.0</v>
      </c>
      <c r="B4828" s="12">
        <f t="shared" si="766"/>
        <v>40642</v>
      </c>
      <c r="C4828" s="13">
        <v>2011.0</v>
      </c>
      <c r="D4828" s="11" t="s">
        <v>23</v>
      </c>
      <c r="E4828" s="11">
        <v>37.0</v>
      </c>
      <c r="F4828" s="21" t="s">
        <v>126</v>
      </c>
      <c r="G4828" s="15">
        <v>0.04473186119873807</v>
      </c>
      <c r="H4828" s="11" t="s">
        <v>24</v>
      </c>
      <c r="I4828" s="16">
        <v>0.392</v>
      </c>
      <c r="J4828" s="11" t="s">
        <v>1963</v>
      </c>
      <c r="K4828" s="11" t="s">
        <v>65</v>
      </c>
      <c r="L4828" s="11" t="s">
        <v>27</v>
      </c>
      <c r="M4828" s="11" t="s">
        <v>28</v>
      </c>
      <c r="N4828" s="11" t="s">
        <v>188</v>
      </c>
      <c r="O4828" s="11" t="s">
        <v>1703</v>
      </c>
      <c r="P4828" s="11" t="s">
        <v>38</v>
      </c>
      <c r="Q4828" s="20">
        <v>40644.0</v>
      </c>
      <c r="R4828" s="17">
        <f t="shared" si="2"/>
        <v>8.127421325</v>
      </c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>
        <f t="shared" si="8"/>
        <v>1</v>
      </c>
      <c r="AF4828" s="19">
        <f t="shared" si="13"/>
        <v>5</v>
      </c>
      <c r="AG4828" s="9"/>
      <c r="AH4828" s="9"/>
      <c r="AI4828" s="9"/>
    </row>
    <row r="4829" ht="15.0" customHeight="1">
      <c r="A4829" s="11">
        <v>4828.0</v>
      </c>
      <c r="B4829" s="12">
        <f t="shared" si="766"/>
        <v>40642</v>
      </c>
      <c r="C4829" s="13">
        <v>2011.0</v>
      </c>
      <c r="D4829" s="11" t="s">
        <v>23</v>
      </c>
      <c r="E4829" s="11">
        <v>38.0</v>
      </c>
      <c r="F4829" s="21" t="s">
        <v>1904</v>
      </c>
      <c r="G4829" s="15">
        <v>0.06643842527355905</v>
      </c>
      <c r="H4829" s="11" t="s">
        <v>24</v>
      </c>
      <c r="I4829" s="16">
        <v>15.991999999999999</v>
      </c>
      <c r="J4829" s="11" t="s">
        <v>1963</v>
      </c>
      <c r="K4829" s="11" t="s">
        <v>65</v>
      </c>
      <c r="L4829" s="11" t="s">
        <v>27</v>
      </c>
      <c r="M4829" s="11" t="s">
        <v>28</v>
      </c>
      <c r="N4829" s="11" t="s">
        <v>29</v>
      </c>
      <c r="O4829" s="11" t="s">
        <v>1905</v>
      </c>
      <c r="P4829" s="11" t="s">
        <v>38</v>
      </c>
      <c r="Q4829" s="20">
        <v>40644.0</v>
      </c>
      <c r="R4829" s="17">
        <f t="shared" si="2"/>
        <v>356.5346339</v>
      </c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>
        <f t="shared" si="8"/>
        <v>1</v>
      </c>
      <c r="AF4829" s="19">
        <f t="shared" si="13"/>
        <v>5</v>
      </c>
      <c r="AG4829" s="9"/>
      <c r="AH4829" s="9"/>
      <c r="AI4829" s="9"/>
    </row>
    <row r="4830" ht="15.0" customHeight="1">
      <c r="A4830" s="11">
        <v>4829.0</v>
      </c>
      <c r="B4830" s="12">
        <f t="shared" si="766"/>
        <v>40642</v>
      </c>
      <c r="C4830" s="13">
        <v>2011.0</v>
      </c>
      <c r="D4830" s="11" t="s">
        <v>44</v>
      </c>
      <c r="E4830" s="11">
        <v>36.0</v>
      </c>
      <c r="F4830" s="21" t="s">
        <v>280</v>
      </c>
      <c r="G4830" s="15">
        <v>0.07561100447856675</v>
      </c>
      <c r="H4830" s="11" t="s">
        <v>33</v>
      </c>
      <c r="I4830" s="16">
        <v>5.784000000000001</v>
      </c>
      <c r="J4830" s="11" t="s">
        <v>528</v>
      </c>
      <c r="K4830" s="11" t="s">
        <v>83</v>
      </c>
      <c r="L4830" s="11" t="s">
        <v>41</v>
      </c>
      <c r="M4830" s="11" t="s">
        <v>28</v>
      </c>
      <c r="N4830" s="11" t="s">
        <v>56</v>
      </c>
      <c r="O4830" s="11" t="s">
        <v>2248</v>
      </c>
      <c r="P4830" s="11" t="s">
        <v>38</v>
      </c>
      <c r="Q4830" s="20">
        <v>40644.0</v>
      </c>
      <c r="R4830" s="17">
        <f t="shared" si="2"/>
        <v>131.0931498</v>
      </c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>
        <f t="shared" si="8"/>
        <v>3</v>
      </c>
      <c r="AF4830" s="19" t="b">
        <f t="shared" si="13"/>
        <v>0</v>
      </c>
      <c r="AG4830" s="9"/>
      <c r="AH4830" s="9"/>
      <c r="AI4830" s="9"/>
    </row>
    <row r="4831" ht="15.0" customHeight="1">
      <c r="A4831" s="11">
        <v>4830.0</v>
      </c>
      <c r="B4831" s="12">
        <f t="shared" ref="B4831:B4838" si="767">DATE(2012,12,31)-631</f>
        <v>40643</v>
      </c>
      <c r="C4831" s="13">
        <v>2011.0</v>
      </c>
      <c r="D4831" s="11" t="s">
        <v>39</v>
      </c>
      <c r="E4831" s="11">
        <v>13.0</v>
      </c>
      <c r="F4831" s="21" t="s">
        <v>270</v>
      </c>
      <c r="G4831" s="15">
        <v>0.024042128200472346</v>
      </c>
      <c r="H4831" s="11" t="s">
        <v>24</v>
      </c>
      <c r="I4831" s="16">
        <v>5.760000000000001</v>
      </c>
      <c r="J4831" s="11" t="s">
        <v>1288</v>
      </c>
      <c r="K4831" s="11" t="s">
        <v>47</v>
      </c>
      <c r="L4831" s="11" t="s">
        <v>48</v>
      </c>
      <c r="M4831" s="11" t="s">
        <v>28</v>
      </c>
      <c r="N4831" s="11" t="s">
        <v>197</v>
      </c>
      <c r="O4831" s="11" t="s">
        <v>1366</v>
      </c>
      <c r="P4831" s="11" t="s">
        <v>38</v>
      </c>
      <c r="Q4831" s="20">
        <v>40644.0</v>
      </c>
      <c r="R4831" s="17">
        <f t="shared" si="2"/>
        <v>12.92168222</v>
      </c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>
        <f t="shared" si="8"/>
        <v>4</v>
      </c>
      <c r="AF4831" s="19">
        <f t="shared" si="13"/>
        <v>3</v>
      </c>
      <c r="AG4831" s="9"/>
      <c r="AH4831" s="9"/>
      <c r="AI4831" s="9"/>
    </row>
    <row r="4832" ht="15.0" customHeight="1">
      <c r="A4832" s="11">
        <v>4831.0</v>
      </c>
      <c r="B4832" s="12">
        <f t="shared" si="767"/>
        <v>40643</v>
      </c>
      <c r="C4832" s="13">
        <v>2011.0</v>
      </c>
      <c r="D4832" s="11" t="s">
        <v>39</v>
      </c>
      <c r="E4832" s="11">
        <v>16.0</v>
      </c>
      <c r="F4832" s="21" t="s">
        <v>319</v>
      </c>
      <c r="G4832" s="15">
        <v>0.0783166332665331</v>
      </c>
      <c r="H4832" s="11" t="s">
        <v>33</v>
      </c>
      <c r="I4832" s="16">
        <v>1.192</v>
      </c>
      <c r="J4832" s="11" t="s">
        <v>1288</v>
      </c>
      <c r="K4832" s="11" t="s">
        <v>47</v>
      </c>
      <c r="L4832" s="11" t="s">
        <v>48</v>
      </c>
      <c r="M4832" s="11" t="s">
        <v>28</v>
      </c>
      <c r="N4832" s="11" t="s">
        <v>42</v>
      </c>
      <c r="O4832" s="11" t="s">
        <v>1503</v>
      </c>
      <c r="P4832" s="11" t="s">
        <v>38</v>
      </c>
      <c r="Q4832" s="20">
        <v>40645.0</v>
      </c>
      <c r="R4832" s="17">
        <f t="shared" si="2"/>
        <v>3.601938597</v>
      </c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>
        <f t="shared" si="8"/>
        <v>4</v>
      </c>
      <c r="AF4832" s="19">
        <f t="shared" si="13"/>
        <v>3</v>
      </c>
      <c r="AG4832" s="9"/>
      <c r="AH4832" s="9"/>
      <c r="AI4832" s="9"/>
    </row>
    <row r="4833" ht="15.0" customHeight="1">
      <c r="A4833" s="11">
        <v>4832.0</v>
      </c>
      <c r="B4833" s="12">
        <f t="shared" si="767"/>
        <v>40643</v>
      </c>
      <c r="C4833" s="13">
        <v>2011.0</v>
      </c>
      <c r="D4833" s="11" t="s">
        <v>23</v>
      </c>
      <c r="E4833" s="11">
        <v>30.0</v>
      </c>
      <c r="F4833" s="21" t="s">
        <v>183</v>
      </c>
      <c r="G4833" s="15">
        <v>0.048694634146341495</v>
      </c>
      <c r="H4833" s="11" t="s">
        <v>33</v>
      </c>
      <c r="I4833" s="16">
        <v>10.544</v>
      </c>
      <c r="J4833" s="11" t="s">
        <v>2081</v>
      </c>
      <c r="K4833" s="11" t="s">
        <v>117</v>
      </c>
      <c r="L4833" s="11" t="s">
        <v>36</v>
      </c>
      <c r="M4833" s="11" t="s">
        <v>28</v>
      </c>
      <c r="N4833" s="11" t="s">
        <v>42</v>
      </c>
      <c r="O4833" s="11" t="s">
        <v>185</v>
      </c>
      <c r="P4833" s="11" t="s">
        <v>38</v>
      </c>
      <c r="Q4833" s="20">
        <v>40645.0</v>
      </c>
      <c r="R4833" s="17">
        <f t="shared" si="2"/>
        <v>23.74077671</v>
      </c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>
        <f t="shared" si="8"/>
        <v>2</v>
      </c>
      <c r="AF4833" s="19" t="b">
        <f t="shared" si="13"/>
        <v>0</v>
      </c>
      <c r="AG4833" s="9"/>
      <c r="AH4833" s="9"/>
      <c r="AI4833" s="9"/>
    </row>
    <row r="4834" ht="15.0" customHeight="1">
      <c r="A4834" s="11">
        <v>4833.0</v>
      </c>
      <c r="B4834" s="12">
        <f t="shared" si="767"/>
        <v>40643</v>
      </c>
      <c r="C4834" s="13">
        <v>2011.0</v>
      </c>
      <c r="D4834" s="11" t="s">
        <v>23</v>
      </c>
      <c r="E4834" s="11">
        <v>23.0</v>
      </c>
      <c r="F4834" s="21" t="s">
        <v>259</v>
      </c>
      <c r="G4834" s="15">
        <v>0.05443210318882123</v>
      </c>
      <c r="H4834" s="11" t="s">
        <v>24</v>
      </c>
      <c r="I4834" s="16">
        <v>4.008</v>
      </c>
      <c r="J4834" s="11" t="s">
        <v>2081</v>
      </c>
      <c r="K4834" s="11" t="s">
        <v>117</v>
      </c>
      <c r="L4834" s="11" t="s">
        <v>36</v>
      </c>
      <c r="M4834" s="11" t="s">
        <v>28</v>
      </c>
      <c r="N4834" s="11" t="s">
        <v>56</v>
      </c>
      <c r="O4834" s="11" t="s">
        <v>260</v>
      </c>
      <c r="P4834" s="11" t="s">
        <v>38</v>
      </c>
      <c r="Q4834" s="20">
        <v>40645.0</v>
      </c>
      <c r="R4834" s="17">
        <f t="shared" si="2"/>
        <v>14.36506749</v>
      </c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>
        <f t="shared" si="8"/>
        <v>2</v>
      </c>
      <c r="AF4834" s="19" t="b">
        <f t="shared" si="13"/>
        <v>0</v>
      </c>
      <c r="AG4834" s="9"/>
      <c r="AH4834" s="9"/>
      <c r="AI4834" s="9"/>
    </row>
    <row r="4835" ht="15.0" customHeight="1">
      <c r="A4835" s="11">
        <v>4834.0</v>
      </c>
      <c r="B4835" s="12">
        <f t="shared" si="767"/>
        <v>40643</v>
      </c>
      <c r="C4835" s="13">
        <v>2011.0</v>
      </c>
      <c r="D4835" s="11" t="s">
        <v>23</v>
      </c>
      <c r="E4835" s="11">
        <v>37.0</v>
      </c>
      <c r="F4835" s="21" t="s">
        <v>1091</v>
      </c>
      <c r="G4835" s="15">
        <v>0.021397288842544368</v>
      </c>
      <c r="H4835" s="11" t="s">
        <v>33</v>
      </c>
      <c r="I4835" s="16">
        <v>4.072</v>
      </c>
      <c r="J4835" s="11" t="s">
        <v>2081</v>
      </c>
      <c r="K4835" s="11" t="s">
        <v>117</v>
      </c>
      <c r="L4835" s="11" t="s">
        <v>36</v>
      </c>
      <c r="M4835" s="11" t="s">
        <v>28</v>
      </c>
      <c r="N4835" s="11" t="s">
        <v>56</v>
      </c>
      <c r="O4835" s="11" t="s">
        <v>1093</v>
      </c>
      <c r="P4835" s="11" t="s">
        <v>38</v>
      </c>
      <c r="Q4835" s="20">
        <v>40645.0</v>
      </c>
      <c r="R4835" s="17">
        <f t="shared" si="2"/>
        <v>28.11329869</v>
      </c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>
        <f t="shared" si="8"/>
        <v>2</v>
      </c>
      <c r="AF4835" s="19" t="b">
        <f t="shared" si="13"/>
        <v>0</v>
      </c>
      <c r="AG4835" s="9"/>
      <c r="AH4835" s="9"/>
      <c r="AI4835" s="9"/>
    </row>
    <row r="4836" ht="15.0" customHeight="1">
      <c r="A4836" s="11">
        <v>4835.0</v>
      </c>
      <c r="B4836" s="12">
        <f t="shared" si="767"/>
        <v>40643</v>
      </c>
      <c r="C4836" s="13">
        <v>2011.0</v>
      </c>
      <c r="D4836" s="11" t="s">
        <v>102</v>
      </c>
      <c r="E4836" s="11">
        <v>45.0</v>
      </c>
      <c r="F4836" s="21" t="s">
        <v>838</v>
      </c>
      <c r="G4836" s="15">
        <v>0.04016935089249622</v>
      </c>
      <c r="H4836" s="11" t="s">
        <v>33</v>
      </c>
      <c r="I4836" s="16">
        <v>15.991999999999999</v>
      </c>
      <c r="J4836" s="11" t="s">
        <v>2321</v>
      </c>
      <c r="K4836" s="11" t="s">
        <v>35</v>
      </c>
      <c r="L4836" s="11" t="s">
        <v>48</v>
      </c>
      <c r="M4836" s="11" t="s">
        <v>66</v>
      </c>
      <c r="N4836" s="11" t="s">
        <v>67</v>
      </c>
      <c r="O4836" s="11" t="s">
        <v>2263</v>
      </c>
      <c r="P4836" s="11" t="s">
        <v>38</v>
      </c>
      <c r="Q4836" s="20">
        <v>40645.0</v>
      </c>
      <c r="R4836" s="17">
        <f t="shared" si="2"/>
        <v>181.2237052</v>
      </c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>
        <f t="shared" si="8"/>
        <v>4</v>
      </c>
      <c r="AF4836" s="19">
        <f t="shared" si="13"/>
        <v>2</v>
      </c>
      <c r="AG4836" s="9"/>
      <c r="AH4836" s="9"/>
      <c r="AI4836" s="9"/>
    </row>
    <row r="4837" ht="15.0" customHeight="1">
      <c r="A4837" s="11">
        <v>4836.0</v>
      </c>
      <c r="B4837" s="12">
        <f t="shared" si="767"/>
        <v>40643</v>
      </c>
      <c r="C4837" s="13">
        <v>2011.0</v>
      </c>
      <c r="D4837" s="11" t="s">
        <v>102</v>
      </c>
      <c r="E4837" s="11">
        <v>45.0</v>
      </c>
      <c r="F4837" s="21" t="s">
        <v>1291</v>
      </c>
      <c r="G4837" s="15">
        <v>0.013917906100733832</v>
      </c>
      <c r="H4837" s="11" t="s">
        <v>33</v>
      </c>
      <c r="I4837" s="16">
        <v>41.760000000000005</v>
      </c>
      <c r="J4837" s="11" t="s">
        <v>2321</v>
      </c>
      <c r="K4837" s="11" t="s">
        <v>35</v>
      </c>
      <c r="L4837" s="11" t="s">
        <v>48</v>
      </c>
      <c r="M4837" s="11" t="s">
        <v>49</v>
      </c>
      <c r="N4837" s="11" t="s">
        <v>73</v>
      </c>
      <c r="O4837" s="11" t="s">
        <v>1293</v>
      </c>
      <c r="P4837" s="11" t="s">
        <v>75</v>
      </c>
      <c r="Q4837" s="20">
        <v>40645.0</v>
      </c>
      <c r="R4837" s="17">
        <f t="shared" si="2"/>
        <v>35.34118225</v>
      </c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>
        <f t="shared" si="8"/>
        <v>4</v>
      </c>
      <c r="AF4837" s="19">
        <f t="shared" si="13"/>
        <v>2</v>
      </c>
      <c r="AG4837" s="9"/>
      <c r="AH4837" s="9"/>
      <c r="AI4837" s="9"/>
    </row>
    <row r="4838" ht="15.0" customHeight="1">
      <c r="A4838" s="11">
        <v>4837.0</v>
      </c>
      <c r="B4838" s="12">
        <f t="shared" si="767"/>
        <v>40643</v>
      </c>
      <c r="C4838" s="13">
        <v>2011.0</v>
      </c>
      <c r="D4838" s="11" t="s">
        <v>102</v>
      </c>
      <c r="E4838" s="11">
        <v>12.0</v>
      </c>
      <c r="F4838" s="21" t="s">
        <v>729</v>
      </c>
      <c r="G4838" s="15">
        <v>0.08880197797257794</v>
      </c>
      <c r="H4838" s="11" t="s">
        <v>24</v>
      </c>
      <c r="I4838" s="16">
        <v>6.992000000000001</v>
      </c>
      <c r="J4838" s="11" t="s">
        <v>2321</v>
      </c>
      <c r="K4838" s="11" t="s">
        <v>35</v>
      </c>
      <c r="L4838" s="11" t="s">
        <v>48</v>
      </c>
      <c r="M4838" s="11" t="s">
        <v>28</v>
      </c>
      <c r="N4838" s="11" t="s">
        <v>29</v>
      </c>
      <c r="O4838" s="11" t="s">
        <v>730</v>
      </c>
      <c r="P4838" s="11" t="s">
        <v>38</v>
      </c>
      <c r="Q4838" s="20">
        <v>40645.0</v>
      </c>
      <c r="R4838" s="17">
        <f t="shared" si="2"/>
        <v>35.99961145</v>
      </c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>
        <f t="shared" si="8"/>
        <v>4</v>
      </c>
      <c r="AF4838" s="19">
        <f t="shared" si="13"/>
        <v>2</v>
      </c>
      <c r="AG4838" s="9"/>
      <c r="AH4838" s="9"/>
      <c r="AI4838" s="9"/>
    </row>
    <row r="4839" ht="15.0" customHeight="1">
      <c r="A4839" s="11">
        <v>4838.0</v>
      </c>
      <c r="B4839" s="12">
        <f t="shared" ref="B4839:B4851" si="768">DATE(2012,12,31)-630</f>
        <v>40644</v>
      </c>
      <c r="C4839" s="13">
        <v>2011.0</v>
      </c>
      <c r="D4839" s="11" t="s">
        <v>102</v>
      </c>
      <c r="E4839" s="11">
        <v>38.0</v>
      </c>
      <c r="F4839" s="21" t="s">
        <v>287</v>
      </c>
      <c r="G4839" s="15">
        <v>0.04859695308791154</v>
      </c>
      <c r="H4839" s="11" t="s">
        <v>24</v>
      </c>
      <c r="I4839" s="16">
        <v>4.792000000000001</v>
      </c>
      <c r="J4839" s="11" t="s">
        <v>88</v>
      </c>
      <c r="K4839" s="11" t="s">
        <v>35</v>
      </c>
      <c r="L4839" s="11" t="s">
        <v>48</v>
      </c>
      <c r="M4839" s="11" t="s">
        <v>66</v>
      </c>
      <c r="N4839" s="11" t="s">
        <v>80</v>
      </c>
      <c r="O4839" s="11" t="s">
        <v>2071</v>
      </c>
      <c r="P4839" s="11" t="s">
        <v>38</v>
      </c>
      <c r="Q4839" s="20">
        <v>40645.0</v>
      </c>
      <c r="R4839" s="17">
        <f t="shared" si="2"/>
        <v>214.2635774</v>
      </c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>
        <f t="shared" si="8"/>
        <v>4</v>
      </c>
      <c r="AF4839" s="19">
        <f t="shared" si="13"/>
        <v>2</v>
      </c>
      <c r="AG4839" s="9"/>
      <c r="AH4839" s="9"/>
      <c r="AI4839" s="9"/>
    </row>
    <row r="4840" ht="15.0" customHeight="1">
      <c r="A4840" s="11">
        <v>4839.0</v>
      </c>
      <c r="B4840" s="12">
        <f t="shared" si="768"/>
        <v>40644</v>
      </c>
      <c r="C4840" s="13">
        <v>2011.0</v>
      </c>
      <c r="D4840" s="11" t="s">
        <v>102</v>
      </c>
      <c r="E4840" s="11">
        <v>44.0</v>
      </c>
      <c r="F4840" s="21" t="s">
        <v>178</v>
      </c>
      <c r="G4840" s="15">
        <v>0.011512633657971647</v>
      </c>
      <c r="H4840" s="11" t="s">
        <v>33</v>
      </c>
      <c r="I4840" s="16">
        <v>3.192</v>
      </c>
      <c r="J4840" s="11" t="s">
        <v>1848</v>
      </c>
      <c r="K4840" s="11" t="s">
        <v>61</v>
      </c>
      <c r="L4840" s="11" t="s">
        <v>27</v>
      </c>
      <c r="M4840" s="11" t="s">
        <v>66</v>
      </c>
      <c r="N4840" s="11" t="s">
        <v>80</v>
      </c>
      <c r="O4840" s="11" t="s">
        <v>587</v>
      </c>
      <c r="P4840" s="11" t="s">
        <v>38</v>
      </c>
      <c r="Q4840" s="20">
        <v>40645.0</v>
      </c>
      <c r="R4840" s="17">
        <f t="shared" si="2"/>
        <v>33.41878088</v>
      </c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>
        <f t="shared" si="8"/>
        <v>1</v>
      </c>
      <c r="AF4840" s="19">
        <f t="shared" si="13"/>
        <v>4</v>
      </c>
      <c r="AG4840" s="9"/>
      <c r="AH4840" s="9"/>
      <c r="AI4840" s="9"/>
    </row>
    <row r="4841" ht="15.0" customHeight="1">
      <c r="A4841" s="11">
        <v>4840.0</v>
      </c>
      <c r="B4841" s="12">
        <f t="shared" si="768"/>
        <v>40644</v>
      </c>
      <c r="C4841" s="13">
        <v>2011.0</v>
      </c>
      <c r="D4841" s="11" t="s">
        <v>32</v>
      </c>
      <c r="E4841" s="11">
        <v>36.0</v>
      </c>
      <c r="F4841" s="21" t="s">
        <v>737</v>
      </c>
      <c r="G4841" s="15">
        <v>0.017414607358594174</v>
      </c>
      <c r="H4841" s="11" t="s">
        <v>45</v>
      </c>
      <c r="I4841" s="16">
        <v>43.288000000000004</v>
      </c>
      <c r="J4841" s="11" t="s">
        <v>1674</v>
      </c>
      <c r="K4841" s="11" t="s">
        <v>117</v>
      </c>
      <c r="L4841" s="11" t="s">
        <v>27</v>
      </c>
      <c r="M4841" s="11" t="s">
        <v>49</v>
      </c>
      <c r="N4841" s="11" t="s">
        <v>156</v>
      </c>
      <c r="O4841" s="11" t="s">
        <v>2431</v>
      </c>
      <c r="P4841" s="11" t="s">
        <v>87</v>
      </c>
      <c r="Q4841" s="20">
        <v>40646.0</v>
      </c>
      <c r="R4841" s="17">
        <f t="shared" si="2"/>
        <v>31.15974797</v>
      </c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>
        <f t="shared" si="8"/>
        <v>1</v>
      </c>
      <c r="AF4841" s="19" t="b">
        <f t="shared" si="13"/>
        <v>0</v>
      </c>
      <c r="AG4841" s="9"/>
      <c r="AH4841" s="9"/>
      <c r="AI4841" s="9"/>
    </row>
    <row r="4842" ht="15.0" customHeight="1">
      <c r="A4842" s="11">
        <v>4841.0</v>
      </c>
      <c r="B4842" s="12">
        <f t="shared" si="768"/>
        <v>40644</v>
      </c>
      <c r="C4842" s="13">
        <v>2011.0</v>
      </c>
      <c r="D4842" s="11" t="s">
        <v>32</v>
      </c>
      <c r="E4842" s="11">
        <v>36.0</v>
      </c>
      <c r="F4842" s="21" t="s">
        <v>599</v>
      </c>
      <c r="G4842" s="15">
        <v>0.03987746082764162</v>
      </c>
      <c r="H4842" s="11" t="s">
        <v>24</v>
      </c>
      <c r="I4842" s="16">
        <v>11.192</v>
      </c>
      <c r="J4842" s="11" t="s">
        <v>1674</v>
      </c>
      <c r="K4842" s="11" t="s">
        <v>117</v>
      </c>
      <c r="L4842" s="11" t="s">
        <v>27</v>
      </c>
      <c r="M4842" s="11" t="s">
        <v>49</v>
      </c>
      <c r="N4842" s="11" t="s">
        <v>73</v>
      </c>
      <c r="O4842" s="11" t="s">
        <v>601</v>
      </c>
      <c r="P4842" s="11" t="s">
        <v>75</v>
      </c>
      <c r="Q4842" s="20">
        <v>40646.0</v>
      </c>
      <c r="R4842" s="17">
        <f t="shared" si="2"/>
        <v>152.4751402</v>
      </c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>
        <f t="shared" si="8"/>
        <v>1</v>
      </c>
      <c r="AF4842" s="19" t="b">
        <f t="shared" si="13"/>
        <v>0</v>
      </c>
      <c r="AG4842" s="9"/>
      <c r="AH4842" s="9"/>
      <c r="AI4842" s="9"/>
    </row>
    <row r="4843" ht="15.0" customHeight="1">
      <c r="A4843" s="11">
        <v>4842.0</v>
      </c>
      <c r="B4843" s="12">
        <f t="shared" si="768"/>
        <v>40644</v>
      </c>
      <c r="C4843" s="13">
        <v>2011.0</v>
      </c>
      <c r="D4843" s="11" t="s">
        <v>32</v>
      </c>
      <c r="E4843" s="11">
        <v>4.0</v>
      </c>
      <c r="F4843" s="21" t="s">
        <v>325</v>
      </c>
      <c r="G4843" s="15">
        <v>0.09890909090909089</v>
      </c>
      <c r="H4843" s="11" t="s">
        <v>33</v>
      </c>
      <c r="I4843" s="16">
        <v>1.736</v>
      </c>
      <c r="J4843" s="11" t="s">
        <v>1674</v>
      </c>
      <c r="K4843" s="11" t="s">
        <v>117</v>
      </c>
      <c r="L4843" s="11" t="s">
        <v>27</v>
      </c>
      <c r="M4843" s="11" t="s">
        <v>28</v>
      </c>
      <c r="N4843" s="11" t="s">
        <v>56</v>
      </c>
      <c r="O4843" s="11" t="s">
        <v>327</v>
      </c>
      <c r="P4843" s="11" t="s">
        <v>58</v>
      </c>
      <c r="Q4843" s="20">
        <v>40646.0</v>
      </c>
      <c r="R4843" s="17">
        <f t="shared" si="2"/>
        <v>2.941160727</v>
      </c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>
        <f t="shared" si="8"/>
        <v>1</v>
      </c>
      <c r="AF4843" s="19" t="b">
        <f t="shared" si="13"/>
        <v>0</v>
      </c>
      <c r="AG4843" s="9"/>
      <c r="AH4843" s="9"/>
      <c r="AI4843" s="9"/>
    </row>
    <row r="4844" ht="15.0" customHeight="1">
      <c r="A4844" s="11">
        <v>4843.0</v>
      </c>
      <c r="B4844" s="12">
        <f t="shared" si="768"/>
        <v>40644</v>
      </c>
      <c r="C4844" s="13">
        <v>2011.0</v>
      </c>
      <c r="D4844" s="11" t="s">
        <v>39</v>
      </c>
      <c r="E4844" s="11">
        <v>8.0</v>
      </c>
      <c r="F4844" s="21" t="s">
        <v>306</v>
      </c>
      <c r="G4844" s="15">
        <v>0.03646991404011464</v>
      </c>
      <c r="H4844" s="11" t="s">
        <v>33</v>
      </c>
      <c r="I4844" s="16">
        <v>8.936</v>
      </c>
      <c r="J4844" s="11" t="s">
        <v>2529</v>
      </c>
      <c r="K4844" s="11" t="s">
        <v>35</v>
      </c>
      <c r="L4844" s="11" t="s">
        <v>36</v>
      </c>
      <c r="M4844" s="11" t="s">
        <v>49</v>
      </c>
      <c r="N4844" s="11" t="s">
        <v>73</v>
      </c>
      <c r="O4844" s="11" t="s">
        <v>125</v>
      </c>
      <c r="P4844" s="11" t="s">
        <v>31</v>
      </c>
      <c r="Q4844" s="20">
        <v>40646.0</v>
      </c>
      <c r="R4844" s="17">
        <f t="shared" si="2"/>
        <v>6.131905467</v>
      </c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>
        <f t="shared" si="8"/>
        <v>2</v>
      </c>
      <c r="AF4844" s="19">
        <f t="shared" si="13"/>
        <v>2</v>
      </c>
      <c r="AG4844" s="9"/>
      <c r="AH4844" s="9"/>
      <c r="AI4844" s="9"/>
    </row>
    <row r="4845" ht="15.0" customHeight="1">
      <c r="A4845" s="11">
        <v>4844.0</v>
      </c>
      <c r="B4845" s="12">
        <f t="shared" si="768"/>
        <v>40644</v>
      </c>
      <c r="C4845" s="13">
        <v>2011.0</v>
      </c>
      <c r="D4845" s="11" t="s">
        <v>39</v>
      </c>
      <c r="E4845" s="11">
        <v>20.0</v>
      </c>
      <c r="F4845" s="21" t="s">
        <v>178</v>
      </c>
      <c r="G4845" s="15">
        <v>0.05914660986865459</v>
      </c>
      <c r="H4845" s="11" t="s">
        <v>24</v>
      </c>
      <c r="I4845" s="16">
        <v>7.192</v>
      </c>
      <c r="J4845" s="11" t="s">
        <v>2529</v>
      </c>
      <c r="K4845" s="11" t="s">
        <v>26</v>
      </c>
      <c r="L4845" s="11" t="s">
        <v>36</v>
      </c>
      <c r="M4845" s="11" t="s">
        <v>66</v>
      </c>
      <c r="N4845" s="11" t="s">
        <v>80</v>
      </c>
      <c r="O4845" s="11" t="s">
        <v>1329</v>
      </c>
      <c r="P4845" s="11" t="s">
        <v>38</v>
      </c>
      <c r="Q4845" s="20">
        <v>40646.0</v>
      </c>
      <c r="R4845" s="17">
        <f t="shared" si="2"/>
        <v>78.38061423</v>
      </c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>
        <f t="shared" si="8"/>
        <v>2</v>
      </c>
      <c r="AF4845" s="19">
        <f t="shared" si="13"/>
        <v>1</v>
      </c>
      <c r="AG4845" s="9"/>
      <c r="AH4845" s="9"/>
      <c r="AI4845" s="9"/>
    </row>
    <row r="4846" ht="15.0" customHeight="1">
      <c r="A4846" s="11">
        <v>4845.0</v>
      </c>
      <c r="B4846" s="12">
        <f t="shared" si="768"/>
        <v>40644</v>
      </c>
      <c r="C4846" s="13">
        <v>2011.0</v>
      </c>
      <c r="D4846" s="11" t="s">
        <v>39</v>
      </c>
      <c r="E4846" s="11">
        <v>19.0</v>
      </c>
      <c r="F4846" s="21" t="s">
        <v>661</v>
      </c>
      <c r="G4846" s="15">
        <v>0.09173682010866326</v>
      </c>
      <c r="H4846" s="11" t="s">
        <v>33</v>
      </c>
      <c r="I4846" s="16">
        <v>4.4</v>
      </c>
      <c r="J4846" s="11" t="s">
        <v>2529</v>
      </c>
      <c r="K4846" s="11" t="s">
        <v>26</v>
      </c>
      <c r="L4846" s="11" t="s">
        <v>36</v>
      </c>
      <c r="M4846" s="11" t="s">
        <v>66</v>
      </c>
      <c r="N4846" s="11" t="s">
        <v>67</v>
      </c>
      <c r="O4846" s="11" t="s">
        <v>663</v>
      </c>
      <c r="P4846" s="11" t="s">
        <v>38</v>
      </c>
      <c r="Q4846" s="20">
        <v>40646.0</v>
      </c>
      <c r="R4846" s="17">
        <f t="shared" si="2"/>
        <v>279.1092752</v>
      </c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>
        <f t="shared" si="8"/>
        <v>2</v>
      </c>
      <c r="AF4846" s="19">
        <f t="shared" si="13"/>
        <v>1</v>
      </c>
      <c r="AG4846" s="9"/>
      <c r="AH4846" s="9"/>
      <c r="AI4846" s="9"/>
    </row>
    <row r="4847" ht="15.0" customHeight="1">
      <c r="A4847" s="11">
        <v>4846.0</v>
      </c>
      <c r="B4847" s="12">
        <f t="shared" si="768"/>
        <v>40644</v>
      </c>
      <c r="C4847" s="13">
        <v>2011.0</v>
      </c>
      <c r="D4847" s="11" t="s">
        <v>39</v>
      </c>
      <c r="E4847" s="11">
        <v>36.0</v>
      </c>
      <c r="F4847" s="21" t="s">
        <v>158</v>
      </c>
      <c r="G4847" s="15">
        <v>0.10824943651389923</v>
      </c>
      <c r="H4847" s="11" t="s">
        <v>33</v>
      </c>
      <c r="I4847" s="16">
        <v>6.984000000000001</v>
      </c>
      <c r="J4847" s="11" t="s">
        <v>2529</v>
      </c>
      <c r="K4847" s="11" t="s">
        <v>26</v>
      </c>
      <c r="L4847" s="11" t="s">
        <v>36</v>
      </c>
      <c r="M4847" s="11" t="s">
        <v>28</v>
      </c>
      <c r="N4847" s="11" t="s">
        <v>56</v>
      </c>
      <c r="O4847" s="11" t="s">
        <v>160</v>
      </c>
      <c r="P4847" s="11" t="s">
        <v>38</v>
      </c>
      <c r="Q4847" s="20">
        <v>40646.0</v>
      </c>
      <c r="R4847" s="17">
        <f t="shared" si="2"/>
        <v>25.69668424</v>
      </c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>
        <f t="shared" si="8"/>
        <v>2</v>
      </c>
      <c r="AF4847" s="19">
        <f t="shared" si="13"/>
        <v>1</v>
      </c>
      <c r="AG4847" s="9"/>
      <c r="AH4847" s="9"/>
      <c r="AI4847" s="9"/>
    </row>
    <row r="4848" ht="15.0" customHeight="1">
      <c r="A4848" s="11">
        <v>4847.0</v>
      </c>
      <c r="B4848" s="12">
        <f t="shared" si="768"/>
        <v>40644</v>
      </c>
      <c r="C4848" s="13">
        <v>2011.0</v>
      </c>
      <c r="D4848" s="11" t="s">
        <v>32</v>
      </c>
      <c r="E4848" s="11">
        <v>26.0</v>
      </c>
      <c r="F4848" s="21" t="s">
        <v>319</v>
      </c>
      <c r="G4848" s="15">
        <v>0.10203883495145649</v>
      </c>
      <c r="H4848" s="11" t="s">
        <v>33</v>
      </c>
      <c r="I4848" s="16">
        <v>1.192</v>
      </c>
      <c r="J4848" s="11" t="s">
        <v>878</v>
      </c>
      <c r="K4848" s="11" t="s">
        <v>61</v>
      </c>
      <c r="L4848" s="11" t="s">
        <v>48</v>
      </c>
      <c r="M4848" s="11" t="s">
        <v>28</v>
      </c>
      <c r="N4848" s="11" t="s">
        <v>42</v>
      </c>
      <c r="O4848" s="11" t="s">
        <v>1503</v>
      </c>
      <c r="P4848" s="11" t="s">
        <v>38</v>
      </c>
      <c r="Q4848" s="20">
        <v>40646.0</v>
      </c>
      <c r="R4848" s="17">
        <f t="shared" si="2"/>
        <v>7.550057476</v>
      </c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>
        <f t="shared" si="8"/>
        <v>4</v>
      </c>
      <c r="AF4848" s="19">
        <f t="shared" si="13"/>
        <v>4</v>
      </c>
      <c r="AG4848" s="9"/>
      <c r="AH4848" s="9"/>
      <c r="AI4848" s="9"/>
    </row>
    <row r="4849" ht="15.0" customHeight="1">
      <c r="A4849" s="11">
        <v>4848.0</v>
      </c>
      <c r="B4849" s="12">
        <f t="shared" si="768"/>
        <v>40644</v>
      </c>
      <c r="C4849" s="13">
        <v>2011.0</v>
      </c>
      <c r="D4849" s="11" t="s">
        <v>32</v>
      </c>
      <c r="E4849" s="11">
        <v>41.0</v>
      </c>
      <c r="F4849" s="21" t="s">
        <v>1071</v>
      </c>
      <c r="G4849" s="15">
        <v>0.07992425198838529</v>
      </c>
      <c r="H4849" s="11" t="s">
        <v>33</v>
      </c>
      <c r="I4849" s="16">
        <v>7.192</v>
      </c>
      <c r="J4849" s="11" t="s">
        <v>1021</v>
      </c>
      <c r="K4849" s="11" t="s">
        <v>61</v>
      </c>
      <c r="L4849" s="11" t="s">
        <v>27</v>
      </c>
      <c r="M4849" s="11" t="s">
        <v>49</v>
      </c>
      <c r="N4849" s="11" t="s">
        <v>73</v>
      </c>
      <c r="O4849" s="11" t="s">
        <v>1073</v>
      </c>
      <c r="P4849" s="11" t="s">
        <v>99</v>
      </c>
      <c r="Q4849" s="20">
        <v>40646.0</v>
      </c>
      <c r="R4849" s="17">
        <f t="shared" si="2"/>
        <v>58.24815546</v>
      </c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>
        <f t="shared" si="8"/>
        <v>1</v>
      </c>
      <c r="AF4849" s="19">
        <f t="shared" si="13"/>
        <v>4</v>
      </c>
      <c r="AG4849" s="9"/>
      <c r="AH4849" s="9"/>
      <c r="AI4849" s="9"/>
    </row>
    <row r="4850" ht="15.0" customHeight="1">
      <c r="A4850" s="11">
        <v>4849.0</v>
      </c>
      <c r="B4850" s="12">
        <f t="shared" si="768"/>
        <v>40644</v>
      </c>
      <c r="C4850" s="13">
        <v>2011.0</v>
      </c>
      <c r="D4850" s="11" t="s">
        <v>39</v>
      </c>
      <c r="E4850" s="11">
        <v>49.0</v>
      </c>
      <c r="F4850" s="21" t="s">
        <v>1091</v>
      </c>
      <c r="G4850" s="15">
        <v>0.020097076419460406</v>
      </c>
      <c r="H4850" s="11" t="s">
        <v>33</v>
      </c>
      <c r="I4850" s="16">
        <v>1.592</v>
      </c>
      <c r="J4850" s="11" t="s">
        <v>1915</v>
      </c>
      <c r="K4850" s="11" t="s">
        <v>61</v>
      </c>
      <c r="L4850" s="11" t="s">
        <v>27</v>
      </c>
      <c r="M4850" s="11" t="s">
        <v>66</v>
      </c>
      <c r="N4850" s="11" t="s">
        <v>67</v>
      </c>
      <c r="O4850" s="11" t="s">
        <v>1200</v>
      </c>
      <c r="P4850" s="11" t="s">
        <v>99</v>
      </c>
      <c r="Q4850" s="20">
        <v>40647.0</v>
      </c>
      <c r="R4850" s="17">
        <f t="shared" si="2"/>
        <v>34.8923833</v>
      </c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>
        <f t="shared" si="8"/>
        <v>1</v>
      </c>
      <c r="AF4850" s="19">
        <f t="shared" si="13"/>
        <v>4</v>
      </c>
      <c r="AG4850" s="9"/>
      <c r="AH4850" s="9"/>
      <c r="AI4850" s="9"/>
    </row>
    <row r="4851" ht="15.0" customHeight="1">
      <c r="A4851" s="11">
        <v>4850.0</v>
      </c>
      <c r="B4851" s="12">
        <f t="shared" si="768"/>
        <v>40644</v>
      </c>
      <c r="C4851" s="13">
        <v>2011.0</v>
      </c>
      <c r="D4851" s="11" t="s">
        <v>39</v>
      </c>
      <c r="E4851" s="11">
        <v>25.0</v>
      </c>
      <c r="F4851" s="21" t="s">
        <v>2363</v>
      </c>
      <c r="G4851" s="15">
        <v>0.012362095957270445</v>
      </c>
      <c r="H4851" s="11" t="s">
        <v>33</v>
      </c>
      <c r="I4851" s="16">
        <v>4.976</v>
      </c>
      <c r="J4851" s="11" t="s">
        <v>1915</v>
      </c>
      <c r="K4851" s="11" t="s">
        <v>61</v>
      </c>
      <c r="L4851" s="11" t="s">
        <v>27</v>
      </c>
      <c r="M4851" s="11" t="s">
        <v>28</v>
      </c>
      <c r="N4851" s="11" t="s">
        <v>29</v>
      </c>
      <c r="O4851" s="11" t="s">
        <v>2364</v>
      </c>
      <c r="P4851" s="11" t="s">
        <v>38</v>
      </c>
      <c r="Q4851" s="20">
        <v>40647.0</v>
      </c>
      <c r="R4851" s="17">
        <f t="shared" si="2"/>
        <v>13.25805122</v>
      </c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>
        <f t="shared" si="8"/>
        <v>1</v>
      </c>
      <c r="AF4851" s="19">
        <f t="shared" si="13"/>
        <v>4</v>
      </c>
      <c r="AG4851" s="9"/>
      <c r="AH4851" s="9"/>
      <c r="AI4851" s="9"/>
    </row>
    <row r="4852" ht="15.0" customHeight="1">
      <c r="A4852" s="11">
        <v>4851.0</v>
      </c>
      <c r="B4852" s="12">
        <f t="shared" ref="B4852:B4854" si="769">DATE(2012,12,31)-629</f>
        <v>40645</v>
      </c>
      <c r="C4852" s="13">
        <v>2011.0</v>
      </c>
      <c r="D4852" s="11" t="s">
        <v>102</v>
      </c>
      <c r="E4852" s="11">
        <v>4.0</v>
      </c>
      <c r="F4852" s="21" t="s">
        <v>328</v>
      </c>
      <c r="G4852" s="15">
        <v>0.022983702465524444</v>
      </c>
      <c r="H4852" s="11" t="s">
        <v>45</v>
      </c>
      <c r="I4852" s="16">
        <v>24.0</v>
      </c>
      <c r="J4852" s="11" t="s">
        <v>1112</v>
      </c>
      <c r="K4852" s="11" t="s">
        <v>35</v>
      </c>
      <c r="L4852" s="11" t="s">
        <v>27</v>
      </c>
      <c r="M4852" s="11" t="s">
        <v>49</v>
      </c>
      <c r="N4852" s="11" t="s">
        <v>50</v>
      </c>
      <c r="O4852" s="11" t="s">
        <v>2458</v>
      </c>
      <c r="P4852" s="11" t="s">
        <v>52</v>
      </c>
      <c r="Q4852" s="20">
        <v>40647.0</v>
      </c>
      <c r="R4852" s="17">
        <f t="shared" si="2"/>
        <v>10.74717927</v>
      </c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>
        <f t="shared" si="8"/>
        <v>1</v>
      </c>
      <c r="AF4852" s="19">
        <f t="shared" si="13"/>
        <v>2</v>
      </c>
      <c r="AG4852" s="9"/>
      <c r="AH4852" s="9"/>
      <c r="AI4852" s="9"/>
    </row>
    <row r="4853" ht="15.0" customHeight="1">
      <c r="A4853" s="11">
        <v>4852.0</v>
      </c>
      <c r="B4853" s="12">
        <f t="shared" si="769"/>
        <v>40645</v>
      </c>
      <c r="C4853" s="13">
        <v>2011.0</v>
      </c>
      <c r="D4853" s="11" t="s">
        <v>102</v>
      </c>
      <c r="E4853" s="11">
        <v>50.0</v>
      </c>
      <c r="F4853" s="21" t="s">
        <v>122</v>
      </c>
      <c r="G4853" s="15">
        <v>0.06992187499999998</v>
      </c>
      <c r="H4853" s="11" t="s">
        <v>33</v>
      </c>
      <c r="I4853" s="16">
        <v>2.64</v>
      </c>
      <c r="J4853" s="11" t="s">
        <v>1112</v>
      </c>
      <c r="K4853" s="11" t="s">
        <v>35</v>
      </c>
      <c r="L4853" s="11" t="s">
        <v>27</v>
      </c>
      <c r="M4853" s="11" t="s">
        <v>66</v>
      </c>
      <c r="N4853" s="11" t="s">
        <v>80</v>
      </c>
      <c r="O4853" s="11" t="s">
        <v>848</v>
      </c>
      <c r="P4853" s="11" t="s">
        <v>99</v>
      </c>
      <c r="Q4853" s="20">
        <v>40647.0</v>
      </c>
      <c r="R4853" s="17">
        <f t="shared" si="2"/>
        <v>73.25295313</v>
      </c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>
        <f t="shared" si="8"/>
        <v>1</v>
      </c>
      <c r="AF4853" s="19">
        <f t="shared" si="13"/>
        <v>2</v>
      </c>
      <c r="AG4853" s="9"/>
      <c r="AH4853" s="9"/>
      <c r="AI4853" s="9"/>
    </row>
    <row r="4854" ht="15.0" customHeight="1">
      <c r="A4854" s="11">
        <v>4853.0</v>
      </c>
      <c r="B4854" s="12">
        <f t="shared" si="769"/>
        <v>40645</v>
      </c>
      <c r="C4854" s="13">
        <v>2011.0</v>
      </c>
      <c r="D4854" s="11" t="s">
        <v>23</v>
      </c>
      <c r="E4854" s="11">
        <v>40.0</v>
      </c>
      <c r="F4854" s="21" t="s">
        <v>290</v>
      </c>
      <c r="G4854" s="15">
        <v>0.09633980073413732</v>
      </c>
      <c r="H4854" s="11" t="s">
        <v>33</v>
      </c>
      <c r="I4854" s="16">
        <v>4.328</v>
      </c>
      <c r="J4854" s="11" t="s">
        <v>608</v>
      </c>
      <c r="K4854" s="11" t="s">
        <v>35</v>
      </c>
      <c r="L4854" s="11" t="s">
        <v>27</v>
      </c>
      <c r="M4854" s="11" t="s">
        <v>28</v>
      </c>
      <c r="N4854" s="11" t="s">
        <v>42</v>
      </c>
      <c r="O4854" s="11" t="s">
        <v>1475</v>
      </c>
      <c r="P4854" s="11" t="s">
        <v>38</v>
      </c>
      <c r="Q4854" s="20">
        <v>40648.0</v>
      </c>
      <c r="R4854" s="17">
        <f t="shared" si="2"/>
        <v>16.60204518</v>
      </c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>
        <f t="shared" si="8"/>
        <v>1</v>
      </c>
      <c r="AF4854" s="19">
        <f t="shared" si="13"/>
        <v>2</v>
      </c>
      <c r="AG4854" s="9"/>
      <c r="AH4854" s="9"/>
      <c r="AI4854" s="9"/>
    </row>
    <row r="4855" ht="15.0" customHeight="1">
      <c r="A4855" s="11">
        <v>4854.0</v>
      </c>
      <c r="B4855" s="12">
        <f t="shared" ref="B4855:B4859" si="770">DATE(2012,12,31)-628</f>
        <v>40646</v>
      </c>
      <c r="C4855" s="13">
        <v>2011.0</v>
      </c>
      <c r="D4855" s="11" t="s">
        <v>23</v>
      </c>
      <c r="E4855" s="11">
        <v>41.0</v>
      </c>
      <c r="F4855" s="21" t="s">
        <v>319</v>
      </c>
      <c r="G4855" s="15">
        <v>0.03759398496240601</v>
      </c>
      <c r="H4855" s="11" t="s">
        <v>33</v>
      </c>
      <c r="I4855" s="16">
        <v>0.4</v>
      </c>
      <c r="J4855" s="11" t="s">
        <v>1440</v>
      </c>
      <c r="K4855" s="11" t="s">
        <v>26</v>
      </c>
      <c r="L4855" s="11" t="s">
        <v>27</v>
      </c>
      <c r="M4855" s="11" t="s">
        <v>28</v>
      </c>
      <c r="N4855" s="11" t="s">
        <v>188</v>
      </c>
      <c r="O4855" s="11" t="s">
        <v>901</v>
      </c>
      <c r="P4855" s="11" t="s">
        <v>38</v>
      </c>
      <c r="Q4855" s="20">
        <v>40648.0</v>
      </c>
      <c r="R4855" s="17">
        <f t="shared" si="2"/>
        <v>4.330827068</v>
      </c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>
        <f t="shared" si="8"/>
        <v>1</v>
      </c>
      <c r="AF4855" s="19">
        <f t="shared" si="13"/>
        <v>1</v>
      </c>
      <c r="AG4855" s="9"/>
      <c r="AH4855" s="9"/>
      <c r="AI4855" s="9"/>
    </row>
    <row r="4856" ht="15.0" customHeight="1">
      <c r="A4856" s="11">
        <v>4855.0</v>
      </c>
      <c r="B4856" s="12">
        <f t="shared" si="770"/>
        <v>40646</v>
      </c>
      <c r="C4856" s="13">
        <v>2011.0</v>
      </c>
      <c r="D4856" s="11" t="s">
        <v>39</v>
      </c>
      <c r="E4856" s="11">
        <v>43.0</v>
      </c>
      <c r="F4856" s="21" t="s">
        <v>486</v>
      </c>
      <c r="G4856" s="15">
        <v>0.09245237130117549</v>
      </c>
      <c r="H4856" s="11" t="s">
        <v>33</v>
      </c>
      <c r="I4856" s="16">
        <v>4.5920000000000005</v>
      </c>
      <c r="J4856" s="11" t="s">
        <v>1648</v>
      </c>
      <c r="K4856" s="11" t="s">
        <v>35</v>
      </c>
      <c r="L4856" s="11" t="s">
        <v>27</v>
      </c>
      <c r="M4856" s="11" t="s">
        <v>28</v>
      </c>
      <c r="N4856" s="11" t="s">
        <v>42</v>
      </c>
      <c r="O4856" s="11" t="s">
        <v>487</v>
      </c>
      <c r="P4856" s="11" t="s">
        <v>38</v>
      </c>
      <c r="Q4856" s="20">
        <v>40648.0</v>
      </c>
      <c r="R4856" s="17">
        <f t="shared" si="2"/>
        <v>20.69934632</v>
      </c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>
        <f t="shared" si="8"/>
        <v>1</v>
      </c>
      <c r="AF4856" s="19">
        <f t="shared" si="13"/>
        <v>2</v>
      </c>
      <c r="AG4856" s="9"/>
      <c r="AH4856" s="9"/>
      <c r="AI4856" s="9"/>
    </row>
    <row r="4857" ht="15.0" customHeight="1">
      <c r="A4857" s="11">
        <v>4856.0</v>
      </c>
      <c r="B4857" s="12">
        <f t="shared" si="770"/>
        <v>40646</v>
      </c>
      <c r="C4857" s="13">
        <v>2011.0</v>
      </c>
      <c r="D4857" s="11" t="s">
        <v>39</v>
      </c>
      <c r="E4857" s="11">
        <v>19.0</v>
      </c>
      <c r="F4857" s="21" t="s">
        <v>705</v>
      </c>
      <c r="G4857" s="15">
        <v>0.05129852744310586</v>
      </c>
      <c r="H4857" s="11" t="s">
        <v>33</v>
      </c>
      <c r="I4857" s="16">
        <v>0.568</v>
      </c>
      <c r="J4857" s="11" t="s">
        <v>898</v>
      </c>
      <c r="K4857" s="11" t="s">
        <v>35</v>
      </c>
      <c r="L4857" s="11" t="s">
        <v>48</v>
      </c>
      <c r="M4857" s="11" t="s">
        <v>28</v>
      </c>
      <c r="N4857" s="11" t="s">
        <v>216</v>
      </c>
      <c r="O4857" s="11" t="s">
        <v>2032</v>
      </c>
      <c r="P4857" s="11" t="s">
        <v>58</v>
      </c>
      <c r="Q4857" s="20">
        <v>40648.0</v>
      </c>
      <c r="R4857" s="17">
        <f t="shared" si="2"/>
        <v>3.635424043</v>
      </c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>
        <f t="shared" si="8"/>
        <v>4</v>
      </c>
      <c r="AF4857" s="19">
        <f t="shared" si="13"/>
        <v>2</v>
      </c>
      <c r="AG4857" s="9"/>
      <c r="AH4857" s="9"/>
      <c r="AI4857" s="9"/>
    </row>
    <row r="4858" ht="15.0" customHeight="1">
      <c r="A4858" s="11">
        <v>4857.0</v>
      </c>
      <c r="B4858" s="12">
        <f t="shared" si="770"/>
        <v>40646</v>
      </c>
      <c r="C4858" s="13">
        <v>2011.0</v>
      </c>
      <c r="D4858" s="11" t="s">
        <v>44</v>
      </c>
      <c r="E4858" s="11">
        <v>22.0</v>
      </c>
      <c r="F4858" s="21" t="s">
        <v>666</v>
      </c>
      <c r="G4858" s="15">
        <v>0.07633986928104586</v>
      </c>
      <c r="H4858" s="11" t="s">
        <v>33</v>
      </c>
      <c r="I4858" s="16">
        <v>1.192</v>
      </c>
      <c r="J4858" s="11" t="s">
        <v>2527</v>
      </c>
      <c r="K4858" s="11" t="s">
        <v>61</v>
      </c>
      <c r="L4858" s="11" t="s">
        <v>36</v>
      </c>
      <c r="M4858" s="11" t="s">
        <v>28</v>
      </c>
      <c r="N4858" s="11" t="s">
        <v>42</v>
      </c>
      <c r="O4858" s="11" t="s">
        <v>667</v>
      </c>
      <c r="P4858" s="11" t="s">
        <v>38</v>
      </c>
      <c r="Q4858" s="20">
        <v>40648.0</v>
      </c>
      <c r="R4858" s="17">
        <f t="shared" si="2"/>
        <v>6.473010196</v>
      </c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>
        <f t="shared" si="8"/>
        <v>2</v>
      </c>
      <c r="AF4858" s="19">
        <f t="shared" si="13"/>
        <v>4</v>
      </c>
      <c r="AG4858" s="9"/>
      <c r="AH4858" s="9"/>
      <c r="AI4858" s="9"/>
    </row>
    <row r="4859" ht="15.0" customHeight="1">
      <c r="A4859" s="11">
        <v>4858.0</v>
      </c>
      <c r="B4859" s="12">
        <f t="shared" si="770"/>
        <v>40646</v>
      </c>
      <c r="C4859" s="13">
        <v>2011.0</v>
      </c>
      <c r="D4859" s="11" t="s">
        <v>44</v>
      </c>
      <c r="E4859" s="11">
        <v>35.0</v>
      </c>
      <c r="F4859" s="21" t="s">
        <v>740</v>
      </c>
      <c r="G4859" s="15">
        <v>0.039882063703744024</v>
      </c>
      <c r="H4859" s="11" t="s">
        <v>45</v>
      </c>
      <c r="I4859" s="16">
        <v>51.784000000000006</v>
      </c>
      <c r="J4859" s="11" t="s">
        <v>2527</v>
      </c>
      <c r="K4859" s="11" t="s">
        <v>61</v>
      </c>
      <c r="L4859" s="11" t="s">
        <v>36</v>
      </c>
      <c r="M4859" s="11" t="s">
        <v>49</v>
      </c>
      <c r="N4859" s="11" t="s">
        <v>50</v>
      </c>
      <c r="O4859" s="11" t="s">
        <v>742</v>
      </c>
      <c r="P4859" s="11" t="s">
        <v>52</v>
      </c>
      <c r="Q4859" s="20">
        <v>40649.0</v>
      </c>
      <c r="R4859" s="17">
        <f t="shared" si="2"/>
        <v>422.0832067</v>
      </c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>
        <f t="shared" si="8"/>
        <v>2</v>
      </c>
      <c r="AF4859" s="19">
        <f t="shared" si="13"/>
        <v>4</v>
      </c>
      <c r="AG4859" s="9"/>
      <c r="AH4859" s="9"/>
      <c r="AI4859" s="9"/>
    </row>
    <row r="4860" ht="15.0" customHeight="1">
      <c r="A4860" s="11">
        <v>4859.0</v>
      </c>
      <c r="B4860" s="12">
        <f>DATE(2012,12,31)-627</f>
        <v>40647</v>
      </c>
      <c r="C4860" s="13">
        <v>2011.0</v>
      </c>
      <c r="D4860" s="11" t="s">
        <v>102</v>
      </c>
      <c r="E4860" s="11">
        <v>36.0</v>
      </c>
      <c r="F4860" s="21" t="s">
        <v>1207</v>
      </c>
      <c r="G4860" s="15">
        <v>0.09282711864406772</v>
      </c>
      <c r="H4860" s="11" t="s">
        <v>45</v>
      </c>
      <c r="I4860" s="16">
        <v>44.19200000000001</v>
      </c>
      <c r="J4860" s="11" t="s">
        <v>1103</v>
      </c>
      <c r="K4860" s="11" t="s">
        <v>83</v>
      </c>
      <c r="L4860" s="11" t="s">
        <v>41</v>
      </c>
      <c r="M4860" s="11" t="s">
        <v>28</v>
      </c>
      <c r="N4860" s="11" t="s">
        <v>197</v>
      </c>
      <c r="O4860" s="11" t="s">
        <v>2133</v>
      </c>
      <c r="P4860" s="11" t="s">
        <v>52</v>
      </c>
      <c r="Q4860" s="20">
        <v>40649.0</v>
      </c>
      <c r="R4860" s="17">
        <f t="shared" si="2"/>
        <v>608.6295435</v>
      </c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>
        <f t="shared" si="8"/>
        <v>3</v>
      </c>
      <c r="AF4860" s="19" t="b">
        <f t="shared" si="13"/>
        <v>0</v>
      </c>
      <c r="AG4860" s="9"/>
      <c r="AH4860" s="9"/>
      <c r="AI4860" s="9"/>
    </row>
    <row r="4861" ht="15.0" customHeight="1">
      <c r="A4861" s="11">
        <v>4860.0</v>
      </c>
      <c r="B4861" s="12">
        <f t="shared" ref="B4861:B4867" si="771">DATE(2012,12,31)-626</f>
        <v>40648</v>
      </c>
      <c r="C4861" s="13">
        <v>2011.0</v>
      </c>
      <c r="D4861" s="11" t="s">
        <v>44</v>
      </c>
      <c r="E4861" s="11">
        <v>49.0</v>
      </c>
      <c r="F4861" s="21" t="s">
        <v>325</v>
      </c>
      <c r="G4861" s="15">
        <v>0.012371134020618537</v>
      </c>
      <c r="H4861" s="11" t="s">
        <v>33</v>
      </c>
      <c r="I4861" s="16">
        <v>1.8800000000000001</v>
      </c>
      <c r="J4861" s="11" t="s">
        <v>282</v>
      </c>
      <c r="K4861" s="11" t="s">
        <v>65</v>
      </c>
      <c r="L4861" s="11" t="s">
        <v>41</v>
      </c>
      <c r="M4861" s="11" t="s">
        <v>28</v>
      </c>
      <c r="N4861" s="11" t="s">
        <v>62</v>
      </c>
      <c r="O4861" s="11" t="s">
        <v>1113</v>
      </c>
      <c r="P4861" s="11" t="s">
        <v>58</v>
      </c>
      <c r="Q4861" s="20">
        <v>40649.0</v>
      </c>
      <c r="R4861" s="17">
        <f t="shared" si="2"/>
        <v>4.266556701</v>
      </c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>
        <f t="shared" si="8"/>
        <v>3</v>
      </c>
      <c r="AF4861" s="19">
        <f t="shared" si="13"/>
        <v>5</v>
      </c>
      <c r="AG4861" s="9"/>
      <c r="AH4861" s="9"/>
      <c r="AI4861" s="9"/>
    </row>
    <row r="4862" ht="15.0" customHeight="1">
      <c r="A4862" s="11">
        <v>4861.0</v>
      </c>
      <c r="B4862" s="12">
        <f t="shared" si="771"/>
        <v>40648</v>
      </c>
      <c r="C4862" s="13">
        <v>2011.0</v>
      </c>
      <c r="D4862" s="11" t="s">
        <v>44</v>
      </c>
      <c r="E4862" s="11">
        <v>48.0</v>
      </c>
      <c r="F4862" s="21" t="s">
        <v>1416</v>
      </c>
      <c r="G4862" s="15">
        <v>0.035755115873523105</v>
      </c>
      <c r="H4862" s="11" t="s">
        <v>45</v>
      </c>
      <c r="I4862" s="16">
        <v>41.536</v>
      </c>
      <c r="J4862" s="11" t="s">
        <v>282</v>
      </c>
      <c r="K4862" s="11" t="s">
        <v>65</v>
      </c>
      <c r="L4862" s="11" t="s">
        <v>41</v>
      </c>
      <c r="M4862" s="11" t="s">
        <v>49</v>
      </c>
      <c r="N4862" s="11" t="s">
        <v>85</v>
      </c>
      <c r="O4862" s="11" t="s">
        <v>1418</v>
      </c>
      <c r="P4862" s="11" t="s">
        <v>87</v>
      </c>
      <c r="Q4862" s="20">
        <v>40649.0</v>
      </c>
      <c r="R4862" s="17">
        <f t="shared" si="2"/>
        <v>251.885352</v>
      </c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>
        <f t="shared" si="8"/>
        <v>3</v>
      </c>
      <c r="AF4862" s="19">
        <f t="shared" si="13"/>
        <v>5</v>
      </c>
      <c r="AG4862" s="9"/>
      <c r="AH4862" s="9"/>
      <c r="AI4862" s="9"/>
    </row>
    <row r="4863" ht="15.0" customHeight="1">
      <c r="A4863" s="11">
        <v>4862.0</v>
      </c>
      <c r="B4863" s="12">
        <f t="shared" si="771"/>
        <v>40648</v>
      </c>
      <c r="C4863" s="13">
        <v>2011.0</v>
      </c>
      <c r="D4863" s="11" t="s">
        <v>102</v>
      </c>
      <c r="E4863" s="11">
        <v>17.0</v>
      </c>
      <c r="F4863" s="21" t="s">
        <v>144</v>
      </c>
      <c r="G4863" s="15">
        <v>0.08434343434343425</v>
      </c>
      <c r="H4863" s="11" t="s">
        <v>33</v>
      </c>
      <c r="I4863" s="16">
        <v>0.5599999999999999</v>
      </c>
      <c r="J4863" s="11" t="s">
        <v>1056</v>
      </c>
      <c r="K4863" s="11" t="s">
        <v>65</v>
      </c>
      <c r="L4863" s="11" t="s">
        <v>48</v>
      </c>
      <c r="M4863" s="11" t="s">
        <v>28</v>
      </c>
      <c r="N4863" s="11" t="s">
        <v>62</v>
      </c>
      <c r="O4863" s="11" t="s">
        <v>146</v>
      </c>
      <c r="P4863" s="11" t="s">
        <v>58</v>
      </c>
      <c r="Q4863" s="20">
        <v>40649.0</v>
      </c>
      <c r="R4863" s="17">
        <f t="shared" si="2"/>
        <v>3.058292929</v>
      </c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>
        <f t="shared" si="8"/>
        <v>4</v>
      </c>
      <c r="AF4863" s="19">
        <f t="shared" si="13"/>
        <v>5</v>
      </c>
      <c r="AG4863" s="9"/>
      <c r="AH4863" s="9"/>
      <c r="AI4863" s="9"/>
    </row>
    <row r="4864" ht="15.0" customHeight="1">
      <c r="A4864" s="11">
        <v>4863.0</v>
      </c>
      <c r="B4864" s="12">
        <f t="shared" si="771"/>
        <v>40648</v>
      </c>
      <c r="C4864" s="13">
        <v>2011.0</v>
      </c>
      <c r="D4864" s="11" t="s">
        <v>23</v>
      </c>
      <c r="E4864" s="11">
        <v>46.0</v>
      </c>
      <c r="F4864" s="21" t="s">
        <v>1273</v>
      </c>
      <c r="G4864" s="15">
        <v>0.08700203252032528</v>
      </c>
      <c r="H4864" s="11" t="s">
        <v>33</v>
      </c>
      <c r="I4864" s="16">
        <v>1.1119999999999999</v>
      </c>
      <c r="J4864" s="11" t="s">
        <v>1950</v>
      </c>
      <c r="K4864" s="11" t="s">
        <v>65</v>
      </c>
      <c r="L4864" s="11" t="s">
        <v>36</v>
      </c>
      <c r="M4864" s="11" t="s">
        <v>28</v>
      </c>
      <c r="N4864" s="11" t="s">
        <v>236</v>
      </c>
      <c r="O4864" s="11" t="s">
        <v>1274</v>
      </c>
      <c r="P4864" s="11" t="s">
        <v>38</v>
      </c>
      <c r="Q4864" s="20">
        <v>40649.0</v>
      </c>
      <c r="R4864" s="17">
        <f t="shared" si="2"/>
        <v>62.5294048</v>
      </c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>
        <f t="shared" si="8"/>
        <v>2</v>
      </c>
      <c r="AF4864" s="19">
        <f t="shared" si="13"/>
        <v>5</v>
      </c>
      <c r="AG4864" s="9"/>
      <c r="AH4864" s="9"/>
      <c r="AI4864" s="9"/>
    </row>
    <row r="4865" ht="15.0" customHeight="1">
      <c r="A4865" s="11">
        <v>4864.0</v>
      </c>
      <c r="B4865" s="12">
        <f t="shared" si="771"/>
        <v>40648</v>
      </c>
      <c r="C4865" s="13">
        <v>2011.0</v>
      </c>
      <c r="D4865" s="11" t="s">
        <v>23</v>
      </c>
      <c r="E4865" s="11">
        <v>21.0</v>
      </c>
      <c r="F4865" s="21" t="s">
        <v>319</v>
      </c>
      <c r="G4865" s="15">
        <v>0.028477905073649785</v>
      </c>
      <c r="H4865" s="11" t="s">
        <v>33</v>
      </c>
      <c r="I4865" s="16">
        <v>0.5599999999999999</v>
      </c>
      <c r="J4865" s="11" t="s">
        <v>1950</v>
      </c>
      <c r="K4865" s="11" t="s">
        <v>65</v>
      </c>
      <c r="L4865" s="11" t="s">
        <v>36</v>
      </c>
      <c r="M4865" s="11" t="s">
        <v>28</v>
      </c>
      <c r="N4865" s="11" t="s">
        <v>62</v>
      </c>
      <c r="O4865" s="11" t="s">
        <v>383</v>
      </c>
      <c r="P4865" s="11" t="s">
        <v>58</v>
      </c>
      <c r="Q4865" s="20">
        <v>40650.0</v>
      </c>
      <c r="R4865" s="17">
        <f t="shared" si="2"/>
        <v>1.690448445</v>
      </c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>
        <f t="shared" si="8"/>
        <v>2</v>
      </c>
      <c r="AF4865" s="19">
        <f t="shared" si="13"/>
        <v>5</v>
      </c>
      <c r="AG4865" s="9"/>
      <c r="AH4865" s="9"/>
      <c r="AI4865" s="9"/>
    </row>
    <row r="4866" ht="15.0" customHeight="1">
      <c r="A4866" s="11">
        <v>4865.0</v>
      </c>
      <c r="B4866" s="12">
        <f t="shared" si="771"/>
        <v>40648</v>
      </c>
      <c r="C4866" s="13">
        <v>2011.0</v>
      </c>
      <c r="D4866" s="11" t="s">
        <v>39</v>
      </c>
      <c r="E4866" s="11">
        <v>22.0</v>
      </c>
      <c r="F4866" s="21" t="s">
        <v>1592</v>
      </c>
      <c r="G4866" s="15">
        <v>0.011636450790063969</v>
      </c>
      <c r="H4866" s="11" t="s">
        <v>45</v>
      </c>
      <c r="I4866" s="16">
        <v>33.528</v>
      </c>
      <c r="J4866" s="11" t="s">
        <v>1827</v>
      </c>
      <c r="K4866" s="11" t="s">
        <v>117</v>
      </c>
      <c r="L4866" s="11" t="s">
        <v>27</v>
      </c>
      <c r="M4866" s="11" t="s">
        <v>49</v>
      </c>
      <c r="N4866" s="11" t="s">
        <v>156</v>
      </c>
      <c r="O4866" s="11" t="s">
        <v>1593</v>
      </c>
      <c r="P4866" s="11" t="s">
        <v>87</v>
      </c>
      <c r="Q4866" s="20">
        <v>40650.0</v>
      </c>
      <c r="R4866" s="17">
        <f t="shared" si="2"/>
        <v>67.18104717</v>
      </c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>
        <f t="shared" si="8"/>
        <v>1</v>
      </c>
      <c r="AF4866" s="19" t="b">
        <f t="shared" si="13"/>
        <v>0</v>
      </c>
      <c r="AG4866" s="9"/>
      <c r="AH4866" s="9"/>
      <c r="AI4866" s="9"/>
    </row>
    <row r="4867" ht="15.0" customHeight="1">
      <c r="A4867" s="11">
        <v>4866.0</v>
      </c>
      <c r="B4867" s="12">
        <f t="shared" si="771"/>
        <v>40648</v>
      </c>
      <c r="C4867" s="13">
        <v>2011.0</v>
      </c>
      <c r="D4867" s="11" t="s">
        <v>32</v>
      </c>
      <c r="E4867" s="11">
        <v>4.0</v>
      </c>
      <c r="F4867" s="21" t="s">
        <v>158</v>
      </c>
      <c r="G4867" s="15">
        <v>0.11696793002915433</v>
      </c>
      <c r="H4867" s="11" t="s">
        <v>33</v>
      </c>
      <c r="I4867" s="16">
        <v>4.688000000000001</v>
      </c>
      <c r="J4867" s="11" t="s">
        <v>1906</v>
      </c>
      <c r="K4867" s="11" t="s">
        <v>61</v>
      </c>
      <c r="L4867" s="11" t="s">
        <v>41</v>
      </c>
      <c r="M4867" s="11" t="s">
        <v>28</v>
      </c>
      <c r="N4867" s="11" t="s">
        <v>56</v>
      </c>
      <c r="O4867" s="11" t="s">
        <v>2530</v>
      </c>
      <c r="P4867" s="11" t="s">
        <v>38</v>
      </c>
      <c r="Q4867" s="20">
        <v>40650.0</v>
      </c>
      <c r="R4867" s="17">
        <f t="shared" si="2"/>
        <v>3.542724665</v>
      </c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>
        <f t="shared" si="8"/>
        <v>3</v>
      </c>
      <c r="AF4867" s="19">
        <f t="shared" si="13"/>
        <v>4</v>
      </c>
      <c r="AG4867" s="9"/>
      <c r="AH4867" s="9"/>
      <c r="AI4867" s="9"/>
    </row>
    <row r="4868" ht="15.0" customHeight="1">
      <c r="A4868" s="11">
        <v>4867.0</v>
      </c>
      <c r="B4868" s="12">
        <f t="shared" ref="B4868:B4873" si="772">DATE(2012,12,31)-625</f>
        <v>40649</v>
      </c>
      <c r="C4868" s="13">
        <v>2011.0</v>
      </c>
      <c r="D4868" s="11" t="s">
        <v>44</v>
      </c>
      <c r="E4868" s="11">
        <v>19.0</v>
      </c>
      <c r="F4868" s="21" t="s">
        <v>259</v>
      </c>
      <c r="G4868" s="15">
        <v>0.08994612515540823</v>
      </c>
      <c r="H4868" s="11" t="s">
        <v>33</v>
      </c>
      <c r="I4868" s="16">
        <v>4.896000000000001</v>
      </c>
      <c r="J4868" s="11" t="s">
        <v>2516</v>
      </c>
      <c r="K4868" s="11" t="s">
        <v>61</v>
      </c>
      <c r="L4868" s="11" t="s">
        <v>27</v>
      </c>
      <c r="M4868" s="11" t="s">
        <v>28</v>
      </c>
      <c r="N4868" s="11" t="s">
        <v>197</v>
      </c>
      <c r="O4868" s="11" t="s">
        <v>1029</v>
      </c>
      <c r="P4868" s="11" t="s">
        <v>75</v>
      </c>
      <c r="Q4868" s="20">
        <v>40650.0</v>
      </c>
      <c r="R4868" s="17">
        <f t="shared" si="2"/>
        <v>19.7518093</v>
      </c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>
        <f t="shared" si="8"/>
        <v>1</v>
      </c>
      <c r="AF4868" s="19">
        <f t="shared" si="13"/>
        <v>4</v>
      </c>
      <c r="AG4868" s="9"/>
      <c r="AH4868" s="9"/>
      <c r="AI4868" s="9"/>
    </row>
    <row r="4869" ht="15.0" customHeight="1">
      <c r="A4869" s="11">
        <v>4868.0</v>
      </c>
      <c r="B4869" s="12">
        <f t="shared" si="772"/>
        <v>40649</v>
      </c>
      <c r="C4869" s="13">
        <v>2011.0</v>
      </c>
      <c r="D4869" s="11" t="s">
        <v>102</v>
      </c>
      <c r="E4869" s="11">
        <v>39.0</v>
      </c>
      <c r="F4869" s="21" t="s">
        <v>802</v>
      </c>
      <c r="G4869" s="15">
        <v>0.08307161270590281</v>
      </c>
      <c r="H4869" s="11" t="s">
        <v>33</v>
      </c>
      <c r="I4869" s="16">
        <v>4.648</v>
      </c>
      <c r="J4869" s="11" t="s">
        <v>617</v>
      </c>
      <c r="K4869" s="11" t="s">
        <v>61</v>
      </c>
      <c r="L4869" s="11" t="s">
        <v>27</v>
      </c>
      <c r="M4869" s="11" t="s">
        <v>49</v>
      </c>
      <c r="N4869" s="11" t="s">
        <v>73</v>
      </c>
      <c r="O4869" s="11" t="s">
        <v>804</v>
      </c>
      <c r="P4869" s="11" t="s">
        <v>75</v>
      </c>
      <c r="Q4869" s="20">
        <v>40650.0</v>
      </c>
      <c r="R4869" s="17">
        <f t="shared" si="2"/>
        <v>348.6638531</v>
      </c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>
        <f t="shared" si="8"/>
        <v>1</v>
      </c>
      <c r="AF4869" s="19">
        <f t="shared" si="13"/>
        <v>4</v>
      </c>
      <c r="AG4869" s="9"/>
      <c r="AH4869" s="9"/>
      <c r="AI4869" s="9"/>
    </row>
    <row r="4870" ht="15.0" customHeight="1">
      <c r="A4870" s="11">
        <v>4869.0</v>
      </c>
      <c r="B4870" s="12">
        <f t="shared" si="772"/>
        <v>40649</v>
      </c>
      <c r="C4870" s="13">
        <v>2011.0</v>
      </c>
      <c r="D4870" s="11" t="s">
        <v>102</v>
      </c>
      <c r="E4870" s="11">
        <v>38.0</v>
      </c>
      <c r="F4870" s="21" t="s">
        <v>415</v>
      </c>
      <c r="G4870" s="15">
        <v>0.0650460405156538</v>
      </c>
      <c r="H4870" s="11" t="s">
        <v>33</v>
      </c>
      <c r="I4870" s="16">
        <v>4.104</v>
      </c>
      <c r="J4870" s="11" t="s">
        <v>1831</v>
      </c>
      <c r="K4870" s="11" t="s">
        <v>61</v>
      </c>
      <c r="L4870" s="11" t="s">
        <v>48</v>
      </c>
      <c r="M4870" s="11" t="s">
        <v>28</v>
      </c>
      <c r="N4870" s="11" t="s">
        <v>197</v>
      </c>
      <c r="O4870" s="11" t="s">
        <v>1788</v>
      </c>
      <c r="P4870" s="11" t="s">
        <v>38</v>
      </c>
      <c r="Q4870" s="20">
        <v>40651.0</v>
      </c>
      <c r="R4870" s="17">
        <f t="shared" si="2"/>
        <v>9.906772155</v>
      </c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>
        <f t="shared" si="8"/>
        <v>4</v>
      </c>
      <c r="AF4870" s="19">
        <f t="shared" si="13"/>
        <v>4</v>
      </c>
      <c r="AG4870" s="9"/>
      <c r="AH4870" s="9"/>
      <c r="AI4870" s="9"/>
    </row>
    <row r="4871" ht="15.0" customHeight="1">
      <c r="A4871" s="11">
        <v>4870.0</v>
      </c>
      <c r="B4871" s="12">
        <f t="shared" si="772"/>
        <v>40649</v>
      </c>
      <c r="C4871" s="13">
        <v>2011.0</v>
      </c>
      <c r="D4871" s="11" t="s">
        <v>102</v>
      </c>
      <c r="E4871" s="11">
        <v>32.0</v>
      </c>
      <c r="F4871" s="21" t="s">
        <v>569</v>
      </c>
      <c r="G4871" s="15">
        <v>0.09158133947052262</v>
      </c>
      <c r="H4871" s="11" t="s">
        <v>33</v>
      </c>
      <c r="I4871" s="16">
        <v>7.192</v>
      </c>
      <c r="J4871" s="11" t="s">
        <v>1831</v>
      </c>
      <c r="K4871" s="11" t="s">
        <v>61</v>
      </c>
      <c r="L4871" s="11" t="s">
        <v>48</v>
      </c>
      <c r="M4871" s="11" t="s">
        <v>66</v>
      </c>
      <c r="N4871" s="11" t="s">
        <v>80</v>
      </c>
      <c r="O4871" s="11" t="s">
        <v>755</v>
      </c>
      <c r="P4871" s="11" t="s">
        <v>38</v>
      </c>
      <c r="Q4871" s="20">
        <v>40651.0</v>
      </c>
      <c r="R4871" s="17">
        <f t="shared" si="2"/>
        <v>574.7637539</v>
      </c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>
        <f t="shared" si="8"/>
        <v>4</v>
      </c>
      <c r="AF4871" s="19">
        <f t="shared" si="13"/>
        <v>4</v>
      </c>
      <c r="AG4871" s="9"/>
      <c r="AH4871" s="9"/>
      <c r="AI4871" s="9"/>
    </row>
    <row r="4872" ht="15.0" customHeight="1">
      <c r="A4872" s="11">
        <v>4871.0</v>
      </c>
      <c r="B4872" s="12">
        <f t="shared" si="772"/>
        <v>40649</v>
      </c>
      <c r="C4872" s="13">
        <v>2011.0</v>
      </c>
      <c r="D4872" s="11" t="s">
        <v>102</v>
      </c>
      <c r="E4872" s="11">
        <v>7.0</v>
      </c>
      <c r="F4872" s="21" t="s">
        <v>666</v>
      </c>
      <c r="G4872" s="15">
        <v>0.06424242424242428</v>
      </c>
      <c r="H4872" s="11" t="s">
        <v>33</v>
      </c>
      <c r="I4872" s="16">
        <v>1.192</v>
      </c>
      <c r="J4872" s="11" t="s">
        <v>239</v>
      </c>
      <c r="K4872" s="11" t="s">
        <v>61</v>
      </c>
      <c r="L4872" s="11" t="s">
        <v>48</v>
      </c>
      <c r="M4872" s="11" t="s">
        <v>28</v>
      </c>
      <c r="N4872" s="11" t="s">
        <v>42</v>
      </c>
      <c r="O4872" s="11" t="s">
        <v>667</v>
      </c>
      <c r="P4872" s="11" t="s">
        <v>38</v>
      </c>
      <c r="Q4872" s="20">
        <v>40651.0</v>
      </c>
      <c r="R4872" s="17">
        <f t="shared" si="2"/>
        <v>1.785425455</v>
      </c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>
        <f t="shared" si="8"/>
        <v>4</v>
      </c>
      <c r="AF4872" s="19">
        <f t="shared" si="13"/>
        <v>4</v>
      </c>
      <c r="AG4872" s="9"/>
      <c r="AH4872" s="9"/>
      <c r="AI4872" s="9"/>
    </row>
    <row r="4873" ht="15.0" customHeight="1">
      <c r="A4873" s="11">
        <v>4872.0</v>
      </c>
      <c r="B4873" s="12">
        <f t="shared" si="772"/>
        <v>40649</v>
      </c>
      <c r="C4873" s="13">
        <v>2011.0</v>
      </c>
      <c r="D4873" s="11" t="s">
        <v>102</v>
      </c>
      <c r="E4873" s="11">
        <v>6.0</v>
      </c>
      <c r="F4873" s="21" t="s">
        <v>758</v>
      </c>
      <c r="G4873" s="15">
        <v>0.09836065573770486</v>
      </c>
      <c r="H4873" s="11" t="s">
        <v>33</v>
      </c>
      <c r="I4873" s="16">
        <v>0.4</v>
      </c>
      <c r="J4873" s="11" t="s">
        <v>239</v>
      </c>
      <c r="K4873" s="11" t="s">
        <v>61</v>
      </c>
      <c r="L4873" s="11" t="s">
        <v>48</v>
      </c>
      <c r="M4873" s="11" t="s">
        <v>28</v>
      </c>
      <c r="N4873" s="11" t="s">
        <v>188</v>
      </c>
      <c r="O4873" s="11" t="s">
        <v>2240</v>
      </c>
      <c r="P4873" s="11" t="s">
        <v>38</v>
      </c>
      <c r="Q4873" s="20">
        <v>40651.0</v>
      </c>
      <c r="R4873" s="17">
        <f t="shared" si="2"/>
        <v>2.163934426</v>
      </c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>
        <f t="shared" si="8"/>
        <v>4</v>
      </c>
      <c r="AF4873" s="19">
        <f t="shared" si="13"/>
        <v>4</v>
      </c>
      <c r="AG4873" s="9"/>
      <c r="AH4873" s="9"/>
      <c r="AI4873" s="9"/>
    </row>
    <row r="4874" ht="15.0" customHeight="1">
      <c r="A4874" s="11">
        <v>4873.0</v>
      </c>
      <c r="B4874" s="12">
        <f t="shared" ref="B4874:B4880" si="773">DATE(2012,12,31)-624</f>
        <v>40650</v>
      </c>
      <c r="C4874" s="13">
        <v>2011.0</v>
      </c>
      <c r="D4874" s="11" t="s">
        <v>39</v>
      </c>
      <c r="E4874" s="11">
        <v>8.0</v>
      </c>
      <c r="F4874" s="21" t="s">
        <v>210</v>
      </c>
      <c r="G4874" s="15">
        <v>0.057261410788381845</v>
      </c>
      <c r="H4874" s="11" t="s">
        <v>33</v>
      </c>
      <c r="I4874" s="16">
        <v>1.92</v>
      </c>
      <c r="J4874" s="11" t="s">
        <v>1145</v>
      </c>
      <c r="K4874" s="11" t="s">
        <v>65</v>
      </c>
      <c r="L4874" s="11" t="s">
        <v>48</v>
      </c>
      <c r="M4874" s="11" t="s">
        <v>28</v>
      </c>
      <c r="N4874" s="11" t="s">
        <v>62</v>
      </c>
      <c r="O4874" s="11" t="s">
        <v>212</v>
      </c>
      <c r="P4874" s="11" t="s">
        <v>58</v>
      </c>
      <c r="Q4874" s="20">
        <v>40651.0</v>
      </c>
      <c r="R4874" s="17">
        <f t="shared" si="2"/>
        <v>1.300979253</v>
      </c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>
        <f t="shared" si="8"/>
        <v>4</v>
      </c>
      <c r="AF4874" s="19">
        <f t="shared" si="13"/>
        <v>5</v>
      </c>
      <c r="AG4874" s="9"/>
      <c r="AH4874" s="9"/>
      <c r="AI4874" s="9"/>
    </row>
    <row r="4875" ht="15.0" customHeight="1">
      <c r="A4875" s="11">
        <v>4874.0</v>
      </c>
      <c r="B4875" s="12">
        <f t="shared" si="773"/>
        <v>40650</v>
      </c>
      <c r="C4875" s="13">
        <v>2011.0</v>
      </c>
      <c r="D4875" s="11" t="s">
        <v>39</v>
      </c>
      <c r="E4875" s="11">
        <v>47.0</v>
      </c>
      <c r="F4875" s="21" t="s">
        <v>270</v>
      </c>
      <c r="G4875" s="15">
        <v>0.0313090744375661</v>
      </c>
      <c r="H4875" s="11" t="s">
        <v>33</v>
      </c>
      <c r="I4875" s="16">
        <v>2.3920000000000003</v>
      </c>
      <c r="J4875" s="11" t="s">
        <v>91</v>
      </c>
      <c r="K4875" s="11" t="s">
        <v>35</v>
      </c>
      <c r="L4875" s="11" t="s">
        <v>27</v>
      </c>
      <c r="M4875" s="11" t="s">
        <v>28</v>
      </c>
      <c r="N4875" s="11" t="s">
        <v>42</v>
      </c>
      <c r="O4875" s="11" t="s">
        <v>43</v>
      </c>
      <c r="P4875" s="11" t="s">
        <v>38</v>
      </c>
      <c r="Q4875" s="20">
        <v>40652.0</v>
      </c>
      <c r="R4875" s="17">
        <f t="shared" si="2"/>
        <v>60.2603251</v>
      </c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>
        <f t="shared" si="8"/>
        <v>1</v>
      </c>
      <c r="AF4875" s="19">
        <f t="shared" si="13"/>
        <v>2</v>
      </c>
      <c r="AG4875" s="9"/>
      <c r="AH4875" s="9"/>
      <c r="AI4875" s="9"/>
    </row>
    <row r="4876" ht="15.0" customHeight="1">
      <c r="A4876" s="11">
        <v>4875.0</v>
      </c>
      <c r="B4876" s="12">
        <f t="shared" si="773"/>
        <v>40650</v>
      </c>
      <c r="C4876" s="13">
        <v>2011.0</v>
      </c>
      <c r="D4876" s="11" t="s">
        <v>39</v>
      </c>
      <c r="E4876" s="11">
        <v>13.0</v>
      </c>
      <c r="F4876" s="21" t="s">
        <v>1639</v>
      </c>
      <c r="G4876" s="15">
        <v>0.05391404340951581</v>
      </c>
      <c r="H4876" s="11" t="s">
        <v>33</v>
      </c>
      <c r="I4876" s="16">
        <v>15.991999999999999</v>
      </c>
      <c r="J4876" s="11" t="s">
        <v>91</v>
      </c>
      <c r="K4876" s="11" t="s">
        <v>35</v>
      </c>
      <c r="L4876" s="11" t="s">
        <v>27</v>
      </c>
      <c r="M4876" s="11" t="s">
        <v>28</v>
      </c>
      <c r="N4876" s="11" t="s">
        <v>197</v>
      </c>
      <c r="O4876" s="11" t="s">
        <v>1641</v>
      </c>
      <c r="P4876" s="11" t="s">
        <v>38</v>
      </c>
      <c r="Q4876" s="20">
        <v>40652.0</v>
      </c>
      <c r="R4876" s="17">
        <f t="shared" si="2"/>
        <v>35.48579206</v>
      </c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>
        <f t="shared" si="8"/>
        <v>1</v>
      </c>
      <c r="AF4876" s="19">
        <f t="shared" si="13"/>
        <v>2</v>
      </c>
      <c r="AG4876" s="9"/>
      <c r="AH4876" s="9"/>
      <c r="AI4876" s="9"/>
    </row>
    <row r="4877" ht="15.0" customHeight="1">
      <c r="A4877" s="11">
        <v>4876.0</v>
      </c>
      <c r="B4877" s="12">
        <f t="shared" si="773"/>
        <v>40650</v>
      </c>
      <c r="C4877" s="13">
        <v>2011.0</v>
      </c>
      <c r="D4877" s="11" t="s">
        <v>23</v>
      </c>
      <c r="E4877" s="11">
        <v>38.0</v>
      </c>
      <c r="F4877" s="21" t="s">
        <v>1078</v>
      </c>
      <c r="G4877" s="15">
        <v>0.03346501339647335</v>
      </c>
      <c r="H4877" s="11" t="s">
        <v>33</v>
      </c>
      <c r="I4877" s="16">
        <v>15.991999999999999</v>
      </c>
      <c r="J4877" s="11" t="s">
        <v>1985</v>
      </c>
      <c r="K4877" s="11" t="s">
        <v>35</v>
      </c>
      <c r="L4877" s="11" t="s">
        <v>48</v>
      </c>
      <c r="M4877" s="11" t="s">
        <v>66</v>
      </c>
      <c r="N4877" s="11" t="s">
        <v>67</v>
      </c>
      <c r="O4877" s="11" t="s">
        <v>1079</v>
      </c>
      <c r="P4877" s="11" t="s">
        <v>38</v>
      </c>
      <c r="Q4877" s="20">
        <v>40652.0</v>
      </c>
      <c r="R4877" s="17">
        <f t="shared" si="2"/>
        <v>51.91066106</v>
      </c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>
        <f t="shared" si="8"/>
        <v>4</v>
      </c>
      <c r="AF4877" s="19">
        <f t="shared" si="13"/>
        <v>2</v>
      </c>
      <c r="AG4877" s="9"/>
      <c r="AH4877" s="9"/>
      <c r="AI4877" s="9"/>
    </row>
    <row r="4878" ht="15.0" customHeight="1">
      <c r="A4878" s="11">
        <v>4877.0</v>
      </c>
      <c r="B4878" s="12">
        <f t="shared" si="773"/>
        <v>40650</v>
      </c>
      <c r="C4878" s="13">
        <v>2011.0</v>
      </c>
      <c r="D4878" s="11" t="s">
        <v>23</v>
      </c>
      <c r="E4878" s="11">
        <v>40.0</v>
      </c>
      <c r="F4878" s="21" t="s">
        <v>290</v>
      </c>
      <c r="G4878" s="15">
        <v>0.09662827225130884</v>
      </c>
      <c r="H4878" s="11" t="s">
        <v>33</v>
      </c>
      <c r="I4878" s="16">
        <v>4.544</v>
      </c>
      <c r="J4878" s="11" t="s">
        <v>1985</v>
      </c>
      <c r="K4878" s="11" t="s">
        <v>35</v>
      </c>
      <c r="L4878" s="11" t="s">
        <v>48</v>
      </c>
      <c r="M4878" s="11" t="s">
        <v>28</v>
      </c>
      <c r="N4878" s="11" t="s">
        <v>56</v>
      </c>
      <c r="O4878" s="11" t="s">
        <v>2070</v>
      </c>
      <c r="P4878" s="11" t="s">
        <v>38</v>
      </c>
      <c r="Q4878" s="20">
        <v>40652.0</v>
      </c>
      <c r="R4878" s="17">
        <f t="shared" si="2"/>
        <v>16.67262861</v>
      </c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>
        <f t="shared" si="8"/>
        <v>4</v>
      </c>
      <c r="AF4878" s="19">
        <f t="shared" si="13"/>
        <v>2</v>
      </c>
      <c r="AG4878" s="9"/>
      <c r="AH4878" s="9"/>
      <c r="AI4878" s="9"/>
    </row>
    <row r="4879" ht="15.0" customHeight="1">
      <c r="A4879" s="11">
        <v>4878.0</v>
      </c>
      <c r="B4879" s="12">
        <f t="shared" si="773"/>
        <v>40650</v>
      </c>
      <c r="C4879" s="13">
        <v>2011.0</v>
      </c>
      <c r="D4879" s="11" t="s">
        <v>23</v>
      </c>
      <c r="E4879" s="11">
        <v>31.0</v>
      </c>
      <c r="F4879" s="21" t="s">
        <v>865</v>
      </c>
      <c r="G4879" s="15">
        <v>0.01047132058692746</v>
      </c>
      <c r="H4879" s="11" t="s">
        <v>33</v>
      </c>
      <c r="I4879" s="16">
        <v>3.3600000000000003</v>
      </c>
      <c r="J4879" s="11" t="s">
        <v>1985</v>
      </c>
      <c r="K4879" s="11" t="s">
        <v>35</v>
      </c>
      <c r="L4879" s="11" t="s">
        <v>48</v>
      </c>
      <c r="M4879" s="11" t="s">
        <v>66</v>
      </c>
      <c r="N4879" s="11" t="s">
        <v>80</v>
      </c>
      <c r="O4879" s="11" t="s">
        <v>1519</v>
      </c>
      <c r="P4879" s="11" t="s">
        <v>38</v>
      </c>
      <c r="Q4879" s="20">
        <v>40652.0</v>
      </c>
      <c r="R4879" s="17">
        <f t="shared" si="2"/>
        <v>65.24952112</v>
      </c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>
        <f t="shared" si="8"/>
        <v>4</v>
      </c>
      <c r="AF4879" s="19">
        <f t="shared" si="13"/>
        <v>2</v>
      </c>
      <c r="AG4879" s="9"/>
      <c r="AH4879" s="9"/>
      <c r="AI4879" s="9"/>
    </row>
    <row r="4880" ht="15.0" customHeight="1">
      <c r="A4880" s="11">
        <v>4879.0</v>
      </c>
      <c r="B4880" s="12">
        <f t="shared" si="773"/>
        <v>40650</v>
      </c>
      <c r="C4880" s="13">
        <v>2011.0</v>
      </c>
      <c r="D4880" s="11" t="s">
        <v>44</v>
      </c>
      <c r="E4880" s="11">
        <v>29.0</v>
      </c>
      <c r="F4880" s="21" t="s">
        <v>440</v>
      </c>
      <c r="G4880" s="15">
        <v>0.02309582309582318</v>
      </c>
      <c r="H4880" s="11" t="s">
        <v>33</v>
      </c>
      <c r="I4880" s="16">
        <v>1.6</v>
      </c>
      <c r="J4880" s="11" t="s">
        <v>429</v>
      </c>
      <c r="K4880" s="11" t="s">
        <v>83</v>
      </c>
      <c r="L4880" s="11" t="s">
        <v>48</v>
      </c>
      <c r="M4880" s="11" t="s">
        <v>28</v>
      </c>
      <c r="N4880" s="11" t="s">
        <v>56</v>
      </c>
      <c r="O4880" s="11" t="s">
        <v>489</v>
      </c>
      <c r="P4880" s="11" t="s">
        <v>58</v>
      </c>
      <c r="Q4880" s="20">
        <v>40652.0</v>
      </c>
      <c r="R4880" s="17">
        <f t="shared" si="2"/>
        <v>4.591449631</v>
      </c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>
        <f t="shared" si="8"/>
        <v>4</v>
      </c>
      <c r="AF4880" s="19" t="b">
        <f t="shared" si="13"/>
        <v>0</v>
      </c>
      <c r="AG4880" s="9"/>
      <c r="AH4880" s="9"/>
      <c r="AI4880" s="9"/>
    </row>
    <row r="4881" ht="15.0" customHeight="1">
      <c r="A4881" s="11">
        <v>4880.0</v>
      </c>
      <c r="B4881" s="12">
        <f t="shared" ref="B4881:B4886" si="774">DATE(2012,12,31)-623</f>
        <v>40651</v>
      </c>
      <c r="C4881" s="13">
        <v>2011.0</v>
      </c>
      <c r="D4881" s="11" t="s">
        <v>32</v>
      </c>
      <c r="E4881" s="11">
        <v>46.0</v>
      </c>
      <c r="F4881" s="21" t="s">
        <v>473</v>
      </c>
      <c r="G4881" s="15">
        <v>0.0502470982718598</v>
      </c>
      <c r="H4881" s="11" t="s">
        <v>33</v>
      </c>
      <c r="I4881" s="16">
        <v>5.696000000000001</v>
      </c>
      <c r="J4881" s="11" t="s">
        <v>595</v>
      </c>
      <c r="K4881" s="11" t="s">
        <v>26</v>
      </c>
      <c r="L4881" s="11" t="s">
        <v>41</v>
      </c>
      <c r="M4881" s="11" t="s">
        <v>66</v>
      </c>
      <c r="N4881" s="11" t="s">
        <v>67</v>
      </c>
      <c r="O4881" s="11" t="s">
        <v>475</v>
      </c>
      <c r="P4881" s="11" t="s">
        <v>38</v>
      </c>
      <c r="Q4881" s="20">
        <v>40653.0</v>
      </c>
      <c r="R4881" s="17">
        <f t="shared" si="2"/>
        <v>92.50973164</v>
      </c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>
        <f t="shared" si="8"/>
        <v>3</v>
      </c>
      <c r="AF4881" s="19">
        <f t="shared" si="13"/>
        <v>1</v>
      </c>
      <c r="AG4881" s="9"/>
      <c r="AH4881" s="9"/>
      <c r="AI4881" s="9"/>
    </row>
    <row r="4882" ht="15.0" customHeight="1">
      <c r="A4882" s="11">
        <v>4881.0</v>
      </c>
      <c r="B4882" s="12">
        <f t="shared" si="774"/>
        <v>40651</v>
      </c>
      <c r="C4882" s="13">
        <v>2011.0</v>
      </c>
      <c r="D4882" s="11" t="s">
        <v>32</v>
      </c>
      <c r="E4882" s="11">
        <v>27.0</v>
      </c>
      <c r="F4882" s="21" t="s">
        <v>1074</v>
      </c>
      <c r="G4882" s="15">
        <v>0.057742134484885785</v>
      </c>
      <c r="H4882" s="11" t="s">
        <v>33</v>
      </c>
      <c r="I4882" s="16">
        <v>4.24</v>
      </c>
      <c r="J4882" s="11" t="s">
        <v>595</v>
      </c>
      <c r="K4882" s="11" t="s">
        <v>26</v>
      </c>
      <c r="L4882" s="11" t="s">
        <v>41</v>
      </c>
      <c r="M4882" s="11" t="s">
        <v>28</v>
      </c>
      <c r="N4882" s="11" t="s">
        <v>236</v>
      </c>
      <c r="O4882" s="11" t="s">
        <v>1075</v>
      </c>
      <c r="P4882" s="11" t="s">
        <v>38</v>
      </c>
      <c r="Q4882" s="20">
        <v>40653.0</v>
      </c>
      <c r="R4882" s="17">
        <f t="shared" si="2"/>
        <v>8.819533621</v>
      </c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>
        <f t="shared" si="8"/>
        <v>3</v>
      </c>
      <c r="AF4882" s="19">
        <f t="shared" si="13"/>
        <v>1</v>
      </c>
      <c r="AG4882" s="9"/>
      <c r="AH4882" s="9"/>
      <c r="AI4882" s="9"/>
    </row>
    <row r="4883" ht="15.0" customHeight="1">
      <c r="A4883" s="11">
        <v>4882.0</v>
      </c>
      <c r="B4883" s="12">
        <f t="shared" si="774"/>
        <v>40651</v>
      </c>
      <c r="C4883" s="13">
        <v>2011.0</v>
      </c>
      <c r="D4883" s="11" t="s">
        <v>32</v>
      </c>
      <c r="E4883" s="11">
        <v>4.0</v>
      </c>
      <c r="F4883" s="21" t="s">
        <v>103</v>
      </c>
      <c r="G4883" s="15">
        <v>0.057243816254417</v>
      </c>
      <c r="H4883" s="11" t="s">
        <v>33</v>
      </c>
      <c r="I4883" s="16">
        <v>3.08</v>
      </c>
      <c r="J4883" s="11" t="s">
        <v>491</v>
      </c>
      <c r="K4883" s="11" t="s">
        <v>47</v>
      </c>
      <c r="L4883" s="11" t="s">
        <v>48</v>
      </c>
      <c r="M4883" s="11" t="s">
        <v>66</v>
      </c>
      <c r="N4883" s="11" t="s">
        <v>67</v>
      </c>
      <c r="O4883" s="11" t="s">
        <v>1696</v>
      </c>
      <c r="P4883" s="11" t="s">
        <v>99</v>
      </c>
      <c r="Q4883" s="20">
        <v>40653.0</v>
      </c>
      <c r="R4883" s="17">
        <f t="shared" si="2"/>
        <v>1.527265018</v>
      </c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>
        <f t="shared" si="8"/>
        <v>4</v>
      </c>
      <c r="AF4883" s="19">
        <f t="shared" si="13"/>
        <v>3</v>
      </c>
      <c r="AG4883" s="9"/>
      <c r="AH4883" s="9"/>
      <c r="AI4883" s="9"/>
    </row>
    <row r="4884" ht="15.0" customHeight="1">
      <c r="A4884" s="11">
        <v>4883.0</v>
      </c>
      <c r="B4884" s="12">
        <f t="shared" si="774"/>
        <v>40651</v>
      </c>
      <c r="C4884" s="13">
        <v>2011.0</v>
      </c>
      <c r="D4884" s="11" t="s">
        <v>32</v>
      </c>
      <c r="E4884" s="11">
        <v>3.0</v>
      </c>
      <c r="F4884" s="21" t="s">
        <v>103</v>
      </c>
      <c r="G4884" s="15">
        <v>0.09669421487603291</v>
      </c>
      <c r="H4884" s="11" t="s">
        <v>33</v>
      </c>
      <c r="I4884" s="16">
        <v>4.16</v>
      </c>
      <c r="J4884" s="11" t="s">
        <v>491</v>
      </c>
      <c r="K4884" s="11" t="s">
        <v>47</v>
      </c>
      <c r="L4884" s="11" t="s">
        <v>48</v>
      </c>
      <c r="M4884" s="11" t="s">
        <v>28</v>
      </c>
      <c r="N4884" s="11" t="s">
        <v>56</v>
      </c>
      <c r="O4884" s="11" t="s">
        <v>2322</v>
      </c>
      <c r="P4884" s="11" t="s">
        <v>38</v>
      </c>
      <c r="Q4884" s="20">
        <v>40653.0</v>
      </c>
      <c r="R4884" s="17">
        <f t="shared" si="2"/>
        <v>2.113735537</v>
      </c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>
        <f t="shared" si="8"/>
        <v>4</v>
      </c>
      <c r="AF4884" s="19">
        <f t="shared" si="13"/>
        <v>3</v>
      </c>
      <c r="AG4884" s="9"/>
      <c r="AH4884" s="9"/>
      <c r="AI4884" s="9"/>
    </row>
    <row r="4885" ht="15.0" customHeight="1">
      <c r="A4885" s="11">
        <v>4884.0</v>
      </c>
      <c r="B4885" s="12">
        <f t="shared" si="774"/>
        <v>40651</v>
      </c>
      <c r="C4885" s="13">
        <v>2011.0</v>
      </c>
      <c r="D4885" s="11" t="s">
        <v>39</v>
      </c>
      <c r="E4885" s="11">
        <v>4.0</v>
      </c>
      <c r="F4885" s="21" t="s">
        <v>1441</v>
      </c>
      <c r="G4885" s="15">
        <v>0.07317972350230403</v>
      </c>
      <c r="H4885" s="11" t="s">
        <v>33</v>
      </c>
      <c r="I4885" s="16">
        <v>5.024000000000001</v>
      </c>
      <c r="J4885" s="11" t="s">
        <v>215</v>
      </c>
      <c r="K4885" s="11" t="s">
        <v>26</v>
      </c>
      <c r="L4885" s="11" t="s">
        <v>48</v>
      </c>
      <c r="M4885" s="11" t="s">
        <v>28</v>
      </c>
      <c r="N4885" s="11" t="s">
        <v>42</v>
      </c>
      <c r="O4885" s="11" t="s">
        <v>1569</v>
      </c>
      <c r="P4885" s="11" t="s">
        <v>38</v>
      </c>
      <c r="Q4885" s="20">
        <v>40653.0</v>
      </c>
      <c r="R4885" s="17">
        <f t="shared" si="2"/>
        <v>2.943581198</v>
      </c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>
        <f t="shared" si="8"/>
        <v>4</v>
      </c>
      <c r="AF4885" s="19">
        <f t="shared" si="13"/>
        <v>1</v>
      </c>
      <c r="AG4885" s="9"/>
      <c r="AH4885" s="9"/>
      <c r="AI4885" s="9"/>
    </row>
    <row r="4886" ht="15.0" customHeight="1">
      <c r="A4886" s="11">
        <v>4885.0</v>
      </c>
      <c r="B4886" s="12">
        <f t="shared" si="774"/>
        <v>40651</v>
      </c>
      <c r="C4886" s="13">
        <v>2011.0</v>
      </c>
      <c r="D4886" s="11" t="s">
        <v>23</v>
      </c>
      <c r="E4886" s="11">
        <v>7.0</v>
      </c>
      <c r="F4886" s="21" t="s">
        <v>306</v>
      </c>
      <c r="G4886" s="15">
        <v>0.09119897959183698</v>
      </c>
      <c r="H4886" s="11" t="s">
        <v>33</v>
      </c>
      <c r="I4886" s="16">
        <v>3.2</v>
      </c>
      <c r="J4886" s="11" t="s">
        <v>945</v>
      </c>
      <c r="K4886" s="11" t="s">
        <v>65</v>
      </c>
      <c r="L4886" s="11" t="s">
        <v>36</v>
      </c>
      <c r="M4886" s="11" t="s">
        <v>66</v>
      </c>
      <c r="N4886" s="11" t="s">
        <v>67</v>
      </c>
      <c r="O4886" s="11" t="s">
        <v>920</v>
      </c>
      <c r="P4886" s="11" t="s">
        <v>38</v>
      </c>
      <c r="Q4886" s="20">
        <v>40653.0</v>
      </c>
      <c r="R4886" s="17">
        <f t="shared" si="2"/>
        <v>12.99585459</v>
      </c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>
        <f t="shared" si="8"/>
        <v>2</v>
      </c>
      <c r="AF4886" s="19">
        <f t="shared" si="13"/>
        <v>5</v>
      </c>
      <c r="AG4886" s="9"/>
      <c r="AH4886" s="9"/>
      <c r="AI4886" s="9"/>
    </row>
    <row r="4887" ht="15.0" customHeight="1">
      <c r="A4887" s="11">
        <v>4886.0</v>
      </c>
      <c r="B4887" s="12">
        <f t="shared" ref="B4887:B4889" si="775">DATE(2012,12,31)-622</f>
        <v>40652</v>
      </c>
      <c r="C4887" s="13">
        <v>2011.0</v>
      </c>
      <c r="D4887" s="11" t="s">
        <v>23</v>
      </c>
      <c r="E4887" s="11">
        <v>42.0</v>
      </c>
      <c r="F4887" s="21" t="s">
        <v>210</v>
      </c>
      <c r="G4887" s="15">
        <v>0.051067463706233905</v>
      </c>
      <c r="H4887" s="11" t="s">
        <v>24</v>
      </c>
      <c r="I4887" s="16">
        <v>1.92</v>
      </c>
      <c r="J4887" s="11" t="s">
        <v>977</v>
      </c>
      <c r="K4887" s="11" t="s">
        <v>83</v>
      </c>
      <c r="L4887" s="11" t="s">
        <v>48</v>
      </c>
      <c r="M4887" s="11" t="s">
        <v>28</v>
      </c>
      <c r="N4887" s="11" t="s">
        <v>62</v>
      </c>
      <c r="O4887" s="11" t="s">
        <v>212</v>
      </c>
      <c r="P4887" s="11" t="s">
        <v>58</v>
      </c>
      <c r="Q4887" s="20">
        <v>40653.0</v>
      </c>
      <c r="R4887" s="17">
        <f t="shared" si="2"/>
        <v>5.674616567</v>
      </c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>
        <f t="shared" si="8"/>
        <v>4</v>
      </c>
      <c r="AF4887" s="19" t="b">
        <f t="shared" si="13"/>
        <v>0</v>
      </c>
      <c r="AG4887" s="9"/>
      <c r="AH4887" s="9"/>
      <c r="AI4887" s="9"/>
    </row>
    <row r="4888" ht="15.0" customHeight="1">
      <c r="A4888" s="11">
        <v>4887.0</v>
      </c>
      <c r="B4888" s="12">
        <f t="shared" si="775"/>
        <v>40652</v>
      </c>
      <c r="C4888" s="13">
        <v>2011.0</v>
      </c>
      <c r="D4888" s="11" t="s">
        <v>102</v>
      </c>
      <c r="E4888" s="11">
        <v>8.0</v>
      </c>
      <c r="F4888" s="21" t="s">
        <v>1151</v>
      </c>
      <c r="G4888" s="15">
        <v>0.10177783080777944</v>
      </c>
      <c r="H4888" s="11" t="s">
        <v>45</v>
      </c>
      <c r="I4888" s="16">
        <v>33.6</v>
      </c>
      <c r="J4888" s="11" t="s">
        <v>1112</v>
      </c>
      <c r="K4888" s="11" t="s">
        <v>35</v>
      </c>
      <c r="L4888" s="11" t="s">
        <v>27</v>
      </c>
      <c r="M4888" s="11" t="s">
        <v>49</v>
      </c>
      <c r="N4888" s="11" t="s">
        <v>50</v>
      </c>
      <c r="O4888" s="11" t="s">
        <v>1153</v>
      </c>
      <c r="P4888" s="11" t="s">
        <v>52</v>
      </c>
      <c r="Q4888" s="20">
        <v>40654.0</v>
      </c>
      <c r="R4888" s="17">
        <f t="shared" si="2"/>
        <v>76.61835103</v>
      </c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>
        <f t="shared" si="8"/>
        <v>1</v>
      </c>
      <c r="AF4888" s="19">
        <f t="shared" si="13"/>
        <v>2</v>
      </c>
      <c r="AG4888" s="9"/>
      <c r="AH4888" s="9"/>
      <c r="AI4888" s="9"/>
    </row>
    <row r="4889" ht="15.0" customHeight="1">
      <c r="A4889" s="11">
        <v>4888.0</v>
      </c>
      <c r="B4889" s="12">
        <f t="shared" si="775"/>
        <v>40652</v>
      </c>
      <c r="C4889" s="13">
        <v>2011.0</v>
      </c>
      <c r="D4889" s="11" t="s">
        <v>102</v>
      </c>
      <c r="E4889" s="11">
        <v>19.0</v>
      </c>
      <c r="F4889" s="21" t="s">
        <v>1369</v>
      </c>
      <c r="G4889" s="15">
        <v>0.1072968980797637</v>
      </c>
      <c r="H4889" s="11" t="s">
        <v>24</v>
      </c>
      <c r="I4889" s="16">
        <v>1.536</v>
      </c>
      <c r="J4889" s="11" t="s">
        <v>1112</v>
      </c>
      <c r="K4889" s="11" t="s">
        <v>35</v>
      </c>
      <c r="L4889" s="11" t="s">
        <v>27</v>
      </c>
      <c r="M4889" s="11" t="s">
        <v>28</v>
      </c>
      <c r="N4889" s="11" t="s">
        <v>442</v>
      </c>
      <c r="O4889" s="11" t="s">
        <v>1776</v>
      </c>
      <c r="P4889" s="11" t="s">
        <v>58</v>
      </c>
      <c r="Q4889" s="20">
        <v>40654.0</v>
      </c>
      <c r="R4889" s="17">
        <f t="shared" si="2"/>
        <v>6.484595332</v>
      </c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>
        <f t="shared" si="8"/>
        <v>1</v>
      </c>
      <c r="AF4889" s="19">
        <f t="shared" si="13"/>
        <v>2</v>
      </c>
      <c r="AG4889" s="9"/>
      <c r="AH4889" s="9"/>
      <c r="AI4889" s="9"/>
    </row>
    <row r="4890" ht="15.0" customHeight="1">
      <c r="A4890" s="11">
        <v>4889.0</v>
      </c>
      <c r="B4890" s="12">
        <f t="shared" ref="B4890:B4899" si="776">DATE(2012,12,31)-621</f>
        <v>40653</v>
      </c>
      <c r="C4890" s="13">
        <v>2011.0</v>
      </c>
      <c r="D4890" s="11" t="s">
        <v>44</v>
      </c>
      <c r="E4890" s="11">
        <v>17.0</v>
      </c>
      <c r="F4890" s="21" t="s">
        <v>1261</v>
      </c>
      <c r="G4890" s="15">
        <v>0.04679603960396052</v>
      </c>
      <c r="H4890" s="11" t="s">
        <v>33</v>
      </c>
      <c r="I4890" s="16">
        <v>15.568000000000001</v>
      </c>
      <c r="J4890" s="11" t="s">
        <v>1472</v>
      </c>
      <c r="K4890" s="11" t="s">
        <v>83</v>
      </c>
      <c r="L4890" s="11" t="s">
        <v>48</v>
      </c>
      <c r="M4890" s="11" t="s">
        <v>49</v>
      </c>
      <c r="N4890" s="11" t="s">
        <v>73</v>
      </c>
      <c r="O4890" s="11" t="s">
        <v>2421</v>
      </c>
      <c r="P4890" s="11" t="s">
        <v>38</v>
      </c>
      <c r="Q4890" s="20">
        <v>40654.0</v>
      </c>
      <c r="R4890" s="17">
        <f t="shared" si="2"/>
        <v>22.52611599</v>
      </c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>
        <f t="shared" si="8"/>
        <v>4</v>
      </c>
      <c r="AF4890" s="19" t="b">
        <f t="shared" si="13"/>
        <v>0</v>
      </c>
      <c r="AG4890" s="9"/>
      <c r="AH4890" s="9"/>
      <c r="AI4890" s="9"/>
    </row>
    <row r="4891" ht="15.0" customHeight="1">
      <c r="A4891" s="11">
        <v>4890.0</v>
      </c>
      <c r="B4891" s="12">
        <f t="shared" si="776"/>
        <v>40653</v>
      </c>
      <c r="C4891" s="13">
        <v>2011.0</v>
      </c>
      <c r="D4891" s="11" t="s">
        <v>44</v>
      </c>
      <c r="E4891" s="11">
        <v>12.0</v>
      </c>
      <c r="F4891" s="21" t="s">
        <v>1900</v>
      </c>
      <c r="G4891" s="15">
        <v>0.08404288046950788</v>
      </c>
      <c r="H4891" s="11" t="s">
        <v>45</v>
      </c>
      <c r="I4891" s="16">
        <v>23.36</v>
      </c>
      <c r="J4891" s="11" t="s">
        <v>1472</v>
      </c>
      <c r="K4891" s="11" t="s">
        <v>83</v>
      </c>
      <c r="L4891" s="11" t="s">
        <v>48</v>
      </c>
      <c r="M4891" s="11" t="s">
        <v>49</v>
      </c>
      <c r="N4891" s="11" t="s">
        <v>85</v>
      </c>
      <c r="O4891" s="11" t="s">
        <v>1902</v>
      </c>
      <c r="P4891" s="11" t="s">
        <v>87</v>
      </c>
      <c r="Q4891" s="20">
        <v>40655.0</v>
      </c>
      <c r="R4891" s="17">
        <f t="shared" si="2"/>
        <v>325.2930114</v>
      </c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>
        <f t="shared" si="8"/>
        <v>4</v>
      </c>
      <c r="AF4891" s="19" t="b">
        <f t="shared" si="13"/>
        <v>0</v>
      </c>
      <c r="AG4891" s="9"/>
      <c r="AH4891" s="9"/>
      <c r="AI4891" s="9"/>
    </row>
    <row r="4892" ht="15.0" customHeight="1">
      <c r="A4892" s="11">
        <v>4891.0</v>
      </c>
      <c r="B4892" s="12">
        <f t="shared" si="776"/>
        <v>40653</v>
      </c>
      <c r="C4892" s="13">
        <v>2011.0</v>
      </c>
      <c r="D4892" s="11" t="s">
        <v>32</v>
      </c>
      <c r="E4892" s="11">
        <v>40.0</v>
      </c>
      <c r="F4892" s="21" t="s">
        <v>788</v>
      </c>
      <c r="G4892" s="15">
        <v>0.08326387171510753</v>
      </c>
      <c r="H4892" s="11" t="s">
        <v>33</v>
      </c>
      <c r="I4892" s="16">
        <v>7.192</v>
      </c>
      <c r="J4892" s="11" t="s">
        <v>2116</v>
      </c>
      <c r="K4892" s="11" t="s">
        <v>65</v>
      </c>
      <c r="L4892" s="11" t="s">
        <v>36</v>
      </c>
      <c r="M4892" s="11" t="s">
        <v>66</v>
      </c>
      <c r="N4892" s="11" t="s">
        <v>80</v>
      </c>
      <c r="O4892" s="11" t="s">
        <v>996</v>
      </c>
      <c r="P4892" s="11" t="s">
        <v>38</v>
      </c>
      <c r="Q4892" s="20">
        <v>40655.0</v>
      </c>
      <c r="R4892" s="17">
        <f t="shared" si="2"/>
        <v>586.4434352</v>
      </c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>
        <f t="shared" si="8"/>
        <v>2</v>
      </c>
      <c r="AF4892" s="19">
        <f t="shared" si="13"/>
        <v>5</v>
      </c>
      <c r="AG4892" s="9"/>
      <c r="AH4892" s="9"/>
      <c r="AI4892" s="9"/>
    </row>
    <row r="4893" ht="15.0" customHeight="1">
      <c r="A4893" s="11">
        <v>4892.0</v>
      </c>
      <c r="B4893" s="12">
        <f t="shared" si="776"/>
        <v>40653</v>
      </c>
      <c r="C4893" s="13">
        <v>2011.0</v>
      </c>
      <c r="D4893" s="11" t="s">
        <v>102</v>
      </c>
      <c r="E4893" s="11">
        <v>44.0</v>
      </c>
      <c r="F4893" s="21" t="s">
        <v>135</v>
      </c>
      <c r="G4893" s="15">
        <v>0.06287523749208376</v>
      </c>
      <c r="H4893" s="11" t="s">
        <v>24</v>
      </c>
      <c r="I4893" s="16">
        <v>5.5440000000000005</v>
      </c>
      <c r="J4893" s="11" t="s">
        <v>839</v>
      </c>
      <c r="K4893" s="11" t="s">
        <v>83</v>
      </c>
      <c r="L4893" s="11" t="s">
        <v>27</v>
      </c>
      <c r="M4893" s="11" t="s">
        <v>28</v>
      </c>
      <c r="N4893" s="11" t="s">
        <v>56</v>
      </c>
      <c r="O4893" s="11" t="s">
        <v>554</v>
      </c>
      <c r="P4893" s="11" t="s">
        <v>38</v>
      </c>
      <c r="Q4893" s="20">
        <v>40655.0</v>
      </c>
      <c r="R4893" s="17">
        <f t="shared" si="2"/>
        <v>18.60754928</v>
      </c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>
        <f t="shared" si="8"/>
        <v>1</v>
      </c>
      <c r="AF4893" s="19" t="b">
        <f t="shared" si="13"/>
        <v>0</v>
      </c>
      <c r="AG4893" s="9"/>
      <c r="AH4893" s="9"/>
      <c r="AI4893" s="9"/>
    </row>
    <row r="4894" ht="15.0" customHeight="1">
      <c r="A4894" s="11">
        <v>4893.0</v>
      </c>
      <c r="B4894" s="12">
        <f t="shared" si="776"/>
        <v>40653</v>
      </c>
      <c r="C4894" s="13">
        <v>2011.0</v>
      </c>
      <c r="D4894" s="11" t="s">
        <v>102</v>
      </c>
      <c r="E4894" s="11">
        <v>26.0</v>
      </c>
      <c r="F4894" s="21" t="s">
        <v>498</v>
      </c>
      <c r="G4894" s="15">
        <v>0.013536776212832516</v>
      </c>
      <c r="H4894" s="11" t="s">
        <v>33</v>
      </c>
      <c r="I4894" s="16">
        <v>28.0</v>
      </c>
      <c r="J4894" s="11" t="s">
        <v>839</v>
      </c>
      <c r="K4894" s="11" t="s">
        <v>83</v>
      </c>
      <c r="L4894" s="11" t="s">
        <v>27</v>
      </c>
      <c r="M4894" s="11" t="s">
        <v>28</v>
      </c>
      <c r="N4894" s="11" t="s">
        <v>29</v>
      </c>
      <c r="O4894" s="11" t="s">
        <v>30</v>
      </c>
      <c r="P4894" s="11" t="s">
        <v>31</v>
      </c>
      <c r="Q4894" s="20">
        <v>40655.0</v>
      </c>
      <c r="R4894" s="17">
        <f t="shared" si="2"/>
        <v>34.13162754</v>
      </c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>
        <f t="shared" si="8"/>
        <v>1</v>
      </c>
      <c r="AF4894" s="19" t="b">
        <f t="shared" si="13"/>
        <v>0</v>
      </c>
      <c r="AG4894" s="9"/>
      <c r="AH4894" s="9"/>
      <c r="AI4894" s="9"/>
    </row>
    <row r="4895" ht="15.0" customHeight="1">
      <c r="A4895" s="11">
        <v>4894.0</v>
      </c>
      <c r="B4895" s="12">
        <f t="shared" si="776"/>
        <v>40653</v>
      </c>
      <c r="C4895" s="13">
        <v>2011.0</v>
      </c>
      <c r="D4895" s="11" t="s">
        <v>44</v>
      </c>
      <c r="E4895" s="11">
        <v>4.0</v>
      </c>
      <c r="F4895" s="21" t="s">
        <v>218</v>
      </c>
      <c r="G4895" s="15">
        <v>0.07955456570155893</v>
      </c>
      <c r="H4895" s="11" t="s">
        <v>33</v>
      </c>
      <c r="I4895" s="16">
        <v>8.128</v>
      </c>
      <c r="J4895" s="11" t="s">
        <v>1951</v>
      </c>
      <c r="K4895" s="11" t="s">
        <v>61</v>
      </c>
      <c r="L4895" s="11" t="s">
        <v>36</v>
      </c>
      <c r="M4895" s="11" t="s">
        <v>49</v>
      </c>
      <c r="N4895" s="11" t="s">
        <v>73</v>
      </c>
      <c r="O4895" s="11" t="s">
        <v>1517</v>
      </c>
      <c r="P4895" s="11" t="s">
        <v>31</v>
      </c>
      <c r="Q4895" s="20">
        <v>40655.0</v>
      </c>
      <c r="R4895" s="17">
        <f t="shared" si="2"/>
        <v>3.287831091</v>
      </c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>
        <f t="shared" si="8"/>
        <v>2</v>
      </c>
      <c r="AF4895" s="19">
        <f t="shared" si="13"/>
        <v>4</v>
      </c>
      <c r="AG4895" s="9"/>
      <c r="AH4895" s="9"/>
      <c r="AI4895" s="9"/>
    </row>
    <row r="4896" ht="15.0" customHeight="1">
      <c r="A4896" s="11">
        <v>4895.0</v>
      </c>
      <c r="B4896" s="12">
        <f t="shared" si="776"/>
        <v>40653</v>
      </c>
      <c r="C4896" s="13">
        <v>2011.0</v>
      </c>
      <c r="D4896" s="11" t="s">
        <v>44</v>
      </c>
      <c r="E4896" s="11">
        <v>23.0</v>
      </c>
      <c r="F4896" s="21" t="s">
        <v>122</v>
      </c>
      <c r="G4896" s="15">
        <v>0.04310856238876807</v>
      </c>
      <c r="H4896" s="11" t="s">
        <v>33</v>
      </c>
      <c r="I4896" s="16">
        <v>3.2</v>
      </c>
      <c r="J4896" s="11" t="s">
        <v>2531</v>
      </c>
      <c r="K4896" s="11" t="s">
        <v>35</v>
      </c>
      <c r="L4896" s="11" t="s">
        <v>48</v>
      </c>
      <c r="M4896" s="11" t="s">
        <v>66</v>
      </c>
      <c r="N4896" s="11" t="s">
        <v>67</v>
      </c>
      <c r="O4896" s="11" t="s">
        <v>2130</v>
      </c>
      <c r="P4896" s="11" t="s">
        <v>38</v>
      </c>
      <c r="Q4896" s="20">
        <v>40655.0</v>
      </c>
      <c r="R4896" s="17">
        <f t="shared" si="2"/>
        <v>20.86023334</v>
      </c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>
        <f t="shared" si="8"/>
        <v>4</v>
      </c>
      <c r="AF4896" s="19">
        <f t="shared" si="13"/>
        <v>2</v>
      </c>
      <c r="AG4896" s="9"/>
      <c r="AH4896" s="9"/>
      <c r="AI4896" s="9"/>
    </row>
    <row r="4897" ht="15.0" customHeight="1">
      <c r="A4897" s="11">
        <v>4896.0</v>
      </c>
      <c r="B4897" s="12">
        <f t="shared" si="776"/>
        <v>40653</v>
      </c>
      <c r="C4897" s="13">
        <v>2011.0</v>
      </c>
      <c r="D4897" s="11" t="s">
        <v>44</v>
      </c>
      <c r="E4897" s="11">
        <v>42.0</v>
      </c>
      <c r="F4897" s="21" t="s">
        <v>126</v>
      </c>
      <c r="G4897" s="15">
        <v>0.011978917105893492</v>
      </c>
      <c r="H4897" s="11" t="s">
        <v>33</v>
      </c>
      <c r="I4897" s="16">
        <v>0.4</v>
      </c>
      <c r="J4897" s="11" t="s">
        <v>2531</v>
      </c>
      <c r="K4897" s="11" t="s">
        <v>35</v>
      </c>
      <c r="L4897" s="11" t="s">
        <v>48</v>
      </c>
      <c r="M4897" s="11" t="s">
        <v>28</v>
      </c>
      <c r="N4897" s="11" t="s">
        <v>188</v>
      </c>
      <c r="O4897" s="11" t="s">
        <v>410</v>
      </c>
      <c r="P4897" s="11" t="s">
        <v>38</v>
      </c>
      <c r="Q4897" s="20">
        <v>40655.0</v>
      </c>
      <c r="R4897" s="17">
        <f t="shared" si="2"/>
        <v>2.470052707</v>
      </c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>
        <f t="shared" si="8"/>
        <v>4</v>
      </c>
      <c r="AF4897" s="19">
        <f t="shared" si="13"/>
        <v>2</v>
      </c>
      <c r="AG4897" s="9"/>
      <c r="AH4897" s="9"/>
      <c r="AI4897" s="9"/>
    </row>
    <row r="4898" ht="15.0" customHeight="1">
      <c r="A4898" s="11">
        <v>4897.0</v>
      </c>
      <c r="B4898" s="12">
        <f t="shared" si="776"/>
        <v>40653</v>
      </c>
      <c r="C4898" s="13">
        <v>2011.0</v>
      </c>
      <c r="D4898" s="11" t="s">
        <v>102</v>
      </c>
      <c r="E4898" s="11">
        <v>25.0</v>
      </c>
      <c r="F4898" s="21" t="s">
        <v>490</v>
      </c>
      <c r="G4898" s="15">
        <v>0.03246726252338385</v>
      </c>
      <c r="H4898" s="11" t="s">
        <v>24</v>
      </c>
      <c r="I4898" s="16">
        <v>11.440000000000001</v>
      </c>
      <c r="J4898" s="11" t="s">
        <v>1342</v>
      </c>
      <c r="K4898" s="11" t="s">
        <v>61</v>
      </c>
      <c r="L4898" s="11" t="s">
        <v>27</v>
      </c>
      <c r="M4898" s="11" t="s">
        <v>28</v>
      </c>
      <c r="N4898" s="11" t="s">
        <v>56</v>
      </c>
      <c r="O4898" s="11" t="s">
        <v>492</v>
      </c>
      <c r="P4898" s="11" t="s">
        <v>38</v>
      </c>
      <c r="Q4898" s="20">
        <v>40656.0</v>
      </c>
      <c r="R4898" s="17">
        <f t="shared" si="2"/>
        <v>45.33858408</v>
      </c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>
        <f t="shared" si="8"/>
        <v>1</v>
      </c>
      <c r="AF4898" s="19">
        <f t="shared" si="13"/>
        <v>4</v>
      </c>
      <c r="AG4898" s="9"/>
      <c r="AH4898" s="9"/>
      <c r="AI4898" s="9"/>
    </row>
    <row r="4899" ht="15.0" customHeight="1">
      <c r="A4899" s="11">
        <v>4898.0</v>
      </c>
      <c r="B4899" s="12">
        <f t="shared" si="776"/>
        <v>40653</v>
      </c>
      <c r="C4899" s="13">
        <v>2011.0</v>
      </c>
      <c r="D4899" s="11" t="s">
        <v>32</v>
      </c>
      <c r="E4899" s="11">
        <v>24.0</v>
      </c>
      <c r="F4899" s="21" t="s">
        <v>319</v>
      </c>
      <c r="G4899" s="15">
        <v>0.09344000000000013</v>
      </c>
      <c r="H4899" s="11" t="s">
        <v>33</v>
      </c>
      <c r="I4899" s="16">
        <v>0.792</v>
      </c>
      <c r="J4899" s="11" t="s">
        <v>268</v>
      </c>
      <c r="K4899" s="11" t="s">
        <v>65</v>
      </c>
      <c r="L4899" s="11" t="s">
        <v>48</v>
      </c>
      <c r="M4899" s="11" t="s">
        <v>28</v>
      </c>
      <c r="N4899" s="11" t="s">
        <v>188</v>
      </c>
      <c r="O4899" s="11" t="s">
        <v>2320</v>
      </c>
      <c r="P4899" s="11" t="s">
        <v>38</v>
      </c>
      <c r="Q4899" s="20">
        <v>40656.0</v>
      </c>
      <c r="R4899" s="17">
        <f t="shared" si="2"/>
        <v>6.35317248</v>
      </c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>
        <f t="shared" si="8"/>
        <v>4</v>
      </c>
      <c r="AF4899" s="19">
        <f t="shared" si="13"/>
        <v>5</v>
      </c>
      <c r="AG4899" s="9"/>
      <c r="AH4899" s="9"/>
      <c r="AI4899" s="9"/>
    </row>
    <row r="4900" ht="15.0" customHeight="1">
      <c r="A4900" s="11">
        <v>4899.0</v>
      </c>
      <c r="B4900" s="12">
        <f t="shared" ref="B4900:B4903" si="777">DATE(2012,12,31)-620</f>
        <v>40654</v>
      </c>
      <c r="C4900" s="13">
        <v>2011.0</v>
      </c>
      <c r="D4900" s="11" t="s">
        <v>102</v>
      </c>
      <c r="E4900" s="11">
        <v>47.0</v>
      </c>
      <c r="F4900" s="21" t="s">
        <v>379</v>
      </c>
      <c r="G4900" s="15">
        <v>0.0952232142857143</v>
      </c>
      <c r="H4900" s="11" t="s">
        <v>33</v>
      </c>
      <c r="I4900" s="16">
        <v>1.1119999999999999</v>
      </c>
      <c r="J4900" s="11" t="s">
        <v>611</v>
      </c>
      <c r="K4900" s="11" t="s">
        <v>65</v>
      </c>
      <c r="L4900" s="11" t="s">
        <v>36</v>
      </c>
      <c r="M4900" s="11" t="s">
        <v>28</v>
      </c>
      <c r="N4900" s="11" t="s">
        <v>236</v>
      </c>
      <c r="O4900" s="11" t="s">
        <v>885</v>
      </c>
      <c r="P4900" s="11" t="s">
        <v>38</v>
      </c>
      <c r="Q4900" s="20">
        <v>40656.0</v>
      </c>
      <c r="R4900" s="17">
        <f t="shared" si="2"/>
        <v>69.47599982</v>
      </c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>
        <f t="shared" si="8"/>
        <v>2</v>
      </c>
      <c r="AF4900" s="19">
        <f t="shared" si="13"/>
        <v>5</v>
      </c>
      <c r="AG4900" s="9"/>
      <c r="AH4900" s="9"/>
      <c r="AI4900" s="9"/>
    </row>
    <row r="4901" ht="15.0" customHeight="1">
      <c r="A4901" s="11">
        <v>4900.0</v>
      </c>
      <c r="B4901" s="12">
        <f t="shared" si="777"/>
        <v>40654</v>
      </c>
      <c r="C4901" s="13">
        <v>2011.0</v>
      </c>
      <c r="D4901" s="11" t="s">
        <v>102</v>
      </c>
      <c r="E4901" s="11">
        <v>12.0</v>
      </c>
      <c r="F4901" s="21" t="s">
        <v>306</v>
      </c>
      <c r="G4901" s="15">
        <v>0.02179659675504555</v>
      </c>
      <c r="H4901" s="11" t="s">
        <v>33</v>
      </c>
      <c r="I4901" s="16">
        <v>8.392000000000001</v>
      </c>
      <c r="J4901" s="11" t="s">
        <v>611</v>
      </c>
      <c r="K4901" s="11" t="s">
        <v>65</v>
      </c>
      <c r="L4901" s="11" t="s">
        <v>36</v>
      </c>
      <c r="M4901" s="11" t="s">
        <v>49</v>
      </c>
      <c r="N4901" s="11" t="s">
        <v>73</v>
      </c>
      <c r="O4901" s="11" t="s">
        <v>1135</v>
      </c>
      <c r="P4901" s="11" t="s">
        <v>38</v>
      </c>
      <c r="Q4901" s="20">
        <v>40657.0</v>
      </c>
      <c r="R4901" s="17">
        <f t="shared" si="2"/>
        <v>5.387944345</v>
      </c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>
        <f t="shared" si="8"/>
        <v>2</v>
      </c>
      <c r="AF4901" s="19">
        <f t="shared" si="13"/>
        <v>5</v>
      </c>
      <c r="AG4901" s="9"/>
      <c r="AH4901" s="9"/>
      <c r="AI4901" s="9"/>
    </row>
    <row r="4902" ht="15.0" customHeight="1">
      <c r="A4902" s="11">
        <v>4901.0</v>
      </c>
      <c r="B4902" s="12">
        <f t="shared" si="777"/>
        <v>40654</v>
      </c>
      <c r="C4902" s="13">
        <v>2011.0</v>
      </c>
      <c r="D4902" s="11" t="s">
        <v>23</v>
      </c>
      <c r="E4902" s="11">
        <v>43.0</v>
      </c>
      <c r="F4902" s="21" t="s">
        <v>130</v>
      </c>
      <c r="G4902" s="15">
        <v>0.09443329718004338</v>
      </c>
      <c r="H4902" s="11" t="s">
        <v>33</v>
      </c>
      <c r="I4902" s="16">
        <v>7.192</v>
      </c>
      <c r="J4902" s="11" t="s">
        <v>446</v>
      </c>
      <c r="K4902" s="11" t="s">
        <v>61</v>
      </c>
      <c r="L4902" s="11" t="s">
        <v>48</v>
      </c>
      <c r="M4902" s="11" t="s">
        <v>28</v>
      </c>
      <c r="N4902" s="11" t="s">
        <v>62</v>
      </c>
      <c r="O4902" s="11" t="s">
        <v>1590</v>
      </c>
      <c r="P4902" s="11" t="s">
        <v>99</v>
      </c>
      <c r="Q4902" s="20">
        <v>40657.0</v>
      </c>
      <c r="R4902" s="17">
        <f t="shared" si="2"/>
        <v>126.1526862</v>
      </c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>
        <f t="shared" si="8"/>
        <v>4</v>
      </c>
      <c r="AF4902" s="19">
        <f t="shared" si="13"/>
        <v>4</v>
      </c>
      <c r="AG4902" s="9"/>
      <c r="AH4902" s="9"/>
      <c r="AI4902" s="9"/>
    </row>
    <row r="4903" ht="15.0" customHeight="1">
      <c r="A4903" s="11">
        <v>4902.0</v>
      </c>
      <c r="B4903" s="12">
        <f t="shared" si="777"/>
        <v>40654</v>
      </c>
      <c r="C4903" s="13">
        <v>2011.0</v>
      </c>
      <c r="D4903" s="11" t="s">
        <v>23</v>
      </c>
      <c r="E4903" s="11">
        <v>49.0</v>
      </c>
      <c r="F4903" s="21" t="s">
        <v>1178</v>
      </c>
      <c r="G4903" s="15">
        <v>0.0205770257236232</v>
      </c>
      <c r="H4903" s="11" t="s">
        <v>45</v>
      </c>
      <c r="I4903" s="16">
        <v>41.760000000000005</v>
      </c>
      <c r="J4903" s="11" t="s">
        <v>1373</v>
      </c>
      <c r="K4903" s="11" t="s">
        <v>47</v>
      </c>
      <c r="L4903" s="11" t="s">
        <v>27</v>
      </c>
      <c r="M4903" s="11" t="s">
        <v>49</v>
      </c>
      <c r="N4903" s="11" t="s">
        <v>85</v>
      </c>
      <c r="O4903" s="11" t="s">
        <v>86</v>
      </c>
      <c r="P4903" s="11" t="s">
        <v>87</v>
      </c>
      <c r="Q4903" s="20">
        <v>40657.0</v>
      </c>
      <c r="R4903" s="17">
        <f t="shared" si="2"/>
        <v>215.2184044</v>
      </c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>
        <f t="shared" si="8"/>
        <v>1</v>
      </c>
      <c r="AF4903" s="19">
        <f t="shared" si="13"/>
        <v>3</v>
      </c>
      <c r="AG4903" s="9"/>
      <c r="AH4903" s="9"/>
      <c r="AI4903" s="9"/>
    </row>
    <row r="4904" ht="15.0" customHeight="1">
      <c r="A4904" s="11">
        <v>4903.0</v>
      </c>
      <c r="B4904" s="12">
        <f t="shared" ref="B4904:B4911" si="778">DATE(2012,12,31)-619</f>
        <v>40655</v>
      </c>
      <c r="C4904" s="13">
        <v>2011.0</v>
      </c>
      <c r="D4904" s="11" t="s">
        <v>102</v>
      </c>
      <c r="E4904" s="11">
        <v>3.0</v>
      </c>
      <c r="F4904" s="21" t="s">
        <v>891</v>
      </c>
      <c r="G4904" s="15">
        <v>0.051285714285714414</v>
      </c>
      <c r="H4904" s="11" t="s">
        <v>33</v>
      </c>
      <c r="I4904" s="16">
        <v>2.2640000000000002</v>
      </c>
      <c r="J4904" s="11" t="s">
        <v>2439</v>
      </c>
      <c r="K4904" s="11" t="s">
        <v>35</v>
      </c>
      <c r="L4904" s="11" t="s">
        <v>41</v>
      </c>
      <c r="M4904" s="11" t="s">
        <v>66</v>
      </c>
      <c r="N4904" s="11" t="s">
        <v>67</v>
      </c>
      <c r="O4904" s="11" t="s">
        <v>893</v>
      </c>
      <c r="P4904" s="11" t="s">
        <v>99</v>
      </c>
      <c r="Q4904" s="20">
        <v>40657.0</v>
      </c>
      <c r="R4904" s="17">
        <f t="shared" si="2"/>
        <v>1.362353714</v>
      </c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>
        <f t="shared" si="8"/>
        <v>3</v>
      </c>
      <c r="AF4904" s="19">
        <f t="shared" si="13"/>
        <v>2</v>
      </c>
      <c r="AG4904" s="9"/>
      <c r="AH4904" s="9"/>
      <c r="AI4904" s="9"/>
    </row>
    <row r="4905" ht="15.0" customHeight="1">
      <c r="A4905" s="11">
        <v>4904.0</v>
      </c>
      <c r="B4905" s="12">
        <f t="shared" si="778"/>
        <v>40655</v>
      </c>
      <c r="C4905" s="13">
        <v>2011.0</v>
      </c>
      <c r="D4905" s="11" t="s">
        <v>102</v>
      </c>
      <c r="E4905" s="11">
        <v>14.0</v>
      </c>
      <c r="F4905" s="21" t="s">
        <v>147</v>
      </c>
      <c r="G4905" s="15">
        <v>0.03715415019762851</v>
      </c>
      <c r="H4905" s="11" t="s">
        <v>33</v>
      </c>
      <c r="I4905" s="16">
        <v>0.5599999999999999</v>
      </c>
      <c r="J4905" s="11" t="s">
        <v>2439</v>
      </c>
      <c r="K4905" s="11" t="s">
        <v>35</v>
      </c>
      <c r="L4905" s="11" t="s">
        <v>41</v>
      </c>
      <c r="M4905" s="11" t="s">
        <v>28</v>
      </c>
      <c r="N4905" s="11" t="s">
        <v>62</v>
      </c>
      <c r="O4905" s="11" t="s">
        <v>182</v>
      </c>
      <c r="P4905" s="11" t="s">
        <v>58</v>
      </c>
      <c r="Q4905" s="20">
        <v>40658.0</v>
      </c>
      <c r="R4905" s="17">
        <f t="shared" si="2"/>
        <v>0.9050750988</v>
      </c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>
        <f t="shared" si="8"/>
        <v>3</v>
      </c>
      <c r="AF4905" s="19">
        <f t="shared" si="13"/>
        <v>2</v>
      </c>
      <c r="AG4905" s="9"/>
      <c r="AH4905" s="9"/>
      <c r="AI4905" s="9"/>
    </row>
    <row r="4906" ht="15.0" customHeight="1">
      <c r="A4906" s="11">
        <v>4905.0</v>
      </c>
      <c r="B4906" s="12">
        <f t="shared" si="778"/>
        <v>40655</v>
      </c>
      <c r="C4906" s="13">
        <v>2011.0</v>
      </c>
      <c r="D4906" s="11" t="s">
        <v>23</v>
      </c>
      <c r="E4906" s="11">
        <v>18.0</v>
      </c>
      <c r="F4906" s="21" t="s">
        <v>122</v>
      </c>
      <c r="G4906" s="15">
        <v>0.006670151594354471</v>
      </c>
      <c r="H4906" s="11" t="s">
        <v>24</v>
      </c>
      <c r="I4906" s="16">
        <v>3.848</v>
      </c>
      <c r="J4906" s="11" t="s">
        <v>2256</v>
      </c>
      <c r="K4906" s="11" t="s">
        <v>35</v>
      </c>
      <c r="L4906" s="11" t="s">
        <v>48</v>
      </c>
      <c r="M4906" s="11" t="s">
        <v>66</v>
      </c>
      <c r="N4906" s="11" t="s">
        <v>80</v>
      </c>
      <c r="O4906" s="11" t="s">
        <v>899</v>
      </c>
      <c r="P4906" s="11" t="s">
        <v>75</v>
      </c>
      <c r="Q4906" s="20">
        <v>40658.0</v>
      </c>
      <c r="R4906" s="17">
        <f t="shared" si="2"/>
        <v>2.534977773</v>
      </c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>
        <f t="shared" si="8"/>
        <v>4</v>
      </c>
      <c r="AF4906" s="19">
        <f t="shared" si="13"/>
        <v>2</v>
      </c>
      <c r="AG4906" s="9"/>
      <c r="AH4906" s="9"/>
      <c r="AI4906" s="9"/>
    </row>
    <row r="4907" ht="15.0" customHeight="1">
      <c r="A4907" s="11">
        <v>4906.0</v>
      </c>
      <c r="B4907" s="12">
        <f t="shared" si="778"/>
        <v>40655</v>
      </c>
      <c r="C4907" s="13">
        <v>2011.0</v>
      </c>
      <c r="D4907" s="11" t="s">
        <v>39</v>
      </c>
      <c r="E4907" s="11">
        <v>44.0</v>
      </c>
      <c r="F4907" s="21" t="s">
        <v>621</v>
      </c>
      <c r="G4907" s="15">
        <v>0.048308546978917885</v>
      </c>
      <c r="H4907" s="11" t="s">
        <v>45</v>
      </c>
      <c r="I4907" s="16">
        <v>22.448</v>
      </c>
      <c r="J4907" s="11" t="s">
        <v>1205</v>
      </c>
      <c r="K4907" s="11" t="s">
        <v>61</v>
      </c>
      <c r="L4907" s="11" t="s">
        <v>36</v>
      </c>
      <c r="M4907" s="11" t="s">
        <v>66</v>
      </c>
      <c r="N4907" s="11" t="s">
        <v>69</v>
      </c>
      <c r="O4907" s="11" t="s">
        <v>916</v>
      </c>
      <c r="P4907" s="11" t="s">
        <v>52</v>
      </c>
      <c r="Q4907" s="20">
        <v>40658.0</v>
      </c>
      <c r="R4907" s="17">
        <f t="shared" si="2"/>
        <v>576.9029868</v>
      </c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>
        <f t="shared" si="8"/>
        <v>2</v>
      </c>
      <c r="AF4907" s="19">
        <f t="shared" si="13"/>
        <v>4</v>
      </c>
      <c r="AG4907" s="9"/>
      <c r="AH4907" s="9"/>
      <c r="AI4907" s="9"/>
    </row>
    <row r="4908" ht="15.0" customHeight="1">
      <c r="A4908" s="11">
        <v>4907.0</v>
      </c>
      <c r="B4908" s="12">
        <f t="shared" si="778"/>
        <v>40655</v>
      </c>
      <c r="C4908" s="13">
        <v>2011.0</v>
      </c>
      <c r="D4908" s="11" t="s">
        <v>23</v>
      </c>
      <c r="E4908" s="11">
        <v>44.0</v>
      </c>
      <c r="F4908" s="21" t="s">
        <v>638</v>
      </c>
      <c r="G4908" s="15">
        <v>0.0232758620689657</v>
      </c>
      <c r="H4908" s="11" t="s">
        <v>24</v>
      </c>
      <c r="I4908" s="16">
        <v>4.84</v>
      </c>
      <c r="J4908" s="11" t="s">
        <v>2358</v>
      </c>
      <c r="K4908" s="11" t="s">
        <v>35</v>
      </c>
      <c r="L4908" s="11" t="s">
        <v>48</v>
      </c>
      <c r="M4908" s="11" t="s">
        <v>28</v>
      </c>
      <c r="N4908" s="11" t="s">
        <v>42</v>
      </c>
      <c r="O4908" s="11" t="s">
        <v>640</v>
      </c>
      <c r="P4908" s="11" t="s">
        <v>38</v>
      </c>
      <c r="Q4908" s="20">
        <v>40658.0</v>
      </c>
      <c r="R4908" s="17">
        <f t="shared" si="2"/>
        <v>7.384034483</v>
      </c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>
        <f t="shared" si="8"/>
        <v>4</v>
      </c>
      <c r="AF4908" s="19">
        <f t="shared" si="13"/>
        <v>2</v>
      </c>
      <c r="AG4908" s="9"/>
      <c r="AH4908" s="9"/>
      <c r="AI4908" s="9"/>
    </row>
    <row r="4909" ht="15.0" customHeight="1">
      <c r="A4909" s="11">
        <v>4908.0</v>
      </c>
      <c r="B4909" s="12">
        <f t="shared" si="778"/>
        <v>40655</v>
      </c>
      <c r="C4909" s="13">
        <v>2011.0</v>
      </c>
      <c r="D4909" s="11" t="s">
        <v>23</v>
      </c>
      <c r="E4909" s="11">
        <v>45.0</v>
      </c>
      <c r="F4909" s="21" t="s">
        <v>705</v>
      </c>
      <c r="G4909" s="15">
        <v>0.10127888232133254</v>
      </c>
      <c r="H4909" s="11" t="s">
        <v>33</v>
      </c>
      <c r="I4909" s="16">
        <v>0.752</v>
      </c>
      <c r="J4909" s="11" t="s">
        <v>2358</v>
      </c>
      <c r="K4909" s="11" t="s">
        <v>35</v>
      </c>
      <c r="L4909" s="11" t="s">
        <v>48</v>
      </c>
      <c r="M4909" s="11" t="s">
        <v>28</v>
      </c>
      <c r="N4909" s="11" t="s">
        <v>216</v>
      </c>
      <c r="O4909" s="11" t="s">
        <v>2042</v>
      </c>
      <c r="P4909" s="11" t="s">
        <v>58</v>
      </c>
      <c r="Q4909" s="20">
        <v>40658.0</v>
      </c>
      <c r="R4909" s="17">
        <f t="shared" si="2"/>
        <v>16.93909563</v>
      </c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>
        <f t="shared" si="8"/>
        <v>4</v>
      </c>
      <c r="AF4909" s="19">
        <f t="shared" si="13"/>
        <v>2</v>
      </c>
      <c r="AG4909" s="9"/>
      <c r="AH4909" s="9"/>
      <c r="AI4909" s="9"/>
    </row>
    <row r="4910" ht="15.0" customHeight="1">
      <c r="A4910" s="11">
        <v>4909.0</v>
      </c>
      <c r="B4910" s="12">
        <f t="shared" si="778"/>
        <v>40655</v>
      </c>
      <c r="C4910" s="13">
        <v>2011.0</v>
      </c>
      <c r="D4910" s="11" t="s">
        <v>44</v>
      </c>
      <c r="E4910" s="11">
        <v>50.0</v>
      </c>
      <c r="F4910" s="21" t="s">
        <v>743</v>
      </c>
      <c r="G4910" s="15">
        <v>0.07710324462530166</v>
      </c>
      <c r="H4910" s="11" t="s">
        <v>33</v>
      </c>
      <c r="I4910" s="16">
        <v>17.791999999999998</v>
      </c>
      <c r="J4910" s="11" t="s">
        <v>1802</v>
      </c>
      <c r="K4910" s="11" t="s">
        <v>61</v>
      </c>
      <c r="L4910" s="11" t="s">
        <v>27</v>
      </c>
      <c r="M4910" s="11" t="s">
        <v>49</v>
      </c>
      <c r="N4910" s="11" t="s">
        <v>73</v>
      </c>
      <c r="O4910" s="11" t="s">
        <v>745</v>
      </c>
      <c r="P4910" s="11" t="s">
        <v>31</v>
      </c>
      <c r="Q4910" s="20">
        <v>40658.0</v>
      </c>
      <c r="R4910" s="17">
        <f t="shared" si="2"/>
        <v>197.5995785</v>
      </c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>
        <f t="shared" si="8"/>
        <v>1</v>
      </c>
      <c r="AF4910" s="19">
        <f t="shared" si="13"/>
        <v>4</v>
      </c>
      <c r="AG4910" s="9"/>
      <c r="AH4910" s="9"/>
      <c r="AI4910" s="9"/>
    </row>
    <row r="4911" ht="15.0" customHeight="1">
      <c r="A4911" s="11">
        <v>4910.0</v>
      </c>
      <c r="B4911" s="12">
        <f t="shared" si="778"/>
        <v>40655</v>
      </c>
      <c r="C4911" s="13">
        <v>2011.0</v>
      </c>
      <c r="D4911" s="11" t="s">
        <v>44</v>
      </c>
      <c r="E4911" s="11">
        <v>43.0</v>
      </c>
      <c r="F4911" s="21" t="s">
        <v>1219</v>
      </c>
      <c r="G4911" s="15">
        <v>0.07665824656521457</v>
      </c>
      <c r="H4911" s="11" t="s">
        <v>33</v>
      </c>
      <c r="I4911" s="16">
        <v>6.5760000000000005</v>
      </c>
      <c r="J4911" s="11" t="s">
        <v>1802</v>
      </c>
      <c r="K4911" s="11" t="s">
        <v>61</v>
      </c>
      <c r="L4911" s="11" t="s">
        <v>27</v>
      </c>
      <c r="M4911" s="11" t="s">
        <v>28</v>
      </c>
      <c r="N4911" s="11" t="s">
        <v>29</v>
      </c>
      <c r="O4911" s="11" t="s">
        <v>1735</v>
      </c>
      <c r="P4911" s="11" t="s">
        <v>38</v>
      </c>
      <c r="Q4911" s="20">
        <v>40658.0</v>
      </c>
      <c r="R4911" s="17">
        <f t="shared" si="2"/>
        <v>114.8858743</v>
      </c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>
        <f t="shared" si="8"/>
        <v>1</v>
      </c>
      <c r="AF4911" s="19">
        <f t="shared" si="13"/>
        <v>4</v>
      </c>
      <c r="AG4911" s="9"/>
      <c r="AH4911" s="9"/>
      <c r="AI4911" s="9"/>
    </row>
    <row r="4912" ht="15.0" customHeight="1">
      <c r="A4912" s="11">
        <v>4911.0</v>
      </c>
      <c r="B4912" s="12">
        <f t="shared" ref="B4912:B4915" si="779">DATE(2012,12,31)-618</f>
        <v>40656</v>
      </c>
      <c r="C4912" s="13">
        <v>2011.0</v>
      </c>
      <c r="D4912" s="11" t="s">
        <v>44</v>
      </c>
      <c r="E4912" s="11">
        <v>35.0</v>
      </c>
      <c r="F4912" s="21" t="s">
        <v>2138</v>
      </c>
      <c r="G4912" s="15">
        <v>0.015167895167895122</v>
      </c>
      <c r="H4912" s="11" t="s">
        <v>33</v>
      </c>
      <c r="I4912" s="16">
        <v>3.7439999999999998</v>
      </c>
      <c r="J4912" s="11" t="s">
        <v>429</v>
      </c>
      <c r="K4912" s="11" t="s">
        <v>83</v>
      </c>
      <c r="L4912" s="11" t="s">
        <v>48</v>
      </c>
      <c r="M4912" s="11" t="s">
        <v>28</v>
      </c>
      <c r="N4912" s="11" t="s">
        <v>442</v>
      </c>
      <c r="O4912" s="11" t="s">
        <v>2139</v>
      </c>
      <c r="P4912" s="11" t="s">
        <v>99</v>
      </c>
      <c r="Q4912" s="20">
        <v>40659.0</v>
      </c>
      <c r="R4912" s="17">
        <f t="shared" si="2"/>
        <v>5.471727174</v>
      </c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>
        <f t="shared" si="8"/>
        <v>4</v>
      </c>
      <c r="AF4912" s="19" t="b">
        <f t="shared" si="13"/>
        <v>0</v>
      </c>
      <c r="AG4912" s="9"/>
      <c r="AH4912" s="9"/>
      <c r="AI4912" s="9"/>
    </row>
    <row r="4913" ht="15.0" customHeight="1">
      <c r="A4913" s="11">
        <v>4912.0</v>
      </c>
      <c r="B4913" s="12">
        <f t="shared" si="779"/>
        <v>40656</v>
      </c>
      <c r="C4913" s="13">
        <v>2011.0</v>
      </c>
      <c r="D4913" s="11" t="s">
        <v>32</v>
      </c>
      <c r="E4913" s="11">
        <v>24.0</v>
      </c>
      <c r="F4913" s="21" t="s">
        <v>413</v>
      </c>
      <c r="G4913" s="15">
        <v>0.09929919137466311</v>
      </c>
      <c r="H4913" s="11" t="s">
        <v>33</v>
      </c>
      <c r="I4913" s="16">
        <v>1.1119999999999999</v>
      </c>
      <c r="J4913" s="11" t="s">
        <v>1277</v>
      </c>
      <c r="K4913" s="11" t="s">
        <v>65</v>
      </c>
      <c r="L4913" s="11" t="s">
        <v>48</v>
      </c>
      <c r="M4913" s="11" t="s">
        <v>28</v>
      </c>
      <c r="N4913" s="11" t="s">
        <v>236</v>
      </c>
      <c r="O4913" s="11" t="s">
        <v>809</v>
      </c>
      <c r="P4913" s="11" t="s">
        <v>38</v>
      </c>
      <c r="Q4913" s="20">
        <v>40659.0</v>
      </c>
      <c r="R4913" s="17">
        <f t="shared" si="2"/>
        <v>23.22727245</v>
      </c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>
        <f t="shared" si="8"/>
        <v>4</v>
      </c>
      <c r="AF4913" s="19">
        <f t="shared" si="13"/>
        <v>5</v>
      </c>
      <c r="AG4913" s="9"/>
      <c r="AH4913" s="9"/>
      <c r="AI4913" s="9"/>
    </row>
    <row r="4914" ht="15.0" customHeight="1">
      <c r="A4914" s="11">
        <v>4913.0</v>
      </c>
      <c r="B4914" s="12">
        <f t="shared" si="779"/>
        <v>40656</v>
      </c>
      <c r="C4914" s="13">
        <v>2011.0</v>
      </c>
      <c r="D4914" s="11" t="s">
        <v>102</v>
      </c>
      <c r="E4914" s="11">
        <v>45.0</v>
      </c>
      <c r="F4914" s="21" t="s">
        <v>632</v>
      </c>
      <c r="G4914" s="15">
        <v>0.04415470991890207</v>
      </c>
      <c r="H4914" s="11" t="s">
        <v>33</v>
      </c>
      <c r="I4914" s="16">
        <v>4.944</v>
      </c>
      <c r="J4914" s="11" t="s">
        <v>320</v>
      </c>
      <c r="K4914" s="11" t="s">
        <v>65</v>
      </c>
      <c r="L4914" s="11" t="s">
        <v>41</v>
      </c>
      <c r="M4914" s="11" t="s">
        <v>28</v>
      </c>
      <c r="N4914" s="11" t="s">
        <v>56</v>
      </c>
      <c r="O4914" s="11" t="s">
        <v>2378</v>
      </c>
      <c r="P4914" s="11" t="s">
        <v>38</v>
      </c>
      <c r="Q4914" s="20">
        <v>40659.0</v>
      </c>
      <c r="R4914" s="17">
        <f t="shared" si="2"/>
        <v>13.53094593</v>
      </c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>
        <f t="shared" si="8"/>
        <v>3</v>
      </c>
      <c r="AF4914" s="19">
        <f t="shared" si="13"/>
        <v>5</v>
      </c>
      <c r="AG4914" s="9"/>
      <c r="AH4914" s="9"/>
      <c r="AI4914" s="9"/>
    </row>
    <row r="4915" ht="15.0" customHeight="1">
      <c r="A4915" s="11">
        <v>4914.0</v>
      </c>
      <c r="B4915" s="12">
        <f t="shared" si="779"/>
        <v>40656</v>
      </c>
      <c r="C4915" s="13">
        <v>2011.0</v>
      </c>
      <c r="D4915" s="11" t="s">
        <v>102</v>
      </c>
      <c r="E4915" s="11">
        <v>9.0</v>
      </c>
      <c r="F4915" s="21" t="s">
        <v>1904</v>
      </c>
      <c r="G4915" s="15">
        <v>0.09404687941259536</v>
      </c>
      <c r="H4915" s="11" t="s">
        <v>24</v>
      </c>
      <c r="I4915" s="16">
        <v>15.991999999999999</v>
      </c>
      <c r="J4915" s="11" t="s">
        <v>138</v>
      </c>
      <c r="K4915" s="11" t="s">
        <v>61</v>
      </c>
      <c r="L4915" s="11" t="s">
        <v>41</v>
      </c>
      <c r="M4915" s="11" t="s">
        <v>28</v>
      </c>
      <c r="N4915" s="11" t="s">
        <v>29</v>
      </c>
      <c r="O4915" s="11" t="s">
        <v>1905</v>
      </c>
      <c r="P4915" s="11" t="s">
        <v>38</v>
      </c>
      <c r="Q4915" s="20">
        <v>40659.0</v>
      </c>
      <c r="R4915" s="17">
        <f t="shared" si="2"/>
        <v>120.6802033</v>
      </c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>
        <f t="shared" si="8"/>
        <v>3</v>
      </c>
      <c r="AF4915" s="19">
        <f t="shared" si="13"/>
        <v>4</v>
      </c>
      <c r="AG4915" s="9"/>
      <c r="AH4915" s="9"/>
      <c r="AI4915" s="9"/>
    </row>
    <row r="4916" ht="15.0" customHeight="1">
      <c r="A4916" s="11">
        <v>4915.0</v>
      </c>
      <c r="B4916" s="12">
        <f t="shared" ref="B4916:B4917" si="780">DATE(2012,12,31)-617</f>
        <v>40657</v>
      </c>
      <c r="C4916" s="13">
        <v>2011.0</v>
      </c>
      <c r="D4916" s="11" t="s">
        <v>32</v>
      </c>
      <c r="E4916" s="11">
        <v>47.0</v>
      </c>
      <c r="F4916" s="21" t="s">
        <v>110</v>
      </c>
      <c r="G4916" s="15">
        <v>0.08335385768592389</v>
      </c>
      <c r="H4916" s="11" t="s">
        <v>45</v>
      </c>
      <c r="I4916" s="16">
        <v>14.280000000000001</v>
      </c>
      <c r="J4916" s="11" t="s">
        <v>1069</v>
      </c>
      <c r="K4916" s="11" t="s">
        <v>83</v>
      </c>
      <c r="L4916" s="11" t="s">
        <v>41</v>
      </c>
      <c r="M4916" s="11" t="s">
        <v>66</v>
      </c>
      <c r="N4916" s="11" t="s">
        <v>69</v>
      </c>
      <c r="O4916" s="11" t="s">
        <v>111</v>
      </c>
      <c r="P4916" s="11" t="s">
        <v>52</v>
      </c>
      <c r="Q4916" s="20">
        <v>40659.0</v>
      </c>
      <c r="R4916" s="17">
        <f t="shared" si="2"/>
        <v>570.8138857</v>
      </c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>
        <f t="shared" si="8"/>
        <v>3</v>
      </c>
      <c r="AF4916" s="19" t="b">
        <f t="shared" si="13"/>
        <v>0</v>
      </c>
      <c r="AG4916" s="9"/>
      <c r="AH4916" s="9"/>
      <c r="AI4916" s="9"/>
    </row>
    <row r="4917" ht="15.0" customHeight="1">
      <c r="A4917" s="11">
        <v>4916.0</v>
      </c>
      <c r="B4917" s="12">
        <f t="shared" si="780"/>
        <v>40657</v>
      </c>
      <c r="C4917" s="13">
        <v>2011.0</v>
      </c>
      <c r="D4917" s="11" t="s">
        <v>23</v>
      </c>
      <c r="E4917" s="11">
        <v>10.0</v>
      </c>
      <c r="F4917" s="21" t="s">
        <v>2013</v>
      </c>
      <c r="G4917" s="15">
        <v>0.07225237449118044</v>
      </c>
      <c r="H4917" s="11" t="s">
        <v>45</v>
      </c>
      <c r="I4917" s="16">
        <v>48.0</v>
      </c>
      <c r="J4917" s="11" t="s">
        <v>357</v>
      </c>
      <c r="K4917" s="11" t="s">
        <v>65</v>
      </c>
      <c r="L4917" s="11" t="s">
        <v>48</v>
      </c>
      <c r="M4917" s="11" t="s">
        <v>49</v>
      </c>
      <c r="N4917" s="11" t="s">
        <v>85</v>
      </c>
      <c r="O4917" s="11" t="s">
        <v>2014</v>
      </c>
      <c r="P4917" s="11" t="s">
        <v>52</v>
      </c>
      <c r="Q4917" s="20">
        <v>40659.0</v>
      </c>
      <c r="R4917" s="17">
        <f t="shared" si="2"/>
        <v>118.5661465</v>
      </c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>
        <f t="shared" si="8"/>
        <v>4</v>
      </c>
      <c r="AF4917" s="19">
        <f t="shared" si="13"/>
        <v>5</v>
      </c>
      <c r="AG4917" s="9"/>
      <c r="AH4917" s="9"/>
      <c r="AI4917" s="9"/>
    </row>
    <row r="4918" ht="15.0" customHeight="1">
      <c r="A4918" s="11">
        <v>4917.0</v>
      </c>
      <c r="B4918" s="12">
        <f t="shared" ref="B4918:B4923" si="781">DATE(2012,12,31)-616</f>
        <v>40658</v>
      </c>
      <c r="C4918" s="13">
        <v>2011.0</v>
      </c>
      <c r="D4918" s="11" t="s">
        <v>39</v>
      </c>
      <c r="E4918" s="11">
        <v>8.0</v>
      </c>
      <c r="F4918" s="21" t="s">
        <v>158</v>
      </c>
      <c r="G4918" s="15">
        <v>0.07889430894308938</v>
      </c>
      <c r="H4918" s="11" t="s">
        <v>33</v>
      </c>
      <c r="I4918" s="16">
        <v>5.448</v>
      </c>
      <c r="J4918" s="11" t="s">
        <v>2439</v>
      </c>
      <c r="K4918" s="11" t="s">
        <v>35</v>
      </c>
      <c r="L4918" s="11" t="s">
        <v>41</v>
      </c>
      <c r="M4918" s="11" t="s">
        <v>28</v>
      </c>
      <c r="N4918" s="11" t="s">
        <v>56</v>
      </c>
      <c r="O4918" s="11" t="s">
        <v>1698</v>
      </c>
      <c r="P4918" s="11" t="s">
        <v>38</v>
      </c>
      <c r="Q4918" s="20">
        <v>40660.0</v>
      </c>
      <c r="R4918" s="17">
        <f t="shared" si="2"/>
        <v>4.469204813</v>
      </c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>
        <f t="shared" si="8"/>
        <v>3</v>
      </c>
      <c r="AF4918" s="19">
        <f t="shared" si="13"/>
        <v>2</v>
      </c>
      <c r="AG4918" s="9"/>
      <c r="AH4918" s="9"/>
      <c r="AI4918" s="9"/>
    </row>
    <row r="4919" ht="15.0" customHeight="1">
      <c r="A4919" s="11">
        <v>4918.0</v>
      </c>
      <c r="B4919" s="12">
        <f t="shared" si="781"/>
        <v>40658</v>
      </c>
      <c r="C4919" s="13">
        <v>2011.0</v>
      </c>
      <c r="D4919" s="11" t="s">
        <v>39</v>
      </c>
      <c r="E4919" s="11">
        <v>23.0</v>
      </c>
      <c r="F4919" s="21" t="s">
        <v>573</v>
      </c>
      <c r="G4919" s="15">
        <v>0.09440570522979387</v>
      </c>
      <c r="H4919" s="11" t="s">
        <v>24</v>
      </c>
      <c r="I4919" s="16">
        <v>0.8720000000000001</v>
      </c>
      <c r="J4919" s="11" t="s">
        <v>429</v>
      </c>
      <c r="K4919" s="11" t="s">
        <v>83</v>
      </c>
      <c r="L4919" s="11" t="s">
        <v>48</v>
      </c>
      <c r="M4919" s="11" t="s">
        <v>28</v>
      </c>
      <c r="N4919" s="11" t="s">
        <v>62</v>
      </c>
      <c r="O4919" s="11" t="s">
        <v>1555</v>
      </c>
      <c r="P4919" s="11" t="s">
        <v>58</v>
      </c>
      <c r="Q4919" s="20">
        <v>40660.0</v>
      </c>
      <c r="R4919" s="17">
        <f t="shared" si="2"/>
        <v>21.57850086</v>
      </c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>
        <f t="shared" si="8"/>
        <v>4</v>
      </c>
      <c r="AF4919" s="19" t="b">
        <f t="shared" si="13"/>
        <v>0</v>
      </c>
      <c r="AG4919" s="9"/>
      <c r="AH4919" s="9"/>
      <c r="AI4919" s="9"/>
    </row>
    <row r="4920" ht="15.0" customHeight="1">
      <c r="A4920" s="11">
        <v>4919.0</v>
      </c>
      <c r="B4920" s="12">
        <f t="shared" si="781"/>
        <v>40658</v>
      </c>
      <c r="C4920" s="13">
        <v>2011.0</v>
      </c>
      <c r="D4920" s="11" t="s">
        <v>102</v>
      </c>
      <c r="E4920" s="11">
        <v>11.0</v>
      </c>
      <c r="F4920" s="21" t="s">
        <v>144</v>
      </c>
      <c r="G4920" s="15">
        <v>0.12304347826086959</v>
      </c>
      <c r="H4920" s="11" t="s">
        <v>33</v>
      </c>
      <c r="I4920" s="16">
        <v>1.1039999999999999</v>
      </c>
      <c r="J4920" s="11" t="s">
        <v>1941</v>
      </c>
      <c r="K4920" s="11" t="s">
        <v>35</v>
      </c>
      <c r="L4920" s="11" t="s">
        <v>48</v>
      </c>
      <c r="M4920" s="11" t="s">
        <v>28</v>
      </c>
      <c r="N4920" s="11" t="s">
        <v>216</v>
      </c>
      <c r="O4920" s="11" t="s">
        <v>1062</v>
      </c>
      <c r="P4920" s="11" t="s">
        <v>58</v>
      </c>
      <c r="Q4920" s="20">
        <v>40660.0</v>
      </c>
      <c r="R4920" s="17">
        <f t="shared" si="2"/>
        <v>2.978144348</v>
      </c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>
        <f t="shared" si="8"/>
        <v>4</v>
      </c>
      <c r="AF4920" s="19">
        <f t="shared" si="13"/>
        <v>2</v>
      </c>
      <c r="AG4920" s="9"/>
      <c r="AH4920" s="9"/>
      <c r="AI4920" s="9"/>
    </row>
    <row r="4921" ht="15.0" customHeight="1">
      <c r="A4921" s="11">
        <v>4920.0</v>
      </c>
      <c r="B4921" s="12">
        <f t="shared" si="781"/>
        <v>40658</v>
      </c>
      <c r="C4921" s="13">
        <v>2011.0</v>
      </c>
      <c r="D4921" s="11" t="s">
        <v>23</v>
      </c>
      <c r="E4921" s="11">
        <v>30.0</v>
      </c>
      <c r="F4921" s="21" t="s">
        <v>1207</v>
      </c>
      <c r="G4921" s="15">
        <v>0.08397331406389162</v>
      </c>
      <c r="H4921" s="11" t="s">
        <v>45</v>
      </c>
      <c r="I4921" s="16">
        <v>24.0</v>
      </c>
      <c r="J4921" s="11" t="s">
        <v>152</v>
      </c>
      <c r="K4921" s="11" t="s">
        <v>61</v>
      </c>
      <c r="L4921" s="11" t="s">
        <v>48</v>
      </c>
      <c r="M4921" s="11" t="s">
        <v>49</v>
      </c>
      <c r="N4921" s="11" t="s">
        <v>50</v>
      </c>
      <c r="O4921" s="11" t="s">
        <v>1677</v>
      </c>
      <c r="P4921" s="11" t="s">
        <v>52</v>
      </c>
      <c r="Q4921" s="20">
        <v>40660.0</v>
      </c>
      <c r="R4921" s="17">
        <f t="shared" si="2"/>
        <v>457.738535</v>
      </c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>
        <f t="shared" si="8"/>
        <v>4</v>
      </c>
      <c r="AF4921" s="19">
        <f t="shared" si="13"/>
        <v>4</v>
      </c>
      <c r="AG4921" s="9"/>
      <c r="AH4921" s="9"/>
      <c r="AI4921" s="9"/>
    </row>
    <row r="4922" ht="15.0" customHeight="1">
      <c r="A4922" s="11">
        <v>4921.0</v>
      </c>
      <c r="B4922" s="12">
        <f t="shared" si="781"/>
        <v>40658</v>
      </c>
      <c r="C4922" s="13">
        <v>2011.0</v>
      </c>
      <c r="D4922" s="11" t="s">
        <v>23</v>
      </c>
      <c r="E4922" s="11">
        <v>40.0</v>
      </c>
      <c r="F4922" s="21" t="s">
        <v>362</v>
      </c>
      <c r="G4922" s="15">
        <v>0.02451278730980901</v>
      </c>
      <c r="H4922" s="11" t="s">
        <v>24</v>
      </c>
      <c r="I4922" s="16">
        <v>10.656</v>
      </c>
      <c r="J4922" s="11" t="s">
        <v>977</v>
      </c>
      <c r="K4922" s="11" t="s">
        <v>83</v>
      </c>
      <c r="L4922" s="11" t="s">
        <v>48</v>
      </c>
      <c r="M4922" s="11" t="s">
        <v>28</v>
      </c>
      <c r="N4922" s="11" t="s">
        <v>197</v>
      </c>
      <c r="O4922" s="11" t="s">
        <v>364</v>
      </c>
      <c r="P4922" s="11" t="s">
        <v>38</v>
      </c>
      <c r="Q4922" s="20">
        <v>40660.0</v>
      </c>
      <c r="R4922" s="17">
        <f t="shared" si="2"/>
        <v>14.77277835</v>
      </c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>
        <f t="shared" si="8"/>
        <v>4</v>
      </c>
      <c r="AF4922" s="19" t="b">
        <f t="shared" si="13"/>
        <v>0</v>
      </c>
      <c r="AG4922" s="9"/>
      <c r="AH4922" s="9"/>
      <c r="AI4922" s="9"/>
    </row>
    <row r="4923" ht="15.0" customHeight="1">
      <c r="A4923" s="11">
        <v>4922.0</v>
      </c>
      <c r="B4923" s="12">
        <f t="shared" si="781"/>
        <v>40658</v>
      </c>
      <c r="C4923" s="13">
        <v>2011.0</v>
      </c>
      <c r="D4923" s="11" t="s">
        <v>23</v>
      </c>
      <c r="E4923" s="11">
        <v>23.0</v>
      </c>
      <c r="F4923" s="21" t="s">
        <v>103</v>
      </c>
      <c r="G4923" s="15">
        <v>0.03876288659793805</v>
      </c>
      <c r="H4923" s="11" t="s">
        <v>33</v>
      </c>
      <c r="I4923" s="16">
        <v>4.16</v>
      </c>
      <c r="J4923" s="11" t="s">
        <v>977</v>
      </c>
      <c r="K4923" s="11" t="s">
        <v>83</v>
      </c>
      <c r="L4923" s="11" t="s">
        <v>48</v>
      </c>
      <c r="M4923" s="11" t="s">
        <v>28</v>
      </c>
      <c r="N4923" s="11" t="s">
        <v>56</v>
      </c>
      <c r="O4923" s="11" t="s">
        <v>2322</v>
      </c>
      <c r="P4923" s="11" t="s">
        <v>38</v>
      </c>
      <c r="Q4923" s="20">
        <v>40660.0</v>
      </c>
      <c r="R4923" s="17">
        <f t="shared" si="2"/>
        <v>5.42137732</v>
      </c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>
        <f t="shared" si="8"/>
        <v>4</v>
      </c>
      <c r="AF4923" s="19" t="b">
        <f t="shared" si="13"/>
        <v>0</v>
      </c>
      <c r="AG4923" s="9"/>
      <c r="AH4923" s="9"/>
      <c r="AI4923" s="9"/>
    </row>
    <row r="4924" ht="15.0" customHeight="1">
      <c r="A4924" s="11">
        <v>4923.0</v>
      </c>
      <c r="B4924" s="12">
        <f>DATE(2012,12,31)-615</f>
        <v>40659</v>
      </c>
      <c r="C4924" s="13">
        <v>2011.0</v>
      </c>
      <c r="D4924" s="11" t="s">
        <v>44</v>
      </c>
      <c r="E4924" s="11">
        <v>46.0</v>
      </c>
      <c r="F4924" s="21" t="s">
        <v>1791</v>
      </c>
      <c r="G4924" s="15">
        <v>0.028217673489765286</v>
      </c>
      <c r="H4924" s="11" t="s">
        <v>33</v>
      </c>
      <c r="I4924" s="16">
        <v>2.8960000000000004</v>
      </c>
      <c r="J4924" s="11" t="s">
        <v>202</v>
      </c>
      <c r="K4924" s="11" t="s">
        <v>35</v>
      </c>
      <c r="L4924" s="11" t="s">
        <v>41</v>
      </c>
      <c r="M4924" s="11" t="s">
        <v>66</v>
      </c>
      <c r="N4924" s="11" t="s">
        <v>67</v>
      </c>
      <c r="O4924" s="11" t="s">
        <v>2118</v>
      </c>
      <c r="P4924" s="11" t="s">
        <v>99</v>
      </c>
      <c r="Q4924" s="20">
        <v>40661.0</v>
      </c>
      <c r="R4924" s="17">
        <f t="shared" si="2"/>
        <v>10.98502742</v>
      </c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>
        <f t="shared" si="8"/>
        <v>3</v>
      </c>
      <c r="AF4924" s="19">
        <f t="shared" si="13"/>
        <v>2</v>
      </c>
      <c r="AG4924" s="9"/>
      <c r="AH4924" s="9"/>
      <c r="AI4924" s="9"/>
    </row>
    <row r="4925" ht="15.0" customHeight="1">
      <c r="A4925" s="11">
        <v>4924.0</v>
      </c>
      <c r="B4925" s="12">
        <f t="shared" ref="B4925:B4930" si="782">DATE(2012,12,31)-613</f>
        <v>40661</v>
      </c>
      <c r="C4925" s="13">
        <v>2011.0</v>
      </c>
      <c r="D4925" s="11" t="s">
        <v>32</v>
      </c>
      <c r="E4925" s="11">
        <v>2.0</v>
      </c>
      <c r="F4925" s="21" t="s">
        <v>1160</v>
      </c>
      <c r="G4925" s="15">
        <v>0.11724754244861486</v>
      </c>
      <c r="H4925" s="11" t="s">
        <v>33</v>
      </c>
      <c r="I4925" s="16">
        <v>38.56</v>
      </c>
      <c r="J4925" s="11" t="s">
        <v>597</v>
      </c>
      <c r="K4925" s="11" t="s">
        <v>26</v>
      </c>
      <c r="L4925" s="11" t="s">
        <v>27</v>
      </c>
      <c r="M4925" s="11" t="s">
        <v>49</v>
      </c>
      <c r="N4925" s="11" t="s">
        <v>73</v>
      </c>
      <c r="O4925" s="11" t="s">
        <v>1161</v>
      </c>
      <c r="P4925" s="11" t="s">
        <v>75</v>
      </c>
      <c r="Q4925" s="20">
        <v>40661.0</v>
      </c>
      <c r="R4925" s="17">
        <f t="shared" si="2"/>
        <v>23.16342449</v>
      </c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>
        <f t="shared" si="8"/>
        <v>1</v>
      </c>
      <c r="AF4925" s="19">
        <f t="shared" si="13"/>
        <v>1</v>
      </c>
      <c r="AG4925" s="9"/>
      <c r="AH4925" s="9"/>
      <c r="AI4925" s="9"/>
    </row>
    <row r="4926" ht="15.0" customHeight="1">
      <c r="A4926" s="11">
        <v>4925.0</v>
      </c>
      <c r="B4926" s="12">
        <f t="shared" si="782"/>
        <v>40661</v>
      </c>
      <c r="C4926" s="13">
        <v>2011.0</v>
      </c>
      <c r="D4926" s="11" t="s">
        <v>32</v>
      </c>
      <c r="E4926" s="11">
        <v>2.0</v>
      </c>
      <c r="F4926" s="21" t="s">
        <v>128</v>
      </c>
      <c r="G4926" s="15">
        <v>0.08718605478477423</v>
      </c>
      <c r="H4926" s="11" t="s">
        <v>33</v>
      </c>
      <c r="I4926" s="16">
        <v>4.792000000000001</v>
      </c>
      <c r="J4926" s="11" t="s">
        <v>597</v>
      </c>
      <c r="K4926" s="11" t="s">
        <v>26</v>
      </c>
      <c r="L4926" s="11" t="s">
        <v>27</v>
      </c>
      <c r="M4926" s="11" t="s">
        <v>66</v>
      </c>
      <c r="N4926" s="11" t="s">
        <v>80</v>
      </c>
      <c r="O4926" s="11" t="s">
        <v>2316</v>
      </c>
      <c r="P4926" s="11" t="s">
        <v>38</v>
      </c>
      <c r="Q4926" s="20">
        <v>40661.0</v>
      </c>
      <c r="R4926" s="17">
        <f t="shared" si="2"/>
        <v>22.37124417</v>
      </c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>
        <f t="shared" si="8"/>
        <v>1</v>
      </c>
      <c r="AF4926" s="19">
        <f t="shared" si="13"/>
        <v>1</v>
      </c>
      <c r="AG4926" s="9"/>
      <c r="AH4926" s="9"/>
      <c r="AI4926" s="9"/>
    </row>
    <row r="4927" ht="15.0" customHeight="1">
      <c r="A4927" s="11">
        <v>4926.0</v>
      </c>
      <c r="B4927" s="12">
        <f t="shared" si="782"/>
        <v>40661</v>
      </c>
      <c r="C4927" s="13">
        <v>2011.0</v>
      </c>
      <c r="D4927" s="11" t="s">
        <v>39</v>
      </c>
      <c r="E4927" s="11">
        <v>3.0</v>
      </c>
      <c r="F4927" s="21" t="s">
        <v>869</v>
      </c>
      <c r="G4927" s="15">
        <v>0.040074211502782765</v>
      </c>
      <c r="H4927" s="11" t="s">
        <v>33</v>
      </c>
      <c r="I4927" s="16">
        <v>1.0</v>
      </c>
      <c r="J4927" s="11" t="s">
        <v>659</v>
      </c>
      <c r="K4927" s="11" t="s">
        <v>26</v>
      </c>
      <c r="L4927" s="11" t="s">
        <v>48</v>
      </c>
      <c r="M4927" s="11" t="s">
        <v>66</v>
      </c>
      <c r="N4927" s="11" t="s">
        <v>80</v>
      </c>
      <c r="O4927" s="11" t="s">
        <v>2349</v>
      </c>
      <c r="P4927" s="11" t="s">
        <v>99</v>
      </c>
      <c r="Q4927" s="20">
        <v>40661.0</v>
      </c>
      <c r="R4927" s="17">
        <f t="shared" si="2"/>
        <v>10.36719852</v>
      </c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>
        <f t="shared" si="8"/>
        <v>4</v>
      </c>
      <c r="AF4927" s="19">
        <f t="shared" si="13"/>
        <v>1</v>
      </c>
      <c r="AG4927" s="9"/>
      <c r="AH4927" s="9"/>
      <c r="AI4927" s="9"/>
    </row>
    <row r="4928" ht="15.0" customHeight="1">
      <c r="A4928" s="11">
        <v>4927.0</v>
      </c>
      <c r="B4928" s="12">
        <f t="shared" si="782"/>
        <v>40661</v>
      </c>
      <c r="C4928" s="13">
        <v>2011.0</v>
      </c>
      <c r="D4928" s="11" t="s">
        <v>44</v>
      </c>
      <c r="E4928" s="11">
        <v>11.0</v>
      </c>
      <c r="F4928" s="21" t="s">
        <v>1084</v>
      </c>
      <c r="G4928" s="15">
        <v>0.07679727427597947</v>
      </c>
      <c r="H4928" s="11" t="s">
        <v>33</v>
      </c>
      <c r="I4928" s="16">
        <v>5.792000000000001</v>
      </c>
      <c r="J4928" s="11" t="s">
        <v>55</v>
      </c>
      <c r="K4928" s="11" t="s">
        <v>26</v>
      </c>
      <c r="L4928" s="11" t="s">
        <v>41</v>
      </c>
      <c r="M4928" s="11" t="s">
        <v>49</v>
      </c>
      <c r="N4928" s="11" t="s">
        <v>73</v>
      </c>
      <c r="O4928" s="11" t="s">
        <v>2532</v>
      </c>
      <c r="P4928" s="11" t="s">
        <v>38</v>
      </c>
      <c r="Q4928" s="20">
        <v>40661.0</v>
      </c>
      <c r="R4928" s="17">
        <f t="shared" si="2"/>
        <v>4.161797888</v>
      </c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>
        <f t="shared" si="8"/>
        <v>3</v>
      </c>
      <c r="AF4928" s="19">
        <f t="shared" si="13"/>
        <v>1</v>
      </c>
      <c r="AG4928" s="9"/>
      <c r="AH4928" s="9"/>
      <c r="AI4928" s="9"/>
    </row>
    <row r="4929" ht="15.0" customHeight="1">
      <c r="A4929" s="11">
        <v>4928.0</v>
      </c>
      <c r="B4929" s="12">
        <f t="shared" si="782"/>
        <v>40661</v>
      </c>
      <c r="C4929" s="13">
        <v>2011.0</v>
      </c>
      <c r="D4929" s="11" t="s">
        <v>44</v>
      </c>
      <c r="E4929" s="11">
        <v>27.0</v>
      </c>
      <c r="F4929" s="21" t="s">
        <v>178</v>
      </c>
      <c r="G4929" s="15">
        <v>0.09267344862665305</v>
      </c>
      <c r="H4929" s="11" t="s">
        <v>24</v>
      </c>
      <c r="I4929" s="16">
        <v>4.5040000000000004</v>
      </c>
      <c r="J4929" s="11" t="s">
        <v>945</v>
      </c>
      <c r="K4929" s="11" t="s">
        <v>65</v>
      </c>
      <c r="L4929" s="11" t="s">
        <v>36</v>
      </c>
      <c r="M4929" s="11" t="s">
        <v>66</v>
      </c>
      <c r="N4929" s="11" t="s">
        <v>80</v>
      </c>
      <c r="O4929" s="11" t="s">
        <v>1250</v>
      </c>
      <c r="P4929" s="11" t="s">
        <v>38</v>
      </c>
      <c r="Q4929" s="20">
        <v>40663.0</v>
      </c>
      <c r="R4929" s="17">
        <f t="shared" si="2"/>
        <v>165.3112684</v>
      </c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>
        <f t="shared" si="8"/>
        <v>2</v>
      </c>
      <c r="AF4929" s="19">
        <f t="shared" si="13"/>
        <v>5</v>
      </c>
      <c r="AG4929" s="9"/>
      <c r="AH4929" s="9"/>
      <c r="AI4929" s="9"/>
    </row>
    <row r="4930" ht="15.0" customHeight="1">
      <c r="A4930" s="11">
        <v>4929.0</v>
      </c>
      <c r="B4930" s="12">
        <f t="shared" si="782"/>
        <v>40661</v>
      </c>
      <c r="C4930" s="13">
        <v>2011.0</v>
      </c>
      <c r="D4930" s="11" t="s">
        <v>23</v>
      </c>
      <c r="E4930" s="11">
        <v>28.0</v>
      </c>
      <c r="F4930" s="21" t="s">
        <v>536</v>
      </c>
      <c r="G4930" s="15">
        <v>0.052101924465964455</v>
      </c>
      <c r="H4930" s="11" t="s">
        <v>45</v>
      </c>
      <c r="I4930" s="16">
        <v>56.160000000000004</v>
      </c>
      <c r="J4930" s="11" t="s">
        <v>1817</v>
      </c>
      <c r="K4930" s="11" t="s">
        <v>65</v>
      </c>
      <c r="L4930" s="11" t="s">
        <v>48</v>
      </c>
      <c r="M4930" s="11" t="s">
        <v>49</v>
      </c>
      <c r="N4930" s="11" t="s">
        <v>50</v>
      </c>
      <c r="O4930" s="11" t="s">
        <v>537</v>
      </c>
      <c r="P4930" s="11" t="s">
        <v>52</v>
      </c>
      <c r="Q4930" s="20">
        <v>40663.0</v>
      </c>
      <c r="R4930" s="17">
        <f t="shared" si="2"/>
        <v>182.2191866</v>
      </c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>
        <f t="shared" si="8"/>
        <v>4</v>
      </c>
      <c r="AF4930" s="19">
        <f t="shared" si="13"/>
        <v>5</v>
      </c>
      <c r="AG4930" s="9"/>
      <c r="AH4930" s="9"/>
      <c r="AI4930" s="9"/>
    </row>
    <row r="4931" ht="15.0" customHeight="1">
      <c r="A4931" s="11">
        <v>4930.0</v>
      </c>
      <c r="B4931" s="12">
        <f t="shared" ref="B4931:B4938" si="783">DATE(2012,12,31)-612</f>
        <v>40662</v>
      </c>
      <c r="C4931" s="13">
        <v>2011.0</v>
      </c>
      <c r="D4931" s="11" t="s">
        <v>102</v>
      </c>
      <c r="E4931" s="11">
        <v>12.0</v>
      </c>
      <c r="F4931" s="21" t="s">
        <v>103</v>
      </c>
      <c r="G4931" s="15">
        <v>0.0629999999999999</v>
      </c>
      <c r="H4931" s="11" t="s">
        <v>33</v>
      </c>
      <c r="I4931" s="16">
        <v>4.16</v>
      </c>
      <c r="J4931" s="11" t="s">
        <v>407</v>
      </c>
      <c r="K4931" s="11" t="s">
        <v>26</v>
      </c>
      <c r="L4931" s="11" t="s">
        <v>36</v>
      </c>
      <c r="M4931" s="11" t="s">
        <v>28</v>
      </c>
      <c r="N4931" s="11" t="s">
        <v>56</v>
      </c>
      <c r="O4931" s="11" t="s">
        <v>2322</v>
      </c>
      <c r="P4931" s="11" t="s">
        <v>38</v>
      </c>
      <c r="Q4931" s="20">
        <v>40663.0</v>
      </c>
      <c r="R4931" s="17">
        <f t="shared" si="2"/>
        <v>4.72248</v>
      </c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>
        <f t="shared" si="8"/>
        <v>2</v>
      </c>
      <c r="AF4931" s="19">
        <f t="shared" si="13"/>
        <v>1</v>
      </c>
      <c r="AG4931" s="9"/>
      <c r="AH4931" s="9"/>
      <c r="AI4931" s="9"/>
    </row>
    <row r="4932" ht="15.0" customHeight="1">
      <c r="A4932" s="11">
        <v>4931.0</v>
      </c>
      <c r="B4932" s="12">
        <f t="shared" si="783"/>
        <v>40662</v>
      </c>
      <c r="C4932" s="13">
        <v>2011.0</v>
      </c>
      <c r="D4932" s="11" t="s">
        <v>44</v>
      </c>
      <c r="E4932" s="11">
        <v>49.0</v>
      </c>
      <c r="F4932" s="21" t="s">
        <v>1088</v>
      </c>
      <c r="G4932" s="15">
        <v>0.08463551401869167</v>
      </c>
      <c r="H4932" s="11" t="s">
        <v>33</v>
      </c>
      <c r="I4932" s="16">
        <v>3.696</v>
      </c>
      <c r="J4932" s="11" t="s">
        <v>563</v>
      </c>
      <c r="K4932" s="11" t="s">
        <v>83</v>
      </c>
      <c r="L4932" s="11" t="s">
        <v>36</v>
      </c>
      <c r="M4932" s="11" t="s">
        <v>28</v>
      </c>
      <c r="N4932" s="11" t="s">
        <v>197</v>
      </c>
      <c r="O4932" s="11" t="s">
        <v>1090</v>
      </c>
      <c r="P4932" s="11" t="s">
        <v>38</v>
      </c>
      <c r="Q4932" s="20">
        <v>40663.0</v>
      </c>
      <c r="R4932" s="17">
        <f t="shared" si="2"/>
        <v>178.2251269</v>
      </c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>
        <f t="shared" si="8"/>
        <v>2</v>
      </c>
      <c r="AF4932" s="19" t="b">
        <f t="shared" si="13"/>
        <v>0</v>
      </c>
      <c r="AG4932" s="9"/>
      <c r="AH4932" s="9"/>
      <c r="AI4932" s="9"/>
    </row>
    <row r="4933" ht="15.0" customHeight="1">
      <c r="A4933" s="11">
        <v>4932.0</v>
      </c>
      <c r="B4933" s="12">
        <f t="shared" si="783"/>
        <v>40662</v>
      </c>
      <c r="C4933" s="13">
        <v>2011.0</v>
      </c>
      <c r="D4933" s="11" t="s">
        <v>44</v>
      </c>
      <c r="E4933" s="11">
        <v>39.0</v>
      </c>
      <c r="F4933" s="21" t="s">
        <v>400</v>
      </c>
      <c r="G4933" s="15">
        <v>0.020650169820475545</v>
      </c>
      <c r="H4933" s="11" t="s">
        <v>45</v>
      </c>
      <c r="I4933" s="16">
        <v>47.136</v>
      </c>
      <c r="J4933" s="11" t="s">
        <v>563</v>
      </c>
      <c r="K4933" s="11" t="s">
        <v>83</v>
      </c>
      <c r="L4933" s="11" t="s">
        <v>36</v>
      </c>
      <c r="M4933" s="11" t="s">
        <v>49</v>
      </c>
      <c r="N4933" s="11" t="s">
        <v>50</v>
      </c>
      <c r="O4933" s="11" t="s">
        <v>123</v>
      </c>
      <c r="P4933" s="11" t="s">
        <v>52</v>
      </c>
      <c r="Q4933" s="20">
        <v>40663.0</v>
      </c>
      <c r="R4933" s="17">
        <f t="shared" si="2"/>
        <v>287.5997885</v>
      </c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>
        <f t="shared" si="8"/>
        <v>2</v>
      </c>
      <c r="AF4933" s="19" t="b">
        <f t="shared" si="13"/>
        <v>0</v>
      </c>
      <c r="AG4933" s="9"/>
      <c r="AH4933" s="9"/>
      <c r="AI4933" s="9"/>
    </row>
    <row r="4934" ht="15.0" customHeight="1">
      <c r="A4934" s="11">
        <v>4933.0</v>
      </c>
      <c r="B4934" s="12">
        <f t="shared" si="783"/>
        <v>40662</v>
      </c>
      <c r="C4934" s="13">
        <v>2011.0</v>
      </c>
      <c r="D4934" s="11" t="s">
        <v>23</v>
      </c>
      <c r="E4934" s="11">
        <v>48.0</v>
      </c>
      <c r="F4934" s="21" t="s">
        <v>377</v>
      </c>
      <c r="G4934" s="15">
        <v>0.02979292137612415</v>
      </c>
      <c r="H4934" s="11" t="s">
        <v>33</v>
      </c>
      <c r="I4934" s="16">
        <v>4.776</v>
      </c>
      <c r="J4934" s="11" t="s">
        <v>2475</v>
      </c>
      <c r="K4934" s="11" t="s">
        <v>35</v>
      </c>
      <c r="L4934" s="11" t="s">
        <v>41</v>
      </c>
      <c r="M4934" s="11" t="s">
        <v>28</v>
      </c>
      <c r="N4934" s="11" t="s">
        <v>56</v>
      </c>
      <c r="O4934" s="11" t="s">
        <v>1956</v>
      </c>
      <c r="P4934" s="11" t="s">
        <v>38</v>
      </c>
      <c r="Q4934" s="20">
        <v>40663.0</v>
      </c>
      <c r="R4934" s="17">
        <f t="shared" si="2"/>
        <v>70.07223605</v>
      </c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>
        <f t="shared" si="8"/>
        <v>3</v>
      </c>
      <c r="AF4934" s="19">
        <f t="shared" si="13"/>
        <v>2</v>
      </c>
      <c r="AG4934" s="9"/>
      <c r="AH4934" s="9"/>
      <c r="AI4934" s="9"/>
    </row>
    <row r="4935" ht="15.0" customHeight="1">
      <c r="A4935" s="11">
        <v>4934.0</v>
      </c>
      <c r="B4935" s="12">
        <f t="shared" si="783"/>
        <v>40662</v>
      </c>
      <c r="C4935" s="13">
        <v>2011.0</v>
      </c>
      <c r="D4935" s="11" t="s">
        <v>23</v>
      </c>
      <c r="E4935" s="11">
        <v>49.0</v>
      </c>
      <c r="F4935" s="21" t="s">
        <v>805</v>
      </c>
      <c r="G4935" s="15">
        <v>0.0750056571871702</v>
      </c>
      <c r="H4935" s="11" t="s">
        <v>45</v>
      </c>
      <c r="I4935" s="16">
        <v>43.296</v>
      </c>
      <c r="J4935" s="11" t="s">
        <v>2475</v>
      </c>
      <c r="K4935" s="11" t="s">
        <v>35</v>
      </c>
      <c r="L4935" s="11" t="s">
        <v>41</v>
      </c>
      <c r="M4935" s="11" t="s">
        <v>49</v>
      </c>
      <c r="N4935" s="11" t="s">
        <v>85</v>
      </c>
      <c r="O4935" s="11" t="s">
        <v>807</v>
      </c>
      <c r="P4935" s="11" t="s">
        <v>87</v>
      </c>
      <c r="Q4935" s="20">
        <v>40664.0</v>
      </c>
      <c r="R4935" s="17">
        <f t="shared" si="2"/>
        <v>1091.497024</v>
      </c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>
        <f t="shared" si="8"/>
        <v>3</v>
      </c>
      <c r="AF4935" s="19">
        <f t="shared" si="13"/>
        <v>2</v>
      </c>
      <c r="AG4935" s="9"/>
      <c r="AH4935" s="9"/>
      <c r="AI4935" s="9"/>
    </row>
    <row r="4936" ht="15.0" customHeight="1">
      <c r="A4936" s="11">
        <v>4935.0</v>
      </c>
      <c r="B4936" s="12">
        <f t="shared" si="783"/>
        <v>40662</v>
      </c>
      <c r="C4936" s="13">
        <v>2011.0</v>
      </c>
      <c r="D4936" s="11" t="s">
        <v>44</v>
      </c>
      <c r="E4936" s="11">
        <v>45.0</v>
      </c>
      <c r="F4936" s="21" t="s">
        <v>696</v>
      </c>
      <c r="G4936" s="15">
        <v>0.08315466522288409</v>
      </c>
      <c r="H4936" s="11" t="s">
        <v>33</v>
      </c>
      <c r="I4936" s="16">
        <v>4.024</v>
      </c>
      <c r="J4936" s="11" t="s">
        <v>2039</v>
      </c>
      <c r="K4936" s="11" t="s">
        <v>83</v>
      </c>
      <c r="L4936" s="11" t="s">
        <v>27</v>
      </c>
      <c r="M4936" s="11" t="s">
        <v>28</v>
      </c>
      <c r="N4936" s="11" t="s">
        <v>29</v>
      </c>
      <c r="O4936" s="11" t="s">
        <v>698</v>
      </c>
      <c r="P4936" s="11" t="s">
        <v>38</v>
      </c>
      <c r="Q4936" s="20">
        <v>40664.0</v>
      </c>
      <c r="R4936" s="17">
        <f t="shared" si="2"/>
        <v>42.24456565</v>
      </c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>
        <f t="shared" si="8"/>
        <v>1</v>
      </c>
      <c r="AF4936" s="19" t="b">
        <f t="shared" si="13"/>
        <v>0</v>
      </c>
      <c r="AG4936" s="9"/>
      <c r="AH4936" s="9"/>
      <c r="AI4936" s="9"/>
    </row>
    <row r="4937" ht="15.0" customHeight="1">
      <c r="A4937" s="11">
        <v>4936.0</v>
      </c>
      <c r="B4937" s="12">
        <f t="shared" si="783"/>
        <v>40662</v>
      </c>
      <c r="C4937" s="13">
        <v>2011.0</v>
      </c>
      <c r="D4937" s="11" t="s">
        <v>23</v>
      </c>
      <c r="E4937" s="11">
        <v>11.0</v>
      </c>
      <c r="F4937" s="21" t="s">
        <v>562</v>
      </c>
      <c r="G4937" s="15">
        <v>0.01097977503978837</v>
      </c>
      <c r="H4937" s="11" t="s">
        <v>45</v>
      </c>
      <c r="I4937" s="16">
        <v>20.8</v>
      </c>
      <c r="J4937" s="11" t="s">
        <v>2026</v>
      </c>
      <c r="K4937" s="11" t="s">
        <v>65</v>
      </c>
      <c r="L4937" s="11" t="s">
        <v>41</v>
      </c>
      <c r="M4937" s="11" t="s">
        <v>49</v>
      </c>
      <c r="N4937" s="11" t="s">
        <v>50</v>
      </c>
      <c r="O4937" s="11" t="s">
        <v>1649</v>
      </c>
      <c r="P4937" s="11" t="s">
        <v>52</v>
      </c>
      <c r="Q4937" s="20">
        <v>40664.0</v>
      </c>
      <c r="R4937" s="17">
        <f t="shared" si="2"/>
        <v>60.72584181</v>
      </c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>
        <f t="shared" si="8"/>
        <v>3</v>
      </c>
      <c r="AF4937" s="19">
        <f t="shared" si="13"/>
        <v>5</v>
      </c>
      <c r="AG4937" s="9"/>
      <c r="AH4937" s="9"/>
      <c r="AI4937" s="9"/>
    </row>
    <row r="4938" ht="15.0" customHeight="1">
      <c r="A4938" s="11">
        <v>4937.0</v>
      </c>
      <c r="B4938" s="12">
        <f t="shared" si="783"/>
        <v>40662</v>
      </c>
      <c r="C4938" s="13">
        <v>2011.0</v>
      </c>
      <c r="D4938" s="11" t="s">
        <v>23</v>
      </c>
      <c r="E4938" s="11">
        <v>21.0</v>
      </c>
      <c r="F4938" s="21" t="s">
        <v>1791</v>
      </c>
      <c r="G4938" s="15">
        <v>0.10350515463917515</v>
      </c>
      <c r="H4938" s="11" t="s">
        <v>33</v>
      </c>
      <c r="I4938" s="16">
        <v>6.216</v>
      </c>
      <c r="J4938" s="11" t="s">
        <v>2026</v>
      </c>
      <c r="K4938" s="11" t="s">
        <v>65</v>
      </c>
      <c r="L4938" s="11" t="s">
        <v>41</v>
      </c>
      <c r="M4938" s="11" t="s">
        <v>28</v>
      </c>
      <c r="N4938" s="11" t="s">
        <v>442</v>
      </c>
      <c r="O4938" s="11" t="s">
        <v>2254</v>
      </c>
      <c r="P4938" s="11" t="s">
        <v>99</v>
      </c>
      <c r="Q4938" s="20">
        <v>40664.0</v>
      </c>
      <c r="R4938" s="17">
        <f t="shared" si="2"/>
        <v>18.90169732</v>
      </c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>
        <f t="shared" si="8"/>
        <v>3</v>
      </c>
      <c r="AF4938" s="19">
        <f t="shared" si="13"/>
        <v>5</v>
      </c>
      <c r="AG4938" s="9"/>
      <c r="AH4938" s="9"/>
      <c r="AI4938" s="9"/>
    </row>
    <row r="4939" ht="15.0" customHeight="1">
      <c r="A4939" s="11">
        <v>4938.0</v>
      </c>
      <c r="B4939" s="12">
        <f t="shared" ref="B4939:B4945" si="784">DATE(2012,12,31)-611</f>
        <v>40663</v>
      </c>
      <c r="C4939" s="13">
        <v>2011.0</v>
      </c>
      <c r="D4939" s="11" t="s">
        <v>32</v>
      </c>
      <c r="E4939" s="11">
        <v>33.0</v>
      </c>
      <c r="F4939" s="21" t="s">
        <v>997</v>
      </c>
      <c r="G4939" s="15">
        <v>0.026332597479908702</v>
      </c>
      <c r="H4939" s="11" t="s">
        <v>45</v>
      </c>
      <c r="I4939" s="16">
        <v>48.160000000000004</v>
      </c>
      <c r="J4939" s="11" t="s">
        <v>398</v>
      </c>
      <c r="K4939" s="11" t="s">
        <v>35</v>
      </c>
      <c r="L4939" s="11" t="s">
        <v>27</v>
      </c>
      <c r="M4939" s="11" t="s">
        <v>49</v>
      </c>
      <c r="N4939" s="11" t="s">
        <v>50</v>
      </c>
      <c r="O4939" s="11" t="s">
        <v>999</v>
      </c>
      <c r="P4939" s="11" t="s">
        <v>52</v>
      </c>
      <c r="Q4939" s="20">
        <v>40664.0</v>
      </c>
      <c r="R4939" s="17">
        <f t="shared" si="2"/>
        <v>132.309716</v>
      </c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>
        <f t="shared" si="8"/>
        <v>1</v>
      </c>
      <c r="AF4939" s="19">
        <f t="shared" si="13"/>
        <v>2</v>
      </c>
      <c r="AG4939" s="9"/>
      <c r="AH4939" s="9"/>
      <c r="AI4939" s="9"/>
    </row>
    <row r="4940" ht="15.0" customHeight="1">
      <c r="A4940" s="11">
        <v>4939.0</v>
      </c>
      <c r="B4940" s="12">
        <f t="shared" si="784"/>
        <v>40663</v>
      </c>
      <c r="C4940" s="13">
        <v>2011.0</v>
      </c>
      <c r="D4940" s="11" t="s">
        <v>23</v>
      </c>
      <c r="E4940" s="11">
        <v>7.0</v>
      </c>
      <c r="F4940" s="21" t="s">
        <v>245</v>
      </c>
      <c r="G4940" s="15">
        <v>0.08046908315565034</v>
      </c>
      <c r="H4940" s="11" t="s">
        <v>33</v>
      </c>
      <c r="I4940" s="16">
        <v>5.752000000000001</v>
      </c>
      <c r="J4940" s="11" t="s">
        <v>945</v>
      </c>
      <c r="K4940" s="11" t="s">
        <v>65</v>
      </c>
      <c r="L4940" s="11" t="s">
        <v>27</v>
      </c>
      <c r="M4940" s="11" t="s">
        <v>28</v>
      </c>
      <c r="N4940" s="11" t="s">
        <v>42</v>
      </c>
      <c r="O4940" s="11" t="s">
        <v>1030</v>
      </c>
      <c r="P4940" s="11" t="s">
        <v>38</v>
      </c>
      <c r="Q4940" s="20">
        <v>40665.0</v>
      </c>
      <c r="R4940" s="17">
        <f t="shared" si="2"/>
        <v>6.94061936</v>
      </c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>
        <f t="shared" si="8"/>
        <v>1</v>
      </c>
      <c r="AF4940" s="19">
        <f t="shared" si="13"/>
        <v>5</v>
      </c>
      <c r="AG4940" s="9"/>
      <c r="AH4940" s="9"/>
      <c r="AI4940" s="9"/>
    </row>
    <row r="4941" ht="15.0" customHeight="1">
      <c r="A4941" s="11">
        <v>4940.0</v>
      </c>
      <c r="B4941" s="12">
        <f t="shared" si="784"/>
        <v>40663</v>
      </c>
      <c r="C4941" s="13">
        <v>2011.0</v>
      </c>
      <c r="D4941" s="11" t="s">
        <v>23</v>
      </c>
      <c r="E4941" s="11">
        <v>41.0</v>
      </c>
      <c r="F4941" s="21" t="s">
        <v>952</v>
      </c>
      <c r="G4941" s="15">
        <v>0.08288716179462159</v>
      </c>
      <c r="H4941" s="11" t="s">
        <v>33</v>
      </c>
      <c r="I4941" s="16">
        <v>19.592</v>
      </c>
      <c r="J4941" s="11" t="s">
        <v>945</v>
      </c>
      <c r="K4941" s="11" t="s">
        <v>65</v>
      </c>
      <c r="L4941" s="11" t="s">
        <v>27</v>
      </c>
      <c r="M4941" s="11" t="s">
        <v>66</v>
      </c>
      <c r="N4941" s="11" t="s">
        <v>170</v>
      </c>
      <c r="O4941" s="11" t="s">
        <v>2110</v>
      </c>
      <c r="P4941" s="11" t="s">
        <v>31</v>
      </c>
      <c r="Q4941" s="20">
        <v>40665.0</v>
      </c>
      <c r="R4941" s="17">
        <f t="shared" si="2"/>
        <v>2040.308268</v>
      </c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>
        <f t="shared" si="8"/>
        <v>1</v>
      </c>
      <c r="AF4941" s="19">
        <f t="shared" si="13"/>
        <v>5</v>
      </c>
      <c r="AG4941" s="9"/>
      <c r="AH4941" s="9"/>
      <c r="AI4941" s="9"/>
    </row>
    <row r="4942" ht="15.0" customHeight="1">
      <c r="A4942" s="11">
        <v>4941.0</v>
      </c>
      <c r="B4942" s="12">
        <f t="shared" si="784"/>
        <v>40663</v>
      </c>
      <c r="C4942" s="13">
        <v>2011.0</v>
      </c>
      <c r="D4942" s="11" t="s">
        <v>39</v>
      </c>
      <c r="E4942" s="11">
        <v>33.0</v>
      </c>
      <c r="F4942" s="21" t="s">
        <v>810</v>
      </c>
      <c r="G4942" s="15">
        <v>0.07401888236795097</v>
      </c>
      <c r="H4942" s="11" t="s">
        <v>33</v>
      </c>
      <c r="I4942" s="16">
        <v>3.192</v>
      </c>
      <c r="J4942" s="11" t="s">
        <v>1731</v>
      </c>
      <c r="K4942" s="11" t="s">
        <v>35</v>
      </c>
      <c r="L4942" s="11" t="s">
        <v>48</v>
      </c>
      <c r="M4942" s="11" t="s">
        <v>28</v>
      </c>
      <c r="N4942" s="11" t="s">
        <v>197</v>
      </c>
      <c r="O4942" s="11" t="s">
        <v>1322</v>
      </c>
      <c r="P4942" s="11" t="s">
        <v>38</v>
      </c>
      <c r="Q4942" s="20">
        <v>40665.0</v>
      </c>
      <c r="R4942" s="17">
        <f t="shared" si="2"/>
        <v>26.86086026</v>
      </c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>
        <f t="shared" si="8"/>
        <v>4</v>
      </c>
      <c r="AF4942" s="19">
        <f t="shared" si="13"/>
        <v>2</v>
      </c>
      <c r="AG4942" s="9"/>
      <c r="AH4942" s="9"/>
      <c r="AI4942" s="9"/>
    </row>
    <row r="4943" ht="15.0" customHeight="1">
      <c r="A4943" s="11">
        <v>4942.0</v>
      </c>
      <c r="B4943" s="12">
        <f t="shared" si="784"/>
        <v>40663</v>
      </c>
      <c r="C4943" s="13">
        <v>2011.0</v>
      </c>
      <c r="D4943" s="11" t="s">
        <v>39</v>
      </c>
      <c r="E4943" s="11">
        <v>22.0</v>
      </c>
      <c r="F4943" s="21" t="s">
        <v>1015</v>
      </c>
      <c r="G4943" s="15">
        <v>0.052710280373831735</v>
      </c>
      <c r="H4943" s="11" t="s">
        <v>33</v>
      </c>
      <c r="I4943" s="16">
        <v>6.368</v>
      </c>
      <c r="J4943" s="11" t="s">
        <v>1731</v>
      </c>
      <c r="K4943" s="11" t="s">
        <v>35</v>
      </c>
      <c r="L4943" s="11" t="s">
        <v>48</v>
      </c>
      <c r="M4943" s="11" t="s">
        <v>28</v>
      </c>
      <c r="N4943" s="11" t="s">
        <v>56</v>
      </c>
      <c r="O4943" s="11" t="s">
        <v>1531</v>
      </c>
      <c r="P4943" s="11" t="s">
        <v>38</v>
      </c>
      <c r="Q4943" s="20">
        <v>40665.0</v>
      </c>
      <c r="R4943" s="17">
        <f t="shared" si="2"/>
        <v>6.945528224</v>
      </c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>
        <f t="shared" si="8"/>
        <v>4</v>
      </c>
      <c r="AF4943" s="19">
        <f t="shared" si="13"/>
        <v>2</v>
      </c>
      <c r="AG4943" s="9"/>
      <c r="AH4943" s="9"/>
      <c r="AI4943" s="9"/>
    </row>
    <row r="4944" ht="15.0" customHeight="1">
      <c r="A4944" s="11">
        <v>4943.0</v>
      </c>
      <c r="B4944" s="12">
        <f t="shared" si="784"/>
        <v>40663</v>
      </c>
      <c r="C4944" s="13">
        <v>2011.0</v>
      </c>
      <c r="D4944" s="11" t="s">
        <v>102</v>
      </c>
      <c r="E4944" s="11">
        <v>4.0</v>
      </c>
      <c r="F4944" s="21" t="s">
        <v>1261</v>
      </c>
      <c r="G4944" s="15">
        <v>0.0829268292682927</v>
      </c>
      <c r="H4944" s="11" t="s">
        <v>33</v>
      </c>
      <c r="I4944" s="16">
        <v>3.2</v>
      </c>
      <c r="J4944" s="11" t="s">
        <v>1915</v>
      </c>
      <c r="K4944" s="11" t="s">
        <v>61</v>
      </c>
      <c r="L4944" s="11" t="s">
        <v>27</v>
      </c>
      <c r="M4944" s="11" t="s">
        <v>66</v>
      </c>
      <c r="N4944" s="11" t="s">
        <v>67</v>
      </c>
      <c r="O4944" s="11" t="s">
        <v>1262</v>
      </c>
      <c r="P4944" s="11" t="s">
        <v>38</v>
      </c>
      <c r="Q4944" s="20">
        <v>40665.0</v>
      </c>
      <c r="R4944" s="17">
        <f t="shared" si="2"/>
        <v>9.354146341</v>
      </c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>
        <f t="shared" si="8"/>
        <v>1</v>
      </c>
      <c r="AF4944" s="19">
        <f t="shared" si="13"/>
        <v>4</v>
      </c>
      <c r="AG4944" s="9"/>
      <c r="AH4944" s="9"/>
      <c r="AI4944" s="9"/>
    </row>
    <row r="4945" ht="15.0" customHeight="1">
      <c r="A4945" s="11">
        <v>4944.0</v>
      </c>
      <c r="B4945" s="12">
        <f t="shared" si="784"/>
        <v>40663</v>
      </c>
      <c r="C4945" s="13">
        <v>2011.0</v>
      </c>
      <c r="D4945" s="11" t="s">
        <v>39</v>
      </c>
      <c r="E4945" s="11">
        <v>21.0</v>
      </c>
      <c r="F4945" s="21" t="s">
        <v>1156</v>
      </c>
      <c r="G4945" s="15">
        <v>0.07504187226843366</v>
      </c>
      <c r="H4945" s="11" t="s">
        <v>33</v>
      </c>
      <c r="I4945" s="16">
        <v>6.464</v>
      </c>
      <c r="J4945" s="11" t="s">
        <v>2112</v>
      </c>
      <c r="K4945" s="11" t="s">
        <v>26</v>
      </c>
      <c r="L4945" s="11" t="s">
        <v>41</v>
      </c>
      <c r="M4945" s="11" t="s">
        <v>66</v>
      </c>
      <c r="N4945" s="11" t="s">
        <v>80</v>
      </c>
      <c r="O4945" s="11" t="s">
        <v>1794</v>
      </c>
      <c r="P4945" s="11" t="s">
        <v>38</v>
      </c>
      <c r="Q4945" s="20">
        <v>40666.0</v>
      </c>
      <c r="R4945" s="17">
        <f t="shared" si="2"/>
        <v>246.1646563</v>
      </c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>
        <f t="shared" si="8"/>
        <v>3</v>
      </c>
      <c r="AF4945" s="19">
        <f t="shared" si="13"/>
        <v>1</v>
      </c>
      <c r="AG4945" s="9"/>
      <c r="AH4945" s="9"/>
      <c r="AI4945" s="9"/>
    </row>
    <row r="4946" ht="15.0" customHeight="1">
      <c r="A4946" s="11">
        <v>4945.0</v>
      </c>
      <c r="B4946" s="12">
        <f t="shared" ref="B4946:B4954" si="785">DATE(2012,12,31)-610</f>
        <v>40664</v>
      </c>
      <c r="C4946" s="13">
        <v>2011.0</v>
      </c>
      <c r="D4946" s="11" t="s">
        <v>32</v>
      </c>
      <c r="E4946" s="11">
        <v>31.0</v>
      </c>
      <c r="F4946" s="21" t="s">
        <v>1076</v>
      </c>
      <c r="G4946" s="15">
        <v>0.014942281052793724</v>
      </c>
      <c r="H4946" s="11" t="s">
        <v>33</v>
      </c>
      <c r="I4946" s="16">
        <v>15.184000000000001</v>
      </c>
      <c r="J4946" s="11" t="s">
        <v>1021</v>
      </c>
      <c r="K4946" s="11" t="s">
        <v>61</v>
      </c>
      <c r="L4946" s="11" t="s">
        <v>27</v>
      </c>
      <c r="M4946" s="11" t="s">
        <v>49</v>
      </c>
      <c r="N4946" s="11" t="s">
        <v>73</v>
      </c>
      <c r="O4946" s="11" t="s">
        <v>1077</v>
      </c>
      <c r="P4946" s="11" t="s">
        <v>38</v>
      </c>
      <c r="Q4946" s="20">
        <v>40666.0</v>
      </c>
      <c r="R4946" s="17">
        <f t="shared" si="2"/>
        <v>19.12588067</v>
      </c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>
        <f t="shared" si="8"/>
        <v>1</v>
      </c>
      <c r="AF4946" s="19">
        <f t="shared" si="13"/>
        <v>4</v>
      </c>
      <c r="AG4946" s="9"/>
      <c r="AH4946" s="9"/>
      <c r="AI4946" s="9"/>
    </row>
    <row r="4947" ht="15.0" customHeight="1">
      <c r="A4947" s="11">
        <v>4946.0</v>
      </c>
      <c r="B4947" s="12">
        <f t="shared" si="785"/>
        <v>40664</v>
      </c>
      <c r="C4947" s="13">
        <v>2011.0</v>
      </c>
      <c r="D4947" s="11" t="s">
        <v>32</v>
      </c>
      <c r="E4947" s="11">
        <v>20.0</v>
      </c>
      <c r="F4947" s="21" t="s">
        <v>638</v>
      </c>
      <c r="G4947" s="15">
        <v>0.017792642140468204</v>
      </c>
      <c r="H4947" s="11" t="s">
        <v>33</v>
      </c>
      <c r="I4947" s="16">
        <v>4.84</v>
      </c>
      <c r="J4947" s="11" t="s">
        <v>1089</v>
      </c>
      <c r="K4947" s="11" t="s">
        <v>35</v>
      </c>
      <c r="L4947" s="11" t="s">
        <v>27</v>
      </c>
      <c r="M4947" s="11" t="s">
        <v>28</v>
      </c>
      <c r="N4947" s="11" t="s">
        <v>42</v>
      </c>
      <c r="O4947" s="11" t="s">
        <v>640</v>
      </c>
      <c r="P4947" s="11" t="s">
        <v>38</v>
      </c>
      <c r="Q4947" s="20">
        <v>40666.0</v>
      </c>
      <c r="R4947" s="17">
        <f t="shared" si="2"/>
        <v>2.612671572</v>
      </c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>
        <f t="shared" si="8"/>
        <v>1</v>
      </c>
      <c r="AF4947" s="19">
        <f t="shared" si="13"/>
        <v>2</v>
      </c>
      <c r="AG4947" s="9"/>
      <c r="AH4947" s="9"/>
      <c r="AI4947" s="9"/>
    </row>
    <row r="4948" ht="15.0" customHeight="1">
      <c r="A4948" s="11">
        <v>4947.0</v>
      </c>
      <c r="B4948" s="12">
        <f t="shared" si="785"/>
        <v>40664</v>
      </c>
      <c r="C4948" s="13">
        <v>2011.0</v>
      </c>
      <c r="D4948" s="11" t="s">
        <v>39</v>
      </c>
      <c r="E4948" s="11">
        <v>50.0</v>
      </c>
      <c r="F4948" s="21" t="s">
        <v>2442</v>
      </c>
      <c r="G4948" s="15">
        <v>0.06838123101158994</v>
      </c>
      <c r="H4948" s="11" t="s">
        <v>45</v>
      </c>
      <c r="I4948" s="16">
        <v>44.648</v>
      </c>
      <c r="J4948" s="11" t="s">
        <v>1384</v>
      </c>
      <c r="K4948" s="11" t="s">
        <v>35</v>
      </c>
      <c r="L4948" s="11" t="s">
        <v>48</v>
      </c>
      <c r="M4948" s="11" t="s">
        <v>49</v>
      </c>
      <c r="N4948" s="11" t="s">
        <v>156</v>
      </c>
      <c r="O4948" s="11" t="s">
        <v>2443</v>
      </c>
      <c r="P4948" s="11" t="s">
        <v>87</v>
      </c>
      <c r="Q4948" s="20">
        <v>40666.0</v>
      </c>
      <c r="R4948" s="17">
        <f t="shared" si="2"/>
        <v>283.0742262</v>
      </c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>
        <f t="shared" si="8"/>
        <v>4</v>
      </c>
      <c r="AF4948" s="19">
        <f t="shared" si="13"/>
        <v>2</v>
      </c>
      <c r="AG4948" s="9"/>
      <c r="AH4948" s="9"/>
      <c r="AI4948" s="9"/>
    </row>
    <row r="4949" ht="15.0" customHeight="1">
      <c r="A4949" s="11">
        <v>4948.0</v>
      </c>
      <c r="B4949" s="12">
        <f t="shared" si="785"/>
        <v>40664</v>
      </c>
      <c r="C4949" s="13">
        <v>2011.0</v>
      </c>
      <c r="D4949" s="11" t="s">
        <v>39</v>
      </c>
      <c r="E4949" s="11">
        <v>41.0</v>
      </c>
      <c r="F4949" s="21" t="s">
        <v>1760</v>
      </c>
      <c r="G4949" s="15">
        <v>0.06581914893617019</v>
      </c>
      <c r="H4949" s="11" t="s">
        <v>33</v>
      </c>
      <c r="I4949" s="16">
        <v>2.7520000000000002</v>
      </c>
      <c r="J4949" s="11" t="s">
        <v>1384</v>
      </c>
      <c r="K4949" s="11" t="s">
        <v>35</v>
      </c>
      <c r="L4949" s="11" t="s">
        <v>48</v>
      </c>
      <c r="M4949" s="11" t="s">
        <v>49</v>
      </c>
      <c r="N4949" s="11" t="s">
        <v>73</v>
      </c>
      <c r="O4949" s="11" t="s">
        <v>2533</v>
      </c>
      <c r="P4949" s="11" t="s">
        <v>99</v>
      </c>
      <c r="Q4949" s="20">
        <v>40666.0</v>
      </c>
      <c r="R4949" s="17">
        <f t="shared" si="2"/>
        <v>23.1191077</v>
      </c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>
        <f t="shared" si="8"/>
        <v>4</v>
      </c>
      <c r="AF4949" s="19">
        <f t="shared" si="13"/>
        <v>2</v>
      </c>
      <c r="AG4949" s="9"/>
      <c r="AH4949" s="9"/>
      <c r="AI4949" s="9"/>
    </row>
    <row r="4950" ht="15.0" customHeight="1">
      <c r="A4950" s="11">
        <v>4949.0</v>
      </c>
      <c r="B4950" s="12">
        <f t="shared" si="785"/>
        <v>40664</v>
      </c>
      <c r="C4950" s="13">
        <v>2011.0</v>
      </c>
      <c r="D4950" s="11" t="s">
        <v>44</v>
      </c>
      <c r="E4950" s="11">
        <v>42.0</v>
      </c>
      <c r="F4950" s="21" t="s">
        <v>336</v>
      </c>
      <c r="G4950" s="15">
        <v>0.033375196232339165</v>
      </c>
      <c r="H4950" s="11" t="s">
        <v>33</v>
      </c>
      <c r="I4950" s="16">
        <v>2.696</v>
      </c>
      <c r="J4950" s="11" t="s">
        <v>1384</v>
      </c>
      <c r="K4950" s="11" t="s">
        <v>35</v>
      </c>
      <c r="L4950" s="11" t="s">
        <v>48</v>
      </c>
      <c r="M4950" s="11" t="s">
        <v>28</v>
      </c>
      <c r="N4950" s="11" t="s">
        <v>216</v>
      </c>
      <c r="O4950" s="11" t="s">
        <v>557</v>
      </c>
      <c r="P4950" s="11" t="s">
        <v>58</v>
      </c>
      <c r="Q4950" s="20">
        <v>40666.0</v>
      </c>
      <c r="R4950" s="17">
        <f t="shared" si="2"/>
        <v>8.220177331</v>
      </c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>
        <f t="shared" si="8"/>
        <v>4</v>
      </c>
      <c r="AF4950" s="19">
        <f t="shared" si="13"/>
        <v>2</v>
      </c>
      <c r="AG4950" s="9"/>
      <c r="AH4950" s="9"/>
      <c r="AI4950" s="9"/>
    </row>
    <row r="4951" ht="15.0" customHeight="1">
      <c r="A4951" s="11">
        <v>4950.0</v>
      </c>
      <c r="B4951" s="12">
        <f t="shared" si="785"/>
        <v>40664</v>
      </c>
      <c r="C4951" s="13">
        <v>2011.0</v>
      </c>
      <c r="D4951" s="11" t="s">
        <v>102</v>
      </c>
      <c r="E4951" s="11">
        <v>13.0</v>
      </c>
      <c r="F4951" s="21" t="s">
        <v>654</v>
      </c>
      <c r="G4951" s="15">
        <v>0.08420177183149524</v>
      </c>
      <c r="H4951" s="11" t="s">
        <v>45</v>
      </c>
      <c r="I4951" s="16">
        <v>32.152</v>
      </c>
      <c r="J4951" s="11" t="s">
        <v>1801</v>
      </c>
      <c r="K4951" s="11" t="s">
        <v>26</v>
      </c>
      <c r="L4951" s="11" t="s">
        <v>48</v>
      </c>
      <c r="M4951" s="11" t="s">
        <v>49</v>
      </c>
      <c r="N4951" s="11" t="s">
        <v>85</v>
      </c>
      <c r="O4951" s="11" t="s">
        <v>655</v>
      </c>
      <c r="P4951" s="11" t="s">
        <v>87</v>
      </c>
      <c r="Q4951" s="20">
        <v>40666.0</v>
      </c>
      <c r="R4951" s="17">
        <f t="shared" si="2"/>
        <v>383.8549957</v>
      </c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>
        <f t="shared" si="8"/>
        <v>4</v>
      </c>
      <c r="AF4951" s="19">
        <f t="shared" si="13"/>
        <v>1</v>
      </c>
      <c r="AG4951" s="9"/>
      <c r="AH4951" s="9"/>
      <c r="AI4951" s="9"/>
    </row>
    <row r="4952" ht="15.0" customHeight="1">
      <c r="A4952" s="11">
        <v>4951.0</v>
      </c>
      <c r="B4952" s="12">
        <f t="shared" si="785"/>
        <v>40664</v>
      </c>
      <c r="C4952" s="13">
        <v>2011.0</v>
      </c>
      <c r="D4952" s="11" t="s">
        <v>23</v>
      </c>
      <c r="E4952" s="11">
        <v>29.0</v>
      </c>
      <c r="F4952" s="21" t="s">
        <v>461</v>
      </c>
      <c r="G4952" s="15">
        <v>0.022632913252746245</v>
      </c>
      <c r="H4952" s="11" t="s">
        <v>45</v>
      </c>
      <c r="I4952" s="16">
        <v>24.0</v>
      </c>
      <c r="J4952" s="11" t="s">
        <v>832</v>
      </c>
      <c r="K4952" s="11" t="s">
        <v>65</v>
      </c>
      <c r="L4952" s="11" t="s">
        <v>48</v>
      </c>
      <c r="M4952" s="11" t="s">
        <v>49</v>
      </c>
      <c r="N4952" s="11" t="s">
        <v>50</v>
      </c>
      <c r="O4952" s="11" t="s">
        <v>2206</v>
      </c>
      <c r="P4952" s="11" t="s">
        <v>52</v>
      </c>
      <c r="Q4952" s="20">
        <v>40666.0</v>
      </c>
      <c r="R4952" s="17">
        <f t="shared" si="2"/>
        <v>60.20581254</v>
      </c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>
        <f t="shared" si="8"/>
        <v>4</v>
      </c>
      <c r="AF4952" s="19">
        <f t="shared" si="13"/>
        <v>5</v>
      </c>
      <c r="AG4952" s="9"/>
      <c r="AH4952" s="9"/>
      <c r="AI4952" s="9"/>
    </row>
    <row r="4953" ht="15.0" customHeight="1">
      <c r="A4953" s="11">
        <v>4952.0</v>
      </c>
      <c r="B4953" s="12">
        <f t="shared" si="785"/>
        <v>40664</v>
      </c>
      <c r="C4953" s="13">
        <v>2011.0</v>
      </c>
      <c r="D4953" s="11" t="s">
        <v>32</v>
      </c>
      <c r="E4953" s="11">
        <v>22.0</v>
      </c>
      <c r="F4953" s="21" t="s">
        <v>422</v>
      </c>
      <c r="G4953" s="15">
        <v>0.027508936457988263</v>
      </c>
      <c r="H4953" s="11" t="s">
        <v>45</v>
      </c>
      <c r="I4953" s="16">
        <v>24.048000000000002</v>
      </c>
      <c r="J4953" s="11" t="s">
        <v>219</v>
      </c>
      <c r="K4953" s="11" t="s">
        <v>61</v>
      </c>
      <c r="L4953" s="11" t="s">
        <v>48</v>
      </c>
      <c r="M4953" s="11" t="s">
        <v>66</v>
      </c>
      <c r="N4953" s="11" t="s">
        <v>69</v>
      </c>
      <c r="O4953" s="11" t="s">
        <v>645</v>
      </c>
      <c r="P4953" s="11" t="s">
        <v>87</v>
      </c>
      <c r="Q4953" s="20">
        <v>40666.0</v>
      </c>
      <c r="R4953" s="17">
        <f t="shared" si="2"/>
        <v>49.62194001</v>
      </c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>
        <f t="shared" si="8"/>
        <v>4</v>
      </c>
      <c r="AF4953" s="19">
        <f t="shared" si="13"/>
        <v>4</v>
      </c>
      <c r="AG4953" s="9"/>
      <c r="AH4953" s="9"/>
      <c r="AI4953" s="9"/>
    </row>
    <row r="4954" ht="15.0" customHeight="1">
      <c r="A4954" s="11">
        <v>4953.0</v>
      </c>
      <c r="B4954" s="12">
        <f t="shared" si="785"/>
        <v>40664</v>
      </c>
      <c r="C4954" s="13">
        <v>2011.0</v>
      </c>
      <c r="D4954" s="11" t="s">
        <v>32</v>
      </c>
      <c r="E4954" s="11">
        <v>33.0</v>
      </c>
      <c r="F4954" s="21" t="s">
        <v>158</v>
      </c>
      <c r="G4954" s="15">
        <v>0.09919401744910668</v>
      </c>
      <c r="H4954" s="11" t="s">
        <v>33</v>
      </c>
      <c r="I4954" s="16">
        <v>5.6240000000000006</v>
      </c>
      <c r="J4954" s="11" t="s">
        <v>219</v>
      </c>
      <c r="K4954" s="11" t="s">
        <v>61</v>
      </c>
      <c r="L4954" s="11" t="s">
        <v>48</v>
      </c>
      <c r="M4954" s="11" t="s">
        <v>28</v>
      </c>
      <c r="N4954" s="11" t="s">
        <v>56</v>
      </c>
      <c r="O4954" s="11" t="s">
        <v>1534</v>
      </c>
      <c r="P4954" s="11" t="s">
        <v>38</v>
      </c>
      <c r="Q4954" s="20">
        <v>40666.0</v>
      </c>
      <c r="R4954" s="17">
        <f t="shared" si="2"/>
        <v>21.50764364</v>
      </c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>
        <f t="shared" si="8"/>
        <v>4</v>
      </c>
      <c r="AF4954" s="19">
        <f t="shared" si="13"/>
        <v>4</v>
      </c>
      <c r="AG4954" s="9"/>
      <c r="AH4954" s="9"/>
      <c r="AI4954" s="9"/>
    </row>
    <row r="4955" ht="15.0" customHeight="1">
      <c r="A4955" s="11">
        <v>4954.0</v>
      </c>
      <c r="B4955" s="12">
        <f t="shared" ref="B4955:B4961" si="786">DATE(2012,12,31)-609</f>
        <v>40665</v>
      </c>
      <c r="C4955" s="13">
        <v>2011.0</v>
      </c>
      <c r="D4955" s="11" t="s">
        <v>39</v>
      </c>
      <c r="E4955" s="11">
        <v>34.0</v>
      </c>
      <c r="F4955" s="21" t="s">
        <v>100</v>
      </c>
      <c r="G4955" s="15">
        <v>0.010883870422058647</v>
      </c>
      <c r="H4955" s="11" t="s">
        <v>33</v>
      </c>
      <c r="I4955" s="16">
        <v>15.991999999999999</v>
      </c>
      <c r="J4955" s="11" t="s">
        <v>46</v>
      </c>
      <c r="K4955" s="11" t="s">
        <v>47</v>
      </c>
      <c r="L4955" s="11" t="s">
        <v>48</v>
      </c>
      <c r="M4955" s="11" t="s">
        <v>66</v>
      </c>
      <c r="N4955" s="11" t="s">
        <v>80</v>
      </c>
      <c r="O4955" s="11" t="s">
        <v>2534</v>
      </c>
      <c r="P4955" s="11" t="s">
        <v>38</v>
      </c>
      <c r="Q4955" s="20">
        <v>40666.0</v>
      </c>
      <c r="R4955" s="17">
        <f t="shared" si="2"/>
        <v>76.36767813</v>
      </c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>
        <f t="shared" si="8"/>
        <v>4</v>
      </c>
      <c r="AF4955" s="19">
        <f t="shared" si="13"/>
        <v>3</v>
      </c>
      <c r="AG4955" s="9"/>
      <c r="AH4955" s="9"/>
      <c r="AI4955" s="9"/>
    </row>
    <row r="4956" ht="15.0" customHeight="1">
      <c r="A4956" s="11">
        <v>4955.0</v>
      </c>
      <c r="B4956" s="12">
        <f t="shared" si="786"/>
        <v>40665</v>
      </c>
      <c r="C4956" s="13">
        <v>2011.0</v>
      </c>
      <c r="D4956" s="11" t="s">
        <v>39</v>
      </c>
      <c r="E4956" s="11">
        <v>36.0</v>
      </c>
      <c r="F4956" s="21" t="s">
        <v>234</v>
      </c>
      <c r="G4956" s="15">
        <v>0.08335146763105791</v>
      </c>
      <c r="H4956" s="11" t="s">
        <v>33</v>
      </c>
      <c r="I4956" s="16">
        <v>15.991999999999999</v>
      </c>
      <c r="J4956" s="11" t="s">
        <v>46</v>
      </c>
      <c r="K4956" s="11" t="s">
        <v>47</v>
      </c>
      <c r="L4956" s="11" t="s">
        <v>48</v>
      </c>
      <c r="M4956" s="11" t="s">
        <v>28</v>
      </c>
      <c r="N4956" s="11" t="s">
        <v>236</v>
      </c>
      <c r="O4956" s="11" t="s">
        <v>237</v>
      </c>
      <c r="P4956" s="11" t="s">
        <v>38</v>
      </c>
      <c r="Q4956" s="20">
        <v>40667.0</v>
      </c>
      <c r="R4956" s="17">
        <f t="shared" si="2"/>
        <v>490.1393034</v>
      </c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>
        <f t="shared" si="8"/>
        <v>4</v>
      </c>
      <c r="AF4956" s="19">
        <f t="shared" si="13"/>
        <v>3</v>
      </c>
      <c r="AG4956" s="9"/>
      <c r="AH4956" s="9"/>
      <c r="AI4956" s="9"/>
    </row>
    <row r="4957" ht="15.0" customHeight="1">
      <c r="A4957" s="11">
        <v>4956.0</v>
      </c>
      <c r="B4957" s="12">
        <f t="shared" si="786"/>
        <v>40665</v>
      </c>
      <c r="C4957" s="13">
        <v>2011.0</v>
      </c>
      <c r="D4957" s="11" t="s">
        <v>39</v>
      </c>
      <c r="E4957" s="11">
        <v>28.0</v>
      </c>
      <c r="F4957" s="21" t="s">
        <v>865</v>
      </c>
      <c r="G4957" s="15">
        <v>0.06596969847828626</v>
      </c>
      <c r="H4957" s="11" t="s">
        <v>33</v>
      </c>
      <c r="I4957" s="16">
        <v>3.3600000000000003</v>
      </c>
      <c r="J4957" s="11" t="s">
        <v>46</v>
      </c>
      <c r="K4957" s="11" t="s">
        <v>47</v>
      </c>
      <c r="L4957" s="11" t="s">
        <v>48</v>
      </c>
      <c r="M4957" s="11" t="s">
        <v>66</v>
      </c>
      <c r="N4957" s="11" t="s">
        <v>80</v>
      </c>
      <c r="O4957" s="11" t="s">
        <v>1519</v>
      </c>
      <c r="P4957" s="11" t="s">
        <v>38</v>
      </c>
      <c r="Q4957" s="20">
        <v>40667.0</v>
      </c>
      <c r="R4957" s="17">
        <f t="shared" si="2"/>
        <v>371.3144061</v>
      </c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>
        <f t="shared" si="8"/>
        <v>4</v>
      </c>
      <c r="AF4957" s="19">
        <f t="shared" si="13"/>
        <v>3</v>
      </c>
      <c r="AG4957" s="9"/>
      <c r="AH4957" s="9"/>
      <c r="AI4957" s="9"/>
    </row>
    <row r="4958" ht="15.0" customHeight="1">
      <c r="A4958" s="11">
        <v>4957.0</v>
      </c>
      <c r="B4958" s="12">
        <f t="shared" si="786"/>
        <v>40665</v>
      </c>
      <c r="C4958" s="13">
        <v>2011.0</v>
      </c>
      <c r="D4958" s="11" t="s">
        <v>32</v>
      </c>
      <c r="E4958" s="11">
        <v>39.0</v>
      </c>
      <c r="F4958" s="21" t="s">
        <v>100</v>
      </c>
      <c r="G4958" s="15">
        <v>0.09136056653506344</v>
      </c>
      <c r="H4958" s="11" t="s">
        <v>33</v>
      </c>
      <c r="I4958" s="16">
        <v>2.0</v>
      </c>
      <c r="J4958" s="11" t="s">
        <v>1210</v>
      </c>
      <c r="K4958" s="11" t="s">
        <v>47</v>
      </c>
      <c r="L4958" s="11" t="s">
        <v>48</v>
      </c>
      <c r="M4958" s="11" t="s">
        <v>66</v>
      </c>
      <c r="N4958" s="11" t="s">
        <v>80</v>
      </c>
      <c r="O4958" s="11" t="s">
        <v>478</v>
      </c>
      <c r="P4958" s="11" t="s">
        <v>38</v>
      </c>
      <c r="Q4958" s="20">
        <v>40667.0</v>
      </c>
      <c r="R4958" s="17">
        <f t="shared" si="2"/>
        <v>733.8172065</v>
      </c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>
        <f t="shared" si="8"/>
        <v>4</v>
      </c>
      <c r="AF4958" s="19">
        <f t="shared" si="13"/>
        <v>3</v>
      </c>
      <c r="AG4958" s="9"/>
      <c r="AH4958" s="9"/>
      <c r="AI4958" s="9"/>
    </row>
    <row r="4959" ht="15.0" customHeight="1">
      <c r="A4959" s="11">
        <v>4958.0</v>
      </c>
      <c r="B4959" s="12">
        <f t="shared" si="786"/>
        <v>40665</v>
      </c>
      <c r="C4959" s="13">
        <v>2011.0</v>
      </c>
      <c r="D4959" s="11" t="s">
        <v>44</v>
      </c>
      <c r="E4959" s="11">
        <v>8.0</v>
      </c>
      <c r="F4959" s="21" t="s">
        <v>676</v>
      </c>
      <c r="G4959" s="15">
        <v>0.06492871690427703</v>
      </c>
      <c r="H4959" s="11" t="s">
        <v>33</v>
      </c>
      <c r="I4959" s="16">
        <v>1.1119999999999999</v>
      </c>
      <c r="J4959" s="11" t="s">
        <v>494</v>
      </c>
      <c r="K4959" s="11" t="s">
        <v>83</v>
      </c>
      <c r="L4959" s="11" t="s">
        <v>48</v>
      </c>
      <c r="M4959" s="11" t="s">
        <v>28</v>
      </c>
      <c r="N4959" s="11" t="s">
        <v>236</v>
      </c>
      <c r="O4959" s="11" t="s">
        <v>677</v>
      </c>
      <c r="P4959" s="11" t="s">
        <v>38</v>
      </c>
      <c r="Q4959" s="20">
        <v>40668.0</v>
      </c>
      <c r="R4959" s="17">
        <f t="shared" si="2"/>
        <v>2.981007251</v>
      </c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>
        <f t="shared" si="8"/>
        <v>4</v>
      </c>
      <c r="AF4959" s="19" t="b">
        <f t="shared" si="13"/>
        <v>0</v>
      </c>
      <c r="AG4959" s="9"/>
      <c r="AH4959" s="9"/>
      <c r="AI4959" s="9"/>
    </row>
    <row r="4960" ht="15.0" customHeight="1">
      <c r="A4960" s="11">
        <v>4959.0</v>
      </c>
      <c r="B4960" s="12">
        <f t="shared" si="786"/>
        <v>40665</v>
      </c>
      <c r="C4960" s="13">
        <v>2011.0</v>
      </c>
      <c r="D4960" s="11" t="s">
        <v>44</v>
      </c>
      <c r="E4960" s="11">
        <v>13.0</v>
      </c>
      <c r="F4960" s="21" t="s">
        <v>610</v>
      </c>
      <c r="G4960" s="15">
        <v>0.08839506172839497</v>
      </c>
      <c r="H4960" s="11" t="s">
        <v>33</v>
      </c>
      <c r="I4960" s="16">
        <v>3.848</v>
      </c>
      <c r="J4960" s="11" t="s">
        <v>494</v>
      </c>
      <c r="K4960" s="11" t="s">
        <v>83</v>
      </c>
      <c r="L4960" s="11" t="s">
        <v>48</v>
      </c>
      <c r="M4960" s="11" t="s">
        <v>28</v>
      </c>
      <c r="N4960" s="11" t="s">
        <v>29</v>
      </c>
      <c r="O4960" s="11" t="s">
        <v>2147</v>
      </c>
      <c r="P4960" s="11" t="s">
        <v>38</v>
      </c>
      <c r="Q4960" s="20">
        <v>40668.0</v>
      </c>
      <c r="R4960" s="17">
        <f t="shared" si="2"/>
        <v>14.35960099</v>
      </c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>
        <f t="shared" si="8"/>
        <v>4</v>
      </c>
      <c r="AF4960" s="19" t="b">
        <f t="shared" si="13"/>
        <v>0</v>
      </c>
      <c r="AG4960" s="9"/>
      <c r="AH4960" s="9"/>
      <c r="AI4960" s="9"/>
    </row>
    <row r="4961" ht="15.0" customHeight="1">
      <c r="A4961" s="11">
        <v>4960.0</v>
      </c>
      <c r="B4961" s="12">
        <f t="shared" si="786"/>
        <v>40665</v>
      </c>
      <c r="C4961" s="13">
        <v>2011.0</v>
      </c>
      <c r="D4961" s="11" t="s">
        <v>102</v>
      </c>
      <c r="E4961" s="11">
        <v>18.0</v>
      </c>
      <c r="F4961" s="21" t="s">
        <v>610</v>
      </c>
      <c r="G4961" s="15">
        <v>0.049517358171041484</v>
      </c>
      <c r="H4961" s="11" t="s">
        <v>33</v>
      </c>
      <c r="I4961" s="16">
        <v>4.904</v>
      </c>
      <c r="J4961" s="11" t="s">
        <v>681</v>
      </c>
      <c r="K4961" s="11" t="s">
        <v>61</v>
      </c>
      <c r="L4961" s="11" t="s">
        <v>48</v>
      </c>
      <c r="M4961" s="11" t="s">
        <v>28</v>
      </c>
      <c r="N4961" s="11" t="s">
        <v>29</v>
      </c>
      <c r="O4961" s="11" t="s">
        <v>1969</v>
      </c>
      <c r="P4961" s="11" t="s">
        <v>38</v>
      </c>
      <c r="Q4961" s="20">
        <v>40668.0</v>
      </c>
      <c r="R4961" s="17">
        <f t="shared" si="2"/>
        <v>11.11684498</v>
      </c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>
        <f t="shared" si="8"/>
        <v>4</v>
      </c>
      <c r="AF4961" s="19">
        <f t="shared" si="13"/>
        <v>4</v>
      </c>
      <c r="AG4961" s="9"/>
      <c r="AH4961" s="9"/>
      <c r="AI4961" s="9"/>
    </row>
    <row r="4962" ht="15.0" customHeight="1">
      <c r="A4962" s="11">
        <v>4961.0</v>
      </c>
      <c r="B4962" s="12">
        <f t="shared" ref="B4962:B4972" si="787">DATE(2012,12,31)-608</f>
        <v>40666</v>
      </c>
      <c r="C4962" s="13">
        <v>2011.0</v>
      </c>
      <c r="D4962" s="11" t="s">
        <v>39</v>
      </c>
      <c r="E4962" s="11">
        <v>4.0</v>
      </c>
      <c r="F4962" s="21" t="s">
        <v>1162</v>
      </c>
      <c r="G4962" s="15">
        <v>0.021561187277847057</v>
      </c>
      <c r="H4962" s="11" t="s">
        <v>33</v>
      </c>
      <c r="I4962" s="16">
        <v>15.991999999999999</v>
      </c>
      <c r="J4962" s="11" t="s">
        <v>793</v>
      </c>
      <c r="K4962" s="11" t="s">
        <v>65</v>
      </c>
      <c r="L4962" s="11" t="s">
        <v>41</v>
      </c>
      <c r="M4962" s="11" t="s">
        <v>28</v>
      </c>
      <c r="N4962" s="11" t="s">
        <v>42</v>
      </c>
      <c r="O4962" s="11" t="s">
        <v>1163</v>
      </c>
      <c r="P4962" s="11" t="s">
        <v>38</v>
      </c>
      <c r="Q4962" s="20">
        <v>40668.0</v>
      </c>
      <c r="R4962" s="17">
        <f t="shared" si="2"/>
        <v>45.70092006</v>
      </c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>
        <f t="shared" si="8"/>
        <v>3</v>
      </c>
      <c r="AF4962" s="19">
        <f t="shared" si="13"/>
        <v>5</v>
      </c>
      <c r="AG4962" s="9"/>
      <c r="AH4962" s="9"/>
      <c r="AI4962" s="9"/>
    </row>
    <row r="4963" ht="15.0" customHeight="1">
      <c r="A4963" s="11">
        <v>4962.0</v>
      </c>
      <c r="B4963" s="12">
        <f t="shared" si="787"/>
        <v>40666</v>
      </c>
      <c r="C4963" s="13">
        <v>2011.0</v>
      </c>
      <c r="D4963" s="11" t="s">
        <v>39</v>
      </c>
      <c r="E4963" s="11">
        <v>40.0</v>
      </c>
      <c r="F4963" s="21" t="s">
        <v>2535</v>
      </c>
      <c r="G4963" s="15">
        <v>0.09224064684116759</v>
      </c>
      <c r="H4963" s="11" t="s">
        <v>33</v>
      </c>
      <c r="I4963" s="16">
        <v>2.3920000000000003</v>
      </c>
      <c r="J4963" s="11" t="s">
        <v>793</v>
      </c>
      <c r="K4963" s="11" t="s">
        <v>65</v>
      </c>
      <c r="L4963" s="11" t="s">
        <v>41</v>
      </c>
      <c r="M4963" s="11" t="s">
        <v>28</v>
      </c>
      <c r="N4963" s="11" t="s">
        <v>42</v>
      </c>
      <c r="O4963" s="11" t="s">
        <v>2536</v>
      </c>
      <c r="P4963" s="11" t="s">
        <v>38</v>
      </c>
      <c r="Q4963" s="20">
        <v>40668.0</v>
      </c>
      <c r="R4963" s="17">
        <f t="shared" si="2"/>
        <v>61.09946654</v>
      </c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>
        <f t="shared" si="8"/>
        <v>3</v>
      </c>
      <c r="AF4963" s="19">
        <f t="shared" si="13"/>
        <v>5</v>
      </c>
      <c r="AG4963" s="9"/>
      <c r="AH4963" s="9"/>
      <c r="AI4963" s="9"/>
    </row>
    <row r="4964" ht="15.0" customHeight="1">
      <c r="A4964" s="11">
        <v>4963.0</v>
      </c>
      <c r="B4964" s="12">
        <f t="shared" si="787"/>
        <v>40666</v>
      </c>
      <c r="C4964" s="13">
        <v>2011.0</v>
      </c>
      <c r="D4964" s="11" t="s">
        <v>39</v>
      </c>
      <c r="E4964" s="11">
        <v>31.0</v>
      </c>
      <c r="F4964" s="21" t="s">
        <v>103</v>
      </c>
      <c r="G4964" s="15">
        <v>0.09806013579049452</v>
      </c>
      <c r="H4964" s="11" t="s">
        <v>33</v>
      </c>
      <c r="I4964" s="16">
        <v>3.08</v>
      </c>
      <c r="J4964" s="11" t="s">
        <v>793</v>
      </c>
      <c r="K4964" s="11" t="s">
        <v>65</v>
      </c>
      <c r="L4964" s="11" t="s">
        <v>41</v>
      </c>
      <c r="M4964" s="11" t="s">
        <v>66</v>
      </c>
      <c r="N4964" s="11" t="s">
        <v>67</v>
      </c>
      <c r="O4964" s="11" t="s">
        <v>1696</v>
      </c>
      <c r="P4964" s="11" t="s">
        <v>99</v>
      </c>
      <c r="Q4964" s="20">
        <v>40668.0</v>
      </c>
      <c r="R4964" s="17">
        <f t="shared" si="2"/>
        <v>18.23722405</v>
      </c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>
        <f t="shared" si="8"/>
        <v>3</v>
      </c>
      <c r="AF4964" s="19">
        <f t="shared" si="13"/>
        <v>5</v>
      </c>
      <c r="AG4964" s="9"/>
      <c r="AH4964" s="9"/>
      <c r="AI4964" s="9"/>
    </row>
    <row r="4965" ht="15.0" customHeight="1">
      <c r="A4965" s="11">
        <v>4964.0</v>
      </c>
      <c r="B4965" s="12">
        <f t="shared" si="787"/>
        <v>40666</v>
      </c>
      <c r="C4965" s="13">
        <v>2011.0</v>
      </c>
      <c r="D4965" s="11" t="s">
        <v>44</v>
      </c>
      <c r="E4965" s="11">
        <v>47.0</v>
      </c>
      <c r="F4965" s="21" t="s">
        <v>130</v>
      </c>
      <c r="G4965" s="15">
        <v>0.034209037689929646</v>
      </c>
      <c r="H4965" s="11" t="s">
        <v>33</v>
      </c>
      <c r="I4965" s="16">
        <v>15.991999999999999</v>
      </c>
      <c r="J4965" s="11" t="s">
        <v>2136</v>
      </c>
      <c r="K4965" s="11" t="s">
        <v>61</v>
      </c>
      <c r="L4965" s="11" t="s">
        <v>27</v>
      </c>
      <c r="M4965" s="11" t="s">
        <v>28</v>
      </c>
      <c r="N4965" s="11" t="s">
        <v>56</v>
      </c>
      <c r="O4965" s="11" t="s">
        <v>2537</v>
      </c>
      <c r="P4965" s="11" t="s">
        <v>38</v>
      </c>
      <c r="Q4965" s="20">
        <v>40668.0</v>
      </c>
      <c r="R4965" s="17">
        <f t="shared" si="2"/>
        <v>50.22885637</v>
      </c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>
        <f t="shared" si="8"/>
        <v>1</v>
      </c>
      <c r="AF4965" s="19">
        <f t="shared" si="13"/>
        <v>4</v>
      </c>
      <c r="AG4965" s="9"/>
      <c r="AH4965" s="9"/>
      <c r="AI4965" s="9"/>
    </row>
    <row r="4966" ht="15.0" customHeight="1">
      <c r="A4966" s="11">
        <v>4965.0</v>
      </c>
      <c r="B4966" s="12">
        <f t="shared" si="787"/>
        <v>40666</v>
      </c>
      <c r="C4966" s="13">
        <v>2011.0</v>
      </c>
      <c r="D4966" s="11" t="s">
        <v>102</v>
      </c>
      <c r="E4966" s="11">
        <v>15.0</v>
      </c>
      <c r="F4966" s="21" t="s">
        <v>413</v>
      </c>
      <c r="G4966" s="15">
        <v>0.08620895522388058</v>
      </c>
      <c r="H4966" s="11" t="s">
        <v>24</v>
      </c>
      <c r="I4966" s="16">
        <v>7.56</v>
      </c>
      <c r="J4966" s="11" t="s">
        <v>2294</v>
      </c>
      <c r="K4966" s="11" t="s">
        <v>35</v>
      </c>
      <c r="L4966" s="11" t="s">
        <v>48</v>
      </c>
      <c r="M4966" s="11" t="s">
        <v>28</v>
      </c>
      <c r="N4966" s="11" t="s">
        <v>29</v>
      </c>
      <c r="O4966" s="11" t="s">
        <v>660</v>
      </c>
      <c r="P4966" s="11" t="s">
        <v>38</v>
      </c>
      <c r="Q4966" s="20">
        <v>40668.0</v>
      </c>
      <c r="R4966" s="17">
        <f t="shared" si="2"/>
        <v>13.19514269</v>
      </c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>
        <f t="shared" si="8"/>
        <v>4</v>
      </c>
      <c r="AF4966" s="19">
        <f t="shared" si="13"/>
        <v>2</v>
      </c>
      <c r="AG4966" s="9"/>
      <c r="AH4966" s="9"/>
      <c r="AI4966" s="9"/>
    </row>
    <row r="4967" ht="15.0" customHeight="1">
      <c r="A4967" s="11">
        <v>4966.0</v>
      </c>
      <c r="B4967" s="12">
        <f t="shared" si="787"/>
        <v>40666</v>
      </c>
      <c r="C4967" s="13">
        <v>2011.0</v>
      </c>
      <c r="D4967" s="11" t="s">
        <v>32</v>
      </c>
      <c r="E4967" s="11">
        <v>24.0</v>
      </c>
      <c r="F4967" s="21" t="s">
        <v>277</v>
      </c>
      <c r="G4967" s="15">
        <v>0.042912621359223316</v>
      </c>
      <c r="H4967" s="11" t="s">
        <v>24</v>
      </c>
      <c r="I4967" s="16">
        <v>1.032</v>
      </c>
      <c r="J4967" s="11" t="s">
        <v>657</v>
      </c>
      <c r="K4967" s="11" t="s">
        <v>61</v>
      </c>
      <c r="L4967" s="11" t="s">
        <v>41</v>
      </c>
      <c r="M4967" s="11" t="s">
        <v>28</v>
      </c>
      <c r="N4967" s="11" t="s">
        <v>62</v>
      </c>
      <c r="O4967" s="11" t="s">
        <v>1962</v>
      </c>
      <c r="P4967" s="11" t="s">
        <v>58</v>
      </c>
      <c r="Q4967" s="20">
        <v>40668.0</v>
      </c>
      <c r="R4967" s="17">
        <f t="shared" si="2"/>
        <v>1.692130485</v>
      </c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>
        <f t="shared" si="8"/>
        <v>3</v>
      </c>
      <c r="AF4967" s="19">
        <f t="shared" si="13"/>
        <v>4</v>
      </c>
      <c r="AG4967" s="9"/>
      <c r="AH4967" s="9"/>
      <c r="AI4967" s="9"/>
    </row>
    <row r="4968" ht="15.0" customHeight="1">
      <c r="A4968" s="11">
        <v>4967.0</v>
      </c>
      <c r="B4968" s="12">
        <f t="shared" si="787"/>
        <v>40666</v>
      </c>
      <c r="C4968" s="13">
        <v>2011.0</v>
      </c>
      <c r="D4968" s="11" t="s">
        <v>32</v>
      </c>
      <c r="E4968" s="11">
        <v>41.0</v>
      </c>
      <c r="F4968" s="21" t="s">
        <v>178</v>
      </c>
      <c r="G4968" s="15">
        <v>0.040383975062874077</v>
      </c>
      <c r="H4968" s="11" t="s">
        <v>33</v>
      </c>
      <c r="I4968" s="16">
        <v>7.192</v>
      </c>
      <c r="J4968" s="11" t="s">
        <v>657</v>
      </c>
      <c r="K4968" s="11" t="s">
        <v>61</v>
      </c>
      <c r="L4968" s="11" t="s">
        <v>41</v>
      </c>
      <c r="M4968" s="11" t="s">
        <v>66</v>
      </c>
      <c r="N4968" s="11" t="s">
        <v>80</v>
      </c>
      <c r="O4968" s="11" t="s">
        <v>1506</v>
      </c>
      <c r="P4968" s="11" t="s">
        <v>38</v>
      </c>
      <c r="Q4968" s="20">
        <v>40668.0</v>
      </c>
      <c r="R4968" s="17">
        <f t="shared" si="2"/>
        <v>109.4039038</v>
      </c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>
        <f t="shared" si="8"/>
        <v>3</v>
      </c>
      <c r="AF4968" s="19">
        <f t="shared" si="13"/>
        <v>4</v>
      </c>
      <c r="AG4968" s="9"/>
      <c r="AH4968" s="9"/>
      <c r="AI4968" s="9"/>
    </row>
    <row r="4969" ht="15.0" customHeight="1">
      <c r="A4969" s="11">
        <v>4968.0</v>
      </c>
      <c r="B4969" s="12">
        <f t="shared" si="787"/>
        <v>40666</v>
      </c>
      <c r="C4969" s="13">
        <v>2011.0</v>
      </c>
      <c r="D4969" s="11" t="s">
        <v>39</v>
      </c>
      <c r="E4969" s="11">
        <v>27.0</v>
      </c>
      <c r="F4969" s="21" t="s">
        <v>151</v>
      </c>
      <c r="G4969" s="15">
        <v>0.05116279069767431</v>
      </c>
      <c r="H4969" s="11" t="s">
        <v>33</v>
      </c>
      <c r="I4969" s="16">
        <v>3.3600000000000003</v>
      </c>
      <c r="J4969" s="11" t="s">
        <v>781</v>
      </c>
      <c r="K4969" s="11" t="s">
        <v>65</v>
      </c>
      <c r="L4969" s="11" t="s">
        <v>27</v>
      </c>
      <c r="M4969" s="11" t="s">
        <v>28</v>
      </c>
      <c r="N4969" s="11" t="s">
        <v>62</v>
      </c>
      <c r="O4969" s="11" t="s">
        <v>1287</v>
      </c>
      <c r="P4969" s="11" t="s">
        <v>58</v>
      </c>
      <c r="Q4969" s="20">
        <v>40669.0</v>
      </c>
      <c r="R4969" s="17">
        <f t="shared" si="2"/>
        <v>4.592372093</v>
      </c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>
        <f t="shared" si="8"/>
        <v>1</v>
      </c>
      <c r="AF4969" s="19">
        <f t="shared" si="13"/>
        <v>5</v>
      </c>
      <c r="AG4969" s="9"/>
      <c r="AH4969" s="9"/>
      <c r="AI4969" s="9"/>
    </row>
    <row r="4970" ht="15.0" customHeight="1">
      <c r="A4970" s="11">
        <v>4969.0</v>
      </c>
      <c r="B4970" s="12">
        <f t="shared" si="787"/>
        <v>40666</v>
      </c>
      <c r="C4970" s="13">
        <v>2011.0</v>
      </c>
      <c r="D4970" s="11" t="s">
        <v>44</v>
      </c>
      <c r="E4970" s="11">
        <v>16.0</v>
      </c>
      <c r="F4970" s="21" t="s">
        <v>158</v>
      </c>
      <c r="G4970" s="15">
        <v>0.0633476394849785</v>
      </c>
      <c r="H4970" s="11" t="s">
        <v>33</v>
      </c>
      <c r="I4970" s="16">
        <v>6.720000000000001</v>
      </c>
      <c r="J4970" s="11" t="s">
        <v>963</v>
      </c>
      <c r="K4970" s="11" t="s">
        <v>35</v>
      </c>
      <c r="L4970" s="11" t="s">
        <v>41</v>
      </c>
      <c r="M4970" s="11" t="s">
        <v>28</v>
      </c>
      <c r="N4970" s="11" t="s">
        <v>56</v>
      </c>
      <c r="O4970" s="11" t="s">
        <v>1260</v>
      </c>
      <c r="P4970" s="11" t="s">
        <v>38</v>
      </c>
      <c r="Q4970" s="20">
        <v>40669.0</v>
      </c>
      <c r="R4970" s="17">
        <f t="shared" si="2"/>
        <v>6.912494421</v>
      </c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>
        <f t="shared" si="8"/>
        <v>3</v>
      </c>
      <c r="AF4970" s="19">
        <f t="shared" si="13"/>
        <v>2</v>
      </c>
      <c r="AG4970" s="9"/>
      <c r="AH4970" s="9"/>
      <c r="AI4970" s="9"/>
    </row>
    <row r="4971" ht="15.0" customHeight="1">
      <c r="A4971" s="11">
        <v>4970.0</v>
      </c>
      <c r="B4971" s="12">
        <f t="shared" si="787"/>
        <v>40666</v>
      </c>
      <c r="C4971" s="13">
        <v>2011.0</v>
      </c>
      <c r="D4971" s="11" t="s">
        <v>44</v>
      </c>
      <c r="E4971" s="11">
        <v>22.0</v>
      </c>
      <c r="F4971" s="21" t="s">
        <v>1760</v>
      </c>
      <c r="G4971" s="15">
        <v>0.10363381597384394</v>
      </c>
      <c r="H4971" s="11" t="s">
        <v>33</v>
      </c>
      <c r="I4971" s="16">
        <v>4.912</v>
      </c>
      <c r="J4971" s="11" t="s">
        <v>963</v>
      </c>
      <c r="K4971" s="11" t="s">
        <v>35</v>
      </c>
      <c r="L4971" s="11" t="s">
        <v>41</v>
      </c>
      <c r="M4971" s="11" t="s">
        <v>28</v>
      </c>
      <c r="N4971" s="11" t="s">
        <v>442</v>
      </c>
      <c r="O4971" s="11" t="s">
        <v>1916</v>
      </c>
      <c r="P4971" s="11" t="s">
        <v>99</v>
      </c>
      <c r="Q4971" s="20">
        <v>40669.0</v>
      </c>
      <c r="R4971" s="17">
        <f t="shared" si="2"/>
        <v>19.88857289</v>
      </c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>
        <f t="shared" si="8"/>
        <v>3</v>
      </c>
      <c r="AF4971" s="19">
        <f t="shared" si="13"/>
        <v>2</v>
      </c>
      <c r="AG4971" s="9"/>
      <c r="AH4971" s="9"/>
      <c r="AI4971" s="9"/>
    </row>
    <row r="4972" ht="15.0" customHeight="1">
      <c r="A4972" s="11">
        <v>4971.0</v>
      </c>
      <c r="B4972" s="12">
        <f t="shared" si="787"/>
        <v>40666</v>
      </c>
      <c r="C4972" s="13">
        <v>2011.0</v>
      </c>
      <c r="D4972" s="11" t="s">
        <v>44</v>
      </c>
      <c r="E4972" s="11">
        <v>17.0</v>
      </c>
      <c r="F4972" s="21" t="s">
        <v>147</v>
      </c>
      <c r="G4972" s="15">
        <v>0.050093457943925356</v>
      </c>
      <c r="H4972" s="11" t="s">
        <v>33</v>
      </c>
      <c r="I4972" s="16">
        <v>1.592</v>
      </c>
      <c r="J4972" s="11" t="s">
        <v>963</v>
      </c>
      <c r="K4972" s="11" t="s">
        <v>35</v>
      </c>
      <c r="L4972" s="11" t="s">
        <v>41</v>
      </c>
      <c r="M4972" s="11" t="s">
        <v>66</v>
      </c>
      <c r="N4972" s="11" t="s">
        <v>67</v>
      </c>
      <c r="O4972" s="11" t="s">
        <v>149</v>
      </c>
      <c r="P4972" s="11" t="s">
        <v>99</v>
      </c>
      <c r="Q4972" s="20">
        <v>40669.0</v>
      </c>
      <c r="R4972" s="17">
        <f t="shared" si="2"/>
        <v>1.52744972</v>
      </c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>
        <f t="shared" si="8"/>
        <v>3</v>
      </c>
      <c r="AF4972" s="19">
        <f t="shared" si="13"/>
        <v>2</v>
      </c>
      <c r="AG4972" s="9"/>
      <c r="AH4972" s="9"/>
      <c r="AI4972" s="9"/>
    </row>
    <row r="4973" ht="15.0" customHeight="1">
      <c r="A4973" s="11">
        <v>4972.0</v>
      </c>
      <c r="B4973" s="12">
        <f t="shared" ref="B4973:B4981" si="788">DATE(2012,12,31)-607</f>
        <v>40667</v>
      </c>
      <c r="C4973" s="13">
        <v>2011.0</v>
      </c>
      <c r="D4973" s="11" t="s">
        <v>32</v>
      </c>
      <c r="E4973" s="11">
        <v>25.0</v>
      </c>
      <c r="F4973" s="21" t="s">
        <v>256</v>
      </c>
      <c r="G4973" s="15">
        <v>0.052385892116182685</v>
      </c>
      <c r="H4973" s="11" t="s">
        <v>24</v>
      </c>
      <c r="I4973" s="16">
        <v>5.4</v>
      </c>
      <c r="J4973" s="11" t="s">
        <v>653</v>
      </c>
      <c r="K4973" s="11" t="s">
        <v>65</v>
      </c>
      <c r="L4973" s="11" t="s">
        <v>41</v>
      </c>
      <c r="M4973" s="11" t="s">
        <v>28</v>
      </c>
      <c r="N4973" s="11" t="s">
        <v>197</v>
      </c>
      <c r="O4973" s="11" t="s">
        <v>257</v>
      </c>
      <c r="P4973" s="11" t="s">
        <v>75</v>
      </c>
      <c r="Q4973" s="20">
        <v>40669.0</v>
      </c>
      <c r="R4973" s="17">
        <f t="shared" si="2"/>
        <v>19.14180498</v>
      </c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>
        <f t="shared" si="8"/>
        <v>3</v>
      </c>
      <c r="AF4973" s="19">
        <f t="shared" si="13"/>
        <v>5</v>
      </c>
      <c r="AG4973" s="9"/>
      <c r="AH4973" s="9"/>
      <c r="AI4973" s="9"/>
    </row>
    <row r="4974" ht="15.0" customHeight="1">
      <c r="A4974" s="11">
        <v>4973.0</v>
      </c>
      <c r="B4974" s="12">
        <f t="shared" si="788"/>
        <v>40667</v>
      </c>
      <c r="C4974" s="13">
        <v>2011.0</v>
      </c>
      <c r="D4974" s="11" t="s">
        <v>32</v>
      </c>
      <c r="E4974" s="11">
        <v>36.0</v>
      </c>
      <c r="F4974" s="21" t="s">
        <v>397</v>
      </c>
      <c r="G4974" s="15">
        <v>0.09948153246157383</v>
      </c>
      <c r="H4974" s="11" t="s">
        <v>45</v>
      </c>
      <c r="I4974" s="16">
        <v>36.408</v>
      </c>
      <c r="J4974" s="11" t="s">
        <v>653</v>
      </c>
      <c r="K4974" s="11" t="s">
        <v>65</v>
      </c>
      <c r="L4974" s="11" t="s">
        <v>41</v>
      </c>
      <c r="M4974" s="11" t="s">
        <v>49</v>
      </c>
      <c r="N4974" s="11" t="s">
        <v>85</v>
      </c>
      <c r="O4974" s="11" t="s">
        <v>399</v>
      </c>
      <c r="P4974" s="11" t="s">
        <v>87</v>
      </c>
      <c r="Q4974" s="20">
        <v>40669.0</v>
      </c>
      <c r="R4974" s="17">
        <f t="shared" si="2"/>
        <v>117.1502485</v>
      </c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>
        <f t="shared" si="8"/>
        <v>3</v>
      </c>
      <c r="AF4974" s="19">
        <f t="shared" si="13"/>
        <v>5</v>
      </c>
      <c r="AG4974" s="9"/>
      <c r="AH4974" s="9"/>
      <c r="AI4974" s="9"/>
    </row>
    <row r="4975" ht="15.0" customHeight="1">
      <c r="A4975" s="11">
        <v>4974.0</v>
      </c>
      <c r="B4975" s="12">
        <f t="shared" si="788"/>
        <v>40667</v>
      </c>
      <c r="C4975" s="13">
        <v>2011.0</v>
      </c>
      <c r="D4975" s="11" t="s">
        <v>39</v>
      </c>
      <c r="E4975" s="11">
        <v>34.0</v>
      </c>
      <c r="F4975" s="21" t="s">
        <v>894</v>
      </c>
      <c r="G4975" s="15">
        <v>0.07165845648604277</v>
      </c>
      <c r="H4975" s="11" t="s">
        <v>33</v>
      </c>
      <c r="I4975" s="16">
        <v>0.8720000000000001</v>
      </c>
      <c r="J4975" s="11" t="s">
        <v>2360</v>
      </c>
      <c r="K4975" s="11" t="s">
        <v>35</v>
      </c>
      <c r="L4975" s="11" t="s">
        <v>41</v>
      </c>
      <c r="M4975" s="11" t="s">
        <v>28</v>
      </c>
      <c r="N4975" s="11" t="s">
        <v>56</v>
      </c>
      <c r="O4975" s="11" t="s">
        <v>896</v>
      </c>
      <c r="P4975" s="11" t="s">
        <v>58</v>
      </c>
      <c r="Q4975" s="20">
        <v>40669.0</v>
      </c>
      <c r="R4975" s="17">
        <f t="shared" si="2"/>
        <v>8.102564992</v>
      </c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>
        <f t="shared" si="8"/>
        <v>3</v>
      </c>
      <c r="AF4975" s="19">
        <f t="shared" si="13"/>
        <v>2</v>
      </c>
      <c r="AG4975" s="9"/>
      <c r="AH4975" s="9"/>
      <c r="AI4975" s="9"/>
    </row>
    <row r="4976" ht="15.0" customHeight="1">
      <c r="A4976" s="11">
        <v>4975.0</v>
      </c>
      <c r="B4976" s="12">
        <f t="shared" si="788"/>
        <v>40667</v>
      </c>
      <c r="C4976" s="13">
        <v>2011.0</v>
      </c>
      <c r="D4976" s="11" t="s">
        <v>39</v>
      </c>
      <c r="E4976" s="11">
        <v>46.0</v>
      </c>
      <c r="F4976" s="21" t="s">
        <v>422</v>
      </c>
      <c r="G4976" s="15">
        <v>0.05030395136778113</v>
      </c>
      <c r="H4976" s="11" t="s">
        <v>33</v>
      </c>
      <c r="I4976" s="16">
        <v>28.0</v>
      </c>
      <c r="J4976" s="11" t="s">
        <v>2360</v>
      </c>
      <c r="K4976" s="11" t="s">
        <v>35</v>
      </c>
      <c r="L4976" s="11" t="s">
        <v>41</v>
      </c>
      <c r="M4976" s="11" t="s">
        <v>28</v>
      </c>
      <c r="N4976" s="11" t="s">
        <v>29</v>
      </c>
      <c r="O4976" s="11" t="s">
        <v>1571</v>
      </c>
      <c r="P4976" s="11" t="s">
        <v>31</v>
      </c>
      <c r="Q4976" s="20">
        <v>40669.0</v>
      </c>
      <c r="R4976" s="17">
        <f t="shared" si="2"/>
        <v>188.6096353</v>
      </c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>
        <f t="shared" si="8"/>
        <v>3</v>
      </c>
      <c r="AF4976" s="19">
        <f t="shared" si="13"/>
        <v>2</v>
      </c>
      <c r="AG4976" s="9"/>
      <c r="AH4976" s="9"/>
      <c r="AI4976" s="9"/>
    </row>
    <row r="4977" ht="15.0" customHeight="1">
      <c r="A4977" s="11">
        <v>4976.0</v>
      </c>
      <c r="B4977" s="12">
        <f t="shared" si="788"/>
        <v>40667</v>
      </c>
      <c r="C4977" s="13">
        <v>2011.0</v>
      </c>
      <c r="D4977" s="11" t="s">
        <v>39</v>
      </c>
      <c r="E4977" s="11">
        <v>33.0</v>
      </c>
      <c r="F4977" s="21" t="s">
        <v>128</v>
      </c>
      <c r="G4977" s="15">
        <v>0.04854188589467903</v>
      </c>
      <c r="H4977" s="11" t="s">
        <v>33</v>
      </c>
      <c r="I4977" s="16">
        <v>4.5040000000000004</v>
      </c>
      <c r="J4977" s="11" t="s">
        <v>2360</v>
      </c>
      <c r="K4977" s="11" t="s">
        <v>35</v>
      </c>
      <c r="L4977" s="11" t="s">
        <v>41</v>
      </c>
      <c r="M4977" s="11" t="s">
        <v>66</v>
      </c>
      <c r="N4977" s="11" t="s">
        <v>80</v>
      </c>
      <c r="O4977" s="11" t="s">
        <v>2419</v>
      </c>
      <c r="P4977" s="11" t="s">
        <v>38</v>
      </c>
      <c r="Q4977" s="20">
        <v>40669.0</v>
      </c>
      <c r="R4977" s="17">
        <f t="shared" si="2"/>
        <v>201.895606</v>
      </c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>
        <f t="shared" si="8"/>
        <v>3</v>
      </c>
      <c r="AF4977" s="19">
        <f t="shared" si="13"/>
        <v>2</v>
      </c>
      <c r="AG4977" s="9"/>
      <c r="AH4977" s="9"/>
      <c r="AI4977" s="9"/>
    </row>
    <row r="4978" ht="15.0" customHeight="1">
      <c r="A4978" s="11">
        <v>4977.0</v>
      </c>
      <c r="B4978" s="12">
        <f t="shared" si="788"/>
        <v>40667</v>
      </c>
      <c r="C4978" s="13">
        <v>2011.0</v>
      </c>
      <c r="D4978" s="11" t="s">
        <v>39</v>
      </c>
      <c r="E4978" s="11">
        <v>43.0</v>
      </c>
      <c r="F4978" s="21" t="s">
        <v>1944</v>
      </c>
      <c r="G4978" s="15">
        <v>0.0928785357737105</v>
      </c>
      <c r="H4978" s="11" t="s">
        <v>24</v>
      </c>
      <c r="I4978" s="16">
        <v>1.536</v>
      </c>
      <c r="J4978" s="11" t="s">
        <v>2360</v>
      </c>
      <c r="K4978" s="11" t="s">
        <v>35</v>
      </c>
      <c r="L4978" s="11" t="s">
        <v>41</v>
      </c>
      <c r="M4978" s="11" t="s">
        <v>28</v>
      </c>
      <c r="N4978" s="11" t="s">
        <v>442</v>
      </c>
      <c r="O4978" s="11" t="s">
        <v>1945</v>
      </c>
      <c r="P4978" s="11" t="s">
        <v>58</v>
      </c>
      <c r="Q4978" s="20">
        <v>40670.0</v>
      </c>
      <c r="R4978" s="17">
        <f t="shared" si="2"/>
        <v>10.12710403</v>
      </c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>
        <f t="shared" si="8"/>
        <v>3</v>
      </c>
      <c r="AF4978" s="19">
        <f t="shared" si="13"/>
        <v>2</v>
      </c>
      <c r="AG4978" s="9"/>
      <c r="AH4978" s="9"/>
      <c r="AI4978" s="9"/>
    </row>
    <row r="4979" ht="15.0" customHeight="1">
      <c r="A4979" s="11">
        <v>4978.0</v>
      </c>
      <c r="B4979" s="12">
        <f t="shared" si="788"/>
        <v>40667</v>
      </c>
      <c r="C4979" s="13">
        <v>2011.0</v>
      </c>
      <c r="D4979" s="11" t="s">
        <v>23</v>
      </c>
      <c r="E4979" s="11">
        <v>10.0</v>
      </c>
      <c r="F4979" s="21" t="s">
        <v>990</v>
      </c>
      <c r="G4979" s="15">
        <v>0.04211494252873565</v>
      </c>
      <c r="H4979" s="11" t="s">
        <v>33</v>
      </c>
      <c r="I4979" s="16">
        <v>6.672000000000001</v>
      </c>
      <c r="J4979" s="11" t="s">
        <v>1222</v>
      </c>
      <c r="K4979" s="11" t="s">
        <v>83</v>
      </c>
      <c r="L4979" s="11" t="s">
        <v>48</v>
      </c>
      <c r="M4979" s="11" t="s">
        <v>28</v>
      </c>
      <c r="N4979" s="11" t="s">
        <v>29</v>
      </c>
      <c r="O4979" s="11" t="s">
        <v>991</v>
      </c>
      <c r="P4979" s="11" t="s">
        <v>38</v>
      </c>
      <c r="Q4979" s="20">
        <v>40670.0</v>
      </c>
      <c r="R4979" s="17">
        <f t="shared" si="2"/>
        <v>7.019381701</v>
      </c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>
        <f t="shared" si="8"/>
        <v>4</v>
      </c>
      <c r="AF4979" s="19" t="b">
        <f t="shared" si="13"/>
        <v>0</v>
      </c>
      <c r="AG4979" s="9"/>
      <c r="AH4979" s="9"/>
      <c r="AI4979" s="9"/>
    </row>
    <row r="4980" ht="15.0" customHeight="1">
      <c r="A4980" s="11">
        <v>4979.0</v>
      </c>
      <c r="B4980" s="12">
        <f t="shared" si="788"/>
        <v>40667</v>
      </c>
      <c r="C4980" s="13">
        <v>2011.0</v>
      </c>
      <c r="D4980" s="11" t="s">
        <v>102</v>
      </c>
      <c r="E4980" s="11">
        <v>21.0</v>
      </c>
      <c r="F4980" s="21" t="s">
        <v>413</v>
      </c>
      <c r="G4980" s="15">
        <v>0.05047358834244082</v>
      </c>
      <c r="H4980" s="11" t="s">
        <v>33</v>
      </c>
      <c r="I4980" s="16">
        <v>4.816</v>
      </c>
      <c r="J4980" s="11" t="s">
        <v>285</v>
      </c>
      <c r="K4980" s="11" t="s">
        <v>26</v>
      </c>
      <c r="L4980" s="11" t="s">
        <v>27</v>
      </c>
      <c r="M4980" s="11" t="s">
        <v>49</v>
      </c>
      <c r="N4980" s="11" t="s">
        <v>73</v>
      </c>
      <c r="O4980" s="11" t="s">
        <v>1102</v>
      </c>
      <c r="P4980" s="11" t="s">
        <v>75</v>
      </c>
      <c r="Q4980" s="20">
        <v>40670.0</v>
      </c>
      <c r="R4980" s="17">
        <f t="shared" si="2"/>
        <v>10.52455075</v>
      </c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>
        <f t="shared" si="8"/>
        <v>1</v>
      </c>
      <c r="AF4980" s="19">
        <f t="shared" si="13"/>
        <v>1</v>
      </c>
      <c r="AG4980" s="9"/>
      <c r="AH4980" s="9"/>
      <c r="AI4980" s="9"/>
    </row>
    <row r="4981" ht="15.0" customHeight="1">
      <c r="A4981" s="11">
        <v>4980.0</v>
      </c>
      <c r="B4981" s="12">
        <f t="shared" si="788"/>
        <v>40667</v>
      </c>
      <c r="C4981" s="13">
        <v>2011.0</v>
      </c>
      <c r="D4981" s="11" t="s">
        <v>23</v>
      </c>
      <c r="E4981" s="11">
        <v>8.0</v>
      </c>
      <c r="F4981" s="21" t="s">
        <v>287</v>
      </c>
      <c r="G4981" s="15">
        <v>0.05912504839334104</v>
      </c>
      <c r="H4981" s="11" t="s">
        <v>45</v>
      </c>
      <c r="I4981" s="16">
        <v>44.912000000000006</v>
      </c>
      <c r="J4981" s="11" t="s">
        <v>1496</v>
      </c>
      <c r="K4981" s="11" t="s">
        <v>61</v>
      </c>
      <c r="L4981" s="11" t="s">
        <v>48</v>
      </c>
      <c r="M4981" s="11" t="s">
        <v>66</v>
      </c>
      <c r="N4981" s="11" t="s">
        <v>69</v>
      </c>
      <c r="O4981" s="11" t="s">
        <v>289</v>
      </c>
      <c r="P4981" s="11" t="s">
        <v>52</v>
      </c>
      <c r="Q4981" s="20">
        <v>40670.0</v>
      </c>
      <c r="R4981" s="17">
        <f t="shared" si="2"/>
        <v>57.47616904</v>
      </c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>
        <f t="shared" si="8"/>
        <v>4</v>
      </c>
      <c r="AF4981" s="19">
        <f t="shared" si="13"/>
        <v>4</v>
      </c>
      <c r="AG4981" s="9"/>
      <c r="AH4981" s="9"/>
      <c r="AI4981" s="9"/>
    </row>
    <row r="4982" ht="15.0" customHeight="1">
      <c r="A4982" s="11">
        <v>4981.0</v>
      </c>
      <c r="B4982" s="12">
        <f t="shared" ref="B4982:B4987" si="789">DATE(2012,12,31)-606</f>
        <v>40668</v>
      </c>
      <c r="C4982" s="13">
        <v>2011.0</v>
      </c>
      <c r="D4982" s="11" t="s">
        <v>23</v>
      </c>
      <c r="E4982" s="11">
        <v>46.0</v>
      </c>
      <c r="F4982" s="21" t="s">
        <v>110</v>
      </c>
      <c r="G4982" s="15">
        <v>0.029974818373903714</v>
      </c>
      <c r="H4982" s="11" t="s">
        <v>45</v>
      </c>
      <c r="I4982" s="16">
        <v>14.280000000000001</v>
      </c>
      <c r="J4982" s="11" t="s">
        <v>1681</v>
      </c>
      <c r="K4982" s="11" t="s">
        <v>61</v>
      </c>
      <c r="L4982" s="11" t="s">
        <v>41</v>
      </c>
      <c r="M4982" s="11" t="s">
        <v>66</v>
      </c>
      <c r="N4982" s="11" t="s">
        <v>69</v>
      </c>
      <c r="O4982" s="11" t="s">
        <v>111</v>
      </c>
      <c r="P4982" s="11" t="s">
        <v>52</v>
      </c>
      <c r="Q4982" s="20">
        <v>40670.0</v>
      </c>
      <c r="R4982" s="17">
        <f t="shared" si="2"/>
        <v>200.9116156</v>
      </c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>
        <f t="shared" si="8"/>
        <v>3</v>
      </c>
      <c r="AF4982" s="19">
        <f t="shared" si="13"/>
        <v>4</v>
      </c>
      <c r="AG4982" s="9"/>
      <c r="AH4982" s="9"/>
      <c r="AI4982" s="9"/>
    </row>
    <row r="4983" ht="15.0" customHeight="1">
      <c r="A4983" s="11">
        <v>4982.0</v>
      </c>
      <c r="B4983" s="12">
        <f t="shared" si="789"/>
        <v>40668</v>
      </c>
      <c r="C4983" s="13">
        <v>2011.0</v>
      </c>
      <c r="D4983" s="11" t="s">
        <v>23</v>
      </c>
      <c r="E4983" s="11">
        <v>13.0</v>
      </c>
      <c r="F4983" s="21" t="s">
        <v>869</v>
      </c>
      <c r="G4983" s="15">
        <v>0.05797945782118197</v>
      </c>
      <c r="H4983" s="11" t="s">
        <v>33</v>
      </c>
      <c r="I4983" s="16">
        <v>2.232</v>
      </c>
      <c r="J4983" s="11" t="s">
        <v>1681</v>
      </c>
      <c r="K4983" s="11" t="s">
        <v>61</v>
      </c>
      <c r="L4983" s="11" t="s">
        <v>41</v>
      </c>
      <c r="M4983" s="11" t="s">
        <v>66</v>
      </c>
      <c r="N4983" s="11" t="s">
        <v>80</v>
      </c>
      <c r="O4983" s="11" t="s">
        <v>2403</v>
      </c>
      <c r="P4983" s="11" t="s">
        <v>38</v>
      </c>
      <c r="Q4983" s="20">
        <v>40670.0</v>
      </c>
      <c r="R4983" s="17">
        <f t="shared" si="2"/>
        <v>64.8750707</v>
      </c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>
        <f t="shared" si="8"/>
        <v>3</v>
      </c>
      <c r="AF4983" s="19">
        <f t="shared" si="13"/>
        <v>4</v>
      </c>
      <c r="AG4983" s="9"/>
      <c r="AH4983" s="9"/>
      <c r="AI4983" s="9"/>
    </row>
    <row r="4984" ht="15.0" customHeight="1">
      <c r="A4984" s="11">
        <v>4983.0</v>
      </c>
      <c r="B4984" s="12">
        <f t="shared" si="789"/>
        <v>40668</v>
      </c>
      <c r="C4984" s="13">
        <v>2011.0</v>
      </c>
      <c r="D4984" s="11" t="s">
        <v>23</v>
      </c>
      <c r="E4984" s="11">
        <v>6.0</v>
      </c>
      <c r="F4984" s="21" t="s">
        <v>731</v>
      </c>
      <c r="G4984" s="15">
        <v>0.04073856483424254</v>
      </c>
      <c r="H4984" s="11" t="s">
        <v>24</v>
      </c>
      <c r="I4984" s="16">
        <v>2.3920000000000003</v>
      </c>
      <c r="J4984" s="11" t="s">
        <v>1196</v>
      </c>
      <c r="K4984" s="11" t="s">
        <v>61</v>
      </c>
      <c r="L4984" s="11" t="s">
        <v>41</v>
      </c>
      <c r="M4984" s="11" t="s">
        <v>28</v>
      </c>
      <c r="N4984" s="11" t="s">
        <v>42</v>
      </c>
      <c r="O4984" s="11" t="s">
        <v>1302</v>
      </c>
      <c r="P4984" s="11" t="s">
        <v>38</v>
      </c>
      <c r="Q4984" s="20">
        <v>40670.0</v>
      </c>
      <c r="R4984" s="17">
        <f t="shared" si="2"/>
        <v>9.312510013</v>
      </c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>
        <f t="shared" si="8"/>
        <v>3</v>
      </c>
      <c r="AF4984" s="19">
        <f t="shared" si="13"/>
        <v>4</v>
      </c>
      <c r="AG4984" s="9"/>
      <c r="AH4984" s="9"/>
      <c r="AI4984" s="9"/>
    </row>
    <row r="4985" ht="15.0" customHeight="1">
      <c r="A4985" s="11">
        <v>4984.0</v>
      </c>
      <c r="B4985" s="12">
        <f t="shared" si="789"/>
        <v>40668</v>
      </c>
      <c r="C4985" s="13">
        <v>2011.0</v>
      </c>
      <c r="D4985" s="11" t="s">
        <v>23</v>
      </c>
      <c r="E4985" s="11">
        <v>4.0</v>
      </c>
      <c r="F4985" s="21" t="s">
        <v>1097</v>
      </c>
      <c r="G4985" s="15">
        <v>0.01813489098689129</v>
      </c>
      <c r="H4985" s="11" t="s">
        <v>45</v>
      </c>
      <c r="I4985" s="16">
        <v>48.0</v>
      </c>
      <c r="J4985" s="11" t="s">
        <v>1906</v>
      </c>
      <c r="K4985" s="11" t="s">
        <v>61</v>
      </c>
      <c r="L4985" s="11" t="s">
        <v>41</v>
      </c>
      <c r="M4985" s="11" t="s">
        <v>49</v>
      </c>
      <c r="N4985" s="11" t="s">
        <v>85</v>
      </c>
      <c r="O4985" s="11" t="s">
        <v>1098</v>
      </c>
      <c r="P4985" s="11" t="s">
        <v>52</v>
      </c>
      <c r="Q4985" s="20">
        <v>40670.0</v>
      </c>
      <c r="R4985" s="17">
        <f t="shared" si="2"/>
        <v>26.21579841</v>
      </c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>
        <f t="shared" si="8"/>
        <v>3</v>
      </c>
      <c r="AF4985" s="19">
        <f t="shared" si="13"/>
        <v>4</v>
      </c>
      <c r="AG4985" s="9"/>
      <c r="AH4985" s="9"/>
      <c r="AI4985" s="9"/>
    </row>
    <row r="4986" ht="15.0" customHeight="1">
      <c r="A4986" s="11">
        <v>4985.0</v>
      </c>
      <c r="B4986" s="12">
        <f t="shared" si="789"/>
        <v>40668</v>
      </c>
      <c r="C4986" s="13">
        <v>2011.0</v>
      </c>
      <c r="D4986" s="11" t="s">
        <v>23</v>
      </c>
      <c r="E4986" s="11">
        <v>8.0</v>
      </c>
      <c r="F4986" s="21" t="s">
        <v>610</v>
      </c>
      <c r="G4986" s="15">
        <v>0.0969258589511754</v>
      </c>
      <c r="H4986" s="11" t="s">
        <v>33</v>
      </c>
      <c r="I4986" s="16">
        <v>2.2800000000000002</v>
      </c>
      <c r="J4986" s="11" t="s">
        <v>1466</v>
      </c>
      <c r="K4986" s="11" t="s">
        <v>65</v>
      </c>
      <c r="L4986" s="11" t="s">
        <v>48</v>
      </c>
      <c r="M4986" s="11" t="s">
        <v>49</v>
      </c>
      <c r="N4986" s="11" t="s">
        <v>73</v>
      </c>
      <c r="O4986" s="11" t="s">
        <v>612</v>
      </c>
      <c r="P4986" s="11" t="s">
        <v>99</v>
      </c>
      <c r="Q4986" s="20">
        <v>40670.0</v>
      </c>
      <c r="R4986" s="17">
        <f t="shared" si="2"/>
        <v>9.680954792</v>
      </c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>
        <f t="shared" si="8"/>
        <v>4</v>
      </c>
      <c r="AF4986" s="19">
        <f t="shared" si="13"/>
        <v>5</v>
      </c>
      <c r="AG4986" s="9"/>
      <c r="AH4986" s="9"/>
      <c r="AI4986" s="9"/>
    </row>
    <row r="4987" ht="15.0" customHeight="1">
      <c r="A4987" s="11">
        <v>4986.0</v>
      </c>
      <c r="B4987" s="12">
        <f t="shared" si="789"/>
        <v>40668</v>
      </c>
      <c r="C4987" s="13">
        <v>2011.0</v>
      </c>
      <c r="D4987" s="11" t="s">
        <v>23</v>
      </c>
      <c r="E4987" s="11">
        <v>50.0</v>
      </c>
      <c r="F4987" s="21" t="s">
        <v>1195</v>
      </c>
      <c r="G4987" s="15">
        <v>0.05652515162326077</v>
      </c>
      <c r="H4987" s="11" t="s">
        <v>33</v>
      </c>
      <c r="I4987" s="16">
        <v>4.456</v>
      </c>
      <c r="J4987" s="11" t="s">
        <v>1466</v>
      </c>
      <c r="K4987" s="11" t="s">
        <v>65</v>
      </c>
      <c r="L4987" s="11" t="s">
        <v>48</v>
      </c>
      <c r="M4987" s="11" t="s">
        <v>28</v>
      </c>
      <c r="N4987" s="11" t="s">
        <v>56</v>
      </c>
      <c r="O4987" s="11" t="s">
        <v>2176</v>
      </c>
      <c r="P4987" s="11" t="s">
        <v>38</v>
      </c>
      <c r="Q4987" s="20">
        <v>40671.0</v>
      </c>
      <c r="R4987" s="17">
        <f t="shared" si="2"/>
        <v>14.9484155</v>
      </c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>
        <f t="shared" si="8"/>
        <v>4</v>
      </c>
      <c r="AF4987" s="19">
        <f t="shared" si="13"/>
        <v>5</v>
      </c>
      <c r="AG4987" s="9"/>
      <c r="AH4987" s="9"/>
      <c r="AI4987" s="9"/>
    </row>
    <row r="4988" ht="15.0" customHeight="1">
      <c r="A4988" s="11">
        <v>4987.0</v>
      </c>
      <c r="B4988" s="12">
        <f t="shared" ref="B4988:B4992" si="790">DATE(2012,12,31)-605</f>
        <v>40669</v>
      </c>
      <c r="C4988" s="13">
        <v>2011.0</v>
      </c>
      <c r="D4988" s="11" t="s">
        <v>32</v>
      </c>
      <c r="E4988" s="11">
        <v>23.0</v>
      </c>
      <c r="F4988" s="21" t="s">
        <v>319</v>
      </c>
      <c r="G4988" s="15">
        <v>0.07202279202279219</v>
      </c>
      <c r="H4988" s="11" t="s">
        <v>33</v>
      </c>
      <c r="I4988" s="16">
        <v>0.7440000000000001</v>
      </c>
      <c r="J4988" s="11" t="s">
        <v>2372</v>
      </c>
      <c r="K4988" s="11" t="s">
        <v>714</v>
      </c>
      <c r="L4988" s="11" t="s">
        <v>27</v>
      </c>
      <c r="M4988" s="11" t="s">
        <v>28</v>
      </c>
      <c r="N4988" s="11" t="s">
        <v>62</v>
      </c>
      <c r="O4988" s="11" t="s">
        <v>1427</v>
      </c>
      <c r="P4988" s="11" t="s">
        <v>58</v>
      </c>
      <c r="Q4988" s="20">
        <v>40671.0</v>
      </c>
      <c r="R4988" s="17">
        <f t="shared" si="2"/>
        <v>4.691852764</v>
      </c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>
        <f t="shared" si="8"/>
        <v>1</v>
      </c>
      <c r="AF4988" s="19" t="b">
        <f t="shared" si="13"/>
        <v>0</v>
      </c>
      <c r="AG4988" s="9"/>
      <c r="AH4988" s="9"/>
      <c r="AI4988" s="9"/>
    </row>
    <row r="4989" ht="15.0" customHeight="1">
      <c r="A4989" s="11">
        <v>4988.0</v>
      </c>
      <c r="B4989" s="12">
        <f t="shared" si="790"/>
        <v>40669</v>
      </c>
      <c r="C4989" s="13">
        <v>2011.0</v>
      </c>
      <c r="D4989" s="11" t="s">
        <v>44</v>
      </c>
      <c r="E4989" s="11">
        <v>38.0</v>
      </c>
      <c r="F4989" s="21" t="s">
        <v>469</v>
      </c>
      <c r="G4989" s="15">
        <v>0.07092656527013172</v>
      </c>
      <c r="H4989" s="11" t="s">
        <v>45</v>
      </c>
      <c r="I4989" s="16">
        <v>11.488</v>
      </c>
      <c r="J4989" s="11" t="s">
        <v>1985</v>
      </c>
      <c r="K4989" s="11" t="s">
        <v>35</v>
      </c>
      <c r="L4989" s="11" t="s">
        <v>48</v>
      </c>
      <c r="M4989" s="11" t="s">
        <v>49</v>
      </c>
      <c r="N4989" s="11" t="s">
        <v>50</v>
      </c>
      <c r="O4989" s="11" t="s">
        <v>470</v>
      </c>
      <c r="P4989" s="11" t="s">
        <v>52</v>
      </c>
      <c r="Q4989" s="20">
        <v>40671.0</v>
      </c>
      <c r="R4989" s="17">
        <f t="shared" si="2"/>
        <v>70.62072992</v>
      </c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>
        <f t="shared" si="8"/>
        <v>4</v>
      </c>
      <c r="AF4989" s="19">
        <f t="shared" si="13"/>
        <v>2</v>
      </c>
      <c r="AG4989" s="9"/>
      <c r="AH4989" s="9"/>
      <c r="AI4989" s="9"/>
    </row>
    <row r="4990" ht="15.0" customHeight="1">
      <c r="A4990" s="11">
        <v>4989.0</v>
      </c>
      <c r="B4990" s="12">
        <f t="shared" si="790"/>
        <v>40669</v>
      </c>
      <c r="C4990" s="13">
        <v>2011.0</v>
      </c>
      <c r="D4990" s="11" t="s">
        <v>44</v>
      </c>
      <c r="E4990" s="11">
        <v>47.0</v>
      </c>
      <c r="F4990" s="21" t="s">
        <v>128</v>
      </c>
      <c r="G4990" s="15">
        <v>0.02989330842224292</v>
      </c>
      <c r="H4990" s="11" t="s">
        <v>33</v>
      </c>
      <c r="I4990" s="16">
        <v>2.0</v>
      </c>
      <c r="J4990" s="11" t="s">
        <v>1985</v>
      </c>
      <c r="K4990" s="11" t="s">
        <v>35</v>
      </c>
      <c r="L4990" s="11" t="s">
        <v>48</v>
      </c>
      <c r="M4990" s="11" t="s">
        <v>66</v>
      </c>
      <c r="N4990" s="11" t="s">
        <v>80</v>
      </c>
      <c r="O4990" s="11" t="s">
        <v>862</v>
      </c>
      <c r="P4990" s="11" t="s">
        <v>38</v>
      </c>
      <c r="Q4990" s="20">
        <v>40671.0</v>
      </c>
      <c r="R4990" s="17">
        <f t="shared" si="2"/>
        <v>176.9474605</v>
      </c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>
        <f t="shared" si="8"/>
        <v>4</v>
      </c>
      <c r="AF4990" s="19">
        <f t="shared" si="13"/>
        <v>2</v>
      </c>
      <c r="AG4990" s="9"/>
      <c r="AH4990" s="9"/>
      <c r="AI4990" s="9"/>
    </row>
    <row r="4991" ht="15.0" customHeight="1">
      <c r="A4991" s="11">
        <v>4990.0</v>
      </c>
      <c r="B4991" s="12">
        <f t="shared" si="790"/>
        <v>40669</v>
      </c>
      <c r="C4991" s="13">
        <v>2011.0</v>
      </c>
      <c r="D4991" s="11" t="s">
        <v>44</v>
      </c>
      <c r="E4991" s="11">
        <v>45.0</v>
      </c>
      <c r="F4991" s="21" t="s">
        <v>700</v>
      </c>
      <c r="G4991" s="15">
        <v>0.04590393013100437</v>
      </c>
      <c r="H4991" s="11" t="s">
        <v>24</v>
      </c>
      <c r="I4991" s="16">
        <v>4.976</v>
      </c>
      <c r="J4991" s="11" t="s">
        <v>2052</v>
      </c>
      <c r="K4991" s="11" t="s">
        <v>65</v>
      </c>
      <c r="L4991" s="11" t="s">
        <v>27</v>
      </c>
      <c r="M4991" s="11" t="s">
        <v>49</v>
      </c>
      <c r="N4991" s="11" t="s">
        <v>73</v>
      </c>
      <c r="O4991" s="11" t="s">
        <v>701</v>
      </c>
      <c r="P4991" s="11" t="s">
        <v>38</v>
      </c>
      <c r="Q4991" s="20">
        <v>40671.0</v>
      </c>
      <c r="R4991" s="17">
        <f t="shared" si="2"/>
        <v>20.05891577</v>
      </c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>
        <f t="shared" si="8"/>
        <v>1</v>
      </c>
      <c r="AF4991" s="19">
        <f t="shared" si="13"/>
        <v>5</v>
      </c>
      <c r="AG4991" s="9"/>
      <c r="AH4991" s="9"/>
      <c r="AI4991" s="9"/>
    </row>
    <row r="4992" ht="15.0" customHeight="1">
      <c r="A4992" s="11">
        <v>4991.0</v>
      </c>
      <c r="B4992" s="12">
        <f t="shared" si="790"/>
        <v>40669</v>
      </c>
      <c r="C4992" s="13">
        <v>2011.0</v>
      </c>
      <c r="D4992" s="11" t="s">
        <v>32</v>
      </c>
      <c r="E4992" s="11">
        <v>29.0</v>
      </c>
      <c r="F4992" s="21" t="s">
        <v>490</v>
      </c>
      <c r="G4992" s="15">
        <v>0.02268663928485138</v>
      </c>
      <c r="H4992" s="11" t="s">
        <v>33</v>
      </c>
      <c r="I4992" s="16">
        <v>11.440000000000001</v>
      </c>
      <c r="J4992" s="11" t="s">
        <v>2164</v>
      </c>
      <c r="K4992" s="11" t="s">
        <v>61</v>
      </c>
      <c r="L4992" s="11" t="s">
        <v>48</v>
      </c>
      <c r="M4992" s="11" t="s">
        <v>28</v>
      </c>
      <c r="N4992" s="11" t="s">
        <v>56</v>
      </c>
      <c r="O4992" s="11" t="s">
        <v>492</v>
      </c>
      <c r="P4992" s="11" t="s">
        <v>38</v>
      </c>
      <c r="Q4992" s="20">
        <v>40671.0</v>
      </c>
      <c r="R4992" s="17">
        <f t="shared" si="2"/>
        <v>36.70788983</v>
      </c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>
        <f t="shared" si="8"/>
        <v>4</v>
      </c>
      <c r="AF4992" s="19">
        <f t="shared" si="13"/>
        <v>4</v>
      </c>
      <c r="AG4992" s="9"/>
      <c r="AH4992" s="9"/>
      <c r="AI4992" s="9"/>
    </row>
    <row r="4993" ht="15.0" customHeight="1">
      <c r="A4993" s="11">
        <v>4992.0</v>
      </c>
      <c r="B4993" s="12">
        <f t="shared" ref="B4993:B4998" si="791">DATE(2012,12,31)-604</f>
        <v>40670</v>
      </c>
      <c r="C4993" s="13">
        <v>2011.0</v>
      </c>
      <c r="D4993" s="11" t="s">
        <v>23</v>
      </c>
      <c r="E4993" s="11">
        <v>7.0</v>
      </c>
      <c r="F4993" s="21" t="s">
        <v>1166</v>
      </c>
      <c r="G4993" s="15">
        <v>0.10738461538461544</v>
      </c>
      <c r="H4993" s="11" t="s">
        <v>33</v>
      </c>
      <c r="I4993" s="16">
        <v>1.9120000000000001</v>
      </c>
      <c r="J4993" s="11" t="s">
        <v>2538</v>
      </c>
      <c r="K4993" s="11" t="s">
        <v>35</v>
      </c>
      <c r="L4993" s="11" t="s">
        <v>48</v>
      </c>
      <c r="M4993" s="11" t="s">
        <v>66</v>
      </c>
      <c r="N4993" s="11" t="s">
        <v>67</v>
      </c>
      <c r="O4993" s="11" t="s">
        <v>1167</v>
      </c>
      <c r="P4993" s="11" t="s">
        <v>99</v>
      </c>
      <c r="Q4993" s="20">
        <v>40671.0</v>
      </c>
      <c r="R4993" s="17">
        <f t="shared" si="2"/>
        <v>3.738273231</v>
      </c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>
        <f t="shared" si="8"/>
        <v>4</v>
      </c>
      <c r="AF4993" s="19">
        <f t="shared" si="13"/>
        <v>2</v>
      </c>
      <c r="AG4993" s="9"/>
      <c r="AH4993" s="9"/>
      <c r="AI4993" s="9"/>
    </row>
    <row r="4994" ht="15.0" customHeight="1">
      <c r="A4994" s="11">
        <v>4993.0</v>
      </c>
      <c r="B4994" s="12">
        <f t="shared" si="791"/>
        <v>40670</v>
      </c>
      <c r="C4994" s="13">
        <v>2011.0</v>
      </c>
      <c r="D4994" s="11" t="s">
        <v>32</v>
      </c>
      <c r="E4994" s="11">
        <v>8.0</v>
      </c>
      <c r="F4994" s="21" t="s">
        <v>498</v>
      </c>
      <c r="G4994" s="15">
        <v>0.08292007842232726</v>
      </c>
      <c r="H4994" s="11" t="s">
        <v>33</v>
      </c>
      <c r="I4994" s="16">
        <v>28.0</v>
      </c>
      <c r="J4994" s="11" t="s">
        <v>724</v>
      </c>
      <c r="K4994" s="11" t="s">
        <v>65</v>
      </c>
      <c r="L4994" s="11" t="s">
        <v>48</v>
      </c>
      <c r="M4994" s="11" t="s">
        <v>28</v>
      </c>
      <c r="N4994" s="11" t="s">
        <v>29</v>
      </c>
      <c r="O4994" s="11" t="s">
        <v>30</v>
      </c>
      <c r="P4994" s="11" t="s">
        <v>31</v>
      </c>
      <c r="Q4994" s="20">
        <v>40671.0</v>
      </c>
      <c r="R4994" s="17">
        <f t="shared" si="2"/>
        <v>65.93804636</v>
      </c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>
        <f t="shared" si="8"/>
        <v>4</v>
      </c>
      <c r="AF4994" s="19">
        <f t="shared" si="13"/>
        <v>5</v>
      </c>
      <c r="AG4994" s="9"/>
      <c r="AH4994" s="9"/>
      <c r="AI4994" s="9"/>
    </row>
    <row r="4995" ht="15.0" customHeight="1">
      <c r="A4995" s="11">
        <v>4994.0</v>
      </c>
      <c r="B4995" s="12">
        <f t="shared" si="791"/>
        <v>40670</v>
      </c>
      <c r="C4995" s="13">
        <v>2011.0</v>
      </c>
      <c r="D4995" s="11" t="s">
        <v>102</v>
      </c>
      <c r="E4995" s="11">
        <v>37.0</v>
      </c>
      <c r="F4995" s="21" t="s">
        <v>881</v>
      </c>
      <c r="G4995" s="15">
        <v>0.042959427207637305</v>
      </c>
      <c r="H4995" s="11" t="s">
        <v>33</v>
      </c>
      <c r="I4995" s="16">
        <v>3.2</v>
      </c>
      <c r="J4995" s="11" t="s">
        <v>732</v>
      </c>
      <c r="K4995" s="11" t="s">
        <v>61</v>
      </c>
      <c r="L4995" s="11" t="s">
        <v>27</v>
      </c>
      <c r="M4995" s="11" t="s">
        <v>49</v>
      </c>
      <c r="N4995" s="11" t="s">
        <v>73</v>
      </c>
      <c r="O4995" s="11" t="s">
        <v>883</v>
      </c>
      <c r="P4995" s="11" t="s">
        <v>58</v>
      </c>
      <c r="Q4995" s="20">
        <v>40672.0</v>
      </c>
      <c r="R4995" s="17">
        <f t="shared" si="2"/>
        <v>12.05871122</v>
      </c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>
        <f t="shared" si="8"/>
        <v>1</v>
      </c>
      <c r="AF4995" s="19">
        <f t="shared" si="13"/>
        <v>4</v>
      </c>
      <c r="AG4995" s="9"/>
      <c r="AH4995" s="9"/>
      <c r="AI4995" s="9"/>
    </row>
    <row r="4996" ht="15.0" customHeight="1">
      <c r="A4996" s="11">
        <v>4995.0</v>
      </c>
      <c r="B4996" s="12">
        <f t="shared" si="791"/>
        <v>40670</v>
      </c>
      <c r="C4996" s="13">
        <v>2011.0</v>
      </c>
      <c r="D4996" s="11" t="s">
        <v>102</v>
      </c>
      <c r="E4996" s="11">
        <v>9.0</v>
      </c>
      <c r="F4996" s="21" t="s">
        <v>1954</v>
      </c>
      <c r="G4996" s="15">
        <v>0.014393752568845203</v>
      </c>
      <c r="H4996" s="11" t="s">
        <v>33</v>
      </c>
      <c r="I4996" s="16">
        <v>15.991999999999999</v>
      </c>
      <c r="J4996" s="11" t="s">
        <v>732</v>
      </c>
      <c r="K4996" s="11" t="s">
        <v>61</v>
      </c>
      <c r="L4996" s="11" t="s">
        <v>27</v>
      </c>
      <c r="M4996" s="11" t="s">
        <v>28</v>
      </c>
      <c r="N4996" s="11" t="s">
        <v>56</v>
      </c>
      <c r="O4996" s="11" t="s">
        <v>2117</v>
      </c>
      <c r="P4996" s="11" t="s">
        <v>38</v>
      </c>
      <c r="Q4996" s="20">
        <v>40672.0</v>
      </c>
      <c r="R4996" s="17">
        <f t="shared" si="2"/>
        <v>13.80637231</v>
      </c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>
        <f t="shared" si="8"/>
        <v>1</v>
      </c>
      <c r="AF4996" s="19">
        <f t="shared" si="13"/>
        <v>4</v>
      </c>
      <c r="AG4996" s="9"/>
      <c r="AH4996" s="9"/>
      <c r="AI4996" s="9"/>
    </row>
    <row r="4997" ht="15.0" customHeight="1">
      <c r="A4997" s="11">
        <v>4996.0</v>
      </c>
      <c r="B4997" s="12">
        <f t="shared" si="791"/>
        <v>40670</v>
      </c>
      <c r="C4997" s="13">
        <v>2011.0</v>
      </c>
      <c r="D4997" s="11" t="s">
        <v>102</v>
      </c>
      <c r="E4997" s="11">
        <v>16.0</v>
      </c>
      <c r="F4997" s="21" t="s">
        <v>530</v>
      </c>
      <c r="G4997" s="15">
        <v>0.048481996434937676</v>
      </c>
      <c r="H4997" s="11" t="s">
        <v>33</v>
      </c>
      <c r="I4997" s="16">
        <v>4.904</v>
      </c>
      <c r="J4997" s="11" t="s">
        <v>1423</v>
      </c>
      <c r="K4997" s="11" t="s">
        <v>61</v>
      </c>
      <c r="L4997" s="11" t="s">
        <v>48</v>
      </c>
      <c r="M4997" s="11" t="s">
        <v>66</v>
      </c>
      <c r="N4997" s="11" t="s">
        <v>67</v>
      </c>
      <c r="O4997" s="11" t="s">
        <v>531</v>
      </c>
      <c r="P4997" s="11" t="s">
        <v>38</v>
      </c>
      <c r="Q4997" s="20">
        <v>40672.0</v>
      </c>
      <c r="R4997" s="17">
        <f t="shared" si="2"/>
        <v>64.69941817</v>
      </c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>
        <f t="shared" si="8"/>
        <v>4</v>
      </c>
      <c r="AF4997" s="19">
        <f t="shared" si="13"/>
        <v>4</v>
      </c>
      <c r="AG4997" s="9"/>
      <c r="AH4997" s="9"/>
      <c r="AI4997" s="9"/>
    </row>
    <row r="4998" ht="15.0" customHeight="1">
      <c r="A4998" s="11">
        <v>4997.0</v>
      </c>
      <c r="B4998" s="12">
        <f t="shared" si="791"/>
        <v>40670</v>
      </c>
      <c r="C4998" s="13">
        <v>2011.0</v>
      </c>
      <c r="D4998" s="11" t="s">
        <v>39</v>
      </c>
      <c r="E4998" s="11">
        <v>43.0</v>
      </c>
      <c r="F4998" s="21" t="s">
        <v>762</v>
      </c>
      <c r="G4998" s="15">
        <v>0.08293323863636377</v>
      </c>
      <c r="H4998" s="11" t="s">
        <v>24</v>
      </c>
      <c r="I4998" s="16">
        <v>4.792000000000001</v>
      </c>
      <c r="J4998" s="11" t="s">
        <v>968</v>
      </c>
      <c r="K4998" s="11" t="s">
        <v>47</v>
      </c>
      <c r="L4998" s="11" t="s">
        <v>36</v>
      </c>
      <c r="M4998" s="11" t="s">
        <v>66</v>
      </c>
      <c r="N4998" s="11" t="s">
        <v>69</v>
      </c>
      <c r="O4998" s="11" t="s">
        <v>764</v>
      </c>
      <c r="P4998" s="11" t="s">
        <v>75</v>
      </c>
      <c r="Q4998" s="20">
        <v>40672.0</v>
      </c>
      <c r="R4998" s="17">
        <f t="shared" si="2"/>
        <v>42.83435429</v>
      </c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>
        <f t="shared" si="8"/>
        <v>2</v>
      </c>
      <c r="AF4998" s="19">
        <f t="shared" si="13"/>
        <v>3</v>
      </c>
      <c r="AG4998" s="9"/>
      <c r="AH4998" s="9"/>
      <c r="AI4998" s="9"/>
    </row>
    <row r="4999" ht="15.0" customHeight="1">
      <c r="A4999" s="11">
        <v>4998.0</v>
      </c>
      <c r="B4999" s="12">
        <f t="shared" ref="B4999:B5005" si="792">DATE(2012,12,31)-603</f>
        <v>40671</v>
      </c>
      <c r="C4999" s="13">
        <v>2011.0</v>
      </c>
      <c r="D4999" s="11" t="s">
        <v>32</v>
      </c>
      <c r="E4999" s="11">
        <v>35.0</v>
      </c>
      <c r="F4999" s="21" t="s">
        <v>790</v>
      </c>
      <c r="G4999" s="15">
        <v>0.030758161705189354</v>
      </c>
      <c r="H4999" s="11" t="s">
        <v>33</v>
      </c>
      <c r="I4999" s="16">
        <v>3.2</v>
      </c>
      <c r="J4999" s="11" t="s">
        <v>2116</v>
      </c>
      <c r="K4999" s="11" t="s">
        <v>65</v>
      </c>
      <c r="L4999" s="11" t="s">
        <v>48</v>
      </c>
      <c r="M4999" s="11" t="s">
        <v>66</v>
      </c>
      <c r="N4999" s="11" t="s">
        <v>67</v>
      </c>
      <c r="O4999" s="11" t="s">
        <v>791</v>
      </c>
      <c r="P4999" s="11" t="s">
        <v>38</v>
      </c>
      <c r="Q4999" s="20">
        <v>40672.0</v>
      </c>
      <c r="R4999" s="17">
        <f t="shared" si="2"/>
        <v>33.14807087</v>
      </c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>
        <f t="shared" si="8"/>
        <v>4</v>
      </c>
      <c r="AF4999" s="19">
        <f t="shared" si="13"/>
        <v>5</v>
      </c>
      <c r="AG4999" s="9"/>
      <c r="AH4999" s="9"/>
      <c r="AI4999" s="9"/>
    </row>
    <row r="5000" ht="15.0" customHeight="1">
      <c r="A5000" s="11">
        <v>4999.0</v>
      </c>
      <c r="B5000" s="12">
        <f t="shared" si="792"/>
        <v>40671</v>
      </c>
      <c r="C5000" s="13">
        <v>2011.0</v>
      </c>
      <c r="D5000" s="11" t="s">
        <v>32</v>
      </c>
      <c r="E5000" s="11">
        <v>46.0</v>
      </c>
      <c r="F5000" s="21" t="s">
        <v>1538</v>
      </c>
      <c r="G5000" s="15">
        <v>0.06691203440207424</v>
      </c>
      <c r="H5000" s="11" t="s">
        <v>33</v>
      </c>
      <c r="I5000" s="16">
        <v>11.584000000000001</v>
      </c>
      <c r="J5000" s="11" t="s">
        <v>550</v>
      </c>
      <c r="K5000" s="11" t="s">
        <v>65</v>
      </c>
      <c r="L5000" s="11" t="s">
        <v>48</v>
      </c>
      <c r="M5000" s="11" t="s">
        <v>49</v>
      </c>
      <c r="N5000" s="11" t="s">
        <v>73</v>
      </c>
      <c r="O5000" s="11" t="s">
        <v>1539</v>
      </c>
      <c r="P5000" s="11" t="s">
        <v>38</v>
      </c>
      <c r="Q5000" s="20">
        <v>40672.0</v>
      </c>
      <c r="R5000" s="17">
        <f t="shared" si="2"/>
        <v>197.4563429</v>
      </c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>
        <f t="shared" si="8"/>
        <v>4</v>
      </c>
      <c r="AF5000" s="19">
        <f t="shared" si="13"/>
        <v>5</v>
      </c>
      <c r="AG5000" s="9"/>
      <c r="AH5000" s="9"/>
      <c r="AI5000" s="9"/>
    </row>
    <row r="5001" ht="15.0" customHeight="1">
      <c r="A5001" s="11">
        <v>5000.0</v>
      </c>
      <c r="B5001" s="12">
        <f t="shared" si="792"/>
        <v>40671</v>
      </c>
      <c r="C5001" s="13">
        <v>2011.0</v>
      </c>
      <c r="D5001" s="11" t="s">
        <v>23</v>
      </c>
      <c r="E5001" s="11">
        <v>19.0</v>
      </c>
      <c r="F5001" s="21" t="s">
        <v>304</v>
      </c>
      <c r="G5001" s="15">
        <v>0.03638196286472151</v>
      </c>
      <c r="H5001" s="11" t="s">
        <v>33</v>
      </c>
      <c r="I5001" s="16">
        <v>4.184</v>
      </c>
      <c r="J5001" s="11" t="s">
        <v>1827</v>
      </c>
      <c r="K5001" s="11" t="s">
        <v>117</v>
      </c>
      <c r="L5001" s="11" t="s">
        <v>27</v>
      </c>
      <c r="M5001" s="11" t="s">
        <v>28</v>
      </c>
      <c r="N5001" s="11" t="s">
        <v>42</v>
      </c>
      <c r="O5001" s="11" t="s">
        <v>2410</v>
      </c>
      <c r="P5001" s="11" t="s">
        <v>38</v>
      </c>
      <c r="Q5001" s="20">
        <v>40673.0</v>
      </c>
      <c r="R5001" s="17">
        <f t="shared" si="2"/>
        <v>13.216985</v>
      </c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>
        <f t="shared" si="8"/>
        <v>1</v>
      </c>
      <c r="AF5001" s="19" t="b">
        <f t="shared" si="13"/>
        <v>0</v>
      </c>
      <c r="AG5001" s="9"/>
      <c r="AH5001" s="9"/>
      <c r="AI5001" s="9"/>
    </row>
    <row r="5002" ht="15.0" customHeight="1">
      <c r="A5002" s="11">
        <v>5001.0</v>
      </c>
      <c r="B5002" s="12">
        <f t="shared" si="792"/>
        <v>40671</v>
      </c>
      <c r="C5002" s="13">
        <v>2011.0</v>
      </c>
      <c r="D5002" s="11" t="s">
        <v>102</v>
      </c>
      <c r="E5002" s="11">
        <v>23.0</v>
      </c>
      <c r="F5002" s="21" t="s">
        <v>573</v>
      </c>
      <c r="G5002" s="15">
        <v>0.05761120263591433</v>
      </c>
      <c r="H5002" s="11" t="s">
        <v>33</v>
      </c>
      <c r="I5002" s="16">
        <v>1.1119999999999999</v>
      </c>
      <c r="J5002" s="11" t="s">
        <v>1353</v>
      </c>
      <c r="K5002" s="11" t="s">
        <v>26</v>
      </c>
      <c r="L5002" s="11" t="s">
        <v>36</v>
      </c>
      <c r="M5002" s="11" t="s">
        <v>28</v>
      </c>
      <c r="N5002" s="11" t="s">
        <v>236</v>
      </c>
      <c r="O5002" s="11" t="s">
        <v>2289</v>
      </c>
      <c r="P5002" s="11" t="s">
        <v>38</v>
      </c>
      <c r="Q5002" s="20">
        <v>40673.0</v>
      </c>
      <c r="R5002" s="17">
        <f t="shared" si="2"/>
        <v>13.1821345</v>
      </c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>
        <f t="shared" si="8"/>
        <v>2</v>
      </c>
      <c r="AF5002" s="19">
        <f t="shared" si="13"/>
        <v>1</v>
      </c>
      <c r="AG5002" s="9"/>
      <c r="AH5002" s="9"/>
      <c r="AI5002" s="9"/>
    </row>
    <row r="5003" ht="15.0" customHeight="1">
      <c r="A5003" s="11">
        <v>5002.0</v>
      </c>
      <c r="B5003" s="12">
        <f t="shared" si="792"/>
        <v>40671</v>
      </c>
      <c r="C5003" s="13">
        <v>2011.0</v>
      </c>
      <c r="D5003" s="11" t="s">
        <v>102</v>
      </c>
      <c r="E5003" s="11">
        <v>48.0</v>
      </c>
      <c r="F5003" s="21" t="s">
        <v>128</v>
      </c>
      <c r="G5003" s="15">
        <v>0.06632342500848828</v>
      </c>
      <c r="H5003" s="11" t="s">
        <v>33</v>
      </c>
      <c r="I5003" s="16">
        <v>6.464</v>
      </c>
      <c r="J5003" s="11" t="s">
        <v>1353</v>
      </c>
      <c r="K5003" s="11" t="s">
        <v>26</v>
      </c>
      <c r="L5003" s="11" t="s">
        <v>36</v>
      </c>
      <c r="M5003" s="11" t="s">
        <v>66</v>
      </c>
      <c r="N5003" s="11" t="s">
        <v>80</v>
      </c>
      <c r="O5003" s="11" t="s">
        <v>2243</v>
      </c>
      <c r="P5003" s="11" t="s">
        <v>38</v>
      </c>
      <c r="Q5003" s="20">
        <v>40673.0</v>
      </c>
      <c r="R5003" s="17">
        <f t="shared" si="2"/>
        <v>401.2344366</v>
      </c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>
        <f t="shared" si="8"/>
        <v>2</v>
      </c>
      <c r="AF5003" s="19">
        <f t="shared" si="13"/>
        <v>1</v>
      </c>
      <c r="AG5003" s="9"/>
      <c r="AH5003" s="9"/>
      <c r="AI5003" s="9"/>
    </row>
    <row r="5004" ht="15.0" customHeight="1">
      <c r="A5004" s="11">
        <v>5003.0</v>
      </c>
      <c r="B5004" s="12">
        <f t="shared" si="792"/>
        <v>40671</v>
      </c>
      <c r="C5004" s="13">
        <v>2011.0</v>
      </c>
      <c r="D5004" s="11" t="s">
        <v>32</v>
      </c>
      <c r="E5004" s="11">
        <v>24.0</v>
      </c>
      <c r="F5004" s="21" t="s">
        <v>122</v>
      </c>
      <c r="G5004" s="15">
        <v>0.02426713259561261</v>
      </c>
      <c r="H5004" s="11" t="s">
        <v>33</v>
      </c>
      <c r="I5004" s="16">
        <v>1.0</v>
      </c>
      <c r="J5004" s="11" t="s">
        <v>1761</v>
      </c>
      <c r="K5004" s="11" t="s">
        <v>35</v>
      </c>
      <c r="L5004" s="11" t="s">
        <v>41</v>
      </c>
      <c r="M5004" s="11" t="s">
        <v>66</v>
      </c>
      <c r="N5004" s="11" t="s">
        <v>80</v>
      </c>
      <c r="O5004" s="11" t="s">
        <v>1992</v>
      </c>
      <c r="P5004" s="11" t="s">
        <v>99</v>
      </c>
      <c r="Q5004" s="20">
        <v>40673.0</v>
      </c>
      <c r="R5004" s="17">
        <f t="shared" si="2"/>
        <v>12.19666084</v>
      </c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>
        <f t="shared" si="8"/>
        <v>3</v>
      </c>
      <c r="AF5004" s="19">
        <f t="shared" si="13"/>
        <v>2</v>
      </c>
      <c r="AG5004" s="9"/>
      <c r="AH5004" s="9"/>
      <c r="AI5004" s="9"/>
    </row>
    <row r="5005" ht="15.0" customHeight="1">
      <c r="A5005" s="11">
        <v>5004.0</v>
      </c>
      <c r="B5005" s="12">
        <f t="shared" si="792"/>
        <v>40671</v>
      </c>
      <c r="C5005" s="13">
        <v>2011.0</v>
      </c>
      <c r="D5005" s="11" t="s">
        <v>32</v>
      </c>
      <c r="E5005" s="11">
        <v>29.0</v>
      </c>
      <c r="F5005" s="21" t="s">
        <v>103</v>
      </c>
      <c r="G5005" s="15">
        <v>0.017975253093363317</v>
      </c>
      <c r="H5005" s="11" t="s">
        <v>33</v>
      </c>
      <c r="I5005" s="16">
        <v>3.504</v>
      </c>
      <c r="J5005" s="11" t="s">
        <v>1761</v>
      </c>
      <c r="K5005" s="11" t="s">
        <v>35</v>
      </c>
      <c r="L5005" s="11" t="s">
        <v>41</v>
      </c>
      <c r="M5005" s="11" t="s">
        <v>66</v>
      </c>
      <c r="N5005" s="11" t="s">
        <v>67</v>
      </c>
      <c r="O5005" s="11" t="s">
        <v>1284</v>
      </c>
      <c r="P5005" s="11" t="s">
        <v>99</v>
      </c>
      <c r="Q5005" s="20">
        <v>40674.0</v>
      </c>
      <c r="R5005" s="17">
        <f t="shared" si="2"/>
        <v>3.138551091</v>
      </c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>
        <f t="shared" si="8"/>
        <v>3</v>
      </c>
      <c r="AF5005" s="19">
        <f t="shared" si="13"/>
        <v>2</v>
      </c>
      <c r="AG5005" s="9"/>
      <c r="AH5005" s="9"/>
      <c r="AI5005" s="9"/>
    </row>
    <row r="5006" ht="15.0" customHeight="1">
      <c r="A5006" s="11">
        <v>5005.0</v>
      </c>
      <c r="B5006" s="12">
        <f t="shared" ref="B5006:B5009" si="793">DATE(2012,12,31)-602</f>
        <v>40672</v>
      </c>
      <c r="C5006" s="13">
        <v>2011.0</v>
      </c>
      <c r="D5006" s="11" t="s">
        <v>39</v>
      </c>
      <c r="E5006" s="11">
        <v>22.0</v>
      </c>
      <c r="F5006" s="21" t="s">
        <v>1043</v>
      </c>
      <c r="G5006" s="15">
        <v>0.022389229972631132</v>
      </c>
      <c r="H5006" s="11" t="s">
        <v>33</v>
      </c>
      <c r="I5006" s="16">
        <v>8.232</v>
      </c>
      <c r="J5006" s="11" t="s">
        <v>525</v>
      </c>
      <c r="K5006" s="11" t="s">
        <v>65</v>
      </c>
      <c r="L5006" s="11" t="s">
        <v>48</v>
      </c>
      <c r="M5006" s="11" t="s">
        <v>28</v>
      </c>
      <c r="N5006" s="11" t="s">
        <v>42</v>
      </c>
      <c r="O5006" s="11" t="s">
        <v>1991</v>
      </c>
      <c r="P5006" s="11" t="s">
        <v>38</v>
      </c>
      <c r="Q5006" s="20">
        <v>40674.0</v>
      </c>
      <c r="R5006" s="17">
        <f t="shared" si="2"/>
        <v>29.59032279</v>
      </c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>
        <f t="shared" si="8"/>
        <v>4</v>
      </c>
      <c r="AF5006" s="19">
        <f t="shared" si="13"/>
        <v>5</v>
      </c>
      <c r="AG5006" s="9"/>
      <c r="AH5006" s="9"/>
      <c r="AI5006" s="9"/>
    </row>
    <row r="5007" ht="15.0" customHeight="1">
      <c r="A5007" s="11">
        <v>5006.0</v>
      </c>
      <c r="B5007" s="12">
        <f t="shared" si="793"/>
        <v>40672</v>
      </c>
      <c r="C5007" s="13">
        <v>2011.0</v>
      </c>
      <c r="D5007" s="11" t="s">
        <v>32</v>
      </c>
      <c r="E5007" s="11">
        <v>26.0</v>
      </c>
      <c r="F5007" s="21" t="s">
        <v>1557</v>
      </c>
      <c r="G5007" s="15">
        <v>0.06777726511085735</v>
      </c>
      <c r="H5007" s="11" t="s">
        <v>45</v>
      </c>
      <c r="I5007" s="16">
        <v>35.0</v>
      </c>
      <c r="J5007" s="11" t="s">
        <v>595</v>
      </c>
      <c r="K5007" s="11" t="s">
        <v>26</v>
      </c>
      <c r="L5007" s="11" t="s">
        <v>48</v>
      </c>
      <c r="M5007" s="11" t="s">
        <v>49</v>
      </c>
      <c r="N5007" s="11" t="s">
        <v>85</v>
      </c>
      <c r="O5007" s="11" t="s">
        <v>1558</v>
      </c>
      <c r="P5007" s="11" t="s">
        <v>87</v>
      </c>
      <c r="Q5007" s="20">
        <v>40674.0</v>
      </c>
      <c r="R5007" s="17">
        <f t="shared" si="2"/>
        <v>260.1833653</v>
      </c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>
        <f t="shared" si="8"/>
        <v>4</v>
      </c>
      <c r="AF5007" s="19">
        <f t="shared" si="13"/>
        <v>1</v>
      </c>
      <c r="AG5007" s="9"/>
      <c r="AH5007" s="9"/>
      <c r="AI5007" s="9"/>
    </row>
    <row r="5008" ht="15.0" customHeight="1">
      <c r="A5008" s="11">
        <v>5007.0</v>
      </c>
      <c r="B5008" s="12">
        <f t="shared" si="793"/>
        <v>40672</v>
      </c>
      <c r="C5008" s="13">
        <v>2011.0</v>
      </c>
      <c r="D5008" s="11" t="s">
        <v>23</v>
      </c>
      <c r="E5008" s="11">
        <v>16.0</v>
      </c>
      <c r="F5008" s="21" t="s">
        <v>119</v>
      </c>
      <c r="G5008" s="15">
        <v>0.09856353591160234</v>
      </c>
      <c r="H5008" s="11" t="s">
        <v>33</v>
      </c>
      <c r="I5008" s="16">
        <v>3.8320000000000003</v>
      </c>
      <c r="J5008" s="11" t="s">
        <v>1482</v>
      </c>
      <c r="K5008" s="11" t="s">
        <v>61</v>
      </c>
      <c r="L5008" s="11" t="s">
        <v>36</v>
      </c>
      <c r="M5008" s="11" t="s">
        <v>28</v>
      </c>
      <c r="N5008" s="11" t="s">
        <v>42</v>
      </c>
      <c r="O5008" s="11" t="s">
        <v>2257</v>
      </c>
      <c r="P5008" s="11" t="s">
        <v>38</v>
      </c>
      <c r="Q5008" s="20">
        <v>40674.0</v>
      </c>
      <c r="R5008" s="17">
        <f t="shared" si="2"/>
        <v>3.216325304</v>
      </c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>
        <f t="shared" si="8"/>
        <v>2</v>
      </c>
      <c r="AF5008" s="19">
        <f t="shared" si="13"/>
        <v>4</v>
      </c>
      <c r="AG5008" s="9"/>
      <c r="AH5008" s="9"/>
      <c r="AI5008" s="9"/>
    </row>
    <row r="5009" ht="15.0" customHeight="1">
      <c r="A5009" s="11">
        <v>5008.0</v>
      </c>
      <c r="B5009" s="12">
        <f t="shared" si="793"/>
        <v>40672</v>
      </c>
      <c r="C5009" s="13">
        <v>2011.0</v>
      </c>
      <c r="D5009" s="11" t="s">
        <v>23</v>
      </c>
      <c r="E5009" s="11">
        <v>23.0</v>
      </c>
      <c r="F5009" s="21" t="s">
        <v>126</v>
      </c>
      <c r="G5009" s="15">
        <v>0.05441471571906351</v>
      </c>
      <c r="H5009" s="11" t="s">
        <v>33</v>
      </c>
      <c r="I5009" s="16">
        <v>0.392</v>
      </c>
      <c r="J5009" s="11" t="s">
        <v>1482</v>
      </c>
      <c r="K5009" s="11" t="s">
        <v>61</v>
      </c>
      <c r="L5009" s="11" t="s">
        <v>36</v>
      </c>
      <c r="M5009" s="11" t="s">
        <v>28</v>
      </c>
      <c r="N5009" s="11" t="s">
        <v>188</v>
      </c>
      <c r="O5009" s="11" t="s">
        <v>1703</v>
      </c>
      <c r="P5009" s="11" t="s">
        <v>38</v>
      </c>
      <c r="Q5009" s="20">
        <v>40674.0</v>
      </c>
      <c r="R5009" s="17">
        <f t="shared" si="2"/>
        <v>6.15386903</v>
      </c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>
        <f t="shared" si="8"/>
        <v>2</v>
      </c>
      <c r="AF5009" s="19">
        <f t="shared" si="13"/>
        <v>4</v>
      </c>
      <c r="AG5009" s="9"/>
      <c r="AH5009" s="9"/>
      <c r="AI5009" s="9"/>
    </row>
    <row r="5010" ht="15.0" customHeight="1">
      <c r="A5010" s="11">
        <v>5009.0</v>
      </c>
      <c r="B5010" s="12">
        <f t="shared" ref="B5010:B5011" si="794">DATE(2012,12,31)-601</f>
        <v>40673</v>
      </c>
      <c r="C5010" s="13">
        <v>2011.0</v>
      </c>
      <c r="D5010" s="11" t="s">
        <v>32</v>
      </c>
      <c r="E5010" s="11">
        <v>6.0</v>
      </c>
      <c r="F5010" s="21" t="s">
        <v>2235</v>
      </c>
      <c r="G5010" s="15">
        <v>0.06814358974358961</v>
      </c>
      <c r="H5010" s="11" t="s">
        <v>24</v>
      </c>
      <c r="I5010" s="16">
        <v>13.368000000000002</v>
      </c>
      <c r="J5010" s="11" t="s">
        <v>2267</v>
      </c>
      <c r="K5010" s="11" t="s">
        <v>65</v>
      </c>
      <c r="L5010" s="11" t="s">
        <v>48</v>
      </c>
      <c r="M5010" s="11" t="s">
        <v>66</v>
      </c>
      <c r="N5010" s="11" t="s">
        <v>67</v>
      </c>
      <c r="O5010" s="11" t="s">
        <v>68</v>
      </c>
      <c r="P5010" s="11" t="s">
        <v>38</v>
      </c>
      <c r="Q5010" s="20">
        <v>40675.0</v>
      </c>
      <c r="R5010" s="17">
        <f t="shared" si="2"/>
        <v>18.57376197</v>
      </c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>
        <f t="shared" si="8"/>
        <v>4</v>
      </c>
      <c r="AF5010" s="19">
        <f t="shared" si="13"/>
        <v>5</v>
      </c>
      <c r="AG5010" s="9"/>
      <c r="AH5010" s="9"/>
      <c r="AI5010" s="9"/>
    </row>
    <row r="5011" ht="15.0" customHeight="1">
      <c r="A5011" s="11">
        <v>5010.0</v>
      </c>
      <c r="B5011" s="12">
        <f t="shared" si="794"/>
        <v>40673</v>
      </c>
      <c r="C5011" s="13">
        <v>2011.0</v>
      </c>
      <c r="D5011" s="11" t="s">
        <v>32</v>
      </c>
      <c r="E5011" s="11">
        <v>8.0</v>
      </c>
      <c r="F5011" s="21" t="s">
        <v>1782</v>
      </c>
      <c r="G5011" s="15">
        <v>0.01380297193175554</v>
      </c>
      <c r="H5011" s="11" t="s">
        <v>33</v>
      </c>
      <c r="I5011" s="16">
        <v>1.592</v>
      </c>
      <c r="J5011" s="11" t="s">
        <v>2267</v>
      </c>
      <c r="K5011" s="11" t="s">
        <v>65</v>
      </c>
      <c r="L5011" s="11" t="s">
        <v>48</v>
      </c>
      <c r="M5011" s="11" t="s">
        <v>66</v>
      </c>
      <c r="N5011" s="11" t="s">
        <v>67</v>
      </c>
      <c r="O5011" s="11" t="s">
        <v>2103</v>
      </c>
      <c r="P5011" s="11" t="s">
        <v>99</v>
      </c>
      <c r="Q5011" s="20">
        <v>40675.0</v>
      </c>
      <c r="R5011" s="17">
        <f t="shared" si="2"/>
        <v>2.473382146</v>
      </c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>
        <f t="shared" si="8"/>
        <v>4</v>
      </c>
      <c r="AF5011" s="19">
        <f t="shared" si="13"/>
        <v>5</v>
      </c>
      <c r="AG5011" s="9"/>
      <c r="AH5011" s="9"/>
      <c r="AI5011" s="9"/>
    </row>
    <row r="5012" ht="15.0" customHeight="1">
      <c r="A5012" s="11">
        <v>5011.0</v>
      </c>
      <c r="B5012" s="12">
        <f t="shared" ref="B5012:B5014" si="795">DATE(2012,12,31)-600</f>
        <v>40674</v>
      </c>
      <c r="C5012" s="13">
        <v>2011.0</v>
      </c>
      <c r="D5012" s="11" t="s">
        <v>39</v>
      </c>
      <c r="E5012" s="11">
        <v>36.0</v>
      </c>
      <c r="F5012" s="21" t="s">
        <v>433</v>
      </c>
      <c r="G5012" s="15">
        <v>0.03170317286019752</v>
      </c>
      <c r="H5012" s="11" t="s">
        <v>24</v>
      </c>
      <c r="I5012" s="16">
        <v>31.688000000000002</v>
      </c>
      <c r="J5012" s="11" t="s">
        <v>2539</v>
      </c>
      <c r="K5012" s="11" t="s">
        <v>35</v>
      </c>
      <c r="L5012" s="11" t="s">
        <v>36</v>
      </c>
      <c r="M5012" s="11" t="s">
        <v>49</v>
      </c>
      <c r="N5012" s="11" t="s">
        <v>73</v>
      </c>
      <c r="O5012" s="11" t="s">
        <v>434</v>
      </c>
      <c r="P5012" s="11" t="s">
        <v>75</v>
      </c>
      <c r="Q5012" s="20">
        <v>40676.0</v>
      </c>
      <c r="R5012" s="17">
        <f t="shared" si="2"/>
        <v>106.2337815</v>
      </c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>
        <f t="shared" si="8"/>
        <v>2</v>
      </c>
      <c r="AF5012" s="19">
        <f t="shared" si="13"/>
        <v>2</v>
      </c>
      <c r="AG5012" s="9"/>
      <c r="AH5012" s="9"/>
      <c r="AI5012" s="9"/>
    </row>
    <row r="5013" ht="15.0" customHeight="1">
      <c r="A5013" s="11">
        <v>5012.0</v>
      </c>
      <c r="B5013" s="12">
        <f t="shared" si="795"/>
        <v>40674</v>
      </c>
      <c r="C5013" s="13">
        <v>2011.0</v>
      </c>
      <c r="D5013" s="11" t="s">
        <v>32</v>
      </c>
      <c r="E5013" s="11">
        <v>50.0</v>
      </c>
      <c r="F5013" s="21" t="s">
        <v>731</v>
      </c>
      <c r="G5013" s="15">
        <v>0.06569377753576537</v>
      </c>
      <c r="H5013" s="11" t="s">
        <v>33</v>
      </c>
      <c r="I5013" s="16">
        <v>2.3920000000000003</v>
      </c>
      <c r="J5013" s="11" t="s">
        <v>1520</v>
      </c>
      <c r="K5013" s="11" t="s">
        <v>35</v>
      </c>
      <c r="L5013" s="11" t="s">
        <v>41</v>
      </c>
      <c r="M5013" s="11" t="s">
        <v>28</v>
      </c>
      <c r="N5013" s="11" t="s">
        <v>42</v>
      </c>
      <c r="O5013" s="11" t="s">
        <v>1302</v>
      </c>
      <c r="P5013" s="11" t="s">
        <v>38</v>
      </c>
      <c r="Q5013" s="20">
        <v>40676.0</v>
      </c>
      <c r="R5013" s="17">
        <f t="shared" si="2"/>
        <v>123.9899102</v>
      </c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>
        <f t="shared" si="8"/>
        <v>3</v>
      </c>
      <c r="AF5013" s="19">
        <f t="shared" si="13"/>
        <v>2</v>
      </c>
      <c r="AG5013" s="9"/>
      <c r="AH5013" s="9"/>
      <c r="AI5013" s="9"/>
    </row>
    <row r="5014" ht="15.0" customHeight="1">
      <c r="A5014" s="11">
        <v>5013.0</v>
      </c>
      <c r="B5014" s="12">
        <f t="shared" si="795"/>
        <v>40674</v>
      </c>
      <c r="C5014" s="13">
        <v>2011.0</v>
      </c>
      <c r="D5014" s="11" t="s">
        <v>32</v>
      </c>
      <c r="E5014" s="11">
        <v>49.0</v>
      </c>
      <c r="F5014" s="21" t="s">
        <v>178</v>
      </c>
      <c r="G5014" s="15">
        <v>0.05005942448991521</v>
      </c>
      <c r="H5014" s="11" t="s">
        <v>33</v>
      </c>
      <c r="I5014" s="16">
        <v>15.991999999999999</v>
      </c>
      <c r="J5014" s="11" t="s">
        <v>1520</v>
      </c>
      <c r="K5014" s="11" t="s">
        <v>35</v>
      </c>
      <c r="L5014" s="11" t="s">
        <v>41</v>
      </c>
      <c r="M5014" s="11" t="s">
        <v>66</v>
      </c>
      <c r="N5014" s="11" t="s">
        <v>80</v>
      </c>
      <c r="O5014" s="11" t="s">
        <v>2115</v>
      </c>
      <c r="P5014" s="11" t="s">
        <v>38</v>
      </c>
      <c r="Q5014" s="20">
        <v>40676.0</v>
      </c>
      <c r="R5014" s="17">
        <f t="shared" si="2"/>
        <v>162.4474379</v>
      </c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>
        <f t="shared" si="8"/>
        <v>3</v>
      </c>
      <c r="AF5014" s="19">
        <f t="shared" si="13"/>
        <v>2</v>
      </c>
      <c r="AG5014" s="9"/>
      <c r="AH5014" s="9"/>
      <c r="AI5014" s="9"/>
    </row>
    <row r="5015" ht="15.0" customHeight="1">
      <c r="A5015" s="11">
        <v>5014.0</v>
      </c>
      <c r="B5015" s="12">
        <f t="shared" ref="B5015:B5020" si="796">DATE(2012,12,31)-599</f>
        <v>40675</v>
      </c>
      <c r="C5015" s="13">
        <v>2011.0</v>
      </c>
      <c r="D5015" s="11" t="s">
        <v>32</v>
      </c>
      <c r="E5015" s="11">
        <v>44.0</v>
      </c>
      <c r="F5015" s="21" t="s">
        <v>112</v>
      </c>
      <c r="G5015" s="15">
        <v>0.06681276452107068</v>
      </c>
      <c r="H5015" s="11" t="s">
        <v>45</v>
      </c>
      <c r="I5015" s="16">
        <v>50.352000000000004</v>
      </c>
      <c r="J5015" s="11" t="s">
        <v>1650</v>
      </c>
      <c r="K5015" s="11" t="s">
        <v>65</v>
      </c>
      <c r="L5015" s="11" t="s">
        <v>27</v>
      </c>
      <c r="M5015" s="11" t="s">
        <v>49</v>
      </c>
      <c r="N5015" s="11" t="s">
        <v>50</v>
      </c>
      <c r="O5015" s="11" t="s">
        <v>1880</v>
      </c>
      <c r="P5015" s="11" t="s">
        <v>52</v>
      </c>
      <c r="Q5015" s="20">
        <v>40676.0</v>
      </c>
      <c r="R5015" s="17">
        <f t="shared" si="2"/>
        <v>720.3720201</v>
      </c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>
        <f t="shared" si="8"/>
        <v>1</v>
      </c>
      <c r="AF5015" s="19">
        <f t="shared" si="13"/>
        <v>5</v>
      </c>
      <c r="AG5015" s="9"/>
      <c r="AH5015" s="9"/>
      <c r="AI5015" s="9"/>
    </row>
    <row r="5016" ht="15.0" customHeight="1">
      <c r="A5016" s="11">
        <v>5015.0</v>
      </c>
      <c r="B5016" s="12">
        <f t="shared" si="796"/>
        <v>40675</v>
      </c>
      <c r="C5016" s="13">
        <v>2011.0</v>
      </c>
      <c r="D5016" s="11" t="s">
        <v>44</v>
      </c>
      <c r="E5016" s="11">
        <v>45.0</v>
      </c>
      <c r="F5016" s="21" t="s">
        <v>158</v>
      </c>
      <c r="G5016" s="15">
        <v>0.08923649906890134</v>
      </c>
      <c r="H5016" s="11" t="s">
        <v>33</v>
      </c>
      <c r="I5016" s="16">
        <v>5.448</v>
      </c>
      <c r="J5016" s="11" t="s">
        <v>1722</v>
      </c>
      <c r="K5016" s="11" t="s">
        <v>26</v>
      </c>
      <c r="L5016" s="11" t="s">
        <v>27</v>
      </c>
      <c r="M5016" s="11" t="s">
        <v>28</v>
      </c>
      <c r="N5016" s="11" t="s">
        <v>56</v>
      </c>
      <c r="O5016" s="11" t="s">
        <v>1698</v>
      </c>
      <c r="P5016" s="11" t="s">
        <v>38</v>
      </c>
      <c r="Q5016" s="20">
        <v>40676.0</v>
      </c>
      <c r="R5016" s="17">
        <f t="shared" si="2"/>
        <v>26.18627218</v>
      </c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>
        <f t="shared" si="8"/>
        <v>1</v>
      </c>
      <c r="AF5016" s="19">
        <f t="shared" si="13"/>
        <v>1</v>
      </c>
      <c r="AG5016" s="9"/>
      <c r="AH5016" s="9"/>
      <c r="AI5016" s="9"/>
    </row>
    <row r="5017" ht="15.0" customHeight="1">
      <c r="A5017" s="11">
        <v>5016.0</v>
      </c>
      <c r="B5017" s="12">
        <f t="shared" si="796"/>
        <v>40675</v>
      </c>
      <c r="C5017" s="13">
        <v>2011.0</v>
      </c>
      <c r="D5017" s="11" t="s">
        <v>23</v>
      </c>
      <c r="E5017" s="11">
        <v>15.0</v>
      </c>
      <c r="F5017" s="21" t="s">
        <v>2450</v>
      </c>
      <c r="G5017" s="15">
        <v>0.03299760191846521</v>
      </c>
      <c r="H5017" s="11" t="s">
        <v>33</v>
      </c>
      <c r="I5017" s="16">
        <v>4.24</v>
      </c>
      <c r="J5017" s="11" t="s">
        <v>829</v>
      </c>
      <c r="K5017" s="11" t="s">
        <v>83</v>
      </c>
      <c r="L5017" s="11" t="s">
        <v>36</v>
      </c>
      <c r="M5017" s="11" t="s">
        <v>49</v>
      </c>
      <c r="N5017" s="11" t="s">
        <v>50</v>
      </c>
      <c r="O5017" s="11" t="s">
        <v>2451</v>
      </c>
      <c r="P5017" s="11" t="s">
        <v>75</v>
      </c>
      <c r="Q5017" s="20">
        <v>40677.0</v>
      </c>
      <c r="R5017" s="17">
        <f t="shared" si="2"/>
        <v>13.305953</v>
      </c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>
        <f t="shared" si="8"/>
        <v>2</v>
      </c>
      <c r="AF5017" s="19" t="b">
        <f t="shared" si="13"/>
        <v>0</v>
      </c>
      <c r="AG5017" s="9"/>
      <c r="AH5017" s="9"/>
      <c r="AI5017" s="9"/>
    </row>
    <row r="5018" ht="15.0" customHeight="1">
      <c r="A5018" s="11">
        <v>5017.0</v>
      </c>
      <c r="B5018" s="12">
        <f t="shared" si="796"/>
        <v>40675</v>
      </c>
      <c r="C5018" s="13">
        <v>2011.0</v>
      </c>
      <c r="D5018" s="11" t="s">
        <v>23</v>
      </c>
      <c r="E5018" s="11">
        <v>16.0</v>
      </c>
      <c r="F5018" s="21" t="s">
        <v>552</v>
      </c>
      <c r="G5018" s="15">
        <v>0.09069597069597066</v>
      </c>
      <c r="H5018" s="11" t="s">
        <v>33</v>
      </c>
      <c r="I5018" s="16">
        <v>8.92</v>
      </c>
      <c r="J5018" s="11" t="s">
        <v>829</v>
      </c>
      <c r="K5018" s="11" t="s">
        <v>83</v>
      </c>
      <c r="L5018" s="11" t="s">
        <v>36</v>
      </c>
      <c r="M5018" s="11" t="s">
        <v>28</v>
      </c>
      <c r="N5018" s="11" t="s">
        <v>56</v>
      </c>
      <c r="O5018" s="11" t="s">
        <v>553</v>
      </c>
      <c r="P5018" s="11" t="s">
        <v>38</v>
      </c>
      <c r="Q5018" s="20">
        <v>40677.0</v>
      </c>
      <c r="R5018" s="17">
        <f t="shared" si="2"/>
        <v>11.25718388</v>
      </c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>
        <f t="shared" si="8"/>
        <v>2</v>
      </c>
      <c r="AF5018" s="19" t="b">
        <f t="shared" si="13"/>
        <v>0</v>
      </c>
      <c r="AG5018" s="9"/>
      <c r="AH5018" s="9"/>
      <c r="AI5018" s="9"/>
    </row>
    <row r="5019" ht="15.0" customHeight="1">
      <c r="A5019" s="11">
        <v>5018.0</v>
      </c>
      <c r="B5019" s="12">
        <f t="shared" si="796"/>
        <v>40675</v>
      </c>
      <c r="C5019" s="13">
        <v>2011.0</v>
      </c>
      <c r="D5019" s="11" t="s">
        <v>39</v>
      </c>
      <c r="E5019" s="11">
        <v>35.0</v>
      </c>
      <c r="F5019" s="21" t="s">
        <v>1035</v>
      </c>
      <c r="G5019" s="15">
        <v>0.07817855002995808</v>
      </c>
      <c r="H5019" s="11" t="s">
        <v>45</v>
      </c>
      <c r="I5019" s="16">
        <v>25.927999999999997</v>
      </c>
      <c r="J5019" s="11" t="s">
        <v>1929</v>
      </c>
      <c r="K5019" s="11" t="s">
        <v>83</v>
      </c>
      <c r="L5019" s="11" t="s">
        <v>48</v>
      </c>
      <c r="M5019" s="11" t="s">
        <v>49</v>
      </c>
      <c r="N5019" s="11" t="s">
        <v>50</v>
      </c>
      <c r="O5019" s="11" t="s">
        <v>1037</v>
      </c>
      <c r="P5019" s="11" t="s">
        <v>52</v>
      </c>
      <c r="Q5019" s="20">
        <v>40677.0</v>
      </c>
      <c r="R5019" s="17">
        <f t="shared" si="2"/>
        <v>168.3909679</v>
      </c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>
        <f t="shared" si="8"/>
        <v>4</v>
      </c>
      <c r="AF5019" s="19" t="b">
        <f t="shared" si="13"/>
        <v>0</v>
      </c>
      <c r="AG5019" s="9"/>
      <c r="AH5019" s="9"/>
      <c r="AI5019" s="9"/>
    </row>
    <row r="5020" ht="15.0" customHeight="1">
      <c r="A5020" s="11">
        <v>5019.0</v>
      </c>
      <c r="B5020" s="12">
        <f t="shared" si="796"/>
        <v>40675</v>
      </c>
      <c r="C5020" s="13">
        <v>2011.0</v>
      </c>
      <c r="D5020" s="11" t="s">
        <v>32</v>
      </c>
      <c r="E5020" s="11">
        <v>42.0</v>
      </c>
      <c r="F5020" s="21" t="s">
        <v>158</v>
      </c>
      <c r="G5020" s="15">
        <v>0.08168224299065432</v>
      </c>
      <c r="H5020" s="11" t="s">
        <v>33</v>
      </c>
      <c r="I5020" s="16">
        <v>6.328</v>
      </c>
      <c r="J5020" s="11" t="s">
        <v>681</v>
      </c>
      <c r="K5020" s="11" t="s">
        <v>61</v>
      </c>
      <c r="L5020" s="11" t="s">
        <v>48</v>
      </c>
      <c r="M5020" s="11" t="s">
        <v>28</v>
      </c>
      <c r="N5020" s="11" t="s">
        <v>56</v>
      </c>
      <c r="O5020" s="11" t="s">
        <v>1392</v>
      </c>
      <c r="P5020" s="11" t="s">
        <v>38</v>
      </c>
      <c r="Q5020" s="20">
        <v>40678.0</v>
      </c>
      <c r="R5020" s="17">
        <f t="shared" si="2"/>
        <v>22.47307215</v>
      </c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>
        <f t="shared" si="8"/>
        <v>4</v>
      </c>
      <c r="AF5020" s="19">
        <f t="shared" si="13"/>
        <v>4</v>
      </c>
      <c r="AG5020" s="9"/>
      <c r="AH5020" s="9"/>
      <c r="AI5020" s="9"/>
    </row>
    <row r="5021" ht="15.0" customHeight="1">
      <c r="A5021" s="11">
        <v>5020.0</v>
      </c>
      <c r="B5021" s="12">
        <f t="shared" ref="B5021:B5022" si="797">DATE(2012,12,31)-598</f>
        <v>40676</v>
      </c>
      <c r="C5021" s="13">
        <v>2011.0</v>
      </c>
      <c r="D5021" s="11" t="s">
        <v>102</v>
      </c>
      <c r="E5021" s="11">
        <v>42.0</v>
      </c>
      <c r="F5021" s="21" t="s">
        <v>758</v>
      </c>
      <c r="G5021" s="15">
        <v>0.08208508088675846</v>
      </c>
      <c r="H5021" s="11" t="s">
        <v>33</v>
      </c>
      <c r="I5021" s="16">
        <v>2.0</v>
      </c>
      <c r="J5021" s="11" t="s">
        <v>373</v>
      </c>
      <c r="K5021" s="11" t="s">
        <v>83</v>
      </c>
      <c r="L5021" s="11" t="s">
        <v>48</v>
      </c>
      <c r="M5021" s="11" t="s">
        <v>28</v>
      </c>
      <c r="N5021" s="11" t="s">
        <v>236</v>
      </c>
      <c r="O5021" s="11" t="s">
        <v>1171</v>
      </c>
      <c r="P5021" s="11" t="s">
        <v>38</v>
      </c>
      <c r="Q5021" s="20">
        <v>40678.0</v>
      </c>
      <c r="R5021" s="17">
        <f t="shared" si="2"/>
        <v>12.57543439</v>
      </c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>
        <f t="shared" si="8"/>
        <v>4</v>
      </c>
      <c r="AF5021" s="19" t="b">
        <f t="shared" si="13"/>
        <v>0</v>
      </c>
      <c r="AG5021" s="9"/>
      <c r="AH5021" s="9"/>
      <c r="AI5021" s="9"/>
    </row>
    <row r="5022" ht="15.0" customHeight="1">
      <c r="A5022" s="11">
        <v>5021.0</v>
      </c>
      <c r="B5022" s="12">
        <f t="shared" si="797"/>
        <v>40676</v>
      </c>
      <c r="C5022" s="13">
        <v>2011.0</v>
      </c>
      <c r="D5022" s="11" t="s">
        <v>102</v>
      </c>
      <c r="E5022" s="11">
        <v>36.0</v>
      </c>
      <c r="F5022" s="21" t="s">
        <v>290</v>
      </c>
      <c r="G5022" s="15">
        <v>0.10567164179104455</v>
      </c>
      <c r="H5022" s="11" t="s">
        <v>33</v>
      </c>
      <c r="I5022" s="16">
        <v>4.5920000000000005</v>
      </c>
      <c r="J5022" s="11" t="s">
        <v>373</v>
      </c>
      <c r="K5022" s="11" t="s">
        <v>83</v>
      </c>
      <c r="L5022" s="11" t="s">
        <v>48</v>
      </c>
      <c r="M5022" s="11" t="s">
        <v>28</v>
      </c>
      <c r="N5022" s="11" t="s">
        <v>56</v>
      </c>
      <c r="O5022" s="11" t="s">
        <v>2234</v>
      </c>
      <c r="P5022" s="11" t="s">
        <v>38</v>
      </c>
      <c r="Q5022" s="20">
        <v>40678.0</v>
      </c>
      <c r="R5022" s="17">
        <f t="shared" si="2"/>
        <v>16.46279642</v>
      </c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>
        <f t="shared" si="8"/>
        <v>4</v>
      </c>
      <c r="AF5022" s="19" t="b">
        <f t="shared" si="13"/>
        <v>0</v>
      </c>
      <c r="AG5022" s="9"/>
      <c r="AH5022" s="9"/>
      <c r="AI5022" s="9"/>
    </row>
    <row r="5023" ht="15.0" customHeight="1">
      <c r="A5023" s="11">
        <v>5022.0</v>
      </c>
      <c r="B5023" s="12">
        <f t="shared" ref="B5023:B5027" si="798">DATE(2012,12,31)-597</f>
        <v>40677</v>
      </c>
      <c r="C5023" s="13">
        <v>2011.0</v>
      </c>
      <c r="D5023" s="11" t="s">
        <v>44</v>
      </c>
      <c r="E5023" s="11">
        <v>42.0</v>
      </c>
      <c r="F5023" s="21" t="s">
        <v>799</v>
      </c>
      <c r="G5023" s="15">
        <v>0.06624851958880101</v>
      </c>
      <c r="H5023" s="11" t="s">
        <v>45</v>
      </c>
      <c r="I5023" s="16">
        <v>28.536</v>
      </c>
      <c r="J5023" s="11" t="s">
        <v>1731</v>
      </c>
      <c r="K5023" s="11" t="s">
        <v>35</v>
      </c>
      <c r="L5023" s="11" t="s">
        <v>48</v>
      </c>
      <c r="M5023" s="11" t="s">
        <v>49</v>
      </c>
      <c r="N5023" s="11" t="s">
        <v>85</v>
      </c>
      <c r="O5023" s="11" t="s">
        <v>1323</v>
      </c>
      <c r="P5023" s="11" t="s">
        <v>87</v>
      </c>
      <c r="Q5023" s="20">
        <v>40678.0</v>
      </c>
      <c r="R5023" s="17">
        <f t="shared" si="2"/>
        <v>783.4772522</v>
      </c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>
        <f t="shared" si="8"/>
        <v>4</v>
      </c>
      <c r="AF5023" s="19">
        <f t="shared" si="13"/>
        <v>2</v>
      </c>
      <c r="AG5023" s="9"/>
      <c r="AH5023" s="9"/>
      <c r="AI5023" s="9"/>
    </row>
    <row r="5024" ht="15.0" customHeight="1">
      <c r="A5024" s="11">
        <v>5023.0</v>
      </c>
      <c r="B5024" s="12">
        <f t="shared" si="798"/>
        <v>40677</v>
      </c>
      <c r="C5024" s="13">
        <v>2011.0</v>
      </c>
      <c r="D5024" s="11" t="s">
        <v>44</v>
      </c>
      <c r="E5024" s="11">
        <v>23.0</v>
      </c>
      <c r="F5024" s="21" t="s">
        <v>1273</v>
      </c>
      <c r="G5024" s="15">
        <v>0.05236440231700889</v>
      </c>
      <c r="H5024" s="11" t="s">
        <v>33</v>
      </c>
      <c r="I5024" s="16">
        <v>1.1119999999999999</v>
      </c>
      <c r="J5024" s="11" t="s">
        <v>320</v>
      </c>
      <c r="K5024" s="11" t="s">
        <v>65</v>
      </c>
      <c r="L5024" s="11" t="s">
        <v>27</v>
      </c>
      <c r="M5024" s="11" t="s">
        <v>28</v>
      </c>
      <c r="N5024" s="11" t="s">
        <v>236</v>
      </c>
      <c r="O5024" s="11" t="s">
        <v>1274</v>
      </c>
      <c r="P5024" s="11" t="s">
        <v>38</v>
      </c>
      <c r="Q5024" s="20">
        <v>40678.0</v>
      </c>
      <c r="R5024" s="17">
        <f t="shared" si="2"/>
        <v>18.84657677</v>
      </c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>
        <f t="shared" si="8"/>
        <v>1</v>
      </c>
      <c r="AF5024" s="19">
        <f t="shared" si="13"/>
        <v>5</v>
      </c>
      <c r="AG5024" s="9"/>
      <c r="AH5024" s="9"/>
      <c r="AI5024" s="9"/>
    </row>
    <row r="5025" ht="15.0" customHeight="1">
      <c r="A5025" s="11">
        <v>5024.0</v>
      </c>
      <c r="B5025" s="12">
        <f t="shared" si="798"/>
        <v>40677</v>
      </c>
      <c r="C5025" s="13">
        <v>2011.0</v>
      </c>
      <c r="D5025" s="11" t="s">
        <v>32</v>
      </c>
      <c r="E5025" s="11">
        <v>6.0</v>
      </c>
      <c r="F5025" s="21" t="s">
        <v>207</v>
      </c>
      <c r="G5025" s="15">
        <v>0.04224089635854349</v>
      </c>
      <c r="H5025" s="11" t="s">
        <v>33</v>
      </c>
      <c r="I5025" s="16">
        <v>2.3920000000000003</v>
      </c>
      <c r="J5025" s="11" t="s">
        <v>2253</v>
      </c>
      <c r="K5025" s="11" t="s">
        <v>117</v>
      </c>
      <c r="L5025" s="11" t="s">
        <v>27</v>
      </c>
      <c r="M5025" s="11" t="s">
        <v>28</v>
      </c>
      <c r="N5025" s="11" t="s">
        <v>42</v>
      </c>
      <c r="O5025" s="11" t="s">
        <v>682</v>
      </c>
      <c r="P5025" s="11" t="s">
        <v>38</v>
      </c>
      <c r="Q5025" s="20">
        <v>40678.0</v>
      </c>
      <c r="R5025" s="17">
        <f t="shared" si="2"/>
        <v>1.444300728</v>
      </c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>
        <f t="shared" si="8"/>
        <v>1</v>
      </c>
      <c r="AF5025" s="19" t="b">
        <f t="shared" si="13"/>
        <v>0</v>
      </c>
      <c r="AG5025" s="9"/>
      <c r="AH5025" s="9"/>
      <c r="AI5025" s="9"/>
    </row>
    <row r="5026" ht="15.0" customHeight="1">
      <c r="A5026" s="11">
        <v>5025.0</v>
      </c>
      <c r="B5026" s="12">
        <f t="shared" si="798"/>
        <v>40677</v>
      </c>
      <c r="C5026" s="13">
        <v>2011.0</v>
      </c>
      <c r="D5026" s="11" t="s">
        <v>44</v>
      </c>
      <c r="E5026" s="11">
        <v>9.0</v>
      </c>
      <c r="F5026" s="21" t="s">
        <v>93</v>
      </c>
      <c r="G5026" s="15">
        <v>0.019275167785234994</v>
      </c>
      <c r="H5026" s="11" t="s">
        <v>24</v>
      </c>
      <c r="I5026" s="16">
        <v>4.664000000000001</v>
      </c>
      <c r="J5026" s="11" t="s">
        <v>2494</v>
      </c>
      <c r="K5026" s="11" t="s">
        <v>65</v>
      </c>
      <c r="L5026" s="11" t="s">
        <v>36</v>
      </c>
      <c r="M5026" s="11" t="s">
        <v>28</v>
      </c>
      <c r="N5026" s="11" t="s">
        <v>56</v>
      </c>
      <c r="O5026" s="11" t="s">
        <v>95</v>
      </c>
      <c r="P5026" s="11" t="s">
        <v>58</v>
      </c>
      <c r="Q5026" s="20">
        <v>40678.0</v>
      </c>
      <c r="R5026" s="17">
        <f t="shared" si="2"/>
        <v>1.408320859</v>
      </c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>
        <f t="shared" si="8"/>
        <v>2</v>
      </c>
      <c r="AF5026" s="19">
        <f t="shared" si="13"/>
        <v>5</v>
      </c>
      <c r="AG5026" s="9"/>
      <c r="AH5026" s="9"/>
      <c r="AI5026" s="9"/>
    </row>
    <row r="5027" ht="15.0" customHeight="1">
      <c r="A5027" s="11">
        <v>5026.0</v>
      </c>
      <c r="B5027" s="12">
        <f t="shared" si="798"/>
        <v>40677</v>
      </c>
      <c r="C5027" s="13">
        <v>2011.0</v>
      </c>
      <c r="D5027" s="11" t="s">
        <v>39</v>
      </c>
      <c r="E5027" s="11">
        <v>24.0</v>
      </c>
      <c r="F5027" s="21" t="s">
        <v>93</v>
      </c>
      <c r="G5027" s="15">
        <v>0.09764932562620433</v>
      </c>
      <c r="H5027" s="11" t="s">
        <v>33</v>
      </c>
      <c r="I5027" s="16">
        <v>4.928000000000001</v>
      </c>
      <c r="J5027" s="11" t="s">
        <v>2314</v>
      </c>
      <c r="K5027" s="11" t="s">
        <v>61</v>
      </c>
      <c r="L5027" s="11" t="s">
        <v>41</v>
      </c>
      <c r="M5027" s="11" t="s">
        <v>28</v>
      </c>
      <c r="N5027" s="11" t="s">
        <v>42</v>
      </c>
      <c r="O5027" s="11" t="s">
        <v>134</v>
      </c>
      <c r="P5027" s="11" t="s">
        <v>38</v>
      </c>
      <c r="Q5027" s="20">
        <v>40679.0</v>
      </c>
      <c r="R5027" s="17">
        <f t="shared" si="2"/>
        <v>18.29245287</v>
      </c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>
        <f t="shared" si="8"/>
        <v>3</v>
      </c>
      <c r="AF5027" s="19">
        <f t="shared" si="13"/>
        <v>4</v>
      </c>
      <c r="AG5027" s="9"/>
      <c r="AH5027" s="9"/>
      <c r="AI5027" s="9"/>
    </row>
    <row r="5028" ht="15.0" customHeight="1">
      <c r="A5028" s="11">
        <v>5027.0</v>
      </c>
      <c r="B5028" s="12">
        <f t="shared" ref="B5028:B5030" si="799">DATE(2012,12,31)-596</f>
        <v>40678</v>
      </c>
      <c r="C5028" s="13">
        <v>2011.0</v>
      </c>
      <c r="D5028" s="11" t="s">
        <v>102</v>
      </c>
      <c r="E5028" s="11">
        <v>12.0</v>
      </c>
      <c r="F5028" s="21" t="s">
        <v>103</v>
      </c>
      <c r="G5028" s="15">
        <v>0.047120418848167464</v>
      </c>
      <c r="H5028" s="11" t="s">
        <v>33</v>
      </c>
      <c r="I5028" s="16">
        <v>2.0</v>
      </c>
      <c r="J5028" s="11" t="s">
        <v>823</v>
      </c>
      <c r="K5028" s="11" t="s">
        <v>61</v>
      </c>
      <c r="L5028" s="11" t="s">
        <v>36</v>
      </c>
      <c r="M5028" s="11" t="s">
        <v>28</v>
      </c>
      <c r="N5028" s="11" t="s">
        <v>236</v>
      </c>
      <c r="O5028" s="11" t="s">
        <v>1164</v>
      </c>
      <c r="P5028" s="11" t="s">
        <v>38</v>
      </c>
      <c r="Q5028" s="20">
        <v>40680.0</v>
      </c>
      <c r="R5028" s="17">
        <f t="shared" si="2"/>
        <v>3.430366492</v>
      </c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>
        <f t="shared" si="8"/>
        <v>2</v>
      </c>
      <c r="AF5028" s="19">
        <f t="shared" si="13"/>
        <v>4</v>
      </c>
      <c r="AG5028" s="9"/>
      <c r="AH5028" s="9"/>
      <c r="AI5028" s="9"/>
    </row>
    <row r="5029" ht="15.0" customHeight="1">
      <c r="A5029" s="11">
        <v>5028.0</v>
      </c>
      <c r="B5029" s="12">
        <f t="shared" si="799"/>
        <v>40678</v>
      </c>
      <c r="C5029" s="13">
        <v>2011.0</v>
      </c>
      <c r="D5029" s="11" t="s">
        <v>39</v>
      </c>
      <c r="E5029" s="11">
        <v>38.0</v>
      </c>
      <c r="F5029" s="21" t="s">
        <v>1088</v>
      </c>
      <c r="G5029" s="15">
        <v>0.07626865671641792</v>
      </c>
      <c r="H5029" s="11" t="s">
        <v>24</v>
      </c>
      <c r="I5029" s="16">
        <v>3.696</v>
      </c>
      <c r="J5029" s="11" t="s">
        <v>1308</v>
      </c>
      <c r="K5029" s="11" t="s">
        <v>61</v>
      </c>
      <c r="L5029" s="11" t="s">
        <v>36</v>
      </c>
      <c r="M5029" s="11" t="s">
        <v>28</v>
      </c>
      <c r="N5029" s="11" t="s">
        <v>197</v>
      </c>
      <c r="O5029" s="11" t="s">
        <v>1090</v>
      </c>
      <c r="P5029" s="11" t="s">
        <v>38</v>
      </c>
      <c r="Q5029" s="20">
        <v>40681.0</v>
      </c>
      <c r="R5029" s="17">
        <f t="shared" si="2"/>
        <v>124.6150531</v>
      </c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>
        <f t="shared" si="8"/>
        <v>2</v>
      </c>
      <c r="AF5029" s="19">
        <f t="shared" si="13"/>
        <v>4</v>
      </c>
      <c r="AG5029" s="9"/>
      <c r="AH5029" s="9"/>
      <c r="AI5029" s="9"/>
    </row>
    <row r="5030" ht="15.0" customHeight="1">
      <c r="A5030" s="11">
        <v>5029.0</v>
      </c>
      <c r="B5030" s="12">
        <f t="shared" si="799"/>
        <v>40678</v>
      </c>
      <c r="C5030" s="13">
        <v>2011.0</v>
      </c>
      <c r="D5030" s="11" t="s">
        <v>39</v>
      </c>
      <c r="E5030" s="11">
        <v>23.0</v>
      </c>
      <c r="F5030" s="21" t="s">
        <v>316</v>
      </c>
      <c r="G5030" s="15">
        <v>0.07834136933461919</v>
      </c>
      <c r="H5030" s="11" t="s">
        <v>24</v>
      </c>
      <c r="I5030" s="16">
        <v>7.152</v>
      </c>
      <c r="J5030" s="11" t="s">
        <v>1308</v>
      </c>
      <c r="K5030" s="11" t="s">
        <v>61</v>
      </c>
      <c r="L5030" s="11" t="s">
        <v>36</v>
      </c>
      <c r="M5030" s="11" t="s">
        <v>28</v>
      </c>
      <c r="N5030" s="11" t="s">
        <v>42</v>
      </c>
      <c r="O5030" s="11" t="s">
        <v>1126</v>
      </c>
      <c r="P5030" s="11" t="s">
        <v>38</v>
      </c>
      <c r="Q5030" s="20">
        <v>40681.0</v>
      </c>
      <c r="R5030" s="17">
        <f t="shared" si="2"/>
        <v>14.97510943</v>
      </c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>
        <f t="shared" si="8"/>
        <v>2</v>
      </c>
      <c r="AF5030" s="19">
        <f t="shared" si="13"/>
        <v>4</v>
      </c>
      <c r="AG5030" s="9"/>
      <c r="AH5030" s="9"/>
      <c r="AI5030" s="9"/>
    </row>
    <row r="5031" ht="15.0" customHeight="1">
      <c r="A5031" s="11">
        <v>5030.0</v>
      </c>
      <c r="B5031" s="12">
        <f t="shared" ref="B5031:B5032" si="800">DATE(2012,12,31)-595</f>
        <v>40679</v>
      </c>
      <c r="C5031" s="13">
        <v>2011.0</v>
      </c>
      <c r="D5031" s="11" t="s">
        <v>39</v>
      </c>
      <c r="E5031" s="11">
        <v>17.0</v>
      </c>
      <c r="F5031" s="21" t="s">
        <v>2230</v>
      </c>
      <c r="G5031" s="15">
        <v>0.0506653240307846</v>
      </c>
      <c r="H5031" s="11" t="s">
        <v>24</v>
      </c>
      <c r="I5031" s="16">
        <v>15.96</v>
      </c>
      <c r="J5031" s="11" t="s">
        <v>1212</v>
      </c>
      <c r="K5031" s="11" t="s">
        <v>117</v>
      </c>
      <c r="L5031" s="11" t="s">
        <v>27</v>
      </c>
      <c r="M5031" s="11" t="s">
        <v>28</v>
      </c>
      <c r="N5031" s="11" t="s">
        <v>197</v>
      </c>
      <c r="O5031" s="11" t="s">
        <v>2231</v>
      </c>
      <c r="P5031" s="11" t="s">
        <v>31</v>
      </c>
      <c r="Q5031" s="20">
        <v>40681.0</v>
      </c>
      <c r="R5031" s="17">
        <f t="shared" si="2"/>
        <v>66.87113458</v>
      </c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>
        <f t="shared" si="8"/>
        <v>1</v>
      </c>
      <c r="AF5031" s="19" t="b">
        <f t="shared" si="13"/>
        <v>0</v>
      </c>
      <c r="AG5031" s="9"/>
      <c r="AH5031" s="9"/>
      <c r="AI5031" s="9"/>
    </row>
    <row r="5032" ht="15.0" customHeight="1">
      <c r="A5032" s="11">
        <v>5031.0</v>
      </c>
      <c r="B5032" s="12">
        <f t="shared" si="800"/>
        <v>40679</v>
      </c>
      <c r="C5032" s="13">
        <v>2011.0</v>
      </c>
      <c r="D5032" s="11" t="s">
        <v>32</v>
      </c>
      <c r="E5032" s="11">
        <v>44.0</v>
      </c>
      <c r="F5032" s="21" t="s">
        <v>122</v>
      </c>
      <c r="G5032" s="15">
        <v>0.014252972046696054</v>
      </c>
      <c r="H5032" s="11" t="s">
        <v>33</v>
      </c>
      <c r="I5032" s="16">
        <v>0.792</v>
      </c>
      <c r="J5032" s="11" t="s">
        <v>945</v>
      </c>
      <c r="K5032" s="11" t="s">
        <v>65</v>
      </c>
      <c r="L5032" s="11" t="s">
        <v>36</v>
      </c>
      <c r="M5032" s="11" t="s">
        <v>66</v>
      </c>
      <c r="N5032" s="11" t="s">
        <v>80</v>
      </c>
      <c r="O5032" s="11" t="s">
        <v>1321</v>
      </c>
      <c r="P5032" s="11" t="s">
        <v>58</v>
      </c>
      <c r="Q5032" s="20">
        <v>40681.0</v>
      </c>
      <c r="R5032" s="17">
        <f t="shared" si="2"/>
        <v>13.11832145</v>
      </c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>
        <f t="shared" si="8"/>
        <v>2</v>
      </c>
      <c r="AF5032" s="19">
        <f t="shared" si="13"/>
        <v>5</v>
      </c>
      <c r="AG5032" s="9"/>
      <c r="AH5032" s="9"/>
      <c r="AI5032" s="9"/>
    </row>
    <row r="5033" ht="15.0" customHeight="1">
      <c r="A5033" s="11">
        <v>5032.0</v>
      </c>
      <c r="B5033" s="12">
        <f t="shared" ref="B5033:B5040" si="801">DATE(2012,12,31)-594</f>
        <v>40680</v>
      </c>
      <c r="C5033" s="13">
        <v>2011.0</v>
      </c>
      <c r="D5033" s="11" t="s">
        <v>32</v>
      </c>
      <c r="E5033" s="11">
        <v>5.0</v>
      </c>
      <c r="F5033" s="21" t="s">
        <v>119</v>
      </c>
      <c r="G5033" s="15">
        <v>0.12888888888888883</v>
      </c>
      <c r="H5033" s="11" t="s">
        <v>24</v>
      </c>
      <c r="I5033" s="16">
        <v>1.192</v>
      </c>
      <c r="J5033" s="11" t="s">
        <v>1930</v>
      </c>
      <c r="K5033" s="11" t="s">
        <v>117</v>
      </c>
      <c r="L5033" s="11" t="s">
        <v>41</v>
      </c>
      <c r="M5033" s="11" t="s">
        <v>28</v>
      </c>
      <c r="N5033" s="11" t="s">
        <v>42</v>
      </c>
      <c r="O5033" s="11" t="s">
        <v>1129</v>
      </c>
      <c r="P5033" s="11" t="s">
        <v>38</v>
      </c>
      <c r="Q5033" s="20">
        <v>40681.0</v>
      </c>
      <c r="R5033" s="17">
        <f t="shared" si="2"/>
        <v>1.313635556</v>
      </c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>
        <f t="shared" si="8"/>
        <v>3</v>
      </c>
      <c r="AF5033" s="19" t="b">
        <f t="shared" si="13"/>
        <v>0</v>
      </c>
      <c r="AG5033" s="9"/>
      <c r="AH5033" s="9"/>
      <c r="AI5033" s="9"/>
    </row>
    <row r="5034" ht="15.0" customHeight="1">
      <c r="A5034" s="11">
        <v>5033.0</v>
      </c>
      <c r="B5034" s="12">
        <f t="shared" si="801"/>
        <v>40680</v>
      </c>
      <c r="C5034" s="13">
        <v>2011.0</v>
      </c>
      <c r="D5034" s="11" t="s">
        <v>32</v>
      </c>
      <c r="E5034" s="11">
        <v>41.0</v>
      </c>
      <c r="F5034" s="21" t="s">
        <v>158</v>
      </c>
      <c r="G5034" s="15">
        <v>0.1055324849296718</v>
      </c>
      <c r="H5034" s="11" t="s">
        <v>24</v>
      </c>
      <c r="I5034" s="16">
        <v>4.688000000000001</v>
      </c>
      <c r="J5034" s="11" t="s">
        <v>1930</v>
      </c>
      <c r="K5034" s="11" t="s">
        <v>117</v>
      </c>
      <c r="L5034" s="11" t="s">
        <v>41</v>
      </c>
      <c r="M5034" s="11" t="s">
        <v>28</v>
      </c>
      <c r="N5034" s="11" t="s">
        <v>56</v>
      </c>
      <c r="O5034" s="11" t="s">
        <v>2530</v>
      </c>
      <c r="P5034" s="11" t="s">
        <v>38</v>
      </c>
      <c r="Q5034" s="20">
        <v>40681.0</v>
      </c>
      <c r="R5034" s="17">
        <f t="shared" si="2"/>
        <v>28.18646033</v>
      </c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>
        <f t="shared" si="8"/>
        <v>3</v>
      </c>
      <c r="AF5034" s="19" t="b">
        <f t="shared" si="13"/>
        <v>0</v>
      </c>
      <c r="AG5034" s="9"/>
      <c r="AH5034" s="9"/>
      <c r="AI5034" s="9"/>
    </row>
    <row r="5035" ht="15.0" customHeight="1">
      <c r="A5035" s="11">
        <v>5034.0</v>
      </c>
      <c r="B5035" s="12">
        <f t="shared" si="801"/>
        <v>40680</v>
      </c>
      <c r="C5035" s="13">
        <v>2011.0</v>
      </c>
      <c r="D5035" s="11" t="s">
        <v>32</v>
      </c>
      <c r="E5035" s="11">
        <v>35.0</v>
      </c>
      <c r="F5035" s="21" t="s">
        <v>2290</v>
      </c>
      <c r="G5035" s="15">
        <v>0.0751669708732873</v>
      </c>
      <c r="H5035" s="11" t="s">
        <v>24</v>
      </c>
      <c r="I5035" s="16">
        <v>17.008000000000003</v>
      </c>
      <c r="J5035" s="11" t="s">
        <v>1930</v>
      </c>
      <c r="K5035" s="11" t="s">
        <v>117</v>
      </c>
      <c r="L5035" s="11" t="s">
        <v>41</v>
      </c>
      <c r="M5035" s="11" t="s">
        <v>49</v>
      </c>
      <c r="N5035" s="11" t="s">
        <v>73</v>
      </c>
      <c r="O5035" s="11" t="s">
        <v>2291</v>
      </c>
      <c r="P5035" s="11" t="s">
        <v>31</v>
      </c>
      <c r="Q5035" s="20">
        <v>40682.0</v>
      </c>
      <c r="R5035" s="17">
        <f t="shared" si="2"/>
        <v>270.4137791</v>
      </c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>
        <f t="shared" si="8"/>
        <v>3</v>
      </c>
      <c r="AF5035" s="19" t="b">
        <f t="shared" si="13"/>
        <v>0</v>
      </c>
      <c r="AG5035" s="9"/>
      <c r="AH5035" s="9"/>
      <c r="AI5035" s="9"/>
    </row>
    <row r="5036" ht="15.0" customHeight="1">
      <c r="A5036" s="11">
        <v>5035.0</v>
      </c>
      <c r="B5036" s="12">
        <f t="shared" si="801"/>
        <v>40680</v>
      </c>
      <c r="C5036" s="13">
        <v>2011.0</v>
      </c>
      <c r="D5036" s="11" t="s">
        <v>32</v>
      </c>
      <c r="E5036" s="11">
        <v>42.0</v>
      </c>
      <c r="F5036" s="21" t="s">
        <v>158</v>
      </c>
      <c r="G5036" s="15">
        <v>0.08185395131710553</v>
      </c>
      <c r="H5036" s="11" t="s">
        <v>33</v>
      </c>
      <c r="I5036" s="16">
        <v>6.552</v>
      </c>
      <c r="J5036" s="11" t="s">
        <v>1930</v>
      </c>
      <c r="K5036" s="11" t="s">
        <v>117</v>
      </c>
      <c r="L5036" s="11" t="s">
        <v>41</v>
      </c>
      <c r="M5036" s="11" t="s">
        <v>28</v>
      </c>
      <c r="N5036" s="11" t="s">
        <v>56</v>
      </c>
      <c r="O5036" s="11" t="s">
        <v>637</v>
      </c>
      <c r="P5036" s="11" t="s">
        <v>38</v>
      </c>
      <c r="Q5036" s="20">
        <v>40682.0</v>
      </c>
      <c r="R5036" s="17">
        <f t="shared" si="2"/>
        <v>22.5386492</v>
      </c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>
        <f t="shared" si="8"/>
        <v>3</v>
      </c>
      <c r="AF5036" s="19" t="b">
        <f t="shared" si="13"/>
        <v>0</v>
      </c>
      <c r="AG5036" s="9"/>
      <c r="AH5036" s="9"/>
      <c r="AI5036" s="9"/>
    </row>
    <row r="5037" ht="15.0" customHeight="1">
      <c r="A5037" s="11">
        <v>5036.0</v>
      </c>
      <c r="B5037" s="12">
        <f t="shared" si="801"/>
        <v>40680</v>
      </c>
      <c r="C5037" s="13">
        <v>2011.0</v>
      </c>
      <c r="D5037" s="11" t="s">
        <v>32</v>
      </c>
      <c r="E5037" s="11">
        <v>46.0</v>
      </c>
      <c r="F5037" s="21" t="s">
        <v>119</v>
      </c>
      <c r="G5037" s="15">
        <v>0.05753672316384179</v>
      </c>
      <c r="H5037" s="11" t="s">
        <v>33</v>
      </c>
      <c r="I5037" s="16">
        <v>0.6080000000000001</v>
      </c>
      <c r="J5037" s="11" t="s">
        <v>1930</v>
      </c>
      <c r="K5037" s="11" t="s">
        <v>117</v>
      </c>
      <c r="L5037" s="11" t="s">
        <v>41</v>
      </c>
      <c r="M5037" s="11" t="s">
        <v>28</v>
      </c>
      <c r="N5037" s="11" t="s">
        <v>216</v>
      </c>
      <c r="O5037" s="11" t="s">
        <v>2010</v>
      </c>
      <c r="P5037" s="11" t="s">
        <v>58</v>
      </c>
      <c r="Q5037" s="20">
        <v>40682.0</v>
      </c>
      <c r="R5037" s="17">
        <f t="shared" si="2"/>
        <v>4.799023006</v>
      </c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>
        <f t="shared" si="8"/>
        <v>3</v>
      </c>
      <c r="AF5037" s="19" t="b">
        <f t="shared" si="13"/>
        <v>0</v>
      </c>
      <c r="AG5037" s="9"/>
      <c r="AH5037" s="9"/>
      <c r="AI5037" s="9"/>
    </row>
    <row r="5038" ht="15.0" customHeight="1">
      <c r="A5038" s="11">
        <v>5037.0</v>
      </c>
      <c r="B5038" s="12">
        <f t="shared" si="801"/>
        <v>40680</v>
      </c>
      <c r="C5038" s="13">
        <v>2011.0</v>
      </c>
      <c r="D5038" s="11" t="s">
        <v>102</v>
      </c>
      <c r="E5038" s="11">
        <v>34.0</v>
      </c>
      <c r="F5038" s="21" t="s">
        <v>422</v>
      </c>
      <c r="G5038" s="15">
        <v>0.021080370778136633</v>
      </c>
      <c r="H5038" s="11" t="s">
        <v>33</v>
      </c>
      <c r="I5038" s="16">
        <v>5.744</v>
      </c>
      <c r="J5038" s="11" t="s">
        <v>781</v>
      </c>
      <c r="K5038" s="11" t="s">
        <v>65</v>
      </c>
      <c r="L5038" s="11" t="s">
        <v>27</v>
      </c>
      <c r="M5038" s="11" t="s">
        <v>66</v>
      </c>
      <c r="N5038" s="11" t="s">
        <v>67</v>
      </c>
      <c r="O5038" s="11" t="s">
        <v>1679</v>
      </c>
      <c r="P5038" s="11" t="s">
        <v>38</v>
      </c>
      <c r="Q5038" s="20">
        <v>40682.0</v>
      </c>
      <c r="R5038" s="17">
        <f t="shared" si="2"/>
        <v>58.10475351</v>
      </c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>
        <f t="shared" si="8"/>
        <v>1</v>
      </c>
      <c r="AF5038" s="19">
        <f t="shared" si="13"/>
        <v>5</v>
      </c>
      <c r="AG5038" s="9"/>
      <c r="AH5038" s="9"/>
      <c r="AI5038" s="9"/>
    </row>
    <row r="5039" ht="15.0" customHeight="1">
      <c r="A5039" s="11">
        <v>5038.0</v>
      </c>
      <c r="B5039" s="12">
        <f t="shared" si="801"/>
        <v>40680</v>
      </c>
      <c r="C5039" s="13">
        <v>2011.0</v>
      </c>
      <c r="D5039" s="11" t="s">
        <v>102</v>
      </c>
      <c r="E5039" s="11">
        <v>26.0</v>
      </c>
      <c r="F5039" s="21" t="s">
        <v>210</v>
      </c>
      <c r="G5039" s="15">
        <v>0.08042328042328022</v>
      </c>
      <c r="H5039" s="11" t="s">
        <v>33</v>
      </c>
      <c r="I5039" s="16">
        <v>1.92</v>
      </c>
      <c r="J5039" s="11" t="s">
        <v>781</v>
      </c>
      <c r="K5039" s="11" t="s">
        <v>65</v>
      </c>
      <c r="L5039" s="11" t="s">
        <v>27</v>
      </c>
      <c r="M5039" s="11" t="s">
        <v>28</v>
      </c>
      <c r="N5039" s="11" t="s">
        <v>62</v>
      </c>
      <c r="O5039" s="11" t="s">
        <v>212</v>
      </c>
      <c r="P5039" s="11" t="s">
        <v>58</v>
      </c>
      <c r="Q5039" s="20">
        <v>40682.0</v>
      </c>
      <c r="R5039" s="17">
        <f t="shared" si="2"/>
        <v>5.591026455</v>
      </c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>
        <f t="shared" si="8"/>
        <v>1</v>
      </c>
      <c r="AF5039" s="19">
        <f t="shared" si="13"/>
        <v>5</v>
      </c>
      <c r="AG5039" s="9"/>
      <c r="AH5039" s="9"/>
      <c r="AI5039" s="9"/>
    </row>
    <row r="5040" ht="15.0" customHeight="1">
      <c r="A5040" s="11">
        <v>5039.0</v>
      </c>
      <c r="B5040" s="12">
        <f t="shared" si="801"/>
        <v>40680</v>
      </c>
      <c r="C5040" s="13">
        <v>2011.0</v>
      </c>
      <c r="D5040" s="11" t="s">
        <v>44</v>
      </c>
      <c r="E5040" s="11">
        <v>5.0</v>
      </c>
      <c r="F5040" s="21" t="s">
        <v>128</v>
      </c>
      <c r="G5040" s="15">
        <v>0.058922369006976436</v>
      </c>
      <c r="H5040" s="11" t="s">
        <v>33</v>
      </c>
      <c r="I5040" s="16">
        <v>4.5040000000000004</v>
      </c>
      <c r="J5040" s="11" t="s">
        <v>796</v>
      </c>
      <c r="K5040" s="11" t="s">
        <v>117</v>
      </c>
      <c r="L5040" s="11" t="s">
        <v>48</v>
      </c>
      <c r="M5040" s="11" t="s">
        <v>66</v>
      </c>
      <c r="N5040" s="11" t="s">
        <v>80</v>
      </c>
      <c r="O5040" s="11" t="s">
        <v>2419</v>
      </c>
      <c r="P5040" s="11" t="s">
        <v>38</v>
      </c>
      <c r="Q5040" s="20">
        <v>40683.0</v>
      </c>
      <c r="R5040" s="17">
        <f t="shared" si="2"/>
        <v>37.35701764</v>
      </c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>
        <f t="shared" si="8"/>
        <v>4</v>
      </c>
      <c r="AF5040" s="19" t="b">
        <f t="shared" si="13"/>
        <v>0</v>
      </c>
      <c r="AG5040" s="9"/>
      <c r="AH5040" s="9"/>
      <c r="AI5040" s="9"/>
    </row>
    <row r="5041" ht="15.0" customHeight="1">
      <c r="A5041" s="11">
        <v>5040.0</v>
      </c>
      <c r="B5041" s="12">
        <f t="shared" ref="B5041:B5043" si="802">DATE(2012,12,31)-593</f>
        <v>40681</v>
      </c>
      <c r="C5041" s="13">
        <v>2011.0</v>
      </c>
      <c r="D5041" s="11" t="s">
        <v>32</v>
      </c>
      <c r="E5041" s="11">
        <v>44.0</v>
      </c>
      <c r="F5041" s="21" t="s">
        <v>455</v>
      </c>
      <c r="G5041" s="15">
        <v>0.05854967367657732</v>
      </c>
      <c r="H5041" s="11" t="s">
        <v>33</v>
      </c>
      <c r="I5041" s="16">
        <v>4.5040000000000004</v>
      </c>
      <c r="J5041" s="11" t="s">
        <v>653</v>
      </c>
      <c r="K5041" s="11" t="s">
        <v>65</v>
      </c>
      <c r="L5041" s="11" t="s">
        <v>41</v>
      </c>
      <c r="M5041" s="11" t="s">
        <v>28</v>
      </c>
      <c r="N5041" s="11" t="s">
        <v>42</v>
      </c>
      <c r="O5041" s="11" t="s">
        <v>1232</v>
      </c>
      <c r="P5041" s="11" t="s">
        <v>38</v>
      </c>
      <c r="Q5041" s="20">
        <v>40683.0</v>
      </c>
      <c r="R5041" s="17">
        <f t="shared" si="2"/>
        <v>30.40507974</v>
      </c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>
        <f t="shared" si="8"/>
        <v>3</v>
      </c>
      <c r="AF5041" s="19">
        <f t="shared" si="13"/>
        <v>5</v>
      </c>
      <c r="AG5041" s="9"/>
      <c r="AH5041" s="9"/>
      <c r="AI5041" s="9"/>
    </row>
    <row r="5042" ht="15.0" customHeight="1">
      <c r="A5042" s="11">
        <v>5041.0</v>
      </c>
      <c r="B5042" s="12">
        <f t="shared" si="802"/>
        <v>40681</v>
      </c>
      <c r="C5042" s="13">
        <v>2011.0</v>
      </c>
      <c r="D5042" s="11" t="s">
        <v>32</v>
      </c>
      <c r="E5042" s="11">
        <v>40.0</v>
      </c>
      <c r="F5042" s="21" t="s">
        <v>126</v>
      </c>
      <c r="G5042" s="15">
        <v>0.09479157328552218</v>
      </c>
      <c r="H5042" s="11" t="s">
        <v>33</v>
      </c>
      <c r="I5042" s="16">
        <v>5.952000000000001</v>
      </c>
      <c r="J5042" s="11" t="s">
        <v>653</v>
      </c>
      <c r="K5042" s="11" t="s">
        <v>65</v>
      </c>
      <c r="L5042" s="11" t="s">
        <v>41</v>
      </c>
      <c r="M5042" s="11" t="s">
        <v>28</v>
      </c>
      <c r="N5042" s="11" t="s">
        <v>56</v>
      </c>
      <c r="O5042" s="11" t="s">
        <v>1230</v>
      </c>
      <c r="P5042" s="11" t="s">
        <v>38</v>
      </c>
      <c r="Q5042" s="20">
        <v>40684.0</v>
      </c>
      <c r="R5042" s="17">
        <f t="shared" si="2"/>
        <v>19.14334781</v>
      </c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>
        <f t="shared" si="8"/>
        <v>3</v>
      </c>
      <c r="AF5042" s="19">
        <f t="shared" si="13"/>
        <v>5</v>
      </c>
      <c r="AG5042" s="9"/>
      <c r="AH5042" s="9"/>
      <c r="AI5042" s="9"/>
    </row>
    <row r="5043" ht="15.0" customHeight="1">
      <c r="A5043" s="11">
        <v>5042.0</v>
      </c>
      <c r="B5043" s="12">
        <f t="shared" si="802"/>
        <v>40681</v>
      </c>
      <c r="C5043" s="13">
        <v>2011.0</v>
      </c>
      <c r="D5043" s="11" t="s">
        <v>32</v>
      </c>
      <c r="E5043" s="11">
        <v>29.0</v>
      </c>
      <c r="F5043" s="21" t="s">
        <v>1195</v>
      </c>
      <c r="G5043" s="15">
        <v>0.07695600475624251</v>
      </c>
      <c r="H5043" s="11" t="s">
        <v>33</v>
      </c>
      <c r="I5043" s="16">
        <v>4.456</v>
      </c>
      <c r="J5043" s="11" t="s">
        <v>653</v>
      </c>
      <c r="K5043" s="11" t="s">
        <v>65</v>
      </c>
      <c r="L5043" s="11" t="s">
        <v>41</v>
      </c>
      <c r="M5043" s="11" t="s">
        <v>28</v>
      </c>
      <c r="N5043" s="11" t="s">
        <v>56</v>
      </c>
      <c r="O5043" s="11" t="s">
        <v>2176</v>
      </c>
      <c r="P5043" s="11" t="s">
        <v>38</v>
      </c>
      <c r="Q5043" s="20">
        <v>40684.0</v>
      </c>
      <c r="R5043" s="17">
        <f t="shared" si="2"/>
        <v>11.94788147</v>
      </c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>
        <f t="shared" si="8"/>
        <v>3</v>
      </c>
      <c r="AF5043" s="19">
        <f t="shared" si="13"/>
        <v>5</v>
      </c>
      <c r="AG5043" s="9"/>
      <c r="AH5043" s="9"/>
      <c r="AI5043" s="9"/>
    </row>
    <row r="5044" ht="15.0" customHeight="1">
      <c r="A5044" s="11">
        <v>5043.0</v>
      </c>
      <c r="B5044" s="12">
        <f t="shared" ref="B5044:B5050" si="803">DATE(2012,12,31)-592</f>
        <v>40682</v>
      </c>
      <c r="C5044" s="13">
        <v>2011.0</v>
      </c>
      <c r="D5044" s="11" t="s">
        <v>44</v>
      </c>
      <c r="E5044" s="11">
        <v>6.0</v>
      </c>
      <c r="F5044" s="21" t="s">
        <v>1336</v>
      </c>
      <c r="G5044" s="15">
        <v>0.05949221250266683</v>
      </c>
      <c r="H5044" s="11" t="s">
        <v>33</v>
      </c>
      <c r="I5044" s="16">
        <v>14.448</v>
      </c>
      <c r="J5044" s="11" t="s">
        <v>2148</v>
      </c>
      <c r="K5044" s="11" t="s">
        <v>65</v>
      </c>
      <c r="L5044" s="11" t="s">
        <v>27</v>
      </c>
      <c r="M5044" s="11" t="s">
        <v>49</v>
      </c>
      <c r="N5044" s="11" t="s">
        <v>50</v>
      </c>
      <c r="O5044" s="11" t="s">
        <v>1337</v>
      </c>
      <c r="P5044" s="11" t="s">
        <v>31</v>
      </c>
      <c r="Q5044" s="20">
        <v>40684.0</v>
      </c>
      <c r="R5044" s="17">
        <f t="shared" si="2"/>
        <v>78.67535744</v>
      </c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>
        <f t="shared" si="8"/>
        <v>1</v>
      </c>
      <c r="AF5044" s="19">
        <f t="shared" si="13"/>
        <v>5</v>
      </c>
      <c r="AG5044" s="9"/>
      <c r="AH5044" s="9"/>
      <c r="AI5044" s="9"/>
    </row>
    <row r="5045" ht="15.0" customHeight="1">
      <c r="A5045" s="11">
        <v>5044.0</v>
      </c>
      <c r="B5045" s="12">
        <f t="shared" si="803"/>
        <v>40682</v>
      </c>
      <c r="C5045" s="13">
        <v>2011.0</v>
      </c>
      <c r="D5045" s="11" t="s">
        <v>44</v>
      </c>
      <c r="E5045" s="11">
        <v>48.0</v>
      </c>
      <c r="F5045" s="21" t="s">
        <v>962</v>
      </c>
      <c r="G5045" s="15">
        <v>0.013920611895028256</v>
      </c>
      <c r="H5045" s="11" t="s">
        <v>24</v>
      </c>
      <c r="I5045" s="16">
        <v>8.544</v>
      </c>
      <c r="J5045" s="11" t="s">
        <v>2148</v>
      </c>
      <c r="K5045" s="11" t="s">
        <v>65</v>
      </c>
      <c r="L5045" s="11" t="s">
        <v>27</v>
      </c>
      <c r="M5045" s="11" t="s">
        <v>28</v>
      </c>
      <c r="N5045" s="11" t="s">
        <v>29</v>
      </c>
      <c r="O5045" s="11" t="s">
        <v>1180</v>
      </c>
      <c r="P5045" s="11" t="s">
        <v>38</v>
      </c>
      <c r="Q5045" s="20">
        <v>40684.0</v>
      </c>
      <c r="R5045" s="17">
        <f t="shared" si="2"/>
        <v>10.40905402</v>
      </c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>
        <f t="shared" si="8"/>
        <v>1</v>
      </c>
      <c r="AF5045" s="19">
        <f t="shared" si="13"/>
        <v>5</v>
      </c>
      <c r="AG5045" s="9"/>
      <c r="AH5045" s="9"/>
      <c r="AI5045" s="9"/>
    </row>
    <row r="5046" ht="15.0" customHeight="1">
      <c r="A5046" s="11">
        <v>5045.0</v>
      </c>
      <c r="B5046" s="12">
        <f t="shared" si="803"/>
        <v>40682</v>
      </c>
      <c r="C5046" s="13">
        <v>2011.0</v>
      </c>
      <c r="D5046" s="11" t="s">
        <v>102</v>
      </c>
      <c r="E5046" s="11">
        <v>50.0</v>
      </c>
      <c r="F5046" s="21" t="s">
        <v>103</v>
      </c>
      <c r="G5046" s="15">
        <v>0.03331592689295029</v>
      </c>
      <c r="H5046" s="11" t="s">
        <v>33</v>
      </c>
      <c r="I5046" s="16">
        <v>1.192</v>
      </c>
      <c r="J5046" s="11" t="s">
        <v>1319</v>
      </c>
      <c r="K5046" s="11" t="s">
        <v>65</v>
      </c>
      <c r="L5046" s="11" t="s">
        <v>48</v>
      </c>
      <c r="M5046" s="11" t="s">
        <v>28</v>
      </c>
      <c r="N5046" s="11" t="s">
        <v>42</v>
      </c>
      <c r="O5046" s="11" t="s">
        <v>1473</v>
      </c>
      <c r="P5046" s="11" t="s">
        <v>38</v>
      </c>
      <c r="Q5046" s="20">
        <v>40684.0</v>
      </c>
      <c r="R5046" s="17">
        <f t="shared" si="2"/>
        <v>9.867911018</v>
      </c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>
        <f t="shared" si="8"/>
        <v>4</v>
      </c>
      <c r="AF5046" s="19">
        <f t="shared" si="13"/>
        <v>5</v>
      </c>
      <c r="AG5046" s="9"/>
      <c r="AH5046" s="9"/>
      <c r="AI5046" s="9"/>
    </row>
    <row r="5047" ht="15.0" customHeight="1">
      <c r="A5047" s="11">
        <v>5046.0</v>
      </c>
      <c r="B5047" s="12">
        <f t="shared" si="803"/>
        <v>40682</v>
      </c>
      <c r="C5047" s="13">
        <v>2011.0</v>
      </c>
      <c r="D5047" s="11" t="s">
        <v>102</v>
      </c>
      <c r="E5047" s="11">
        <v>4.0</v>
      </c>
      <c r="F5047" s="21" t="s">
        <v>573</v>
      </c>
      <c r="G5047" s="15">
        <v>0.027115384615384618</v>
      </c>
      <c r="H5047" s="11" t="s">
        <v>33</v>
      </c>
      <c r="I5047" s="16">
        <v>0.8720000000000001</v>
      </c>
      <c r="J5047" s="11" t="s">
        <v>1319</v>
      </c>
      <c r="K5047" s="11" t="s">
        <v>65</v>
      </c>
      <c r="L5047" s="11" t="s">
        <v>48</v>
      </c>
      <c r="M5047" s="11" t="s">
        <v>28</v>
      </c>
      <c r="N5047" s="11" t="s">
        <v>62</v>
      </c>
      <c r="O5047" s="11" t="s">
        <v>1555</v>
      </c>
      <c r="P5047" s="11" t="s">
        <v>58</v>
      </c>
      <c r="Q5047" s="20">
        <v>40684.0</v>
      </c>
      <c r="R5047" s="17">
        <f t="shared" si="2"/>
        <v>1.097413846</v>
      </c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>
        <f t="shared" si="8"/>
        <v>4</v>
      </c>
      <c r="AF5047" s="19">
        <f t="shared" si="13"/>
        <v>5</v>
      </c>
      <c r="AG5047" s="9"/>
      <c r="AH5047" s="9"/>
      <c r="AI5047" s="9"/>
    </row>
    <row r="5048" ht="15.0" customHeight="1">
      <c r="A5048" s="11">
        <v>5047.0</v>
      </c>
      <c r="B5048" s="12">
        <f t="shared" si="803"/>
        <v>40682</v>
      </c>
      <c r="C5048" s="13">
        <v>2011.0</v>
      </c>
      <c r="D5048" s="11" t="s">
        <v>32</v>
      </c>
      <c r="E5048" s="11">
        <v>34.0</v>
      </c>
      <c r="F5048" s="21" t="s">
        <v>122</v>
      </c>
      <c r="G5048" s="15">
        <v>0.027945342005875045</v>
      </c>
      <c r="H5048" s="11" t="s">
        <v>33</v>
      </c>
      <c r="I5048" s="16">
        <v>1.0</v>
      </c>
      <c r="J5048" s="11" t="s">
        <v>2540</v>
      </c>
      <c r="K5048" s="11" t="s">
        <v>61</v>
      </c>
      <c r="L5048" s="11" t="s">
        <v>41</v>
      </c>
      <c r="M5048" s="11" t="s">
        <v>66</v>
      </c>
      <c r="N5048" s="11" t="s">
        <v>80</v>
      </c>
      <c r="O5048" s="11" t="s">
        <v>1992</v>
      </c>
      <c r="P5048" s="11" t="s">
        <v>99</v>
      </c>
      <c r="Q5048" s="20">
        <v>40684.0</v>
      </c>
      <c r="R5048" s="17">
        <f t="shared" si="2"/>
        <v>19.88590537</v>
      </c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>
        <f t="shared" si="8"/>
        <v>3</v>
      </c>
      <c r="AF5048" s="19">
        <f t="shared" si="13"/>
        <v>4</v>
      </c>
      <c r="AG5048" s="9"/>
      <c r="AH5048" s="9"/>
      <c r="AI5048" s="9"/>
    </row>
    <row r="5049" ht="15.0" customHeight="1">
      <c r="A5049" s="11">
        <v>5048.0</v>
      </c>
      <c r="B5049" s="12">
        <f t="shared" si="803"/>
        <v>40682</v>
      </c>
      <c r="C5049" s="13">
        <v>2011.0</v>
      </c>
      <c r="D5049" s="11" t="s">
        <v>32</v>
      </c>
      <c r="E5049" s="11">
        <v>44.0</v>
      </c>
      <c r="F5049" s="21" t="s">
        <v>204</v>
      </c>
      <c r="G5049" s="15">
        <v>0.09393801965230533</v>
      </c>
      <c r="H5049" s="11" t="s">
        <v>33</v>
      </c>
      <c r="I5049" s="16">
        <v>1.072</v>
      </c>
      <c r="J5049" s="11" t="s">
        <v>1753</v>
      </c>
      <c r="K5049" s="11" t="s">
        <v>65</v>
      </c>
      <c r="L5049" s="11" t="s">
        <v>48</v>
      </c>
      <c r="M5049" s="11" t="s">
        <v>28</v>
      </c>
      <c r="N5049" s="11" t="s">
        <v>62</v>
      </c>
      <c r="O5049" s="11" t="s">
        <v>1514</v>
      </c>
      <c r="P5049" s="11" t="s">
        <v>58</v>
      </c>
      <c r="Q5049" s="20">
        <v>40684.0</v>
      </c>
      <c r="R5049" s="17">
        <f t="shared" si="2"/>
        <v>11.26053829</v>
      </c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>
        <f t="shared" si="8"/>
        <v>4</v>
      </c>
      <c r="AF5049" s="19">
        <f t="shared" si="13"/>
        <v>5</v>
      </c>
      <c r="AG5049" s="9"/>
      <c r="AH5049" s="9"/>
      <c r="AI5049" s="9"/>
    </row>
    <row r="5050" ht="15.0" customHeight="1">
      <c r="A5050" s="11">
        <v>5049.0</v>
      </c>
      <c r="B5050" s="12">
        <f t="shared" si="803"/>
        <v>40682</v>
      </c>
      <c r="C5050" s="13">
        <v>2011.0</v>
      </c>
      <c r="D5050" s="11" t="s">
        <v>23</v>
      </c>
      <c r="E5050" s="11">
        <v>1.0</v>
      </c>
      <c r="F5050" s="21" t="s">
        <v>1158</v>
      </c>
      <c r="G5050" s="15">
        <v>0.09745454545454538</v>
      </c>
      <c r="H5050" s="11" t="s">
        <v>33</v>
      </c>
      <c r="I5050" s="16">
        <v>1.4640000000000002</v>
      </c>
      <c r="J5050" s="11" t="s">
        <v>1802</v>
      </c>
      <c r="K5050" s="11" t="s">
        <v>61</v>
      </c>
      <c r="L5050" s="11" t="s">
        <v>48</v>
      </c>
      <c r="M5050" s="11" t="s">
        <v>28</v>
      </c>
      <c r="N5050" s="11" t="s">
        <v>42</v>
      </c>
      <c r="O5050" s="11" t="s">
        <v>1577</v>
      </c>
      <c r="P5050" s="11" t="s">
        <v>38</v>
      </c>
      <c r="Q5050" s="20">
        <v>40684.0</v>
      </c>
      <c r="R5050" s="17">
        <f t="shared" si="2"/>
        <v>0.4837643636</v>
      </c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>
        <f t="shared" si="8"/>
        <v>4</v>
      </c>
      <c r="AF5050" s="19">
        <f t="shared" si="13"/>
        <v>4</v>
      </c>
      <c r="AG5050" s="9"/>
      <c r="AH5050" s="9"/>
      <c r="AI5050" s="9"/>
    </row>
    <row r="5051" ht="15.0" customHeight="1">
      <c r="A5051" s="11">
        <v>5050.0</v>
      </c>
      <c r="B5051" s="12">
        <f t="shared" ref="B5051:B5063" si="804">DATE(2012,12,31)-591</f>
        <v>40683</v>
      </c>
      <c r="C5051" s="13">
        <v>2011.0</v>
      </c>
      <c r="D5051" s="11" t="s">
        <v>23</v>
      </c>
      <c r="E5051" s="11">
        <v>37.0</v>
      </c>
      <c r="F5051" s="21" t="s">
        <v>135</v>
      </c>
      <c r="G5051" s="15">
        <v>0.06387120928491213</v>
      </c>
      <c r="H5051" s="11" t="s">
        <v>33</v>
      </c>
      <c r="I5051" s="16">
        <v>5.84</v>
      </c>
      <c r="J5051" s="11" t="s">
        <v>1364</v>
      </c>
      <c r="K5051" s="11" t="s">
        <v>35</v>
      </c>
      <c r="L5051" s="11" t="s">
        <v>27</v>
      </c>
      <c r="M5051" s="11" t="s">
        <v>28</v>
      </c>
      <c r="N5051" s="11" t="s">
        <v>56</v>
      </c>
      <c r="O5051" s="11" t="s">
        <v>2129</v>
      </c>
      <c r="P5051" s="11" t="s">
        <v>38</v>
      </c>
      <c r="Q5051" s="20">
        <v>40684.0</v>
      </c>
      <c r="R5051" s="17">
        <f t="shared" si="2"/>
        <v>15.97035717</v>
      </c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>
        <f t="shared" si="8"/>
        <v>1</v>
      </c>
      <c r="AF5051" s="19">
        <f t="shared" si="13"/>
        <v>2</v>
      </c>
      <c r="AG5051" s="9"/>
      <c r="AH5051" s="9"/>
      <c r="AI5051" s="9"/>
    </row>
    <row r="5052" ht="15.0" customHeight="1">
      <c r="A5052" s="11">
        <v>5051.0</v>
      </c>
      <c r="B5052" s="12">
        <f t="shared" si="804"/>
        <v>40683</v>
      </c>
      <c r="C5052" s="13">
        <v>2011.0</v>
      </c>
      <c r="D5052" s="11" t="s">
        <v>23</v>
      </c>
      <c r="E5052" s="11">
        <v>41.0</v>
      </c>
      <c r="F5052" s="21" t="s">
        <v>128</v>
      </c>
      <c r="G5052" s="15">
        <v>0.04837461300309597</v>
      </c>
      <c r="H5052" s="11" t="s">
        <v>33</v>
      </c>
      <c r="I5052" s="16">
        <v>2.0</v>
      </c>
      <c r="J5052" s="11" t="s">
        <v>1364</v>
      </c>
      <c r="K5052" s="11" t="s">
        <v>35</v>
      </c>
      <c r="L5052" s="11" t="s">
        <v>27</v>
      </c>
      <c r="M5052" s="11" t="s">
        <v>66</v>
      </c>
      <c r="N5052" s="11" t="s">
        <v>80</v>
      </c>
      <c r="O5052" s="11" t="s">
        <v>862</v>
      </c>
      <c r="P5052" s="11" t="s">
        <v>38</v>
      </c>
      <c r="Q5052" s="20">
        <v>40684.0</v>
      </c>
      <c r="R5052" s="17">
        <f t="shared" si="2"/>
        <v>249.8016641</v>
      </c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>
        <f t="shared" si="8"/>
        <v>1</v>
      </c>
      <c r="AF5052" s="19">
        <f t="shared" si="13"/>
        <v>2</v>
      </c>
      <c r="AG5052" s="9"/>
      <c r="AH5052" s="9"/>
      <c r="AI5052" s="9"/>
    </row>
    <row r="5053" ht="15.0" customHeight="1">
      <c r="A5053" s="11">
        <v>5052.0</v>
      </c>
      <c r="B5053" s="12">
        <f t="shared" si="804"/>
        <v>40683</v>
      </c>
      <c r="C5053" s="13">
        <v>2011.0</v>
      </c>
      <c r="D5053" s="11" t="s">
        <v>23</v>
      </c>
      <c r="E5053" s="11">
        <v>6.0</v>
      </c>
      <c r="F5053" s="21" t="s">
        <v>130</v>
      </c>
      <c r="G5053" s="15">
        <v>0.019042717447246758</v>
      </c>
      <c r="H5053" s="11" t="s">
        <v>33</v>
      </c>
      <c r="I5053" s="16">
        <v>5.2</v>
      </c>
      <c r="J5053" s="11" t="s">
        <v>602</v>
      </c>
      <c r="K5053" s="11" t="s">
        <v>26</v>
      </c>
      <c r="L5053" s="11" t="s">
        <v>48</v>
      </c>
      <c r="M5053" s="11" t="s">
        <v>66</v>
      </c>
      <c r="N5053" s="11" t="s">
        <v>67</v>
      </c>
      <c r="O5053" s="11" t="s">
        <v>1464</v>
      </c>
      <c r="P5053" s="11" t="s">
        <v>38</v>
      </c>
      <c r="Q5053" s="20">
        <v>40684.0</v>
      </c>
      <c r="R5053" s="17">
        <f t="shared" si="2"/>
        <v>3.629541945</v>
      </c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>
        <f t="shared" si="8"/>
        <v>4</v>
      </c>
      <c r="AF5053" s="19">
        <f t="shared" si="13"/>
        <v>1</v>
      </c>
      <c r="AG5053" s="9"/>
      <c r="AH5053" s="9"/>
      <c r="AI5053" s="9"/>
    </row>
    <row r="5054" ht="15.0" customHeight="1">
      <c r="A5054" s="11">
        <v>5053.0</v>
      </c>
      <c r="B5054" s="12">
        <f t="shared" si="804"/>
        <v>40683</v>
      </c>
      <c r="C5054" s="13">
        <v>2011.0</v>
      </c>
      <c r="D5054" s="11" t="s">
        <v>23</v>
      </c>
      <c r="E5054" s="11">
        <v>36.0</v>
      </c>
      <c r="F5054" s="21" t="s">
        <v>161</v>
      </c>
      <c r="G5054" s="15">
        <v>0.01094890510948902</v>
      </c>
      <c r="H5054" s="11" t="s">
        <v>33</v>
      </c>
      <c r="I5054" s="16">
        <v>28.0</v>
      </c>
      <c r="J5054" s="11" t="s">
        <v>602</v>
      </c>
      <c r="K5054" s="11" t="s">
        <v>26</v>
      </c>
      <c r="L5054" s="11" t="s">
        <v>48</v>
      </c>
      <c r="M5054" s="11" t="s">
        <v>28</v>
      </c>
      <c r="N5054" s="11" t="s">
        <v>29</v>
      </c>
      <c r="O5054" s="11" t="s">
        <v>162</v>
      </c>
      <c r="P5054" s="11" t="s">
        <v>31</v>
      </c>
      <c r="Q5054" s="20">
        <v>40684.0</v>
      </c>
      <c r="R5054" s="17">
        <f t="shared" si="2"/>
        <v>8.308029197</v>
      </c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>
        <f t="shared" si="8"/>
        <v>4</v>
      </c>
      <c r="AF5054" s="19">
        <f t="shared" si="13"/>
        <v>1</v>
      </c>
      <c r="AG5054" s="9"/>
      <c r="AH5054" s="9"/>
      <c r="AI5054" s="9"/>
    </row>
    <row r="5055" ht="15.0" customHeight="1">
      <c r="A5055" s="11">
        <v>5054.0</v>
      </c>
      <c r="B5055" s="12">
        <f t="shared" si="804"/>
        <v>40683</v>
      </c>
      <c r="C5055" s="13">
        <v>2011.0</v>
      </c>
      <c r="D5055" s="11" t="s">
        <v>23</v>
      </c>
      <c r="E5055" s="11">
        <v>44.0</v>
      </c>
      <c r="F5055" s="21" t="s">
        <v>1273</v>
      </c>
      <c r="G5055" s="15">
        <v>0.024252057905194548</v>
      </c>
      <c r="H5055" s="11" t="s">
        <v>33</v>
      </c>
      <c r="I5055" s="16">
        <v>1.1119999999999999</v>
      </c>
      <c r="J5055" s="11" t="s">
        <v>2541</v>
      </c>
      <c r="K5055" s="11" t="s">
        <v>47</v>
      </c>
      <c r="L5055" s="11" t="s">
        <v>27</v>
      </c>
      <c r="M5055" s="11" t="s">
        <v>28</v>
      </c>
      <c r="N5055" s="11" t="s">
        <v>236</v>
      </c>
      <c r="O5055" s="11" t="s">
        <v>1274</v>
      </c>
      <c r="P5055" s="11" t="s">
        <v>38</v>
      </c>
      <c r="Q5055" s="20">
        <v>40684.0</v>
      </c>
      <c r="R5055" s="17">
        <f t="shared" si="2"/>
        <v>16.67358083</v>
      </c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>
        <f t="shared" si="8"/>
        <v>1</v>
      </c>
      <c r="AF5055" s="19">
        <f t="shared" si="13"/>
        <v>3</v>
      </c>
      <c r="AG5055" s="9"/>
      <c r="AH5055" s="9"/>
      <c r="AI5055" s="9"/>
    </row>
    <row r="5056" ht="15.0" customHeight="1">
      <c r="A5056" s="11">
        <v>5055.0</v>
      </c>
      <c r="B5056" s="12">
        <f t="shared" si="804"/>
        <v>40683</v>
      </c>
      <c r="C5056" s="13">
        <v>2011.0</v>
      </c>
      <c r="D5056" s="11" t="s">
        <v>23</v>
      </c>
      <c r="E5056" s="11">
        <v>28.0</v>
      </c>
      <c r="F5056" s="21" t="s">
        <v>994</v>
      </c>
      <c r="G5056" s="15">
        <v>0.06862357220343307</v>
      </c>
      <c r="H5056" s="11" t="s">
        <v>33</v>
      </c>
      <c r="I5056" s="16">
        <v>14.76</v>
      </c>
      <c r="J5056" s="11" t="s">
        <v>2541</v>
      </c>
      <c r="K5056" s="11" t="s">
        <v>47</v>
      </c>
      <c r="L5056" s="11" t="s">
        <v>27</v>
      </c>
      <c r="M5056" s="11" t="s">
        <v>49</v>
      </c>
      <c r="N5056" s="11" t="s">
        <v>73</v>
      </c>
      <c r="O5056" s="11" t="s">
        <v>995</v>
      </c>
      <c r="P5056" s="11" t="s">
        <v>75</v>
      </c>
      <c r="Q5056" s="20">
        <v>40684.0</v>
      </c>
      <c r="R5056" s="17">
        <f t="shared" si="2"/>
        <v>100.160221</v>
      </c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>
        <f t="shared" si="8"/>
        <v>1</v>
      </c>
      <c r="AF5056" s="19">
        <f t="shared" si="13"/>
        <v>3</v>
      </c>
      <c r="AG5056" s="9"/>
      <c r="AH5056" s="9"/>
      <c r="AI5056" s="9"/>
    </row>
    <row r="5057" ht="15.0" customHeight="1">
      <c r="A5057" s="11">
        <v>5056.0</v>
      </c>
      <c r="B5057" s="12">
        <f t="shared" si="804"/>
        <v>40683</v>
      </c>
      <c r="C5057" s="13">
        <v>2011.0</v>
      </c>
      <c r="D5057" s="11" t="s">
        <v>23</v>
      </c>
      <c r="E5057" s="11">
        <v>11.0</v>
      </c>
      <c r="F5057" s="21" t="s">
        <v>128</v>
      </c>
      <c r="G5057" s="15">
        <v>0.04033365503929396</v>
      </c>
      <c r="H5057" s="11" t="s">
        <v>24</v>
      </c>
      <c r="I5057" s="16">
        <v>7.192</v>
      </c>
      <c r="J5057" s="11" t="s">
        <v>2541</v>
      </c>
      <c r="K5057" s="11" t="s">
        <v>47</v>
      </c>
      <c r="L5057" s="11" t="s">
        <v>27</v>
      </c>
      <c r="M5057" s="11" t="s">
        <v>66</v>
      </c>
      <c r="N5057" s="11" t="s">
        <v>80</v>
      </c>
      <c r="O5057" s="11" t="s">
        <v>460</v>
      </c>
      <c r="P5057" s="11" t="s">
        <v>38</v>
      </c>
      <c r="Q5057" s="20">
        <v>40684.0</v>
      </c>
      <c r="R5057" s="17">
        <f t="shared" si="2"/>
        <v>56.14815851</v>
      </c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>
        <f t="shared" si="8"/>
        <v>1</v>
      </c>
      <c r="AF5057" s="19">
        <f t="shared" si="13"/>
        <v>3</v>
      </c>
      <c r="AG5057" s="9"/>
      <c r="AH5057" s="9"/>
      <c r="AI5057" s="9"/>
    </row>
    <row r="5058" ht="15.0" customHeight="1">
      <c r="A5058" s="11">
        <v>5057.0</v>
      </c>
      <c r="B5058" s="12">
        <f t="shared" si="804"/>
        <v>40683</v>
      </c>
      <c r="C5058" s="13">
        <v>2011.0</v>
      </c>
      <c r="D5058" s="11" t="s">
        <v>102</v>
      </c>
      <c r="E5058" s="11">
        <v>25.0</v>
      </c>
      <c r="F5058" s="21" t="s">
        <v>319</v>
      </c>
      <c r="G5058" s="15">
        <v>0.06816753926701587</v>
      </c>
      <c r="H5058" s="11" t="s">
        <v>33</v>
      </c>
      <c r="I5058" s="16">
        <v>1.192</v>
      </c>
      <c r="J5058" s="11" t="s">
        <v>1634</v>
      </c>
      <c r="K5058" s="11" t="s">
        <v>65</v>
      </c>
      <c r="L5058" s="11" t="s">
        <v>48</v>
      </c>
      <c r="M5058" s="11" t="s">
        <v>28</v>
      </c>
      <c r="N5058" s="11" t="s">
        <v>42</v>
      </c>
      <c r="O5058" s="11" t="s">
        <v>1503</v>
      </c>
      <c r="P5058" s="11" t="s">
        <v>38</v>
      </c>
      <c r="Q5058" s="20">
        <v>40684.0</v>
      </c>
      <c r="R5058" s="17">
        <f t="shared" si="2"/>
        <v>4.852983455</v>
      </c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>
        <f t="shared" si="8"/>
        <v>4</v>
      </c>
      <c r="AF5058" s="19">
        <f t="shared" si="13"/>
        <v>5</v>
      </c>
      <c r="AG5058" s="9"/>
      <c r="AH5058" s="9"/>
      <c r="AI5058" s="9"/>
    </row>
    <row r="5059" ht="15.0" customHeight="1">
      <c r="A5059" s="11">
        <v>5058.0</v>
      </c>
      <c r="B5059" s="12">
        <f t="shared" si="804"/>
        <v>40683</v>
      </c>
      <c r="C5059" s="13">
        <v>2011.0</v>
      </c>
      <c r="D5059" s="11" t="s">
        <v>102</v>
      </c>
      <c r="E5059" s="11">
        <v>29.0</v>
      </c>
      <c r="F5059" s="21" t="s">
        <v>178</v>
      </c>
      <c r="G5059" s="15">
        <v>0.05825158655974807</v>
      </c>
      <c r="H5059" s="11" t="s">
        <v>33</v>
      </c>
      <c r="I5059" s="16">
        <v>3.192</v>
      </c>
      <c r="J5059" s="11" t="s">
        <v>1634</v>
      </c>
      <c r="K5059" s="11" t="s">
        <v>65</v>
      </c>
      <c r="L5059" s="11" t="s">
        <v>48</v>
      </c>
      <c r="M5059" s="11" t="s">
        <v>66</v>
      </c>
      <c r="N5059" s="11" t="s">
        <v>80</v>
      </c>
      <c r="O5059" s="11" t="s">
        <v>587</v>
      </c>
      <c r="P5059" s="11" t="s">
        <v>38</v>
      </c>
      <c r="Q5059" s="20">
        <v>40684.0</v>
      </c>
      <c r="R5059" s="17">
        <f t="shared" si="2"/>
        <v>111.5105461</v>
      </c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>
        <f t="shared" si="8"/>
        <v>4</v>
      </c>
      <c r="AF5059" s="19">
        <f t="shared" si="13"/>
        <v>5</v>
      </c>
      <c r="AG5059" s="9"/>
      <c r="AH5059" s="9"/>
      <c r="AI5059" s="9"/>
    </row>
    <row r="5060" ht="15.0" customHeight="1">
      <c r="A5060" s="11">
        <v>5059.0</v>
      </c>
      <c r="B5060" s="12">
        <f t="shared" si="804"/>
        <v>40683</v>
      </c>
      <c r="C5060" s="13">
        <v>2011.0</v>
      </c>
      <c r="D5060" s="11" t="s">
        <v>102</v>
      </c>
      <c r="E5060" s="11">
        <v>34.0</v>
      </c>
      <c r="F5060" s="21" t="s">
        <v>1538</v>
      </c>
      <c r="G5060" s="15">
        <v>0.08464507467695932</v>
      </c>
      <c r="H5060" s="11" t="s">
        <v>33</v>
      </c>
      <c r="I5060" s="16">
        <v>9.24</v>
      </c>
      <c r="J5060" s="11" t="s">
        <v>2217</v>
      </c>
      <c r="K5060" s="11" t="s">
        <v>83</v>
      </c>
      <c r="L5060" s="11" t="s">
        <v>36</v>
      </c>
      <c r="M5060" s="11" t="s">
        <v>28</v>
      </c>
      <c r="N5060" s="11" t="s">
        <v>42</v>
      </c>
      <c r="O5060" s="11" t="s">
        <v>2388</v>
      </c>
      <c r="P5060" s="11" t="s">
        <v>38</v>
      </c>
      <c r="Q5060" s="20">
        <v>40684.0</v>
      </c>
      <c r="R5060" s="17">
        <f t="shared" si="2"/>
        <v>184.6820097</v>
      </c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>
        <f t="shared" si="8"/>
        <v>2</v>
      </c>
      <c r="AF5060" s="19" t="b">
        <f t="shared" si="13"/>
        <v>0</v>
      </c>
      <c r="AG5060" s="9"/>
      <c r="AH5060" s="9"/>
      <c r="AI5060" s="9"/>
    </row>
    <row r="5061" ht="15.0" customHeight="1">
      <c r="A5061" s="11">
        <v>5060.0</v>
      </c>
      <c r="B5061" s="12">
        <f t="shared" si="804"/>
        <v>40683</v>
      </c>
      <c r="C5061" s="13">
        <v>2011.0</v>
      </c>
      <c r="D5061" s="11" t="s">
        <v>32</v>
      </c>
      <c r="E5061" s="11">
        <v>16.0</v>
      </c>
      <c r="F5061" s="21" t="s">
        <v>103</v>
      </c>
      <c r="G5061" s="15">
        <v>0.023066271018793213</v>
      </c>
      <c r="H5061" s="11" t="s">
        <v>33</v>
      </c>
      <c r="I5061" s="16">
        <v>4.368</v>
      </c>
      <c r="J5061" s="11" t="s">
        <v>597</v>
      </c>
      <c r="K5061" s="11" t="s">
        <v>26</v>
      </c>
      <c r="L5061" s="11" t="s">
        <v>27</v>
      </c>
      <c r="M5061" s="11" t="s">
        <v>28</v>
      </c>
      <c r="N5061" s="11" t="s">
        <v>56</v>
      </c>
      <c r="O5061" s="11" t="s">
        <v>693</v>
      </c>
      <c r="P5061" s="11" t="s">
        <v>38</v>
      </c>
      <c r="Q5061" s="20">
        <v>40685.0</v>
      </c>
      <c r="R5061" s="17">
        <f t="shared" si="2"/>
        <v>2.278209456</v>
      </c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>
        <f t="shared" si="8"/>
        <v>1</v>
      </c>
      <c r="AF5061" s="19">
        <f t="shared" si="13"/>
        <v>1</v>
      </c>
      <c r="AG5061" s="9"/>
      <c r="AH5061" s="9"/>
      <c r="AI5061" s="9"/>
    </row>
    <row r="5062" ht="15.0" customHeight="1">
      <c r="A5062" s="11">
        <v>5061.0</v>
      </c>
      <c r="B5062" s="12">
        <f t="shared" si="804"/>
        <v>40683</v>
      </c>
      <c r="C5062" s="13">
        <v>2011.0</v>
      </c>
      <c r="D5062" s="11" t="s">
        <v>102</v>
      </c>
      <c r="E5062" s="11">
        <v>32.0</v>
      </c>
      <c r="F5062" s="21" t="s">
        <v>666</v>
      </c>
      <c r="G5062" s="15">
        <v>0.12027662517289071</v>
      </c>
      <c r="H5062" s="11" t="s">
        <v>24</v>
      </c>
      <c r="I5062" s="16">
        <v>5.6080000000000005</v>
      </c>
      <c r="J5062" s="11" t="s">
        <v>1995</v>
      </c>
      <c r="K5062" s="11" t="s">
        <v>65</v>
      </c>
      <c r="L5062" s="11" t="s">
        <v>36</v>
      </c>
      <c r="M5062" s="11" t="s">
        <v>28</v>
      </c>
      <c r="N5062" s="11" t="s">
        <v>42</v>
      </c>
      <c r="O5062" s="11" t="s">
        <v>1632</v>
      </c>
      <c r="P5062" s="11" t="s">
        <v>38</v>
      </c>
      <c r="Q5062" s="20">
        <v>40685.0</v>
      </c>
      <c r="R5062" s="17">
        <f t="shared" si="2"/>
        <v>15.30014893</v>
      </c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>
        <f t="shared" si="8"/>
        <v>2</v>
      </c>
      <c r="AF5062" s="19">
        <f t="shared" si="13"/>
        <v>5</v>
      </c>
      <c r="AG5062" s="9"/>
      <c r="AH5062" s="9"/>
      <c r="AI5062" s="9"/>
    </row>
    <row r="5063" ht="15.0" customHeight="1">
      <c r="A5063" s="11">
        <v>5062.0</v>
      </c>
      <c r="B5063" s="12">
        <f t="shared" si="804"/>
        <v>40683</v>
      </c>
      <c r="C5063" s="13">
        <v>2011.0</v>
      </c>
      <c r="D5063" s="11" t="s">
        <v>102</v>
      </c>
      <c r="E5063" s="11">
        <v>9.0</v>
      </c>
      <c r="F5063" s="21" t="s">
        <v>158</v>
      </c>
      <c r="G5063" s="15">
        <v>0.11056910569105687</v>
      </c>
      <c r="H5063" s="11" t="s">
        <v>33</v>
      </c>
      <c r="I5063" s="16">
        <v>8.040000000000001</v>
      </c>
      <c r="J5063" s="11" t="s">
        <v>1995</v>
      </c>
      <c r="K5063" s="11" t="s">
        <v>65</v>
      </c>
      <c r="L5063" s="11" t="s">
        <v>36</v>
      </c>
      <c r="M5063" s="11" t="s">
        <v>28</v>
      </c>
      <c r="N5063" s="11" t="s">
        <v>56</v>
      </c>
      <c r="O5063" s="11" t="s">
        <v>646</v>
      </c>
      <c r="P5063" s="11" t="s">
        <v>38</v>
      </c>
      <c r="Q5063" s="20">
        <v>40685.0</v>
      </c>
      <c r="R5063" s="17">
        <f t="shared" si="2"/>
        <v>7.257756098</v>
      </c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>
        <f t="shared" si="8"/>
        <v>2</v>
      </c>
      <c r="AF5063" s="19">
        <f t="shared" si="13"/>
        <v>5</v>
      </c>
      <c r="AG5063" s="9"/>
      <c r="AH5063" s="9"/>
      <c r="AI5063" s="9"/>
    </row>
    <row r="5064" ht="15.0" customHeight="1">
      <c r="A5064" s="11">
        <v>5063.0</v>
      </c>
      <c r="B5064" s="12">
        <f t="shared" ref="B5064:B5073" si="805">DATE(2012,12,31)-590</f>
        <v>40684</v>
      </c>
      <c r="C5064" s="13">
        <v>2011.0</v>
      </c>
      <c r="D5064" s="11" t="s">
        <v>102</v>
      </c>
      <c r="E5064" s="11">
        <v>12.0</v>
      </c>
      <c r="F5064" s="21" t="s">
        <v>1498</v>
      </c>
      <c r="G5064" s="15">
        <v>0.028167604752970546</v>
      </c>
      <c r="H5064" s="11" t="s">
        <v>33</v>
      </c>
      <c r="I5064" s="16">
        <v>7.192</v>
      </c>
      <c r="J5064" s="11" t="s">
        <v>1179</v>
      </c>
      <c r="K5064" s="11" t="s">
        <v>61</v>
      </c>
      <c r="L5064" s="11" t="s">
        <v>41</v>
      </c>
      <c r="M5064" s="11" t="s">
        <v>49</v>
      </c>
      <c r="N5064" s="11" t="s">
        <v>73</v>
      </c>
      <c r="O5064" s="11" t="s">
        <v>1500</v>
      </c>
      <c r="P5064" s="11" t="s">
        <v>99</v>
      </c>
      <c r="Q5064" s="20">
        <v>40685.0</v>
      </c>
      <c r="R5064" s="17">
        <f t="shared" si="2"/>
        <v>8.754266216</v>
      </c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>
        <f t="shared" si="8"/>
        <v>3</v>
      </c>
      <c r="AF5064" s="19">
        <f t="shared" si="13"/>
        <v>4</v>
      </c>
      <c r="AG5064" s="9"/>
      <c r="AH5064" s="9"/>
      <c r="AI5064" s="9"/>
    </row>
    <row r="5065" ht="15.0" customHeight="1">
      <c r="A5065" s="11">
        <v>5064.0</v>
      </c>
      <c r="B5065" s="12">
        <f t="shared" si="805"/>
        <v>40684</v>
      </c>
      <c r="C5065" s="13">
        <v>2011.0</v>
      </c>
      <c r="D5065" s="11" t="s">
        <v>102</v>
      </c>
      <c r="E5065" s="11">
        <v>17.0</v>
      </c>
      <c r="F5065" s="21" t="s">
        <v>889</v>
      </c>
      <c r="G5065" s="15">
        <v>0.02766719325961027</v>
      </c>
      <c r="H5065" s="11" t="s">
        <v>33</v>
      </c>
      <c r="I5065" s="16">
        <v>7.192</v>
      </c>
      <c r="J5065" s="11" t="s">
        <v>1179</v>
      </c>
      <c r="K5065" s="11" t="s">
        <v>61</v>
      </c>
      <c r="L5065" s="11" t="s">
        <v>41</v>
      </c>
      <c r="M5065" s="11" t="s">
        <v>28</v>
      </c>
      <c r="N5065" s="11" t="s">
        <v>62</v>
      </c>
      <c r="O5065" s="11" t="s">
        <v>890</v>
      </c>
      <c r="P5065" s="11" t="s">
        <v>99</v>
      </c>
      <c r="Q5065" s="20">
        <v>40685.0</v>
      </c>
      <c r="R5065" s="17">
        <f t="shared" si="2"/>
        <v>10.21727313</v>
      </c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>
        <f t="shared" si="8"/>
        <v>3</v>
      </c>
      <c r="AF5065" s="19">
        <f t="shared" si="13"/>
        <v>4</v>
      </c>
      <c r="AG5065" s="9"/>
      <c r="AH5065" s="9"/>
      <c r="AI5065" s="9"/>
    </row>
    <row r="5066" ht="15.0" customHeight="1">
      <c r="A5066" s="11">
        <v>5065.0</v>
      </c>
      <c r="B5066" s="12">
        <f t="shared" si="805"/>
        <v>40684</v>
      </c>
      <c r="C5066" s="13">
        <v>2011.0</v>
      </c>
      <c r="D5066" s="11" t="s">
        <v>39</v>
      </c>
      <c r="E5066" s="11">
        <v>21.0</v>
      </c>
      <c r="F5066" s="21" t="s">
        <v>231</v>
      </c>
      <c r="G5066" s="15">
        <v>0.012741109727411212</v>
      </c>
      <c r="H5066" s="11" t="s">
        <v>33</v>
      </c>
      <c r="I5066" s="16">
        <v>1.592</v>
      </c>
      <c r="J5066" s="11" t="s">
        <v>2391</v>
      </c>
      <c r="K5066" s="11" t="s">
        <v>47</v>
      </c>
      <c r="L5066" s="11" t="s">
        <v>48</v>
      </c>
      <c r="M5066" s="11" t="s">
        <v>66</v>
      </c>
      <c r="N5066" s="11" t="s">
        <v>67</v>
      </c>
      <c r="O5066" s="11" t="s">
        <v>233</v>
      </c>
      <c r="P5066" s="11" t="s">
        <v>99</v>
      </c>
      <c r="Q5066" s="20">
        <v>40685.0</v>
      </c>
      <c r="R5066" s="17">
        <f t="shared" si="2"/>
        <v>9.090679862</v>
      </c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>
        <f t="shared" si="8"/>
        <v>4</v>
      </c>
      <c r="AF5066" s="19">
        <f t="shared" si="13"/>
        <v>3</v>
      </c>
      <c r="AG5066" s="9"/>
      <c r="AH5066" s="9"/>
      <c r="AI5066" s="9"/>
    </row>
    <row r="5067" ht="15.0" customHeight="1">
      <c r="A5067" s="11">
        <v>5066.0</v>
      </c>
      <c r="B5067" s="12">
        <f t="shared" si="805"/>
        <v>40684</v>
      </c>
      <c r="C5067" s="13">
        <v>2011.0</v>
      </c>
      <c r="D5067" s="11" t="s">
        <v>44</v>
      </c>
      <c r="E5067" s="11">
        <v>7.0</v>
      </c>
      <c r="F5067" s="21" t="s">
        <v>914</v>
      </c>
      <c r="G5067" s="15">
        <v>0.015094760312151765</v>
      </c>
      <c r="H5067" s="11" t="s">
        <v>33</v>
      </c>
      <c r="I5067" s="16">
        <v>2.3920000000000003</v>
      </c>
      <c r="J5067" s="11" t="s">
        <v>317</v>
      </c>
      <c r="K5067" s="11" t="s">
        <v>65</v>
      </c>
      <c r="L5067" s="11" t="s">
        <v>27</v>
      </c>
      <c r="M5067" s="11" t="s">
        <v>28</v>
      </c>
      <c r="N5067" s="11" t="s">
        <v>42</v>
      </c>
      <c r="O5067" s="11" t="s">
        <v>1626</v>
      </c>
      <c r="P5067" s="11" t="s">
        <v>38</v>
      </c>
      <c r="Q5067" s="20">
        <v>40685.0</v>
      </c>
      <c r="R5067" s="17">
        <f t="shared" si="2"/>
        <v>2.667123389</v>
      </c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>
        <f t="shared" si="8"/>
        <v>1</v>
      </c>
      <c r="AF5067" s="19">
        <f t="shared" si="13"/>
        <v>5</v>
      </c>
      <c r="AG5067" s="9"/>
      <c r="AH5067" s="9"/>
      <c r="AI5067" s="9"/>
    </row>
    <row r="5068" ht="15.0" customHeight="1">
      <c r="A5068" s="11">
        <v>5067.0</v>
      </c>
      <c r="B5068" s="12">
        <f t="shared" si="805"/>
        <v>40684</v>
      </c>
      <c r="C5068" s="13">
        <v>2011.0</v>
      </c>
      <c r="D5068" s="11" t="s">
        <v>44</v>
      </c>
      <c r="E5068" s="11">
        <v>40.0</v>
      </c>
      <c r="F5068" s="21" t="s">
        <v>440</v>
      </c>
      <c r="G5068" s="15">
        <v>0.06875425459496252</v>
      </c>
      <c r="H5068" s="11" t="s">
        <v>33</v>
      </c>
      <c r="I5068" s="16">
        <v>1.6</v>
      </c>
      <c r="J5068" s="11" t="s">
        <v>317</v>
      </c>
      <c r="K5068" s="11" t="s">
        <v>65</v>
      </c>
      <c r="L5068" s="11" t="s">
        <v>27</v>
      </c>
      <c r="M5068" s="11" t="s">
        <v>28</v>
      </c>
      <c r="N5068" s="11" t="s">
        <v>56</v>
      </c>
      <c r="O5068" s="11" t="s">
        <v>489</v>
      </c>
      <c r="P5068" s="11" t="s">
        <v>58</v>
      </c>
      <c r="Q5068" s="20">
        <v>40685.0</v>
      </c>
      <c r="R5068" s="17">
        <f t="shared" si="2"/>
        <v>18.81116406</v>
      </c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>
        <f t="shared" si="8"/>
        <v>1</v>
      </c>
      <c r="AF5068" s="19">
        <f t="shared" si="13"/>
        <v>5</v>
      </c>
      <c r="AG5068" s="9"/>
      <c r="AH5068" s="9"/>
      <c r="AI5068" s="9"/>
    </row>
    <row r="5069" ht="15.0" customHeight="1">
      <c r="A5069" s="11">
        <v>5068.0</v>
      </c>
      <c r="B5069" s="12">
        <f t="shared" si="805"/>
        <v>40684</v>
      </c>
      <c r="C5069" s="13">
        <v>2011.0</v>
      </c>
      <c r="D5069" s="11" t="s">
        <v>32</v>
      </c>
      <c r="E5069" s="11">
        <v>18.0</v>
      </c>
      <c r="F5069" s="21" t="s">
        <v>889</v>
      </c>
      <c r="G5069" s="15">
        <v>0.04617338217338207</v>
      </c>
      <c r="H5069" s="11" t="s">
        <v>33</v>
      </c>
      <c r="I5069" s="16">
        <v>7.192</v>
      </c>
      <c r="J5069" s="11" t="s">
        <v>2373</v>
      </c>
      <c r="K5069" s="11" t="s">
        <v>83</v>
      </c>
      <c r="L5069" s="11" t="s">
        <v>48</v>
      </c>
      <c r="M5069" s="11" t="s">
        <v>28</v>
      </c>
      <c r="N5069" s="11" t="s">
        <v>62</v>
      </c>
      <c r="O5069" s="11" t="s">
        <v>890</v>
      </c>
      <c r="P5069" s="11" t="s">
        <v>99</v>
      </c>
      <c r="Q5069" s="20">
        <v>40685.0</v>
      </c>
      <c r="R5069" s="17">
        <f t="shared" si="2"/>
        <v>18.03495369</v>
      </c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>
        <f t="shared" si="8"/>
        <v>4</v>
      </c>
      <c r="AF5069" s="19" t="b">
        <f t="shared" si="13"/>
        <v>0</v>
      </c>
      <c r="AG5069" s="9"/>
      <c r="AH5069" s="9"/>
      <c r="AI5069" s="9"/>
    </row>
    <row r="5070" ht="15.0" customHeight="1">
      <c r="A5070" s="11">
        <v>5069.0</v>
      </c>
      <c r="B5070" s="12">
        <f t="shared" si="805"/>
        <v>40684</v>
      </c>
      <c r="C5070" s="13">
        <v>2011.0</v>
      </c>
      <c r="D5070" s="11" t="s">
        <v>32</v>
      </c>
      <c r="E5070" s="11">
        <v>43.0</v>
      </c>
      <c r="F5070" s="21" t="s">
        <v>654</v>
      </c>
      <c r="G5070" s="15">
        <v>0.048715616639364544</v>
      </c>
      <c r="H5070" s="11" t="s">
        <v>45</v>
      </c>
      <c r="I5070" s="16">
        <v>67.872</v>
      </c>
      <c r="J5070" s="11" t="s">
        <v>2373</v>
      </c>
      <c r="K5070" s="11" t="s">
        <v>83</v>
      </c>
      <c r="L5070" s="11" t="s">
        <v>48</v>
      </c>
      <c r="M5070" s="11" t="s">
        <v>49</v>
      </c>
      <c r="N5070" s="11" t="s">
        <v>85</v>
      </c>
      <c r="O5070" s="11" t="s">
        <v>655</v>
      </c>
      <c r="P5070" s="11" t="s">
        <v>87</v>
      </c>
      <c r="Q5070" s="20">
        <v>40685.0</v>
      </c>
      <c r="R5070" s="17">
        <f t="shared" si="2"/>
        <v>732.705868</v>
      </c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>
        <f t="shared" si="8"/>
        <v>4</v>
      </c>
      <c r="AF5070" s="19" t="b">
        <f t="shared" si="13"/>
        <v>0</v>
      </c>
      <c r="AG5070" s="9"/>
      <c r="AH5070" s="9"/>
      <c r="AI5070" s="9"/>
    </row>
    <row r="5071" ht="15.0" customHeight="1">
      <c r="A5071" s="11">
        <v>5070.0</v>
      </c>
      <c r="B5071" s="12">
        <f t="shared" si="805"/>
        <v>40684</v>
      </c>
      <c r="C5071" s="13">
        <v>2011.0</v>
      </c>
      <c r="D5071" s="11" t="s">
        <v>23</v>
      </c>
      <c r="E5071" s="11">
        <v>16.0</v>
      </c>
      <c r="F5071" s="21" t="s">
        <v>810</v>
      </c>
      <c r="G5071" s="15">
        <v>0.013987730061349747</v>
      </c>
      <c r="H5071" s="11" t="s">
        <v>33</v>
      </c>
      <c r="I5071" s="16">
        <v>2.3920000000000003</v>
      </c>
      <c r="J5071" s="11" t="s">
        <v>1319</v>
      </c>
      <c r="K5071" s="11" t="s">
        <v>65</v>
      </c>
      <c r="L5071" s="11" t="s">
        <v>48</v>
      </c>
      <c r="M5071" s="11" t="s">
        <v>28</v>
      </c>
      <c r="N5071" s="11" t="s">
        <v>42</v>
      </c>
      <c r="O5071" s="11" t="s">
        <v>811</v>
      </c>
      <c r="P5071" s="11" t="s">
        <v>38</v>
      </c>
      <c r="Q5071" s="20">
        <v>40686.0</v>
      </c>
      <c r="R5071" s="17">
        <f t="shared" si="2"/>
        <v>2.472918773</v>
      </c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>
        <f t="shared" si="8"/>
        <v>4</v>
      </c>
      <c r="AF5071" s="19">
        <f t="shared" si="13"/>
        <v>5</v>
      </c>
      <c r="AG5071" s="9"/>
      <c r="AH5071" s="9"/>
      <c r="AI5071" s="9"/>
    </row>
    <row r="5072" ht="15.0" customHeight="1">
      <c r="A5072" s="11">
        <v>5071.0</v>
      </c>
      <c r="B5072" s="12">
        <f t="shared" si="805"/>
        <v>40684</v>
      </c>
      <c r="C5072" s="13">
        <v>2011.0</v>
      </c>
      <c r="D5072" s="11" t="s">
        <v>23</v>
      </c>
      <c r="E5072" s="11">
        <v>47.0</v>
      </c>
      <c r="F5072" s="21" t="s">
        <v>186</v>
      </c>
      <c r="G5072" s="15">
        <v>0.03711586275484833</v>
      </c>
      <c r="H5072" s="11" t="s">
        <v>33</v>
      </c>
      <c r="I5072" s="16">
        <v>0.9359999999999999</v>
      </c>
      <c r="J5072" s="11" t="s">
        <v>1319</v>
      </c>
      <c r="K5072" s="11" t="s">
        <v>65</v>
      </c>
      <c r="L5072" s="11" t="s">
        <v>48</v>
      </c>
      <c r="M5072" s="11" t="s">
        <v>28</v>
      </c>
      <c r="N5072" s="11" t="s">
        <v>62</v>
      </c>
      <c r="O5072" s="11" t="s">
        <v>1358</v>
      </c>
      <c r="P5072" s="11" t="s">
        <v>58</v>
      </c>
      <c r="Q5072" s="20">
        <v>40686.0</v>
      </c>
      <c r="R5072" s="17">
        <f t="shared" si="2"/>
        <v>7.1869672</v>
      </c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>
        <f t="shared" si="8"/>
        <v>4</v>
      </c>
      <c r="AF5072" s="19">
        <f t="shared" si="13"/>
        <v>5</v>
      </c>
      <c r="AG5072" s="9"/>
      <c r="AH5072" s="9"/>
      <c r="AI5072" s="9"/>
    </row>
    <row r="5073" ht="15.0" customHeight="1">
      <c r="A5073" s="11">
        <v>5072.0</v>
      </c>
      <c r="B5073" s="12">
        <f t="shared" si="805"/>
        <v>40684</v>
      </c>
      <c r="C5073" s="13">
        <v>2011.0</v>
      </c>
      <c r="D5073" s="11" t="s">
        <v>44</v>
      </c>
      <c r="E5073" s="11">
        <v>49.0</v>
      </c>
      <c r="F5073" s="21" t="s">
        <v>319</v>
      </c>
      <c r="G5073" s="15">
        <v>0.03838327526132411</v>
      </c>
      <c r="H5073" s="11" t="s">
        <v>33</v>
      </c>
      <c r="I5073" s="16">
        <v>0.792</v>
      </c>
      <c r="J5073" s="11" t="s">
        <v>285</v>
      </c>
      <c r="K5073" s="11" t="s">
        <v>26</v>
      </c>
      <c r="L5073" s="11" t="s">
        <v>27</v>
      </c>
      <c r="M5073" s="11" t="s">
        <v>28</v>
      </c>
      <c r="N5073" s="11" t="s">
        <v>188</v>
      </c>
      <c r="O5073" s="11" t="s">
        <v>2320</v>
      </c>
      <c r="P5073" s="11" t="s">
        <v>38</v>
      </c>
      <c r="Q5073" s="20">
        <v>40686.0</v>
      </c>
      <c r="R5073" s="17">
        <f t="shared" si="2"/>
        <v>5.29658492</v>
      </c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>
        <f t="shared" si="8"/>
        <v>1</v>
      </c>
      <c r="AF5073" s="19">
        <f t="shared" si="13"/>
        <v>1</v>
      </c>
      <c r="AG5073" s="9"/>
      <c r="AH5073" s="9"/>
      <c r="AI5073" s="9"/>
    </row>
    <row r="5074" ht="15.0" customHeight="1">
      <c r="A5074" s="11">
        <v>5073.0</v>
      </c>
      <c r="B5074" s="12">
        <f t="shared" ref="B5074:B5081" si="806">DATE(2012,12,31)-589</f>
        <v>40685</v>
      </c>
      <c r="C5074" s="13">
        <v>2011.0</v>
      </c>
      <c r="D5074" s="11" t="s">
        <v>102</v>
      </c>
      <c r="E5074" s="11">
        <v>39.0</v>
      </c>
      <c r="F5074" s="21" t="s">
        <v>814</v>
      </c>
      <c r="G5074" s="15">
        <v>0.02160054329966908</v>
      </c>
      <c r="H5074" s="11" t="s">
        <v>45</v>
      </c>
      <c r="I5074" s="16">
        <v>24.0</v>
      </c>
      <c r="J5074" s="11" t="s">
        <v>898</v>
      </c>
      <c r="K5074" s="11" t="s">
        <v>35</v>
      </c>
      <c r="L5074" s="11" t="s">
        <v>48</v>
      </c>
      <c r="M5074" s="11" t="s">
        <v>49</v>
      </c>
      <c r="N5074" s="11" t="s">
        <v>50</v>
      </c>
      <c r="O5074" s="11" t="s">
        <v>816</v>
      </c>
      <c r="P5074" s="11" t="s">
        <v>52</v>
      </c>
      <c r="Q5074" s="20">
        <v>40686.0</v>
      </c>
      <c r="R5074" s="17">
        <f t="shared" si="2"/>
        <v>96.47018643</v>
      </c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>
        <f t="shared" si="8"/>
        <v>4</v>
      </c>
      <c r="AF5074" s="19">
        <f t="shared" si="13"/>
        <v>2</v>
      </c>
      <c r="AG5074" s="9"/>
      <c r="AH5074" s="9"/>
      <c r="AI5074" s="9"/>
    </row>
    <row r="5075" ht="15.0" customHeight="1">
      <c r="A5075" s="11">
        <v>5074.0</v>
      </c>
      <c r="B5075" s="12">
        <f t="shared" si="806"/>
        <v>40685</v>
      </c>
      <c r="C5075" s="13">
        <v>2011.0</v>
      </c>
      <c r="D5075" s="11" t="s">
        <v>102</v>
      </c>
      <c r="E5075" s="11">
        <v>45.0</v>
      </c>
      <c r="F5075" s="21" t="s">
        <v>178</v>
      </c>
      <c r="G5075" s="15">
        <v>0.04031122877251878</v>
      </c>
      <c r="H5075" s="11" t="s">
        <v>33</v>
      </c>
      <c r="I5075" s="16">
        <v>7.040000000000001</v>
      </c>
      <c r="J5075" s="11" t="s">
        <v>898</v>
      </c>
      <c r="K5075" s="11" t="s">
        <v>35</v>
      </c>
      <c r="L5075" s="11" t="s">
        <v>48</v>
      </c>
      <c r="M5075" s="11" t="s">
        <v>66</v>
      </c>
      <c r="N5075" s="11" t="s">
        <v>80</v>
      </c>
      <c r="O5075" s="11" t="s">
        <v>812</v>
      </c>
      <c r="P5075" s="11" t="s">
        <v>38</v>
      </c>
      <c r="Q5075" s="20">
        <v>40686.0</v>
      </c>
      <c r="R5075" s="17">
        <f t="shared" si="2"/>
        <v>119.82674</v>
      </c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>
        <f t="shared" si="8"/>
        <v>4</v>
      </c>
      <c r="AF5075" s="19">
        <f t="shared" si="13"/>
        <v>2</v>
      </c>
      <c r="AG5075" s="9"/>
      <c r="AH5075" s="9"/>
      <c r="AI5075" s="9"/>
    </row>
    <row r="5076" ht="15.0" customHeight="1">
      <c r="A5076" s="11">
        <v>5075.0</v>
      </c>
      <c r="B5076" s="12">
        <f t="shared" si="806"/>
        <v>40685</v>
      </c>
      <c r="C5076" s="13">
        <v>2011.0</v>
      </c>
      <c r="D5076" s="11" t="s">
        <v>32</v>
      </c>
      <c r="E5076" s="11">
        <v>22.0</v>
      </c>
      <c r="F5076" s="21" t="s">
        <v>1076</v>
      </c>
      <c r="G5076" s="15">
        <v>0.07985483870967754</v>
      </c>
      <c r="H5076" s="11" t="s">
        <v>33</v>
      </c>
      <c r="I5076" s="16">
        <v>15.184000000000001</v>
      </c>
      <c r="J5076" s="11" t="s">
        <v>88</v>
      </c>
      <c r="K5076" s="11" t="s">
        <v>35</v>
      </c>
      <c r="L5076" s="11" t="s">
        <v>48</v>
      </c>
      <c r="M5076" s="11" t="s">
        <v>49</v>
      </c>
      <c r="N5076" s="11" t="s">
        <v>73</v>
      </c>
      <c r="O5076" s="11" t="s">
        <v>1077</v>
      </c>
      <c r="P5076" s="11" t="s">
        <v>38</v>
      </c>
      <c r="Q5076" s="20">
        <v>40687.0</v>
      </c>
      <c r="R5076" s="17">
        <f t="shared" si="2"/>
        <v>72.8902191</v>
      </c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>
        <f t="shared" si="8"/>
        <v>4</v>
      </c>
      <c r="AF5076" s="19">
        <f t="shared" si="13"/>
        <v>2</v>
      </c>
      <c r="AG5076" s="9"/>
      <c r="AH5076" s="9"/>
      <c r="AI5076" s="9"/>
    </row>
    <row r="5077" ht="15.0" customHeight="1">
      <c r="A5077" s="11">
        <v>5076.0</v>
      </c>
      <c r="B5077" s="12">
        <f t="shared" si="806"/>
        <v>40685</v>
      </c>
      <c r="C5077" s="13">
        <v>2011.0</v>
      </c>
      <c r="D5077" s="11" t="s">
        <v>32</v>
      </c>
      <c r="E5077" s="11">
        <v>46.0</v>
      </c>
      <c r="F5077" s="21" t="s">
        <v>641</v>
      </c>
      <c r="G5077" s="15">
        <v>0.07193916349809894</v>
      </c>
      <c r="H5077" s="11" t="s">
        <v>33</v>
      </c>
      <c r="I5077" s="16">
        <v>5.816</v>
      </c>
      <c r="J5077" s="11" t="s">
        <v>1524</v>
      </c>
      <c r="K5077" s="11" t="s">
        <v>26</v>
      </c>
      <c r="L5077" s="11" t="s">
        <v>48</v>
      </c>
      <c r="M5077" s="11" t="s">
        <v>28</v>
      </c>
      <c r="N5077" s="11" t="s">
        <v>42</v>
      </c>
      <c r="O5077" s="11" t="s">
        <v>642</v>
      </c>
      <c r="P5077" s="11" t="s">
        <v>38</v>
      </c>
      <c r="Q5077" s="20">
        <v>40687.0</v>
      </c>
      <c r="R5077" s="17">
        <f t="shared" si="2"/>
        <v>47.40905977</v>
      </c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>
        <f t="shared" si="8"/>
        <v>4</v>
      </c>
      <c r="AF5077" s="19">
        <f t="shared" si="13"/>
        <v>1</v>
      </c>
      <c r="AG5077" s="9"/>
      <c r="AH5077" s="9"/>
      <c r="AI5077" s="9"/>
    </row>
    <row r="5078" ht="15.0" customHeight="1">
      <c r="A5078" s="11">
        <v>5077.0</v>
      </c>
      <c r="B5078" s="12">
        <f t="shared" si="806"/>
        <v>40685</v>
      </c>
      <c r="C5078" s="13">
        <v>2011.0</v>
      </c>
      <c r="D5078" s="11" t="s">
        <v>32</v>
      </c>
      <c r="E5078" s="11">
        <v>46.0</v>
      </c>
      <c r="F5078" s="21" t="s">
        <v>297</v>
      </c>
      <c r="G5078" s="15">
        <v>0.10173072970195264</v>
      </c>
      <c r="H5078" s="11" t="s">
        <v>33</v>
      </c>
      <c r="I5078" s="16">
        <v>4.608</v>
      </c>
      <c r="J5078" s="11" t="s">
        <v>1524</v>
      </c>
      <c r="K5078" s="11" t="s">
        <v>26</v>
      </c>
      <c r="L5078" s="11" t="s">
        <v>48</v>
      </c>
      <c r="M5078" s="11" t="s">
        <v>66</v>
      </c>
      <c r="N5078" s="11" t="s">
        <v>69</v>
      </c>
      <c r="O5078" s="11" t="s">
        <v>2003</v>
      </c>
      <c r="P5078" s="11" t="s">
        <v>75</v>
      </c>
      <c r="Q5078" s="20">
        <v>40687.0</v>
      </c>
      <c r="R5078" s="17">
        <f t="shared" si="2"/>
        <v>44.45714273</v>
      </c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>
        <f t="shared" si="8"/>
        <v>4</v>
      </c>
      <c r="AF5078" s="19">
        <f t="shared" si="13"/>
        <v>1</v>
      </c>
      <c r="AG5078" s="9"/>
      <c r="AH5078" s="9"/>
      <c r="AI5078" s="9"/>
    </row>
    <row r="5079" ht="15.0" customHeight="1">
      <c r="A5079" s="11">
        <v>5078.0</v>
      </c>
      <c r="B5079" s="12">
        <f t="shared" si="806"/>
        <v>40685</v>
      </c>
      <c r="C5079" s="13">
        <v>2011.0</v>
      </c>
      <c r="D5079" s="11" t="s">
        <v>32</v>
      </c>
      <c r="E5079" s="11">
        <v>38.0</v>
      </c>
      <c r="F5079" s="21" t="s">
        <v>245</v>
      </c>
      <c r="G5079" s="15">
        <v>0.02262251655629137</v>
      </c>
      <c r="H5079" s="11" t="s">
        <v>24</v>
      </c>
      <c r="I5079" s="16">
        <v>5.752000000000001</v>
      </c>
      <c r="J5079" s="11" t="s">
        <v>1524</v>
      </c>
      <c r="K5079" s="11" t="s">
        <v>26</v>
      </c>
      <c r="L5079" s="11" t="s">
        <v>48</v>
      </c>
      <c r="M5079" s="11" t="s">
        <v>28</v>
      </c>
      <c r="N5079" s="11" t="s">
        <v>42</v>
      </c>
      <c r="O5079" s="11" t="s">
        <v>1030</v>
      </c>
      <c r="P5079" s="11" t="s">
        <v>38</v>
      </c>
      <c r="Q5079" s="20">
        <v>40687.0</v>
      </c>
      <c r="R5079" s="17">
        <f t="shared" si="2"/>
        <v>10.01616445</v>
      </c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>
        <f t="shared" si="8"/>
        <v>4</v>
      </c>
      <c r="AF5079" s="19">
        <f t="shared" si="13"/>
        <v>1</v>
      </c>
      <c r="AG5079" s="9"/>
      <c r="AH5079" s="9"/>
      <c r="AI5079" s="9"/>
    </row>
    <row r="5080" ht="15.0" customHeight="1">
      <c r="A5080" s="11">
        <v>5079.0</v>
      </c>
      <c r="B5080" s="12">
        <f t="shared" si="806"/>
        <v>40685</v>
      </c>
      <c r="C5080" s="13">
        <v>2011.0</v>
      </c>
      <c r="D5080" s="11" t="s">
        <v>44</v>
      </c>
      <c r="E5080" s="11">
        <v>22.0</v>
      </c>
      <c r="F5080" s="21" t="s">
        <v>743</v>
      </c>
      <c r="G5080" s="15">
        <v>0.02352209944751385</v>
      </c>
      <c r="H5080" s="11" t="s">
        <v>45</v>
      </c>
      <c r="I5080" s="16">
        <v>11.352</v>
      </c>
      <c r="J5080" s="11" t="s">
        <v>227</v>
      </c>
      <c r="K5080" s="11" t="s">
        <v>35</v>
      </c>
      <c r="L5080" s="11" t="s">
        <v>27</v>
      </c>
      <c r="M5080" s="11" t="s">
        <v>49</v>
      </c>
      <c r="N5080" s="11" t="s">
        <v>50</v>
      </c>
      <c r="O5080" s="11" t="s">
        <v>2249</v>
      </c>
      <c r="P5080" s="11" t="s">
        <v>52</v>
      </c>
      <c r="Q5080" s="20">
        <v>40687.0</v>
      </c>
      <c r="R5080" s="17">
        <f t="shared" si="2"/>
        <v>26.60706983</v>
      </c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>
        <f t="shared" si="8"/>
        <v>1</v>
      </c>
      <c r="AF5080" s="19">
        <f t="shared" si="13"/>
        <v>2</v>
      </c>
      <c r="AG5080" s="9"/>
      <c r="AH5080" s="9"/>
      <c r="AI5080" s="9"/>
    </row>
    <row r="5081" ht="15.0" customHeight="1">
      <c r="A5081" s="11">
        <v>5080.0</v>
      </c>
      <c r="B5081" s="12">
        <f t="shared" si="806"/>
        <v>40685</v>
      </c>
      <c r="C5081" s="13">
        <v>2011.0</v>
      </c>
      <c r="D5081" s="11" t="s">
        <v>102</v>
      </c>
      <c r="E5081" s="11">
        <v>49.0</v>
      </c>
      <c r="F5081" s="21" t="s">
        <v>2089</v>
      </c>
      <c r="G5081" s="15">
        <v>0.0745206661371169</v>
      </c>
      <c r="H5081" s="11" t="s">
        <v>45</v>
      </c>
      <c r="I5081" s="16">
        <v>36.56</v>
      </c>
      <c r="J5081" s="11" t="s">
        <v>744</v>
      </c>
      <c r="K5081" s="11" t="s">
        <v>61</v>
      </c>
      <c r="L5081" s="11" t="s">
        <v>48</v>
      </c>
      <c r="M5081" s="11" t="s">
        <v>49</v>
      </c>
      <c r="N5081" s="11" t="s">
        <v>85</v>
      </c>
      <c r="O5081" s="11" t="s">
        <v>2090</v>
      </c>
      <c r="P5081" s="11" t="s">
        <v>87</v>
      </c>
      <c r="Q5081" s="20">
        <v>40687.0</v>
      </c>
      <c r="R5081" s="17">
        <f t="shared" si="2"/>
        <v>2014.342789</v>
      </c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>
        <f t="shared" si="8"/>
        <v>4</v>
      </c>
      <c r="AF5081" s="19">
        <f t="shared" si="13"/>
        <v>4</v>
      </c>
      <c r="AG5081" s="9"/>
      <c r="AH5081" s="9"/>
      <c r="AI5081" s="9"/>
    </row>
    <row r="5082" ht="15.0" customHeight="1">
      <c r="A5082" s="11">
        <v>5081.0</v>
      </c>
      <c r="B5082" s="12">
        <f t="shared" ref="B5082:B5086" si="807">DATE(2012,12,31)-588</f>
        <v>40686</v>
      </c>
      <c r="C5082" s="13">
        <v>2011.0</v>
      </c>
      <c r="D5082" s="11" t="s">
        <v>102</v>
      </c>
      <c r="E5082" s="11">
        <v>42.0</v>
      </c>
      <c r="F5082" s="21" t="s">
        <v>204</v>
      </c>
      <c r="G5082" s="15">
        <v>0.09413438735177866</v>
      </c>
      <c r="H5082" s="11" t="s">
        <v>33</v>
      </c>
      <c r="I5082" s="16">
        <v>1.192</v>
      </c>
      <c r="J5082" s="11" t="s">
        <v>819</v>
      </c>
      <c r="K5082" s="11" t="s">
        <v>61</v>
      </c>
      <c r="L5082" s="11" t="s">
        <v>41</v>
      </c>
      <c r="M5082" s="11" t="s">
        <v>28</v>
      </c>
      <c r="N5082" s="11" t="s">
        <v>42</v>
      </c>
      <c r="O5082" s="11" t="s">
        <v>2463</v>
      </c>
      <c r="P5082" s="11" t="s">
        <v>38</v>
      </c>
      <c r="Q5082" s="20">
        <v>40688.0</v>
      </c>
      <c r="R5082" s="17">
        <f t="shared" si="2"/>
        <v>10.78704772</v>
      </c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>
        <f t="shared" si="8"/>
        <v>3</v>
      </c>
      <c r="AF5082" s="19">
        <f t="shared" si="13"/>
        <v>4</v>
      </c>
      <c r="AG5082" s="9"/>
      <c r="AH5082" s="9"/>
      <c r="AI5082" s="9"/>
    </row>
    <row r="5083" ht="15.0" customHeight="1">
      <c r="A5083" s="11">
        <v>5082.0</v>
      </c>
      <c r="B5083" s="12">
        <f t="shared" si="807"/>
        <v>40686</v>
      </c>
      <c r="C5083" s="13">
        <v>2011.0</v>
      </c>
      <c r="D5083" s="11" t="s">
        <v>39</v>
      </c>
      <c r="E5083" s="11">
        <v>40.0</v>
      </c>
      <c r="F5083" s="21" t="s">
        <v>440</v>
      </c>
      <c r="G5083" s="15">
        <v>0.011365732529265524</v>
      </c>
      <c r="H5083" s="11" t="s">
        <v>33</v>
      </c>
      <c r="I5083" s="16">
        <v>6.696</v>
      </c>
      <c r="J5083" s="11" t="s">
        <v>1817</v>
      </c>
      <c r="K5083" s="11" t="s">
        <v>65</v>
      </c>
      <c r="L5083" s="11" t="s">
        <v>48</v>
      </c>
      <c r="M5083" s="11" t="s">
        <v>28</v>
      </c>
      <c r="N5083" s="11" t="s">
        <v>442</v>
      </c>
      <c r="O5083" s="11" t="s">
        <v>443</v>
      </c>
      <c r="P5083" s="11" t="s">
        <v>99</v>
      </c>
      <c r="Q5083" s="20">
        <v>40688.0</v>
      </c>
      <c r="R5083" s="17">
        <f t="shared" si="2"/>
        <v>3.167584193</v>
      </c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>
        <f t="shared" si="8"/>
        <v>4</v>
      </c>
      <c r="AF5083" s="19">
        <f t="shared" si="13"/>
        <v>5</v>
      </c>
      <c r="AG5083" s="9"/>
      <c r="AH5083" s="9"/>
      <c r="AI5083" s="9"/>
    </row>
    <row r="5084" ht="15.0" customHeight="1">
      <c r="A5084" s="11">
        <v>5083.0</v>
      </c>
      <c r="B5084" s="12">
        <f t="shared" si="807"/>
        <v>40686</v>
      </c>
      <c r="C5084" s="13">
        <v>2011.0</v>
      </c>
      <c r="D5084" s="11" t="s">
        <v>23</v>
      </c>
      <c r="E5084" s="11">
        <v>16.0</v>
      </c>
      <c r="F5084" s="21" t="s">
        <v>299</v>
      </c>
      <c r="G5084" s="15">
        <v>0.03127596439169145</v>
      </c>
      <c r="H5084" s="11" t="s">
        <v>33</v>
      </c>
      <c r="I5084" s="16">
        <v>7.384</v>
      </c>
      <c r="J5084" s="11" t="s">
        <v>1409</v>
      </c>
      <c r="K5084" s="11" t="s">
        <v>26</v>
      </c>
      <c r="L5084" s="11" t="s">
        <v>27</v>
      </c>
      <c r="M5084" s="11" t="s">
        <v>28</v>
      </c>
      <c r="N5084" s="11" t="s">
        <v>197</v>
      </c>
      <c r="O5084" s="11" t="s">
        <v>301</v>
      </c>
      <c r="P5084" s="11" t="s">
        <v>38</v>
      </c>
      <c r="Q5084" s="20">
        <v>40688.0</v>
      </c>
      <c r="R5084" s="17">
        <f t="shared" si="2"/>
        <v>4.084140534</v>
      </c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>
        <f t="shared" si="8"/>
        <v>1</v>
      </c>
      <c r="AF5084" s="19">
        <f t="shared" si="13"/>
        <v>1</v>
      </c>
      <c r="AG5084" s="9"/>
      <c r="AH5084" s="9"/>
      <c r="AI5084" s="9"/>
    </row>
    <row r="5085" ht="15.0" customHeight="1">
      <c r="A5085" s="11">
        <v>5084.0</v>
      </c>
      <c r="B5085" s="12">
        <f t="shared" si="807"/>
        <v>40686</v>
      </c>
      <c r="C5085" s="13">
        <v>2011.0</v>
      </c>
      <c r="D5085" s="11" t="s">
        <v>23</v>
      </c>
      <c r="E5085" s="11">
        <v>39.0</v>
      </c>
      <c r="F5085" s="21" t="s">
        <v>569</v>
      </c>
      <c r="G5085" s="15">
        <v>0.08320141944301236</v>
      </c>
      <c r="H5085" s="11" t="s">
        <v>33</v>
      </c>
      <c r="I5085" s="16">
        <v>7.192</v>
      </c>
      <c r="J5085" s="11" t="s">
        <v>1409</v>
      </c>
      <c r="K5085" s="11" t="s">
        <v>26</v>
      </c>
      <c r="L5085" s="11" t="s">
        <v>27</v>
      </c>
      <c r="M5085" s="11" t="s">
        <v>66</v>
      </c>
      <c r="N5085" s="11" t="s">
        <v>80</v>
      </c>
      <c r="O5085" s="11" t="s">
        <v>1645</v>
      </c>
      <c r="P5085" s="11" t="s">
        <v>38</v>
      </c>
      <c r="Q5085" s="20">
        <v>40688.0</v>
      </c>
      <c r="R5085" s="17">
        <f t="shared" si="2"/>
        <v>636.2655493</v>
      </c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>
        <f t="shared" si="8"/>
        <v>1</v>
      </c>
      <c r="AF5085" s="19">
        <f t="shared" si="13"/>
        <v>1</v>
      </c>
      <c r="AG5085" s="9"/>
      <c r="AH5085" s="9"/>
      <c r="AI5085" s="9"/>
    </row>
    <row r="5086" ht="15.0" customHeight="1">
      <c r="A5086" s="11">
        <v>5085.0</v>
      </c>
      <c r="B5086" s="12">
        <f t="shared" si="807"/>
        <v>40686</v>
      </c>
      <c r="C5086" s="13">
        <v>2011.0</v>
      </c>
      <c r="D5086" s="11" t="s">
        <v>102</v>
      </c>
      <c r="E5086" s="11">
        <v>28.0</v>
      </c>
      <c r="F5086" s="21" t="s">
        <v>1242</v>
      </c>
      <c r="G5086" s="15">
        <v>0.05870390455531462</v>
      </c>
      <c r="H5086" s="11" t="s">
        <v>33</v>
      </c>
      <c r="I5086" s="16">
        <v>8.200000000000001</v>
      </c>
      <c r="J5086" s="11" t="s">
        <v>1165</v>
      </c>
      <c r="K5086" s="11" t="s">
        <v>35</v>
      </c>
      <c r="L5086" s="11" t="s">
        <v>48</v>
      </c>
      <c r="M5086" s="11" t="s">
        <v>49</v>
      </c>
      <c r="N5086" s="11" t="s">
        <v>73</v>
      </c>
      <c r="O5086" s="11" t="s">
        <v>1243</v>
      </c>
      <c r="P5086" s="11" t="s">
        <v>31</v>
      </c>
      <c r="Q5086" s="20">
        <v>40688.0</v>
      </c>
      <c r="R5086" s="17">
        <f t="shared" si="2"/>
        <v>81.51624187</v>
      </c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>
        <f t="shared" si="8"/>
        <v>4</v>
      </c>
      <c r="AF5086" s="19">
        <f t="shared" si="13"/>
        <v>2</v>
      </c>
      <c r="AG5086" s="9"/>
      <c r="AH5086" s="9"/>
      <c r="AI5086" s="9"/>
    </row>
    <row r="5087" ht="15.0" customHeight="1">
      <c r="A5087" s="11">
        <v>5086.0</v>
      </c>
      <c r="B5087" s="12">
        <f t="shared" ref="B5087:B5091" si="808">DATE(2012,12,31)-587</f>
        <v>40687</v>
      </c>
      <c r="C5087" s="13">
        <v>2011.0</v>
      </c>
      <c r="D5087" s="11" t="s">
        <v>39</v>
      </c>
      <c r="E5087" s="11">
        <v>24.0</v>
      </c>
      <c r="F5087" s="21" t="s">
        <v>1074</v>
      </c>
      <c r="G5087" s="15">
        <v>0.07040673211781201</v>
      </c>
      <c r="H5087" s="11" t="s">
        <v>33</v>
      </c>
      <c r="I5087" s="16">
        <v>0.5599999999999999</v>
      </c>
      <c r="J5087" s="11" t="s">
        <v>1326</v>
      </c>
      <c r="K5087" s="11" t="s">
        <v>26</v>
      </c>
      <c r="L5087" s="11" t="s">
        <v>27</v>
      </c>
      <c r="M5087" s="11" t="s">
        <v>28</v>
      </c>
      <c r="N5087" s="11" t="s">
        <v>62</v>
      </c>
      <c r="O5087" s="11" t="s">
        <v>2445</v>
      </c>
      <c r="P5087" s="11" t="s">
        <v>58</v>
      </c>
      <c r="Q5087" s="20">
        <v>40689.0</v>
      </c>
      <c r="R5087" s="17">
        <f t="shared" si="2"/>
        <v>9.33311641</v>
      </c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>
        <f t="shared" si="8"/>
        <v>1</v>
      </c>
      <c r="AF5087" s="19">
        <f t="shared" si="13"/>
        <v>1</v>
      </c>
      <c r="AG5087" s="9"/>
      <c r="AH5087" s="9"/>
      <c r="AI5087" s="9"/>
    </row>
    <row r="5088" ht="15.0" customHeight="1">
      <c r="A5088" s="11">
        <v>5087.0</v>
      </c>
      <c r="B5088" s="12">
        <f t="shared" si="808"/>
        <v>40687</v>
      </c>
      <c r="C5088" s="13">
        <v>2011.0</v>
      </c>
      <c r="D5088" s="11" t="s">
        <v>39</v>
      </c>
      <c r="E5088" s="11">
        <v>1.0</v>
      </c>
      <c r="F5088" s="21" t="s">
        <v>1317</v>
      </c>
      <c r="G5088" s="15">
        <v>0.08047808764940237</v>
      </c>
      <c r="H5088" s="11" t="s">
        <v>33</v>
      </c>
      <c r="I5088" s="16">
        <v>3.28</v>
      </c>
      <c r="J5088" s="11" t="s">
        <v>1326</v>
      </c>
      <c r="K5088" s="11" t="s">
        <v>26</v>
      </c>
      <c r="L5088" s="11" t="s">
        <v>27</v>
      </c>
      <c r="M5088" s="11" t="s">
        <v>28</v>
      </c>
      <c r="N5088" s="11" t="s">
        <v>62</v>
      </c>
      <c r="O5088" s="11" t="s">
        <v>1318</v>
      </c>
      <c r="P5088" s="11" t="s">
        <v>58</v>
      </c>
      <c r="Q5088" s="20">
        <v>40689.0</v>
      </c>
      <c r="R5088" s="17">
        <f t="shared" si="2"/>
        <v>1.857434263</v>
      </c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>
        <f t="shared" si="8"/>
        <v>1</v>
      </c>
      <c r="AF5088" s="19">
        <f t="shared" si="13"/>
        <v>1</v>
      </c>
      <c r="AG5088" s="9"/>
      <c r="AH5088" s="9"/>
      <c r="AI5088" s="9"/>
    </row>
    <row r="5089" ht="15.0" customHeight="1">
      <c r="A5089" s="11">
        <v>5088.0</v>
      </c>
      <c r="B5089" s="12">
        <f t="shared" si="808"/>
        <v>40687</v>
      </c>
      <c r="C5089" s="13">
        <v>2011.0</v>
      </c>
      <c r="D5089" s="11" t="s">
        <v>39</v>
      </c>
      <c r="E5089" s="11">
        <v>42.0</v>
      </c>
      <c r="F5089" s="21" t="s">
        <v>1057</v>
      </c>
      <c r="G5089" s="15">
        <v>0.05504189944134062</v>
      </c>
      <c r="H5089" s="11" t="s">
        <v>33</v>
      </c>
      <c r="I5089" s="16">
        <v>3.672</v>
      </c>
      <c r="J5089" s="11" t="s">
        <v>2321</v>
      </c>
      <c r="K5089" s="11" t="s">
        <v>35</v>
      </c>
      <c r="L5089" s="11" t="s">
        <v>48</v>
      </c>
      <c r="M5089" s="11" t="s">
        <v>28</v>
      </c>
      <c r="N5089" s="11" t="s">
        <v>442</v>
      </c>
      <c r="O5089" s="11" t="s">
        <v>1059</v>
      </c>
      <c r="P5089" s="11" t="s">
        <v>58</v>
      </c>
      <c r="Q5089" s="20">
        <v>40689.0</v>
      </c>
      <c r="R5089" s="17">
        <f t="shared" si="2"/>
        <v>29.79263899</v>
      </c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>
        <f t="shared" si="8"/>
        <v>4</v>
      </c>
      <c r="AF5089" s="19">
        <f t="shared" si="13"/>
        <v>2</v>
      </c>
      <c r="AG5089" s="9"/>
      <c r="AH5089" s="9"/>
      <c r="AI5089" s="9"/>
    </row>
    <row r="5090" ht="15.0" customHeight="1">
      <c r="A5090" s="11">
        <v>5089.0</v>
      </c>
      <c r="B5090" s="12">
        <f t="shared" si="808"/>
        <v>40687</v>
      </c>
      <c r="C5090" s="13">
        <v>2011.0</v>
      </c>
      <c r="D5090" s="11" t="s">
        <v>44</v>
      </c>
      <c r="E5090" s="11">
        <v>46.0</v>
      </c>
      <c r="F5090" s="21" t="s">
        <v>610</v>
      </c>
      <c r="G5090" s="15">
        <v>0.031654923526379226</v>
      </c>
      <c r="H5090" s="11" t="s">
        <v>33</v>
      </c>
      <c r="I5090" s="16">
        <v>2.2800000000000002</v>
      </c>
      <c r="J5090" s="11" t="s">
        <v>360</v>
      </c>
      <c r="K5090" s="11" t="s">
        <v>65</v>
      </c>
      <c r="L5090" s="11" t="s">
        <v>27</v>
      </c>
      <c r="M5090" s="11" t="s">
        <v>49</v>
      </c>
      <c r="N5090" s="11" t="s">
        <v>73</v>
      </c>
      <c r="O5090" s="11" t="s">
        <v>612</v>
      </c>
      <c r="P5090" s="11" t="s">
        <v>99</v>
      </c>
      <c r="Q5090" s="20">
        <v>40689.0</v>
      </c>
      <c r="R5090" s="17">
        <f t="shared" si="2"/>
        <v>17.83691631</v>
      </c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>
        <f t="shared" si="8"/>
        <v>1</v>
      </c>
      <c r="AF5090" s="19">
        <f t="shared" si="13"/>
        <v>5</v>
      </c>
      <c r="AG5090" s="9"/>
      <c r="AH5090" s="9"/>
      <c r="AI5090" s="9"/>
    </row>
    <row r="5091" ht="15.0" customHeight="1">
      <c r="A5091" s="11">
        <v>5090.0</v>
      </c>
      <c r="B5091" s="12">
        <f t="shared" si="808"/>
        <v>40687</v>
      </c>
      <c r="C5091" s="13">
        <v>2011.0</v>
      </c>
      <c r="D5091" s="11" t="s">
        <v>44</v>
      </c>
      <c r="E5091" s="11">
        <v>28.0</v>
      </c>
      <c r="F5091" s="21" t="s">
        <v>158</v>
      </c>
      <c r="G5091" s="15">
        <v>0.037319371727748615</v>
      </c>
      <c r="H5091" s="11" t="s">
        <v>33</v>
      </c>
      <c r="I5091" s="16">
        <v>4.672</v>
      </c>
      <c r="J5091" s="11" t="s">
        <v>360</v>
      </c>
      <c r="K5091" s="11" t="s">
        <v>65</v>
      </c>
      <c r="L5091" s="11" t="s">
        <v>27</v>
      </c>
      <c r="M5091" s="11" t="s">
        <v>28</v>
      </c>
      <c r="N5091" s="11" t="s">
        <v>56</v>
      </c>
      <c r="O5091" s="11" t="s">
        <v>2050</v>
      </c>
      <c r="P5091" s="11" t="s">
        <v>38</v>
      </c>
      <c r="Q5091" s="20">
        <v>40689.0</v>
      </c>
      <c r="R5091" s="17">
        <f t="shared" si="2"/>
        <v>6.861987518</v>
      </c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>
        <f t="shared" si="8"/>
        <v>1</v>
      </c>
      <c r="AF5091" s="19">
        <f t="shared" si="13"/>
        <v>5</v>
      </c>
      <c r="AG5091" s="9"/>
      <c r="AH5091" s="9"/>
      <c r="AI5091" s="9"/>
    </row>
    <row r="5092" ht="15.0" customHeight="1">
      <c r="A5092" s="11">
        <v>5091.0</v>
      </c>
      <c r="B5092" s="12">
        <f t="shared" ref="B5092:B5098" si="809">DATE(2012,12,31)-586</f>
        <v>40688</v>
      </c>
      <c r="C5092" s="13">
        <v>2011.0</v>
      </c>
      <c r="D5092" s="11" t="s">
        <v>44</v>
      </c>
      <c r="E5092" s="11">
        <v>45.0</v>
      </c>
      <c r="F5092" s="21" t="s">
        <v>1437</v>
      </c>
      <c r="G5092" s="15">
        <v>0.0753287229535158</v>
      </c>
      <c r="H5092" s="11" t="s">
        <v>45</v>
      </c>
      <c r="I5092" s="16">
        <v>55.64</v>
      </c>
      <c r="J5092" s="11" t="s">
        <v>2069</v>
      </c>
      <c r="K5092" s="11" t="s">
        <v>35</v>
      </c>
      <c r="L5092" s="11" t="s">
        <v>48</v>
      </c>
      <c r="M5092" s="11" t="s">
        <v>49</v>
      </c>
      <c r="N5092" s="11" t="s">
        <v>50</v>
      </c>
      <c r="O5092" s="11" t="s">
        <v>1438</v>
      </c>
      <c r="P5092" s="11" t="s">
        <v>52</v>
      </c>
      <c r="Q5092" s="20">
        <v>40689.0</v>
      </c>
      <c r="R5092" s="17">
        <f t="shared" si="2"/>
        <v>969.9431828</v>
      </c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>
        <f t="shared" si="8"/>
        <v>4</v>
      </c>
      <c r="AF5092" s="19">
        <f t="shared" si="13"/>
        <v>2</v>
      </c>
      <c r="AG5092" s="9"/>
      <c r="AH5092" s="9"/>
      <c r="AI5092" s="9"/>
    </row>
    <row r="5093" ht="15.0" customHeight="1">
      <c r="A5093" s="11">
        <v>5092.0</v>
      </c>
      <c r="B5093" s="12">
        <f t="shared" si="809"/>
        <v>40688</v>
      </c>
      <c r="C5093" s="13">
        <v>2011.0</v>
      </c>
      <c r="D5093" s="11" t="s">
        <v>102</v>
      </c>
      <c r="E5093" s="11">
        <v>28.0</v>
      </c>
      <c r="F5093" s="21" t="s">
        <v>952</v>
      </c>
      <c r="G5093" s="15">
        <v>0.02955225086416334</v>
      </c>
      <c r="H5093" s="11" t="s">
        <v>33</v>
      </c>
      <c r="I5093" s="16">
        <v>19.592</v>
      </c>
      <c r="J5093" s="11" t="s">
        <v>968</v>
      </c>
      <c r="K5093" s="11" t="s">
        <v>47</v>
      </c>
      <c r="L5093" s="11" t="s">
        <v>36</v>
      </c>
      <c r="M5093" s="11" t="s">
        <v>66</v>
      </c>
      <c r="N5093" s="11" t="s">
        <v>170</v>
      </c>
      <c r="O5093" s="11" t="s">
        <v>954</v>
      </c>
      <c r="P5093" s="11" t="s">
        <v>31</v>
      </c>
      <c r="Q5093" s="20">
        <v>40689.0</v>
      </c>
      <c r="R5093" s="17">
        <f t="shared" si="2"/>
        <v>496.9740559</v>
      </c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>
        <f t="shared" si="8"/>
        <v>2</v>
      </c>
      <c r="AF5093" s="19">
        <f t="shared" si="13"/>
        <v>3</v>
      </c>
      <c r="AG5093" s="9"/>
      <c r="AH5093" s="9"/>
      <c r="AI5093" s="9"/>
    </row>
    <row r="5094" ht="15.0" customHeight="1">
      <c r="A5094" s="11">
        <v>5093.0</v>
      </c>
      <c r="B5094" s="12">
        <f t="shared" si="809"/>
        <v>40688</v>
      </c>
      <c r="C5094" s="13">
        <v>2011.0</v>
      </c>
      <c r="D5094" s="11" t="s">
        <v>102</v>
      </c>
      <c r="E5094" s="11">
        <v>16.0</v>
      </c>
      <c r="F5094" s="21" t="s">
        <v>135</v>
      </c>
      <c r="G5094" s="15">
        <v>0.03757791629563668</v>
      </c>
      <c r="H5094" s="11" t="s">
        <v>33</v>
      </c>
      <c r="I5094" s="16">
        <v>2.4800000000000004</v>
      </c>
      <c r="J5094" s="11" t="s">
        <v>968</v>
      </c>
      <c r="K5094" s="11" t="s">
        <v>47</v>
      </c>
      <c r="L5094" s="11" t="s">
        <v>36</v>
      </c>
      <c r="M5094" s="11" t="s">
        <v>28</v>
      </c>
      <c r="N5094" s="11" t="s">
        <v>56</v>
      </c>
      <c r="O5094" s="11" t="s">
        <v>2150</v>
      </c>
      <c r="P5094" s="11" t="s">
        <v>58</v>
      </c>
      <c r="Q5094" s="20">
        <v>40690.0</v>
      </c>
      <c r="R5094" s="17">
        <f t="shared" si="2"/>
        <v>4.061421193</v>
      </c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>
        <f t="shared" si="8"/>
        <v>2</v>
      </c>
      <c r="AF5094" s="19">
        <f t="shared" si="13"/>
        <v>3</v>
      </c>
      <c r="AG5094" s="9"/>
      <c r="AH5094" s="9"/>
      <c r="AI5094" s="9"/>
    </row>
    <row r="5095" ht="15.0" customHeight="1">
      <c r="A5095" s="11">
        <v>5094.0</v>
      </c>
      <c r="B5095" s="12">
        <f t="shared" si="809"/>
        <v>40688</v>
      </c>
      <c r="C5095" s="13">
        <v>2011.0</v>
      </c>
      <c r="D5095" s="11" t="s">
        <v>39</v>
      </c>
      <c r="E5095" s="11">
        <v>48.0</v>
      </c>
      <c r="F5095" s="21" t="s">
        <v>290</v>
      </c>
      <c r="G5095" s="15">
        <v>0.07862192393736006</v>
      </c>
      <c r="H5095" s="11" t="s">
        <v>33</v>
      </c>
      <c r="I5095" s="16">
        <v>4.328</v>
      </c>
      <c r="J5095" s="11" t="s">
        <v>1564</v>
      </c>
      <c r="K5095" s="11" t="s">
        <v>35</v>
      </c>
      <c r="L5095" s="11" t="s">
        <v>27</v>
      </c>
      <c r="M5095" s="11" t="s">
        <v>28</v>
      </c>
      <c r="N5095" s="11" t="s">
        <v>42</v>
      </c>
      <c r="O5095" s="11" t="s">
        <v>1475</v>
      </c>
      <c r="P5095" s="11" t="s">
        <v>38</v>
      </c>
      <c r="Q5095" s="20">
        <v>40690.0</v>
      </c>
      <c r="R5095" s="17">
        <f t="shared" si="2"/>
        <v>16.19045555</v>
      </c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>
        <f t="shared" si="8"/>
        <v>1</v>
      </c>
      <c r="AF5095" s="19">
        <f t="shared" si="13"/>
        <v>2</v>
      </c>
      <c r="AG5095" s="9"/>
      <c r="AH5095" s="9"/>
      <c r="AI5095" s="9"/>
    </row>
    <row r="5096" ht="15.0" customHeight="1">
      <c r="A5096" s="11">
        <v>5095.0</v>
      </c>
      <c r="B5096" s="12">
        <f t="shared" si="809"/>
        <v>40688</v>
      </c>
      <c r="C5096" s="13">
        <v>2011.0</v>
      </c>
      <c r="D5096" s="11" t="s">
        <v>39</v>
      </c>
      <c r="E5096" s="11">
        <v>13.0</v>
      </c>
      <c r="F5096" s="21" t="s">
        <v>1227</v>
      </c>
      <c r="G5096" s="15">
        <v>0.10895027624309399</v>
      </c>
      <c r="H5096" s="11" t="s">
        <v>33</v>
      </c>
      <c r="I5096" s="16">
        <v>3.6560000000000006</v>
      </c>
      <c r="J5096" s="11" t="s">
        <v>1564</v>
      </c>
      <c r="K5096" s="11" t="s">
        <v>35</v>
      </c>
      <c r="L5096" s="11" t="s">
        <v>27</v>
      </c>
      <c r="M5096" s="11" t="s">
        <v>49</v>
      </c>
      <c r="N5096" s="11" t="s">
        <v>73</v>
      </c>
      <c r="O5096" s="11" t="s">
        <v>1229</v>
      </c>
      <c r="P5096" s="11" t="s">
        <v>99</v>
      </c>
      <c r="Q5096" s="20">
        <v>40690.0</v>
      </c>
      <c r="R5096" s="17">
        <f t="shared" si="2"/>
        <v>3.51430011</v>
      </c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>
        <f t="shared" si="8"/>
        <v>1</v>
      </c>
      <c r="AF5096" s="19">
        <f t="shared" si="13"/>
        <v>2</v>
      </c>
      <c r="AG5096" s="9"/>
      <c r="AH5096" s="9"/>
      <c r="AI5096" s="9"/>
    </row>
    <row r="5097" ht="15.0" customHeight="1">
      <c r="A5097" s="11">
        <v>5096.0</v>
      </c>
      <c r="B5097" s="12">
        <f t="shared" si="809"/>
        <v>40688</v>
      </c>
      <c r="C5097" s="13">
        <v>2011.0</v>
      </c>
      <c r="D5097" s="11" t="s">
        <v>32</v>
      </c>
      <c r="E5097" s="11">
        <v>33.0</v>
      </c>
      <c r="F5097" s="21" t="s">
        <v>290</v>
      </c>
      <c r="G5097" s="15">
        <v>0.10590880699562767</v>
      </c>
      <c r="H5097" s="11" t="s">
        <v>33</v>
      </c>
      <c r="I5097" s="16">
        <v>4.544</v>
      </c>
      <c r="J5097" s="11" t="s">
        <v>1372</v>
      </c>
      <c r="K5097" s="11" t="s">
        <v>61</v>
      </c>
      <c r="L5097" s="11" t="s">
        <v>36</v>
      </c>
      <c r="M5097" s="11" t="s">
        <v>28</v>
      </c>
      <c r="N5097" s="11" t="s">
        <v>56</v>
      </c>
      <c r="O5097" s="11" t="s">
        <v>2070</v>
      </c>
      <c r="P5097" s="11" t="s">
        <v>38</v>
      </c>
      <c r="Q5097" s="20">
        <v>40690.0</v>
      </c>
      <c r="R5097" s="17">
        <f t="shared" si="2"/>
        <v>15.16021027</v>
      </c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>
        <f t="shared" si="8"/>
        <v>2</v>
      </c>
      <c r="AF5097" s="19">
        <f t="shared" si="13"/>
        <v>4</v>
      </c>
      <c r="AG5097" s="9"/>
      <c r="AH5097" s="9"/>
      <c r="AI5097" s="9"/>
    </row>
    <row r="5098" ht="15.0" customHeight="1">
      <c r="A5098" s="11">
        <v>5097.0</v>
      </c>
      <c r="B5098" s="12">
        <f t="shared" si="809"/>
        <v>40688</v>
      </c>
      <c r="C5098" s="13">
        <v>2011.0</v>
      </c>
      <c r="D5098" s="11" t="s">
        <v>32</v>
      </c>
      <c r="E5098" s="11">
        <v>50.0</v>
      </c>
      <c r="F5098" s="21" t="s">
        <v>128</v>
      </c>
      <c r="G5098" s="15">
        <v>0.08347294938917976</v>
      </c>
      <c r="H5098" s="11" t="s">
        <v>33</v>
      </c>
      <c r="I5098" s="16">
        <v>7.040000000000001</v>
      </c>
      <c r="J5098" s="11" t="s">
        <v>1372</v>
      </c>
      <c r="K5098" s="11" t="s">
        <v>61</v>
      </c>
      <c r="L5098" s="11" t="s">
        <v>36</v>
      </c>
      <c r="M5098" s="11" t="s">
        <v>66</v>
      </c>
      <c r="N5098" s="11" t="s">
        <v>80</v>
      </c>
      <c r="O5098" s="11" t="s">
        <v>765</v>
      </c>
      <c r="P5098" s="11" t="s">
        <v>38</v>
      </c>
      <c r="Q5098" s="20">
        <v>40691.0</v>
      </c>
      <c r="R5098" s="17">
        <f t="shared" si="2"/>
        <v>526.049866</v>
      </c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>
        <f t="shared" si="8"/>
        <v>2</v>
      </c>
      <c r="AF5098" s="19">
        <f t="shared" si="13"/>
        <v>4</v>
      </c>
      <c r="AG5098" s="9"/>
      <c r="AH5098" s="9"/>
      <c r="AI5098" s="9"/>
    </row>
    <row r="5099" ht="15.0" customHeight="1">
      <c r="A5099" s="11">
        <v>5098.0</v>
      </c>
      <c r="B5099" s="12">
        <f t="shared" ref="B5099:B5102" si="810">DATE(2012,12,31)-585</f>
        <v>40689</v>
      </c>
      <c r="C5099" s="13">
        <v>2011.0</v>
      </c>
      <c r="D5099" s="11" t="s">
        <v>23</v>
      </c>
      <c r="E5099" s="11">
        <v>44.0</v>
      </c>
      <c r="F5099" s="21" t="s">
        <v>1927</v>
      </c>
      <c r="G5099" s="15">
        <v>0.032603933576728264</v>
      </c>
      <c r="H5099" s="11" t="s">
        <v>33</v>
      </c>
      <c r="I5099" s="16">
        <v>3.016</v>
      </c>
      <c r="J5099" s="11" t="s">
        <v>1496</v>
      </c>
      <c r="K5099" s="11" t="s">
        <v>61</v>
      </c>
      <c r="L5099" s="11" t="s">
        <v>48</v>
      </c>
      <c r="M5099" s="11" t="s">
        <v>49</v>
      </c>
      <c r="N5099" s="11" t="s">
        <v>73</v>
      </c>
      <c r="O5099" s="11" t="s">
        <v>1928</v>
      </c>
      <c r="P5099" s="11" t="s">
        <v>99</v>
      </c>
      <c r="Q5099" s="20">
        <v>40691.0</v>
      </c>
      <c r="R5099" s="17">
        <f t="shared" si="2"/>
        <v>26.7813927</v>
      </c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>
        <f t="shared" si="8"/>
        <v>4</v>
      </c>
      <c r="AF5099" s="19">
        <f t="shared" si="13"/>
        <v>4</v>
      </c>
      <c r="AG5099" s="9"/>
      <c r="AH5099" s="9"/>
      <c r="AI5099" s="9"/>
    </row>
    <row r="5100" ht="15.0" customHeight="1">
      <c r="A5100" s="11">
        <v>5099.0</v>
      </c>
      <c r="B5100" s="12">
        <f t="shared" si="810"/>
        <v>40689</v>
      </c>
      <c r="C5100" s="13">
        <v>2011.0</v>
      </c>
      <c r="D5100" s="11" t="s">
        <v>23</v>
      </c>
      <c r="E5100" s="11">
        <v>42.0</v>
      </c>
      <c r="F5100" s="21" t="s">
        <v>158</v>
      </c>
      <c r="G5100" s="15">
        <v>0.06405994550408717</v>
      </c>
      <c r="H5100" s="11" t="s">
        <v>33</v>
      </c>
      <c r="I5100" s="16">
        <v>5.992000000000001</v>
      </c>
      <c r="J5100" s="11" t="s">
        <v>1496</v>
      </c>
      <c r="K5100" s="11" t="s">
        <v>61</v>
      </c>
      <c r="L5100" s="11" t="s">
        <v>48</v>
      </c>
      <c r="M5100" s="11" t="s">
        <v>28</v>
      </c>
      <c r="N5100" s="11" t="s">
        <v>56</v>
      </c>
      <c r="O5100" s="11" t="s">
        <v>1042</v>
      </c>
      <c r="P5100" s="11" t="s">
        <v>38</v>
      </c>
      <c r="Q5100" s="20">
        <v>40691.0</v>
      </c>
      <c r="R5100" s="17">
        <f t="shared" si="2"/>
        <v>17.60316054</v>
      </c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>
        <f t="shared" si="8"/>
        <v>4</v>
      </c>
      <c r="AF5100" s="19">
        <f t="shared" si="13"/>
        <v>4</v>
      </c>
      <c r="AG5100" s="9"/>
      <c r="AH5100" s="9"/>
      <c r="AI5100" s="9"/>
    </row>
    <row r="5101" ht="15.0" customHeight="1">
      <c r="A5101" s="11">
        <v>5100.0</v>
      </c>
      <c r="B5101" s="12">
        <f t="shared" si="810"/>
        <v>40689</v>
      </c>
      <c r="C5101" s="13">
        <v>2011.0</v>
      </c>
      <c r="D5101" s="11" t="s">
        <v>32</v>
      </c>
      <c r="E5101" s="11">
        <v>31.0</v>
      </c>
      <c r="F5101" s="21" t="s">
        <v>641</v>
      </c>
      <c r="G5101" s="15">
        <v>0.09822887181560869</v>
      </c>
      <c r="H5101" s="11" t="s">
        <v>24</v>
      </c>
      <c r="I5101" s="16">
        <v>5.816</v>
      </c>
      <c r="J5101" s="11" t="s">
        <v>1625</v>
      </c>
      <c r="K5101" s="11" t="s">
        <v>35</v>
      </c>
      <c r="L5101" s="11" t="s">
        <v>36</v>
      </c>
      <c r="M5101" s="11" t="s">
        <v>28</v>
      </c>
      <c r="N5101" s="11" t="s">
        <v>42</v>
      </c>
      <c r="O5101" s="11" t="s">
        <v>642</v>
      </c>
      <c r="P5101" s="11" t="s">
        <v>38</v>
      </c>
      <c r="Q5101" s="20">
        <v>40691.0</v>
      </c>
      <c r="R5101" s="17">
        <f t="shared" si="2"/>
        <v>43.81164849</v>
      </c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>
        <f t="shared" si="8"/>
        <v>2</v>
      </c>
      <c r="AF5101" s="19">
        <f t="shared" si="13"/>
        <v>2</v>
      </c>
      <c r="AG5101" s="9"/>
      <c r="AH5101" s="9"/>
      <c r="AI5101" s="9"/>
    </row>
    <row r="5102" ht="15.0" customHeight="1">
      <c r="A5102" s="11">
        <v>5101.0</v>
      </c>
      <c r="B5102" s="12">
        <f t="shared" si="810"/>
        <v>40689</v>
      </c>
      <c r="C5102" s="13">
        <v>2011.0</v>
      </c>
      <c r="D5102" s="11" t="s">
        <v>32</v>
      </c>
      <c r="E5102" s="11">
        <v>15.0</v>
      </c>
      <c r="F5102" s="21" t="s">
        <v>1084</v>
      </c>
      <c r="G5102" s="15">
        <v>0.06936288088642673</v>
      </c>
      <c r="H5102" s="11" t="s">
        <v>33</v>
      </c>
      <c r="I5102" s="16">
        <v>1.192</v>
      </c>
      <c r="J5102" s="11" t="s">
        <v>1145</v>
      </c>
      <c r="K5102" s="11" t="s">
        <v>65</v>
      </c>
      <c r="L5102" s="11" t="s">
        <v>48</v>
      </c>
      <c r="M5102" s="11" t="s">
        <v>28</v>
      </c>
      <c r="N5102" s="11" t="s">
        <v>42</v>
      </c>
      <c r="O5102" s="11" t="s">
        <v>1404</v>
      </c>
      <c r="P5102" s="11" t="s">
        <v>38</v>
      </c>
      <c r="Q5102" s="20">
        <v>40691.0</v>
      </c>
      <c r="R5102" s="17">
        <f t="shared" si="2"/>
        <v>4.660630693</v>
      </c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>
        <f t="shared" si="8"/>
        <v>4</v>
      </c>
      <c r="AF5102" s="19">
        <f t="shared" si="13"/>
        <v>5</v>
      </c>
      <c r="AG5102" s="9"/>
      <c r="AH5102" s="9"/>
      <c r="AI5102" s="9"/>
    </row>
    <row r="5103" ht="15.0" customHeight="1">
      <c r="A5103" s="11">
        <v>5102.0</v>
      </c>
      <c r="B5103" s="12">
        <f t="shared" ref="B5103:B5110" si="811">DATE(2012,12,31)-584</f>
        <v>40690</v>
      </c>
      <c r="C5103" s="13">
        <v>2011.0</v>
      </c>
      <c r="D5103" s="11" t="s">
        <v>44</v>
      </c>
      <c r="E5103" s="11">
        <v>25.0</v>
      </c>
      <c r="F5103" s="21" t="s">
        <v>231</v>
      </c>
      <c r="G5103" s="15">
        <v>0.08885512292919709</v>
      </c>
      <c r="H5103" s="11" t="s">
        <v>33</v>
      </c>
      <c r="I5103" s="16">
        <v>15.991999999999999</v>
      </c>
      <c r="J5103" s="11" t="s">
        <v>1884</v>
      </c>
      <c r="K5103" s="11" t="s">
        <v>117</v>
      </c>
      <c r="L5103" s="11" t="s">
        <v>48</v>
      </c>
      <c r="M5103" s="11" t="s">
        <v>49</v>
      </c>
      <c r="N5103" s="11" t="s">
        <v>73</v>
      </c>
      <c r="O5103" s="11" t="s">
        <v>1820</v>
      </c>
      <c r="P5103" s="11" t="s">
        <v>38</v>
      </c>
      <c r="Q5103" s="20">
        <v>40692.0</v>
      </c>
      <c r="R5103" s="17">
        <f t="shared" si="2"/>
        <v>76.72568781</v>
      </c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>
        <f t="shared" si="8"/>
        <v>4</v>
      </c>
      <c r="AF5103" s="19" t="b">
        <f t="shared" si="13"/>
        <v>0</v>
      </c>
      <c r="AG5103" s="9"/>
      <c r="AH5103" s="9"/>
      <c r="AI5103" s="9"/>
    </row>
    <row r="5104" ht="15.0" customHeight="1">
      <c r="A5104" s="11">
        <v>5103.0</v>
      </c>
      <c r="B5104" s="12">
        <f t="shared" si="811"/>
        <v>40690</v>
      </c>
      <c r="C5104" s="13">
        <v>2011.0</v>
      </c>
      <c r="D5104" s="11" t="s">
        <v>44</v>
      </c>
      <c r="E5104" s="11">
        <v>46.0</v>
      </c>
      <c r="F5104" s="21" t="s">
        <v>147</v>
      </c>
      <c r="G5104" s="15">
        <v>0.11505617977528085</v>
      </c>
      <c r="H5104" s="11" t="s">
        <v>33</v>
      </c>
      <c r="I5104" s="16">
        <v>0.5599999999999999</v>
      </c>
      <c r="J5104" s="11" t="s">
        <v>1884</v>
      </c>
      <c r="K5104" s="11" t="s">
        <v>117</v>
      </c>
      <c r="L5104" s="11" t="s">
        <v>48</v>
      </c>
      <c r="M5104" s="11" t="s">
        <v>28</v>
      </c>
      <c r="N5104" s="11" t="s">
        <v>62</v>
      </c>
      <c r="O5104" s="11" t="s">
        <v>1107</v>
      </c>
      <c r="P5104" s="11" t="s">
        <v>58</v>
      </c>
      <c r="Q5104" s="20">
        <v>40692.0</v>
      </c>
      <c r="R5104" s="17">
        <f t="shared" si="2"/>
        <v>9.061824719</v>
      </c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>
        <f t="shared" si="8"/>
        <v>4</v>
      </c>
      <c r="AF5104" s="19" t="b">
        <f t="shared" si="13"/>
        <v>0</v>
      </c>
      <c r="AG5104" s="9"/>
      <c r="AH5104" s="9"/>
      <c r="AI5104" s="9"/>
    </row>
    <row r="5105" ht="15.0" customHeight="1">
      <c r="A5105" s="11">
        <v>5104.0</v>
      </c>
      <c r="B5105" s="12">
        <f t="shared" si="811"/>
        <v>40690</v>
      </c>
      <c r="C5105" s="13">
        <v>2011.0</v>
      </c>
      <c r="D5105" s="11" t="s">
        <v>23</v>
      </c>
      <c r="E5105" s="11">
        <v>20.0</v>
      </c>
      <c r="F5105" s="21" t="s">
        <v>413</v>
      </c>
      <c r="G5105" s="15">
        <v>0.010019646365422357</v>
      </c>
      <c r="H5105" s="11" t="s">
        <v>33</v>
      </c>
      <c r="I5105" s="16">
        <v>7.56</v>
      </c>
      <c r="J5105" s="11" t="s">
        <v>2204</v>
      </c>
      <c r="K5105" s="11" t="s">
        <v>61</v>
      </c>
      <c r="L5105" s="11" t="s">
        <v>27</v>
      </c>
      <c r="M5105" s="11" t="s">
        <v>28</v>
      </c>
      <c r="N5105" s="11" t="s">
        <v>29</v>
      </c>
      <c r="O5105" s="11" t="s">
        <v>660</v>
      </c>
      <c r="P5105" s="11" t="s">
        <v>38</v>
      </c>
      <c r="Q5105" s="20">
        <v>40692.0</v>
      </c>
      <c r="R5105" s="17">
        <f t="shared" si="2"/>
        <v>2.019559921</v>
      </c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>
        <f t="shared" si="8"/>
        <v>1</v>
      </c>
      <c r="AF5105" s="19">
        <f t="shared" si="13"/>
        <v>4</v>
      </c>
      <c r="AG5105" s="9"/>
      <c r="AH5105" s="9"/>
      <c r="AI5105" s="9"/>
    </row>
    <row r="5106" ht="15.0" customHeight="1">
      <c r="A5106" s="11">
        <v>5105.0</v>
      </c>
      <c r="B5106" s="12">
        <f t="shared" si="811"/>
        <v>40690</v>
      </c>
      <c r="C5106" s="13">
        <v>2011.0</v>
      </c>
      <c r="D5106" s="11" t="s">
        <v>39</v>
      </c>
      <c r="E5106" s="11">
        <v>48.0</v>
      </c>
      <c r="F5106" s="21" t="s">
        <v>872</v>
      </c>
      <c r="G5106" s="15">
        <v>0.06314764737696063</v>
      </c>
      <c r="H5106" s="11" t="s">
        <v>33</v>
      </c>
      <c r="I5106" s="16">
        <v>6.920000000000001</v>
      </c>
      <c r="J5106" s="11" t="s">
        <v>72</v>
      </c>
      <c r="K5106" s="11" t="s">
        <v>61</v>
      </c>
      <c r="L5106" s="11" t="s">
        <v>27</v>
      </c>
      <c r="M5106" s="11" t="s">
        <v>28</v>
      </c>
      <c r="N5106" s="11" t="s">
        <v>62</v>
      </c>
      <c r="O5106" s="11" t="s">
        <v>2034</v>
      </c>
      <c r="P5106" s="11" t="s">
        <v>38</v>
      </c>
      <c r="Q5106" s="20">
        <v>40692.0</v>
      </c>
      <c r="R5106" s="17">
        <f t="shared" si="2"/>
        <v>54.69344035</v>
      </c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>
        <f t="shared" si="8"/>
        <v>1</v>
      </c>
      <c r="AF5106" s="19">
        <f t="shared" si="13"/>
        <v>4</v>
      </c>
      <c r="AG5106" s="9"/>
      <c r="AH5106" s="9"/>
      <c r="AI5106" s="9"/>
    </row>
    <row r="5107" ht="15.0" customHeight="1">
      <c r="A5107" s="11">
        <v>5106.0</v>
      </c>
      <c r="B5107" s="12">
        <f t="shared" si="811"/>
        <v>40690</v>
      </c>
      <c r="C5107" s="13">
        <v>2011.0</v>
      </c>
      <c r="D5107" s="11" t="s">
        <v>39</v>
      </c>
      <c r="E5107" s="11">
        <v>21.0</v>
      </c>
      <c r="F5107" s="21" t="s">
        <v>204</v>
      </c>
      <c r="G5107" s="15">
        <v>0.06846029173419767</v>
      </c>
      <c r="H5107" s="11" t="s">
        <v>33</v>
      </c>
      <c r="I5107" s="16">
        <v>0.776</v>
      </c>
      <c r="J5107" s="11" t="s">
        <v>72</v>
      </c>
      <c r="K5107" s="11" t="s">
        <v>61</v>
      </c>
      <c r="L5107" s="11" t="s">
        <v>27</v>
      </c>
      <c r="M5107" s="11" t="s">
        <v>28</v>
      </c>
      <c r="N5107" s="11" t="s">
        <v>62</v>
      </c>
      <c r="O5107" s="11" t="s">
        <v>1511</v>
      </c>
      <c r="P5107" s="11" t="s">
        <v>58</v>
      </c>
      <c r="Q5107" s="20">
        <v>40692.0</v>
      </c>
      <c r="R5107" s="17">
        <f t="shared" si="2"/>
        <v>3.934823728</v>
      </c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>
        <f t="shared" si="8"/>
        <v>1</v>
      </c>
      <c r="AF5107" s="19">
        <f t="shared" si="13"/>
        <v>4</v>
      </c>
      <c r="AG5107" s="9"/>
      <c r="AH5107" s="9"/>
      <c r="AI5107" s="9"/>
    </row>
    <row r="5108" ht="15.0" customHeight="1">
      <c r="A5108" s="11">
        <v>5107.0</v>
      </c>
      <c r="B5108" s="12">
        <f t="shared" si="811"/>
        <v>40690</v>
      </c>
      <c r="C5108" s="13">
        <v>2011.0</v>
      </c>
      <c r="D5108" s="11" t="s">
        <v>39</v>
      </c>
      <c r="E5108" s="11">
        <v>49.0</v>
      </c>
      <c r="F5108" s="21" t="s">
        <v>122</v>
      </c>
      <c r="G5108" s="15">
        <v>0.061491828722724455</v>
      </c>
      <c r="H5108" s="11" t="s">
        <v>33</v>
      </c>
      <c r="I5108" s="16">
        <v>3.848</v>
      </c>
      <c r="J5108" s="11" t="s">
        <v>72</v>
      </c>
      <c r="K5108" s="11" t="s">
        <v>61</v>
      </c>
      <c r="L5108" s="11" t="s">
        <v>27</v>
      </c>
      <c r="M5108" s="11" t="s">
        <v>66</v>
      </c>
      <c r="N5108" s="11" t="s">
        <v>80</v>
      </c>
      <c r="O5108" s="11" t="s">
        <v>899</v>
      </c>
      <c r="P5108" s="11" t="s">
        <v>75</v>
      </c>
      <c r="Q5108" s="20">
        <v>40692.0</v>
      </c>
      <c r="R5108" s="17">
        <f t="shared" si="2"/>
        <v>63.21040235</v>
      </c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>
        <f t="shared" si="8"/>
        <v>1</v>
      </c>
      <c r="AF5108" s="19">
        <f t="shared" si="13"/>
        <v>4</v>
      </c>
      <c r="AG5108" s="9"/>
      <c r="AH5108" s="9"/>
      <c r="AI5108" s="9"/>
    </row>
    <row r="5109" ht="15.0" customHeight="1">
      <c r="A5109" s="11">
        <v>5108.0</v>
      </c>
      <c r="B5109" s="12">
        <f t="shared" si="811"/>
        <v>40690</v>
      </c>
      <c r="C5109" s="13">
        <v>2011.0</v>
      </c>
      <c r="D5109" s="11" t="s">
        <v>102</v>
      </c>
      <c r="E5109" s="11">
        <v>17.0</v>
      </c>
      <c r="F5109" s="21" t="s">
        <v>369</v>
      </c>
      <c r="G5109" s="15">
        <v>0.097935071846727</v>
      </c>
      <c r="H5109" s="11" t="s">
        <v>45</v>
      </c>
      <c r="I5109" s="16">
        <v>29.288</v>
      </c>
      <c r="J5109" s="11" t="s">
        <v>1276</v>
      </c>
      <c r="K5109" s="11" t="s">
        <v>47</v>
      </c>
      <c r="L5109" s="11" t="s">
        <v>36</v>
      </c>
      <c r="M5109" s="11" t="s">
        <v>49</v>
      </c>
      <c r="N5109" s="11" t="s">
        <v>156</v>
      </c>
      <c r="O5109" s="11" t="s">
        <v>1885</v>
      </c>
      <c r="P5109" s="11" t="s">
        <v>87</v>
      </c>
      <c r="Q5109" s="20">
        <v>40692.0</v>
      </c>
      <c r="R5109" s="17">
        <f t="shared" si="2"/>
        <v>99.59879285</v>
      </c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>
        <f t="shared" si="8"/>
        <v>2</v>
      </c>
      <c r="AF5109" s="19">
        <f t="shared" si="13"/>
        <v>3</v>
      </c>
      <c r="AG5109" s="9"/>
      <c r="AH5109" s="9"/>
      <c r="AI5109" s="9"/>
    </row>
    <row r="5110" ht="15.0" customHeight="1">
      <c r="A5110" s="11">
        <v>5109.0</v>
      </c>
      <c r="B5110" s="12">
        <f t="shared" si="811"/>
        <v>40690</v>
      </c>
      <c r="C5110" s="13">
        <v>2011.0</v>
      </c>
      <c r="D5110" s="11" t="s">
        <v>102</v>
      </c>
      <c r="E5110" s="11">
        <v>18.0</v>
      </c>
      <c r="F5110" s="21" t="s">
        <v>314</v>
      </c>
      <c r="G5110" s="15">
        <v>0.0747967479674797</v>
      </c>
      <c r="H5110" s="11" t="s">
        <v>24</v>
      </c>
      <c r="I5110" s="16">
        <v>0.4</v>
      </c>
      <c r="J5110" s="11" t="s">
        <v>1276</v>
      </c>
      <c r="K5110" s="11" t="s">
        <v>47</v>
      </c>
      <c r="L5110" s="11" t="s">
        <v>36</v>
      </c>
      <c r="M5110" s="11" t="s">
        <v>28</v>
      </c>
      <c r="N5110" s="11" t="s">
        <v>188</v>
      </c>
      <c r="O5110" s="11" t="s">
        <v>516</v>
      </c>
      <c r="P5110" s="11" t="s">
        <v>38</v>
      </c>
      <c r="Q5110" s="20">
        <v>40692.0</v>
      </c>
      <c r="R5110" s="17">
        <f t="shared" si="2"/>
        <v>8.511869919</v>
      </c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>
        <f t="shared" si="8"/>
        <v>2</v>
      </c>
      <c r="AF5110" s="19">
        <f t="shared" si="13"/>
        <v>3</v>
      </c>
      <c r="AG5110" s="9"/>
      <c r="AH5110" s="9"/>
      <c r="AI5110" s="9"/>
    </row>
    <row r="5111" ht="15.0" customHeight="1">
      <c r="A5111" s="11">
        <v>5110.0</v>
      </c>
      <c r="B5111" s="12">
        <f t="shared" ref="B5111:B5117" si="812">DATE(2012,12,31)-583</f>
        <v>40691</v>
      </c>
      <c r="C5111" s="13">
        <v>2011.0</v>
      </c>
      <c r="D5111" s="11" t="s">
        <v>23</v>
      </c>
      <c r="E5111" s="11">
        <v>5.0</v>
      </c>
      <c r="F5111" s="21" t="s">
        <v>319</v>
      </c>
      <c r="G5111" s="15">
        <v>0.03999999999999997</v>
      </c>
      <c r="H5111" s="11" t="s">
        <v>33</v>
      </c>
      <c r="I5111" s="16">
        <v>0.4</v>
      </c>
      <c r="J5111" s="11" t="s">
        <v>1543</v>
      </c>
      <c r="K5111" s="11" t="s">
        <v>61</v>
      </c>
      <c r="L5111" s="11" t="s">
        <v>48</v>
      </c>
      <c r="M5111" s="11" t="s">
        <v>28</v>
      </c>
      <c r="N5111" s="11" t="s">
        <v>188</v>
      </c>
      <c r="O5111" s="11" t="s">
        <v>901</v>
      </c>
      <c r="P5111" s="11" t="s">
        <v>38</v>
      </c>
      <c r="Q5111" s="20">
        <v>40693.0</v>
      </c>
      <c r="R5111" s="17">
        <f t="shared" si="2"/>
        <v>0.576</v>
      </c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>
        <f t="shared" si="8"/>
        <v>4</v>
      </c>
      <c r="AF5111" s="19">
        <f t="shared" si="13"/>
        <v>4</v>
      </c>
      <c r="AG5111" s="9"/>
      <c r="AH5111" s="9"/>
      <c r="AI5111" s="9"/>
    </row>
    <row r="5112" ht="15.0" customHeight="1">
      <c r="A5112" s="11">
        <v>5111.0</v>
      </c>
      <c r="B5112" s="12">
        <f t="shared" si="812"/>
        <v>40691</v>
      </c>
      <c r="C5112" s="13">
        <v>2011.0</v>
      </c>
      <c r="D5112" s="11" t="s">
        <v>102</v>
      </c>
      <c r="E5112" s="11">
        <v>41.0</v>
      </c>
      <c r="F5112" s="21" t="s">
        <v>758</v>
      </c>
      <c r="G5112" s="15">
        <v>0.04392764857881144</v>
      </c>
      <c r="H5112" s="11" t="s">
        <v>24</v>
      </c>
      <c r="I5112" s="16">
        <v>0.4</v>
      </c>
      <c r="J5112" s="11" t="s">
        <v>2392</v>
      </c>
      <c r="K5112" s="11" t="s">
        <v>26</v>
      </c>
      <c r="L5112" s="11" t="s">
        <v>48</v>
      </c>
      <c r="M5112" s="11" t="s">
        <v>28</v>
      </c>
      <c r="N5112" s="11" t="s">
        <v>188</v>
      </c>
      <c r="O5112" s="11" t="s">
        <v>2240</v>
      </c>
      <c r="P5112" s="11" t="s">
        <v>38</v>
      </c>
      <c r="Q5112" s="20">
        <v>40693.0</v>
      </c>
      <c r="R5112" s="17">
        <f t="shared" si="2"/>
        <v>6.50129199</v>
      </c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>
        <f t="shared" si="8"/>
        <v>4</v>
      </c>
      <c r="AF5112" s="19">
        <f t="shared" si="13"/>
        <v>1</v>
      </c>
      <c r="AG5112" s="9"/>
      <c r="AH5112" s="9"/>
      <c r="AI5112" s="9"/>
    </row>
    <row r="5113" ht="15.0" customHeight="1">
      <c r="A5113" s="11">
        <v>5112.0</v>
      </c>
      <c r="B5113" s="12">
        <f t="shared" si="812"/>
        <v>40691</v>
      </c>
      <c r="C5113" s="13">
        <v>2011.0</v>
      </c>
      <c r="D5113" s="11" t="s">
        <v>23</v>
      </c>
      <c r="E5113" s="11">
        <v>36.0</v>
      </c>
      <c r="F5113" s="21" t="s">
        <v>1015</v>
      </c>
      <c r="G5113" s="15">
        <v>0.04708768741481134</v>
      </c>
      <c r="H5113" s="11" t="s">
        <v>33</v>
      </c>
      <c r="I5113" s="16">
        <v>4.5360000000000005</v>
      </c>
      <c r="J5113" s="11" t="s">
        <v>2513</v>
      </c>
      <c r="K5113" s="11" t="s">
        <v>65</v>
      </c>
      <c r="L5113" s="11" t="s">
        <v>48</v>
      </c>
      <c r="M5113" s="11" t="s">
        <v>28</v>
      </c>
      <c r="N5113" s="11" t="s">
        <v>56</v>
      </c>
      <c r="O5113" s="11" t="s">
        <v>1617</v>
      </c>
      <c r="P5113" s="11" t="s">
        <v>38</v>
      </c>
      <c r="Q5113" s="20">
        <v>40693.0</v>
      </c>
      <c r="R5113" s="17">
        <f t="shared" si="2"/>
        <v>9.875983208</v>
      </c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>
        <f t="shared" si="8"/>
        <v>4</v>
      </c>
      <c r="AF5113" s="19">
        <f t="shared" si="13"/>
        <v>5</v>
      </c>
      <c r="AG5113" s="9"/>
      <c r="AH5113" s="9"/>
      <c r="AI5113" s="9"/>
    </row>
    <row r="5114" ht="15.0" customHeight="1">
      <c r="A5114" s="11">
        <v>5113.0</v>
      </c>
      <c r="B5114" s="12">
        <f t="shared" si="812"/>
        <v>40691</v>
      </c>
      <c r="C5114" s="13">
        <v>2011.0</v>
      </c>
      <c r="D5114" s="11" t="s">
        <v>23</v>
      </c>
      <c r="E5114" s="11">
        <v>14.0</v>
      </c>
      <c r="F5114" s="21" t="s">
        <v>950</v>
      </c>
      <c r="G5114" s="15">
        <v>0.011023041474654358</v>
      </c>
      <c r="H5114" s="11" t="s">
        <v>33</v>
      </c>
      <c r="I5114" s="16">
        <v>6.008</v>
      </c>
      <c r="J5114" s="11" t="s">
        <v>2513</v>
      </c>
      <c r="K5114" s="11" t="s">
        <v>65</v>
      </c>
      <c r="L5114" s="11" t="s">
        <v>48</v>
      </c>
      <c r="M5114" s="11" t="s">
        <v>28</v>
      </c>
      <c r="N5114" s="11" t="s">
        <v>29</v>
      </c>
      <c r="O5114" s="11" t="s">
        <v>1177</v>
      </c>
      <c r="P5114" s="11" t="s">
        <v>38</v>
      </c>
      <c r="Q5114" s="20">
        <v>40693.0</v>
      </c>
      <c r="R5114" s="17">
        <f t="shared" si="2"/>
        <v>2.365632885</v>
      </c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>
        <f t="shared" si="8"/>
        <v>4</v>
      </c>
      <c r="AF5114" s="19">
        <f t="shared" si="13"/>
        <v>5</v>
      </c>
      <c r="AG5114" s="9"/>
      <c r="AH5114" s="9"/>
      <c r="AI5114" s="9"/>
    </row>
    <row r="5115" ht="15.0" customHeight="1">
      <c r="A5115" s="11">
        <v>5114.0</v>
      </c>
      <c r="B5115" s="12">
        <f t="shared" si="812"/>
        <v>40691</v>
      </c>
      <c r="C5115" s="13">
        <v>2011.0</v>
      </c>
      <c r="D5115" s="11" t="s">
        <v>23</v>
      </c>
      <c r="E5115" s="11">
        <v>45.0</v>
      </c>
      <c r="F5115" s="21" t="s">
        <v>415</v>
      </c>
      <c r="G5115" s="15">
        <v>0.09061265822784803</v>
      </c>
      <c r="H5115" s="11" t="s">
        <v>33</v>
      </c>
      <c r="I5115" s="16">
        <v>4.104</v>
      </c>
      <c r="J5115" s="11" t="s">
        <v>2513</v>
      </c>
      <c r="K5115" s="11" t="s">
        <v>65</v>
      </c>
      <c r="L5115" s="11" t="s">
        <v>48</v>
      </c>
      <c r="M5115" s="11" t="s">
        <v>28</v>
      </c>
      <c r="N5115" s="11" t="s">
        <v>197</v>
      </c>
      <c r="O5115" s="11" t="s">
        <v>1788</v>
      </c>
      <c r="P5115" s="11" t="s">
        <v>38</v>
      </c>
      <c r="Q5115" s="20">
        <v>40693.0</v>
      </c>
      <c r="R5115" s="17">
        <f t="shared" si="2"/>
        <v>16.27439587</v>
      </c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>
        <f t="shared" si="8"/>
        <v>4</v>
      </c>
      <c r="AF5115" s="19">
        <f t="shared" si="13"/>
        <v>5</v>
      </c>
      <c r="AG5115" s="9"/>
      <c r="AH5115" s="9"/>
      <c r="AI5115" s="9"/>
    </row>
    <row r="5116" ht="15.0" customHeight="1">
      <c r="A5116" s="11">
        <v>5115.0</v>
      </c>
      <c r="B5116" s="12">
        <f t="shared" si="812"/>
        <v>40691</v>
      </c>
      <c r="C5116" s="13">
        <v>2011.0</v>
      </c>
      <c r="D5116" s="11" t="s">
        <v>102</v>
      </c>
      <c r="E5116" s="11">
        <v>6.0</v>
      </c>
      <c r="F5116" s="21" t="s">
        <v>163</v>
      </c>
      <c r="G5116" s="15">
        <v>0.01188717469222367</v>
      </c>
      <c r="H5116" s="11" t="s">
        <v>45</v>
      </c>
      <c r="I5116" s="16">
        <v>28.672000000000004</v>
      </c>
      <c r="J5116" s="11" t="s">
        <v>2542</v>
      </c>
      <c r="K5116" s="11" t="s">
        <v>61</v>
      </c>
      <c r="L5116" s="11" t="s">
        <v>36</v>
      </c>
      <c r="M5116" s="11" t="s">
        <v>49</v>
      </c>
      <c r="N5116" s="11" t="s">
        <v>156</v>
      </c>
      <c r="O5116" s="11" t="s">
        <v>165</v>
      </c>
      <c r="P5116" s="11" t="s">
        <v>87</v>
      </c>
      <c r="Q5116" s="20">
        <v>40694.0</v>
      </c>
      <c r="R5116" s="17">
        <f t="shared" si="2"/>
        <v>7.537324631</v>
      </c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>
        <f t="shared" si="8"/>
        <v>2</v>
      </c>
      <c r="AF5116" s="19">
        <f t="shared" si="13"/>
        <v>4</v>
      </c>
      <c r="AG5116" s="9"/>
      <c r="AH5116" s="9"/>
      <c r="AI5116" s="9"/>
    </row>
    <row r="5117" ht="15.0" customHeight="1">
      <c r="A5117" s="11">
        <v>5116.0</v>
      </c>
      <c r="B5117" s="12">
        <f t="shared" si="812"/>
        <v>40691</v>
      </c>
      <c r="C5117" s="13">
        <v>2011.0</v>
      </c>
      <c r="D5117" s="11" t="s">
        <v>44</v>
      </c>
      <c r="E5117" s="11">
        <v>44.0</v>
      </c>
      <c r="F5117" s="21" t="s">
        <v>1015</v>
      </c>
      <c r="G5117" s="15">
        <v>0.10860311958405544</v>
      </c>
      <c r="H5117" s="11" t="s">
        <v>33</v>
      </c>
      <c r="I5117" s="16">
        <v>6.368</v>
      </c>
      <c r="J5117" s="11" t="s">
        <v>1831</v>
      </c>
      <c r="K5117" s="11" t="s">
        <v>61</v>
      </c>
      <c r="L5117" s="11" t="s">
        <v>48</v>
      </c>
      <c r="M5117" s="11" t="s">
        <v>28</v>
      </c>
      <c r="N5117" s="11" t="s">
        <v>56</v>
      </c>
      <c r="O5117" s="11" t="s">
        <v>1531</v>
      </c>
      <c r="P5117" s="11" t="s">
        <v>38</v>
      </c>
      <c r="Q5117" s="20">
        <v>40694.0</v>
      </c>
      <c r="R5117" s="17">
        <f t="shared" si="2"/>
        <v>27.92924706</v>
      </c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>
        <f t="shared" si="8"/>
        <v>4</v>
      </c>
      <c r="AF5117" s="19">
        <f t="shared" si="13"/>
        <v>4</v>
      </c>
      <c r="AG5117" s="9"/>
      <c r="AH5117" s="9"/>
      <c r="AI5117" s="9"/>
    </row>
    <row r="5118" ht="15.0" customHeight="1">
      <c r="A5118" s="11">
        <v>5117.0</v>
      </c>
      <c r="B5118" s="12">
        <f t="shared" ref="B5118:B5120" si="813">DATE(2012,12,31)-581</f>
        <v>40693</v>
      </c>
      <c r="C5118" s="13">
        <v>2011.0</v>
      </c>
      <c r="D5118" s="11" t="s">
        <v>102</v>
      </c>
      <c r="E5118" s="11">
        <v>46.0</v>
      </c>
      <c r="F5118" s="21" t="s">
        <v>1148</v>
      </c>
      <c r="G5118" s="15">
        <v>0.03162431989857902</v>
      </c>
      <c r="H5118" s="11" t="s">
        <v>33</v>
      </c>
      <c r="I5118" s="16">
        <v>2.4320000000000004</v>
      </c>
      <c r="J5118" s="11" t="s">
        <v>713</v>
      </c>
      <c r="K5118" s="11" t="s">
        <v>714</v>
      </c>
      <c r="L5118" s="11" t="s">
        <v>27</v>
      </c>
      <c r="M5118" s="11" t="s">
        <v>49</v>
      </c>
      <c r="N5118" s="11" t="s">
        <v>73</v>
      </c>
      <c r="O5118" s="11" t="s">
        <v>1149</v>
      </c>
      <c r="P5118" s="11" t="s">
        <v>58</v>
      </c>
      <c r="Q5118" s="20">
        <v>40694.0</v>
      </c>
      <c r="R5118" s="17">
        <f t="shared" si="2"/>
        <v>57.97471522</v>
      </c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>
        <f t="shared" si="8"/>
        <v>1</v>
      </c>
      <c r="AF5118" s="19" t="b">
        <f t="shared" si="13"/>
        <v>0</v>
      </c>
      <c r="AG5118" s="9"/>
      <c r="AH5118" s="9"/>
      <c r="AI5118" s="9"/>
    </row>
    <row r="5119" ht="15.0" customHeight="1">
      <c r="A5119" s="11">
        <v>5118.0</v>
      </c>
      <c r="B5119" s="12">
        <f t="shared" si="813"/>
        <v>40693</v>
      </c>
      <c r="C5119" s="13">
        <v>2011.0</v>
      </c>
      <c r="D5119" s="11" t="s">
        <v>23</v>
      </c>
      <c r="E5119" s="11">
        <v>33.0</v>
      </c>
      <c r="F5119" s="21" t="s">
        <v>142</v>
      </c>
      <c r="G5119" s="15">
        <v>0.02252408001975788</v>
      </c>
      <c r="H5119" s="11" t="s">
        <v>33</v>
      </c>
      <c r="I5119" s="16">
        <v>2.64</v>
      </c>
      <c r="J5119" s="11" t="s">
        <v>1930</v>
      </c>
      <c r="K5119" s="11" t="s">
        <v>117</v>
      </c>
      <c r="L5119" s="11" t="s">
        <v>41</v>
      </c>
      <c r="M5119" s="11" t="s">
        <v>66</v>
      </c>
      <c r="N5119" s="11" t="s">
        <v>80</v>
      </c>
      <c r="O5119" s="11" t="s">
        <v>837</v>
      </c>
      <c r="P5119" s="11" t="s">
        <v>99</v>
      </c>
      <c r="Q5119" s="20">
        <v>40694.0</v>
      </c>
      <c r="R5119" s="17">
        <f t="shared" si="2"/>
        <v>26.74374117</v>
      </c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>
        <f t="shared" si="8"/>
        <v>3</v>
      </c>
      <c r="AF5119" s="19" t="b">
        <f t="shared" si="13"/>
        <v>0</v>
      </c>
      <c r="AG5119" s="9"/>
      <c r="AH5119" s="9"/>
      <c r="AI5119" s="9"/>
    </row>
    <row r="5120" ht="15.0" customHeight="1">
      <c r="A5120" s="11">
        <v>5119.0</v>
      </c>
      <c r="B5120" s="12">
        <f t="shared" si="813"/>
        <v>40693</v>
      </c>
      <c r="C5120" s="13">
        <v>2011.0</v>
      </c>
      <c r="D5120" s="11" t="s">
        <v>102</v>
      </c>
      <c r="E5120" s="11">
        <v>50.0</v>
      </c>
      <c r="F5120" s="21" t="s">
        <v>103</v>
      </c>
      <c r="G5120" s="15">
        <v>0.0783172327827984</v>
      </c>
      <c r="H5120" s="11" t="s">
        <v>33</v>
      </c>
      <c r="I5120" s="16">
        <v>0.768</v>
      </c>
      <c r="J5120" s="11" t="s">
        <v>1533</v>
      </c>
      <c r="K5120" s="11" t="s">
        <v>61</v>
      </c>
      <c r="L5120" s="11" t="s">
        <v>41</v>
      </c>
      <c r="M5120" s="11" t="s">
        <v>28</v>
      </c>
      <c r="N5120" s="11" t="s">
        <v>62</v>
      </c>
      <c r="O5120" s="11" t="s">
        <v>691</v>
      </c>
      <c r="P5120" s="11" t="s">
        <v>58</v>
      </c>
      <c r="Q5120" s="20">
        <v>40695.0</v>
      </c>
      <c r="R5120" s="17">
        <f t="shared" si="2"/>
        <v>23.16373131</v>
      </c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>
        <f t="shared" si="8"/>
        <v>3</v>
      </c>
      <c r="AF5120" s="19">
        <f t="shared" si="13"/>
        <v>4</v>
      </c>
      <c r="AG5120" s="9"/>
      <c r="AH5120" s="9"/>
      <c r="AI5120" s="9"/>
    </row>
    <row r="5121" ht="15.0" customHeight="1">
      <c r="A5121" s="11">
        <v>5120.0</v>
      </c>
      <c r="B5121" s="12">
        <f t="shared" ref="B5121:B5129" si="814">DATE(2012,12,31)-580</f>
        <v>40694</v>
      </c>
      <c r="C5121" s="13">
        <v>2011.0</v>
      </c>
      <c r="D5121" s="11" t="s">
        <v>39</v>
      </c>
      <c r="E5121" s="11">
        <v>32.0</v>
      </c>
      <c r="F5121" s="21" t="s">
        <v>259</v>
      </c>
      <c r="G5121" s="15">
        <v>0.04441191845269215</v>
      </c>
      <c r="H5121" s="11" t="s">
        <v>33</v>
      </c>
      <c r="I5121" s="16">
        <v>4.008</v>
      </c>
      <c r="J5121" s="11" t="s">
        <v>1058</v>
      </c>
      <c r="K5121" s="11" t="s">
        <v>61</v>
      </c>
      <c r="L5121" s="11" t="s">
        <v>41</v>
      </c>
      <c r="M5121" s="11" t="s">
        <v>28</v>
      </c>
      <c r="N5121" s="11" t="s">
        <v>56</v>
      </c>
      <c r="O5121" s="11" t="s">
        <v>260</v>
      </c>
      <c r="P5121" s="11" t="s">
        <v>38</v>
      </c>
      <c r="Q5121" s="20">
        <v>40695.0</v>
      </c>
      <c r="R5121" s="17">
        <f t="shared" si="2"/>
        <v>16.23735268</v>
      </c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>
        <f t="shared" si="8"/>
        <v>3</v>
      </c>
      <c r="AF5121" s="19">
        <f t="shared" si="13"/>
        <v>4</v>
      </c>
      <c r="AG5121" s="9"/>
      <c r="AH5121" s="9"/>
      <c r="AI5121" s="9"/>
    </row>
    <row r="5122" ht="15.0" customHeight="1">
      <c r="A5122" s="11">
        <v>5121.0</v>
      </c>
      <c r="B5122" s="12">
        <f t="shared" si="814"/>
        <v>40694</v>
      </c>
      <c r="C5122" s="13">
        <v>2011.0</v>
      </c>
      <c r="D5122" s="11" t="s">
        <v>23</v>
      </c>
      <c r="E5122" s="11">
        <v>7.0</v>
      </c>
      <c r="F5122" s="21" t="s">
        <v>1596</v>
      </c>
      <c r="G5122" s="15">
        <v>0.02503290129611161</v>
      </c>
      <c r="H5122" s="11" t="s">
        <v>33</v>
      </c>
      <c r="I5122" s="16">
        <v>19.592</v>
      </c>
      <c r="J5122" s="11" t="s">
        <v>763</v>
      </c>
      <c r="K5122" s="11" t="s">
        <v>65</v>
      </c>
      <c r="L5122" s="11" t="s">
        <v>27</v>
      </c>
      <c r="M5122" s="11" t="s">
        <v>49</v>
      </c>
      <c r="N5122" s="11" t="s">
        <v>73</v>
      </c>
      <c r="O5122" s="11" t="s">
        <v>1597</v>
      </c>
      <c r="P5122" s="11" t="s">
        <v>31</v>
      </c>
      <c r="Q5122" s="20">
        <v>40695.0</v>
      </c>
      <c r="R5122" s="17">
        <f t="shared" si="2"/>
        <v>24.47947391</v>
      </c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>
        <f t="shared" si="8"/>
        <v>1</v>
      </c>
      <c r="AF5122" s="19">
        <f t="shared" si="13"/>
        <v>5</v>
      </c>
      <c r="AG5122" s="9"/>
      <c r="AH5122" s="9"/>
      <c r="AI5122" s="9"/>
    </row>
    <row r="5123" ht="15.0" customHeight="1">
      <c r="A5123" s="11">
        <v>5122.0</v>
      </c>
      <c r="B5123" s="12">
        <f t="shared" si="814"/>
        <v>40694</v>
      </c>
      <c r="C5123" s="13">
        <v>2011.0</v>
      </c>
      <c r="D5123" s="11" t="s">
        <v>39</v>
      </c>
      <c r="E5123" s="11">
        <v>16.0</v>
      </c>
      <c r="F5123" s="21" t="s">
        <v>473</v>
      </c>
      <c r="G5123" s="15">
        <v>0.07696734282837002</v>
      </c>
      <c r="H5123" s="11" t="s">
        <v>33</v>
      </c>
      <c r="I5123" s="16">
        <v>3.2</v>
      </c>
      <c r="J5123" s="11" t="s">
        <v>1355</v>
      </c>
      <c r="K5123" s="11" t="s">
        <v>61</v>
      </c>
      <c r="L5123" s="11" t="s">
        <v>27</v>
      </c>
      <c r="M5123" s="11" t="s">
        <v>66</v>
      </c>
      <c r="N5123" s="11" t="s">
        <v>67</v>
      </c>
      <c r="O5123" s="11" t="s">
        <v>1019</v>
      </c>
      <c r="P5123" s="11" t="s">
        <v>38</v>
      </c>
      <c r="Q5123" s="20">
        <v>40695.0</v>
      </c>
      <c r="R5123" s="17">
        <f t="shared" si="2"/>
        <v>49.38224716</v>
      </c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>
        <f t="shared" si="8"/>
        <v>1</v>
      </c>
      <c r="AF5123" s="19">
        <f t="shared" si="13"/>
        <v>4</v>
      </c>
      <c r="AG5123" s="9"/>
      <c r="AH5123" s="9"/>
      <c r="AI5123" s="9"/>
    </row>
    <row r="5124" ht="15.0" customHeight="1">
      <c r="A5124" s="11">
        <v>5123.0</v>
      </c>
      <c r="B5124" s="12">
        <f t="shared" si="814"/>
        <v>40694</v>
      </c>
      <c r="C5124" s="13">
        <v>2011.0</v>
      </c>
      <c r="D5124" s="11" t="s">
        <v>39</v>
      </c>
      <c r="E5124" s="11">
        <v>17.0</v>
      </c>
      <c r="F5124" s="21" t="s">
        <v>135</v>
      </c>
      <c r="G5124" s="15">
        <v>0.0669224620303757</v>
      </c>
      <c r="H5124" s="11" t="s">
        <v>33</v>
      </c>
      <c r="I5124" s="16">
        <v>4.5280000000000005</v>
      </c>
      <c r="J5124" s="11" t="s">
        <v>1355</v>
      </c>
      <c r="K5124" s="11" t="s">
        <v>61</v>
      </c>
      <c r="L5124" s="11" t="s">
        <v>27</v>
      </c>
      <c r="M5124" s="11" t="s">
        <v>28</v>
      </c>
      <c r="N5124" s="11" t="s">
        <v>56</v>
      </c>
      <c r="O5124" s="11" t="s">
        <v>590</v>
      </c>
      <c r="P5124" s="11" t="s">
        <v>38</v>
      </c>
      <c r="Q5124" s="20">
        <v>40696.0</v>
      </c>
      <c r="R5124" s="17">
        <f t="shared" si="2"/>
        <v>7.811725148</v>
      </c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>
        <f t="shared" si="8"/>
        <v>1</v>
      </c>
      <c r="AF5124" s="19">
        <f t="shared" si="13"/>
        <v>4</v>
      </c>
      <c r="AG5124" s="9"/>
      <c r="AH5124" s="9"/>
      <c r="AI5124" s="9"/>
    </row>
    <row r="5125" ht="15.0" customHeight="1">
      <c r="A5125" s="11">
        <v>5124.0</v>
      </c>
      <c r="B5125" s="12">
        <f t="shared" si="814"/>
        <v>40694</v>
      </c>
      <c r="C5125" s="13">
        <v>2011.0</v>
      </c>
      <c r="D5125" s="11" t="s">
        <v>23</v>
      </c>
      <c r="E5125" s="11">
        <v>32.0</v>
      </c>
      <c r="F5125" s="21" t="s">
        <v>1399</v>
      </c>
      <c r="G5125" s="15">
        <v>0.06044843049327362</v>
      </c>
      <c r="H5125" s="11" t="s">
        <v>24</v>
      </c>
      <c r="I5125" s="16">
        <v>28.0</v>
      </c>
      <c r="J5125" s="11" t="s">
        <v>1308</v>
      </c>
      <c r="K5125" s="11" t="s">
        <v>61</v>
      </c>
      <c r="L5125" s="11" t="s">
        <v>36</v>
      </c>
      <c r="M5125" s="11" t="s">
        <v>28</v>
      </c>
      <c r="N5125" s="11" t="s">
        <v>29</v>
      </c>
      <c r="O5125" s="11" t="s">
        <v>1400</v>
      </c>
      <c r="P5125" s="11" t="s">
        <v>31</v>
      </c>
      <c r="Q5125" s="20">
        <v>40696.0</v>
      </c>
      <c r="R5125" s="17">
        <f t="shared" si="2"/>
        <v>126.6515516</v>
      </c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>
        <f t="shared" si="8"/>
        <v>2</v>
      </c>
      <c r="AF5125" s="19">
        <f t="shared" si="13"/>
        <v>4</v>
      </c>
      <c r="AG5125" s="9"/>
      <c r="AH5125" s="9"/>
      <c r="AI5125" s="9"/>
    </row>
    <row r="5126" ht="15.0" customHeight="1">
      <c r="A5126" s="11">
        <v>5125.0</v>
      </c>
      <c r="B5126" s="12">
        <f t="shared" si="814"/>
        <v>40694</v>
      </c>
      <c r="C5126" s="13">
        <v>2011.0</v>
      </c>
      <c r="D5126" s="11" t="s">
        <v>23</v>
      </c>
      <c r="E5126" s="11">
        <v>3.0</v>
      </c>
      <c r="F5126" s="21" t="s">
        <v>428</v>
      </c>
      <c r="G5126" s="15">
        <v>0.07629427792915543</v>
      </c>
      <c r="H5126" s="11" t="s">
        <v>45</v>
      </c>
      <c r="I5126" s="16">
        <v>22.200000000000003</v>
      </c>
      <c r="J5126" s="11" t="s">
        <v>1308</v>
      </c>
      <c r="K5126" s="11" t="s">
        <v>61</v>
      </c>
      <c r="L5126" s="11" t="s">
        <v>36</v>
      </c>
      <c r="M5126" s="11" t="s">
        <v>49</v>
      </c>
      <c r="N5126" s="11" t="s">
        <v>85</v>
      </c>
      <c r="O5126" s="11" t="s">
        <v>1668</v>
      </c>
      <c r="P5126" s="11" t="s">
        <v>87</v>
      </c>
      <c r="Q5126" s="20">
        <v>40696.0</v>
      </c>
      <c r="R5126" s="17">
        <f t="shared" si="2"/>
        <v>5.172752044</v>
      </c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>
        <f t="shared" si="8"/>
        <v>2</v>
      </c>
      <c r="AF5126" s="19">
        <f t="shared" si="13"/>
        <v>4</v>
      </c>
      <c r="AG5126" s="9"/>
      <c r="AH5126" s="9"/>
      <c r="AI5126" s="9"/>
    </row>
    <row r="5127" ht="15.0" customHeight="1">
      <c r="A5127" s="11">
        <v>5126.0</v>
      </c>
      <c r="B5127" s="12">
        <f t="shared" si="814"/>
        <v>40694</v>
      </c>
      <c r="C5127" s="13">
        <v>2011.0</v>
      </c>
      <c r="D5127" s="11" t="s">
        <v>39</v>
      </c>
      <c r="E5127" s="11">
        <v>26.0</v>
      </c>
      <c r="F5127" s="21" t="s">
        <v>183</v>
      </c>
      <c r="G5127" s="15">
        <v>0.018912992768835894</v>
      </c>
      <c r="H5127" s="11" t="s">
        <v>24</v>
      </c>
      <c r="I5127" s="16">
        <v>7.192</v>
      </c>
      <c r="J5127" s="11" t="s">
        <v>1108</v>
      </c>
      <c r="K5127" s="11" t="s">
        <v>47</v>
      </c>
      <c r="L5127" s="11" t="s">
        <v>27</v>
      </c>
      <c r="M5127" s="11" t="s">
        <v>66</v>
      </c>
      <c r="N5127" s="11" t="s">
        <v>67</v>
      </c>
      <c r="O5127" s="11" t="s">
        <v>505</v>
      </c>
      <c r="P5127" s="11" t="s">
        <v>99</v>
      </c>
      <c r="Q5127" s="20">
        <v>40696.0</v>
      </c>
      <c r="R5127" s="17">
        <f t="shared" si="2"/>
        <v>7.954653455</v>
      </c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>
        <f t="shared" si="8"/>
        <v>1</v>
      </c>
      <c r="AF5127" s="19">
        <f t="shared" si="13"/>
        <v>3</v>
      </c>
      <c r="AG5127" s="9"/>
      <c r="AH5127" s="9"/>
      <c r="AI5127" s="9"/>
    </row>
    <row r="5128" ht="15.0" customHeight="1">
      <c r="A5128" s="11">
        <v>5127.0</v>
      </c>
      <c r="B5128" s="12">
        <f t="shared" si="814"/>
        <v>40694</v>
      </c>
      <c r="C5128" s="13">
        <v>2011.0</v>
      </c>
      <c r="D5128" s="11" t="s">
        <v>39</v>
      </c>
      <c r="E5128" s="11">
        <v>45.0</v>
      </c>
      <c r="F5128" s="21" t="s">
        <v>610</v>
      </c>
      <c r="G5128" s="15">
        <v>0.0820341229087295</v>
      </c>
      <c r="H5128" s="11" t="s">
        <v>33</v>
      </c>
      <c r="I5128" s="16">
        <v>5.176</v>
      </c>
      <c r="J5128" s="11" t="s">
        <v>1108</v>
      </c>
      <c r="K5128" s="11" t="s">
        <v>47</v>
      </c>
      <c r="L5128" s="11" t="s">
        <v>27</v>
      </c>
      <c r="M5128" s="11" t="s">
        <v>28</v>
      </c>
      <c r="N5128" s="11" t="s">
        <v>56</v>
      </c>
      <c r="O5128" s="11" t="s">
        <v>2006</v>
      </c>
      <c r="P5128" s="11" t="s">
        <v>38</v>
      </c>
      <c r="Q5128" s="20">
        <v>40696.0</v>
      </c>
      <c r="R5128" s="17">
        <f t="shared" si="2"/>
        <v>45.4613421</v>
      </c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>
        <f t="shared" si="8"/>
        <v>1</v>
      </c>
      <c r="AF5128" s="19">
        <f t="shared" si="13"/>
        <v>3</v>
      </c>
      <c r="AG5128" s="9"/>
      <c r="AH5128" s="9"/>
      <c r="AI5128" s="9"/>
    </row>
    <row r="5129" ht="15.0" customHeight="1">
      <c r="A5129" s="11">
        <v>5128.0</v>
      </c>
      <c r="B5129" s="12">
        <f t="shared" si="814"/>
        <v>40694</v>
      </c>
      <c r="C5129" s="13">
        <v>2011.0</v>
      </c>
      <c r="D5129" s="11" t="s">
        <v>39</v>
      </c>
      <c r="E5129" s="11">
        <v>12.0</v>
      </c>
      <c r="F5129" s="21" t="s">
        <v>130</v>
      </c>
      <c r="G5129" s="15">
        <v>0.0956043425814235</v>
      </c>
      <c r="H5129" s="11" t="s">
        <v>24</v>
      </c>
      <c r="I5129" s="16">
        <v>4.072</v>
      </c>
      <c r="J5129" s="11" t="s">
        <v>1108</v>
      </c>
      <c r="K5129" s="11" t="s">
        <v>47</v>
      </c>
      <c r="L5129" s="11" t="s">
        <v>27</v>
      </c>
      <c r="M5129" s="11" t="s">
        <v>28</v>
      </c>
      <c r="N5129" s="11" t="s">
        <v>56</v>
      </c>
      <c r="O5129" s="11" t="s">
        <v>150</v>
      </c>
      <c r="P5129" s="11" t="s">
        <v>38</v>
      </c>
      <c r="Q5129" s="20">
        <v>40696.0</v>
      </c>
      <c r="R5129" s="17">
        <f t="shared" si="2"/>
        <v>35.83939111</v>
      </c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>
        <f t="shared" si="8"/>
        <v>1</v>
      </c>
      <c r="AF5129" s="19">
        <f t="shared" si="13"/>
        <v>3</v>
      </c>
      <c r="AG5129" s="9"/>
      <c r="AH5129" s="9"/>
      <c r="AI5129" s="9"/>
    </row>
    <row r="5130" ht="15.0" customHeight="1">
      <c r="A5130" s="11">
        <v>5129.0</v>
      </c>
      <c r="B5130" s="12">
        <f t="shared" ref="B5130:B5136" si="815">DATE(2012,12,31)-579</f>
        <v>40695</v>
      </c>
      <c r="C5130" s="13">
        <v>2011.0</v>
      </c>
      <c r="D5130" s="11" t="s">
        <v>32</v>
      </c>
      <c r="E5130" s="11">
        <v>11.0</v>
      </c>
      <c r="F5130" s="21" t="s">
        <v>259</v>
      </c>
      <c r="G5130" s="15">
        <v>0.07559077809798263</v>
      </c>
      <c r="H5130" s="11" t="s">
        <v>33</v>
      </c>
      <c r="I5130" s="16">
        <v>4.008</v>
      </c>
      <c r="J5130" s="11" t="s">
        <v>211</v>
      </c>
      <c r="K5130" s="11" t="s">
        <v>35</v>
      </c>
      <c r="L5130" s="11" t="s">
        <v>27</v>
      </c>
      <c r="M5130" s="11" t="s">
        <v>28</v>
      </c>
      <c r="N5130" s="11" t="s">
        <v>56</v>
      </c>
      <c r="O5130" s="11" t="s">
        <v>260</v>
      </c>
      <c r="P5130" s="11" t="s">
        <v>38</v>
      </c>
      <c r="Q5130" s="20">
        <v>40696.0</v>
      </c>
      <c r="R5130" s="17">
        <f t="shared" si="2"/>
        <v>9.698901556</v>
      </c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>
        <f t="shared" si="8"/>
        <v>1</v>
      </c>
      <c r="AF5130" s="19">
        <f t="shared" si="13"/>
        <v>2</v>
      </c>
      <c r="AG5130" s="9"/>
      <c r="AH5130" s="9"/>
      <c r="AI5130" s="9"/>
    </row>
    <row r="5131" ht="15.0" customHeight="1">
      <c r="A5131" s="11">
        <v>5130.0</v>
      </c>
      <c r="B5131" s="12">
        <f t="shared" si="815"/>
        <v>40695</v>
      </c>
      <c r="C5131" s="13">
        <v>2011.0</v>
      </c>
      <c r="D5131" s="11" t="s">
        <v>32</v>
      </c>
      <c r="E5131" s="11">
        <v>23.0</v>
      </c>
      <c r="F5131" s="21" t="s">
        <v>886</v>
      </c>
      <c r="G5131" s="15">
        <v>0.017239300783604663</v>
      </c>
      <c r="H5131" s="11" t="s">
        <v>45</v>
      </c>
      <c r="I5131" s="16">
        <v>48.0</v>
      </c>
      <c r="J5131" s="11" t="s">
        <v>211</v>
      </c>
      <c r="K5131" s="11" t="s">
        <v>35</v>
      </c>
      <c r="L5131" s="11" t="s">
        <v>27</v>
      </c>
      <c r="M5131" s="11" t="s">
        <v>28</v>
      </c>
      <c r="N5131" s="11" t="s">
        <v>197</v>
      </c>
      <c r="O5131" s="11" t="s">
        <v>888</v>
      </c>
      <c r="P5131" s="11" t="s">
        <v>52</v>
      </c>
      <c r="Q5131" s="20">
        <v>40696.0</v>
      </c>
      <c r="R5131" s="17">
        <f t="shared" si="2"/>
        <v>28.106956</v>
      </c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>
        <f t="shared" si="8"/>
        <v>1</v>
      </c>
      <c r="AF5131" s="19">
        <f t="shared" si="13"/>
        <v>2</v>
      </c>
      <c r="AG5131" s="9"/>
      <c r="AH5131" s="9"/>
      <c r="AI5131" s="9"/>
    </row>
    <row r="5132" ht="15.0" customHeight="1">
      <c r="A5132" s="11">
        <v>5131.0</v>
      </c>
      <c r="B5132" s="12">
        <f t="shared" si="815"/>
        <v>40695</v>
      </c>
      <c r="C5132" s="13">
        <v>2011.0</v>
      </c>
      <c r="D5132" s="11" t="s">
        <v>32</v>
      </c>
      <c r="E5132" s="11">
        <v>25.0</v>
      </c>
      <c r="F5132" s="21" t="s">
        <v>306</v>
      </c>
      <c r="G5132" s="15">
        <v>0.0799120718080235</v>
      </c>
      <c r="H5132" s="11" t="s">
        <v>33</v>
      </c>
      <c r="I5132" s="16">
        <v>4.776</v>
      </c>
      <c r="J5132" s="11" t="s">
        <v>1963</v>
      </c>
      <c r="K5132" s="11" t="s">
        <v>65</v>
      </c>
      <c r="L5132" s="11" t="s">
        <v>41</v>
      </c>
      <c r="M5132" s="11" t="s">
        <v>28</v>
      </c>
      <c r="N5132" s="11" t="s">
        <v>56</v>
      </c>
      <c r="O5132" s="11" t="s">
        <v>1866</v>
      </c>
      <c r="P5132" s="11" t="s">
        <v>38</v>
      </c>
      <c r="Q5132" s="20">
        <v>40697.0</v>
      </c>
      <c r="R5132" s="17">
        <f t="shared" si="2"/>
        <v>40.13791578</v>
      </c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>
        <f t="shared" si="8"/>
        <v>3</v>
      </c>
      <c r="AF5132" s="19">
        <f t="shared" si="13"/>
        <v>5</v>
      </c>
      <c r="AG5132" s="9"/>
      <c r="AH5132" s="9"/>
      <c r="AI5132" s="9"/>
    </row>
    <row r="5133" ht="15.0" customHeight="1">
      <c r="A5133" s="11">
        <v>5132.0</v>
      </c>
      <c r="B5133" s="12">
        <f t="shared" si="815"/>
        <v>40695</v>
      </c>
      <c r="C5133" s="13">
        <v>2011.0</v>
      </c>
      <c r="D5133" s="11" t="s">
        <v>32</v>
      </c>
      <c r="E5133" s="11">
        <v>43.0</v>
      </c>
      <c r="F5133" s="21" t="s">
        <v>621</v>
      </c>
      <c r="G5133" s="15">
        <v>0.0747538072474454</v>
      </c>
      <c r="H5133" s="11" t="s">
        <v>45</v>
      </c>
      <c r="I5133" s="16">
        <v>22.448</v>
      </c>
      <c r="J5133" s="11" t="s">
        <v>1963</v>
      </c>
      <c r="K5133" s="11" t="s">
        <v>65</v>
      </c>
      <c r="L5133" s="11" t="s">
        <v>41</v>
      </c>
      <c r="M5133" s="11" t="s">
        <v>66</v>
      </c>
      <c r="N5133" s="11" t="s">
        <v>69</v>
      </c>
      <c r="O5133" s="11" t="s">
        <v>916</v>
      </c>
      <c r="P5133" s="11" t="s">
        <v>52</v>
      </c>
      <c r="Q5133" s="20">
        <v>40697.0</v>
      </c>
      <c r="R5133" s="17">
        <f t="shared" si="2"/>
        <v>872.4627479</v>
      </c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>
        <f t="shared" si="8"/>
        <v>3</v>
      </c>
      <c r="AF5133" s="19">
        <f t="shared" si="13"/>
        <v>5</v>
      </c>
      <c r="AG5133" s="9"/>
      <c r="AH5133" s="9"/>
      <c r="AI5133" s="9"/>
    </row>
    <row r="5134" ht="15.0" customHeight="1">
      <c r="A5134" s="11">
        <v>5133.0</v>
      </c>
      <c r="B5134" s="12">
        <f t="shared" si="815"/>
        <v>40695</v>
      </c>
      <c r="C5134" s="13">
        <v>2011.0</v>
      </c>
      <c r="D5134" s="11" t="s">
        <v>32</v>
      </c>
      <c r="E5134" s="11">
        <v>19.0</v>
      </c>
      <c r="F5134" s="21" t="s">
        <v>333</v>
      </c>
      <c r="G5134" s="15">
        <v>0.10611199999999997</v>
      </c>
      <c r="H5134" s="11" t="s">
        <v>33</v>
      </c>
      <c r="I5134" s="16">
        <v>0.768</v>
      </c>
      <c r="J5134" s="11" t="s">
        <v>1963</v>
      </c>
      <c r="K5134" s="11" t="s">
        <v>65</v>
      </c>
      <c r="L5134" s="11" t="s">
        <v>41</v>
      </c>
      <c r="M5134" s="11" t="s">
        <v>28</v>
      </c>
      <c r="N5134" s="11" t="s">
        <v>62</v>
      </c>
      <c r="O5134" s="11" t="s">
        <v>549</v>
      </c>
      <c r="P5134" s="11" t="s">
        <v>58</v>
      </c>
      <c r="Q5134" s="20">
        <v>40697.0</v>
      </c>
      <c r="R5134" s="17">
        <f t="shared" si="2"/>
        <v>5.928265216</v>
      </c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>
        <f t="shared" si="8"/>
        <v>3</v>
      </c>
      <c r="AF5134" s="19">
        <f t="shared" si="13"/>
        <v>5</v>
      </c>
      <c r="AG5134" s="9"/>
      <c r="AH5134" s="9"/>
      <c r="AI5134" s="9"/>
    </row>
    <row r="5135" ht="15.0" customHeight="1">
      <c r="A5135" s="11">
        <v>5134.0</v>
      </c>
      <c r="B5135" s="12">
        <f t="shared" si="815"/>
        <v>40695</v>
      </c>
      <c r="C5135" s="13">
        <v>2011.0</v>
      </c>
      <c r="D5135" s="11" t="s">
        <v>102</v>
      </c>
      <c r="E5135" s="11">
        <v>50.0</v>
      </c>
      <c r="F5135" s="21" t="s">
        <v>415</v>
      </c>
      <c r="G5135" s="15">
        <v>0.034377120698012666</v>
      </c>
      <c r="H5135" s="11" t="s">
        <v>33</v>
      </c>
      <c r="I5135" s="16">
        <v>4.208</v>
      </c>
      <c r="J5135" s="11" t="s">
        <v>494</v>
      </c>
      <c r="K5135" s="11" t="s">
        <v>83</v>
      </c>
      <c r="L5135" s="11" t="s">
        <v>48</v>
      </c>
      <c r="M5135" s="11" t="s">
        <v>28</v>
      </c>
      <c r="N5135" s="11" t="s">
        <v>42</v>
      </c>
      <c r="O5135" s="11" t="s">
        <v>971</v>
      </c>
      <c r="P5135" s="11" t="s">
        <v>38</v>
      </c>
      <c r="Q5135" s="20">
        <v>40697.0</v>
      </c>
      <c r="R5135" s="17">
        <f t="shared" si="2"/>
        <v>6.84819746</v>
      </c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>
        <f t="shared" si="8"/>
        <v>4</v>
      </c>
      <c r="AF5135" s="19" t="b">
        <f t="shared" si="13"/>
        <v>0</v>
      </c>
      <c r="AG5135" s="9"/>
      <c r="AH5135" s="9"/>
      <c r="AI5135" s="9"/>
    </row>
    <row r="5136" ht="15.0" customHeight="1">
      <c r="A5136" s="11">
        <v>5135.0</v>
      </c>
      <c r="B5136" s="12">
        <f t="shared" si="815"/>
        <v>40695</v>
      </c>
      <c r="C5136" s="13">
        <v>2011.0</v>
      </c>
      <c r="D5136" s="11" t="s">
        <v>102</v>
      </c>
      <c r="E5136" s="11">
        <v>25.0</v>
      </c>
      <c r="F5136" s="21" t="s">
        <v>2380</v>
      </c>
      <c r="G5136" s="15">
        <v>0.029230222362652658</v>
      </c>
      <c r="H5136" s="11" t="s">
        <v>33</v>
      </c>
      <c r="I5136" s="16">
        <v>0.392</v>
      </c>
      <c r="J5136" s="11" t="s">
        <v>494</v>
      </c>
      <c r="K5136" s="11" t="s">
        <v>83</v>
      </c>
      <c r="L5136" s="11" t="s">
        <v>48</v>
      </c>
      <c r="M5136" s="11" t="s">
        <v>28</v>
      </c>
      <c r="N5136" s="11" t="s">
        <v>188</v>
      </c>
      <c r="O5136" s="11" t="s">
        <v>2381</v>
      </c>
      <c r="P5136" s="11" t="s">
        <v>38</v>
      </c>
      <c r="Q5136" s="20">
        <v>40697.0</v>
      </c>
      <c r="R5136" s="17">
        <f t="shared" si="2"/>
        <v>71.8447297</v>
      </c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>
        <f t="shared" si="8"/>
        <v>4</v>
      </c>
      <c r="AF5136" s="19" t="b">
        <f t="shared" si="13"/>
        <v>0</v>
      </c>
      <c r="AG5136" s="9"/>
      <c r="AH5136" s="9"/>
      <c r="AI5136" s="9"/>
    </row>
    <row r="5137" ht="15.0" customHeight="1">
      <c r="A5137" s="11">
        <v>5136.0</v>
      </c>
      <c r="B5137" s="12">
        <f t="shared" ref="B5137:B5140" si="816">DATE(2012,12,31)-578</f>
        <v>40696</v>
      </c>
      <c r="C5137" s="13">
        <v>2011.0</v>
      </c>
      <c r="D5137" s="11" t="s">
        <v>44</v>
      </c>
      <c r="E5137" s="11">
        <v>13.0</v>
      </c>
      <c r="F5137" s="21" t="s">
        <v>178</v>
      </c>
      <c r="G5137" s="15">
        <v>0.022857142857142822</v>
      </c>
      <c r="H5137" s="11" t="s">
        <v>33</v>
      </c>
      <c r="I5137" s="16">
        <v>7.192</v>
      </c>
      <c r="J5137" s="11" t="s">
        <v>392</v>
      </c>
      <c r="K5137" s="11" t="s">
        <v>65</v>
      </c>
      <c r="L5137" s="11" t="s">
        <v>48</v>
      </c>
      <c r="M5137" s="11" t="s">
        <v>66</v>
      </c>
      <c r="N5137" s="11" t="s">
        <v>80</v>
      </c>
      <c r="O5137" s="11" t="s">
        <v>1421</v>
      </c>
      <c r="P5137" s="11" t="s">
        <v>38</v>
      </c>
      <c r="Q5137" s="20">
        <v>40697.0</v>
      </c>
      <c r="R5137" s="17">
        <f t="shared" si="2"/>
        <v>19.74610286</v>
      </c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>
        <f t="shared" si="8"/>
        <v>4</v>
      </c>
      <c r="AF5137" s="19">
        <f t="shared" si="13"/>
        <v>5</v>
      </c>
      <c r="AG5137" s="9"/>
      <c r="AH5137" s="9"/>
      <c r="AI5137" s="9"/>
    </row>
    <row r="5138" ht="15.0" customHeight="1">
      <c r="A5138" s="11">
        <v>5137.0</v>
      </c>
      <c r="B5138" s="12">
        <f t="shared" si="816"/>
        <v>40696</v>
      </c>
      <c r="C5138" s="13">
        <v>2011.0</v>
      </c>
      <c r="D5138" s="11" t="s">
        <v>39</v>
      </c>
      <c r="E5138" s="11">
        <v>40.0</v>
      </c>
      <c r="F5138" s="21" t="s">
        <v>536</v>
      </c>
      <c r="G5138" s="15">
        <v>0.03254076351325053</v>
      </c>
      <c r="H5138" s="11" t="s">
        <v>45</v>
      </c>
      <c r="I5138" s="16">
        <v>56.160000000000004</v>
      </c>
      <c r="J5138" s="11" t="s">
        <v>155</v>
      </c>
      <c r="K5138" s="11" t="s">
        <v>117</v>
      </c>
      <c r="L5138" s="11" t="s">
        <v>27</v>
      </c>
      <c r="M5138" s="11" t="s">
        <v>49</v>
      </c>
      <c r="N5138" s="11" t="s">
        <v>50</v>
      </c>
      <c r="O5138" s="11" t="s">
        <v>537</v>
      </c>
      <c r="P5138" s="11" t="s">
        <v>52</v>
      </c>
      <c r="Q5138" s="20">
        <v>40697.0</v>
      </c>
      <c r="R5138" s="17">
        <f t="shared" si="2"/>
        <v>161.7978827</v>
      </c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>
        <f t="shared" si="8"/>
        <v>1</v>
      </c>
      <c r="AF5138" s="19" t="b">
        <f t="shared" si="13"/>
        <v>0</v>
      </c>
      <c r="AG5138" s="9"/>
      <c r="AH5138" s="9"/>
      <c r="AI5138" s="9"/>
    </row>
    <row r="5139" ht="15.0" customHeight="1">
      <c r="A5139" s="11">
        <v>5138.0</v>
      </c>
      <c r="B5139" s="12">
        <f t="shared" si="816"/>
        <v>40696</v>
      </c>
      <c r="C5139" s="13">
        <v>2011.0</v>
      </c>
      <c r="D5139" s="11" t="s">
        <v>102</v>
      </c>
      <c r="E5139" s="11">
        <v>26.0</v>
      </c>
      <c r="F5139" s="21" t="s">
        <v>158</v>
      </c>
      <c r="G5139" s="15">
        <v>0.07564611260053622</v>
      </c>
      <c r="H5139" s="11" t="s">
        <v>33</v>
      </c>
      <c r="I5139" s="16">
        <v>5.992000000000001</v>
      </c>
      <c r="J5139" s="11" t="s">
        <v>1747</v>
      </c>
      <c r="K5139" s="11" t="s">
        <v>61</v>
      </c>
      <c r="L5139" s="11" t="s">
        <v>36</v>
      </c>
      <c r="M5139" s="11" t="s">
        <v>28</v>
      </c>
      <c r="N5139" s="11" t="s">
        <v>56</v>
      </c>
      <c r="O5139" s="11" t="s">
        <v>1042</v>
      </c>
      <c r="P5139" s="11" t="s">
        <v>38</v>
      </c>
      <c r="Q5139" s="20">
        <v>40698.0</v>
      </c>
      <c r="R5139" s="17">
        <f t="shared" si="2"/>
        <v>13.04078464</v>
      </c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>
        <f t="shared" si="8"/>
        <v>2</v>
      </c>
      <c r="AF5139" s="19">
        <f t="shared" si="13"/>
        <v>4</v>
      </c>
      <c r="AG5139" s="9"/>
      <c r="AH5139" s="9"/>
      <c r="AI5139" s="9"/>
    </row>
    <row r="5140" ht="15.0" customHeight="1">
      <c r="A5140" s="11">
        <v>5139.0</v>
      </c>
      <c r="B5140" s="12">
        <f t="shared" si="816"/>
        <v>40696</v>
      </c>
      <c r="C5140" s="13">
        <v>2011.0</v>
      </c>
      <c r="D5140" s="11" t="s">
        <v>102</v>
      </c>
      <c r="E5140" s="11">
        <v>22.0</v>
      </c>
      <c r="F5140" s="21" t="s">
        <v>119</v>
      </c>
      <c r="G5140" s="15">
        <v>0.10793791574279384</v>
      </c>
      <c r="H5140" s="11" t="s">
        <v>33</v>
      </c>
      <c r="I5140" s="16">
        <v>0.6320000000000001</v>
      </c>
      <c r="J5140" s="11" t="s">
        <v>1747</v>
      </c>
      <c r="K5140" s="11" t="s">
        <v>61</v>
      </c>
      <c r="L5140" s="11" t="s">
        <v>36</v>
      </c>
      <c r="M5140" s="11" t="s">
        <v>28</v>
      </c>
      <c r="N5140" s="11" t="s">
        <v>216</v>
      </c>
      <c r="O5140" s="11" t="s">
        <v>2446</v>
      </c>
      <c r="P5140" s="11" t="s">
        <v>58</v>
      </c>
      <c r="Q5140" s="20">
        <v>40698.0</v>
      </c>
      <c r="R5140" s="17">
        <f t="shared" si="2"/>
        <v>4.342558226</v>
      </c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>
        <f t="shared" si="8"/>
        <v>2</v>
      </c>
      <c r="AF5140" s="19">
        <f t="shared" si="13"/>
        <v>4</v>
      </c>
      <c r="AG5140" s="9"/>
      <c r="AH5140" s="9"/>
      <c r="AI5140" s="9"/>
    </row>
    <row r="5141" ht="15.0" customHeight="1">
      <c r="A5141" s="11">
        <v>5140.0</v>
      </c>
      <c r="B5141" s="12">
        <f t="shared" ref="B5141:B5148" si="817">DATE(2012,12,31)-577</f>
        <v>40697</v>
      </c>
      <c r="C5141" s="13">
        <v>2011.0</v>
      </c>
      <c r="D5141" s="11" t="s">
        <v>32</v>
      </c>
      <c r="E5141" s="11">
        <v>34.0</v>
      </c>
      <c r="F5141" s="21" t="s">
        <v>103</v>
      </c>
      <c r="G5141" s="15">
        <v>0.04778398510242077</v>
      </c>
      <c r="H5141" s="11" t="s">
        <v>33</v>
      </c>
      <c r="I5141" s="16">
        <v>3.936</v>
      </c>
      <c r="J5141" s="11" t="s">
        <v>1877</v>
      </c>
      <c r="K5141" s="11" t="s">
        <v>26</v>
      </c>
      <c r="L5141" s="11" t="s">
        <v>41</v>
      </c>
      <c r="M5141" s="11" t="s">
        <v>28</v>
      </c>
      <c r="N5141" s="11" t="s">
        <v>42</v>
      </c>
      <c r="O5141" s="11" t="s">
        <v>2543</v>
      </c>
      <c r="P5141" s="11" t="s">
        <v>38</v>
      </c>
      <c r="Q5141" s="20">
        <v>40698.0</v>
      </c>
      <c r="R5141" s="17">
        <f t="shared" si="2"/>
        <v>9.773545177</v>
      </c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>
        <f t="shared" si="8"/>
        <v>3</v>
      </c>
      <c r="AF5141" s="19">
        <f t="shared" si="13"/>
        <v>1</v>
      </c>
      <c r="AG5141" s="9"/>
      <c r="AH5141" s="9"/>
      <c r="AI5141" s="9"/>
    </row>
    <row r="5142" ht="15.0" customHeight="1">
      <c r="A5142" s="11">
        <v>5141.0</v>
      </c>
      <c r="B5142" s="12">
        <f t="shared" si="817"/>
        <v>40697</v>
      </c>
      <c r="C5142" s="13">
        <v>2011.0</v>
      </c>
      <c r="D5142" s="11" t="s">
        <v>32</v>
      </c>
      <c r="E5142" s="11">
        <v>17.0</v>
      </c>
      <c r="F5142" s="21" t="s">
        <v>336</v>
      </c>
      <c r="G5142" s="15">
        <v>0.05507462686567174</v>
      </c>
      <c r="H5142" s="11" t="s">
        <v>33</v>
      </c>
      <c r="I5142" s="16">
        <v>2.696</v>
      </c>
      <c r="J5142" s="11" t="s">
        <v>1877</v>
      </c>
      <c r="K5142" s="11" t="s">
        <v>26</v>
      </c>
      <c r="L5142" s="11" t="s">
        <v>41</v>
      </c>
      <c r="M5142" s="11" t="s">
        <v>28</v>
      </c>
      <c r="N5142" s="11" t="s">
        <v>216</v>
      </c>
      <c r="O5142" s="11" t="s">
        <v>557</v>
      </c>
      <c r="P5142" s="11" t="s">
        <v>58</v>
      </c>
      <c r="Q5142" s="20">
        <v>40698.0</v>
      </c>
      <c r="R5142" s="17">
        <f t="shared" si="2"/>
        <v>5.578839403</v>
      </c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>
        <f t="shared" si="8"/>
        <v>3</v>
      </c>
      <c r="AF5142" s="19">
        <f t="shared" si="13"/>
        <v>1</v>
      </c>
      <c r="AG5142" s="9"/>
      <c r="AH5142" s="9"/>
      <c r="AI5142" s="9"/>
    </row>
    <row r="5143" ht="15.0" customHeight="1">
      <c r="A5143" s="11">
        <v>5142.0</v>
      </c>
      <c r="B5143" s="12">
        <f t="shared" si="817"/>
        <v>40697</v>
      </c>
      <c r="C5143" s="13">
        <v>2011.0</v>
      </c>
      <c r="D5143" s="11" t="s">
        <v>102</v>
      </c>
      <c r="E5143" s="11">
        <v>27.0</v>
      </c>
      <c r="F5143" s="21" t="s">
        <v>135</v>
      </c>
      <c r="G5143" s="15">
        <v>0.01692722371967663</v>
      </c>
      <c r="H5143" s="11" t="s">
        <v>24</v>
      </c>
      <c r="I5143" s="16">
        <v>4.16</v>
      </c>
      <c r="J5143" s="11" t="s">
        <v>385</v>
      </c>
      <c r="K5143" s="11" t="s">
        <v>35</v>
      </c>
      <c r="L5143" s="11" t="s">
        <v>41</v>
      </c>
      <c r="M5143" s="11" t="s">
        <v>28</v>
      </c>
      <c r="N5143" s="11" t="s">
        <v>56</v>
      </c>
      <c r="O5143" s="11" t="s">
        <v>1237</v>
      </c>
      <c r="P5143" s="11" t="s">
        <v>38</v>
      </c>
      <c r="Q5143" s="20">
        <v>40699.0</v>
      </c>
      <c r="R5143" s="17">
        <f t="shared" si="2"/>
        <v>3.086848518</v>
      </c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>
        <f t="shared" si="8"/>
        <v>3</v>
      </c>
      <c r="AF5143" s="19">
        <f t="shared" si="13"/>
        <v>2</v>
      </c>
      <c r="AG5143" s="9"/>
      <c r="AH5143" s="9"/>
      <c r="AI5143" s="9"/>
    </row>
    <row r="5144" ht="15.0" customHeight="1">
      <c r="A5144" s="11">
        <v>5143.0</v>
      </c>
      <c r="B5144" s="12">
        <f t="shared" si="817"/>
        <v>40697</v>
      </c>
      <c r="C5144" s="13">
        <v>2011.0</v>
      </c>
      <c r="D5144" s="11" t="s">
        <v>44</v>
      </c>
      <c r="E5144" s="11">
        <v>1.0</v>
      </c>
      <c r="F5144" s="21" t="s">
        <v>1265</v>
      </c>
      <c r="G5144" s="15">
        <v>0.11218543046357622</v>
      </c>
      <c r="H5144" s="11" t="s">
        <v>33</v>
      </c>
      <c r="I5144" s="16">
        <v>9.912</v>
      </c>
      <c r="J5144" s="11" t="s">
        <v>2311</v>
      </c>
      <c r="K5144" s="11" t="s">
        <v>61</v>
      </c>
      <c r="L5144" s="11" t="s">
        <v>27</v>
      </c>
      <c r="M5144" s="11" t="s">
        <v>28</v>
      </c>
      <c r="N5144" s="11" t="s">
        <v>236</v>
      </c>
      <c r="O5144" s="11" t="s">
        <v>1267</v>
      </c>
      <c r="P5144" s="11" t="s">
        <v>38</v>
      </c>
      <c r="Q5144" s="20">
        <v>40699.0</v>
      </c>
      <c r="R5144" s="17">
        <f t="shared" si="2"/>
        <v>3.007915762</v>
      </c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>
        <f t="shared" si="8"/>
        <v>1</v>
      </c>
      <c r="AF5144" s="19">
        <f t="shared" si="13"/>
        <v>4</v>
      </c>
      <c r="AG5144" s="9"/>
      <c r="AH5144" s="9"/>
      <c r="AI5144" s="9"/>
    </row>
    <row r="5145" ht="15.0" customHeight="1">
      <c r="A5145" s="11">
        <v>5144.0</v>
      </c>
      <c r="B5145" s="12">
        <f t="shared" si="817"/>
        <v>40697</v>
      </c>
      <c r="C5145" s="13">
        <v>2011.0</v>
      </c>
      <c r="D5145" s="11" t="s">
        <v>44</v>
      </c>
      <c r="E5145" s="11">
        <v>9.0</v>
      </c>
      <c r="F5145" s="21" t="s">
        <v>979</v>
      </c>
      <c r="G5145" s="15">
        <v>0.030391764369459444</v>
      </c>
      <c r="H5145" s="11" t="s">
        <v>24</v>
      </c>
      <c r="I5145" s="16">
        <v>9.432</v>
      </c>
      <c r="J5145" s="11" t="s">
        <v>2311</v>
      </c>
      <c r="K5145" s="11" t="s">
        <v>61</v>
      </c>
      <c r="L5145" s="11" t="s">
        <v>27</v>
      </c>
      <c r="M5145" s="11" t="s">
        <v>28</v>
      </c>
      <c r="N5145" s="11" t="s">
        <v>197</v>
      </c>
      <c r="O5145" s="11" t="s">
        <v>980</v>
      </c>
      <c r="P5145" s="11" t="s">
        <v>75</v>
      </c>
      <c r="Q5145" s="20">
        <v>40699.0</v>
      </c>
      <c r="R5145" s="17">
        <f t="shared" si="2"/>
        <v>61.82997797</v>
      </c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>
        <f t="shared" si="8"/>
        <v>1</v>
      </c>
      <c r="AF5145" s="19">
        <f t="shared" si="13"/>
        <v>4</v>
      </c>
      <c r="AG5145" s="9"/>
      <c r="AH5145" s="9"/>
      <c r="AI5145" s="9"/>
    </row>
    <row r="5146" ht="15.0" customHeight="1">
      <c r="A5146" s="11">
        <v>5145.0</v>
      </c>
      <c r="B5146" s="12">
        <f t="shared" si="817"/>
        <v>40697</v>
      </c>
      <c r="C5146" s="13">
        <v>2011.0</v>
      </c>
      <c r="D5146" s="11" t="s">
        <v>44</v>
      </c>
      <c r="E5146" s="11">
        <v>42.0</v>
      </c>
      <c r="F5146" s="21" t="s">
        <v>297</v>
      </c>
      <c r="G5146" s="15">
        <v>0.05910954063604237</v>
      </c>
      <c r="H5146" s="11" t="s">
        <v>33</v>
      </c>
      <c r="I5146" s="16">
        <v>4.608</v>
      </c>
      <c r="J5146" s="11" t="s">
        <v>2311</v>
      </c>
      <c r="K5146" s="11" t="s">
        <v>61</v>
      </c>
      <c r="L5146" s="11" t="s">
        <v>27</v>
      </c>
      <c r="M5146" s="11" t="s">
        <v>66</v>
      </c>
      <c r="N5146" s="11" t="s">
        <v>69</v>
      </c>
      <c r="O5146" s="11" t="s">
        <v>2003</v>
      </c>
      <c r="P5146" s="11" t="s">
        <v>75</v>
      </c>
      <c r="Q5146" s="20">
        <v>40699.0</v>
      </c>
      <c r="R5146" s="17">
        <f t="shared" si="2"/>
        <v>23.60882341</v>
      </c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>
        <f t="shared" si="8"/>
        <v>1</v>
      </c>
      <c r="AF5146" s="19">
        <f t="shared" si="13"/>
        <v>4</v>
      </c>
      <c r="AG5146" s="9"/>
      <c r="AH5146" s="9"/>
      <c r="AI5146" s="9"/>
    </row>
    <row r="5147" ht="15.0" customHeight="1">
      <c r="A5147" s="11">
        <v>5146.0</v>
      </c>
      <c r="B5147" s="12">
        <f t="shared" si="817"/>
        <v>40697</v>
      </c>
      <c r="C5147" s="13">
        <v>2011.0</v>
      </c>
      <c r="D5147" s="11" t="s">
        <v>23</v>
      </c>
      <c r="E5147" s="11">
        <v>19.0</v>
      </c>
      <c r="F5147" s="21" t="s">
        <v>1336</v>
      </c>
      <c r="G5147" s="15">
        <v>0.09202263145247602</v>
      </c>
      <c r="H5147" s="11" t="s">
        <v>33</v>
      </c>
      <c r="I5147" s="16">
        <v>14.448</v>
      </c>
      <c r="J5147" s="11" t="s">
        <v>300</v>
      </c>
      <c r="K5147" s="11" t="s">
        <v>35</v>
      </c>
      <c r="L5147" s="11" t="s">
        <v>36</v>
      </c>
      <c r="M5147" s="11" t="s">
        <v>49</v>
      </c>
      <c r="N5147" s="11" t="s">
        <v>50</v>
      </c>
      <c r="O5147" s="11" t="s">
        <v>1337</v>
      </c>
      <c r="P5147" s="11" t="s">
        <v>31</v>
      </c>
      <c r="Q5147" s="20">
        <v>40700.0</v>
      </c>
      <c r="R5147" s="17">
        <f t="shared" si="2"/>
        <v>382.4872825</v>
      </c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>
        <f t="shared" si="8"/>
        <v>2</v>
      </c>
      <c r="AF5147" s="19">
        <f t="shared" si="13"/>
        <v>2</v>
      </c>
      <c r="AG5147" s="9"/>
      <c r="AH5147" s="9"/>
      <c r="AI5147" s="9"/>
    </row>
    <row r="5148" ht="15.0" customHeight="1">
      <c r="A5148" s="11">
        <v>5147.0</v>
      </c>
      <c r="B5148" s="12">
        <f t="shared" si="817"/>
        <v>40697</v>
      </c>
      <c r="C5148" s="13">
        <v>2011.0</v>
      </c>
      <c r="D5148" s="11" t="s">
        <v>39</v>
      </c>
      <c r="E5148" s="11">
        <v>17.0</v>
      </c>
      <c r="F5148" s="21" t="s">
        <v>319</v>
      </c>
      <c r="G5148" s="15">
        <v>0.11111111111111124</v>
      </c>
      <c r="H5148" s="11" t="s">
        <v>33</v>
      </c>
      <c r="I5148" s="16">
        <v>0.4</v>
      </c>
      <c r="J5148" s="11" t="s">
        <v>1654</v>
      </c>
      <c r="K5148" s="11" t="s">
        <v>117</v>
      </c>
      <c r="L5148" s="11" t="s">
        <v>36</v>
      </c>
      <c r="M5148" s="11" t="s">
        <v>28</v>
      </c>
      <c r="N5148" s="11" t="s">
        <v>188</v>
      </c>
      <c r="O5148" s="11" t="s">
        <v>437</v>
      </c>
      <c r="P5148" s="11" t="s">
        <v>38</v>
      </c>
      <c r="Q5148" s="20">
        <v>40700.0</v>
      </c>
      <c r="R5148" s="17">
        <f t="shared" si="2"/>
        <v>5.333333333</v>
      </c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>
        <f t="shared" si="8"/>
        <v>2</v>
      </c>
      <c r="AF5148" s="19" t="b">
        <f t="shared" si="13"/>
        <v>0</v>
      </c>
      <c r="AG5148" s="9"/>
      <c r="AH5148" s="9"/>
      <c r="AI5148" s="9"/>
    </row>
    <row r="5149" ht="15.0" customHeight="1">
      <c r="A5149" s="11">
        <v>5148.0</v>
      </c>
      <c r="B5149" s="12">
        <f>DATE(2012,12,31)-576</f>
        <v>40698</v>
      </c>
      <c r="C5149" s="13">
        <v>2011.0</v>
      </c>
      <c r="D5149" s="11" t="s">
        <v>44</v>
      </c>
      <c r="E5149" s="11">
        <v>3.0</v>
      </c>
      <c r="F5149" s="21" t="s">
        <v>306</v>
      </c>
      <c r="G5149" s="15">
        <v>0.05329655172413799</v>
      </c>
      <c r="H5149" s="11" t="s">
        <v>33</v>
      </c>
      <c r="I5149" s="16">
        <v>8.936</v>
      </c>
      <c r="J5149" s="11" t="s">
        <v>1982</v>
      </c>
      <c r="K5149" s="11" t="s">
        <v>65</v>
      </c>
      <c r="L5149" s="11" t="s">
        <v>36</v>
      </c>
      <c r="M5149" s="11" t="s">
        <v>49</v>
      </c>
      <c r="N5149" s="11" t="s">
        <v>73</v>
      </c>
      <c r="O5149" s="11" t="s">
        <v>125</v>
      </c>
      <c r="P5149" s="11" t="s">
        <v>31</v>
      </c>
      <c r="Q5149" s="20">
        <v>40700.0</v>
      </c>
      <c r="R5149" s="17">
        <f t="shared" si="2"/>
        <v>3.658062124</v>
      </c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>
        <f t="shared" si="8"/>
        <v>2</v>
      </c>
      <c r="AF5149" s="19">
        <f t="shared" si="13"/>
        <v>5</v>
      </c>
      <c r="AG5149" s="9"/>
      <c r="AH5149" s="9"/>
      <c r="AI5149" s="9"/>
    </row>
    <row r="5150" ht="15.0" customHeight="1">
      <c r="A5150" s="11">
        <v>5149.0</v>
      </c>
      <c r="B5150" s="12">
        <f t="shared" ref="B5150:B5154" si="818">DATE(2012,12,31)-575</f>
        <v>40699</v>
      </c>
      <c r="C5150" s="13">
        <v>2011.0</v>
      </c>
      <c r="D5150" s="11" t="s">
        <v>44</v>
      </c>
      <c r="E5150" s="11">
        <v>48.0</v>
      </c>
      <c r="F5150" s="21" t="s">
        <v>1182</v>
      </c>
      <c r="G5150" s="15">
        <v>0.05331391114348137</v>
      </c>
      <c r="H5150" s="11" t="s">
        <v>24</v>
      </c>
      <c r="I5150" s="16">
        <v>0.76</v>
      </c>
      <c r="J5150" s="11" t="s">
        <v>1130</v>
      </c>
      <c r="K5150" s="11" t="s">
        <v>61</v>
      </c>
      <c r="L5150" s="11" t="s">
        <v>36</v>
      </c>
      <c r="M5150" s="11" t="s">
        <v>28</v>
      </c>
      <c r="N5150" s="11" t="s">
        <v>56</v>
      </c>
      <c r="O5150" s="11" t="s">
        <v>1183</v>
      </c>
      <c r="P5150" s="11" t="s">
        <v>58</v>
      </c>
      <c r="Q5150" s="20">
        <v>40700.0</v>
      </c>
      <c r="R5150" s="17">
        <f t="shared" si="2"/>
        <v>13.85948434</v>
      </c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>
        <f t="shared" si="8"/>
        <v>2</v>
      </c>
      <c r="AF5150" s="19">
        <f t="shared" si="13"/>
        <v>4</v>
      </c>
      <c r="AG5150" s="9"/>
      <c r="AH5150" s="9"/>
      <c r="AI5150" s="9"/>
    </row>
    <row r="5151" ht="15.0" customHeight="1">
      <c r="A5151" s="11">
        <v>5150.0</v>
      </c>
      <c r="B5151" s="12">
        <f t="shared" si="818"/>
        <v>40699</v>
      </c>
      <c r="C5151" s="13">
        <v>2011.0</v>
      </c>
      <c r="D5151" s="11" t="s">
        <v>44</v>
      </c>
      <c r="E5151" s="11">
        <v>46.0</v>
      </c>
      <c r="F5151" s="21" t="s">
        <v>158</v>
      </c>
      <c r="G5151" s="15">
        <v>0.033272490221642664</v>
      </c>
      <c r="H5151" s="11" t="s">
        <v>33</v>
      </c>
      <c r="I5151" s="16">
        <v>2.192</v>
      </c>
      <c r="J5151" s="11" t="s">
        <v>1130</v>
      </c>
      <c r="K5151" s="11" t="s">
        <v>61</v>
      </c>
      <c r="L5151" s="11" t="s">
        <v>36</v>
      </c>
      <c r="M5151" s="11" t="s">
        <v>66</v>
      </c>
      <c r="N5151" s="11" t="s">
        <v>67</v>
      </c>
      <c r="O5151" s="11" t="s">
        <v>1270</v>
      </c>
      <c r="P5151" s="11" t="s">
        <v>99</v>
      </c>
      <c r="Q5151" s="20">
        <v>40700.0</v>
      </c>
      <c r="R5151" s="17">
        <f t="shared" si="2"/>
        <v>9.86835442</v>
      </c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>
        <f t="shared" si="8"/>
        <v>2</v>
      </c>
      <c r="AF5151" s="19">
        <f t="shared" si="13"/>
        <v>4</v>
      </c>
      <c r="AG5151" s="9"/>
      <c r="AH5151" s="9"/>
      <c r="AI5151" s="9"/>
    </row>
    <row r="5152" ht="15.0" customHeight="1">
      <c r="A5152" s="11">
        <v>5151.0</v>
      </c>
      <c r="B5152" s="12">
        <f t="shared" si="818"/>
        <v>40699</v>
      </c>
      <c r="C5152" s="13">
        <v>2011.0</v>
      </c>
      <c r="D5152" s="11" t="s">
        <v>32</v>
      </c>
      <c r="E5152" s="11">
        <v>15.0</v>
      </c>
      <c r="F5152" s="21" t="s">
        <v>1782</v>
      </c>
      <c r="G5152" s="15">
        <v>0.03185185185185196</v>
      </c>
      <c r="H5152" s="11" t="s">
        <v>33</v>
      </c>
      <c r="I5152" s="16">
        <v>1.592</v>
      </c>
      <c r="J5152" s="11" t="s">
        <v>561</v>
      </c>
      <c r="K5152" s="11" t="s">
        <v>65</v>
      </c>
      <c r="L5152" s="11" t="s">
        <v>36</v>
      </c>
      <c r="M5152" s="11" t="s">
        <v>66</v>
      </c>
      <c r="N5152" s="11" t="s">
        <v>67</v>
      </c>
      <c r="O5152" s="11" t="s">
        <v>2103</v>
      </c>
      <c r="P5152" s="11" t="s">
        <v>99</v>
      </c>
      <c r="Q5152" s="20">
        <v>40701.0</v>
      </c>
      <c r="R5152" s="17">
        <f t="shared" si="2"/>
        <v>10.65737481</v>
      </c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>
        <f t="shared" si="8"/>
        <v>2</v>
      </c>
      <c r="AF5152" s="19">
        <f t="shared" si="13"/>
        <v>5</v>
      </c>
      <c r="AG5152" s="9"/>
      <c r="AH5152" s="9"/>
      <c r="AI5152" s="9"/>
    </row>
    <row r="5153" ht="15.0" customHeight="1">
      <c r="A5153" s="11">
        <v>5152.0</v>
      </c>
      <c r="B5153" s="12">
        <f t="shared" si="818"/>
        <v>40699</v>
      </c>
      <c r="C5153" s="13">
        <v>2011.0</v>
      </c>
      <c r="D5153" s="11" t="s">
        <v>23</v>
      </c>
      <c r="E5153" s="11">
        <v>9.0</v>
      </c>
      <c r="F5153" s="21" t="s">
        <v>2011</v>
      </c>
      <c r="G5153" s="15">
        <v>0.030419493285338477</v>
      </c>
      <c r="H5153" s="11" t="s">
        <v>33</v>
      </c>
      <c r="I5153" s="16">
        <v>5.656000000000001</v>
      </c>
      <c r="J5153" s="11" t="s">
        <v>152</v>
      </c>
      <c r="K5153" s="11" t="s">
        <v>61</v>
      </c>
      <c r="L5153" s="11" t="s">
        <v>27</v>
      </c>
      <c r="M5153" s="11" t="s">
        <v>28</v>
      </c>
      <c r="N5153" s="11" t="s">
        <v>29</v>
      </c>
      <c r="O5153" s="11" t="s">
        <v>54</v>
      </c>
      <c r="P5153" s="11" t="s">
        <v>38</v>
      </c>
      <c r="Q5153" s="20">
        <v>40701.0</v>
      </c>
      <c r="R5153" s="17">
        <f t="shared" si="2"/>
        <v>42.60724579</v>
      </c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>
        <f t="shared" si="8"/>
        <v>1</v>
      </c>
      <c r="AF5153" s="19">
        <f t="shared" si="13"/>
        <v>4</v>
      </c>
      <c r="AG5153" s="9"/>
      <c r="AH5153" s="9"/>
      <c r="AI5153" s="9"/>
    </row>
    <row r="5154" ht="15.0" customHeight="1">
      <c r="A5154" s="11">
        <v>5153.0</v>
      </c>
      <c r="B5154" s="12">
        <f t="shared" si="818"/>
        <v>40699</v>
      </c>
      <c r="C5154" s="13">
        <v>2011.0</v>
      </c>
      <c r="D5154" s="11" t="s">
        <v>23</v>
      </c>
      <c r="E5154" s="11">
        <v>44.0</v>
      </c>
      <c r="F5154" s="21" t="s">
        <v>431</v>
      </c>
      <c r="G5154" s="15">
        <v>0.048427168615399425</v>
      </c>
      <c r="H5154" s="11" t="s">
        <v>24</v>
      </c>
      <c r="I5154" s="16">
        <v>11.192</v>
      </c>
      <c r="J5154" s="11" t="s">
        <v>152</v>
      </c>
      <c r="K5154" s="11" t="s">
        <v>61</v>
      </c>
      <c r="L5154" s="11" t="s">
        <v>27</v>
      </c>
      <c r="M5154" s="11" t="s">
        <v>66</v>
      </c>
      <c r="N5154" s="11" t="s">
        <v>80</v>
      </c>
      <c r="O5154" s="11" t="s">
        <v>1589</v>
      </c>
      <c r="P5154" s="11" t="s">
        <v>75</v>
      </c>
      <c r="Q5154" s="20">
        <v>40702.0</v>
      </c>
      <c r="R5154" s="17">
        <f t="shared" si="2"/>
        <v>383.8720928</v>
      </c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>
        <f t="shared" si="8"/>
        <v>1</v>
      </c>
      <c r="AF5154" s="19">
        <f t="shared" si="13"/>
        <v>4</v>
      </c>
      <c r="AG5154" s="9"/>
      <c r="AH5154" s="9"/>
      <c r="AI5154" s="9"/>
    </row>
    <row r="5155" ht="15.0" customHeight="1">
      <c r="A5155" s="11">
        <v>5154.0</v>
      </c>
      <c r="B5155" s="12">
        <f t="shared" ref="B5155:B5158" si="819">DATE(2012,12,31)-574</f>
        <v>40700</v>
      </c>
      <c r="C5155" s="13">
        <v>2011.0</v>
      </c>
      <c r="D5155" s="11" t="s">
        <v>102</v>
      </c>
      <c r="E5155" s="11">
        <v>8.0</v>
      </c>
      <c r="F5155" s="21" t="s">
        <v>466</v>
      </c>
      <c r="G5155" s="15">
        <v>0.07572209211553466</v>
      </c>
      <c r="H5155" s="11" t="s">
        <v>33</v>
      </c>
      <c r="I5155" s="16">
        <v>4.0</v>
      </c>
      <c r="J5155" s="11" t="s">
        <v>360</v>
      </c>
      <c r="K5155" s="11" t="s">
        <v>65</v>
      </c>
      <c r="L5155" s="11" t="s">
        <v>27</v>
      </c>
      <c r="M5155" s="11" t="s">
        <v>49</v>
      </c>
      <c r="N5155" s="11" t="s">
        <v>73</v>
      </c>
      <c r="O5155" s="11" t="s">
        <v>467</v>
      </c>
      <c r="P5155" s="11" t="s">
        <v>99</v>
      </c>
      <c r="Q5155" s="20">
        <v>40702.0</v>
      </c>
      <c r="R5155" s="17">
        <f t="shared" si="2"/>
        <v>8.965495706</v>
      </c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>
        <f t="shared" si="8"/>
        <v>1</v>
      </c>
      <c r="AF5155" s="19">
        <f t="shared" si="13"/>
        <v>5</v>
      </c>
      <c r="AG5155" s="9"/>
      <c r="AH5155" s="9"/>
      <c r="AI5155" s="9"/>
    </row>
    <row r="5156" ht="15.0" customHeight="1">
      <c r="A5156" s="11">
        <v>5155.0</v>
      </c>
      <c r="B5156" s="12">
        <f t="shared" si="819"/>
        <v>40700</v>
      </c>
      <c r="C5156" s="13">
        <v>2011.0</v>
      </c>
      <c r="D5156" s="11" t="s">
        <v>23</v>
      </c>
      <c r="E5156" s="11">
        <v>18.0</v>
      </c>
      <c r="F5156" s="21" t="s">
        <v>158</v>
      </c>
      <c r="G5156" s="15">
        <v>0.03573333333333331</v>
      </c>
      <c r="H5156" s="11" t="s">
        <v>33</v>
      </c>
      <c r="I5156" s="16">
        <v>7.744</v>
      </c>
      <c r="J5156" s="11" t="s">
        <v>2520</v>
      </c>
      <c r="K5156" s="11" t="s">
        <v>61</v>
      </c>
      <c r="L5156" s="11" t="s">
        <v>48</v>
      </c>
      <c r="M5156" s="11" t="s">
        <v>28</v>
      </c>
      <c r="N5156" s="11" t="s">
        <v>56</v>
      </c>
      <c r="O5156" s="11" t="s">
        <v>635</v>
      </c>
      <c r="P5156" s="11" t="s">
        <v>38</v>
      </c>
      <c r="Q5156" s="20">
        <v>40702.0</v>
      </c>
      <c r="R5156" s="17">
        <f t="shared" si="2"/>
        <v>4.393198933</v>
      </c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>
        <f t="shared" si="8"/>
        <v>4</v>
      </c>
      <c r="AF5156" s="19">
        <f t="shared" si="13"/>
        <v>4</v>
      </c>
      <c r="AG5156" s="9"/>
      <c r="AH5156" s="9"/>
      <c r="AI5156" s="9"/>
    </row>
    <row r="5157" ht="15.0" customHeight="1">
      <c r="A5157" s="11">
        <v>5156.0</v>
      </c>
      <c r="B5157" s="12">
        <f t="shared" si="819"/>
        <v>40700</v>
      </c>
      <c r="C5157" s="13">
        <v>2011.0</v>
      </c>
      <c r="D5157" s="11" t="s">
        <v>44</v>
      </c>
      <c r="E5157" s="11">
        <v>21.0</v>
      </c>
      <c r="F5157" s="21" t="s">
        <v>1868</v>
      </c>
      <c r="G5157" s="15">
        <v>0.09941580756013747</v>
      </c>
      <c r="H5157" s="11" t="s">
        <v>33</v>
      </c>
      <c r="I5157" s="16">
        <v>3.8560000000000003</v>
      </c>
      <c r="J5157" s="11" t="s">
        <v>1715</v>
      </c>
      <c r="K5157" s="11" t="s">
        <v>26</v>
      </c>
      <c r="L5157" s="11" t="s">
        <v>41</v>
      </c>
      <c r="M5157" s="11" t="s">
        <v>28</v>
      </c>
      <c r="N5157" s="11" t="s">
        <v>62</v>
      </c>
      <c r="O5157" s="11" t="s">
        <v>1869</v>
      </c>
      <c r="P5157" s="11" t="s">
        <v>58</v>
      </c>
      <c r="Q5157" s="20">
        <v>40703.0</v>
      </c>
      <c r="R5157" s="17">
        <f t="shared" si="2"/>
        <v>20.84312055</v>
      </c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>
        <f t="shared" si="8"/>
        <v>3</v>
      </c>
      <c r="AF5157" s="19">
        <f t="shared" si="13"/>
        <v>1</v>
      </c>
      <c r="AG5157" s="9"/>
      <c r="AH5157" s="9"/>
      <c r="AI5157" s="9"/>
    </row>
    <row r="5158" ht="15.0" customHeight="1">
      <c r="A5158" s="11">
        <v>5157.0</v>
      </c>
      <c r="B5158" s="12">
        <f t="shared" si="819"/>
        <v>40700</v>
      </c>
      <c r="C5158" s="13">
        <v>2011.0</v>
      </c>
      <c r="D5158" s="11" t="s">
        <v>44</v>
      </c>
      <c r="E5158" s="11">
        <v>42.0</v>
      </c>
      <c r="F5158" s="21" t="s">
        <v>2370</v>
      </c>
      <c r="G5158" s="15">
        <v>0.02778589803554726</v>
      </c>
      <c r="H5158" s="11" t="s">
        <v>33</v>
      </c>
      <c r="I5158" s="16">
        <v>7.192</v>
      </c>
      <c r="J5158" s="11" t="s">
        <v>1901</v>
      </c>
      <c r="K5158" s="11" t="s">
        <v>35</v>
      </c>
      <c r="L5158" s="11" t="s">
        <v>48</v>
      </c>
      <c r="M5158" s="11" t="s">
        <v>28</v>
      </c>
      <c r="N5158" s="11" t="s">
        <v>62</v>
      </c>
      <c r="O5158" s="11" t="s">
        <v>2371</v>
      </c>
      <c r="P5158" s="11" t="s">
        <v>99</v>
      </c>
      <c r="Q5158" s="20">
        <v>40703.0</v>
      </c>
      <c r="R5158" s="17">
        <f t="shared" si="2"/>
        <v>23.6566913</v>
      </c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>
        <f t="shared" si="8"/>
        <v>4</v>
      </c>
      <c r="AF5158" s="19">
        <f t="shared" si="13"/>
        <v>2</v>
      </c>
      <c r="AG5158" s="9"/>
      <c r="AH5158" s="9"/>
      <c r="AI5158" s="9"/>
    </row>
    <row r="5159" ht="15.0" customHeight="1">
      <c r="A5159" s="11">
        <v>5158.0</v>
      </c>
      <c r="B5159" s="12">
        <f t="shared" ref="B5159:B5166" si="820">DATE(2012,12,31)-573</f>
        <v>40701</v>
      </c>
      <c r="C5159" s="13">
        <v>2011.0</v>
      </c>
      <c r="D5159" s="11" t="s">
        <v>39</v>
      </c>
      <c r="E5159" s="11">
        <v>48.0</v>
      </c>
      <c r="F5159" s="21" t="s">
        <v>290</v>
      </c>
      <c r="G5159" s="15">
        <v>0.10354684095860558</v>
      </c>
      <c r="H5159" s="11" t="s">
        <v>33</v>
      </c>
      <c r="I5159" s="16">
        <v>4.136</v>
      </c>
      <c r="J5159" s="11" t="s">
        <v>1025</v>
      </c>
      <c r="K5159" s="11" t="s">
        <v>117</v>
      </c>
      <c r="L5159" s="11" t="s">
        <v>48</v>
      </c>
      <c r="M5159" s="11" t="s">
        <v>28</v>
      </c>
      <c r="N5159" s="11" t="s">
        <v>56</v>
      </c>
      <c r="O5159" s="11" t="s">
        <v>699</v>
      </c>
      <c r="P5159" s="11" t="s">
        <v>38</v>
      </c>
      <c r="Q5159" s="20">
        <v>40703.0</v>
      </c>
      <c r="R5159" s="17">
        <f t="shared" si="2"/>
        <v>21.30331287</v>
      </c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>
        <f t="shared" si="8"/>
        <v>4</v>
      </c>
      <c r="AF5159" s="19" t="b">
        <f t="shared" si="13"/>
        <v>0</v>
      </c>
      <c r="AG5159" s="9"/>
      <c r="AH5159" s="9"/>
      <c r="AI5159" s="9"/>
    </row>
    <row r="5160" ht="15.0" customHeight="1">
      <c r="A5160" s="11">
        <v>5159.0</v>
      </c>
      <c r="B5160" s="12">
        <f t="shared" si="820"/>
        <v>40701</v>
      </c>
      <c r="C5160" s="13">
        <v>2011.0</v>
      </c>
      <c r="D5160" s="11" t="s">
        <v>39</v>
      </c>
      <c r="E5160" s="11">
        <v>8.0</v>
      </c>
      <c r="F5160" s="21" t="s">
        <v>140</v>
      </c>
      <c r="G5160" s="15">
        <v>0.09552330022918261</v>
      </c>
      <c r="H5160" s="11" t="s">
        <v>33</v>
      </c>
      <c r="I5160" s="16">
        <v>11.192</v>
      </c>
      <c r="J5160" s="11" t="s">
        <v>1025</v>
      </c>
      <c r="K5160" s="11" t="s">
        <v>117</v>
      </c>
      <c r="L5160" s="11" t="s">
        <v>48</v>
      </c>
      <c r="M5160" s="11" t="s">
        <v>28</v>
      </c>
      <c r="N5160" s="11" t="s">
        <v>29</v>
      </c>
      <c r="O5160" s="11" t="s">
        <v>141</v>
      </c>
      <c r="P5160" s="11" t="s">
        <v>75</v>
      </c>
      <c r="Q5160" s="20">
        <v>40703.0</v>
      </c>
      <c r="R5160" s="17">
        <f t="shared" si="2"/>
        <v>22.61915331</v>
      </c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>
        <f t="shared" si="8"/>
        <v>4</v>
      </c>
      <c r="AF5160" s="19" t="b">
        <f t="shared" si="13"/>
        <v>0</v>
      </c>
      <c r="AG5160" s="9"/>
      <c r="AH5160" s="9"/>
      <c r="AI5160" s="9"/>
    </row>
    <row r="5161" ht="15.0" customHeight="1">
      <c r="A5161" s="11">
        <v>5160.0</v>
      </c>
      <c r="B5161" s="12">
        <f t="shared" si="820"/>
        <v>40701</v>
      </c>
      <c r="C5161" s="13">
        <v>2011.0</v>
      </c>
      <c r="D5161" s="11" t="s">
        <v>39</v>
      </c>
      <c r="E5161" s="11">
        <v>41.0</v>
      </c>
      <c r="F5161" s="21" t="s">
        <v>933</v>
      </c>
      <c r="G5161" s="15">
        <v>0.08442335300685908</v>
      </c>
      <c r="H5161" s="11" t="s">
        <v>33</v>
      </c>
      <c r="I5161" s="16">
        <v>4.0</v>
      </c>
      <c r="J5161" s="11" t="s">
        <v>1025</v>
      </c>
      <c r="K5161" s="11" t="s">
        <v>117</v>
      </c>
      <c r="L5161" s="11" t="s">
        <v>48</v>
      </c>
      <c r="M5161" s="11" t="s">
        <v>66</v>
      </c>
      <c r="N5161" s="11" t="s">
        <v>80</v>
      </c>
      <c r="O5161" s="11" t="s">
        <v>1023</v>
      </c>
      <c r="P5161" s="11" t="s">
        <v>99</v>
      </c>
      <c r="Q5161" s="20">
        <v>40703.0</v>
      </c>
      <c r="R5161" s="17">
        <f t="shared" si="2"/>
        <v>193.8275762</v>
      </c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>
        <f t="shared" si="8"/>
        <v>4</v>
      </c>
      <c r="AF5161" s="19" t="b">
        <f t="shared" si="13"/>
        <v>0</v>
      </c>
      <c r="AG5161" s="9"/>
      <c r="AH5161" s="9"/>
      <c r="AI5161" s="9"/>
    </row>
    <row r="5162" ht="15.0" customHeight="1">
      <c r="A5162" s="11">
        <v>5161.0</v>
      </c>
      <c r="B5162" s="12">
        <f t="shared" si="820"/>
        <v>40701</v>
      </c>
      <c r="C5162" s="13">
        <v>2011.0</v>
      </c>
      <c r="D5162" s="11" t="s">
        <v>44</v>
      </c>
      <c r="E5162" s="11">
        <v>5.0</v>
      </c>
      <c r="F5162" s="21" t="s">
        <v>333</v>
      </c>
      <c r="G5162" s="15">
        <v>0.0890395480225989</v>
      </c>
      <c r="H5162" s="11" t="s">
        <v>24</v>
      </c>
      <c r="I5162" s="16">
        <v>1.6239999999999999</v>
      </c>
      <c r="J5162" s="11" t="s">
        <v>1761</v>
      </c>
      <c r="K5162" s="11" t="s">
        <v>35</v>
      </c>
      <c r="L5162" s="11" t="s">
        <v>41</v>
      </c>
      <c r="M5162" s="11" t="s">
        <v>28</v>
      </c>
      <c r="N5162" s="11" t="s">
        <v>62</v>
      </c>
      <c r="O5162" s="11" t="s">
        <v>335</v>
      </c>
      <c r="P5162" s="11" t="s">
        <v>58</v>
      </c>
      <c r="Q5162" s="20">
        <v>40703.0</v>
      </c>
      <c r="R5162" s="17">
        <f t="shared" si="2"/>
        <v>1.435673672</v>
      </c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>
        <f t="shared" si="8"/>
        <v>3</v>
      </c>
      <c r="AF5162" s="19">
        <f t="shared" si="13"/>
        <v>2</v>
      </c>
      <c r="AG5162" s="9"/>
      <c r="AH5162" s="9"/>
      <c r="AI5162" s="9"/>
    </row>
    <row r="5163" ht="15.0" customHeight="1">
      <c r="A5163" s="11">
        <v>5162.0</v>
      </c>
      <c r="B5163" s="12">
        <f t="shared" si="820"/>
        <v>40701</v>
      </c>
      <c r="C5163" s="13">
        <v>2011.0</v>
      </c>
      <c r="D5163" s="11" t="s">
        <v>32</v>
      </c>
      <c r="E5163" s="11">
        <v>46.0</v>
      </c>
      <c r="F5163" s="21" t="s">
        <v>1203</v>
      </c>
      <c r="G5163" s="15">
        <v>0.0927139784946237</v>
      </c>
      <c r="H5163" s="11" t="s">
        <v>33</v>
      </c>
      <c r="I5163" s="16">
        <v>7.888</v>
      </c>
      <c r="J5163" s="11" t="s">
        <v>1761</v>
      </c>
      <c r="K5163" s="11" t="s">
        <v>35</v>
      </c>
      <c r="L5163" s="11" t="s">
        <v>41</v>
      </c>
      <c r="M5163" s="11" t="s">
        <v>28</v>
      </c>
      <c r="N5163" s="11" t="s">
        <v>56</v>
      </c>
      <c r="O5163" s="11" t="s">
        <v>1204</v>
      </c>
      <c r="P5163" s="11" t="s">
        <v>38</v>
      </c>
      <c r="Q5163" s="20">
        <v>40704.0</v>
      </c>
      <c r="R5163" s="17">
        <f t="shared" si="2"/>
        <v>39.11491496</v>
      </c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>
        <f t="shared" si="8"/>
        <v>3</v>
      </c>
      <c r="AF5163" s="19">
        <f t="shared" si="13"/>
        <v>2</v>
      </c>
      <c r="AG5163" s="9"/>
      <c r="AH5163" s="9"/>
      <c r="AI5163" s="9"/>
    </row>
    <row r="5164" ht="15.0" customHeight="1">
      <c r="A5164" s="11">
        <v>5163.0</v>
      </c>
      <c r="B5164" s="12">
        <f t="shared" si="820"/>
        <v>40701</v>
      </c>
      <c r="C5164" s="13">
        <v>2011.0</v>
      </c>
      <c r="D5164" s="11" t="s">
        <v>44</v>
      </c>
      <c r="E5164" s="11">
        <v>27.0</v>
      </c>
      <c r="F5164" s="21" t="s">
        <v>190</v>
      </c>
      <c r="G5164" s="15">
        <v>0.05112165263963277</v>
      </c>
      <c r="H5164" s="11" t="s">
        <v>33</v>
      </c>
      <c r="I5164" s="16">
        <v>7.192</v>
      </c>
      <c r="J5164" s="11" t="s">
        <v>878</v>
      </c>
      <c r="K5164" s="11" t="s">
        <v>61</v>
      </c>
      <c r="L5164" s="11" t="s">
        <v>48</v>
      </c>
      <c r="M5164" s="11" t="s">
        <v>49</v>
      </c>
      <c r="N5164" s="11" t="s">
        <v>73</v>
      </c>
      <c r="O5164" s="11" t="s">
        <v>191</v>
      </c>
      <c r="P5164" s="11" t="s">
        <v>99</v>
      </c>
      <c r="Q5164" s="20">
        <v>40704.0</v>
      </c>
      <c r="R5164" s="17">
        <f t="shared" si="2"/>
        <v>31.70012783</v>
      </c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>
        <f t="shared" si="8"/>
        <v>4</v>
      </c>
      <c r="AF5164" s="19">
        <f t="shared" si="13"/>
        <v>4</v>
      </c>
      <c r="AG5164" s="9"/>
      <c r="AH5164" s="9"/>
      <c r="AI5164" s="9"/>
    </row>
    <row r="5165" ht="15.0" customHeight="1">
      <c r="A5165" s="11">
        <v>5164.0</v>
      </c>
      <c r="B5165" s="12">
        <f t="shared" si="820"/>
        <v>40701</v>
      </c>
      <c r="C5165" s="13">
        <v>2011.0</v>
      </c>
      <c r="D5165" s="11" t="s">
        <v>44</v>
      </c>
      <c r="E5165" s="11">
        <v>48.0</v>
      </c>
      <c r="F5165" s="21" t="s">
        <v>119</v>
      </c>
      <c r="G5165" s="15">
        <v>0.028292682926829186</v>
      </c>
      <c r="H5165" s="11" t="s">
        <v>33</v>
      </c>
      <c r="I5165" s="16">
        <v>1.2480000000000002</v>
      </c>
      <c r="J5165" s="11" t="s">
        <v>878</v>
      </c>
      <c r="K5165" s="11" t="s">
        <v>61</v>
      </c>
      <c r="L5165" s="11" t="s">
        <v>48</v>
      </c>
      <c r="M5165" s="11" t="s">
        <v>28</v>
      </c>
      <c r="N5165" s="11" t="s">
        <v>216</v>
      </c>
      <c r="O5165" s="11" t="s">
        <v>2355</v>
      </c>
      <c r="P5165" s="11" t="s">
        <v>58</v>
      </c>
      <c r="Q5165" s="20">
        <v>40704.0</v>
      </c>
      <c r="R5165" s="17">
        <f t="shared" si="2"/>
        <v>2.479797073</v>
      </c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>
        <f t="shared" si="8"/>
        <v>4</v>
      </c>
      <c r="AF5165" s="19">
        <f t="shared" si="13"/>
        <v>4</v>
      </c>
      <c r="AG5165" s="9"/>
      <c r="AH5165" s="9"/>
      <c r="AI5165" s="9"/>
    </row>
    <row r="5166" ht="15.0" customHeight="1">
      <c r="A5166" s="11">
        <v>5165.0</v>
      </c>
      <c r="B5166" s="12">
        <f t="shared" si="820"/>
        <v>40701</v>
      </c>
      <c r="C5166" s="13">
        <v>2011.0</v>
      </c>
      <c r="D5166" s="11" t="s">
        <v>44</v>
      </c>
      <c r="E5166" s="11">
        <v>32.0</v>
      </c>
      <c r="F5166" s="21" t="s">
        <v>1538</v>
      </c>
      <c r="G5166" s="15">
        <v>0.049510515368615664</v>
      </c>
      <c r="H5166" s="11" t="s">
        <v>33</v>
      </c>
      <c r="I5166" s="16">
        <v>11.584000000000001</v>
      </c>
      <c r="J5166" s="11" t="s">
        <v>878</v>
      </c>
      <c r="K5166" s="11" t="s">
        <v>61</v>
      </c>
      <c r="L5166" s="11" t="s">
        <v>48</v>
      </c>
      <c r="M5166" s="11" t="s">
        <v>49</v>
      </c>
      <c r="N5166" s="11" t="s">
        <v>73</v>
      </c>
      <c r="O5166" s="11" t="s">
        <v>1539</v>
      </c>
      <c r="P5166" s="11" t="s">
        <v>38</v>
      </c>
      <c r="Q5166" s="20">
        <v>40704.0</v>
      </c>
      <c r="R5166" s="17">
        <f t="shared" si="2"/>
        <v>101.8126316</v>
      </c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>
        <f t="shared" si="8"/>
        <v>4</v>
      </c>
      <c r="AF5166" s="19">
        <f t="shared" si="13"/>
        <v>4</v>
      </c>
      <c r="AG5166" s="9"/>
      <c r="AH5166" s="9"/>
      <c r="AI5166" s="9"/>
    </row>
    <row r="5167" ht="15.0" customHeight="1">
      <c r="A5167" s="11">
        <v>5166.0</v>
      </c>
      <c r="B5167" s="12">
        <f t="shared" ref="B5167:B5172" si="821">DATE(2012,12,31)-572</f>
        <v>40702</v>
      </c>
      <c r="C5167" s="13">
        <v>2011.0</v>
      </c>
      <c r="D5167" s="11" t="s">
        <v>23</v>
      </c>
      <c r="E5167" s="11">
        <v>48.0</v>
      </c>
      <c r="F5167" s="21" t="s">
        <v>96</v>
      </c>
      <c r="G5167" s="15">
        <v>0.0682741671217914</v>
      </c>
      <c r="H5167" s="11" t="s">
        <v>33</v>
      </c>
      <c r="I5167" s="16">
        <v>1.592</v>
      </c>
      <c r="J5167" s="11" t="s">
        <v>593</v>
      </c>
      <c r="K5167" s="11" t="s">
        <v>65</v>
      </c>
      <c r="L5167" s="11" t="s">
        <v>48</v>
      </c>
      <c r="M5167" s="11" t="s">
        <v>66</v>
      </c>
      <c r="N5167" s="11" t="s">
        <v>67</v>
      </c>
      <c r="O5167" s="11" t="s">
        <v>98</v>
      </c>
      <c r="P5167" s="11" t="s">
        <v>99</v>
      </c>
      <c r="Q5167" s="20">
        <v>40704.0</v>
      </c>
      <c r="R5167" s="17">
        <f t="shared" si="2"/>
        <v>93.18003709</v>
      </c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>
        <f t="shared" si="8"/>
        <v>4</v>
      </c>
      <c r="AF5167" s="19">
        <f t="shared" si="13"/>
        <v>5</v>
      </c>
      <c r="AG5167" s="9"/>
      <c r="AH5167" s="9"/>
      <c r="AI5167" s="9"/>
    </row>
    <row r="5168" ht="15.0" customHeight="1">
      <c r="A5168" s="11">
        <v>5167.0</v>
      </c>
      <c r="B5168" s="12">
        <f t="shared" si="821"/>
        <v>40702</v>
      </c>
      <c r="C5168" s="13">
        <v>2011.0</v>
      </c>
      <c r="D5168" s="11" t="s">
        <v>32</v>
      </c>
      <c r="E5168" s="11">
        <v>24.0</v>
      </c>
      <c r="F5168" s="21" t="s">
        <v>2083</v>
      </c>
      <c r="G5168" s="15">
        <v>0.08288291674497292</v>
      </c>
      <c r="H5168" s="11" t="s">
        <v>33</v>
      </c>
      <c r="I5168" s="16">
        <v>0.792</v>
      </c>
      <c r="J5168" s="11" t="s">
        <v>1862</v>
      </c>
      <c r="K5168" s="11" t="s">
        <v>61</v>
      </c>
      <c r="L5168" s="11" t="s">
        <v>36</v>
      </c>
      <c r="M5168" s="11" t="s">
        <v>28</v>
      </c>
      <c r="N5168" s="11" t="s">
        <v>197</v>
      </c>
      <c r="O5168" s="11" t="s">
        <v>2085</v>
      </c>
      <c r="P5168" s="11" t="s">
        <v>38</v>
      </c>
      <c r="Q5168" s="20">
        <v>40705.0</v>
      </c>
      <c r="R5168" s="17">
        <f t="shared" si="2"/>
        <v>161.7867904</v>
      </c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>
        <f t="shared" si="8"/>
        <v>2</v>
      </c>
      <c r="AF5168" s="19">
        <f t="shared" si="13"/>
        <v>4</v>
      </c>
      <c r="AG5168" s="9"/>
      <c r="AH5168" s="9"/>
      <c r="AI5168" s="9"/>
    </row>
    <row r="5169" ht="15.0" customHeight="1">
      <c r="A5169" s="11">
        <v>5168.0</v>
      </c>
      <c r="B5169" s="12">
        <f t="shared" si="821"/>
        <v>40702</v>
      </c>
      <c r="C5169" s="13">
        <v>2011.0</v>
      </c>
      <c r="D5169" s="11" t="s">
        <v>32</v>
      </c>
      <c r="E5169" s="11">
        <v>13.0</v>
      </c>
      <c r="F5169" s="21" t="s">
        <v>705</v>
      </c>
      <c r="G5169" s="15">
        <v>0.06508474576271192</v>
      </c>
      <c r="H5169" s="11" t="s">
        <v>33</v>
      </c>
      <c r="I5169" s="16">
        <v>1.544</v>
      </c>
      <c r="J5169" s="11" t="s">
        <v>1862</v>
      </c>
      <c r="K5169" s="11" t="s">
        <v>61</v>
      </c>
      <c r="L5169" s="11" t="s">
        <v>36</v>
      </c>
      <c r="M5169" s="11" t="s">
        <v>28</v>
      </c>
      <c r="N5169" s="11" t="s">
        <v>56</v>
      </c>
      <c r="O5169" s="11" t="s">
        <v>90</v>
      </c>
      <c r="P5169" s="11" t="s">
        <v>58</v>
      </c>
      <c r="Q5169" s="20">
        <v>40705.0</v>
      </c>
      <c r="R5169" s="17">
        <f t="shared" si="2"/>
        <v>3.231067119</v>
      </c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>
        <f t="shared" si="8"/>
        <v>2</v>
      </c>
      <c r="AF5169" s="19">
        <f t="shared" si="13"/>
        <v>4</v>
      </c>
      <c r="AG5169" s="9"/>
      <c r="AH5169" s="9"/>
      <c r="AI5169" s="9"/>
    </row>
    <row r="5170" ht="15.0" customHeight="1">
      <c r="A5170" s="11">
        <v>5169.0</v>
      </c>
      <c r="B5170" s="12">
        <f t="shared" si="821"/>
        <v>40702</v>
      </c>
      <c r="C5170" s="13">
        <v>2011.0</v>
      </c>
      <c r="D5170" s="11" t="s">
        <v>32</v>
      </c>
      <c r="E5170" s="11">
        <v>36.0</v>
      </c>
      <c r="F5170" s="21" t="s">
        <v>158</v>
      </c>
      <c r="G5170" s="15">
        <v>0.07237869822485202</v>
      </c>
      <c r="H5170" s="11" t="s">
        <v>33</v>
      </c>
      <c r="I5170" s="16">
        <v>4.752000000000001</v>
      </c>
      <c r="J5170" s="11" t="s">
        <v>1862</v>
      </c>
      <c r="K5170" s="11" t="s">
        <v>61</v>
      </c>
      <c r="L5170" s="11" t="s">
        <v>36</v>
      </c>
      <c r="M5170" s="11" t="s">
        <v>28</v>
      </c>
      <c r="N5170" s="11" t="s">
        <v>56</v>
      </c>
      <c r="O5170" s="11" t="s">
        <v>2186</v>
      </c>
      <c r="P5170" s="11" t="s">
        <v>38</v>
      </c>
      <c r="Q5170" s="20">
        <v>40705.0</v>
      </c>
      <c r="R5170" s="17">
        <f t="shared" si="2"/>
        <v>17.01999564</v>
      </c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>
        <f t="shared" si="8"/>
        <v>2</v>
      </c>
      <c r="AF5170" s="19">
        <f t="shared" si="13"/>
        <v>4</v>
      </c>
      <c r="AG5170" s="9"/>
      <c r="AH5170" s="9"/>
      <c r="AI5170" s="9"/>
    </row>
    <row r="5171" ht="15.0" customHeight="1">
      <c r="A5171" s="11">
        <v>5170.0</v>
      </c>
      <c r="B5171" s="12">
        <f t="shared" si="821"/>
        <v>40702</v>
      </c>
      <c r="C5171" s="13">
        <v>2011.0</v>
      </c>
      <c r="D5171" s="11" t="s">
        <v>32</v>
      </c>
      <c r="E5171" s="11">
        <v>45.0</v>
      </c>
      <c r="F5171" s="21" t="s">
        <v>304</v>
      </c>
      <c r="G5171" s="15">
        <v>0.015581315276024358</v>
      </c>
      <c r="H5171" s="11" t="s">
        <v>33</v>
      </c>
      <c r="I5171" s="16">
        <v>7.224</v>
      </c>
      <c r="J5171" s="11" t="s">
        <v>1862</v>
      </c>
      <c r="K5171" s="11" t="s">
        <v>61</v>
      </c>
      <c r="L5171" s="11" t="s">
        <v>36</v>
      </c>
      <c r="M5171" s="11" t="s">
        <v>28</v>
      </c>
      <c r="N5171" s="11" t="s">
        <v>56</v>
      </c>
      <c r="O5171" s="11" t="s">
        <v>388</v>
      </c>
      <c r="P5171" s="11" t="s">
        <v>38</v>
      </c>
      <c r="Q5171" s="20">
        <v>40705.0</v>
      </c>
      <c r="R5171" s="17">
        <f t="shared" si="2"/>
        <v>13.36446806</v>
      </c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>
        <f t="shared" si="8"/>
        <v>2</v>
      </c>
      <c r="AF5171" s="19">
        <f t="shared" si="13"/>
        <v>4</v>
      </c>
      <c r="AG5171" s="9"/>
      <c r="AH5171" s="9"/>
      <c r="AI5171" s="9"/>
    </row>
    <row r="5172" ht="15.0" customHeight="1">
      <c r="A5172" s="11">
        <v>5171.0</v>
      </c>
      <c r="B5172" s="12">
        <f t="shared" si="821"/>
        <v>40702</v>
      </c>
      <c r="C5172" s="13">
        <v>2011.0</v>
      </c>
      <c r="D5172" s="11" t="s">
        <v>32</v>
      </c>
      <c r="E5172" s="11">
        <v>5.0</v>
      </c>
      <c r="F5172" s="21" t="s">
        <v>2158</v>
      </c>
      <c r="G5172" s="15">
        <v>0.0920925110132158</v>
      </c>
      <c r="H5172" s="11" t="s">
        <v>33</v>
      </c>
      <c r="I5172" s="16">
        <v>5.376</v>
      </c>
      <c r="J5172" s="11" t="s">
        <v>1862</v>
      </c>
      <c r="K5172" s="11" t="s">
        <v>61</v>
      </c>
      <c r="L5172" s="11" t="s">
        <v>36</v>
      </c>
      <c r="M5172" s="11" t="s">
        <v>28</v>
      </c>
      <c r="N5172" s="11" t="s">
        <v>29</v>
      </c>
      <c r="O5172" s="11" t="s">
        <v>2159</v>
      </c>
      <c r="P5172" s="11" t="s">
        <v>38</v>
      </c>
      <c r="Q5172" s="20">
        <v>40705.0</v>
      </c>
      <c r="R5172" s="17">
        <f t="shared" si="2"/>
        <v>15.18384485</v>
      </c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>
        <f t="shared" si="8"/>
        <v>2</v>
      </c>
      <c r="AF5172" s="19">
        <f t="shared" si="13"/>
        <v>4</v>
      </c>
      <c r="AG5172" s="9"/>
      <c r="AH5172" s="9"/>
      <c r="AI5172" s="9"/>
    </row>
    <row r="5173" ht="15.0" customHeight="1">
      <c r="A5173" s="11">
        <v>5172.0</v>
      </c>
      <c r="B5173" s="12">
        <f t="shared" ref="B5173:B5178" si="822">DATE(2012,12,31)-571</f>
        <v>40703</v>
      </c>
      <c r="C5173" s="13">
        <v>2011.0</v>
      </c>
      <c r="D5173" s="11" t="s">
        <v>32</v>
      </c>
      <c r="E5173" s="11">
        <v>21.0</v>
      </c>
      <c r="F5173" s="21" t="s">
        <v>676</v>
      </c>
      <c r="G5173" s="15">
        <v>0.08310502283105034</v>
      </c>
      <c r="H5173" s="11" t="s">
        <v>33</v>
      </c>
      <c r="I5173" s="16">
        <v>2.8800000000000003</v>
      </c>
      <c r="J5173" s="11" t="s">
        <v>446</v>
      </c>
      <c r="K5173" s="11" t="s">
        <v>61</v>
      </c>
      <c r="L5173" s="11" t="s">
        <v>48</v>
      </c>
      <c r="M5173" s="11" t="s">
        <v>28</v>
      </c>
      <c r="N5173" s="11" t="s">
        <v>442</v>
      </c>
      <c r="O5173" s="11" t="s">
        <v>1689</v>
      </c>
      <c r="P5173" s="11" t="s">
        <v>99</v>
      </c>
      <c r="Q5173" s="20">
        <v>40705.0</v>
      </c>
      <c r="R5173" s="17">
        <f t="shared" si="2"/>
        <v>10.01249315</v>
      </c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>
        <f t="shared" si="8"/>
        <v>4</v>
      </c>
      <c r="AF5173" s="19">
        <f t="shared" si="13"/>
        <v>4</v>
      </c>
      <c r="AG5173" s="9"/>
      <c r="AH5173" s="9"/>
      <c r="AI5173" s="9"/>
    </row>
    <row r="5174" ht="15.0" customHeight="1">
      <c r="A5174" s="11">
        <v>5173.0</v>
      </c>
      <c r="B5174" s="12">
        <f t="shared" si="822"/>
        <v>40703</v>
      </c>
      <c r="C5174" s="13">
        <v>2011.0</v>
      </c>
      <c r="D5174" s="11" t="s">
        <v>32</v>
      </c>
      <c r="E5174" s="11">
        <v>44.0</v>
      </c>
      <c r="F5174" s="21" t="s">
        <v>100</v>
      </c>
      <c r="G5174" s="15">
        <v>0.06595029058983552</v>
      </c>
      <c r="H5174" s="11" t="s">
        <v>33</v>
      </c>
      <c r="I5174" s="16">
        <v>4.792000000000001</v>
      </c>
      <c r="J5174" s="11" t="s">
        <v>446</v>
      </c>
      <c r="K5174" s="11" t="s">
        <v>61</v>
      </c>
      <c r="L5174" s="11" t="s">
        <v>48</v>
      </c>
      <c r="M5174" s="11" t="s">
        <v>66</v>
      </c>
      <c r="N5174" s="11" t="s">
        <v>80</v>
      </c>
      <c r="O5174" s="11" t="s">
        <v>101</v>
      </c>
      <c r="P5174" s="11" t="s">
        <v>38</v>
      </c>
      <c r="Q5174" s="20">
        <v>40705.0</v>
      </c>
      <c r="R5174" s="17">
        <f t="shared" si="2"/>
        <v>597.7992864</v>
      </c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>
        <f t="shared" si="8"/>
        <v>4</v>
      </c>
      <c r="AF5174" s="19">
        <f t="shared" si="13"/>
        <v>4</v>
      </c>
      <c r="AG5174" s="9"/>
      <c r="AH5174" s="9"/>
      <c r="AI5174" s="9"/>
    </row>
    <row r="5175" ht="15.0" customHeight="1">
      <c r="A5175" s="11">
        <v>5174.0</v>
      </c>
      <c r="B5175" s="12">
        <f t="shared" si="822"/>
        <v>40703</v>
      </c>
      <c r="C5175" s="13">
        <v>2011.0</v>
      </c>
      <c r="D5175" s="11" t="s">
        <v>44</v>
      </c>
      <c r="E5175" s="11">
        <v>6.0</v>
      </c>
      <c r="F5175" s="21" t="s">
        <v>270</v>
      </c>
      <c r="G5175" s="15">
        <v>0.06831036983321259</v>
      </c>
      <c r="H5175" s="11" t="s">
        <v>33</v>
      </c>
      <c r="I5175" s="16">
        <v>11.56</v>
      </c>
      <c r="J5175" s="11" t="s">
        <v>2524</v>
      </c>
      <c r="K5175" s="11" t="s">
        <v>117</v>
      </c>
      <c r="L5175" s="11" t="s">
        <v>27</v>
      </c>
      <c r="M5175" s="11" t="s">
        <v>49</v>
      </c>
      <c r="N5175" s="11" t="s">
        <v>73</v>
      </c>
      <c r="O5175" s="11" t="s">
        <v>2259</v>
      </c>
      <c r="P5175" s="11" t="s">
        <v>31</v>
      </c>
      <c r="Q5175" s="20">
        <v>40705.0</v>
      </c>
      <c r="R5175" s="17">
        <f t="shared" si="2"/>
        <v>17.55303263</v>
      </c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>
        <f t="shared" si="8"/>
        <v>1</v>
      </c>
      <c r="AF5175" s="19" t="b">
        <f t="shared" si="13"/>
        <v>0</v>
      </c>
      <c r="AG5175" s="9"/>
      <c r="AH5175" s="9"/>
      <c r="AI5175" s="9"/>
    </row>
    <row r="5176" ht="15.0" customHeight="1">
      <c r="A5176" s="11">
        <v>5175.0</v>
      </c>
      <c r="B5176" s="12">
        <f t="shared" si="822"/>
        <v>40703</v>
      </c>
      <c r="C5176" s="13">
        <v>2011.0</v>
      </c>
      <c r="D5176" s="11" t="s">
        <v>32</v>
      </c>
      <c r="E5176" s="11">
        <v>43.0</v>
      </c>
      <c r="F5176" s="21" t="s">
        <v>1158</v>
      </c>
      <c r="G5176" s="15">
        <v>0.10008134805345724</v>
      </c>
      <c r="H5176" s="11" t="s">
        <v>33</v>
      </c>
      <c r="I5176" s="16">
        <v>4.376</v>
      </c>
      <c r="J5176" s="11" t="s">
        <v>116</v>
      </c>
      <c r="K5176" s="11" t="s">
        <v>117</v>
      </c>
      <c r="L5176" s="11" t="s">
        <v>48</v>
      </c>
      <c r="M5176" s="11" t="s">
        <v>28</v>
      </c>
      <c r="N5176" s="11" t="s">
        <v>42</v>
      </c>
      <c r="O5176" s="11" t="s">
        <v>1530</v>
      </c>
      <c r="P5176" s="11" t="s">
        <v>38</v>
      </c>
      <c r="Q5176" s="20">
        <v>40705.0</v>
      </c>
      <c r="R5176" s="17">
        <f t="shared" si="2"/>
        <v>15.50019886</v>
      </c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>
        <f t="shared" si="8"/>
        <v>4</v>
      </c>
      <c r="AF5176" s="19" t="b">
        <f t="shared" si="13"/>
        <v>0</v>
      </c>
      <c r="AG5176" s="9"/>
      <c r="AH5176" s="9"/>
      <c r="AI5176" s="9"/>
    </row>
    <row r="5177" ht="15.0" customHeight="1">
      <c r="A5177" s="11">
        <v>5176.0</v>
      </c>
      <c r="B5177" s="12">
        <f t="shared" si="822"/>
        <v>40703</v>
      </c>
      <c r="C5177" s="13">
        <v>2011.0</v>
      </c>
      <c r="D5177" s="11" t="s">
        <v>32</v>
      </c>
      <c r="E5177" s="11">
        <v>18.0</v>
      </c>
      <c r="F5177" s="21" t="s">
        <v>336</v>
      </c>
      <c r="G5177" s="15">
        <v>0.059202834366696294</v>
      </c>
      <c r="H5177" s="11" t="s">
        <v>33</v>
      </c>
      <c r="I5177" s="16">
        <v>1.816</v>
      </c>
      <c r="J5177" s="11" t="s">
        <v>116</v>
      </c>
      <c r="K5177" s="11" t="s">
        <v>117</v>
      </c>
      <c r="L5177" s="11" t="s">
        <v>48</v>
      </c>
      <c r="M5177" s="11" t="s">
        <v>28</v>
      </c>
      <c r="N5177" s="11" t="s">
        <v>62</v>
      </c>
      <c r="O5177" s="11" t="s">
        <v>1391</v>
      </c>
      <c r="P5177" s="11" t="s">
        <v>58</v>
      </c>
      <c r="Q5177" s="20">
        <v>40705.0</v>
      </c>
      <c r="R5177" s="17">
        <f t="shared" si="2"/>
        <v>6.288288255</v>
      </c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>
        <f t="shared" si="8"/>
        <v>4</v>
      </c>
      <c r="AF5177" s="19" t="b">
        <f t="shared" si="13"/>
        <v>0</v>
      </c>
      <c r="AG5177" s="9"/>
      <c r="AH5177" s="9"/>
      <c r="AI5177" s="9"/>
    </row>
    <row r="5178" ht="15.0" customHeight="1">
      <c r="A5178" s="11">
        <v>5177.0</v>
      </c>
      <c r="B5178" s="12">
        <f t="shared" si="822"/>
        <v>40703</v>
      </c>
      <c r="C5178" s="13">
        <v>2011.0</v>
      </c>
      <c r="D5178" s="11" t="s">
        <v>32</v>
      </c>
      <c r="E5178" s="11">
        <v>41.0</v>
      </c>
      <c r="F5178" s="21" t="s">
        <v>151</v>
      </c>
      <c r="G5178" s="15">
        <v>0.04766018718502502</v>
      </c>
      <c r="H5178" s="11" t="s">
        <v>33</v>
      </c>
      <c r="I5178" s="16">
        <v>1.08</v>
      </c>
      <c r="J5178" s="11" t="s">
        <v>116</v>
      </c>
      <c r="K5178" s="11" t="s">
        <v>117</v>
      </c>
      <c r="L5178" s="11" t="s">
        <v>48</v>
      </c>
      <c r="M5178" s="11" t="s">
        <v>28</v>
      </c>
      <c r="N5178" s="11" t="s">
        <v>216</v>
      </c>
      <c r="O5178" s="11" t="s">
        <v>217</v>
      </c>
      <c r="P5178" s="11" t="s">
        <v>58</v>
      </c>
      <c r="Q5178" s="20">
        <v>40705.0</v>
      </c>
      <c r="R5178" s="17">
        <f t="shared" si="2"/>
        <v>6.304489561</v>
      </c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>
        <f t="shared" si="8"/>
        <v>4</v>
      </c>
      <c r="AF5178" s="19" t="b">
        <f t="shared" si="13"/>
        <v>0</v>
      </c>
      <c r="AG5178" s="9"/>
      <c r="AH5178" s="9"/>
      <c r="AI5178" s="9"/>
    </row>
    <row r="5179" ht="15.0" customHeight="1">
      <c r="A5179" s="11">
        <v>5178.0</v>
      </c>
      <c r="B5179" s="12">
        <f t="shared" ref="B5179:B5188" si="823">DATE(2012,12,31)-570</f>
        <v>40704</v>
      </c>
      <c r="C5179" s="13">
        <v>2011.0</v>
      </c>
      <c r="D5179" s="11" t="s">
        <v>32</v>
      </c>
      <c r="E5179" s="11">
        <v>23.0</v>
      </c>
      <c r="F5179" s="21" t="s">
        <v>1997</v>
      </c>
      <c r="G5179" s="15">
        <v>0.03614745931584196</v>
      </c>
      <c r="H5179" s="11" t="s">
        <v>33</v>
      </c>
      <c r="I5179" s="16">
        <v>5.016</v>
      </c>
      <c r="J5179" s="11" t="s">
        <v>1372</v>
      </c>
      <c r="K5179" s="11" t="s">
        <v>61</v>
      </c>
      <c r="L5179" s="11" t="s">
        <v>36</v>
      </c>
      <c r="M5179" s="11" t="s">
        <v>28</v>
      </c>
      <c r="N5179" s="11" t="s">
        <v>29</v>
      </c>
      <c r="O5179" s="11" t="s">
        <v>1998</v>
      </c>
      <c r="P5179" s="11" t="s">
        <v>75</v>
      </c>
      <c r="Q5179" s="20">
        <v>40705.0</v>
      </c>
      <c r="R5179" s="17">
        <f t="shared" si="2"/>
        <v>10.49057105</v>
      </c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>
        <f t="shared" si="8"/>
        <v>2</v>
      </c>
      <c r="AF5179" s="19">
        <f t="shared" si="13"/>
        <v>4</v>
      </c>
      <c r="AG5179" s="9"/>
      <c r="AH5179" s="9"/>
      <c r="AI5179" s="9"/>
    </row>
    <row r="5180" ht="15.0" customHeight="1">
      <c r="A5180" s="11">
        <v>5179.0</v>
      </c>
      <c r="B5180" s="12">
        <f t="shared" si="823"/>
        <v>40704</v>
      </c>
      <c r="C5180" s="13">
        <v>2011.0</v>
      </c>
      <c r="D5180" s="11" t="s">
        <v>102</v>
      </c>
      <c r="E5180" s="11">
        <v>39.0</v>
      </c>
      <c r="F5180" s="21" t="s">
        <v>186</v>
      </c>
      <c r="G5180" s="15">
        <v>0.09435267857142866</v>
      </c>
      <c r="H5180" s="11" t="s">
        <v>33</v>
      </c>
      <c r="I5180" s="16">
        <v>2.3920000000000003</v>
      </c>
      <c r="J5180" s="11" t="s">
        <v>786</v>
      </c>
      <c r="K5180" s="11" t="s">
        <v>35</v>
      </c>
      <c r="L5180" s="11" t="s">
        <v>36</v>
      </c>
      <c r="M5180" s="11" t="s">
        <v>28</v>
      </c>
      <c r="N5180" s="11" t="s">
        <v>42</v>
      </c>
      <c r="O5180" s="11" t="s">
        <v>1804</v>
      </c>
      <c r="P5180" s="11" t="s">
        <v>38</v>
      </c>
      <c r="Q5180" s="20">
        <v>40706.0</v>
      </c>
      <c r="R5180" s="17">
        <f t="shared" si="2"/>
        <v>15.31268491</v>
      </c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>
        <f t="shared" si="8"/>
        <v>2</v>
      </c>
      <c r="AF5180" s="19">
        <f t="shared" si="13"/>
        <v>2</v>
      </c>
      <c r="AG5180" s="9"/>
      <c r="AH5180" s="9"/>
      <c r="AI5180" s="9"/>
    </row>
    <row r="5181" ht="15.0" customHeight="1">
      <c r="A5181" s="11">
        <v>5180.0</v>
      </c>
      <c r="B5181" s="12">
        <f t="shared" si="823"/>
        <v>40704</v>
      </c>
      <c r="C5181" s="13">
        <v>2011.0</v>
      </c>
      <c r="D5181" s="11" t="s">
        <v>102</v>
      </c>
      <c r="E5181" s="11">
        <v>49.0</v>
      </c>
      <c r="F5181" s="21" t="s">
        <v>319</v>
      </c>
      <c r="G5181" s="15">
        <v>0.05643835616438363</v>
      </c>
      <c r="H5181" s="11" t="s">
        <v>33</v>
      </c>
      <c r="I5181" s="16">
        <v>0.5599999999999999</v>
      </c>
      <c r="J5181" s="11" t="s">
        <v>786</v>
      </c>
      <c r="K5181" s="11" t="s">
        <v>35</v>
      </c>
      <c r="L5181" s="11" t="s">
        <v>36</v>
      </c>
      <c r="M5181" s="11" t="s">
        <v>28</v>
      </c>
      <c r="N5181" s="11" t="s">
        <v>62</v>
      </c>
      <c r="O5181" s="11" t="s">
        <v>383</v>
      </c>
      <c r="P5181" s="11" t="s">
        <v>58</v>
      </c>
      <c r="Q5181" s="20">
        <v>40706.0</v>
      </c>
      <c r="R5181" s="17">
        <f t="shared" si="2"/>
        <v>7.774947945</v>
      </c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>
        <f t="shared" si="8"/>
        <v>2</v>
      </c>
      <c r="AF5181" s="19">
        <f t="shared" si="13"/>
        <v>2</v>
      </c>
      <c r="AG5181" s="9"/>
      <c r="AH5181" s="9"/>
      <c r="AI5181" s="9"/>
    </row>
    <row r="5182" ht="15.0" customHeight="1">
      <c r="A5182" s="11">
        <v>5181.0</v>
      </c>
      <c r="B5182" s="12">
        <f t="shared" si="823"/>
        <v>40704</v>
      </c>
      <c r="C5182" s="13">
        <v>2011.0</v>
      </c>
      <c r="D5182" s="11" t="s">
        <v>23</v>
      </c>
      <c r="E5182" s="11">
        <v>44.0</v>
      </c>
      <c r="F5182" s="21" t="s">
        <v>344</v>
      </c>
      <c r="G5182" s="15">
        <v>0.05464860557768929</v>
      </c>
      <c r="H5182" s="11" t="s">
        <v>33</v>
      </c>
      <c r="I5182" s="16">
        <v>3.608</v>
      </c>
      <c r="J5182" s="11" t="s">
        <v>2009</v>
      </c>
      <c r="K5182" s="11" t="s">
        <v>65</v>
      </c>
      <c r="L5182" s="11" t="s">
        <v>41</v>
      </c>
      <c r="M5182" s="11" t="s">
        <v>28</v>
      </c>
      <c r="N5182" s="11" t="s">
        <v>29</v>
      </c>
      <c r="O5182" s="11" t="s">
        <v>929</v>
      </c>
      <c r="P5182" s="11" t="s">
        <v>38</v>
      </c>
      <c r="Q5182" s="20">
        <v>40706.0</v>
      </c>
      <c r="R5182" s="17">
        <f t="shared" si="2"/>
        <v>32.41799002</v>
      </c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>
        <f t="shared" si="8"/>
        <v>3</v>
      </c>
      <c r="AF5182" s="19">
        <f t="shared" si="13"/>
        <v>5</v>
      </c>
      <c r="AG5182" s="9"/>
      <c r="AH5182" s="9"/>
      <c r="AI5182" s="9"/>
    </row>
    <row r="5183" ht="15.0" customHeight="1">
      <c r="A5183" s="11">
        <v>5182.0</v>
      </c>
      <c r="B5183" s="12">
        <f t="shared" si="823"/>
        <v>40704</v>
      </c>
      <c r="C5183" s="13">
        <v>2011.0</v>
      </c>
      <c r="D5183" s="11" t="s">
        <v>32</v>
      </c>
      <c r="E5183" s="11">
        <v>9.0</v>
      </c>
      <c r="F5183" s="21" t="s">
        <v>1904</v>
      </c>
      <c r="G5183" s="15">
        <v>0.07763457816643952</v>
      </c>
      <c r="H5183" s="11" t="s">
        <v>33</v>
      </c>
      <c r="I5183" s="16">
        <v>19.592</v>
      </c>
      <c r="J5183" s="11" t="s">
        <v>2544</v>
      </c>
      <c r="K5183" s="11" t="s">
        <v>35</v>
      </c>
      <c r="L5183" s="11" t="s">
        <v>41</v>
      </c>
      <c r="M5183" s="11" t="s">
        <v>49</v>
      </c>
      <c r="N5183" s="11" t="s">
        <v>50</v>
      </c>
      <c r="O5183" s="11" t="s">
        <v>2054</v>
      </c>
      <c r="P5183" s="11" t="s">
        <v>31</v>
      </c>
      <c r="Q5183" s="20">
        <v>40706.0</v>
      </c>
      <c r="R5183" s="17">
        <f t="shared" si="2"/>
        <v>99.89955411</v>
      </c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>
        <f t="shared" si="8"/>
        <v>3</v>
      </c>
      <c r="AF5183" s="19">
        <f t="shared" si="13"/>
        <v>2</v>
      </c>
      <c r="AG5183" s="9"/>
      <c r="AH5183" s="9"/>
      <c r="AI5183" s="9"/>
    </row>
    <row r="5184" ht="15.0" customHeight="1">
      <c r="A5184" s="11">
        <v>5183.0</v>
      </c>
      <c r="B5184" s="12">
        <f t="shared" si="823"/>
        <v>40704</v>
      </c>
      <c r="C5184" s="13">
        <v>2011.0</v>
      </c>
      <c r="D5184" s="11" t="s">
        <v>32</v>
      </c>
      <c r="E5184" s="11">
        <v>27.0</v>
      </c>
      <c r="F5184" s="21" t="s">
        <v>2030</v>
      </c>
      <c r="G5184" s="15">
        <v>0.06067547259353001</v>
      </c>
      <c r="H5184" s="11" t="s">
        <v>33</v>
      </c>
      <c r="I5184" s="16">
        <v>13.088000000000001</v>
      </c>
      <c r="J5184" s="11" t="s">
        <v>2544</v>
      </c>
      <c r="K5184" s="11" t="s">
        <v>35</v>
      </c>
      <c r="L5184" s="11" t="s">
        <v>41</v>
      </c>
      <c r="M5184" s="11" t="s">
        <v>28</v>
      </c>
      <c r="N5184" s="11" t="s">
        <v>29</v>
      </c>
      <c r="O5184" s="11" t="s">
        <v>2031</v>
      </c>
      <c r="P5184" s="11" t="s">
        <v>38</v>
      </c>
      <c r="Q5184" s="20">
        <v>40706.0</v>
      </c>
      <c r="R5184" s="17">
        <f t="shared" si="2"/>
        <v>72.05746315</v>
      </c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>
        <f t="shared" si="8"/>
        <v>3</v>
      </c>
      <c r="AF5184" s="19">
        <f t="shared" si="13"/>
        <v>2</v>
      </c>
      <c r="AG5184" s="9"/>
      <c r="AH5184" s="9"/>
      <c r="AI5184" s="9"/>
    </row>
    <row r="5185" ht="15.0" customHeight="1">
      <c r="A5185" s="11">
        <v>5184.0</v>
      </c>
      <c r="B5185" s="12">
        <f t="shared" si="823"/>
        <v>40704</v>
      </c>
      <c r="C5185" s="13">
        <v>2011.0</v>
      </c>
      <c r="D5185" s="11" t="s">
        <v>32</v>
      </c>
      <c r="E5185" s="11">
        <v>10.0</v>
      </c>
      <c r="F5185" s="21" t="s">
        <v>933</v>
      </c>
      <c r="G5185" s="15">
        <v>0.021492224357854195</v>
      </c>
      <c r="H5185" s="11" t="s">
        <v>24</v>
      </c>
      <c r="I5185" s="16">
        <v>1.0</v>
      </c>
      <c r="J5185" s="11" t="s">
        <v>2544</v>
      </c>
      <c r="K5185" s="11" t="s">
        <v>35</v>
      </c>
      <c r="L5185" s="11" t="s">
        <v>41</v>
      </c>
      <c r="M5185" s="11" t="s">
        <v>66</v>
      </c>
      <c r="N5185" s="11" t="s">
        <v>80</v>
      </c>
      <c r="O5185" s="11" t="s">
        <v>1275</v>
      </c>
      <c r="P5185" s="11" t="s">
        <v>99</v>
      </c>
      <c r="Q5185" s="20">
        <v>40706.0</v>
      </c>
      <c r="R5185" s="17">
        <f t="shared" si="2"/>
        <v>12.03564564</v>
      </c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>
        <f t="shared" si="8"/>
        <v>3</v>
      </c>
      <c r="AF5185" s="19">
        <f t="shared" si="13"/>
        <v>2</v>
      </c>
      <c r="AG5185" s="9"/>
      <c r="AH5185" s="9"/>
      <c r="AI5185" s="9"/>
    </row>
    <row r="5186" ht="15.0" customHeight="1">
      <c r="A5186" s="11">
        <v>5185.0</v>
      </c>
      <c r="B5186" s="12">
        <f t="shared" si="823"/>
        <v>40704</v>
      </c>
      <c r="C5186" s="13">
        <v>2011.0</v>
      </c>
      <c r="D5186" s="11" t="s">
        <v>102</v>
      </c>
      <c r="E5186" s="11">
        <v>41.0</v>
      </c>
      <c r="F5186" s="21" t="s">
        <v>1015</v>
      </c>
      <c r="G5186" s="15">
        <v>0.08397687861271666</v>
      </c>
      <c r="H5186" s="11" t="s">
        <v>33</v>
      </c>
      <c r="I5186" s="16">
        <v>4.008</v>
      </c>
      <c r="J5186" s="11" t="s">
        <v>857</v>
      </c>
      <c r="K5186" s="11" t="s">
        <v>35</v>
      </c>
      <c r="L5186" s="11" t="s">
        <v>36</v>
      </c>
      <c r="M5186" s="11" t="s">
        <v>28</v>
      </c>
      <c r="N5186" s="11" t="s">
        <v>42</v>
      </c>
      <c r="O5186" s="11" t="s">
        <v>1547</v>
      </c>
      <c r="P5186" s="11" t="s">
        <v>38</v>
      </c>
      <c r="Q5186" s="20">
        <v>40706.0</v>
      </c>
      <c r="R5186" s="17">
        <f t="shared" si="2"/>
        <v>19.96197586</v>
      </c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>
        <f t="shared" si="8"/>
        <v>2</v>
      </c>
      <c r="AF5186" s="19">
        <f t="shared" si="13"/>
        <v>2</v>
      </c>
      <c r="AG5186" s="9"/>
      <c r="AH5186" s="9"/>
      <c r="AI5186" s="9"/>
    </row>
    <row r="5187" ht="15.0" customHeight="1">
      <c r="A5187" s="11">
        <v>5186.0</v>
      </c>
      <c r="B5187" s="12">
        <f t="shared" si="823"/>
        <v>40704</v>
      </c>
      <c r="C5187" s="13">
        <v>2011.0</v>
      </c>
      <c r="D5187" s="11" t="s">
        <v>102</v>
      </c>
      <c r="E5187" s="11">
        <v>43.0</v>
      </c>
      <c r="F5187" s="21" t="s">
        <v>1904</v>
      </c>
      <c r="G5187" s="15">
        <v>0.010901862382480806</v>
      </c>
      <c r="H5187" s="11" t="s">
        <v>33</v>
      </c>
      <c r="I5187" s="16">
        <v>15.991999999999999</v>
      </c>
      <c r="J5187" s="11" t="s">
        <v>857</v>
      </c>
      <c r="K5187" s="11" t="s">
        <v>35</v>
      </c>
      <c r="L5187" s="11" t="s">
        <v>36</v>
      </c>
      <c r="M5187" s="11" t="s">
        <v>28</v>
      </c>
      <c r="N5187" s="11" t="s">
        <v>29</v>
      </c>
      <c r="O5187" s="11" t="s">
        <v>1905</v>
      </c>
      <c r="P5187" s="11" t="s">
        <v>38</v>
      </c>
      <c r="Q5187" s="20">
        <v>40706.0</v>
      </c>
      <c r="R5187" s="17">
        <f t="shared" si="2"/>
        <v>66.17857819</v>
      </c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>
        <f t="shared" si="8"/>
        <v>2</v>
      </c>
      <c r="AF5187" s="19">
        <f t="shared" si="13"/>
        <v>2</v>
      </c>
      <c r="AG5187" s="9"/>
      <c r="AH5187" s="9"/>
      <c r="AI5187" s="9"/>
    </row>
    <row r="5188" ht="15.0" customHeight="1">
      <c r="A5188" s="11">
        <v>5187.0</v>
      </c>
      <c r="B5188" s="12">
        <f t="shared" si="823"/>
        <v>40704</v>
      </c>
      <c r="C5188" s="13">
        <v>2011.0</v>
      </c>
      <c r="D5188" s="11" t="s">
        <v>102</v>
      </c>
      <c r="E5188" s="11">
        <v>39.0</v>
      </c>
      <c r="F5188" s="21" t="s">
        <v>1523</v>
      </c>
      <c r="G5188" s="15">
        <v>0.022919418758256267</v>
      </c>
      <c r="H5188" s="11" t="s">
        <v>33</v>
      </c>
      <c r="I5188" s="16">
        <v>6.720000000000001</v>
      </c>
      <c r="J5188" s="11" t="s">
        <v>857</v>
      </c>
      <c r="K5188" s="11" t="s">
        <v>35</v>
      </c>
      <c r="L5188" s="11" t="s">
        <v>36</v>
      </c>
      <c r="M5188" s="11" t="s">
        <v>28</v>
      </c>
      <c r="N5188" s="11" t="s">
        <v>42</v>
      </c>
      <c r="O5188" s="11" t="s">
        <v>1525</v>
      </c>
      <c r="P5188" s="11" t="s">
        <v>38</v>
      </c>
      <c r="Q5188" s="20">
        <v>40706.0</v>
      </c>
      <c r="R5188" s="17">
        <f t="shared" si="2"/>
        <v>13.56187847</v>
      </c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>
        <f t="shared" si="8"/>
        <v>2</v>
      </c>
      <c r="AF5188" s="19">
        <f t="shared" si="13"/>
        <v>2</v>
      </c>
      <c r="AG5188" s="9"/>
      <c r="AH5188" s="9"/>
      <c r="AI5188" s="9"/>
    </row>
    <row r="5189" ht="15.0" customHeight="1">
      <c r="A5189" s="11">
        <v>5188.0</v>
      </c>
      <c r="B5189" s="12">
        <f t="shared" ref="B5189:B5194" si="824">DATE(2012,12,31)-569</f>
        <v>40705</v>
      </c>
      <c r="C5189" s="13">
        <v>2011.0</v>
      </c>
      <c r="D5189" s="11" t="s">
        <v>32</v>
      </c>
      <c r="E5189" s="11">
        <v>22.0</v>
      </c>
      <c r="F5189" s="21" t="s">
        <v>96</v>
      </c>
      <c r="G5189" s="15">
        <v>0.05975382767937572</v>
      </c>
      <c r="H5189" s="11" t="s">
        <v>24</v>
      </c>
      <c r="I5189" s="16">
        <v>1.592</v>
      </c>
      <c r="J5189" s="11" t="s">
        <v>345</v>
      </c>
      <c r="K5189" s="11" t="s">
        <v>65</v>
      </c>
      <c r="L5189" s="11" t="s">
        <v>27</v>
      </c>
      <c r="M5189" s="11" t="s">
        <v>66</v>
      </c>
      <c r="N5189" s="11" t="s">
        <v>67</v>
      </c>
      <c r="O5189" s="11" t="s">
        <v>98</v>
      </c>
      <c r="P5189" s="11" t="s">
        <v>99</v>
      </c>
      <c r="Q5189" s="20">
        <v>40707.0</v>
      </c>
      <c r="R5189" s="17">
        <f t="shared" si="2"/>
        <v>37.42931963</v>
      </c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>
        <f t="shared" si="8"/>
        <v>1</v>
      </c>
      <c r="AF5189" s="19">
        <f t="shared" si="13"/>
        <v>5</v>
      </c>
      <c r="AG5189" s="9"/>
      <c r="AH5189" s="9"/>
      <c r="AI5189" s="9"/>
    </row>
    <row r="5190" ht="15.0" customHeight="1">
      <c r="A5190" s="11">
        <v>5189.0</v>
      </c>
      <c r="B5190" s="12">
        <f t="shared" si="824"/>
        <v>40705</v>
      </c>
      <c r="C5190" s="13">
        <v>2011.0</v>
      </c>
      <c r="D5190" s="11" t="s">
        <v>39</v>
      </c>
      <c r="E5190" s="11">
        <v>8.0</v>
      </c>
      <c r="F5190" s="21" t="s">
        <v>1151</v>
      </c>
      <c r="G5190" s="15">
        <v>0.03127010680736064</v>
      </c>
      <c r="H5190" s="11" t="s">
        <v>45</v>
      </c>
      <c r="I5190" s="16">
        <v>33.6</v>
      </c>
      <c r="J5190" s="11" t="s">
        <v>1277</v>
      </c>
      <c r="K5190" s="11" t="s">
        <v>65</v>
      </c>
      <c r="L5190" s="11" t="s">
        <v>41</v>
      </c>
      <c r="M5190" s="11" t="s">
        <v>49</v>
      </c>
      <c r="N5190" s="11" t="s">
        <v>50</v>
      </c>
      <c r="O5190" s="11" t="s">
        <v>1153</v>
      </c>
      <c r="P5190" s="11" t="s">
        <v>52</v>
      </c>
      <c r="Q5190" s="20">
        <v>40707.0</v>
      </c>
      <c r="R5190" s="17">
        <f t="shared" si="2"/>
        <v>23.5401364</v>
      </c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>
        <f t="shared" si="8"/>
        <v>3</v>
      </c>
      <c r="AF5190" s="19">
        <f t="shared" si="13"/>
        <v>5</v>
      </c>
      <c r="AG5190" s="9"/>
      <c r="AH5190" s="9"/>
      <c r="AI5190" s="9"/>
    </row>
    <row r="5191" ht="15.0" customHeight="1">
      <c r="A5191" s="11">
        <v>5190.0</v>
      </c>
      <c r="B5191" s="12">
        <f t="shared" si="824"/>
        <v>40705</v>
      </c>
      <c r="C5191" s="13">
        <v>2011.0</v>
      </c>
      <c r="D5191" s="11" t="s">
        <v>39</v>
      </c>
      <c r="E5191" s="11">
        <v>26.0</v>
      </c>
      <c r="F5191" s="21" t="s">
        <v>1891</v>
      </c>
      <c r="G5191" s="15">
        <v>0.06064417177914111</v>
      </c>
      <c r="H5191" s="11" t="s">
        <v>33</v>
      </c>
      <c r="I5191" s="16">
        <v>3.184</v>
      </c>
      <c r="J5191" s="11" t="s">
        <v>1277</v>
      </c>
      <c r="K5191" s="11" t="s">
        <v>65</v>
      </c>
      <c r="L5191" s="11" t="s">
        <v>41</v>
      </c>
      <c r="M5191" s="11" t="s">
        <v>28</v>
      </c>
      <c r="N5191" s="11" t="s">
        <v>442</v>
      </c>
      <c r="O5191" s="11" t="s">
        <v>2015</v>
      </c>
      <c r="P5191" s="11" t="s">
        <v>99</v>
      </c>
      <c r="Q5191" s="20">
        <v>40707.0</v>
      </c>
      <c r="R5191" s="17">
        <f t="shared" si="2"/>
        <v>14.85685178</v>
      </c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>
        <f t="shared" si="8"/>
        <v>3</v>
      </c>
      <c r="AF5191" s="19">
        <f t="shared" si="13"/>
        <v>5</v>
      </c>
      <c r="AG5191" s="9"/>
      <c r="AH5191" s="9"/>
      <c r="AI5191" s="9"/>
    </row>
    <row r="5192" ht="15.0" customHeight="1">
      <c r="A5192" s="11">
        <v>5191.0</v>
      </c>
      <c r="B5192" s="12">
        <f t="shared" si="824"/>
        <v>40705</v>
      </c>
      <c r="C5192" s="13">
        <v>2011.0</v>
      </c>
      <c r="D5192" s="11" t="s">
        <v>102</v>
      </c>
      <c r="E5192" s="11">
        <v>7.0</v>
      </c>
      <c r="F5192" s="21" t="s">
        <v>207</v>
      </c>
      <c r="G5192" s="15">
        <v>0.1065010351966872</v>
      </c>
      <c r="H5192" s="11" t="s">
        <v>33</v>
      </c>
      <c r="I5192" s="16">
        <v>6.056000000000001</v>
      </c>
      <c r="J5192" s="11" t="s">
        <v>2241</v>
      </c>
      <c r="K5192" s="11" t="s">
        <v>83</v>
      </c>
      <c r="L5192" s="11" t="s">
        <v>41</v>
      </c>
      <c r="M5192" s="11" t="s">
        <v>28</v>
      </c>
      <c r="N5192" s="11" t="s">
        <v>42</v>
      </c>
      <c r="O5192" s="11" t="s">
        <v>208</v>
      </c>
      <c r="P5192" s="11" t="s">
        <v>38</v>
      </c>
      <c r="Q5192" s="20">
        <v>40707.0</v>
      </c>
      <c r="R5192" s="17">
        <f t="shared" si="2"/>
        <v>4.596158675</v>
      </c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>
        <f t="shared" si="8"/>
        <v>3</v>
      </c>
      <c r="AF5192" s="19" t="b">
        <f t="shared" si="13"/>
        <v>0</v>
      </c>
      <c r="AG5192" s="9"/>
      <c r="AH5192" s="9"/>
      <c r="AI5192" s="9"/>
    </row>
    <row r="5193" ht="15.0" customHeight="1">
      <c r="A5193" s="11">
        <v>5192.0</v>
      </c>
      <c r="B5193" s="12">
        <f t="shared" si="824"/>
        <v>40705</v>
      </c>
      <c r="C5193" s="13">
        <v>2011.0</v>
      </c>
      <c r="D5193" s="11" t="s">
        <v>39</v>
      </c>
      <c r="E5193" s="11">
        <v>22.0</v>
      </c>
      <c r="F5193" s="21" t="s">
        <v>207</v>
      </c>
      <c r="G5193" s="15">
        <v>0.044921135646687683</v>
      </c>
      <c r="H5193" s="11" t="s">
        <v>33</v>
      </c>
      <c r="I5193" s="16">
        <v>4.5040000000000004</v>
      </c>
      <c r="J5193" s="11" t="s">
        <v>1332</v>
      </c>
      <c r="K5193" s="11" t="s">
        <v>35</v>
      </c>
      <c r="L5193" s="11" t="s">
        <v>41</v>
      </c>
      <c r="M5193" s="11" t="s">
        <v>28</v>
      </c>
      <c r="N5193" s="11" t="s">
        <v>42</v>
      </c>
      <c r="O5193" s="11" t="s">
        <v>911</v>
      </c>
      <c r="P5193" s="11" t="s">
        <v>38</v>
      </c>
      <c r="Q5193" s="20">
        <v>40708.0</v>
      </c>
      <c r="R5193" s="17">
        <f t="shared" si="2"/>
        <v>5.440129211</v>
      </c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>
        <f t="shared" si="8"/>
        <v>3</v>
      </c>
      <c r="AF5193" s="19">
        <f t="shared" si="13"/>
        <v>2</v>
      </c>
      <c r="AG5193" s="9"/>
      <c r="AH5193" s="9"/>
      <c r="AI5193" s="9"/>
    </row>
    <row r="5194" ht="15.0" customHeight="1">
      <c r="A5194" s="11">
        <v>5193.0</v>
      </c>
      <c r="B5194" s="12">
        <f t="shared" si="824"/>
        <v>40705</v>
      </c>
      <c r="C5194" s="13">
        <v>2011.0</v>
      </c>
      <c r="D5194" s="11" t="s">
        <v>23</v>
      </c>
      <c r="E5194" s="11">
        <v>20.0</v>
      </c>
      <c r="F5194" s="21" t="s">
        <v>158</v>
      </c>
      <c r="G5194" s="15">
        <v>0.08081081081081086</v>
      </c>
      <c r="H5194" s="11" t="s">
        <v>33</v>
      </c>
      <c r="I5194" s="16">
        <v>8.040000000000001</v>
      </c>
      <c r="J5194" s="11" t="s">
        <v>966</v>
      </c>
      <c r="K5194" s="11" t="s">
        <v>26</v>
      </c>
      <c r="L5194" s="11" t="s">
        <v>36</v>
      </c>
      <c r="M5194" s="11" t="s">
        <v>28</v>
      </c>
      <c r="N5194" s="11" t="s">
        <v>56</v>
      </c>
      <c r="O5194" s="11" t="s">
        <v>646</v>
      </c>
      <c r="P5194" s="11" t="s">
        <v>38</v>
      </c>
      <c r="Q5194" s="20">
        <v>40708.0</v>
      </c>
      <c r="R5194" s="17">
        <f t="shared" si="2"/>
        <v>10.9935027</v>
      </c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>
        <f t="shared" si="8"/>
        <v>2</v>
      </c>
      <c r="AF5194" s="19">
        <f t="shared" si="13"/>
        <v>1</v>
      </c>
      <c r="AG5194" s="9"/>
      <c r="AH5194" s="9"/>
      <c r="AI5194" s="9"/>
    </row>
    <row r="5195" ht="15.0" customHeight="1">
      <c r="A5195" s="11">
        <v>5194.0</v>
      </c>
      <c r="B5195" s="12">
        <f t="shared" ref="B5195:B5198" si="825">DATE(2012,12,31)-568</f>
        <v>40706</v>
      </c>
      <c r="C5195" s="13">
        <v>2011.0</v>
      </c>
      <c r="D5195" s="11" t="s">
        <v>44</v>
      </c>
      <c r="E5195" s="11">
        <v>13.0</v>
      </c>
      <c r="F5195" s="21" t="s">
        <v>413</v>
      </c>
      <c r="G5195" s="15">
        <v>0.06220630372492835</v>
      </c>
      <c r="H5195" s="11" t="s">
        <v>33</v>
      </c>
      <c r="I5195" s="16">
        <v>4.816</v>
      </c>
      <c r="J5195" s="11" t="s">
        <v>657</v>
      </c>
      <c r="K5195" s="11" t="s">
        <v>61</v>
      </c>
      <c r="L5195" s="11" t="s">
        <v>41</v>
      </c>
      <c r="M5195" s="11" t="s">
        <v>49</v>
      </c>
      <c r="N5195" s="11" t="s">
        <v>73</v>
      </c>
      <c r="O5195" s="11" t="s">
        <v>1102</v>
      </c>
      <c r="P5195" s="11" t="s">
        <v>75</v>
      </c>
      <c r="Q5195" s="20">
        <v>40708.0</v>
      </c>
      <c r="R5195" s="17">
        <f t="shared" si="2"/>
        <v>8.143800458</v>
      </c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>
        <f t="shared" si="8"/>
        <v>3</v>
      </c>
      <c r="AF5195" s="19">
        <f t="shared" si="13"/>
        <v>4</v>
      </c>
      <c r="AG5195" s="9"/>
      <c r="AH5195" s="9"/>
      <c r="AI5195" s="9"/>
    </row>
    <row r="5196" ht="15.0" customHeight="1">
      <c r="A5196" s="11">
        <v>5195.0</v>
      </c>
      <c r="B5196" s="12">
        <f t="shared" si="825"/>
        <v>40706</v>
      </c>
      <c r="C5196" s="13">
        <v>2011.0</v>
      </c>
      <c r="D5196" s="11" t="s">
        <v>102</v>
      </c>
      <c r="E5196" s="11">
        <v>24.0</v>
      </c>
      <c r="F5196" s="21" t="s">
        <v>629</v>
      </c>
      <c r="G5196" s="15">
        <v>0.050422245108135956</v>
      </c>
      <c r="H5196" s="11" t="s">
        <v>33</v>
      </c>
      <c r="I5196" s="16">
        <v>9.208</v>
      </c>
      <c r="J5196" s="11" t="s">
        <v>584</v>
      </c>
      <c r="K5196" s="11" t="s">
        <v>65</v>
      </c>
      <c r="L5196" s="11" t="s">
        <v>36</v>
      </c>
      <c r="M5196" s="11" t="s">
        <v>28</v>
      </c>
      <c r="N5196" s="11" t="s">
        <v>42</v>
      </c>
      <c r="O5196" s="11" t="s">
        <v>1041</v>
      </c>
      <c r="P5196" s="11" t="s">
        <v>38</v>
      </c>
      <c r="Q5196" s="20">
        <v>40708.0</v>
      </c>
      <c r="R5196" s="17">
        <f t="shared" si="2"/>
        <v>9.298265376</v>
      </c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>
        <f t="shared" si="8"/>
        <v>2</v>
      </c>
      <c r="AF5196" s="19">
        <f t="shared" si="13"/>
        <v>5</v>
      </c>
      <c r="AG5196" s="9"/>
      <c r="AH5196" s="9"/>
      <c r="AI5196" s="9"/>
    </row>
    <row r="5197" ht="15.0" customHeight="1">
      <c r="A5197" s="11">
        <v>5196.0</v>
      </c>
      <c r="B5197" s="12">
        <f t="shared" si="825"/>
        <v>40706</v>
      </c>
      <c r="C5197" s="13">
        <v>2011.0</v>
      </c>
      <c r="D5197" s="11" t="s">
        <v>44</v>
      </c>
      <c r="E5197" s="11">
        <v>28.0</v>
      </c>
      <c r="F5197" s="21" t="s">
        <v>242</v>
      </c>
      <c r="G5197" s="15">
        <v>0.051215130023640525</v>
      </c>
      <c r="H5197" s="11" t="s">
        <v>45</v>
      </c>
      <c r="I5197" s="16">
        <v>21.480000000000004</v>
      </c>
      <c r="J5197" s="11" t="s">
        <v>1217</v>
      </c>
      <c r="K5197" s="11" t="s">
        <v>26</v>
      </c>
      <c r="L5197" s="11" t="s">
        <v>36</v>
      </c>
      <c r="M5197" s="11" t="s">
        <v>49</v>
      </c>
      <c r="N5197" s="11" t="s">
        <v>156</v>
      </c>
      <c r="O5197" s="11" t="s">
        <v>1719</v>
      </c>
      <c r="P5197" s="11" t="s">
        <v>87</v>
      </c>
      <c r="Q5197" s="20">
        <v>40709.0</v>
      </c>
      <c r="R5197" s="17">
        <f t="shared" si="2"/>
        <v>102.7723771</v>
      </c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>
        <f t="shared" si="8"/>
        <v>2</v>
      </c>
      <c r="AF5197" s="19">
        <f t="shared" si="13"/>
        <v>1</v>
      </c>
      <c r="AG5197" s="9"/>
      <c r="AH5197" s="9"/>
      <c r="AI5197" s="9"/>
    </row>
    <row r="5198" ht="15.0" customHeight="1">
      <c r="A5198" s="11">
        <v>5197.0</v>
      </c>
      <c r="B5198" s="12">
        <f t="shared" si="825"/>
        <v>40706</v>
      </c>
      <c r="C5198" s="13">
        <v>2011.0</v>
      </c>
      <c r="D5198" s="11" t="s">
        <v>44</v>
      </c>
      <c r="E5198" s="11">
        <v>34.0</v>
      </c>
      <c r="F5198" s="21" t="s">
        <v>186</v>
      </c>
      <c r="G5198" s="15">
        <v>0.05579153094462554</v>
      </c>
      <c r="H5198" s="11" t="s">
        <v>33</v>
      </c>
      <c r="I5198" s="16">
        <v>5.5360000000000005</v>
      </c>
      <c r="J5198" s="11" t="s">
        <v>1217</v>
      </c>
      <c r="K5198" s="11" t="s">
        <v>26</v>
      </c>
      <c r="L5198" s="11" t="s">
        <v>36</v>
      </c>
      <c r="M5198" s="11" t="s">
        <v>49</v>
      </c>
      <c r="N5198" s="11" t="s">
        <v>73</v>
      </c>
      <c r="O5198" s="11" t="s">
        <v>2344</v>
      </c>
      <c r="P5198" s="11" t="s">
        <v>38</v>
      </c>
      <c r="Q5198" s="20">
        <v>40709.0</v>
      </c>
      <c r="R5198" s="17">
        <f t="shared" si="2"/>
        <v>8.086201329</v>
      </c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>
        <f t="shared" si="8"/>
        <v>2</v>
      </c>
      <c r="AF5198" s="19">
        <f t="shared" si="13"/>
        <v>1</v>
      </c>
      <c r="AG5198" s="9"/>
      <c r="AH5198" s="9"/>
      <c r="AI5198" s="9"/>
    </row>
    <row r="5199" ht="15.0" customHeight="1">
      <c r="A5199" s="11">
        <v>5198.0</v>
      </c>
      <c r="B5199" s="12">
        <f t="shared" ref="B5199:B5201" si="826">DATE(2012,12,31)-567</f>
        <v>40707</v>
      </c>
      <c r="C5199" s="13">
        <v>2011.0</v>
      </c>
      <c r="D5199" s="11" t="s">
        <v>44</v>
      </c>
      <c r="E5199" s="11">
        <v>12.0</v>
      </c>
      <c r="F5199" s="21" t="s">
        <v>1244</v>
      </c>
      <c r="G5199" s="15">
        <v>0.09222316007297086</v>
      </c>
      <c r="H5199" s="11" t="s">
        <v>33</v>
      </c>
      <c r="I5199" s="16">
        <v>19.592</v>
      </c>
      <c r="J5199" s="11" t="s">
        <v>2386</v>
      </c>
      <c r="K5199" s="11" t="s">
        <v>65</v>
      </c>
      <c r="L5199" s="11" t="s">
        <v>48</v>
      </c>
      <c r="M5199" s="11" t="s">
        <v>49</v>
      </c>
      <c r="N5199" s="11" t="s">
        <v>50</v>
      </c>
      <c r="O5199" s="11" t="s">
        <v>1246</v>
      </c>
      <c r="P5199" s="11" t="s">
        <v>31</v>
      </c>
      <c r="Q5199" s="20">
        <v>40709.0</v>
      </c>
      <c r="R5199" s="17">
        <f t="shared" si="2"/>
        <v>307.4712779</v>
      </c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>
        <f t="shared" si="8"/>
        <v>4</v>
      </c>
      <c r="AF5199" s="19">
        <f t="shared" si="13"/>
        <v>5</v>
      </c>
      <c r="AG5199" s="9"/>
      <c r="AH5199" s="9"/>
      <c r="AI5199" s="9"/>
    </row>
    <row r="5200" ht="15.0" customHeight="1">
      <c r="A5200" s="11">
        <v>5199.0</v>
      </c>
      <c r="B5200" s="12">
        <f t="shared" si="826"/>
        <v>40707</v>
      </c>
      <c r="C5200" s="13">
        <v>2011.0</v>
      </c>
      <c r="D5200" s="11" t="s">
        <v>44</v>
      </c>
      <c r="E5200" s="11">
        <v>47.0</v>
      </c>
      <c r="F5200" s="21" t="s">
        <v>314</v>
      </c>
      <c r="G5200" s="15">
        <v>0.05561068702290089</v>
      </c>
      <c r="H5200" s="11" t="s">
        <v>24</v>
      </c>
      <c r="I5200" s="16">
        <v>0.8160000000000001</v>
      </c>
      <c r="J5200" s="11" t="s">
        <v>2386</v>
      </c>
      <c r="K5200" s="11" t="s">
        <v>65</v>
      </c>
      <c r="L5200" s="11" t="s">
        <v>48</v>
      </c>
      <c r="M5200" s="11" t="s">
        <v>28</v>
      </c>
      <c r="N5200" s="11" t="s">
        <v>56</v>
      </c>
      <c r="O5200" s="11" t="s">
        <v>315</v>
      </c>
      <c r="P5200" s="11" t="s">
        <v>58</v>
      </c>
      <c r="Q5200" s="20">
        <v>40709.0</v>
      </c>
      <c r="R5200" s="17">
        <f t="shared" si="2"/>
        <v>16.51170275</v>
      </c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>
        <f t="shared" si="8"/>
        <v>4</v>
      </c>
      <c r="AF5200" s="19">
        <f t="shared" si="13"/>
        <v>5</v>
      </c>
      <c r="AG5200" s="9"/>
      <c r="AH5200" s="9"/>
      <c r="AI5200" s="9"/>
    </row>
    <row r="5201" ht="15.0" customHeight="1">
      <c r="A5201" s="11">
        <v>5200.0</v>
      </c>
      <c r="B5201" s="12">
        <f t="shared" si="826"/>
        <v>40707</v>
      </c>
      <c r="C5201" s="13">
        <v>2011.0</v>
      </c>
      <c r="D5201" s="11" t="s">
        <v>102</v>
      </c>
      <c r="E5201" s="11">
        <v>44.0</v>
      </c>
      <c r="F5201" s="21" t="s">
        <v>1207</v>
      </c>
      <c r="G5201" s="15">
        <v>0.058310939595736085</v>
      </c>
      <c r="H5201" s="11" t="s">
        <v>45</v>
      </c>
      <c r="I5201" s="16">
        <v>44.19200000000001</v>
      </c>
      <c r="J5201" s="11" t="s">
        <v>2301</v>
      </c>
      <c r="K5201" s="11" t="s">
        <v>83</v>
      </c>
      <c r="L5201" s="11" t="s">
        <v>27</v>
      </c>
      <c r="M5201" s="11" t="s">
        <v>28</v>
      </c>
      <c r="N5201" s="11" t="s">
        <v>197</v>
      </c>
      <c r="O5201" s="11" t="s">
        <v>2133</v>
      </c>
      <c r="P5201" s="11" t="s">
        <v>52</v>
      </c>
      <c r="Q5201" s="20">
        <v>40710.0</v>
      </c>
      <c r="R5201" s="17">
        <f t="shared" si="2"/>
        <v>466.7086318</v>
      </c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>
        <f t="shared" si="8"/>
        <v>1</v>
      </c>
      <c r="AF5201" s="19" t="b">
        <f t="shared" si="13"/>
        <v>0</v>
      </c>
      <c r="AG5201" s="9"/>
      <c r="AH5201" s="9"/>
      <c r="AI5201" s="9"/>
    </row>
    <row r="5202" ht="15.0" customHeight="1">
      <c r="A5202" s="11">
        <v>5201.0</v>
      </c>
      <c r="B5202" s="12">
        <f t="shared" ref="B5202:B5209" si="827">DATE(2012,12,31)-566</f>
        <v>40708</v>
      </c>
      <c r="C5202" s="13">
        <v>2011.0</v>
      </c>
      <c r="D5202" s="11" t="s">
        <v>39</v>
      </c>
      <c r="E5202" s="11">
        <v>46.0</v>
      </c>
      <c r="F5202" s="21" t="s">
        <v>956</v>
      </c>
      <c r="G5202" s="15">
        <v>0.021654135338345884</v>
      </c>
      <c r="H5202" s="11" t="s">
        <v>33</v>
      </c>
      <c r="I5202" s="16">
        <v>1.192</v>
      </c>
      <c r="J5202" s="11" t="s">
        <v>1179</v>
      </c>
      <c r="K5202" s="11" t="s">
        <v>61</v>
      </c>
      <c r="L5202" s="11" t="s">
        <v>41</v>
      </c>
      <c r="M5202" s="11" t="s">
        <v>28</v>
      </c>
      <c r="N5202" s="11" t="s">
        <v>42</v>
      </c>
      <c r="O5202" s="11" t="s">
        <v>957</v>
      </c>
      <c r="P5202" s="11" t="s">
        <v>38</v>
      </c>
      <c r="Q5202" s="20">
        <v>40710.0</v>
      </c>
      <c r="R5202" s="17">
        <f t="shared" si="2"/>
        <v>4.508217744</v>
      </c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>
        <f t="shared" si="8"/>
        <v>3</v>
      </c>
      <c r="AF5202" s="19">
        <f t="shared" si="13"/>
        <v>4</v>
      </c>
      <c r="AG5202" s="9"/>
      <c r="AH5202" s="9"/>
      <c r="AI5202" s="9"/>
    </row>
    <row r="5203" ht="15.0" customHeight="1">
      <c r="A5203" s="11">
        <v>5202.0</v>
      </c>
      <c r="B5203" s="12">
        <f t="shared" si="827"/>
        <v>40708</v>
      </c>
      <c r="C5203" s="13">
        <v>2011.0</v>
      </c>
      <c r="D5203" s="11" t="s">
        <v>39</v>
      </c>
      <c r="E5203" s="11">
        <v>8.0</v>
      </c>
      <c r="F5203" s="21" t="s">
        <v>119</v>
      </c>
      <c r="G5203" s="15">
        <v>0.09872832369942197</v>
      </c>
      <c r="H5203" s="11" t="s">
        <v>33</v>
      </c>
      <c r="I5203" s="16">
        <v>1.192</v>
      </c>
      <c r="J5203" s="11" t="s">
        <v>1179</v>
      </c>
      <c r="K5203" s="11" t="s">
        <v>61</v>
      </c>
      <c r="L5203" s="11" t="s">
        <v>41</v>
      </c>
      <c r="M5203" s="11" t="s">
        <v>28</v>
      </c>
      <c r="N5203" s="11" t="s">
        <v>42</v>
      </c>
      <c r="O5203" s="11" t="s">
        <v>1129</v>
      </c>
      <c r="P5203" s="11" t="s">
        <v>38</v>
      </c>
      <c r="Q5203" s="20">
        <v>40710.0</v>
      </c>
      <c r="R5203" s="17">
        <f t="shared" si="2"/>
        <v>1.539372023</v>
      </c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>
        <f t="shared" si="8"/>
        <v>3</v>
      </c>
      <c r="AF5203" s="19">
        <f t="shared" si="13"/>
        <v>4</v>
      </c>
      <c r="AG5203" s="9"/>
      <c r="AH5203" s="9"/>
      <c r="AI5203" s="9"/>
    </row>
    <row r="5204" ht="15.0" customHeight="1">
      <c r="A5204" s="11">
        <v>5203.0</v>
      </c>
      <c r="B5204" s="12">
        <f t="shared" si="827"/>
        <v>40708</v>
      </c>
      <c r="C5204" s="13">
        <v>2011.0</v>
      </c>
      <c r="D5204" s="11" t="s">
        <v>32</v>
      </c>
      <c r="E5204" s="11">
        <v>31.0</v>
      </c>
      <c r="F5204" s="21" t="s">
        <v>810</v>
      </c>
      <c r="G5204" s="15">
        <v>0.06506725226461693</v>
      </c>
      <c r="H5204" s="11" t="s">
        <v>33</v>
      </c>
      <c r="I5204" s="16">
        <v>2.696</v>
      </c>
      <c r="J5204" s="11" t="s">
        <v>446</v>
      </c>
      <c r="K5204" s="11" t="s">
        <v>61</v>
      </c>
      <c r="L5204" s="11" t="s">
        <v>48</v>
      </c>
      <c r="M5204" s="11" t="s">
        <v>28</v>
      </c>
      <c r="N5204" s="11" t="s">
        <v>442</v>
      </c>
      <c r="O5204" s="11" t="s">
        <v>1111</v>
      </c>
      <c r="P5204" s="11" t="s">
        <v>99</v>
      </c>
      <c r="Q5204" s="20">
        <v>40711.0</v>
      </c>
      <c r="R5204" s="17">
        <f t="shared" si="2"/>
        <v>22.16164585</v>
      </c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>
        <f t="shared" si="8"/>
        <v>4</v>
      </c>
      <c r="AF5204" s="19">
        <f t="shared" si="13"/>
        <v>4</v>
      </c>
      <c r="AG5204" s="9"/>
      <c r="AH5204" s="9"/>
      <c r="AI5204" s="9"/>
    </row>
    <row r="5205" ht="15.0" customHeight="1">
      <c r="A5205" s="11">
        <v>5204.0</v>
      </c>
      <c r="B5205" s="12">
        <f t="shared" si="827"/>
        <v>40708</v>
      </c>
      <c r="C5205" s="13">
        <v>2011.0</v>
      </c>
      <c r="D5205" s="11" t="s">
        <v>44</v>
      </c>
      <c r="E5205" s="11">
        <v>3.0</v>
      </c>
      <c r="F5205" s="21" t="s">
        <v>169</v>
      </c>
      <c r="G5205" s="15">
        <v>0.021970557016936718</v>
      </c>
      <c r="H5205" s="11" t="s">
        <v>33</v>
      </c>
      <c r="I5205" s="16">
        <v>19.592</v>
      </c>
      <c r="J5205" s="11" t="s">
        <v>2052</v>
      </c>
      <c r="K5205" s="11" t="s">
        <v>65</v>
      </c>
      <c r="L5205" s="11" t="s">
        <v>27</v>
      </c>
      <c r="M5205" s="11" t="s">
        <v>66</v>
      </c>
      <c r="N5205" s="11" t="s">
        <v>170</v>
      </c>
      <c r="O5205" s="11" t="s">
        <v>171</v>
      </c>
      <c r="P5205" s="11" t="s">
        <v>31</v>
      </c>
      <c r="Q5205" s="20">
        <v>40711.0</v>
      </c>
      <c r="R5205" s="17">
        <f t="shared" si="2"/>
        <v>46.56202572</v>
      </c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>
        <f t="shared" si="8"/>
        <v>1</v>
      </c>
      <c r="AF5205" s="19">
        <f t="shared" si="13"/>
        <v>5</v>
      </c>
      <c r="AG5205" s="9"/>
      <c r="AH5205" s="9"/>
      <c r="AI5205" s="9"/>
    </row>
    <row r="5206" ht="15.0" customHeight="1">
      <c r="A5206" s="11">
        <v>5205.0</v>
      </c>
      <c r="B5206" s="12">
        <f t="shared" si="827"/>
        <v>40708</v>
      </c>
      <c r="C5206" s="13">
        <v>2011.0</v>
      </c>
      <c r="D5206" s="11" t="s">
        <v>23</v>
      </c>
      <c r="E5206" s="11">
        <v>1.0</v>
      </c>
      <c r="F5206" s="21" t="s">
        <v>486</v>
      </c>
      <c r="G5206" s="15">
        <v>0.06500000000000011</v>
      </c>
      <c r="H5206" s="11" t="s">
        <v>24</v>
      </c>
      <c r="I5206" s="16">
        <v>1.6320000000000001</v>
      </c>
      <c r="J5206" s="11" t="s">
        <v>2373</v>
      </c>
      <c r="K5206" s="11" t="s">
        <v>83</v>
      </c>
      <c r="L5206" s="11" t="s">
        <v>48</v>
      </c>
      <c r="M5206" s="11" t="s">
        <v>28</v>
      </c>
      <c r="N5206" s="11" t="s">
        <v>56</v>
      </c>
      <c r="O5206" s="11" t="s">
        <v>1340</v>
      </c>
      <c r="P5206" s="11" t="s">
        <v>58</v>
      </c>
      <c r="Q5206" s="20">
        <v>40711.0</v>
      </c>
      <c r="R5206" s="17">
        <f t="shared" si="2"/>
        <v>0.43758</v>
      </c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>
        <f t="shared" si="8"/>
        <v>4</v>
      </c>
      <c r="AF5206" s="19" t="b">
        <f t="shared" si="13"/>
        <v>0</v>
      </c>
      <c r="AG5206" s="9"/>
      <c r="AH5206" s="9"/>
      <c r="AI5206" s="9"/>
    </row>
    <row r="5207" ht="15.0" customHeight="1">
      <c r="A5207" s="11">
        <v>5206.0</v>
      </c>
      <c r="B5207" s="12">
        <f t="shared" si="827"/>
        <v>40708</v>
      </c>
      <c r="C5207" s="13">
        <v>2011.0</v>
      </c>
      <c r="D5207" s="11" t="s">
        <v>44</v>
      </c>
      <c r="E5207" s="11">
        <v>9.0</v>
      </c>
      <c r="F5207" s="21" t="s">
        <v>242</v>
      </c>
      <c r="G5207" s="15">
        <v>0.027851473922902555</v>
      </c>
      <c r="H5207" s="11" t="s">
        <v>45</v>
      </c>
      <c r="I5207" s="16">
        <v>47.848000000000006</v>
      </c>
      <c r="J5207" s="11" t="s">
        <v>1936</v>
      </c>
      <c r="K5207" s="11" t="s">
        <v>35</v>
      </c>
      <c r="L5207" s="11" t="s">
        <v>27</v>
      </c>
      <c r="M5207" s="11" t="s">
        <v>49</v>
      </c>
      <c r="N5207" s="11" t="s">
        <v>50</v>
      </c>
      <c r="O5207" s="11" t="s">
        <v>2218</v>
      </c>
      <c r="P5207" s="11" t="s">
        <v>52</v>
      </c>
      <c r="Q5207" s="20">
        <v>40711.0</v>
      </c>
      <c r="R5207" s="17">
        <f t="shared" si="2"/>
        <v>19.10466283</v>
      </c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>
        <f t="shared" si="8"/>
        <v>1</v>
      </c>
      <c r="AF5207" s="19">
        <f t="shared" si="13"/>
        <v>2</v>
      </c>
      <c r="AG5207" s="9"/>
      <c r="AH5207" s="9"/>
      <c r="AI5207" s="9"/>
    </row>
    <row r="5208" ht="15.0" customHeight="1">
      <c r="A5208" s="11">
        <v>5207.0</v>
      </c>
      <c r="B5208" s="12">
        <f t="shared" si="827"/>
        <v>40708</v>
      </c>
      <c r="C5208" s="13">
        <v>2011.0</v>
      </c>
      <c r="D5208" s="11" t="s">
        <v>44</v>
      </c>
      <c r="E5208" s="11">
        <v>14.0</v>
      </c>
      <c r="F5208" s="21" t="s">
        <v>943</v>
      </c>
      <c r="G5208" s="15">
        <v>0.029961866715090088</v>
      </c>
      <c r="H5208" s="11" t="s">
        <v>33</v>
      </c>
      <c r="I5208" s="16">
        <v>3.2</v>
      </c>
      <c r="J5208" s="11" t="s">
        <v>1936</v>
      </c>
      <c r="K5208" s="11" t="s">
        <v>35</v>
      </c>
      <c r="L5208" s="11" t="s">
        <v>27</v>
      </c>
      <c r="M5208" s="11" t="s">
        <v>66</v>
      </c>
      <c r="N5208" s="11" t="s">
        <v>67</v>
      </c>
      <c r="O5208" s="11" t="s">
        <v>944</v>
      </c>
      <c r="P5208" s="11" t="s">
        <v>38</v>
      </c>
      <c r="Q5208" s="20">
        <v>40711.0</v>
      </c>
      <c r="R5208" s="17">
        <f t="shared" si="2"/>
        <v>64.0225168</v>
      </c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>
        <f t="shared" si="8"/>
        <v>1</v>
      </c>
      <c r="AF5208" s="19">
        <f t="shared" si="13"/>
        <v>2</v>
      </c>
      <c r="AG5208" s="9"/>
      <c r="AH5208" s="9"/>
      <c r="AI5208" s="9"/>
    </row>
    <row r="5209" ht="15.0" customHeight="1">
      <c r="A5209" s="11">
        <v>5208.0</v>
      </c>
      <c r="B5209" s="12">
        <f t="shared" si="827"/>
        <v>40708</v>
      </c>
      <c r="C5209" s="13">
        <v>2011.0</v>
      </c>
      <c r="D5209" s="11" t="s">
        <v>44</v>
      </c>
      <c r="E5209" s="11">
        <v>15.0</v>
      </c>
      <c r="F5209" s="21" t="s">
        <v>933</v>
      </c>
      <c r="G5209" s="15">
        <v>0.0848582292232482</v>
      </c>
      <c r="H5209" s="11" t="s">
        <v>33</v>
      </c>
      <c r="I5209" s="16">
        <v>3.8880000000000003</v>
      </c>
      <c r="J5209" s="11" t="s">
        <v>1936</v>
      </c>
      <c r="K5209" s="11" t="s">
        <v>35</v>
      </c>
      <c r="L5209" s="11" t="s">
        <v>27</v>
      </c>
      <c r="M5209" s="11" t="s">
        <v>28</v>
      </c>
      <c r="N5209" s="11" t="s">
        <v>56</v>
      </c>
      <c r="O5209" s="11" t="s">
        <v>1566</v>
      </c>
      <c r="P5209" s="11" t="s">
        <v>38</v>
      </c>
      <c r="Q5209" s="20">
        <v>40711.0</v>
      </c>
      <c r="R5209" s="17">
        <f t="shared" si="2"/>
        <v>71.483554</v>
      </c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>
        <f t="shared" si="8"/>
        <v>1</v>
      </c>
      <c r="AF5209" s="19">
        <f t="shared" si="13"/>
        <v>2</v>
      </c>
      <c r="AG5209" s="9"/>
      <c r="AH5209" s="9"/>
      <c r="AI5209" s="9"/>
    </row>
    <row r="5210" ht="15.0" customHeight="1">
      <c r="A5210" s="11">
        <v>5209.0</v>
      </c>
      <c r="B5210" s="12">
        <f t="shared" ref="B5210:B5211" si="828">DATE(2012,12,31)-565</f>
        <v>40709</v>
      </c>
      <c r="C5210" s="13">
        <v>2011.0</v>
      </c>
      <c r="D5210" s="11" t="s">
        <v>32</v>
      </c>
      <c r="E5210" s="11">
        <v>21.0</v>
      </c>
      <c r="F5210" s="21" t="s">
        <v>166</v>
      </c>
      <c r="G5210" s="15">
        <v>0.06589743589743582</v>
      </c>
      <c r="H5210" s="11" t="s">
        <v>33</v>
      </c>
      <c r="I5210" s="16">
        <v>3.816</v>
      </c>
      <c r="J5210" s="11" t="s">
        <v>930</v>
      </c>
      <c r="K5210" s="11" t="s">
        <v>61</v>
      </c>
      <c r="L5210" s="11" t="s">
        <v>27</v>
      </c>
      <c r="M5210" s="11" t="s">
        <v>28</v>
      </c>
      <c r="N5210" s="11" t="s">
        <v>42</v>
      </c>
      <c r="O5210" s="11" t="s">
        <v>168</v>
      </c>
      <c r="P5210" s="11" t="s">
        <v>38</v>
      </c>
      <c r="Q5210" s="20">
        <v>40711.0</v>
      </c>
      <c r="R5210" s="17">
        <f t="shared" si="2"/>
        <v>2.880772308</v>
      </c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>
        <f t="shared" si="8"/>
        <v>1</v>
      </c>
      <c r="AF5210" s="19">
        <f t="shared" si="13"/>
        <v>4</v>
      </c>
      <c r="AG5210" s="9"/>
      <c r="AH5210" s="9"/>
      <c r="AI5210" s="9"/>
    </row>
    <row r="5211" ht="15.0" customHeight="1">
      <c r="A5211" s="11">
        <v>5210.0</v>
      </c>
      <c r="B5211" s="12">
        <f t="shared" si="828"/>
        <v>40709</v>
      </c>
      <c r="C5211" s="13">
        <v>2011.0</v>
      </c>
      <c r="D5211" s="11" t="s">
        <v>32</v>
      </c>
      <c r="E5211" s="11">
        <v>35.0</v>
      </c>
      <c r="F5211" s="21" t="s">
        <v>333</v>
      </c>
      <c r="G5211" s="15">
        <v>0.09603539823008853</v>
      </c>
      <c r="H5211" s="11" t="s">
        <v>33</v>
      </c>
      <c r="I5211" s="16">
        <v>0.6480000000000001</v>
      </c>
      <c r="J5211" s="11" t="s">
        <v>2304</v>
      </c>
      <c r="K5211" s="11" t="s">
        <v>26</v>
      </c>
      <c r="L5211" s="11" t="s">
        <v>48</v>
      </c>
      <c r="M5211" s="11" t="s">
        <v>28</v>
      </c>
      <c r="N5211" s="11" t="s">
        <v>62</v>
      </c>
      <c r="O5211" s="11" t="s">
        <v>1910</v>
      </c>
      <c r="P5211" s="11" t="s">
        <v>58</v>
      </c>
      <c r="Q5211" s="20">
        <v>40711.0</v>
      </c>
      <c r="R5211" s="17">
        <f t="shared" si="2"/>
        <v>9.809823858</v>
      </c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>
        <f t="shared" si="8"/>
        <v>4</v>
      </c>
      <c r="AF5211" s="19">
        <f t="shared" si="13"/>
        <v>1</v>
      </c>
      <c r="AG5211" s="9"/>
      <c r="AH5211" s="9"/>
      <c r="AI5211" s="9"/>
    </row>
    <row r="5212" ht="15.0" customHeight="1">
      <c r="A5212" s="11">
        <v>5211.0</v>
      </c>
      <c r="B5212" s="12">
        <f t="shared" ref="B5212:B5218" si="829">DATE(2012,12,31)-564</f>
        <v>40710</v>
      </c>
      <c r="C5212" s="13">
        <v>2011.0</v>
      </c>
      <c r="D5212" s="11" t="s">
        <v>39</v>
      </c>
      <c r="E5212" s="11">
        <v>18.0</v>
      </c>
      <c r="F5212" s="21" t="s">
        <v>126</v>
      </c>
      <c r="G5212" s="15">
        <v>0.09738959764474982</v>
      </c>
      <c r="H5212" s="11" t="s">
        <v>33</v>
      </c>
      <c r="I5212" s="16">
        <v>3.776</v>
      </c>
      <c r="J5212" s="11" t="s">
        <v>756</v>
      </c>
      <c r="K5212" s="11" t="s">
        <v>65</v>
      </c>
      <c r="L5212" s="11" t="s">
        <v>27</v>
      </c>
      <c r="M5212" s="11" t="s">
        <v>28</v>
      </c>
      <c r="N5212" s="11" t="s">
        <v>56</v>
      </c>
      <c r="O5212" s="11" t="s">
        <v>1299</v>
      </c>
      <c r="P5212" s="11" t="s">
        <v>38</v>
      </c>
      <c r="Q5212" s="20">
        <v>40712.0</v>
      </c>
      <c r="R5212" s="17">
        <f t="shared" si="2"/>
        <v>8.957505633</v>
      </c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>
        <f t="shared" si="8"/>
        <v>1</v>
      </c>
      <c r="AF5212" s="19">
        <f t="shared" si="13"/>
        <v>5</v>
      </c>
      <c r="AG5212" s="9"/>
      <c r="AH5212" s="9"/>
      <c r="AI5212" s="9"/>
    </row>
    <row r="5213" ht="15.0" customHeight="1">
      <c r="A5213" s="11">
        <v>5212.0</v>
      </c>
      <c r="B5213" s="12">
        <f t="shared" si="829"/>
        <v>40710</v>
      </c>
      <c r="C5213" s="13">
        <v>2011.0</v>
      </c>
      <c r="D5213" s="11" t="s">
        <v>44</v>
      </c>
      <c r="E5213" s="11">
        <v>25.0</v>
      </c>
      <c r="F5213" s="21" t="s">
        <v>610</v>
      </c>
      <c r="G5213" s="15">
        <v>0.0836750369276219</v>
      </c>
      <c r="H5213" s="11" t="s">
        <v>33</v>
      </c>
      <c r="I5213" s="16">
        <v>5.176</v>
      </c>
      <c r="J5213" s="11" t="s">
        <v>2513</v>
      </c>
      <c r="K5213" s="11" t="s">
        <v>65</v>
      </c>
      <c r="L5213" s="11" t="s">
        <v>48</v>
      </c>
      <c r="M5213" s="11" t="s">
        <v>28</v>
      </c>
      <c r="N5213" s="11" t="s">
        <v>56</v>
      </c>
      <c r="O5213" s="11" t="s">
        <v>2006</v>
      </c>
      <c r="P5213" s="11" t="s">
        <v>38</v>
      </c>
      <c r="Q5213" s="20">
        <v>40712.0</v>
      </c>
      <c r="R5213" s="17">
        <f t="shared" si="2"/>
        <v>25.95398825</v>
      </c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>
        <f t="shared" si="8"/>
        <v>4</v>
      </c>
      <c r="AF5213" s="19">
        <f t="shared" si="13"/>
        <v>5</v>
      </c>
      <c r="AG5213" s="9"/>
      <c r="AH5213" s="9"/>
      <c r="AI5213" s="9"/>
    </row>
    <row r="5214" ht="15.0" customHeight="1">
      <c r="A5214" s="11">
        <v>5213.0</v>
      </c>
      <c r="B5214" s="12">
        <f t="shared" si="829"/>
        <v>40710</v>
      </c>
      <c r="C5214" s="13">
        <v>2011.0</v>
      </c>
      <c r="D5214" s="11" t="s">
        <v>39</v>
      </c>
      <c r="E5214" s="11">
        <v>17.0</v>
      </c>
      <c r="F5214" s="21" t="s">
        <v>1369</v>
      </c>
      <c r="G5214" s="15">
        <v>0.06363315696649025</v>
      </c>
      <c r="H5214" s="11" t="s">
        <v>33</v>
      </c>
      <c r="I5214" s="16">
        <v>0.392</v>
      </c>
      <c r="J5214" s="11" t="s">
        <v>2493</v>
      </c>
      <c r="K5214" s="11" t="s">
        <v>26</v>
      </c>
      <c r="L5214" s="11" t="s">
        <v>27</v>
      </c>
      <c r="M5214" s="11" t="s">
        <v>28</v>
      </c>
      <c r="N5214" s="11" t="s">
        <v>188</v>
      </c>
      <c r="O5214" s="11" t="s">
        <v>1371</v>
      </c>
      <c r="P5214" s="11" t="s">
        <v>38</v>
      </c>
      <c r="Q5214" s="20">
        <v>40712.0</v>
      </c>
      <c r="R5214" s="17">
        <f t="shared" si="2"/>
        <v>3.37841157</v>
      </c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>
        <f t="shared" si="8"/>
        <v>1</v>
      </c>
      <c r="AF5214" s="19">
        <f t="shared" si="13"/>
        <v>1</v>
      </c>
      <c r="AG5214" s="9"/>
      <c r="AH5214" s="9"/>
      <c r="AI5214" s="9"/>
    </row>
    <row r="5215" ht="15.0" customHeight="1">
      <c r="A5215" s="11">
        <v>5214.0</v>
      </c>
      <c r="B5215" s="12">
        <f t="shared" si="829"/>
        <v>40710</v>
      </c>
      <c r="C5215" s="13">
        <v>2011.0</v>
      </c>
      <c r="D5215" s="11" t="s">
        <v>23</v>
      </c>
      <c r="E5215" s="11">
        <v>5.0</v>
      </c>
      <c r="F5215" s="21" t="s">
        <v>1523</v>
      </c>
      <c r="G5215" s="15">
        <v>0.09698113207547175</v>
      </c>
      <c r="H5215" s="11" t="s">
        <v>33</v>
      </c>
      <c r="I5215" s="16">
        <v>1.576</v>
      </c>
      <c r="J5215" s="11" t="s">
        <v>2058</v>
      </c>
      <c r="K5215" s="11" t="s">
        <v>83</v>
      </c>
      <c r="L5215" s="11" t="s">
        <v>27</v>
      </c>
      <c r="M5215" s="11" t="s">
        <v>28</v>
      </c>
      <c r="N5215" s="11" t="s">
        <v>56</v>
      </c>
      <c r="O5215" s="11" t="s">
        <v>59</v>
      </c>
      <c r="P5215" s="11" t="s">
        <v>58</v>
      </c>
      <c r="Q5215" s="20">
        <v>40712.0</v>
      </c>
      <c r="R5215" s="17">
        <f t="shared" si="2"/>
        <v>7.42642717</v>
      </c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>
        <f t="shared" si="8"/>
        <v>1</v>
      </c>
      <c r="AF5215" s="19" t="b">
        <f t="shared" si="13"/>
        <v>0</v>
      </c>
      <c r="AG5215" s="9"/>
      <c r="AH5215" s="9"/>
      <c r="AI5215" s="9"/>
    </row>
    <row r="5216" ht="15.0" customHeight="1">
      <c r="A5216" s="11">
        <v>5215.0</v>
      </c>
      <c r="B5216" s="12">
        <f t="shared" si="829"/>
        <v>40710</v>
      </c>
      <c r="C5216" s="13">
        <v>2011.0</v>
      </c>
      <c r="D5216" s="11" t="s">
        <v>32</v>
      </c>
      <c r="E5216" s="11">
        <v>44.0</v>
      </c>
      <c r="F5216" s="21" t="s">
        <v>264</v>
      </c>
      <c r="G5216" s="15">
        <v>0.09053713218122379</v>
      </c>
      <c r="H5216" s="11" t="s">
        <v>33</v>
      </c>
      <c r="I5216" s="16">
        <v>6.632</v>
      </c>
      <c r="J5216" s="11" t="s">
        <v>1564</v>
      </c>
      <c r="K5216" s="11" t="s">
        <v>35</v>
      </c>
      <c r="L5216" s="11" t="s">
        <v>27</v>
      </c>
      <c r="M5216" s="11" t="s">
        <v>28</v>
      </c>
      <c r="N5216" s="11" t="s">
        <v>236</v>
      </c>
      <c r="O5216" s="11" t="s">
        <v>265</v>
      </c>
      <c r="P5216" s="11" t="s">
        <v>38</v>
      </c>
      <c r="Q5216" s="20">
        <v>40712.0</v>
      </c>
      <c r="R5216" s="17">
        <f t="shared" si="2"/>
        <v>35.25805646</v>
      </c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>
        <f t="shared" si="8"/>
        <v>1</v>
      </c>
      <c r="AF5216" s="19">
        <f t="shared" si="13"/>
        <v>2</v>
      </c>
      <c r="AG5216" s="9"/>
      <c r="AH5216" s="9"/>
      <c r="AI5216" s="9"/>
    </row>
    <row r="5217" ht="15.0" customHeight="1">
      <c r="A5217" s="11">
        <v>5216.0</v>
      </c>
      <c r="B5217" s="12">
        <f t="shared" si="829"/>
        <v>40710</v>
      </c>
      <c r="C5217" s="13">
        <v>2011.0</v>
      </c>
      <c r="D5217" s="11" t="s">
        <v>32</v>
      </c>
      <c r="E5217" s="11">
        <v>43.0</v>
      </c>
      <c r="F5217" s="21" t="s">
        <v>1369</v>
      </c>
      <c r="G5217" s="15">
        <v>0.07821428571428556</v>
      </c>
      <c r="H5217" s="11" t="s">
        <v>24</v>
      </c>
      <c r="I5217" s="16">
        <v>0.9119999999999999</v>
      </c>
      <c r="J5217" s="11" t="s">
        <v>2064</v>
      </c>
      <c r="K5217" s="11" t="s">
        <v>61</v>
      </c>
      <c r="L5217" s="11" t="s">
        <v>27</v>
      </c>
      <c r="M5217" s="11" t="s">
        <v>28</v>
      </c>
      <c r="N5217" s="11" t="s">
        <v>56</v>
      </c>
      <c r="O5217" s="11" t="s">
        <v>2313</v>
      </c>
      <c r="P5217" s="11" t="s">
        <v>58</v>
      </c>
      <c r="Q5217" s="20">
        <v>40712.0</v>
      </c>
      <c r="R5217" s="17">
        <f t="shared" si="2"/>
        <v>10.49729571</v>
      </c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>
        <f t="shared" si="8"/>
        <v>1</v>
      </c>
      <c r="AF5217" s="19">
        <f t="shared" si="13"/>
        <v>4</v>
      </c>
      <c r="AG5217" s="9"/>
      <c r="AH5217" s="9"/>
      <c r="AI5217" s="9"/>
    </row>
    <row r="5218" ht="15.0" customHeight="1">
      <c r="A5218" s="11">
        <v>5217.0</v>
      </c>
      <c r="B5218" s="12">
        <f t="shared" si="829"/>
        <v>40710</v>
      </c>
      <c r="C5218" s="13">
        <v>2011.0</v>
      </c>
      <c r="D5218" s="11" t="s">
        <v>32</v>
      </c>
      <c r="E5218" s="11">
        <v>19.0</v>
      </c>
      <c r="F5218" s="21" t="s">
        <v>1158</v>
      </c>
      <c r="G5218" s="15">
        <v>0.10120978120978126</v>
      </c>
      <c r="H5218" s="11" t="s">
        <v>33</v>
      </c>
      <c r="I5218" s="16">
        <v>3.3360000000000003</v>
      </c>
      <c r="J5218" s="11" t="s">
        <v>2064</v>
      </c>
      <c r="K5218" s="11" t="s">
        <v>61</v>
      </c>
      <c r="L5218" s="11" t="s">
        <v>27</v>
      </c>
      <c r="M5218" s="11" t="s">
        <v>28</v>
      </c>
      <c r="N5218" s="11" t="s">
        <v>62</v>
      </c>
      <c r="O5218" s="11" t="s">
        <v>1532</v>
      </c>
      <c r="P5218" s="11" t="s">
        <v>99</v>
      </c>
      <c r="Q5218" s="20">
        <v>40712.0</v>
      </c>
      <c r="R5218" s="17">
        <f t="shared" si="2"/>
        <v>7.068086281</v>
      </c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>
        <f t="shared" si="8"/>
        <v>1</v>
      </c>
      <c r="AF5218" s="19">
        <f t="shared" si="13"/>
        <v>4</v>
      </c>
      <c r="AG5218" s="9"/>
      <c r="AH5218" s="9"/>
      <c r="AI5218" s="9"/>
    </row>
    <row r="5219" ht="15.0" customHeight="1">
      <c r="A5219" s="11">
        <v>5218.0</v>
      </c>
      <c r="B5219" s="12">
        <f t="shared" ref="B5219:B5225" si="830">DATE(2012,12,31)-563</f>
        <v>40711</v>
      </c>
      <c r="C5219" s="13">
        <v>2011.0</v>
      </c>
      <c r="D5219" s="11" t="s">
        <v>32</v>
      </c>
      <c r="E5219" s="11">
        <v>12.0</v>
      </c>
      <c r="F5219" s="21" t="s">
        <v>629</v>
      </c>
      <c r="G5219" s="15">
        <v>0.044077471967380204</v>
      </c>
      <c r="H5219" s="11" t="s">
        <v>33</v>
      </c>
      <c r="I5219" s="16">
        <v>6.176</v>
      </c>
      <c r="J5219" s="11" t="s">
        <v>2162</v>
      </c>
      <c r="K5219" s="11" t="s">
        <v>714</v>
      </c>
      <c r="L5219" s="11" t="s">
        <v>48</v>
      </c>
      <c r="M5219" s="11" t="s">
        <v>28</v>
      </c>
      <c r="N5219" s="11" t="s">
        <v>42</v>
      </c>
      <c r="O5219" s="11" t="s">
        <v>1822</v>
      </c>
      <c r="P5219" s="11" t="s">
        <v>38</v>
      </c>
      <c r="Q5219" s="20">
        <v>40713.0</v>
      </c>
      <c r="R5219" s="17">
        <f t="shared" si="2"/>
        <v>4.133409011</v>
      </c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>
        <f t="shared" si="8"/>
        <v>4</v>
      </c>
      <c r="AF5219" s="19" t="b">
        <f t="shared" si="13"/>
        <v>0</v>
      </c>
      <c r="AG5219" s="9"/>
      <c r="AH5219" s="9"/>
      <c r="AI5219" s="9"/>
    </row>
    <row r="5220" ht="15.0" customHeight="1">
      <c r="A5220" s="11">
        <v>5219.0</v>
      </c>
      <c r="B5220" s="12">
        <f t="shared" si="830"/>
        <v>40711</v>
      </c>
      <c r="C5220" s="13">
        <v>2011.0</v>
      </c>
      <c r="D5220" s="11" t="s">
        <v>32</v>
      </c>
      <c r="E5220" s="11">
        <v>22.0</v>
      </c>
      <c r="F5220" s="21" t="s">
        <v>2363</v>
      </c>
      <c r="G5220" s="15">
        <v>0.08499563995736831</v>
      </c>
      <c r="H5220" s="11" t="s">
        <v>33</v>
      </c>
      <c r="I5220" s="16">
        <v>4.976</v>
      </c>
      <c r="J5220" s="11" t="s">
        <v>2162</v>
      </c>
      <c r="K5220" s="11" t="s">
        <v>714</v>
      </c>
      <c r="L5220" s="11" t="s">
        <v>48</v>
      </c>
      <c r="M5220" s="11" t="s">
        <v>28</v>
      </c>
      <c r="N5220" s="11" t="s">
        <v>29</v>
      </c>
      <c r="O5220" s="11" t="s">
        <v>2364</v>
      </c>
      <c r="P5220" s="11" t="s">
        <v>38</v>
      </c>
      <c r="Q5220" s="20">
        <v>40713.0</v>
      </c>
      <c r="R5220" s="17">
        <f t="shared" si="2"/>
        <v>80.26784248</v>
      </c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>
        <f t="shared" si="8"/>
        <v>4</v>
      </c>
      <c r="AF5220" s="19" t="b">
        <f t="shared" si="13"/>
        <v>0</v>
      </c>
      <c r="AG5220" s="9"/>
      <c r="AH5220" s="9"/>
      <c r="AI5220" s="9"/>
    </row>
    <row r="5221" ht="15.0" customHeight="1">
      <c r="A5221" s="11">
        <v>5220.0</v>
      </c>
      <c r="B5221" s="12">
        <f t="shared" si="830"/>
        <v>40711</v>
      </c>
      <c r="C5221" s="13">
        <v>2011.0</v>
      </c>
      <c r="D5221" s="11" t="s">
        <v>23</v>
      </c>
      <c r="E5221" s="11">
        <v>15.0</v>
      </c>
      <c r="F5221" s="21" t="s">
        <v>498</v>
      </c>
      <c r="G5221" s="15">
        <v>0.03534123895805721</v>
      </c>
      <c r="H5221" s="11" t="s">
        <v>33</v>
      </c>
      <c r="I5221" s="16">
        <v>3.9200000000000004</v>
      </c>
      <c r="J5221" s="11" t="s">
        <v>2191</v>
      </c>
      <c r="K5221" s="11" t="s">
        <v>35</v>
      </c>
      <c r="L5221" s="11" t="s">
        <v>48</v>
      </c>
      <c r="M5221" s="11" t="s">
        <v>66</v>
      </c>
      <c r="N5221" s="11" t="s">
        <v>80</v>
      </c>
      <c r="O5221" s="11" t="s">
        <v>500</v>
      </c>
      <c r="P5221" s="11" t="s">
        <v>38</v>
      </c>
      <c r="Q5221" s="20">
        <v>40713.0</v>
      </c>
      <c r="R5221" s="17">
        <f t="shared" si="2"/>
        <v>50.9769099</v>
      </c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>
        <f t="shared" si="8"/>
        <v>4</v>
      </c>
      <c r="AF5221" s="19">
        <f t="shared" si="13"/>
        <v>2</v>
      </c>
      <c r="AG5221" s="9"/>
      <c r="AH5221" s="9"/>
      <c r="AI5221" s="9"/>
    </row>
    <row r="5222" ht="15.0" customHeight="1">
      <c r="A5222" s="11">
        <v>5221.0</v>
      </c>
      <c r="B5222" s="12">
        <f t="shared" si="830"/>
        <v>40711</v>
      </c>
      <c r="C5222" s="13">
        <v>2011.0</v>
      </c>
      <c r="D5222" s="11" t="s">
        <v>102</v>
      </c>
      <c r="E5222" s="11">
        <v>20.0</v>
      </c>
      <c r="F5222" s="21" t="s">
        <v>552</v>
      </c>
      <c r="G5222" s="15">
        <v>0.11299303944315556</v>
      </c>
      <c r="H5222" s="11" t="s">
        <v>24</v>
      </c>
      <c r="I5222" s="16">
        <v>8.92</v>
      </c>
      <c r="J5222" s="11" t="s">
        <v>945</v>
      </c>
      <c r="K5222" s="11" t="s">
        <v>65</v>
      </c>
      <c r="L5222" s="11" t="s">
        <v>41</v>
      </c>
      <c r="M5222" s="11" t="s">
        <v>28</v>
      </c>
      <c r="N5222" s="11" t="s">
        <v>56</v>
      </c>
      <c r="O5222" s="11" t="s">
        <v>553</v>
      </c>
      <c r="P5222" s="11" t="s">
        <v>38</v>
      </c>
      <c r="Q5222" s="20">
        <v>40713.0</v>
      </c>
      <c r="R5222" s="17">
        <f t="shared" si="2"/>
        <v>17.27889559</v>
      </c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>
        <f t="shared" si="8"/>
        <v>3</v>
      </c>
      <c r="AF5222" s="19">
        <f t="shared" si="13"/>
        <v>5</v>
      </c>
      <c r="AG5222" s="9"/>
      <c r="AH5222" s="9"/>
      <c r="AI5222" s="9"/>
    </row>
    <row r="5223" ht="15.0" customHeight="1">
      <c r="A5223" s="11">
        <v>5222.0</v>
      </c>
      <c r="B5223" s="12">
        <f t="shared" si="830"/>
        <v>40711</v>
      </c>
      <c r="C5223" s="13">
        <v>2011.0</v>
      </c>
      <c r="D5223" s="11" t="s">
        <v>102</v>
      </c>
      <c r="E5223" s="11">
        <v>28.0</v>
      </c>
      <c r="F5223" s="21" t="s">
        <v>158</v>
      </c>
      <c r="G5223" s="15">
        <v>0.031851085832471544</v>
      </c>
      <c r="H5223" s="11" t="s">
        <v>24</v>
      </c>
      <c r="I5223" s="16">
        <v>8.040000000000001</v>
      </c>
      <c r="J5223" s="11" t="s">
        <v>945</v>
      </c>
      <c r="K5223" s="11" t="s">
        <v>65</v>
      </c>
      <c r="L5223" s="11" t="s">
        <v>41</v>
      </c>
      <c r="M5223" s="11" t="s">
        <v>28</v>
      </c>
      <c r="N5223" s="11" t="s">
        <v>56</v>
      </c>
      <c r="O5223" s="11" t="s">
        <v>646</v>
      </c>
      <c r="P5223" s="11" t="s">
        <v>38</v>
      </c>
      <c r="Q5223" s="20">
        <v>40713.0</v>
      </c>
      <c r="R5223" s="17">
        <f t="shared" si="2"/>
        <v>5.963797311</v>
      </c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>
        <f t="shared" si="8"/>
        <v>3</v>
      </c>
      <c r="AF5223" s="19">
        <f t="shared" si="13"/>
        <v>5</v>
      </c>
      <c r="AG5223" s="9"/>
      <c r="AH5223" s="9"/>
      <c r="AI5223" s="9"/>
    </row>
    <row r="5224" ht="15.0" customHeight="1">
      <c r="A5224" s="11">
        <v>5223.0</v>
      </c>
      <c r="B5224" s="12">
        <f t="shared" si="830"/>
        <v>40711</v>
      </c>
      <c r="C5224" s="13">
        <v>2011.0</v>
      </c>
      <c r="D5224" s="11" t="s">
        <v>39</v>
      </c>
      <c r="E5224" s="11">
        <v>40.0</v>
      </c>
      <c r="F5224" s="21" t="s">
        <v>766</v>
      </c>
      <c r="G5224" s="15">
        <v>0.03080778301886789</v>
      </c>
      <c r="H5224" s="11" t="s">
        <v>45</v>
      </c>
      <c r="I5224" s="16">
        <v>24.0</v>
      </c>
      <c r="J5224" s="11" t="s">
        <v>1349</v>
      </c>
      <c r="K5224" s="11" t="s">
        <v>61</v>
      </c>
      <c r="L5224" s="11" t="s">
        <v>48</v>
      </c>
      <c r="M5224" s="11" t="s">
        <v>49</v>
      </c>
      <c r="N5224" s="11" t="s">
        <v>50</v>
      </c>
      <c r="O5224" s="11" t="s">
        <v>1150</v>
      </c>
      <c r="P5224" s="11" t="s">
        <v>52</v>
      </c>
      <c r="Q5224" s="20">
        <v>40714.0</v>
      </c>
      <c r="R5224" s="17">
        <f t="shared" si="2"/>
        <v>162.0489387</v>
      </c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>
        <f t="shared" si="8"/>
        <v>4</v>
      </c>
      <c r="AF5224" s="19">
        <f t="shared" si="13"/>
        <v>4</v>
      </c>
      <c r="AG5224" s="9"/>
      <c r="AH5224" s="9"/>
      <c r="AI5224" s="9"/>
    </row>
    <row r="5225" ht="15.0" customHeight="1">
      <c r="A5225" s="11">
        <v>5224.0</v>
      </c>
      <c r="B5225" s="12">
        <f t="shared" si="830"/>
        <v>40711</v>
      </c>
      <c r="C5225" s="13">
        <v>2011.0</v>
      </c>
      <c r="D5225" s="11" t="s">
        <v>102</v>
      </c>
      <c r="E5225" s="11">
        <v>6.0</v>
      </c>
      <c r="F5225" s="21" t="s">
        <v>1367</v>
      </c>
      <c r="G5225" s="15">
        <v>0.036575635241035354</v>
      </c>
      <c r="H5225" s="11" t="s">
        <v>45</v>
      </c>
      <c r="I5225" s="16">
        <v>50.19200000000001</v>
      </c>
      <c r="J5225" s="11" t="s">
        <v>1152</v>
      </c>
      <c r="K5225" s="11" t="s">
        <v>65</v>
      </c>
      <c r="L5225" s="11" t="s">
        <v>48</v>
      </c>
      <c r="M5225" s="11" t="s">
        <v>49</v>
      </c>
      <c r="N5225" s="11" t="s">
        <v>85</v>
      </c>
      <c r="O5225" s="11" t="s">
        <v>1368</v>
      </c>
      <c r="P5225" s="11" t="s">
        <v>87</v>
      </c>
      <c r="Q5225" s="20">
        <v>40715.0</v>
      </c>
      <c r="R5225" s="17">
        <f t="shared" si="2"/>
        <v>59.35464826</v>
      </c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>
        <f t="shared" si="8"/>
        <v>4</v>
      </c>
      <c r="AF5225" s="19">
        <f t="shared" si="13"/>
        <v>5</v>
      </c>
      <c r="AG5225" s="9"/>
      <c r="AH5225" s="9"/>
      <c r="AI5225" s="9"/>
    </row>
    <row r="5226" ht="15.0" customHeight="1">
      <c r="A5226" s="11">
        <v>5225.0</v>
      </c>
      <c r="B5226" s="12">
        <f t="shared" ref="B5226:B5229" si="831">DATE(2012,12,31)-562</f>
        <v>40712</v>
      </c>
      <c r="C5226" s="13">
        <v>2011.0</v>
      </c>
      <c r="D5226" s="11" t="s">
        <v>32</v>
      </c>
      <c r="E5226" s="11">
        <v>31.0</v>
      </c>
      <c r="F5226" s="21" t="s">
        <v>264</v>
      </c>
      <c r="G5226" s="15">
        <v>0.005464561145795077</v>
      </c>
      <c r="H5226" s="11" t="s">
        <v>33</v>
      </c>
      <c r="I5226" s="16">
        <v>1.1119999999999999</v>
      </c>
      <c r="J5226" s="11" t="s">
        <v>2039</v>
      </c>
      <c r="K5226" s="11" t="s">
        <v>83</v>
      </c>
      <c r="L5226" s="11" t="s">
        <v>27</v>
      </c>
      <c r="M5226" s="11" t="s">
        <v>28</v>
      </c>
      <c r="N5226" s="11" t="s">
        <v>236</v>
      </c>
      <c r="O5226" s="11" t="s">
        <v>265</v>
      </c>
      <c r="P5226" s="11" t="s">
        <v>38</v>
      </c>
      <c r="Q5226" s="20">
        <v>40715.0</v>
      </c>
      <c r="R5226" s="17">
        <f t="shared" si="2"/>
        <v>1.479868733</v>
      </c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>
        <f t="shared" si="8"/>
        <v>1</v>
      </c>
      <c r="AF5226" s="19" t="b">
        <f t="shared" si="13"/>
        <v>0</v>
      </c>
      <c r="AG5226" s="9"/>
      <c r="AH5226" s="9"/>
      <c r="AI5226" s="9"/>
    </row>
    <row r="5227" ht="15.0" customHeight="1">
      <c r="A5227" s="11">
        <v>5226.0</v>
      </c>
      <c r="B5227" s="12">
        <f t="shared" si="831"/>
        <v>40712</v>
      </c>
      <c r="C5227" s="13">
        <v>2011.0</v>
      </c>
      <c r="D5227" s="11" t="s">
        <v>102</v>
      </c>
      <c r="E5227" s="11">
        <v>10.0</v>
      </c>
      <c r="F5227" s="21" t="s">
        <v>1254</v>
      </c>
      <c r="G5227" s="15">
        <v>0.09678994614003587</v>
      </c>
      <c r="H5227" s="11" t="s">
        <v>45</v>
      </c>
      <c r="I5227" s="16">
        <v>12.544</v>
      </c>
      <c r="J5227" s="11" t="s">
        <v>841</v>
      </c>
      <c r="K5227" s="11" t="s">
        <v>61</v>
      </c>
      <c r="L5227" s="11" t="s">
        <v>41</v>
      </c>
      <c r="M5227" s="11" t="s">
        <v>49</v>
      </c>
      <c r="N5227" s="11" t="s">
        <v>73</v>
      </c>
      <c r="O5227" s="11" t="s">
        <v>1255</v>
      </c>
      <c r="P5227" s="11" t="s">
        <v>52</v>
      </c>
      <c r="Q5227" s="20">
        <v>40715.0</v>
      </c>
      <c r="R5227" s="17">
        <f t="shared" si="2"/>
        <v>24.34693021</v>
      </c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>
        <f t="shared" si="8"/>
        <v>3</v>
      </c>
      <c r="AF5227" s="19">
        <f t="shared" si="13"/>
        <v>4</v>
      </c>
      <c r="AG5227" s="9"/>
      <c r="AH5227" s="9"/>
      <c r="AI5227" s="9"/>
    </row>
    <row r="5228" ht="15.0" customHeight="1">
      <c r="A5228" s="11">
        <v>5227.0</v>
      </c>
      <c r="B5228" s="12">
        <f t="shared" si="831"/>
        <v>40712</v>
      </c>
      <c r="C5228" s="13">
        <v>2011.0</v>
      </c>
      <c r="D5228" s="11" t="s">
        <v>44</v>
      </c>
      <c r="E5228" s="11">
        <v>28.0</v>
      </c>
      <c r="F5228" s="21" t="s">
        <v>1317</v>
      </c>
      <c r="G5228" s="15">
        <v>0.0771471123614099</v>
      </c>
      <c r="H5228" s="11" t="s">
        <v>33</v>
      </c>
      <c r="I5228" s="16">
        <v>3.28</v>
      </c>
      <c r="J5228" s="11" t="s">
        <v>960</v>
      </c>
      <c r="K5228" s="11" t="s">
        <v>65</v>
      </c>
      <c r="L5228" s="11" t="s">
        <v>36</v>
      </c>
      <c r="M5228" s="11" t="s">
        <v>28</v>
      </c>
      <c r="N5228" s="11" t="s">
        <v>62</v>
      </c>
      <c r="O5228" s="11" t="s">
        <v>1318</v>
      </c>
      <c r="P5228" s="11" t="s">
        <v>58</v>
      </c>
      <c r="Q5228" s="20">
        <v>40715.0</v>
      </c>
      <c r="R5228" s="17">
        <f t="shared" si="2"/>
        <v>43.02340162</v>
      </c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>
        <f t="shared" si="8"/>
        <v>2</v>
      </c>
      <c r="AF5228" s="19">
        <f t="shared" si="13"/>
        <v>5</v>
      </c>
      <c r="AG5228" s="9"/>
      <c r="AH5228" s="9"/>
      <c r="AI5228" s="9"/>
    </row>
    <row r="5229" ht="15.0" customHeight="1">
      <c r="A5229" s="11">
        <v>5228.0</v>
      </c>
      <c r="B5229" s="12">
        <f t="shared" si="831"/>
        <v>40712</v>
      </c>
      <c r="C5229" s="13">
        <v>2011.0</v>
      </c>
      <c r="D5229" s="11" t="s">
        <v>44</v>
      </c>
      <c r="E5229" s="11">
        <v>37.0</v>
      </c>
      <c r="F5229" s="21" t="s">
        <v>1559</v>
      </c>
      <c r="G5229" s="15">
        <v>0.09097222222222226</v>
      </c>
      <c r="H5229" s="11" t="s">
        <v>24</v>
      </c>
      <c r="I5229" s="16">
        <v>0.5599999999999999</v>
      </c>
      <c r="J5229" s="11" t="s">
        <v>960</v>
      </c>
      <c r="K5229" s="11" t="s">
        <v>65</v>
      </c>
      <c r="L5229" s="11" t="s">
        <v>36</v>
      </c>
      <c r="M5229" s="11" t="s">
        <v>28</v>
      </c>
      <c r="N5229" s="11" t="s">
        <v>216</v>
      </c>
      <c r="O5229" s="11" t="s">
        <v>1561</v>
      </c>
      <c r="P5229" s="11" t="s">
        <v>58</v>
      </c>
      <c r="Q5229" s="20">
        <v>40715.0</v>
      </c>
      <c r="R5229" s="17">
        <f t="shared" si="2"/>
        <v>4.763305556</v>
      </c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>
        <f t="shared" si="8"/>
        <v>2</v>
      </c>
      <c r="AF5229" s="19">
        <f t="shared" si="13"/>
        <v>5</v>
      </c>
      <c r="AG5229" s="9"/>
      <c r="AH5229" s="9"/>
      <c r="AI5229" s="9"/>
    </row>
    <row r="5230" ht="15.0" customHeight="1">
      <c r="A5230" s="11">
        <v>5229.0</v>
      </c>
      <c r="B5230" s="12">
        <f t="shared" ref="B5230:B5233" si="832">DATE(2012,12,31)-561</f>
        <v>40713</v>
      </c>
      <c r="C5230" s="13">
        <v>2011.0</v>
      </c>
      <c r="D5230" s="11" t="s">
        <v>32</v>
      </c>
      <c r="E5230" s="11">
        <v>27.0</v>
      </c>
      <c r="F5230" s="21" t="s">
        <v>158</v>
      </c>
      <c r="G5230" s="15">
        <v>0.06502369668246437</v>
      </c>
      <c r="H5230" s="11" t="s">
        <v>33</v>
      </c>
      <c r="I5230" s="16">
        <v>4.752000000000001</v>
      </c>
      <c r="J5230" s="11" t="s">
        <v>1228</v>
      </c>
      <c r="K5230" s="11" t="s">
        <v>83</v>
      </c>
      <c r="L5230" s="11" t="s">
        <v>41</v>
      </c>
      <c r="M5230" s="11" t="s">
        <v>28</v>
      </c>
      <c r="N5230" s="11" t="s">
        <v>56</v>
      </c>
      <c r="O5230" s="11" t="s">
        <v>2186</v>
      </c>
      <c r="P5230" s="11" t="s">
        <v>38</v>
      </c>
      <c r="Q5230" s="20">
        <v>40715.0</v>
      </c>
      <c r="R5230" s="17">
        <f t="shared" si="2"/>
        <v>11.54508739</v>
      </c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>
        <f t="shared" si="8"/>
        <v>3</v>
      </c>
      <c r="AF5230" s="19" t="b">
        <f t="shared" si="13"/>
        <v>0</v>
      </c>
      <c r="AG5230" s="9"/>
      <c r="AH5230" s="9"/>
      <c r="AI5230" s="9"/>
    </row>
    <row r="5231" ht="15.0" customHeight="1">
      <c r="A5231" s="11">
        <v>5230.0</v>
      </c>
      <c r="B5231" s="12">
        <f t="shared" si="832"/>
        <v>40713</v>
      </c>
      <c r="C5231" s="13">
        <v>2011.0</v>
      </c>
      <c r="D5231" s="11" t="s">
        <v>102</v>
      </c>
      <c r="E5231" s="11">
        <v>34.0</v>
      </c>
      <c r="F5231" s="21" t="s">
        <v>158</v>
      </c>
      <c r="G5231" s="15">
        <v>0.08972972972972965</v>
      </c>
      <c r="H5231" s="11" t="s">
        <v>33</v>
      </c>
      <c r="I5231" s="16">
        <v>4.688000000000001</v>
      </c>
      <c r="J5231" s="11" t="s">
        <v>507</v>
      </c>
      <c r="K5231" s="11" t="s">
        <v>61</v>
      </c>
      <c r="L5231" s="11" t="s">
        <v>48</v>
      </c>
      <c r="M5231" s="11" t="s">
        <v>28</v>
      </c>
      <c r="N5231" s="11" t="s">
        <v>56</v>
      </c>
      <c r="O5231" s="11" t="s">
        <v>2530</v>
      </c>
      <c r="P5231" s="11" t="s">
        <v>38</v>
      </c>
      <c r="Q5231" s="20">
        <v>40715.0</v>
      </c>
      <c r="R5231" s="17">
        <f t="shared" si="2"/>
        <v>19.94584216</v>
      </c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>
        <f t="shared" si="8"/>
        <v>4</v>
      </c>
      <c r="AF5231" s="19">
        <f t="shared" si="13"/>
        <v>4</v>
      </c>
      <c r="AG5231" s="9"/>
      <c r="AH5231" s="9"/>
      <c r="AI5231" s="9"/>
    </row>
    <row r="5232" ht="15.0" customHeight="1">
      <c r="A5232" s="11">
        <v>5231.0</v>
      </c>
      <c r="B5232" s="12">
        <f t="shared" si="832"/>
        <v>40713</v>
      </c>
      <c r="C5232" s="13">
        <v>2011.0</v>
      </c>
      <c r="D5232" s="11" t="s">
        <v>39</v>
      </c>
      <c r="E5232" s="11">
        <v>44.0</v>
      </c>
      <c r="F5232" s="21" t="s">
        <v>1699</v>
      </c>
      <c r="G5232" s="15">
        <v>0.07017669247568</v>
      </c>
      <c r="H5232" s="11" t="s">
        <v>33</v>
      </c>
      <c r="I5232" s="16">
        <v>6.352</v>
      </c>
      <c r="J5232" s="11" t="s">
        <v>1205</v>
      </c>
      <c r="K5232" s="11" t="s">
        <v>61</v>
      </c>
      <c r="L5232" s="11" t="s">
        <v>36</v>
      </c>
      <c r="M5232" s="11" t="s">
        <v>49</v>
      </c>
      <c r="N5232" s="11" t="s">
        <v>73</v>
      </c>
      <c r="O5232" s="11" t="s">
        <v>1700</v>
      </c>
      <c r="P5232" s="11" t="s">
        <v>99</v>
      </c>
      <c r="Q5232" s="20">
        <v>40716.0</v>
      </c>
      <c r="R5232" s="17">
        <f t="shared" si="2"/>
        <v>32.86739427</v>
      </c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>
        <f t="shared" si="8"/>
        <v>2</v>
      </c>
      <c r="AF5232" s="19">
        <f t="shared" si="13"/>
        <v>4</v>
      </c>
      <c r="AG5232" s="9"/>
      <c r="AH5232" s="9"/>
      <c r="AI5232" s="9"/>
    </row>
    <row r="5233" ht="15.0" customHeight="1">
      <c r="A5233" s="11">
        <v>5232.0</v>
      </c>
      <c r="B5233" s="12">
        <f t="shared" si="832"/>
        <v>40713</v>
      </c>
      <c r="C5233" s="13">
        <v>2011.0</v>
      </c>
      <c r="D5233" s="11" t="s">
        <v>39</v>
      </c>
      <c r="E5233" s="11">
        <v>6.0</v>
      </c>
      <c r="F5233" s="21" t="s">
        <v>178</v>
      </c>
      <c r="G5233" s="15">
        <v>0.0690705800139762</v>
      </c>
      <c r="H5233" s="11" t="s">
        <v>33</v>
      </c>
      <c r="I5233" s="16">
        <v>4.248</v>
      </c>
      <c r="J5233" s="11" t="s">
        <v>1205</v>
      </c>
      <c r="K5233" s="11" t="s">
        <v>61</v>
      </c>
      <c r="L5233" s="11" t="s">
        <v>36</v>
      </c>
      <c r="M5233" s="11" t="s">
        <v>66</v>
      </c>
      <c r="N5233" s="11" t="s">
        <v>80</v>
      </c>
      <c r="O5233" s="11" t="s">
        <v>1738</v>
      </c>
      <c r="P5233" s="11" t="s">
        <v>38</v>
      </c>
      <c r="Q5233" s="20">
        <v>40716.0</v>
      </c>
      <c r="R5233" s="17">
        <f t="shared" si="2"/>
        <v>27.60391916</v>
      </c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>
        <f t="shared" si="8"/>
        <v>2</v>
      </c>
      <c r="AF5233" s="19">
        <f t="shared" si="13"/>
        <v>4</v>
      </c>
      <c r="AG5233" s="9"/>
      <c r="AH5233" s="9"/>
      <c r="AI5233" s="9"/>
    </row>
    <row r="5234" ht="15.0" customHeight="1">
      <c r="A5234" s="11">
        <v>5233.0</v>
      </c>
      <c r="B5234" s="12">
        <f t="shared" ref="B5234:B5238" si="833">DATE(2012,12,31)-560</f>
        <v>40714</v>
      </c>
      <c r="C5234" s="13">
        <v>2011.0</v>
      </c>
      <c r="D5234" s="11" t="s">
        <v>23</v>
      </c>
      <c r="E5234" s="11">
        <v>15.0</v>
      </c>
      <c r="F5234" s="21" t="s">
        <v>295</v>
      </c>
      <c r="G5234" s="15">
        <v>0.013594075778273153</v>
      </c>
      <c r="H5234" s="11" t="s">
        <v>33</v>
      </c>
      <c r="I5234" s="16">
        <v>15.991999999999999</v>
      </c>
      <c r="J5234" s="11" t="s">
        <v>2545</v>
      </c>
      <c r="K5234" s="11" t="s">
        <v>65</v>
      </c>
      <c r="L5234" s="11" t="s">
        <v>27</v>
      </c>
      <c r="M5234" s="11" t="s">
        <v>28</v>
      </c>
      <c r="N5234" s="11" t="s">
        <v>236</v>
      </c>
      <c r="O5234" s="11" t="s">
        <v>296</v>
      </c>
      <c r="P5234" s="11" t="s">
        <v>38</v>
      </c>
      <c r="Q5234" s="20">
        <v>40716.0</v>
      </c>
      <c r="R5234" s="17">
        <f t="shared" si="2"/>
        <v>18.65096322</v>
      </c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>
        <f t="shared" si="8"/>
        <v>1</v>
      </c>
      <c r="AF5234" s="19">
        <f t="shared" si="13"/>
        <v>5</v>
      </c>
      <c r="AG5234" s="9"/>
      <c r="AH5234" s="9"/>
      <c r="AI5234" s="9"/>
    </row>
    <row r="5235" ht="15.0" customHeight="1">
      <c r="A5235" s="11">
        <v>5234.0</v>
      </c>
      <c r="B5235" s="12">
        <f t="shared" si="833"/>
        <v>40714</v>
      </c>
      <c r="C5235" s="13">
        <v>2011.0</v>
      </c>
      <c r="D5235" s="11" t="s">
        <v>32</v>
      </c>
      <c r="E5235" s="11">
        <v>38.0</v>
      </c>
      <c r="F5235" s="21" t="s">
        <v>204</v>
      </c>
      <c r="G5235" s="15">
        <v>0.11843537414965973</v>
      </c>
      <c r="H5235" s="11" t="s">
        <v>33</v>
      </c>
      <c r="I5235" s="16">
        <v>1.072</v>
      </c>
      <c r="J5235" s="11" t="s">
        <v>2099</v>
      </c>
      <c r="K5235" s="11" t="s">
        <v>83</v>
      </c>
      <c r="L5235" s="11" t="s">
        <v>48</v>
      </c>
      <c r="M5235" s="11" t="s">
        <v>28</v>
      </c>
      <c r="N5235" s="11" t="s">
        <v>62</v>
      </c>
      <c r="O5235" s="11" t="s">
        <v>1514</v>
      </c>
      <c r="P5235" s="11" t="s">
        <v>58</v>
      </c>
      <c r="Q5235" s="20">
        <v>40716.0</v>
      </c>
      <c r="R5235" s="17">
        <f t="shared" si="2"/>
        <v>12.27843211</v>
      </c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>
        <f t="shared" si="8"/>
        <v>4</v>
      </c>
      <c r="AF5235" s="19" t="b">
        <f t="shared" si="13"/>
        <v>0</v>
      </c>
      <c r="AG5235" s="9"/>
      <c r="AH5235" s="9"/>
      <c r="AI5235" s="9"/>
    </row>
    <row r="5236" ht="15.0" customHeight="1">
      <c r="A5236" s="11">
        <v>5235.0</v>
      </c>
      <c r="B5236" s="12">
        <f t="shared" si="833"/>
        <v>40714</v>
      </c>
      <c r="C5236" s="13">
        <v>2011.0</v>
      </c>
      <c r="D5236" s="11" t="s">
        <v>32</v>
      </c>
      <c r="E5236" s="11">
        <v>15.0</v>
      </c>
      <c r="F5236" s="21" t="s">
        <v>178</v>
      </c>
      <c r="G5236" s="15">
        <v>0.025784939955783348</v>
      </c>
      <c r="H5236" s="11" t="s">
        <v>24</v>
      </c>
      <c r="I5236" s="16">
        <v>4.208</v>
      </c>
      <c r="J5236" s="11" t="s">
        <v>2099</v>
      </c>
      <c r="K5236" s="11" t="s">
        <v>83</v>
      </c>
      <c r="L5236" s="11" t="s">
        <v>48</v>
      </c>
      <c r="M5236" s="11" t="s">
        <v>66</v>
      </c>
      <c r="N5236" s="11" t="s">
        <v>80</v>
      </c>
      <c r="O5236" s="11" t="s">
        <v>912</v>
      </c>
      <c r="P5236" s="11" t="s">
        <v>38</v>
      </c>
      <c r="Q5236" s="20">
        <v>40716.0</v>
      </c>
      <c r="R5236" s="17">
        <f t="shared" si="2"/>
        <v>25.59691617</v>
      </c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>
        <f t="shared" si="8"/>
        <v>4</v>
      </c>
      <c r="AF5236" s="19" t="b">
        <f t="shared" si="13"/>
        <v>0</v>
      </c>
      <c r="AG5236" s="9"/>
      <c r="AH5236" s="9"/>
      <c r="AI5236" s="9"/>
    </row>
    <row r="5237" ht="15.0" customHeight="1">
      <c r="A5237" s="11">
        <v>5236.0</v>
      </c>
      <c r="B5237" s="12">
        <f t="shared" si="833"/>
        <v>40714</v>
      </c>
      <c r="C5237" s="13">
        <v>2011.0</v>
      </c>
      <c r="D5237" s="11" t="s">
        <v>102</v>
      </c>
      <c r="E5237" s="11">
        <v>26.0</v>
      </c>
      <c r="F5237" s="21" t="s">
        <v>100</v>
      </c>
      <c r="G5237" s="15">
        <v>0.060632717776534166</v>
      </c>
      <c r="H5237" s="11" t="s">
        <v>33</v>
      </c>
      <c r="I5237" s="16">
        <v>4.208</v>
      </c>
      <c r="J5237" s="11" t="s">
        <v>2524</v>
      </c>
      <c r="K5237" s="11" t="s">
        <v>117</v>
      </c>
      <c r="L5237" s="11" t="s">
        <v>48</v>
      </c>
      <c r="M5237" s="11" t="s">
        <v>66</v>
      </c>
      <c r="N5237" s="11" t="s">
        <v>80</v>
      </c>
      <c r="O5237" s="11" t="s">
        <v>1810</v>
      </c>
      <c r="P5237" s="11" t="s">
        <v>38</v>
      </c>
      <c r="Q5237" s="20">
        <v>40716.0</v>
      </c>
      <c r="R5237" s="17">
        <f t="shared" si="2"/>
        <v>324.8463338</v>
      </c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>
        <f t="shared" si="8"/>
        <v>4</v>
      </c>
      <c r="AF5237" s="19" t="b">
        <f t="shared" si="13"/>
        <v>0</v>
      </c>
      <c r="AG5237" s="9"/>
      <c r="AH5237" s="9"/>
      <c r="AI5237" s="9"/>
    </row>
    <row r="5238" ht="15.0" customHeight="1">
      <c r="A5238" s="11">
        <v>5237.0</v>
      </c>
      <c r="B5238" s="12">
        <f t="shared" si="833"/>
        <v>40714</v>
      </c>
      <c r="C5238" s="13">
        <v>2011.0</v>
      </c>
      <c r="D5238" s="11" t="s">
        <v>102</v>
      </c>
      <c r="E5238" s="11">
        <v>12.0</v>
      </c>
      <c r="F5238" s="21" t="s">
        <v>758</v>
      </c>
      <c r="G5238" s="15">
        <v>0.024608501118568264</v>
      </c>
      <c r="H5238" s="11" t="s">
        <v>33</v>
      </c>
      <c r="I5238" s="16">
        <v>0.4</v>
      </c>
      <c r="J5238" s="11" t="s">
        <v>945</v>
      </c>
      <c r="K5238" s="11" t="s">
        <v>65</v>
      </c>
      <c r="L5238" s="11" t="s">
        <v>41</v>
      </c>
      <c r="M5238" s="11" t="s">
        <v>28</v>
      </c>
      <c r="N5238" s="11" t="s">
        <v>188</v>
      </c>
      <c r="O5238" s="11" t="s">
        <v>787</v>
      </c>
      <c r="P5238" s="11" t="s">
        <v>38</v>
      </c>
      <c r="Q5238" s="20">
        <v>40716.0</v>
      </c>
      <c r="R5238" s="17">
        <f t="shared" si="2"/>
        <v>1.072930649</v>
      </c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>
        <f t="shared" si="8"/>
        <v>3</v>
      </c>
      <c r="AF5238" s="19">
        <f t="shared" si="13"/>
        <v>5</v>
      </c>
      <c r="AG5238" s="9"/>
      <c r="AH5238" s="9"/>
      <c r="AI5238" s="9"/>
    </row>
    <row r="5239" ht="15.0" customHeight="1">
      <c r="A5239" s="11">
        <v>5238.0</v>
      </c>
      <c r="B5239" s="12">
        <f t="shared" ref="B5239:B5242" si="834">DATE(2012,12,31)-559</f>
        <v>40715</v>
      </c>
      <c r="C5239" s="13">
        <v>2011.0</v>
      </c>
      <c r="D5239" s="11" t="s">
        <v>39</v>
      </c>
      <c r="E5239" s="11">
        <v>8.0</v>
      </c>
      <c r="F5239" s="21" t="s">
        <v>425</v>
      </c>
      <c r="G5239" s="15">
        <v>0.0316006884681584</v>
      </c>
      <c r="H5239" s="11" t="s">
        <v>33</v>
      </c>
      <c r="I5239" s="16">
        <v>7.192</v>
      </c>
      <c r="J5239" s="11" t="s">
        <v>155</v>
      </c>
      <c r="K5239" s="11" t="s">
        <v>117</v>
      </c>
      <c r="L5239" s="11" t="s">
        <v>27</v>
      </c>
      <c r="M5239" s="11" t="s">
        <v>49</v>
      </c>
      <c r="N5239" s="11" t="s">
        <v>73</v>
      </c>
      <c r="O5239" s="11" t="s">
        <v>2448</v>
      </c>
      <c r="P5239" s="11" t="s">
        <v>99</v>
      </c>
      <c r="Q5239" s="20">
        <v>40716.0</v>
      </c>
      <c r="R5239" s="17">
        <f t="shared" si="2"/>
        <v>5.333943408</v>
      </c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>
        <f t="shared" si="8"/>
        <v>1</v>
      </c>
      <c r="AF5239" s="19" t="b">
        <f t="shared" si="13"/>
        <v>0</v>
      </c>
      <c r="AG5239" s="9"/>
      <c r="AH5239" s="9"/>
      <c r="AI5239" s="9"/>
    </row>
    <row r="5240" ht="15.0" customHeight="1">
      <c r="A5240" s="11">
        <v>5239.0</v>
      </c>
      <c r="B5240" s="12">
        <f t="shared" si="834"/>
        <v>40715</v>
      </c>
      <c r="C5240" s="13">
        <v>2011.0</v>
      </c>
      <c r="D5240" s="11" t="s">
        <v>32</v>
      </c>
      <c r="E5240" s="11">
        <v>48.0</v>
      </c>
      <c r="F5240" s="21" t="s">
        <v>758</v>
      </c>
      <c r="G5240" s="15">
        <v>0.11315924219150023</v>
      </c>
      <c r="H5240" s="11" t="s">
        <v>24</v>
      </c>
      <c r="I5240" s="16">
        <v>0.4</v>
      </c>
      <c r="J5240" s="11" t="s">
        <v>2052</v>
      </c>
      <c r="K5240" s="11" t="s">
        <v>65</v>
      </c>
      <c r="L5240" s="11" t="s">
        <v>27</v>
      </c>
      <c r="M5240" s="11" t="s">
        <v>28</v>
      </c>
      <c r="N5240" s="11" t="s">
        <v>188</v>
      </c>
      <c r="O5240" s="11" t="s">
        <v>1867</v>
      </c>
      <c r="P5240" s="11" t="s">
        <v>38</v>
      </c>
      <c r="Q5240" s="20">
        <v>40716.0</v>
      </c>
      <c r="R5240" s="17">
        <f t="shared" si="2"/>
        <v>19.59918075</v>
      </c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>
        <f t="shared" si="8"/>
        <v>1</v>
      </c>
      <c r="AF5240" s="19">
        <f t="shared" si="13"/>
        <v>5</v>
      </c>
      <c r="AG5240" s="9"/>
      <c r="AH5240" s="9"/>
      <c r="AI5240" s="9"/>
    </row>
    <row r="5241" ht="15.0" customHeight="1">
      <c r="A5241" s="11">
        <v>5240.0</v>
      </c>
      <c r="B5241" s="12">
        <f t="shared" si="834"/>
        <v>40715</v>
      </c>
      <c r="C5241" s="13">
        <v>2011.0</v>
      </c>
      <c r="D5241" s="11" t="s">
        <v>32</v>
      </c>
      <c r="E5241" s="11">
        <v>33.0</v>
      </c>
      <c r="F5241" s="21" t="s">
        <v>135</v>
      </c>
      <c r="G5241" s="15">
        <v>0.0353759235115168</v>
      </c>
      <c r="H5241" s="11" t="s">
        <v>33</v>
      </c>
      <c r="I5241" s="16">
        <v>4.16</v>
      </c>
      <c r="J5241" s="11" t="s">
        <v>2052</v>
      </c>
      <c r="K5241" s="11" t="s">
        <v>65</v>
      </c>
      <c r="L5241" s="11" t="s">
        <v>27</v>
      </c>
      <c r="M5241" s="11" t="s">
        <v>28</v>
      </c>
      <c r="N5241" s="11" t="s">
        <v>56</v>
      </c>
      <c r="O5241" s="11" t="s">
        <v>1237</v>
      </c>
      <c r="P5241" s="11" t="s">
        <v>38</v>
      </c>
      <c r="Q5241" s="20">
        <v>40716.0</v>
      </c>
      <c r="R5241" s="17">
        <f t="shared" si="2"/>
        <v>7.852039983</v>
      </c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>
        <f t="shared" si="8"/>
        <v>1</v>
      </c>
      <c r="AF5241" s="19">
        <f t="shared" si="13"/>
        <v>5</v>
      </c>
      <c r="AG5241" s="9"/>
      <c r="AH5241" s="9"/>
      <c r="AI5241" s="9"/>
    </row>
    <row r="5242" ht="15.0" customHeight="1">
      <c r="A5242" s="11">
        <v>5241.0</v>
      </c>
      <c r="B5242" s="12">
        <f t="shared" si="834"/>
        <v>40715</v>
      </c>
      <c r="C5242" s="13">
        <v>2011.0</v>
      </c>
      <c r="D5242" s="11" t="s">
        <v>102</v>
      </c>
      <c r="E5242" s="11">
        <v>27.0</v>
      </c>
      <c r="F5242" s="21" t="s">
        <v>2332</v>
      </c>
      <c r="G5242" s="15">
        <v>0.05164154690968577</v>
      </c>
      <c r="H5242" s="11" t="s">
        <v>24</v>
      </c>
      <c r="I5242" s="16">
        <v>4.4</v>
      </c>
      <c r="J5242" s="11" t="s">
        <v>892</v>
      </c>
      <c r="K5242" s="11" t="s">
        <v>35</v>
      </c>
      <c r="L5242" s="11" t="s">
        <v>27</v>
      </c>
      <c r="M5242" s="11" t="s">
        <v>66</v>
      </c>
      <c r="N5242" s="11" t="s">
        <v>67</v>
      </c>
      <c r="O5242" s="11" t="s">
        <v>2333</v>
      </c>
      <c r="P5242" s="11" t="s">
        <v>38</v>
      </c>
      <c r="Q5242" s="20">
        <v>40716.0</v>
      </c>
      <c r="R5242" s="17">
        <f t="shared" si="2"/>
        <v>41.91744363</v>
      </c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>
        <f t="shared" si="8"/>
        <v>1</v>
      </c>
      <c r="AF5242" s="19">
        <f t="shared" si="13"/>
        <v>2</v>
      </c>
      <c r="AG5242" s="9"/>
      <c r="AH5242" s="9"/>
      <c r="AI5242" s="9"/>
    </row>
    <row r="5243" ht="15.0" customHeight="1">
      <c r="A5243" s="11">
        <v>5242.0</v>
      </c>
      <c r="B5243" s="12">
        <f t="shared" ref="B5243:B5256" si="835">DATE(2012,12,31)-558</f>
        <v>40716</v>
      </c>
      <c r="C5243" s="13">
        <v>2011.0</v>
      </c>
      <c r="D5243" s="11" t="s">
        <v>32</v>
      </c>
      <c r="E5243" s="11">
        <v>24.0</v>
      </c>
      <c r="F5243" s="21" t="s">
        <v>310</v>
      </c>
      <c r="G5243" s="15">
        <v>0.029976632578708143</v>
      </c>
      <c r="H5243" s="11" t="s">
        <v>33</v>
      </c>
      <c r="I5243" s="16">
        <v>19.592</v>
      </c>
      <c r="J5243" s="11" t="s">
        <v>1214</v>
      </c>
      <c r="K5243" s="11" t="s">
        <v>35</v>
      </c>
      <c r="L5243" s="11" t="s">
        <v>27</v>
      </c>
      <c r="M5243" s="11" t="s">
        <v>49</v>
      </c>
      <c r="N5243" s="11" t="s">
        <v>50</v>
      </c>
      <c r="O5243" s="11" t="s">
        <v>1937</v>
      </c>
      <c r="P5243" s="11" t="s">
        <v>31</v>
      </c>
      <c r="Q5243" s="20">
        <v>40717.0</v>
      </c>
      <c r="R5243" s="17">
        <f t="shared" si="2"/>
        <v>231.4553357</v>
      </c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>
        <f t="shared" si="8"/>
        <v>1</v>
      </c>
      <c r="AF5243" s="19">
        <f t="shared" si="13"/>
        <v>2</v>
      </c>
      <c r="AG5243" s="9"/>
      <c r="AH5243" s="9"/>
      <c r="AI5243" s="9"/>
    </row>
    <row r="5244" ht="15.0" customHeight="1">
      <c r="A5244" s="11">
        <v>5243.0</v>
      </c>
      <c r="B5244" s="12">
        <f t="shared" si="835"/>
        <v>40716</v>
      </c>
      <c r="C5244" s="13">
        <v>2011.0</v>
      </c>
      <c r="D5244" s="11" t="s">
        <v>32</v>
      </c>
      <c r="E5244" s="11">
        <v>2.0</v>
      </c>
      <c r="F5244" s="21" t="s">
        <v>328</v>
      </c>
      <c r="G5244" s="15">
        <v>0.08558869701726841</v>
      </c>
      <c r="H5244" s="11" t="s">
        <v>33</v>
      </c>
      <c r="I5244" s="16">
        <v>11.192</v>
      </c>
      <c r="J5244" s="11" t="s">
        <v>1214</v>
      </c>
      <c r="K5244" s="11" t="s">
        <v>35</v>
      </c>
      <c r="L5244" s="11" t="s">
        <v>27</v>
      </c>
      <c r="M5244" s="11" t="s">
        <v>49</v>
      </c>
      <c r="N5244" s="11" t="s">
        <v>73</v>
      </c>
      <c r="O5244" s="11" t="s">
        <v>330</v>
      </c>
      <c r="P5244" s="11" t="s">
        <v>75</v>
      </c>
      <c r="Q5244" s="20">
        <v>40717.0</v>
      </c>
      <c r="R5244" s="17">
        <f t="shared" si="2"/>
        <v>19.9414817</v>
      </c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>
        <f t="shared" si="8"/>
        <v>1</v>
      </c>
      <c r="AF5244" s="19">
        <f t="shared" si="13"/>
        <v>2</v>
      </c>
      <c r="AG5244" s="9"/>
      <c r="AH5244" s="9"/>
      <c r="AI5244" s="9"/>
    </row>
    <row r="5245" ht="15.0" customHeight="1">
      <c r="A5245" s="11">
        <v>5244.0</v>
      </c>
      <c r="B5245" s="12">
        <f t="shared" si="835"/>
        <v>40716</v>
      </c>
      <c r="C5245" s="13">
        <v>2011.0</v>
      </c>
      <c r="D5245" s="11" t="s">
        <v>32</v>
      </c>
      <c r="E5245" s="11">
        <v>15.0</v>
      </c>
      <c r="F5245" s="21" t="s">
        <v>1187</v>
      </c>
      <c r="G5245" s="15">
        <v>0.08577364680153098</v>
      </c>
      <c r="H5245" s="11" t="s">
        <v>33</v>
      </c>
      <c r="I5245" s="16">
        <v>4.424</v>
      </c>
      <c r="J5245" s="11" t="s">
        <v>1214</v>
      </c>
      <c r="K5245" s="11" t="s">
        <v>35</v>
      </c>
      <c r="L5245" s="11" t="s">
        <v>27</v>
      </c>
      <c r="M5245" s="11" t="s">
        <v>28</v>
      </c>
      <c r="N5245" s="11" t="s">
        <v>62</v>
      </c>
      <c r="O5245" s="11" t="s">
        <v>1188</v>
      </c>
      <c r="P5245" s="11" t="s">
        <v>99</v>
      </c>
      <c r="Q5245" s="20">
        <v>40717.0</v>
      </c>
      <c r="R5245" s="17">
        <f t="shared" si="2"/>
        <v>28.68476606</v>
      </c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>
        <f t="shared" si="8"/>
        <v>1</v>
      </c>
      <c r="AF5245" s="19">
        <f t="shared" si="13"/>
        <v>2</v>
      </c>
      <c r="AG5245" s="9"/>
      <c r="AH5245" s="9"/>
      <c r="AI5245" s="9"/>
    </row>
    <row r="5246" ht="15.0" customHeight="1">
      <c r="A5246" s="11">
        <v>5245.0</v>
      </c>
      <c r="B5246" s="12">
        <f t="shared" si="835"/>
        <v>40716</v>
      </c>
      <c r="C5246" s="13">
        <v>2011.0</v>
      </c>
      <c r="D5246" s="11" t="s">
        <v>39</v>
      </c>
      <c r="E5246" s="11">
        <v>29.0</v>
      </c>
      <c r="F5246" s="21" t="s">
        <v>1265</v>
      </c>
      <c r="G5246" s="15">
        <v>0.09372139849899322</v>
      </c>
      <c r="H5246" s="11" t="s">
        <v>33</v>
      </c>
      <c r="I5246" s="16">
        <v>5.0</v>
      </c>
      <c r="J5246" s="11" t="s">
        <v>1948</v>
      </c>
      <c r="K5246" s="11" t="s">
        <v>61</v>
      </c>
      <c r="L5246" s="11" t="s">
        <v>41</v>
      </c>
      <c r="M5246" s="11" t="s">
        <v>28</v>
      </c>
      <c r="N5246" s="11" t="s">
        <v>29</v>
      </c>
      <c r="O5246" s="11" t="s">
        <v>2019</v>
      </c>
      <c r="P5246" s="11" t="s">
        <v>38</v>
      </c>
      <c r="Q5246" s="20">
        <v>40717.0</v>
      </c>
      <c r="R5246" s="17">
        <f t="shared" si="2"/>
        <v>46.4014644</v>
      </c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>
        <f t="shared" si="8"/>
        <v>3</v>
      </c>
      <c r="AF5246" s="19">
        <f t="shared" si="13"/>
        <v>4</v>
      </c>
      <c r="AG5246" s="9"/>
      <c r="AH5246" s="9"/>
      <c r="AI5246" s="9"/>
    </row>
    <row r="5247" ht="15.0" customHeight="1">
      <c r="A5247" s="11">
        <v>5246.0</v>
      </c>
      <c r="B5247" s="12">
        <f t="shared" si="835"/>
        <v>40716</v>
      </c>
      <c r="C5247" s="13">
        <v>2011.0</v>
      </c>
      <c r="D5247" s="11" t="s">
        <v>39</v>
      </c>
      <c r="E5247" s="11">
        <v>23.0</v>
      </c>
      <c r="F5247" s="21" t="s">
        <v>1156</v>
      </c>
      <c r="G5247" s="15">
        <v>0.039487782708656265</v>
      </c>
      <c r="H5247" s="11" t="s">
        <v>24</v>
      </c>
      <c r="I5247" s="16">
        <v>7.192</v>
      </c>
      <c r="J5247" s="11" t="s">
        <v>1948</v>
      </c>
      <c r="K5247" s="11" t="s">
        <v>61</v>
      </c>
      <c r="L5247" s="11" t="s">
        <v>41</v>
      </c>
      <c r="M5247" s="11" t="s">
        <v>66</v>
      </c>
      <c r="N5247" s="11" t="s">
        <v>80</v>
      </c>
      <c r="O5247" s="11" t="s">
        <v>1580</v>
      </c>
      <c r="P5247" s="11" t="s">
        <v>38</v>
      </c>
      <c r="Q5247" s="20">
        <v>40717.0</v>
      </c>
      <c r="R5247" s="17">
        <f t="shared" si="2"/>
        <v>141.8753386</v>
      </c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>
        <f t="shared" si="8"/>
        <v>3</v>
      </c>
      <c r="AF5247" s="19">
        <f t="shared" si="13"/>
        <v>4</v>
      </c>
      <c r="AG5247" s="9"/>
      <c r="AH5247" s="9"/>
      <c r="AI5247" s="9"/>
    </row>
    <row r="5248" ht="15.0" customHeight="1">
      <c r="A5248" s="11">
        <v>5247.0</v>
      </c>
      <c r="B5248" s="12">
        <f t="shared" si="835"/>
        <v>40716</v>
      </c>
      <c r="C5248" s="13">
        <v>2011.0</v>
      </c>
      <c r="D5248" s="11" t="s">
        <v>39</v>
      </c>
      <c r="E5248" s="11">
        <v>32.0</v>
      </c>
      <c r="F5248" s="21" t="s">
        <v>1646</v>
      </c>
      <c r="G5248" s="15">
        <v>0.01398278703534166</v>
      </c>
      <c r="H5248" s="11" t="s">
        <v>33</v>
      </c>
      <c r="I5248" s="16">
        <v>4.064</v>
      </c>
      <c r="J5248" s="11" t="s">
        <v>2026</v>
      </c>
      <c r="K5248" s="11" t="s">
        <v>65</v>
      </c>
      <c r="L5248" s="11" t="s">
        <v>41</v>
      </c>
      <c r="M5248" s="11" t="s">
        <v>28</v>
      </c>
      <c r="N5248" s="11" t="s">
        <v>42</v>
      </c>
      <c r="O5248" s="11" t="s">
        <v>2503</v>
      </c>
      <c r="P5248" s="11" t="s">
        <v>38</v>
      </c>
      <c r="Q5248" s="20">
        <v>40717.0</v>
      </c>
      <c r="R5248" s="17">
        <f t="shared" si="2"/>
        <v>7.529227438</v>
      </c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>
        <f t="shared" si="8"/>
        <v>3</v>
      </c>
      <c r="AF5248" s="19">
        <f t="shared" si="13"/>
        <v>5</v>
      </c>
      <c r="AG5248" s="9"/>
      <c r="AH5248" s="9"/>
      <c r="AI5248" s="9"/>
    </row>
    <row r="5249" ht="15.0" customHeight="1">
      <c r="A5249" s="11">
        <v>5248.0</v>
      </c>
      <c r="B5249" s="12">
        <f t="shared" si="835"/>
        <v>40716</v>
      </c>
      <c r="C5249" s="13">
        <v>2011.0</v>
      </c>
      <c r="D5249" s="11" t="s">
        <v>23</v>
      </c>
      <c r="E5249" s="11">
        <v>16.0</v>
      </c>
      <c r="F5249" s="21" t="s">
        <v>1952</v>
      </c>
      <c r="G5249" s="15">
        <v>0.048734980104794615</v>
      </c>
      <c r="H5249" s="11" t="s">
        <v>24</v>
      </c>
      <c r="I5249" s="16">
        <v>19.592</v>
      </c>
      <c r="J5249" s="11" t="s">
        <v>2043</v>
      </c>
      <c r="K5249" s="11" t="s">
        <v>83</v>
      </c>
      <c r="L5249" s="11" t="s">
        <v>27</v>
      </c>
      <c r="M5249" s="11" t="s">
        <v>28</v>
      </c>
      <c r="N5249" s="11" t="s">
        <v>197</v>
      </c>
      <c r="O5249" s="11" t="s">
        <v>1953</v>
      </c>
      <c r="P5249" s="11" t="s">
        <v>31</v>
      </c>
      <c r="Q5249" s="20">
        <v>40717.0</v>
      </c>
      <c r="R5249" s="17">
        <f t="shared" si="2"/>
        <v>235.350576</v>
      </c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>
        <f t="shared" si="8"/>
        <v>1</v>
      </c>
      <c r="AF5249" s="19" t="b">
        <f t="shared" si="13"/>
        <v>0</v>
      </c>
      <c r="AG5249" s="9"/>
      <c r="AH5249" s="9"/>
      <c r="AI5249" s="9"/>
    </row>
    <row r="5250" ht="15.0" customHeight="1">
      <c r="A5250" s="11">
        <v>5249.0</v>
      </c>
      <c r="B5250" s="12">
        <f t="shared" si="835"/>
        <v>40716</v>
      </c>
      <c r="C5250" s="13">
        <v>2011.0</v>
      </c>
      <c r="D5250" s="11" t="s">
        <v>23</v>
      </c>
      <c r="E5250" s="11">
        <v>50.0</v>
      </c>
      <c r="F5250" s="21" t="s">
        <v>1071</v>
      </c>
      <c r="G5250" s="15">
        <v>0.09626973617194653</v>
      </c>
      <c r="H5250" s="11" t="s">
        <v>33</v>
      </c>
      <c r="I5250" s="16">
        <v>7.192</v>
      </c>
      <c r="J5250" s="11" t="s">
        <v>2043</v>
      </c>
      <c r="K5250" s="11" t="s">
        <v>83</v>
      </c>
      <c r="L5250" s="11" t="s">
        <v>27</v>
      </c>
      <c r="M5250" s="11" t="s">
        <v>49</v>
      </c>
      <c r="N5250" s="11" t="s">
        <v>73</v>
      </c>
      <c r="O5250" s="11" t="s">
        <v>1073</v>
      </c>
      <c r="P5250" s="11" t="s">
        <v>99</v>
      </c>
      <c r="Q5250" s="20">
        <v>40717.0</v>
      </c>
      <c r="R5250" s="17">
        <f t="shared" si="2"/>
        <v>85.40973977</v>
      </c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>
        <f t="shared" si="8"/>
        <v>1</v>
      </c>
      <c r="AF5250" s="19" t="b">
        <f t="shared" si="13"/>
        <v>0</v>
      </c>
      <c r="AG5250" s="9"/>
      <c r="AH5250" s="9"/>
      <c r="AI5250" s="9"/>
    </row>
    <row r="5251" ht="15.0" customHeight="1">
      <c r="A5251" s="11">
        <v>5250.0</v>
      </c>
      <c r="B5251" s="12">
        <f t="shared" si="835"/>
        <v>40716</v>
      </c>
      <c r="C5251" s="13">
        <v>2011.0</v>
      </c>
      <c r="D5251" s="11" t="s">
        <v>23</v>
      </c>
      <c r="E5251" s="11">
        <v>8.0</v>
      </c>
      <c r="F5251" s="21" t="s">
        <v>1399</v>
      </c>
      <c r="G5251" s="15">
        <v>0.023130715438407907</v>
      </c>
      <c r="H5251" s="11" t="s">
        <v>33</v>
      </c>
      <c r="I5251" s="16">
        <v>28.0</v>
      </c>
      <c r="J5251" s="11" t="s">
        <v>2043</v>
      </c>
      <c r="K5251" s="11" t="s">
        <v>83</v>
      </c>
      <c r="L5251" s="11" t="s">
        <v>27</v>
      </c>
      <c r="M5251" s="11" t="s">
        <v>28</v>
      </c>
      <c r="N5251" s="11" t="s">
        <v>29</v>
      </c>
      <c r="O5251" s="11" t="s">
        <v>1400</v>
      </c>
      <c r="P5251" s="11" t="s">
        <v>31</v>
      </c>
      <c r="Q5251" s="20">
        <v>40718.0</v>
      </c>
      <c r="R5251" s="17">
        <f t="shared" si="2"/>
        <v>12.60161377</v>
      </c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>
        <f t="shared" si="8"/>
        <v>1</v>
      </c>
      <c r="AF5251" s="19" t="b">
        <f t="shared" si="13"/>
        <v>0</v>
      </c>
      <c r="AG5251" s="9"/>
      <c r="AH5251" s="9"/>
      <c r="AI5251" s="9"/>
    </row>
    <row r="5252" ht="15.0" customHeight="1">
      <c r="A5252" s="11">
        <v>5251.0</v>
      </c>
      <c r="B5252" s="12">
        <f t="shared" si="835"/>
        <v>40716</v>
      </c>
      <c r="C5252" s="13">
        <v>2011.0</v>
      </c>
      <c r="D5252" s="11" t="s">
        <v>102</v>
      </c>
      <c r="E5252" s="11">
        <v>15.0</v>
      </c>
      <c r="F5252" s="21" t="s">
        <v>359</v>
      </c>
      <c r="G5252" s="15">
        <v>0.07946746832724927</v>
      </c>
      <c r="H5252" s="11" t="s">
        <v>24</v>
      </c>
      <c r="I5252" s="16">
        <v>7.192</v>
      </c>
      <c r="J5252" s="11" t="s">
        <v>2546</v>
      </c>
      <c r="K5252" s="11" t="s">
        <v>61</v>
      </c>
      <c r="L5252" s="11" t="s">
        <v>36</v>
      </c>
      <c r="M5252" s="11" t="s">
        <v>28</v>
      </c>
      <c r="N5252" s="11" t="s">
        <v>62</v>
      </c>
      <c r="O5252" s="11" t="s">
        <v>2547</v>
      </c>
      <c r="P5252" s="11" t="s">
        <v>99</v>
      </c>
      <c r="Q5252" s="20">
        <v>40718.0</v>
      </c>
      <c r="R5252" s="17">
        <f t="shared" si="2"/>
        <v>34.06706793</v>
      </c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>
        <f t="shared" si="8"/>
        <v>2</v>
      </c>
      <c r="AF5252" s="19">
        <f t="shared" si="13"/>
        <v>4</v>
      </c>
      <c r="AG5252" s="9"/>
      <c r="AH5252" s="9"/>
      <c r="AI5252" s="9"/>
    </row>
    <row r="5253" ht="15.0" customHeight="1">
      <c r="A5253" s="11">
        <v>5252.0</v>
      </c>
      <c r="B5253" s="12">
        <f t="shared" si="835"/>
        <v>40716</v>
      </c>
      <c r="C5253" s="13">
        <v>2011.0</v>
      </c>
      <c r="D5253" s="11" t="s">
        <v>39</v>
      </c>
      <c r="E5253" s="11">
        <v>12.0</v>
      </c>
      <c r="F5253" s="21" t="s">
        <v>569</v>
      </c>
      <c r="G5253" s="15">
        <v>0.010678322266117467</v>
      </c>
      <c r="H5253" s="11" t="s">
        <v>24</v>
      </c>
      <c r="I5253" s="16">
        <v>3.192</v>
      </c>
      <c r="J5253" s="11" t="s">
        <v>2402</v>
      </c>
      <c r="K5253" s="11" t="s">
        <v>65</v>
      </c>
      <c r="L5253" s="11" t="s">
        <v>48</v>
      </c>
      <c r="M5253" s="11" t="s">
        <v>66</v>
      </c>
      <c r="N5253" s="11" t="s">
        <v>80</v>
      </c>
      <c r="O5253" s="11" t="s">
        <v>2483</v>
      </c>
      <c r="P5253" s="11" t="s">
        <v>38</v>
      </c>
      <c r="Q5253" s="20">
        <v>40718.0</v>
      </c>
      <c r="R5253" s="17">
        <f t="shared" si="2"/>
        <v>25.13668519</v>
      </c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>
        <f t="shared" si="8"/>
        <v>4</v>
      </c>
      <c r="AF5253" s="19">
        <f t="shared" si="13"/>
        <v>5</v>
      </c>
      <c r="AG5253" s="9"/>
      <c r="AH5253" s="9"/>
      <c r="AI5253" s="9"/>
    </row>
    <row r="5254" ht="15.0" customHeight="1">
      <c r="A5254" s="11">
        <v>5253.0</v>
      </c>
      <c r="B5254" s="12">
        <f t="shared" si="835"/>
        <v>40716</v>
      </c>
      <c r="C5254" s="13">
        <v>2011.0</v>
      </c>
      <c r="D5254" s="11" t="s">
        <v>102</v>
      </c>
      <c r="E5254" s="11">
        <v>23.0</v>
      </c>
      <c r="F5254" s="21" t="s">
        <v>1782</v>
      </c>
      <c r="G5254" s="15">
        <v>0.06095030830612996</v>
      </c>
      <c r="H5254" s="11" t="s">
        <v>24</v>
      </c>
      <c r="I5254" s="16">
        <v>7.192</v>
      </c>
      <c r="J5254" s="11" t="s">
        <v>1753</v>
      </c>
      <c r="K5254" s="11" t="s">
        <v>65</v>
      </c>
      <c r="L5254" s="11" t="s">
        <v>48</v>
      </c>
      <c r="M5254" s="11" t="s">
        <v>49</v>
      </c>
      <c r="N5254" s="11" t="s">
        <v>73</v>
      </c>
      <c r="O5254" s="11" t="s">
        <v>2134</v>
      </c>
      <c r="P5254" s="11" t="s">
        <v>99</v>
      </c>
      <c r="Q5254" s="20">
        <v>40718.0</v>
      </c>
      <c r="R5254" s="17">
        <f t="shared" si="2"/>
        <v>31.55958204</v>
      </c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>
        <f t="shared" si="8"/>
        <v>4</v>
      </c>
      <c r="AF5254" s="19">
        <f t="shared" si="13"/>
        <v>5</v>
      </c>
      <c r="AG5254" s="9"/>
      <c r="AH5254" s="9"/>
      <c r="AI5254" s="9"/>
    </row>
    <row r="5255" ht="15.0" customHeight="1">
      <c r="A5255" s="11">
        <v>5254.0</v>
      </c>
      <c r="B5255" s="12">
        <f t="shared" si="835"/>
        <v>40716</v>
      </c>
      <c r="C5255" s="13">
        <v>2011.0</v>
      </c>
      <c r="D5255" s="11" t="s">
        <v>102</v>
      </c>
      <c r="E5255" s="11">
        <v>46.0</v>
      </c>
      <c r="F5255" s="21" t="s">
        <v>846</v>
      </c>
      <c r="G5255" s="15">
        <v>0.04838986684974688</v>
      </c>
      <c r="H5255" s="11" t="s">
        <v>33</v>
      </c>
      <c r="I5255" s="16">
        <v>15.991999999999999</v>
      </c>
      <c r="J5255" s="11" t="s">
        <v>2495</v>
      </c>
      <c r="K5255" s="11" t="s">
        <v>61</v>
      </c>
      <c r="L5255" s="11" t="s">
        <v>41</v>
      </c>
      <c r="M5255" s="11" t="s">
        <v>28</v>
      </c>
      <c r="N5255" s="11" t="s">
        <v>29</v>
      </c>
      <c r="O5255" s="11" t="s">
        <v>847</v>
      </c>
      <c r="P5255" s="11" t="s">
        <v>38</v>
      </c>
      <c r="Q5255" s="20">
        <v>40719.0</v>
      </c>
      <c r="R5255" s="17">
        <f t="shared" si="2"/>
        <v>430.601682</v>
      </c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>
        <f t="shared" si="8"/>
        <v>3</v>
      </c>
      <c r="AF5255" s="19">
        <f t="shared" si="13"/>
        <v>4</v>
      </c>
      <c r="AG5255" s="9"/>
      <c r="AH5255" s="9"/>
      <c r="AI5255" s="9"/>
    </row>
    <row r="5256" ht="15.0" customHeight="1">
      <c r="A5256" s="11">
        <v>5255.0</v>
      </c>
      <c r="B5256" s="12">
        <f t="shared" si="835"/>
        <v>40716</v>
      </c>
      <c r="C5256" s="13">
        <v>2011.0</v>
      </c>
      <c r="D5256" s="11" t="s">
        <v>102</v>
      </c>
      <c r="E5256" s="11">
        <v>2.0</v>
      </c>
      <c r="F5256" s="21" t="s">
        <v>926</v>
      </c>
      <c r="G5256" s="15">
        <v>0.08799999999999997</v>
      </c>
      <c r="H5256" s="11" t="s">
        <v>33</v>
      </c>
      <c r="I5256" s="16">
        <v>3.9840000000000004</v>
      </c>
      <c r="J5256" s="11" t="s">
        <v>2495</v>
      </c>
      <c r="K5256" s="11" t="s">
        <v>61</v>
      </c>
      <c r="L5256" s="11" t="s">
        <v>41</v>
      </c>
      <c r="M5256" s="11" t="s">
        <v>49</v>
      </c>
      <c r="N5256" s="11" t="s">
        <v>73</v>
      </c>
      <c r="O5256" s="11" t="s">
        <v>927</v>
      </c>
      <c r="P5256" s="11" t="s">
        <v>99</v>
      </c>
      <c r="Q5256" s="20">
        <v>40719.0</v>
      </c>
      <c r="R5256" s="17">
        <f t="shared" si="2"/>
        <v>2.568192</v>
      </c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>
        <f t="shared" si="8"/>
        <v>3</v>
      </c>
      <c r="AF5256" s="19">
        <f t="shared" si="13"/>
        <v>4</v>
      </c>
      <c r="AG5256" s="9"/>
      <c r="AH5256" s="9"/>
      <c r="AI5256" s="9"/>
    </row>
    <row r="5257" ht="15.0" customHeight="1">
      <c r="A5257" s="11">
        <v>5256.0</v>
      </c>
      <c r="B5257" s="12">
        <f t="shared" ref="B5257:B5261" si="836">DATE(2012,12,31)-557</f>
        <v>40717</v>
      </c>
      <c r="C5257" s="13">
        <v>2011.0</v>
      </c>
      <c r="D5257" s="11" t="s">
        <v>39</v>
      </c>
      <c r="E5257" s="11">
        <v>28.0</v>
      </c>
      <c r="F5257" s="21" t="s">
        <v>694</v>
      </c>
      <c r="G5257" s="15">
        <v>0.040729356603282016</v>
      </c>
      <c r="H5257" s="11" t="s">
        <v>33</v>
      </c>
      <c r="I5257" s="16">
        <v>1.592</v>
      </c>
      <c r="J5257" s="11" t="s">
        <v>239</v>
      </c>
      <c r="K5257" s="11" t="s">
        <v>61</v>
      </c>
      <c r="L5257" s="11" t="s">
        <v>41</v>
      </c>
      <c r="M5257" s="11" t="s">
        <v>66</v>
      </c>
      <c r="N5257" s="11" t="s">
        <v>67</v>
      </c>
      <c r="O5257" s="11" t="s">
        <v>695</v>
      </c>
      <c r="P5257" s="11" t="s">
        <v>99</v>
      </c>
      <c r="Q5257" s="20">
        <v>40719.0</v>
      </c>
      <c r="R5257" s="17">
        <f t="shared" si="2"/>
        <v>44.99746734</v>
      </c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>
        <f t="shared" si="8"/>
        <v>3</v>
      </c>
      <c r="AF5257" s="19">
        <f t="shared" si="13"/>
        <v>4</v>
      </c>
      <c r="AG5257" s="9"/>
      <c r="AH5257" s="9"/>
      <c r="AI5257" s="9"/>
    </row>
    <row r="5258" ht="15.0" customHeight="1">
      <c r="A5258" s="11">
        <v>5257.0</v>
      </c>
      <c r="B5258" s="12">
        <f t="shared" si="836"/>
        <v>40717</v>
      </c>
      <c r="C5258" s="13">
        <v>2011.0</v>
      </c>
      <c r="D5258" s="11" t="s">
        <v>23</v>
      </c>
      <c r="E5258" s="11">
        <v>10.0</v>
      </c>
      <c r="F5258" s="21" t="s">
        <v>176</v>
      </c>
      <c r="G5258" s="15">
        <v>0.04306986231514533</v>
      </c>
      <c r="H5258" s="11" t="s">
        <v>33</v>
      </c>
      <c r="I5258" s="16">
        <v>11.616</v>
      </c>
      <c r="J5258" s="11" t="s">
        <v>1620</v>
      </c>
      <c r="K5258" s="11" t="s">
        <v>65</v>
      </c>
      <c r="L5258" s="11" t="s">
        <v>48</v>
      </c>
      <c r="M5258" s="11" t="s">
        <v>66</v>
      </c>
      <c r="N5258" s="11" t="s">
        <v>67</v>
      </c>
      <c r="O5258" s="11" t="s">
        <v>177</v>
      </c>
      <c r="P5258" s="11" t="s">
        <v>38</v>
      </c>
      <c r="Q5258" s="20">
        <v>40719.0</v>
      </c>
      <c r="R5258" s="17">
        <f t="shared" si="2"/>
        <v>32.32892777</v>
      </c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>
        <f t="shared" si="8"/>
        <v>4</v>
      </c>
      <c r="AF5258" s="19">
        <f t="shared" si="13"/>
        <v>5</v>
      </c>
      <c r="AG5258" s="9"/>
      <c r="AH5258" s="9"/>
      <c r="AI5258" s="9"/>
    </row>
    <row r="5259" ht="15.0" customHeight="1">
      <c r="A5259" s="11">
        <v>5258.0</v>
      </c>
      <c r="B5259" s="12">
        <f t="shared" si="836"/>
        <v>40717</v>
      </c>
      <c r="C5259" s="13">
        <v>2011.0</v>
      </c>
      <c r="D5259" s="11" t="s">
        <v>39</v>
      </c>
      <c r="E5259" s="11">
        <v>27.0</v>
      </c>
      <c r="F5259" s="21" t="s">
        <v>158</v>
      </c>
      <c r="G5259" s="15">
        <v>0.08157840083073722</v>
      </c>
      <c r="H5259" s="11" t="s">
        <v>33</v>
      </c>
      <c r="I5259" s="16">
        <v>4.088</v>
      </c>
      <c r="J5259" s="11" t="s">
        <v>1472</v>
      </c>
      <c r="K5259" s="11" t="s">
        <v>83</v>
      </c>
      <c r="L5259" s="11" t="s">
        <v>27</v>
      </c>
      <c r="M5259" s="11" t="s">
        <v>28</v>
      </c>
      <c r="N5259" s="11" t="s">
        <v>56</v>
      </c>
      <c r="O5259" s="11" t="s">
        <v>1335</v>
      </c>
      <c r="P5259" s="11" t="s">
        <v>38</v>
      </c>
      <c r="Q5259" s="20">
        <v>40719.0</v>
      </c>
      <c r="R5259" s="17">
        <f t="shared" si="2"/>
        <v>14.43024017</v>
      </c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>
        <f t="shared" si="8"/>
        <v>1</v>
      </c>
      <c r="AF5259" s="19" t="b">
        <f t="shared" si="13"/>
        <v>0</v>
      </c>
      <c r="AG5259" s="9"/>
      <c r="AH5259" s="9"/>
      <c r="AI5259" s="9"/>
    </row>
    <row r="5260" ht="15.0" customHeight="1">
      <c r="A5260" s="11">
        <v>5259.0</v>
      </c>
      <c r="B5260" s="12">
        <f t="shared" si="836"/>
        <v>40717</v>
      </c>
      <c r="C5260" s="13">
        <v>2011.0</v>
      </c>
      <c r="D5260" s="11" t="s">
        <v>39</v>
      </c>
      <c r="E5260" s="11">
        <v>22.0</v>
      </c>
      <c r="F5260" s="21" t="s">
        <v>422</v>
      </c>
      <c r="G5260" s="15">
        <v>0.09252693636918063</v>
      </c>
      <c r="H5260" s="11" t="s">
        <v>33</v>
      </c>
      <c r="I5260" s="16">
        <v>5.744</v>
      </c>
      <c r="J5260" s="11" t="s">
        <v>1472</v>
      </c>
      <c r="K5260" s="11" t="s">
        <v>83</v>
      </c>
      <c r="L5260" s="11" t="s">
        <v>27</v>
      </c>
      <c r="M5260" s="11" t="s">
        <v>66</v>
      </c>
      <c r="N5260" s="11" t="s">
        <v>67</v>
      </c>
      <c r="O5260" s="11" t="s">
        <v>1679</v>
      </c>
      <c r="P5260" s="11" t="s">
        <v>38</v>
      </c>
      <c r="Q5260" s="20">
        <v>40719.0</v>
      </c>
      <c r="R5260" s="17">
        <f t="shared" si="2"/>
        <v>165.2109161</v>
      </c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>
        <f t="shared" si="8"/>
        <v>1</v>
      </c>
      <c r="AF5260" s="19" t="b">
        <f t="shared" si="13"/>
        <v>0</v>
      </c>
      <c r="AG5260" s="9"/>
      <c r="AH5260" s="9"/>
      <c r="AI5260" s="9"/>
    </row>
    <row r="5261" ht="15.0" customHeight="1">
      <c r="A5261" s="11">
        <v>5260.0</v>
      </c>
      <c r="B5261" s="12">
        <f t="shared" si="836"/>
        <v>40717</v>
      </c>
      <c r="C5261" s="13">
        <v>2011.0</v>
      </c>
      <c r="D5261" s="11" t="s">
        <v>39</v>
      </c>
      <c r="E5261" s="11">
        <v>24.0</v>
      </c>
      <c r="F5261" s="21" t="s">
        <v>183</v>
      </c>
      <c r="G5261" s="15">
        <v>0.034134134134134096</v>
      </c>
      <c r="H5261" s="11" t="s">
        <v>33</v>
      </c>
      <c r="I5261" s="16">
        <v>4.36</v>
      </c>
      <c r="J5261" s="11" t="s">
        <v>1425</v>
      </c>
      <c r="K5261" s="11" t="s">
        <v>47</v>
      </c>
      <c r="L5261" s="11" t="s">
        <v>48</v>
      </c>
      <c r="M5261" s="11" t="s">
        <v>28</v>
      </c>
      <c r="N5261" s="11" t="s">
        <v>62</v>
      </c>
      <c r="O5261" s="11" t="s">
        <v>1994</v>
      </c>
      <c r="P5261" s="11" t="s">
        <v>99</v>
      </c>
      <c r="Q5261" s="20">
        <v>40719.0</v>
      </c>
      <c r="R5261" s="17">
        <f t="shared" si="2"/>
        <v>13.17441041</v>
      </c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>
        <f t="shared" si="8"/>
        <v>4</v>
      </c>
      <c r="AF5261" s="19">
        <f t="shared" si="13"/>
        <v>3</v>
      </c>
      <c r="AG5261" s="9"/>
      <c r="AH5261" s="9"/>
      <c r="AI5261" s="9"/>
    </row>
    <row r="5262" ht="15.0" customHeight="1">
      <c r="A5262" s="11">
        <v>5261.0</v>
      </c>
      <c r="B5262" s="12">
        <f t="shared" ref="B5262:B5265" si="837">DATE(2012,12,31)-556</f>
        <v>40718</v>
      </c>
      <c r="C5262" s="13">
        <v>2011.0</v>
      </c>
      <c r="D5262" s="11" t="s">
        <v>23</v>
      </c>
      <c r="E5262" s="11">
        <v>44.0</v>
      </c>
      <c r="F5262" s="21" t="s">
        <v>306</v>
      </c>
      <c r="G5262" s="15">
        <v>0.0703253062948881</v>
      </c>
      <c r="H5262" s="11" t="s">
        <v>33</v>
      </c>
      <c r="I5262" s="16">
        <v>4.616</v>
      </c>
      <c r="J5262" s="11" t="s">
        <v>148</v>
      </c>
      <c r="K5262" s="11" t="s">
        <v>65</v>
      </c>
      <c r="L5262" s="11" t="s">
        <v>41</v>
      </c>
      <c r="M5262" s="11" t="s">
        <v>28</v>
      </c>
      <c r="N5262" s="11" t="s">
        <v>56</v>
      </c>
      <c r="O5262" s="11" t="s">
        <v>1169</v>
      </c>
      <c r="P5262" s="11" t="s">
        <v>38</v>
      </c>
      <c r="Q5262" s="20">
        <v>40719.0</v>
      </c>
      <c r="R5262" s="17">
        <f t="shared" si="2"/>
        <v>61.90145981</v>
      </c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>
        <f t="shared" si="8"/>
        <v>3</v>
      </c>
      <c r="AF5262" s="19">
        <f t="shared" si="13"/>
        <v>5</v>
      </c>
      <c r="AG5262" s="9"/>
      <c r="AH5262" s="9"/>
      <c r="AI5262" s="9"/>
    </row>
    <row r="5263" ht="15.0" customHeight="1">
      <c r="A5263" s="11">
        <v>5262.0</v>
      </c>
      <c r="B5263" s="12">
        <f t="shared" si="837"/>
        <v>40718</v>
      </c>
      <c r="C5263" s="13">
        <v>2011.0</v>
      </c>
      <c r="D5263" s="11" t="s">
        <v>23</v>
      </c>
      <c r="E5263" s="11">
        <v>46.0</v>
      </c>
      <c r="F5263" s="21" t="s">
        <v>2004</v>
      </c>
      <c r="G5263" s="15">
        <v>0.013250804654617419</v>
      </c>
      <c r="H5263" s="11" t="s">
        <v>33</v>
      </c>
      <c r="I5263" s="16">
        <v>7.192</v>
      </c>
      <c r="J5263" s="11" t="s">
        <v>148</v>
      </c>
      <c r="K5263" s="11" t="s">
        <v>65</v>
      </c>
      <c r="L5263" s="11" t="s">
        <v>41</v>
      </c>
      <c r="M5263" s="11" t="s">
        <v>28</v>
      </c>
      <c r="N5263" s="11" t="s">
        <v>62</v>
      </c>
      <c r="O5263" s="11" t="s">
        <v>2007</v>
      </c>
      <c r="P5263" s="11" t="s">
        <v>99</v>
      </c>
      <c r="Q5263" s="20">
        <v>40719.0</v>
      </c>
      <c r="R5263" s="17">
        <f t="shared" si="2"/>
        <v>21.12432677</v>
      </c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>
        <f t="shared" si="8"/>
        <v>3</v>
      </c>
      <c r="AF5263" s="19">
        <f t="shared" si="13"/>
        <v>5</v>
      </c>
      <c r="AG5263" s="9"/>
      <c r="AH5263" s="9"/>
      <c r="AI5263" s="9"/>
    </row>
    <row r="5264" ht="15.0" customHeight="1">
      <c r="A5264" s="11">
        <v>5263.0</v>
      </c>
      <c r="B5264" s="12">
        <f t="shared" si="837"/>
        <v>40718</v>
      </c>
      <c r="C5264" s="13">
        <v>2011.0</v>
      </c>
      <c r="D5264" s="11" t="s">
        <v>23</v>
      </c>
      <c r="E5264" s="11">
        <v>5.0</v>
      </c>
      <c r="F5264" s="21" t="s">
        <v>469</v>
      </c>
      <c r="G5264" s="15">
        <v>0.11104665825977299</v>
      </c>
      <c r="H5264" s="11" t="s">
        <v>45</v>
      </c>
      <c r="I5264" s="16">
        <v>11.488</v>
      </c>
      <c r="J5264" s="11" t="s">
        <v>1082</v>
      </c>
      <c r="K5264" s="11" t="s">
        <v>65</v>
      </c>
      <c r="L5264" s="11" t="s">
        <v>27</v>
      </c>
      <c r="M5264" s="11" t="s">
        <v>49</v>
      </c>
      <c r="N5264" s="11" t="s">
        <v>50</v>
      </c>
      <c r="O5264" s="11" t="s">
        <v>470</v>
      </c>
      <c r="P5264" s="11" t="s">
        <v>52</v>
      </c>
      <c r="Q5264" s="20">
        <v>40719.0</v>
      </c>
      <c r="R5264" s="17">
        <f t="shared" si="2"/>
        <v>15.65624625</v>
      </c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>
        <f t="shared" si="8"/>
        <v>1</v>
      </c>
      <c r="AF5264" s="19">
        <f t="shared" si="13"/>
        <v>5</v>
      </c>
      <c r="AG5264" s="9"/>
      <c r="AH5264" s="9"/>
      <c r="AI5264" s="9"/>
    </row>
    <row r="5265" ht="15.0" customHeight="1">
      <c r="A5265" s="11">
        <v>5264.0</v>
      </c>
      <c r="B5265" s="12">
        <f t="shared" si="837"/>
        <v>40718</v>
      </c>
      <c r="C5265" s="13">
        <v>2011.0</v>
      </c>
      <c r="D5265" s="11" t="s">
        <v>23</v>
      </c>
      <c r="E5265" s="11">
        <v>29.0</v>
      </c>
      <c r="F5265" s="21" t="s">
        <v>1452</v>
      </c>
      <c r="G5265" s="15">
        <v>0.0605742607578286</v>
      </c>
      <c r="H5265" s="11" t="s">
        <v>33</v>
      </c>
      <c r="I5265" s="16">
        <v>19.592</v>
      </c>
      <c r="J5265" s="11" t="s">
        <v>1082</v>
      </c>
      <c r="K5265" s="11" t="s">
        <v>65</v>
      </c>
      <c r="L5265" s="11" t="s">
        <v>27</v>
      </c>
      <c r="M5265" s="11" t="s">
        <v>66</v>
      </c>
      <c r="N5265" s="11" t="s">
        <v>170</v>
      </c>
      <c r="O5265" s="11" t="s">
        <v>1453</v>
      </c>
      <c r="P5265" s="11" t="s">
        <v>31</v>
      </c>
      <c r="Q5265" s="20">
        <v>40720.0</v>
      </c>
      <c r="R5265" s="17">
        <f t="shared" si="2"/>
        <v>791.5052085</v>
      </c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>
        <f t="shared" si="8"/>
        <v>1</v>
      </c>
      <c r="AF5265" s="19">
        <f t="shared" si="13"/>
        <v>5</v>
      </c>
      <c r="AG5265" s="9"/>
      <c r="AH5265" s="9"/>
      <c r="AI5265" s="9"/>
    </row>
    <row r="5266" ht="15.0" customHeight="1">
      <c r="A5266" s="11">
        <v>5265.0</v>
      </c>
      <c r="B5266" s="12">
        <f t="shared" ref="B5266:B5270" si="838">DATE(2012,12,31)-555</f>
        <v>40719</v>
      </c>
      <c r="C5266" s="13">
        <v>2011.0</v>
      </c>
      <c r="D5266" s="11" t="s">
        <v>44</v>
      </c>
      <c r="E5266" s="11">
        <v>47.0</v>
      </c>
      <c r="F5266" s="21" t="s">
        <v>1881</v>
      </c>
      <c r="G5266" s="15">
        <v>0.08479400317139967</v>
      </c>
      <c r="H5266" s="11" t="s">
        <v>33</v>
      </c>
      <c r="I5266" s="16">
        <v>15.991999999999999</v>
      </c>
      <c r="J5266" s="11" t="s">
        <v>91</v>
      </c>
      <c r="K5266" s="11" t="s">
        <v>35</v>
      </c>
      <c r="L5266" s="11" t="s">
        <v>48</v>
      </c>
      <c r="M5266" s="11" t="s">
        <v>28</v>
      </c>
      <c r="N5266" s="11" t="s">
        <v>42</v>
      </c>
      <c r="O5266" s="11" t="s">
        <v>1882</v>
      </c>
      <c r="P5266" s="11" t="s">
        <v>38</v>
      </c>
      <c r="Q5266" s="20">
        <v>40720.0</v>
      </c>
      <c r="R5266" s="17">
        <f t="shared" si="2"/>
        <v>269.1694053</v>
      </c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>
        <f t="shared" si="8"/>
        <v>4</v>
      </c>
      <c r="AF5266" s="19">
        <f t="shared" si="13"/>
        <v>2</v>
      </c>
      <c r="AG5266" s="9"/>
      <c r="AH5266" s="9"/>
      <c r="AI5266" s="9"/>
    </row>
    <row r="5267" ht="15.0" customHeight="1">
      <c r="A5267" s="11">
        <v>5266.0</v>
      </c>
      <c r="B5267" s="12">
        <f t="shared" si="838"/>
        <v>40719</v>
      </c>
      <c r="C5267" s="13">
        <v>2011.0</v>
      </c>
      <c r="D5267" s="11" t="s">
        <v>44</v>
      </c>
      <c r="E5267" s="11">
        <v>20.0</v>
      </c>
      <c r="F5267" s="21" t="s">
        <v>284</v>
      </c>
      <c r="G5267" s="15">
        <v>0.12913319238900628</v>
      </c>
      <c r="H5267" s="11" t="s">
        <v>33</v>
      </c>
      <c r="I5267" s="16">
        <v>1.192</v>
      </c>
      <c r="J5267" s="11" t="s">
        <v>91</v>
      </c>
      <c r="K5267" s="11" t="s">
        <v>35</v>
      </c>
      <c r="L5267" s="11" t="s">
        <v>48</v>
      </c>
      <c r="M5267" s="11" t="s">
        <v>28</v>
      </c>
      <c r="N5267" s="11" t="s">
        <v>42</v>
      </c>
      <c r="O5267" s="11" t="s">
        <v>1344</v>
      </c>
      <c r="P5267" s="11" t="s">
        <v>38</v>
      </c>
      <c r="Q5267" s="20">
        <v>40721.0</v>
      </c>
      <c r="R5267" s="17">
        <f t="shared" si="2"/>
        <v>5.319254461</v>
      </c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>
        <f t="shared" si="8"/>
        <v>4</v>
      </c>
      <c r="AF5267" s="19">
        <f t="shared" si="13"/>
        <v>2</v>
      </c>
      <c r="AG5267" s="9"/>
      <c r="AH5267" s="9"/>
      <c r="AI5267" s="9"/>
    </row>
    <row r="5268" ht="15.0" customHeight="1">
      <c r="A5268" s="11">
        <v>5267.0</v>
      </c>
      <c r="B5268" s="12">
        <f t="shared" si="838"/>
        <v>40719</v>
      </c>
      <c r="C5268" s="13">
        <v>2011.0</v>
      </c>
      <c r="D5268" s="11" t="s">
        <v>44</v>
      </c>
      <c r="E5268" s="11">
        <v>20.0</v>
      </c>
      <c r="F5268" s="21" t="s">
        <v>1379</v>
      </c>
      <c r="G5268" s="15">
        <v>0.012445106066244861</v>
      </c>
      <c r="H5268" s="11" t="s">
        <v>33</v>
      </c>
      <c r="I5268" s="16">
        <v>4.712</v>
      </c>
      <c r="J5268" s="11" t="s">
        <v>91</v>
      </c>
      <c r="K5268" s="11" t="s">
        <v>35</v>
      </c>
      <c r="L5268" s="11" t="s">
        <v>48</v>
      </c>
      <c r="M5268" s="11" t="s">
        <v>66</v>
      </c>
      <c r="N5268" s="11" t="s">
        <v>67</v>
      </c>
      <c r="O5268" s="11" t="s">
        <v>1990</v>
      </c>
      <c r="P5268" s="11" t="s">
        <v>38</v>
      </c>
      <c r="Q5268" s="20">
        <v>40721.0</v>
      </c>
      <c r="R5268" s="17">
        <f t="shared" si="2"/>
        <v>6.604767131</v>
      </c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>
        <f t="shared" si="8"/>
        <v>4</v>
      </c>
      <c r="AF5268" s="19">
        <f t="shared" si="13"/>
        <v>2</v>
      </c>
      <c r="AG5268" s="9"/>
      <c r="AH5268" s="9"/>
      <c r="AI5268" s="9"/>
    </row>
    <row r="5269" ht="15.0" customHeight="1">
      <c r="A5269" s="11">
        <v>5268.0</v>
      </c>
      <c r="B5269" s="12">
        <f t="shared" si="838"/>
        <v>40719</v>
      </c>
      <c r="C5269" s="13">
        <v>2011.0</v>
      </c>
      <c r="D5269" s="11" t="s">
        <v>44</v>
      </c>
      <c r="E5269" s="11">
        <v>12.0</v>
      </c>
      <c r="F5269" s="21" t="s">
        <v>147</v>
      </c>
      <c r="G5269" s="15">
        <v>0.10705882352941173</v>
      </c>
      <c r="H5269" s="11" t="s">
        <v>33</v>
      </c>
      <c r="I5269" s="16">
        <v>3.8880000000000003</v>
      </c>
      <c r="J5269" s="11" t="s">
        <v>91</v>
      </c>
      <c r="K5269" s="11" t="s">
        <v>35</v>
      </c>
      <c r="L5269" s="11" t="s">
        <v>48</v>
      </c>
      <c r="M5269" s="11" t="s">
        <v>49</v>
      </c>
      <c r="N5269" s="11" t="s">
        <v>73</v>
      </c>
      <c r="O5269" s="11" t="s">
        <v>1119</v>
      </c>
      <c r="P5269" s="11" t="s">
        <v>38</v>
      </c>
      <c r="Q5269" s="20">
        <v>40722.0</v>
      </c>
      <c r="R5269" s="17">
        <f t="shared" si="2"/>
        <v>2.600244706</v>
      </c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>
        <f t="shared" si="8"/>
        <v>4</v>
      </c>
      <c r="AF5269" s="19">
        <f t="shared" si="13"/>
        <v>2</v>
      </c>
      <c r="AG5269" s="9"/>
      <c r="AH5269" s="9"/>
      <c r="AI5269" s="9"/>
    </row>
    <row r="5270" ht="15.0" customHeight="1">
      <c r="A5270" s="11">
        <v>5269.0</v>
      </c>
      <c r="B5270" s="12">
        <f t="shared" si="838"/>
        <v>40719</v>
      </c>
      <c r="C5270" s="13">
        <v>2011.0</v>
      </c>
      <c r="D5270" s="11" t="s">
        <v>32</v>
      </c>
      <c r="E5270" s="11">
        <v>13.0</v>
      </c>
      <c r="F5270" s="21" t="s">
        <v>394</v>
      </c>
      <c r="G5270" s="15">
        <v>0.0664122914122914</v>
      </c>
      <c r="H5270" s="11" t="s">
        <v>33</v>
      </c>
      <c r="I5270" s="16">
        <v>3.3600000000000003</v>
      </c>
      <c r="J5270" s="11" t="s">
        <v>1020</v>
      </c>
      <c r="K5270" s="11" t="s">
        <v>47</v>
      </c>
      <c r="L5270" s="11" t="s">
        <v>36</v>
      </c>
      <c r="M5270" s="11" t="s">
        <v>66</v>
      </c>
      <c r="N5270" s="11" t="s">
        <v>80</v>
      </c>
      <c r="O5270" s="11" t="s">
        <v>1874</v>
      </c>
      <c r="P5270" s="11" t="s">
        <v>38</v>
      </c>
      <c r="Q5270" s="20">
        <v>40722.0</v>
      </c>
      <c r="R5270" s="17">
        <f t="shared" si="2"/>
        <v>121.8705395</v>
      </c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>
        <f t="shared" si="8"/>
        <v>2</v>
      </c>
      <c r="AF5270" s="19">
        <f t="shared" si="13"/>
        <v>3</v>
      </c>
      <c r="AG5270" s="9"/>
      <c r="AH5270" s="9"/>
      <c r="AI5270" s="9"/>
    </row>
    <row r="5271" ht="15.0" customHeight="1">
      <c r="A5271" s="11">
        <v>5270.0</v>
      </c>
      <c r="B5271" s="12">
        <f t="shared" ref="B5271:B5272" si="839">DATE(2012,12,31)-554</f>
        <v>40720</v>
      </c>
      <c r="C5271" s="13">
        <v>2011.0</v>
      </c>
      <c r="D5271" s="11" t="s">
        <v>23</v>
      </c>
      <c r="E5271" s="11">
        <v>16.0</v>
      </c>
      <c r="F5271" s="21" t="s">
        <v>933</v>
      </c>
      <c r="G5271" s="15">
        <v>0.03168786376374216</v>
      </c>
      <c r="H5271" s="11" t="s">
        <v>33</v>
      </c>
      <c r="I5271" s="16">
        <v>4.0</v>
      </c>
      <c r="J5271" s="11" t="s">
        <v>613</v>
      </c>
      <c r="K5271" s="11" t="s">
        <v>65</v>
      </c>
      <c r="L5271" s="11" t="s">
        <v>41</v>
      </c>
      <c r="M5271" s="11" t="s">
        <v>66</v>
      </c>
      <c r="N5271" s="11" t="s">
        <v>80</v>
      </c>
      <c r="O5271" s="11" t="s">
        <v>1023</v>
      </c>
      <c r="P5271" s="11" t="s">
        <v>99</v>
      </c>
      <c r="Q5271" s="20">
        <v>40722.0</v>
      </c>
      <c r="R5271" s="17">
        <f t="shared" si="2"/>
        <v>28.46837681</v>
      </c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>
        <f t="shared" si="8"/>
        <v>3</v>
      </c>
      <c r="AF5271" s="19">
        <f t="shared" si="13"/>
        <v>5</v>
      </c>
      <c r="AG5271" s="9"/>
      <c r="AH5271" s="9"/>
      <c r="AI5271" s="9"/>
    </row>
    <row r="5272" ht="15.0" customHeight="1">
      <c r="A5272" s="11">
        <v>5271.0</v>
      </c>
      <c r="B5272" s="12">
        <f t="shared" si="839"/>
        <v>40720</v>
      </c>
      <c r="C5272" s="13">
        <v>2011.0</v>
      </c>
      <c r="D5272" s="11" t="s">
        <v>44</v>
      </c>
      <c r="E5272" s="11">
        <v>10.0</v>
      </c>
      <c r="F5272" s="21" t="s">
        <v>1746</v>
      </c>
      <c r="G5272" s="15">
        <v>0.08220988633359783</v>
      </c>
      <c r="H5272" s="11" t="s">
        <v>45</v>
      </c>
      <c r="I5272" s="16">
        <v>33.6</v>
      </c>
      <c r="J5272" s="11" t="s">
        <v>1821</v>
      </c>
      <c r="K5272" s="11" t="s">
        <v>35</v>
      </c>
      <c r="L5272" s="11" t="s">
        <v>36</v>
      </c>
      <c r="M5272" s="11" t="s">
        <v>49</v>
      </c>
      <c r="N5272" s="11" t="s">
        <v>50</v>
      </c>
      <c r="O5272" s="11" t="s">
        <v>1748</v>
      </c>
      <c r="P5272" s="11" t="s">
        <v>52</v>
      </c>
      <c r="Q5272" s="20">
        <v>40723.0</v>
      </c>
      <c r="R5272" s="17">
        <f t="shared" si="2"/>
        <v>85.62981761</v>
      </c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>
        <f t="shared" si="8"/>
        <v>2</v>
      </c>
      <c r="AF5272" s="19">
        <f t="shared" si="13"/>
        <v>2</v>
      </c>
      <c r="AG5272" s="9"/>
      <c r="AH5272" s="9"/>
      <c r="AI5272" s="9"/>
    </row>
    <row r="5273" ht="15.0" customHeight="1">
      <c r="A5273" s="11">
        <v>5272.0</v>
      </c>
      <c r="B5273" s="12">
        <f t="shared" ref="B5273:B5275" si="840">DATE(2012,12,31)-553</f>
        <v>40721</v>
      </c>
      <c r="C5273" s="13">
        <v>2011.0</v>
      </c>
      <c r="D5273" s="11" t="s">
        <v>102</v>
      </c>
      <c r="E5273" s="11">
        <v>17.0</v>
      </c>
      <c r="F5273" s="21" t="s">
        <v>518</v>
      </c>
      <c r="G5273" s="15">
        <v>0.02582055906221836</v>
      </c>
      <c r="H5273" s="11" t="s">
        <v>33</v>
      </c>
      <c r="I5273" s="16">
        <v>15.991999999999999</v>
      </c>
      <c r="J5273" s="11" t="s">
        <v>1979</v>
      </c>
      <c r="K5273" s="11" t="s">
        <v>61</v>
      </c>
      <c r="L5273" s="11" t="s">
        <v>48</v>
      </c>
      <c r="M5273" s="11" t="s">
        <v>66</v>
      </c>
      <c r="N5273" s="11" t="s">
        <v>67</v>
      </c>
      <c r="O5273" s="11" t="s">
        <v>519</v>
      </c>
      <c r="P5273" s="11" t="s">
        <v>38</v>
      </c>
      <c r="Q5273" s="20">
        <v>40723.0</v>
      </c>
      <c r="R5273" s="17">
        <f t="shared" si="2"/>
        <v>22.31650263</v>
      </c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>
        <f t="shared" si="8"/>
        <v>4</v>
      </c>
      <c r="AF5273" s="19">
        <f t="shared" si="13"/>
        <v>4</v>
      </c>
      <c r="AG5273" s="9"/>
      <c r="AH5273" s="9"/>
      <c r="AI5273" s="9"/>
    </row>
    <row r="5274" ht="15.0" customHeight="1">
      <c r="A5274" s="11">
        <v>5273.0</v>
      </c>
      <c r="B5274" s="12">
        <f t="shared" si="840"/>
        <v>40721</v>
      </c>
      <c r="C5274" s="13">
        <v>2011.0</v>
      </c>
      <c r="D5274" s="11" t="s">
        <v>102</v>
      </c>
      <c r="E5274" s="11">
        <v>26.0</v>
      </c>
      <c r="F5274" s="21" t="s">
        <v>273</v>
      </c>
      <c r="G5274" s="15">
        <v>0.07575244299674275</v>
      </c>
      <c r="H5274" s="11" t="s">
        <v>33</v>
      </c>
      <c r="I5274" s="16">
        <v>3.192</v>
      </c>
      <c r="J5274" s="11" t="s">
        <v>491</v>
      </c>
      <c r="K5274" s="11" t="s">
        <v>47</v>
      </c>
      <c r="L5274" s="11" t="s">
        <v>48</v>
      </c>
      <c r="M5274" s="11" t="s">
        <v>28</v>
      </c>
      <c r="N5274" s="11" t="s">
        <v>197</v>
      </c>
      <c r="O5274" s="11" t="s">
        <v>275</v>
      </c>
      <c r="P5274" s="11" t="s">
        <v>38</v>
      </c>
      <c r="Q5274" s="20">
        <v>40723.0</v>
      </c>
      <c r="R5274" s="17">
        <f t="shared" si="2"/>
        <v>118.2186565</v>
      </c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>
        <f t="shared" si="8"/>
        <v>4</v>
      </c>
      <c r="AF5274" s="19">
        <f t="shared" si="13"/>
        <v>3</v>
      </c>
      <c r="AG5274" s="9"/>
      <c r="AH5274" s="9"/>
      <c r="AI5274" s="9"/>
    </row>
    <row r="5275" ht="15.0" customHeight="1">
      <c r="A5275" s="11">
        <v>5274.0</v>
      </c>
      <c r="B5275" s="12">
        <f t="shared" si="840"/>
        <v>40721</v>
      </c>
      <c r="C5275" s="13">
        <v>2011.0</v>
      </c>
      <c r="D5275" s="11" t="s">
        <v>23</v>
      </c>
      <c r="E5275" s="11">
        <v>33.0</v>
      </c>
      <c r="F5275" s="21" t="s">
        <v>176</v>
      </c>
      <c r="G5275" s="15">
        <v>0.05872925629993837</v>
      </c>
      <c r="H5275" s="11" t="s">
        <v>33</v>
      </c>
      <c r="I5275" s="16">
        <v>11.616</v>
      </c>
      <c r="J5275" s="11" t="s">
        <v>945</v>
      </c>
      <c r="K5275" s="11" t="s">
        <v>65</v>
      </c>
      <c r="L5275" s="11" t="s">
        <v>41</v>
      </c>
      <c r="M5275" s="11" t="s">
        <v>66</v>
      </c>
      <c r="N5275" s="11" t="s">
        <v>67</v>
      </c>
      <c r="O5275" s="11" t="s">
        <v>177</v>
      </c>
      <c r="P5275" s="11" t="s">
        <v>38</v>
      </c>
      <c r="Q5275" s="20">
        <v>40724.0</v>
      </c>
      <c r="R5275" s="17">
        <f t="shared" si="2"/>
        <v>143.9052364</v>
      </c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>
        <f t="shared" si="8"/>
        <v>3</v>
      </c>
      <c r="AF5275" s="19">
        <f t="shared" si="13"/>
        <v>5</v>
      </c>
      <c r="AG5275" s="9"/>
      <c r="AH5275" s="9"/>
      <c r="AI5275" s="9"/>
    </row>
    <row r="5276" ht="15.0" customHeight="1">
      <c r="A5276" s="11">
        <v>5275.0</v>
      </c>
      <c r="B5276" s="12">
        <f t="shared" ref="B5276:B5281" si="841">DATE(2012,12,31)-552</f>
        <v>40722</v>
      </c>
      <c r="C5276" s="13">
        <v>2011.0</v>
      </c>
      <c r="D5276" s="11" t="s">
        <v>44</v>
      </c>
      <c r="E5276" s="11">
        <v>48.0</v>
      </c>
      <c r="F5276" s="21" t="s">
        <v>1746</v>
      </c>
      <c r="G5276" s="15">
        <v>0.07632981739820804</v>
      </c>
      <c r="H5276" s="11" t="s">
        <v>45</v>
      </c>
      <c r="I5276" s="16">
        <v>48.0</v>
      </c>
      <c r="J5276" s="11" t="s">
        <v>34</v>
      </c>
      <c r="K5276" s="11" t="s">
        <v>35</v>
      </c>
      <c r="L5276" s="11" t="s">
        <v>36</v>
      </c>
      <c r="M5276" s="11" t="s">
        <v>49</v>
      </c>
      <c r="N5276" s="11" t="s">
        <v>85</v>
      </c>
      <c r="O5276" s="11" t="s">
        <v>2337</v>
      </c>
      <c r="P5276" s="11" t="s">
        <v>52</v>
      </c>
      <c r="Q5276" s="20">
        <v>40724.0</v>
      </c>
      <c r="R5276" s="17">
        <f t="shared" si="2"/>
        <v>372.9780197</v>
      </c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>
        <f t="shared" si="8"/>
        <v>2</v>
      </c>
      <c r="AF5276" s="19">
        <f t="shared" si="13"/>
        <v>2</v>
      </c>
      <c r="AG5276" s="9"/>
      <c r="AH5276" s="9"/>
      <c r="AI5276" s="9"/>
    </row>
    <row r="5277" ht="15.0" customHeight="1">
      <c r="A5277" s="11">
        <v>5276.0</v>
      </c>
      <c r="B5277" s="12">
        <f t="shared" si="841"/>
        <v>40722</v>
      </c>
      <c r="C5277" s="13">
        <v>2011.0</v>
      </c>
      <c r="D5277" s="11" t="s">
        <v>44</v>
      </c>
      <c r="E5277" s="11">
        <v>15.0</v>
      </c>
      <c r="F5277" s="21" t="s">
        <v>473</v>
      </c>
      <c r="G5277" s="15">
        <v>0.0266727575782673</v>
      </c>
      <c r="H5277" s="11" t="s">
        <v>33</v>
      </c>
      <c r="I5277" s="16">
        <v>3.2</v>
      </c>
      <c r="J5277" s="11" t="s">
        <v>34</v>
      </c>
      <c r="K5277" s="11" t="s">
        <v>35</v>
      </c>
      <c r="L5277" s="11" t="s">
        <v>36</v>
      </c>
      <c r="M5277" s="11" t="s">
        <v>66</v>
      </c>
      <c r="N5277" s="11" t="s">
        <v>67</v>
      </c>
      <c r="O5277" s="11" t="s">
        <v>1019</v>
      </c>
      <c r="P5277" s="11" t="s">
        <v>38</v>
      </c>
      <c r="Q5277" s="20">
        <v>40724.0</v>
      </c>
      <c r="R5277" s="17">
        <f t="shared" si="2"/>
        <v>16.04899823</v>
      </c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>
        <f t="shared" si="8"/>
        <v>2</v>
      </c>
      <c r="AF5277" s="19">
        <f t="shared" si="13"/>
        <v>2</v>
      </c>
      <c r="AG5277" s="9"/>
      <c r="AH5277" s="9"/>
      <c r="AI5277" s="9"/>
    </row>
    <row r="5278" ht="15.0" customHeight="1">
      <c r="A5278" s="11">
        <v>5277.0</v>
      </c>
      <c r="B5278" s="12">
        <f t="shared" si="841"/>
        <v>40722</v>
      </c>
      <c r="C5278" s="13">
        <v>2011.0</v>
      </c>
      <c r="D5278" s="11" t="s">
        <v>44</v>
      </c>
      <c r="E5278" s="11">
        <v>36.0</v>
      </c>
      <c r="F5278" s="21" t="s">
        <v>151</v>
      </c>
      <c r="G5278" s="15">
        <v>0.0749403341288783</v>
      </c>
      <c r="H5278" s="11" t="s">
        <v>24</v>
      </c>
      <c r="I5278" s="16">
        <v>1.08</v>
      </c>
      <c r="J5278" s="11" t="s">
        <v>1324</v>
      </c>
      <c r="K5278" s="11" t="s">
        <v>61</v>
      </c>
      <c r="L5278" s="11" t="s">
        <v>48</v>
      </c>
      <c r="M5278" s="11" t="s">
        <v>28</v>
      </c>
      <c r="N5278" s="11" t="s">
        <v>216</v>
      </c>
      <c r="O5278" s="11" t="s">
        <v>217</v>
      </c>
      <c r="P5278" s="11" t="s">
        <v>58</v>
      </c>
      <c r="Q5278" s="20">
        <v>40724.0</v>
      </c>
      <c r="R5278" s="17">
        <f t="shared" si="2"/>
        <v>8.714062053</v>
      </c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>
        <f t="shared" si="8"/>
        <v>4</v>
      </c>
      <c r="AF5278" s="19">
        <f t="shared" si="13"/>
        <v>4</v>
      </c>
      <c r="AG5278" s="9"/>
      <c r="AH5278" s="9"/>
      <c r="AI5278" s="9"/>
    </row>
    <row r="5279" ht="15.0" customHeight="1">
      <c r="A5279" s="11">
        <v>5278.0</v>
      </c>
      <c r="B5279" s="12">
        <f t="shared" si="841"/>
        <v>40722</v>
      </c>
      <c r="C5279" s="13">
        <v>2011.0</v>
      </c>
      <c r="D5279" s="11" t="s">
        <v>44</v>
      </c>
      <c r="E5279" s="11">
        <v>9.0</v>
      </c>
      <c r="F5279" s="21" t="s">
        <v>513</v>
      </c>
      <c r="G5279" s="15">
        <v>0.09503903608532606</v>
      </c>
      <c r="H5279" s="11" t="s">
        <v>45</v>
      </c>
      <c r="I5279" s="16">
        <v>24.0</v>
      </c>
      <c r="J5279" s="11" t="s">
        <v>1324</v>
      </c>
      <c r="K5279" s="11" t="s">
        <v>61</v>
      </c>
      <c r="L5279" s="11" t="s">
        <v>48</v>
      </c>
      <c r="M5279" s="11" t="s">
        <v>49</v>
      </c>
      <c r="N5279" s="11" t="s">
        <v>50</v>
      </c>
      <c r="O5279" s="11" t="s">
        <v>515</v>
      </c>
      <c r="P5279" s="11" t="s">
        <v>52</v>
      </c>
      <c r="Q5279" s="20">
        <v>40725.0</v>
      </c>
      <c r="R5279" s="17">
        <f t="shared" si="2"/>
        <v>139.906965</v>
      </c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>
        <f t="shared" si="8"/>
        <v>4</v>
      </c>
      <c r="AF5279" s="19">
        <f t="shared" si="13"/>
        <v>4</v>
      </c>
      <c r="AG5279" s="9"/>
      <c r="AH5279" s="9"/>
      <c r="AI5279" s="9"/>
    </row>
    <row r="5280" ht="15.0" customHeight="1">
      <c r="A5280" s="11">
        <v>5279.0</v>
      </c>
      <c r="B5280" s="12">
        <f t="shared" si="841"/>
        <v>40722</v>
      </c>
      <c r="C5280" s="13">
        <v>2011.0</v>
      </c>
      <c r="D5280" s="11" t="s">
        <v>39</v>
      </c>
      <c r="E5280" s="11">
        <v>39.0</v>
      </c>
      <c r="F5280" s="21" t="s">
        <v>422</v>
      </c>
      <c r="G5280" s="15">
        <v>0.059589931458284034</v>
      </c>
      <c r="H5280" s="11" t="s">
        <v>33</v>
      </c>
      <c r="I5280" s="16">
        <v>28.0</v>
      </c>
      <c r="J5280" s="11" t="s">
        <v>1373</v>
      </c>
      <c r="K5280" s="11" t="s">
        <v>47</v>
      </c>
      <c r="L5280" s="11" t="s">
        <v>27</v>
      </c>
      <c r="M5280" s="11" t="s">
        <v>28</v>
      </c>
      <c r="N5280" s="11" t="s">
        <v>29</v>
      </c>
      <c r="O5280" s="11" t="s">
        <v>1571</v>
      </c>
      <c r="P5280" s="11" t="s">
        <v>31</v>
      </c>
      <c r="Q5280" s="20">
        <v>40725.0</v>
      </c>
      <c r="R5280" s="17">
        <f t="shared" si="2"/>
        <v>189.6807108</v>
      </c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>
        <f t="shared" si="8"/>
        <v>1</v>
      </c>
      <c r="AF5280" s="19">
        <f t="shared" si="13"/>
        <v>3</v>
      </c>
      <c r="AG5280" s="9"/>
      <c r="AH5280" s="9"/>
      <c r="AI5280" s="9"/>
    </row>
    <row r="5281" ht="15.0" customHeight="1">
      <c r="A5281" s="11">
        <v>5280.0</v>
      </c>
      <c r="B5281" s="12">
        <f t="shared" si="841"/>
        <v>40722</v>
      </c>
      <c r="C5281" s="13">
        <v>2011.0</v>
      </c>
      <c r="D5281" s="11" t="s">
        <v>39</v>
      </c>
      <c r="E5281" s="11">
        <v>15.0</v>
      </c>
      <c r="F5281" s="21" t="s">
        <v>379</v>
      </c>
      <c r="G5281" s="15">
        <v>0.0525769077107472</v>
      </c>
      <c r="H5281" s="11" t="s">
        <v>33</v>
      </c>
      <c r="I5281" s="16">
        <v>4.64</v>
      </c>
      <c r="J5281" s="11" t="s">
        <v>1373</v>
      </c>
      <c r="K5281" s="11" t="s">
        <v>47</v>
      </c>
      <c r="L5281" s="11" t="s">
        <v>27</v>
      </c>
      <c r="M5281" s="11" t="s">
        <v>28</v>
      </c>
      <c r="N5281" s="11" t="s">
        <v>29</v>
      </c>
      <c r="O5281" s="11" t="s">
        <v>2548</v>
      </c>
      <c r="P5281" s="11" t="s">
        <v>38</v>
      </c>
      <c r="Q5281" s="20">
        <v>40725.0</v>
      </c>
      <c r="R5281" s="17">
        <f t="shared" si="2"/>
        <v>12.46808789</v>
      </c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>
        <f t="shared" si="8"/>
        <v>1</v>
      </c>
      <c r="AF5281" s="19">
        <f t="shared" si="13"/>
        <v>3</v>
      </c>
      <c r="AG5281" s="9"/>
      <c r="AH5281" s="9"/>
      <c r="AI5281" s="9"/>
    </row>
    <row r="5282" ht="15.0" customHeight="1">
      <c r="A5282" s="11">
        <v>5281.0</v>
      </c>
      <c r="B5282" s="12">
        <f t="shared" ref="B5282:B5287" si="842">DATE(2012,12,31)-551</f>
        <v>40723</v>
      </c>
      <c r="C5282" s="13">
        <v>2011.0</v>
      </c>
      <c r="D5282" s="11" t="s">
        <v>102</v>
      </c>
      <c r="E5282" s="11">
        <v>50.0</v>
      </c>
      <c r="F5282" s="21" t="s">
        <v>2160</v>
      </c>
      <c r="G5282" s="15">
        <v>0.029997265782066716</v>
      </c>
      <c r="H5282" s="11" t="s">
        <v>33</v>
      </c>
      <c r="I5282" s="16">
        <v>15.991999999999999</v>
      </c>
      <c r="J5282" s="11" t="s">
        <v>843</v>
      </c>
      <c r="K5282" s="11" t="s">
        <v>61</v>
      </c>
      <c r="L5282" s="11" t="s">
        <v>36</v>
      </c>
      <c r="M5282" s="11" t="s">
        <v>28</v>
      </c>
      <c r="N5282" s="11" t="s">
        <v>29</v>
      </c>
      <c r="O5282" s="11" t="s">
        <v>2161</v>
      </c>
      <c r="P5282" s="11" t="s">
        <v>38</v>
      </c>
      <c r="Q5282" s="20">
        <v>40725.0</v>
      </c>
      <c r="R5282" s="17">
        <f t="shared" si="2"/>
        <v>180.91327</v>
      </c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>
        <f t="shared" si="8"/>
        <v>2</v>
      </c>
      <c r="AF5282" s="19">
        <f t="shared" si="13"/>
        <v>4</v>
      </c>
      <c r="AG5282" s="9"/>
      <c r="AH5282" s="9"/>
      <c r="AI5282" s="9"/>
    </row>
    <row r="5283" ht="15.0" customHeight="1">
      <c r="A5283" s="11">
        <v>5282.0</v>
      </c>
      <c r="B5283" s="12">
        <f t="shared" si="842"/>
        <v>40723</v>
      </c>
      <c r="C5283" s="13">
        <v>2011.0</v>
      </c>
      <c r="D5283" s="11" t="s">
        <v>39</v>
      </c>
      <c r="E5283" s="11">
        <v>16.0</v>
      </c>
      <c r="F5283" s="21" t="s">
        <v>415</v>
      </c>
      <c r="G5283" s="15">
        <v>0.1077685950413223</v>
      </c>
      <c r="H5283" s="11" t="s">
        <v>33</v>
      </c>
      <c r="I5283" s="16">
        <v>2.3760000000000003</v>
      </c>
      <c r="J5283" s="11" t="s">
        <v>1345</v>
      </c>
      <c r="K5283" s="11" t="s">
        <v>83</v>
      </c>
      <c r="L5283" s="11" t="s">
        <v>48</v>
      </c>
      <c r="M5283" s="11" t="s">
        <v>28</v>
      </c>
      <c r="N5283" s="11" t="s">
        <v>56</v>
      </c>
      <c r="O5283" s="11" t="s">
        <v>2111</v>
      </c>
      <c r="P5283" s="11" t="s">
        <v>58</v>
      </c>
      <c r="Q5283" s="20">
        <v>40725.0</v>
      </c>
      <c r="R5283" s="17">
        <f t="shared" si="2"/>
        <v>6.980818512</v>
      </c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>
        <f t="shared" si="8"/>
        <v>4</v>
      </c>
      <c r="AF5283" s="19" t="b">
        <f t="shared" si="13"/>
        <v>0</v>
      </c>
      <c r="AG5283" s="9"/>
      <c r="AH5283" s="9"/>
      <c r="AI5283" s="9"/>
    </row>
    <row r="5284" ht="15.0" customHeight="1">
      <c r="A5284" s="11">
        <v>5283.0</v>
      </c>
      <c r="B5284" s="12">
        <f t="shared" si="842"/>
        <v>40723</v>
      </c>
      <c r="C5284" s="13">
        <v>2011.0</v>
      </c>
      <c r="D5284" s="11" t="s">
        <v>39</v>
      </c>
      <c r="E5284" s="11">
        <v>10.0</v>
      </c>
      <c r="F5284" s="21" t="s">
        <v>142</v>
      </c>
      <c r="G5284" s="15">
        <v>0.03406067056945186</v>
      </c>
      <c r="H5284" s="11" t="s">
        <v>24</v>
      </c>
      <c r="I5284" s="16">
        <v>4.0</v>
      </c>
      <c r="J5284" s="11" t="s">
        <v>1345</v>
      </c>
      <c r="K5284" s="11" t="s">
        <v>83</v>
      </c>
      <c r="L5284" s="11" t="s">
        <v>48</v>
      </c>
      <c r="M5284" s="11" t="s">
        <v>66</v>
      </c>
      <c r="N5284" s="11" t="s">
        <v>80</v>
      </c>
      <c r="O5284" s="11" t="s">
        <v>540</v>
      </c>
      <c r="P5284" s="11" t="s">
        <v>38</v>
      </c>
      <c r="Q5284" s="20">
        <v>40725.0</v>
      </c>
      <c r="R5284" s="17">
        <f t="shared" si="2"/>
        <v>12.36402342</v>
      </c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>
        <f t="shared" si="8"/>
        <v>4</v>
      </c>
      <c r="AF5284" s="19" t="b">
        <f t="shared" si="13"/>
        <v>0</v>
      </c>
      <c r="AG5284" s="9"/>
      <c r="AH5284" s="9"/>
      <c r="AI5284" s="9"/>
    </row>
    <row r="5285" ht="15.0" customHeight="1">
      <c r="A5285" s="11">
        <v>5284.0</v>
      </c>
      <c r="B5285" s="12">
        <f t="shared" si="842"/>
        <v>40723</v>
      </c>
      <c r="C5285" s="13">
        <v>2011.0</v>
      </c>
      <c r="D5285" s="11" t="s">
        <v>44</v>
      </c>
      <c r="E5285" s="11">
        <v>1.0</v>
      </c>
      <c r="F5285" s="21" t="s">
        <v>336</v>
      </c>
      <c r="G5285" s="15">
        <v>0.13494505494505493</v>
      </c>
      <c r="H5285" s="11" t="s">
        <v>33</v>
      </c>
      <c r="I5285" s="16">
        <v>2.072</v>
      </c>
      <c r="J5285" s="11" t="s">
        <v>826</v>
      </c>
      <c r="K5285" s="11" t="s">
        <v>61</v>
      </c>
      <c r="L5285" s="11" t="s">
        <v>27</v>
      </c>
      <c r="M5285" s="11" t="s">
        <v>28</v>
      </c>
      <c r="N5285" s="11" t="s">
        <v>42</v>
      </c>
      <c r="O5285" s="11" t="s">
        <v>2143</v>
      </c>
      <c r="P5285" s="11" t="s">
        <v>38</v>
      </c>
      <c r="Q5285" s="20">
        <v>40725.0</v>
      </c>
      <c r="R5285" s="17">
        <f t="shared" si="2"/>
        <v>1.062287473</v>
      </c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>
        <f t="shared" si="8"/>
        <v>1</v>
      </c>
      <c r="AF5285" s="19">
        <f t="shared" si="13"/>
        <v>4</v>
      </c>
      <c r="AG5285" s="9"/>
      <c r="AH5285" s="9"/>
      <c r="AI5285" s="9"/>
    </row>
    <row r="5286" ht="15.0" customHeight="1">
      <c r="A5286" s="11">
        <v>5285.0</v>
      </c>
      <c r="B5286" s="12">
        <f t="shared" si="842"/>
        <v>40723</v>
      </c>
      <c r="C5286" s="13">
        <v>2011.0</v>
      </c>
      <c r="D5286" s="11" t="s">
        <v>44</v>
      </c>
      <c r="E5286" s="11">
        <v>27.0</v>
      </c>
      <c r="F5286" s="21" t="s">
        <v>126</v>
      </c>
      <c r="G5286" s="15">
        <v>0.06053608247422675</v>
      </c>
      <c r="H5286" s="11" t="s">
        <v>33</v>
      </c>
      <c r="I5286" s="16">
        <v>4.392</v>
      </c>
      <c r="J5286" s="11" t="s">
        <v>826</v>
      </c>
      <c r="K5286" s="11" t="s">
        <v>35</v>
      </c>
      <c r="L5286" s="11" t="s">
        <v>27</v>
      </c>
      <c r="M5286" s="11" t="s">
        <v>28</v>
      </c>
      <c r="N5286" s="11" t="s">
        <v>56</v>
      </c>
      <c r="O5286" s="11" t="s">
        <v>1297</v>
      </c>
      <c r="P5286" s="11" t="s">
        <v>38</v>
      </c>
      <c r="Q5286" s="20">
        <v>40725.0</v>
      </c>
      <c r="R5286" s="17">
        <f t="shared" si="2"/>
        <v>8.274798186</v>
      </c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>
        <f t="shared" si="8"/>
        <v>1</v>
      </c>
      <c r="AF5286" s="19">
        <f t="shared" si="13"/>
        <v>2</v>
      </c>
      <c r="AG5286" s="9"/>
      <c r="AH5286" s="9"/>
      <c r="AI5286" s="9"/>
    </row>
    <row r="5287" ht="15.0" customHeight="1">
      <c r="A5287" s="11">
        <v>5286.0</v>
      </c>
      <c r="B5287" s="12">
        <f t="shared" si="842"/>
        <v>40723</v>
      </c>
      <c r="C5287" s="13">
        <v>2011.0</v>
      </c>
      <c r="D5287" s="11" t="s">
        <v>39</v>
      </c>
      <c r="E5287" s="11">
        <v>17.0</v>
      </c>
      <c r="F5287" s="21" t="s">
        <v>151</v>
      </c>
      <c r="G5287" s="15">
        <v>0.09042654028436004</v>
      </c>
      <c r="H5287" s="11" t="s">
        <v>33</v>
      </c>
      <c r="I5287" s="16">
        <v>3.176</v>
      </c>
      <c r="J5287" s="11" t="s">
        <v>1550</v>
      </c>
      <c r="K5287" s="11" t="s">
        <v>61</v>
      </c>
      <c r="L5287" s="11" t="s">
        <v>36</v>
      </c>
      <c r="M5287" s="11" t="s">
        <v>28</v>
      </c>
      <c r="N5287" s="11" t="s">
        <v>62</v>
      </c>
      <c r="O5287" s="11" t="s">
        <v>153</v>
      </c>
      <c r="P5287" s="11" t="s">
        <v>58</v>
      </c>
      <c r="Q5287" s="20">
        <v>40726.0</v>
      </c>
      <c r="R5287" s="17">
        <f t="shared" si="2"/>
        <v>5.206398483</v>
      </c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>
        <f t="shared" si="8"/>
        <v>2</v>
      </c>
      <c r="AF5287" s="19">
        <f t="shared" si="13"/>
        <v>4</v>
      </c>
      <c r="AG5287" s="9"/>
      <c r="AH5287" s="9"/>
      <c r="AI5287" s="9"/>
    </row>
    <row r="5288" ht="15.0" customHeight="1">
      <c r="A5288" s="11">
        <v>5287.0</v>
      </c>
      <c r="B5288" s="12">
        <f t="shared" ref="B5288:B5293" si="843">DATE(2012,12,31)-550</f>
        <v>40724</v>
      </c>
      <c r="C5288" s="13">
        <v>2011.0</v>
      </c>
      <c r="D5288" s="11" t="s">
        <v>102</v>
      </c>
      <c r="E5288" s="11">
        <v>43.0</v>
      </c>
      <c r="F5288" s="21" t="s">
        <v>573</v>
      </c>
      <c r="G5288" s="15">
        <v>0.013250057830210521</v>
      </c>
      <c r="H5288" s="11" t="s">
        <v>33</v>
      </c>
      <c r="I5288" s="16">
        <v>0.8720000000000001</v>
      </c>
      <c r="J5288" s="11" t="s">
        <v>803</v>
      </c>
      <c r="K5288" s="11" t="s">
        <v>61</v>
      </c>
      <c r="L5288" s="11" t="s">
        <v>27</v>
      </c>
      <c r="M5288" s="11" t="s">
        <v>28</v>
      </c>
      <c r="N5288" s="11" t="s">
        <v>62</v>
      </c>
      <c r="O5288" s="11" t="s">
        <v>1555</v>
      </c>
      <c r="P5288" s="11" t="s">
        <v>58</v>
      </c>
      <c r="Q5288" s="20">
        <v>40726.0</v>
      </c>
      <c r="R5288" s="17">
        <f t="shared" si="2"/>
        <v>5.652103669</v>
      </c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>
        <f t="shared" si="8"/>
        <v>1</v>
      </c>
      <c r="AF5288" s="19">
        <f t="shared" si="13"/>
        <v>4</v>
      </c>
      <c r="AG5288" s="9"/>
      <c r="AH5288" s="9"/>
      <c r="AI5288" s="9"/>
    </row>
    <row r="5289" ht="15.0" customHeight="1">
      <c r="A5289" s="11">
        <v>5288.0</v>
      </c>
      <c r="B5289" s="12">
        <f t="shared" si="843"/>
        <v>40724</v>
      </c>
      <c r="C5289" s="13">
        <v>2011.0</v>
      </c>
      <c r="D5289" s="11" t="s">
        <v>102</v>
      </c>
      <c r="E5289" s="11">
        <v>38.0</v>
      </c>
      <c r="F5289" s="21" t="s">
        <v>1227</v>
      </c>
      <c r="G5289" s="15">
        <v>0.07960741548527804</v>
      </c>
      <c r="H5289" s="11" t="s">
        <v>33</v>
      </c>
      <c r="I5289" s="16">
        <v>0.8</v>
      </c>
      <c r="J5289" s="11" t="s">
        <v>803</v>
      </c>
      <c r="K5289" s="11" t="s">
        <v>61</v>
      </c>
      <c r="L5289" s="11" t="s">
        <v>27</v>
      </c>
      <c r="M5289" s="11" t="s">
        <v>28</v>
      </c>
      <c r="N5289" s="11" t="s">
        <v>62</v>
      </c>
      <c r="O5289" s="11" t="s">
        <v>1786</v>
      </c>
      <c r="P5289" s="11" t="s">
        <v>58</v>
      </c>
      <c r="Q5289" s="20">
        <v>40726.0</v>
      </c>
      <c r="R5289" s="17">
        <f t="shared" si="2"/>
        <v>6.718865867</v>
      </c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>
        <f t="shared" si="8"/>
        <v>1</v>
      </c>
      <c r="AF5289" s="19">
        <f t="shared" si="13"/>
        <v>4</v>
      </c>
      <c r="AG5289" s="9"/>
      <c r="AH5289" s="9"/>
      <c r="AI5289" s="9"/>
    </row>
    <row r="5290" ht="15.0" customHeight="1">
      <c r="A5290" s="11">
        <v>5289.0</v>
      </c>
      <c r="B5290" s="12">
        <f t="shared" si="843"/>
        <v>40724</v>
      </c>
      <c r="C5290" s="13">
        <v>2011.0</v>
      </c>
      <c r="D5290" s="11" t="s">
        <v>32</v>
      </c>
      <c r="E5290" s="11">
        <v>15.0</v>
      </c>
      <c r="F5290" s="21" t="s">
        <v>322</v>
      </c>
      <c r="G5290" s="15">
        <v>0.04660498220640571</v>
      </c>
      <c r="H5290" s="11" t="s">
        <v>24</v>
      </c>
      <c r="I5290" s="16">
        <v>4.952000000000001</v>
      </c>
      <c r="J5290" s="11" t="s">
        <v>392</v>
      </c>
      <c r="K5290" s="11" t="s">
        <v>65</v>
      </c>
      <c r="L5290" s="11" t="s">
        <v>48</v>
      </c>
      <c r="M5290" s="11" t="s">
        <v>28</v>
      </c>
      <c r="N5290" s="11" t="s">
        <v>42</v>
      </c>
      <c r="O5290" s="11" t="s">
        <v>324</v>
      </c>
      <c r="P5290" s="11" t="s">
        <v>38</v>
      </c>
      <c r="Q5290" s="20">
        <v>40726.0</v>
      </c>
      <c r="R5290" s="17">
        <f t="shared" si="2"/>
        <v>6.242830577</v>
      </c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>
        <f t="shared" si="8"/>
        <v>4</v>
      </c>
      <c r="AF5290" s="19">
        <f t="shared" si="13"/>
        <v>5</v>
      </c>
      <c r="AG5290" s="9"/>
      <c r="AH5290" s="9"/>
      <c r="AI5290" s="9"/>
    </row>
    <row r="5291" ht="15.0" customHeight="1">
      <c r="A5291" s="11">
        <v>5290.0</v>
      </c>
      <c r="B5291" s="12">
        <f t="shared" si="843"/>
        <v>40724</v>
      </c>
      <c r="C5291" s="13">
        <v>2011.0</v>
      </c>
      <c r="D5291" s="11" t="s">
        <v>44</v>
      </c>
      <c r="E5291" s="11">
        <v>14.0</v>
      </c>
      <c r="F5291" s="21" t="s">
        <v>1280</v>
      </c>
      <c r="G5291" s="15">
        <v>0.051526881720430226</v>
      </c>
      <c r="H5291" s="11" t="s">
        <v>33</v>
      </c>
      <c r="I5291" s="16">
        <v>3.512</v>
      </c>
      <c r="J5291" s="11" t="s">
        <v>145</v>
      </c>
      <c r="K5291" s="11" t="s">
        <v>83</v>
      </c>
      <c r="L5291" s="11" t="s">
        <v>41</v>
      </c>
      <c r="M5291" s="11" t="s">
        <v>28</v>
      </c>
      <c r="N5291" s="11" t="s">
        <v>56</v>
      </c>
      <c r="O5291" s="11" t="s">
        <v>1281</v>
      </c>
      <c r="P5291" s="11" t="s">
        <v>58</v>
      </c>
      <c r="Q5291" s="20">
        <v>40726.0</v>
      </c>
      <c r="R5291" s="17">
        <f t="shared" si="2"/>
        <v>6.817624774</v>
      </c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>
        <f t="shared" si="8"/>
        <v>3</v>
      </c>
      <c r="AF5291" s="19" t="b">
        <f t="shared" si="13"/>
        <v>0</v>
      </c>
      <c r="AG5291" s="9"/>
      <c r="AH5291" s="9"/>
      <c r="AI5291" s="9"/>
    </row>
    <row r="5292" ht="15.0" customHeight="1">
      <c r="A5292" s="11">
        <v>5291.0</v>
      </c>
      <c r="B5292" s="12">
        <f t="shared" si="843"/>
        <v>40724</v>
      </c>
      <c r="C5292" s="13">
        <v>2011.0</v>
      </c>
      <c r="D5292" s="11" t="s">
        <v>23</v>
      </c>
      <c r="E5292" s="11">
        <v>21.0</v>
      </c>
      <c r="F5292" s="21" t="s">
        <v>734</v>
      </c>
      <c r="G5292" s="15">
        <v>0.04100481446304008</v>
      </c>
      <c r="H5292" s="11" t="s">
        <v>24</v>
      </c>
      <c r="I5292" s="16">
        <v>28.0</v>
      </c>
      <c r="J5292" s="11" t="s">
        <v>1607</v>
      </c>
      <c r="K5292" s="11" t="s">
        <v>35</v>
      </c>
      <c r="L5292" s="11" t="s">
        <v>48</v>
      </c>
      <c r="M5292" s="11" t="s">
        <v>28</v>
      </c>
      <c r="N5292" s="11" t="s">
        <v>29</v>
      </c>
      <c r="O5292" s="11" t="s">
        <v>736</v>
      </c>
      <c r="P5292" s="11" t="s">
        <v>31</v>
      </c>
      <c r="Q5292" s="20">
        <v>40727.0</v>
      </c>
      <c r="R5292" s="17">
        <f t="shared" si="2"/>
        <v>120.0661972</v>
      </c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>
        <f t="shared" si="8"/>
        <v>4</v>
      </c>
      <c r="AF5292" s="19">
        <f t="shared" si="13"/>
        <v>2</v>
      </c>
      <c r="AG5292" s="9"/>
      <c r="AH5292" s="9"/>
      <c r="AI5292" s="9"/>
    </row>
    <row r="5293" ht="15.0" customHeight="1">
      <c r="A5293" s="11">
        <v>5292.0</v>
      </c>
      <c r="B5293" s="12">
        <f t="shared" si="843"/>
        <v>40724</v>
      </c>
      <c r="C5293" s="13">
        <v>2011.0</v>
      </c>
      <c r="D5293" s="11" t="s">
        <v>23</v>
      </c>
      <c r="E5293" s="11">
        <v>34.0</v>
      </c>
      <c r="F5293" s="21" t="s">
        <v>128</v>
      </c>
      <c r="G5293" s="15">
        <v>0.09189688406871557</v>
      </c>
      <c r="H5293" s="11" t="s">
        <v>33</v>
      </c>
      <c r="I5293" s="16">
        <v>6.464</v>
      </c>
      <c r="J5293" s="11" t="s">
        <v>1607</v>
      </c>
      <c r="K5293" s="11" t="s">
        <v>35</v>
      </c>
      <c r="L5293" s="11" t="s">
        <v>48</v>
      </c>
      <c r="M5293" s="11" t="s">
        <v>66</v>
      </c>
      <c r="N5293" s="11" t="s">
        <v>80</v>
      </c>
      <c r="O5293" s="11" t="s">
        <v>1508</v>
      </c>
      <c r="P5293" s="11" t="s">
        <v>38</v>
      </c>
      <c r="Q5293" s="20">
        <v>40727.0</v>
      </c>
      <c r="R5293" s="17">
        <f t="shared" si="2"/>
        <v>393.9678234</v>
      </c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>
        <f t="shared" si="8"/>
        <v>4</v>
      </c>
      <c r="AF5293" s="19">
        <f t="shared" si="13"/>
        <v>2</v>
      </c>
      <c r="AG5293" s="9"/>
      <c r="AH5293" s="9"/>
      <c r="AI5293" s="9"/>
    </row>
    <row r="5294" ht="15.0" customHeight="1">
      <c r="A5294" s="11">
        <v>5293.0</v>
      </c>
      <c r="B5294" s="12">
        <f t="shared" ref="B5294:B5298" si="844">DATE(2012,12,31)-549</f>
        <v>40725</v>
      </c>
      <c r="C5294" s="13">
        <v>2011.0</v>
      </c>
      <c r="D5294" s="11" t="s">
        <v>39</v>
      </c>
      <c r="E5294" s="11">
        <v>38.0</v>
      </c>
      <c r="F5294" s="21" t="s">
        <v>694</v>
      </c>
      <c r="G5294" s="15">
        <v>0.012132876351173149</v>
      </c>
      <c r="H5294" s="11" t="s">
        <v>33</v>
      </c>
      <c r="I5294" s="16">
        <v>1.592</v>
      </c>
      <c r="J5294" s="11" t="s">
        <v>1917</v>
      </c>
      <c r="K5294" s="11" t="s">
        <v>35</v>
      </c>
      <c r="L5294" s="11" t="s">
        <v>41</v>
      </c>
      <c r="M5294" s="11" t="s">
        <v>66</v>
      </c>
      <c r="N5294" s="11" t="s">
        <v>67</v>
      </c>
      <c r="O5294" s="11" t="s">
        <v>695</v>
      </c>
      <c r="P5294" s="11" t="s">
        <v>99</v>
      </c>
      <c r="Q5294" s="20">
        <v>40727.0</v>
      </c>
      <c r="R5294" s="17">
        <f t="shared" si="2"/>
        <v>18.18465801</v>
      </c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>
        <f t="shared" si="8"/>
        <v>3</v>
      </c>
      <c r="AF5294" s="19">
        <f t="shared" si="13"/>
        <v>2</v>
      </c>
      <c r="AG5294" s="9"/>
      <c r="AH5294" s="9"/>
      <c r="AI5294" s="9"/>
    </row>
    <row r="5295" ht="15.0" customHeight="1">
      <c r="A5295" s="11">
        <v>5294.0</v>
      </c>
      <c r="B5295" s="12">
        <f t="shared" si="844"/>
        <v>40725</v>
      </c>
      <c r="C5295" s="13">
        <v>2011.0</v>
      </c>
      <c r="D5295" s="11" t="s">
        <v>44</v>
      </c>
      <c r="E5295" s="11">
        <v>34.0</v>
      </c>
      <c r="F5295" s="21" t="s">
        <v>158</v>
      </c>
      <c r="G5295" s="15">
        <v>0.03911262798634803</v>
      </c>
      <c r="H5295" s="11" t="s">
        <v>33</v>
      </c>
      <c r="I5295" s="16">
        <v>7.632</v>
      </c>
      <c r="J5295" s="11" t="s">
        <v>1862</v>
      </c>
      <c r="K5295" s="11" t="s">
        <v>61</v>
      </c>
      <c r="L5295" s="11" t="s">
        <v>36</v>
      </c>
      <c r="M5295" s="11" t="s">
        <v>28</v>
      </c>
      <c r="N5295" s="11" t="s">
        <v>56</v>
      </c>
      <c r="O5295" s="11" t="s">
        <v>1474</v>
      </c>
      <c r="P5295" s="11" t="s">
        <v>38</v>
      </c>
      <c r="Q5295" s="20">
        <v>40727.0</v>
      </c>
      <c r="R5295" s="17">
        <f t="shared" si="2"/>
        <v>8.809415427</v>
      </c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>
        <f t="shared" si="8"/>
        <v>2</v>
      </c>
      <c r="AF5295" s="19">
        <f t="shared" si="13"/>
        <v>4</v>
      </c>
      <c r="AG5295" s="9"/>
      <c r="AH5295" s="9"/>
      <c r="AI5295" s="9"/>
    </row>
    <row r="5296" ht="15.0" customHeight="1">
      <c r="A5296" s="11">
        <v>5295.0</v>
      </c>
      <c r="B5296" s="12">
        <f t="shared" si="844"/>
        <v>40725</v>
      </c>
      <c r="C5296" s="13">
        <v>2011.0</v>
      </c>
      <c r="D5296" s="11" t="s">
        <v>32</v>
      </c>
      <c r="E5296" s="11">
        <v>11.0</v>
      </c>
      <c r="F5296" s="21" t="s">
        <v>1207</v>
      </c>
      <c r="G5296" s="15">
        <v>0.013229457592238718</v>
      </c>
      <c r="H5296" s="11" t="s">
        <v>45</v>
      </c>
      <c r="I5296" s="16">
        <v>24.0</v>
      </c>
      <c r="J5296" s="11" t="s">
        <v>548</v>
      </c>
      <c r="K5296" s="11" t="s">
        <v>47</v>
      </c>
      <c r="L5296" s="11" t="s">
        <v>27</v>
      </c>
      <c r="M5296" s="11" t="s">
        <v>49</v>
      </c>
      <c r="N5296" s="11" t="s">
        <v>50</v>
      </c>
      <c r="O5296" s="11" t="s">
        <v>1677</v>
      </c>
      <c r="P5296" s="11" t="s">
        <v>52</v>
      </c>
      <c r="Q5296" s="20">
        <v>40727.0</v>
      </c>
      <c r="R5296" s="17">
        <f t="shared" si="2"/>
        <v>26.64280465</v>
      </c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>
        <f t="shared" si="8"/>
        <v>1</v>
      </c>
      <c r="AF5296" s="19">
        <f t="shared" si="13"/>
        <v>3</v>
      </c>
      <c r="AG5296" s="9"/>
      <c r="AH5296" s="9"/>
      <c r="AI5296" s="9"/>
    </row>
    <row r="5297" ht="15.0" customHeight="1">
      <c r="A5297" s="11">
        <v>5296.0</v>
      </c>
      <c r="B5297" s="12">
        <f t="shared" si="844"/>
        <v>40725</v>
      </c>
      <c r="C5297" s="13">
        <v>2011.0</v>
      </c>
      <c r="D5297" s="11" t="s">
        <v>32</v>
      </c>
      <c r="E5297" s="11">
        <v>30.0</v>
      </c>
      <c r="F5297" s="21" t="s">
        <v>280</v>
      </c>
      <c r="G5297" s="15">
        <v>0.03533090735715837</v>
      </c>
      <c r="H5297" s="11" t="s">
        <v>33</v>
      </c>
      <c r="I5297" s="16">
        <v>4.632000000000001</v>
      </c>
      <c r="J5297" s="11" t="s">
        <v>548</v>
      </c>
      <c r="K5297" s="11" t="s">
        <v>47</v>
      </c>
      <c r="L5297" s="11" t="s">
        <v>27</v>
      </c>
      <c r="M5297" s="11" t="s">
        <v>28</v>
      </c>
      <c r="N5297" s="11" t="s">
        <v>56</v>
      </c>
      <c r="O5297" s="11" t="s">
        <v>1430</v>
      </c>
      <c r="P5297" s="11" t="s">
        <v>38</v>
      </c>
      <c r="Q5297" s="20">
        <v>40727.0</v>
      </c>
      <c r="R5297" s="17">
        <f t="shared" si="2"/>
        <v>51.04015936</v>
      </c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>
        <f t="shared" si="8"/>
        <v>1</v>
      </c>
      <c r="AF5297" s="19">
        <f t="shared" si="13"/>
        <v>3</v>
      </c>
      <c r="AG5297" s="9"/>
      <c r="AH5297" s="9"/>
      <c r="AI5297" s="9"/>
    </row>
    <row r="5298" ht="15.0" customHeight="1">
      <c r="A5298" s="11">
        <v>5297.0</v>
      </c>
      <c r="B5298" s="12">
        <f t="shared" si="844"/>
        <v>40725</v>
      </c>
      <c r="C5298" s="13">
        <v>2011.0</v>
      </c>
      <c r="D5298" s="11" t="s">
        <v>32</v>
      </c>
      <c r="E5298" s="11">
        <v>20.0</v>
      </c>
      <c r="F5298" s="21" t="s">
        <v>834</v>
      </c>
      <c r="G5298" s="15">
        <v>0.08371746873470887</v>
      </c>
      <c r="H5298" s="11" t="s">
        <v>45</v>
      </c>
      <c r="I5298" s="16">
        <v>34.016000000000005</v>
      </c>
      <c r="J5298" s="11" t="s">
        <v>548</v>
      </c>
      <c r="K5298" s="11" t="s">
        <v>47</v>
      </c>
      <c r="L5298" s="11" t="s">
        <v>27</v>
      </c>
      <c r="M5298" s="11" t="s">
        <v>49</v>
      </c>
      <c r="N5298" s="11" t="s">
        <v>85</v>
      </c>
      <c r="O5298" s="11" t="s">
        <v>1115</v>
      </c>
      <c r="P5298" s="11" t="s">
        <v>87</v>
      </c>
      <c r="Q5298" s="20">
        <v>40727.0</v>
      </c>
      <c r="R5298" s="17">
        <f t="shared" si="2"/>
        <v>674.0943977</v>
      </c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>
        <f t="shared" si="8"/>
        <v>1</v>
      </c>
      <c r="AF5298" s="19">
        <f t="shared" si="13"/>
        <v>3</v>
      </c>
      <c r="AG5298" s="9"/>
      <c r="AH5298" s="9"/>
      <c r="AI5298" s="9"/>
    </row>
    <row r="5299" ht="15.0" customHeight="1">
      <c r="A5299" s="11">
        <v>5298.0</v>
      </c>
      <c r="B5299" s="12">
        <f t="shared" ref="B5299:B5305" si="845">DATE(2012,12,31)-548</f>
        <v>40726</v>
      </c>
      <c r="C5299" s="13">
        <v>2011.0</v>
      </c>
      <c r="D5299" s="11" t="s">
        <v>23</v>
      </c>
      <c r="E5299" s="11">
        <v>14.0</v>
      </c>
      <c r="F5299" s="21" t="s">
        <v>137</v>
      </c>
      <c r="G5299" s="15">
        <v>0.08858381381254994</v>
      </c>
      <c r="H5299" s="11" t="s">
        <v>45</v>
      </c>
      <c r="I5299" s="16">
        <v>53.016</v>
      </c>
      <c r="J5299" s="11" t="s">
        <v>1447</v>
      </c>
      <c r="K5299" s="11" t="s">
        <v>61</v>
      </c>
      <c r="L5299" s="11" t="s">
        <v>36</v>
      </c>
      <c r="M5299" s="11" t="s">
        <v>49</v>
      </c>
      <c r="N5299" s="11" t="s">
        <v>156</v>
      </c>
      <c r="O5299" s="11" t="s">
        <v>1553</v>
      </c>
      <c r="P5299" s="11" t="s">
        <v>87</v>
      </c>
      <c r="Q5299" s="20">
        <v>40727.0</v>
      </c>
      <c r="R5299" s="17">
        <f t="shared" si="2"/>
        <v>191.8385245</v>
      </c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>
        <f t="shared" si="8"/>
        <v>2</v>
      </c>
      <c r="AF5299" s="19">
        <f t="shared" si="13"/>
        <v>4</v>
      </c>
      <c r="AG5299" s="9"/>
      <c r="AH5299" s="9"/>
      <c r="AI5299" s="9"/>
    </row>
    <row r="5300" ht="15.0" customHeight="1">
      <c r="A5300" s="11">
        <v>5299.0</v>
      </c>
      <c r="B5300" s="12">
        <f t="shared" si="845"/>
        <v>40726</v>
      </c>
      <c r="C5300" s="13">
        <v>2011.0</v>
      </c>
      <c r="D5300" s="11" t="s">
        <v>39</v>
      </c>
      <c r="E5300" s="11">
        <v>20.0</v>
      </c>
      <c r="F5300" s="21" t="s">
        <v>158</v>
      </c>
      <c r="G5300" s="15">
        <v>0.08789189189189196</v>
      </c>
      <c r="H5300" s="11" t="s">
        <v>33</v>
      </c>
      <c r="I5300" s="16">
        <v>6.992000000000001</v>
      </c>
      <c r="J5300" s="11" t="s">
        <v>992</v>
      </c>
      <c r="K5300" s="11" t="s">
        <v>61</v>
      </c>
      <c r="L5300" s="11" t="s">
        <v>41</v>
      </c>
      <c r="M5300" s="11" t="s">
        <v>28</v>
      </c>
      <c r="N5300" s="11" t="s">
        <v>56</v>
      </c>
      <c r="O5300" s="11" t="s">
        <v>2047</v>
      </c>
      <c r="P5300" s="11" t="s">
        <v>38</v>
      </c>
      <c r="Q5300" s="20">
        <v>40727.0</v>
      </c>
      <c r="R5300" s="17">
        <f t="shared" si="2"/>
        <v>11.86470227</v>
      </c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>
        <f t="shared" si="8"/>
        <v>3</v>
      </c>
      <c r="AF5300" s="19">
        <f t="shared" si="13"/>
        <v>4</v>
      </c>
      <c r="AG5300" s="9"/>
      <c r="AH5300" s="9"/>
      <c r="AI5300" s="9"/>
    </row>
    <row r="5301" ht="15.0" customHeight="1">
      <c r="A5301" s="11">
        <v>5300.0</v>
      </c>
      <c r="B5301" s="12">
        <f t="shared" si="845"/>
        <v>40726</v>
      </c>
      <c r="C5301" s="13">
        <v>2011.0</v>
      </c>
      <c r="D5301" s="11" t="s">
        <v>39</v>
      </c>
      <c r="E5301" s="11">
        <v>4.0</v>
      </c>
      <c r="F5301" s="21" t="s">
        <v>616</v>
      </c>
      <c r="G5301" s="15">
        <v>0.010293368275460452</v>
      </c>
      <c r="H5301" s="11" t="s">
        <v>45</v>
      </c>
      <c r="I5301" s="16">
        <v>11.76</v>
      </c>
      <c r="J5301" s="11" t="s">
        <v>992</v>
      </c>
      <c r="K5301" s="11" t="s">
        <v>61</v>
      </c>
      <c r="L5301" s="11" t="s">
        <v>41</v>
      </c>
      <c r="M5301" s="11" t="s">
        <v>66</v>
      </c>
      <c r="N5301" s="11" t="s">
        <v>69</v>
      </c>
      <c r="O5301" s="11" t="s">
        <v>618</v>
      </c>
      <c r="P5301" s="11" t="s">
        <v>52</v>
      </c>
      <c r="Q5301" s="20">
        <v>40727.0</v>
      </c>
      <c r="R5301" s="17">
        <f t="shared" si="2"/>
        <v>83.96671064</v>
      </c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>
        <f t="shared" si="8"/>
        <v>3</v>
      </c>
      <c r="AF5301" s="19">
        <f t="shared" si="13"/>
        <v>4</v>
      </c>
      <c r="AG5301" s="9"/>
      <c r="AH5301" s="9"/>
      <c r="AI5301" s="9"/>
    </row>
    <row r="5302" ht="15.0" customHeight="1">
      <c r="A5302" s="11">
        <v>5301.0</v>
      </c>
      <c r="B5302" s="12">
        <f t="shared" si="845"/>
        <v>40726</v>
      </c>
      <c r="C5302" s="13">
        <v>2011.0</v>
      </c>
      <c r="D5302" s="11" t="s">
        <v>23</v>
      </c>
      <c r="E5302" s="11">
        <v>24.0</v>
      </c>
      <c r="F5302" s="21" t="s">
        <v>1743</v>
      </c>
      <c r="G5302" s="15">
        <v>0.046977973568282004</v>
      </c>
      <c r="H5302" s="11" t="s">
        <v>33</v>
      </c>
      <c r="I5302" s="16">
        <v>4.968</v>
      </c>
      <c r="J5302" s="11" t="s">
        <v>839</v>
      </c>
      <c r="K5302" s="11" t="s">
        <v>83</v>
      </c>
      <c r="L5302" s="11" t="s">
        <v>36</v>
      </c>
      <c r="M5302" s="11" t="s">
        <v>28</v>
      </c>
      <c r="N5302" s="11" t="s">
        <v>42</v>
      </c>
      <c r="O5302" s="11" t="s">
        <v>2277</v>
      </c>
      <c r="P5302" s="11" t="s">
        <v>38</v>
      </c>
      <c r="Q5302" s="20">
        <v>40727.0</v>
      </c>
      <c r="R5302" s="17">
        <f t="shared" si="2"/>
        <v>5.081513445</v>
      </c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>
        <f t="shared" si="8"/>
        <v>2</v>
      </c>
      <c r="AF5302" s="19" t="b">
        <f t="shared" si="13"/>
        <v>0</v>
      </c>
      <c r="AG5302" s="9"/>
      <c r="AH5302" s="9"/>
      <c r="AI5302" s="9"/>
    </row>
    <row r="5303" ht="15.0" customHeight="1">
      <c r="A5303" s="11">
        <v>5302.0</v>
      </c>
      <c r="B5303" s="12">
        <f t="shared" si="845"/>
        <v>40726</v>
      </c>
      <c r="C5303" s="13">
        <v>2011.0</v>
      </c>
      <c r="D5303" s="11" t="s">
        <v>23</v>
      </c>
      <c r="E5303" s="11">
        <v>39.0</v>
      </c>
      <c r="F5303" s="21" t="s">
        <v>119</v>
      </c>
      <c r="G5303" s="15">
        <v>0.11930348258706465</v>
      </c>
      <c r="H5303" s="11" t="s">
        <v>33</v>
      </c>
      <c r="I5303" s="16">
        <v>0.6080000000000001</v>
      </c>
      <c r="J5303" s="11" t="s">
        <v>839</v>
      </c>
      <c r="K5303" s="11" t="s">
        <v>83</v>
      </c>
      <c r="L5303" s="11" t="s">
        <v>36</v>
      </c>
      <c r="M5303" s="11" t="s">
        <v>28</v>
      </c>
      <c r="N5303" s="11" t="s">
        <v>216</v>
      </c>
      <c r="O5303" s="11" t="s">
        <v>2010</v>
      </c>
      <c r="P5303" s="11" t="s">
        <v>58</v>
      </c>
      <c r="Q5303" s="20">
        <v>40727.0</v>
      </c>
      <c r="R5303" s="17">
        <f t="shared" si="2"/>
        <v>8.447640995</v>
      </c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>
        <f t="shared" si="8"/>
        <v>2</v>
      </c>
      <c r="AF5303" s="19" t="b">
        <f t="shared" si="13"/>
        <v>0</v>
      </c>
      <c r="AG5303" s="9"/>
      <c r="AH5303" s="9"/>
      <c r="AI5303" s="9"/>
    </row>
    <row r="5304" ht="15.0" customHeight="1">
      <c r="A5304" s="11">
        <v>5303.0</v>
      </c>
      <c r="B5304" s="12">
        <f t="shared" si="845"/>
        <v>40726</v>
      </c>
      <c r="C5304" s="13">
        <v>2011.0</v>
      </c>
      <c r="D5304" s="11" t="s">
        <v>23</v>
      </c>
      <c r="E5304" s="11">
        <v>30.0</v>
      </c>
      <c r="F5304" s="21" t="s">
        <v>1891</v>
      </c>
      <c r="G5304" s="15">
        <v>0.032622557422008785</v>
      </c>
      <c r="H5304" s="11" t="s">
        <v>33</v>
      </c>
      <c r="I5304" s="16">
        <v>3.184</v>
      </c>
      <c r="J5304" s="11" t="s">
        <v>839</v>
      </c>
      <c r="K5304" s="11" t="s">
        <v>83</v>
      </c>
      <c r="L5304" s="11" t="s">
        <v>36</v>
      </c>
      <c r="M5304" s="11" t="s">
        <v>28</v>
      </c>
      <c r="N5304" s="11" t="s">
        <v>442</v>
      </c>
      <c r="O5304" s="11" t="s">
        <v>2015</v>
      </c>
      <c r="P5304" s="11" t="s">
        <v>99</v>
      </c>
      <c r="Q5304" s="20">
        <v>40728.0</v>
      </c>
      <c r="R5304" s="17">
        <f t="shared" si="2"/>
        <v>9.205563744</v>
      </c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>
        <f t="shared" si="8"/>
        <v>2</v>
      </c>
      <c r="AF5304" s="19" t="b">
        <f t="shared" si="13"/>
        <v>0</v>
      </c>
      <c r="AG5304" s="9"/>
      <c r="AH5304" s="9"/>
      <c r="AI5304" s="9"/>
    </row>
    <row r="5305" ht="15.0" customHeight="1">
      <c r="A5305" s="11">
        <v>5304.0</v>
      </c>
      <c r="B5305" s="12">
        <f t="shared" si="845"/>
        <v>40726</v>
      </c>
      <c r="C5305" s="13">
        <v>2011.0</v>
      </c>
      <c r="D5305" s="11" t="s">
        <v>102</v>
      </c>
      <c r="E5305" s="11">
        <v>8.0</v>
      </c>
      <c r="F5305" s="21" t="s">
        <v>1818</v>
      </c>
      <c r="G5305" s="15">
        <v>0.06741142142559399</v>
      </c>
      <c r="H5305" s="11" t="s">
        <v>33</v>
      </c>
      <c r="I5305" s="16">
        <v>6.912000000000001</v>
      </c>
      <c r="J5305" s="11" t="s">
        <v>793</v>
      </c>
      <c r="K5305" s="11" t="s">
        <v>65</v>
      </c>
      <c r="L5305" s="11" t="s">
        <v>36</v>
      </c>
      <c r="M5305" s="11" t="s">
        <v>28</v>
      </c>
      <c r="N5305" s="11" t="s">
        <v>29</v>
      </c>
      <c r="O5305" s="11" t="s">
        <v>1819</v>
      </c>
      <c r="P5305" s="11" t="s">
        <v>38</v>
      </c>
      <c r="Q5305" s="20">
        <v>40728.0</v>
      </c>
      <c r="R5305" s="17">
        <f t="shared" si="2"/>
        <v>60.32728997</v>
      </c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>
        <f t="shared" si="8"/>
        <v>2</v>
      </c>
      <c r="AF5305" s="19">
        <f t="shared" si="13"/>
        <v>5</v>
      </c>
      <c r="AG5305" s="9"/>
      <c r="AH5305" s="9"/>
      <c r="AI5305" s="9"/>
    </row>
    <row r="5306" ht="15.0" customHeight="1">
      <c r="A5306" s="11">
        <v>5305.0</v>
      </c>
      <c r="B5306" s="12">
        <f t="shared" ref="B5306:B5315" si="846">DATE(2012,12,31)-547</f>
        <v>40727</v>
      </c>
      <c r="C5306" s="13">
        <v>2011.0</v>
      </c>
      <c r="D5306" s="11" t="s">
        <v>32</v>
      </c>
      <c r="E5306" s="11">
        <v>7.0</v>
      </c>
      <c r="F5306" s="21" t="s">
        <v>183</v>
      </c>
      <c r="G5306" s="15">
        <v>0.049003322259136256</v>
      </c>
      <c r="H5306" s="11" t="s">
        <v>24</v>
      </c>
      <c r="I5306" s="16">
        <v>3.2</v>
      </c>
      <c r="J5306" s="11" t="s">
        <v>1401</v>
      </c>
      <c r="K5306" s="11" t="s">
        <v>83</v>
      </c>
      <c r="L5306" s="11" t="s">
        <v>41</v>
      </c>
      <c r="M5306" s="11" t="s">
        <v>66</v>
      </c>
      <c r="N5306" s="11" t="s">
        <v>67</v>
      </c>
      <c r="O5306" s="11" t="s">
        <v>941</v>
      </c>
      <c r="P5306" s="11" t="s">
        <v>38</v>
      </c>
      <c r="Q5306" s="20">
        <v>40728.0</v>
      </c>
      <c r="R5306" s="17">
        <f t="shared" si="2"/>
        <v>5.610880399</v>
      </c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>
        <f t="shared" si="8"/>
        <v>3</v>
      </c>
      <c r="AF5306" s="19" t="b">
        <f t="shared" si="13"/>
        <v>0</v>
      </c>
      <c r="AG5306" s="9"/>
      <c r="AH5306" s="9"/>
      <c r="AI5306" s="9"/>
    </row>
    <row r="5307" ht="15.0" customHeight="1">
      <c r="A5307" s="11">
        <v>5306.0</v>
      </c>
      <c r="B5307" s="12">
        <f t="shared" si="846"/>
        <v>40727</v>
      </c>
      <c r="C5307" s="13">
        <v>2011.0</v>
      </c>
      <c r="D5307" s="11" t="s">
        <v>32</v>
      </c>
      <c r="E5307" s="11">
        <v>33.0</v>
      </c>
      <c r="F5307" s="21" t="s">
        <v>297</v>
      </c>
      <c r="G5307" s="15">
        <v>0.041455868971792556</v>
      </c>
      <c r="H5307" s="11" t="s">
        <v>33</v>
      </c>
      <c r="I5307" s="16">
        <v>5.832000000000001</v>
      </c>
      <c r="J5307" s="11" t="s">
        <v>1401</v>
      </c>
      <c r="K5307" s="11" t="s">
        <v>83</v>
      </c>
      <c r="L5307" s="11" t="s">
        <v>41</v>
      </c>
      <c r="M5307" s="11" t="s">
        <v>49</v>
      </c>
      <c r="N5307" s="11" t="s">
        <v>73</v>
      </c>
      <c r="O5307" s="11" t="s">
        <v>298</v>
      </c>
      <c r="P5307" s="11" t="s">
        <v>99</v>
      </c>
      <c r="Q5307" s="20">
        <v>40728.0</v>
      </c>
      <c r="R5307" s="17">
        <f t="shared" si="2"/>
        <v>13.10138118</v>
      </c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>
        <f t="shared" si="8"/>
        <v>3</v>
      </c>
      <c r="AF5307" s="19" t="b">
        <f t="shared" si="13"/>
        <v>0</v>
      </c>
      <c r="AG5307" s="9"/>
      <c r="AH5307" s="9"/>
      <c r="AI5307" s="9"/>
    </row>
    <row r="5308" ht="15.0" customHeight="1">
      <c r="A5308" s="11">
        <v>5307.0</v>
      </c>
      <c r="B5308" s="12">
        <f t="shared" si="846"/>
        <v>40727</v>
      </c>
      <c r="C5308" s="13">
        <v>2011.0</v>
      </c>
      <c r="D5308" s="11" t="s">
        <v>32</v>
      </c>
      <c r="E5308" s="11">
        <v>47.0</v>
      </c>
      <c r="F5308" s="21" t="s">
        <v>802</v>
      </c>
      <c r="G5308" s="15">
        <v>0.020103470324943227</v>
      </c>
      <c r="H5308" s="11" t="s">
        <v>33</v>
      </c>
      <c r="I5308" s="16">
        <v>4.648</v>
      </c>
      <c r="J5308" s="11" t="s">
        <v>202</v>
      </c>
      <c r="K5308" s="11" t="s">
        <v>35</v>
      </c>
      <c r="L5308" s="11" t="s">
        <v>27</v>
      </c>
      <c r="M5308" s="11" t="s">
        <v>49</v>
      </c>
      <c r="N5308" s="11" t="s">
        <v>73</v>
      </c>
      <c r="O5308" s="11" t="s">
        <v>804</v>
      </c>
      <c r="P5308" s="11" t="s">
        <v>75</v>
      </c>
      <c r="Q5308" s="20">
        <v>40728.0</v>
      </c>
      <c r="R5308" s="17">
        <f t="shared" si="2"/>
        <v>101.6662247</v>
      </c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>
        <f t="shared" si="8"/>
        <v>1</v>
      </c>
      <c r="AF5308" s="19">
        <f t="shared" si="13"/>
        <v>2</v>
      </c>
      <c r="AG5308" s="9"/>
      <c r="AH5308" s="9"/>
      <c r="AI5308" s="9"/>
    </row>
    <row r="5309" ht="15.0" customHeight="1">
      <c r="A5309" s="11">
        <v>5308.0</v>
      </c>
      <c r="B5309" s="12">
        <f t="shared" si="846"/>
        <v>40727</v>
      </c>
      <c r="C5309" s="13">
        <v>2011.0</v>
      </c>
      <c r="D5309" s="11" t="s">
        <v>23</v>
      </c>
      <c r="E5309" s="11">
        <v>45.0</v>
      </c>
      <c r="F5309" s="21" t="s">
        <v>158</v>
      </c>
      <c r="G5309" s="15">
        <v>0.08078972109056731</v>
      </c>
      <c r="H5309" s="11" t="s">
        <v>33</v>
      </c>
      <c r="I5309" s="16">
        <v>5.32</v>
      </c>
      <c r="J5309" s="11" t="s">
        <v>2052</v>
      </c>
      <c r="K5309" s="11" t="s">
        <v>65</v>
      </c>
      <c r="L5309" s="11" t="s">
        <v>48</v>
      </c>
      <c r="M5309" s="11" t="s">
        <v>28</v>
      </c>
      <c r="N5309" s="11" t="s">
        <v>56</v>
      </c>
      <c r="O5309" s="11" t="s">
        <v>2282</v>
      </c>
      <c r="P5309" s="11" t="s">
        <v>38</v>
      </c>
      <c r="Q5309" s="20">
        <v>40729.0</v>
      </c>
      <c r="R5309" s="17">
        <f t="shared" si="2"/>
        <v>23.69724099</v>
      </c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>
        <f t="shared" si="8"/>
        <v>4</v>
      </c>
      <c r="AF5309" s="19">
        <f t="shared" si="13"/>
        <v>5</v>
      </c>
      <c r="AG5309" s="9"/>
      <c r="AH5309" s="9"/>
      <c r="AI5309" s="9"/>
    </row>
    <row r="5310" ht="15.0" customHeight="1">
      <c r="A5310" s="11">
        <v>5309.0</v>
      </c>
      <c r="B5310" s="12">
        <f t="shared" si="846"/>
        <v>40727</v>
      </c>
      <c r="C5310" s="13">
        <v>2011.0</v>
      </c>
      <c r="D5310" s="11" t="s">
        <v>32</v>
      </c>
      <c r="E5310" s="11">
        <v>46.0</v>
      </c>
      <c r="F5310" s="21" t="s">
        <v>952</v>
      </c>
      <c r="G5310" s="15">
        <v>0.06572595296657055</v>
      </c>
      <c r="H5310" s="11" t="s">
        <v>33</v>
      </c>
      <c r="I5310" s="16">
        <v>19.592</v>
      </c>
      <c r="J5310" s="11" t="s">
        <v>819</v>
      </c>
      <c r="K5310" s="11" t="s">
        <v>61</v>
      </c>
      <c r="L5310" s="11" t="s">
        <v>41</v>
      </c>
      <c r="M5310" s="11" t="s">
        <v>66</v>
      </c>
      <c r="N5310" s="11" t="s">
        <v>170</v>
      </c>
      <c r="O5310" s="11" t="s">
        <v>2110</v>
      </c>
      <c r="P5310" s="11" t="s">
        <v>31</v>
      </c>
      <c r="Q5310" s="20">
        <v>40729.0</v>
      </c>
      <c r="R5310" s="17">
        <f t="shared" si="2"/>
        <v>1815.021665</v>
      </c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>
        <f t="shared" si="8"/>
        <v>3</v>
      </c>
      <c r="AF5310" s="19">
        <f t="shared" si="13"/>
        <v>4</v>
      </c>
      <c r="AG5310" s="9"/>
      <c r="AH5310" s="9"/>
      <c r="AI5310" s="9"/>
    </row>
    <row r="5311" ht="15.0" customHeight="1">
      <c r="A5311" s="11">
        <v>5310.0</v>
      </c>
      <c r="B5311" s="12">
        <f t="shared" si="846"/>
        <v>40727</v>
      </c>
      <c r="C5311" s="13">
        <v>2011.0</v>
      </c>
      <c r="D5311" s="11" t="s">
        <v>32</v>
      </c>
      <c r="E5311" s="11">
        <v>29.0</v>
      </c>
      <c r="F5311" s="21" t="s">
        <v>304</v>
      </c>
      <c r="G5311" s="15">
        <v>0.09582842174197781</v>
      </c>
      <c r="H5311" s="11" t="s">
        <v>33</v>
      </c>
      <c r="I5311" s="16">
        <v>4.168</v>
      </c>
      <c r="J5311" s="11" t="s">
        <v>819</v>
      </c>
      <c r="K5311" s="11" t="s">
        <v>61</v>
      </c>
      <c r="L5311" s="11" t="s">
        <v>41</v>
      </c>
      <c r="M5311" s="11" t="s">
        <v>28</v>
      </c>
      <c r="N5311" s="11" t="s">
        <v>56</v>
      </c>
      <c r="O5311" s="11" t="s">
        <v>2397</v>
      </c>
      <c r="P5311" s="11" t="s">
        <v>38</v>
      </c>
      <c r="Q5311" s="20">
        <v>40729.0</v>
      </c>
      <c r="R5311" s="17">
        <f t="shared" si="2"/>
        <v>52.92297082</v>
      </c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>
        <f t="shared" si="8"/>
        <v>3</v>
      </c>
      <c r="AF5311" s="19">
        <f t="shared" si="13"/>
        <v>4</v>
      </c>
      <c r="AG5311" s="9"/>
      <c r="AH5311" s="9"/>
      <c r="AI5311" s="9"/>
    </row>
    <row r="5312" ht="15.0" customHeight="1">
      <c r="A5312" s="11">
        <v>5311.0</v>
      </c>
      <c r="B5312" s="12">
        <f t="shared" si="846"/>
        <v>40727</v>
      </c>
      <c r="C5312" s="13">
        <v>2011.0</v>
      </c>
      <c r="D5312" s="11" t="s">
        <v>39</v>
      </c>
      <c r="E5312" s="11">
        <v>40.0</v>
      </c>
      <c r="F5312" s="21" t="s">
        <v>731</v>
      </c>
      <c r="G5312" s="15">
        <v>0.029498168733534603</v>
      </c>
      <c r="H5312" s="11" t="s">
        <v>33</v>
      </c>
      <c r="I5312" s="16">
        <v>2.3920000000000003</v>
      </c>
      <c r="J5312" s="11" t="s">
        <v>1605</v>
      </c>
      <c r="K5312" s="11" t="s">
        <v>61</v>
      </c>
      <c r="L5312" s="11" t="s">
        <v>48</v>
      </c>
      <c r="M5312" s="11" t="s">
        <v>28</v>
      </c>
      <c r="N5312" s="11" t="s">
        <v>42</v>
      </c>
      <c r="O5312" s="11" t="s">
        <v>1302</v>
      </c>
      <c r="P5312" s="11" t="s">
        <v>38</v>
      </c>
      <c r="Q5312" s="20">
        <v>40729.0</v>
      </c>
      <c r="R5312" s="17">
        <f t="shared" si="2"/>
        <v>44.55379807</v>
      </c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>
        <f t="shared" si="8"/>
        <v>4</v>
      </c>
      <c r="AF5312" s="19">
        <f t="shared" si="13"/>
        <v>4</v>
      </c>
      <c r="AG5312" s="9"/>
      <c r="AH5312" s="9"/>
      <c r="AI5312" s="9"/>
    </row>
    <row r="5313" ht="15.0" customHeight="1">
      <c r="A5313" s="11">
        <v>5312.0</v>
      </c>
      <c r="B5313" s="12">
        <f t="shared" si="846"/>
        <v>40727</v>
      </c>
      <c r="C5313" s="13">
        <v>2011.0</v>
      </c>
      <c r="D5313" s="11" t="s">
        <v>32</v>
      </c>
      <c r="E5313" s="11">
        <v>39.0</v>
      </c>
      <c r="F5313" s="21" t="s">
        <v>333</v>
      </c>
      <c r="G5313" s="15">
        <v>0.05210000000000008</v>
      </c>
      <c r="H5313" s="11" t="s">
        <v>33</v>
      </c>
      <c r="I5313" s="16">
        <v>0.6480000000000001</v>
      </c>
      <c r="J5313" s="11" t="s">
        <v>561</v>
      </c>
      <c r="K5313" s="11" t="s">
        <v>65</v>
      </c>
      <c r="L5313" s="11" t="s">
        <v>36</v>
      </c>
      <c r="M5313" s="11" t="s">
        <v>28</v>
      </c>
      <c r="N5313" s="11" t="s">
        <v>62</v>
      </c>
      <c r="O5313" s="11" t="s">
        <v>1910</v>
      </c>
      <c r="P5313" s="11" t="s">
        <v>58</v>
      </c>
      <c r="Q5313" s="20">
        <v>40729.0</v>
      </c>
      <c r="R5313" s="17">
        <f t="shared" si="2"/>
        <v>5.9262708</v>
      </c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>
        <f t="shared" si="8"/>
        <v>2</v>
      </c>
      <c r="AF5313" s="19">
        <f t="shared" si="13"/>
        <v>5</v>
      </c>
      <c r="AG5313" s="9"/>
      <c r="AH5313" s="9"/>
      <c r="AI5313" s="9"/>
    </row>
    <row r="5314" ht="15.0" customHeight="1">
      <c r="A5314" s="11">
        <v>5313.0</v>
      </c>
      <c r="B5314" s="12">
        <f t="shared" si="846"/>
        <v>40727</v>
      </c>
      <c r="C5314" s="13">
        <v>2011.0</v>
      </c>
      <c r="D5314" s="11" t="s">
        <v>39</v>
      </c>
      <c r="E5314" s="11">
        <v>5.0</v>
      </c>
      <c r="F5314" s="21" t="s">
        <v>144</v>
      </c>
      <c r="G5314" s="15">
        <v>0.12409448818897628</v>
      </c>
      <c r="H5314" s="11" t="s">
        <v>24</v>
      </c>
      <c r="I5314" s="16">
        <v>0.6240000000000001</v>
      </c>
      <c r="J5314" s="11" t="s">
        <v>1865</v>
      </c>
      <c r="K5314" s="11" t="s">
        <v>65</v>
      </c>
      <c r="L5314" s="11" t="s">
        <v>48</v>
      </c>
      <c r="M5314" s="11" t="s">
        <v>28</v>
      </c>
      <c r="N5314" s="11" t="s">
        <v>216</v>
      </c>
      <c r="O5314" s="11" t="s">
        <v>341</v>
      </c>
      <c r="P5314" s="11" t="s">
        <v>58</v>
      </c>
      <c r="Q5314" s="20">
        <v>40729.0</v>
      </c>
      <c r="R5314" s="17">
        <f t="shared" si="2"/>
        <v>1.380427087</v>
      </c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>
        <f t="shared" si="8"/>
        <v>4</v>
      </c>
      <c r="AF5314" s="19">
        <f t="shared" si="13"/>
        <v>5</v>
      </c>
      <c r="AG5314" s="9"/>
      <c r="AH5314" s="9"/>
      <c r="AI5314" s="9"/>
    </row>
    <row r="5315" ht="15.0" customHeight="1">
      <c r="A5315" s="11">
        <v>5314.0</v>
      </c>
      <c r="B5315" s="12">
        <f t="shared" si="846"/>
        <v>40727</v>
      </c>
      <c r="C5315" s="13">
        <v>2011.0</v>
      </c>
      <c r="D5315" s="11" t="s">
        <v>39</v>
      </c>
      <c r="E5315" s="11">
        <v>6.0</v>
      </c>
      <c r="F5315" s="21" t="s">
        <v>128</v>
      </c>
      <c r="G5315" s="15">
        <v>0.08506785156719093</v>
      </c>
      <c r="H5315" s="11" t="s">
        <v>33</v>
      </c>
      <c r="I5315" s="16">
        <v>6.464</v>
      </c>
      <c r="J5315" s="11" t="s">
        <v>1865</v>
      </c>
      <c r="K5315" s="11" t="s">
        <v>65</v>
      </c>
      <c r="L5315" s="11" t="s">
        <v>48</v>
      </c>
      <c r="M5315" s="11" t="s">
        <v>66</v>
      </c>
      <c r="N5315" s="11" t="s">
        <v>80</v>
      </c>
      <c r="O5315" s="11" t="s">
        <v>2243</v>
      </c>
      <c r="P5315" s="11" t="s">
        <v>38</v>
      </c>
      <c r="Q5315" s="20">
        <v>40729.0</v>
      </c>
      <c r="R5315" s="17">
        <f t="shared" si="2"/>
        <v>64.81013367</v>
      </c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>
        <f t="shared" si="8"/>
        <v>4</v>
      </c>
      <c r="AF5315" s="19">
        <f t="shared" si="13"/>
        <v>5</v>
      </c>
      <c r="AG5315" s="9"/>
      <c r="AH5315" s="9"/>
      <c r="AI5315" s="9"/>
    </row>
    <row r="5316" ht="15.0" customHeight="1">
      <c r="A5316" s="11">
        <v>5315.0</v>
      </c>
      <c r="B5316" s="12">
        <f t="shared" ref="B5316:B5323" si="847">DATE(2012,12,31)-546</f>
        <v>40728</v>
      </c>
      <c r="C5316" s="13">
        <v>2011.0</v>
      </c>
      <c r="D5316" s="11" t="s">
        <v>23</v>
      </c>
      <c r="E5316" s="11">
        <v>39.0</v>
      </c>
      <c r="F5316" s="21" t="s">
        <v>126</v>
      </c>
      <c r="G5316" s="15">
        <v>0.03848648648648632</v>
      </c>
      <c r="H5316" s="11" t="s">
        <v>33</v>
      </c>
      <c r="I5316" s="16">
        <v>4.5680000000000005</v>
      </c>
      <c r="J5316" s="11" t="s">
        <v>293</v>
      </c>
      <c r="K5316" s="11" t="s">
        <v>65</v>
      </c>
      <c r="L5316" s="11" t="s">
        <v>36</v>
      </c>
      <c r="M5316" s="11" t="s">
        <v>49</v>
      </c>
      <c r="N5316" s="11" t="s">
        <v>73</v>
      </c>
      <c r="O5316" s="11" t="s">
        <v>1920</v>
      </c>
      <c r="P5316" s="11" t="s">
        <v>75</v>
      </c>
      <c r="Q5316" s="20">
        <v>40730.0</v>
      </c>
      <c r="R5316" s="17">
        <f t="shared" si="2"/>
        <v>7.530573838</v>
      </c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>
        <f t="shared" si="8"/>
        <v>2</v>
      </c>
      <c r="AF5316" s="19">
        <f t="shared" si="13"/>
        <v>5</v>
      </c>
      <c r="AG5316" s="9"/>
      <c r="AH5316" s="9"/>
      <c r="AI5316" s="9"/>
    </row>
    <row r="5317" ht="15.0" customHeight="1">
      <c r="A5317" s="11">
        <v>5316.0</v>
      </c>
      <c r="B5317" s="12">
        <f t="shared" si="847"/>
        <v>40728</v>
      </c>
      <c r="C5317" s="13">
        <v>2011.0</v>
      </c>
      <c r="D5317" s="11" t="s">
        <v>32</v>
      </c>
      <c r="E5317" s="11">
        <v>6.0</v>
      </c>
      <c r="F5317" s="21" t="s">
        <v>1557</v>
      </c>
      <c r="G5317" s="15">
        <v>0.009656070304871409</v>
      </c>
      <c r="H5317" s="11" t="s">
        <v>45</v>
      </c>
      <c r="I5317" s="16">
        <v>35.0</v>
      </c>
      <c r="J5317" s="11" t="s">
        <v>1652</v>
      </c>
      <c r="K5317" s="11" t="s">
        <v>117</v>
      </c>
      <c r="L5317" s="11" t="s">
        <v>48</v>
      </c>
      <c r="M5317" s="11" t="s">
        <v>49</v>
      </c>
      <c r="N5317" s="11" t="s">
        <v>85</v>
      </c>
      <c r="O5317" s="11" t="s">
        <v>1558</v>
      </c>
      <c r="P5317" s="11" t="s">
        <v>87</v>
      </c>
      <c r="Q5317" s="20">
        <v>40730.0</v>
      </c>
      <c r="R5317" s="17">
        <f t="shared" si="2"/>
        <v>8.814060974</v>
      </c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>
        <f t="shared" si="8"/>
        <v>4</v>
      </c>
      <c r="AF5317" s="19" t="b">
        <f t="shared" si="13"/>
        <v>0</v>
      </c>
      <c r="AG5317" s="9"/>
      <c r="AH5317" s="9"/>
      <c r="AI5317" s="9"/>
    </row>
    <row r="5318" ht="15.0" customHeight="1">
      <c r="A5318" s="11">
        <v>5317.0</v>
      </c>
      <c r="B5318" s="12">
        <f t="shared" si="847"/>
        <v>40728</v>
      </c>
      <c r="C5318" s="13">
        <v>2011.0</v>
      </c>
      <c r="D5318" s="11" t="s">
        <v>23</v>
      </c>
      <c r="E5318" s="11">
        <v>20.0</v>
      </c>
      <c r="F5318" s="21" t="s">
        <v>128</v>
      </c>
      <c r="G5318" s="15">
        <v>0.011279561472200467</v>
      </c>
      <c r="H5318" s="11" t="s">
        <v>33</v>
      </c>
      <c r="I5318" s="16">
        <v>7.192</v>
      </c>
      <c r="J5318" s="11" t="s">
        <v>2435</v>
      </c>
      <c r="K5318" s="11" t="s">
        <v>61</v>
      </c>
      <c r="L5318" s="11" t="s">
        <v>27</v>
      </c>
      <c r="M5318" s="11" t="s">
        <v>66</v>
      </c>
      <c r="N5318" s="11" t="s">
        <v>80</v>
      </c>
      <c r="O5318" s="11" t="s">
        <v>214</v>
      </c>
      <c r="P5318" s="11" t="s">
        <v>38</v>
      </c>
      <c r="Q5318" s="20">
        <v>40730.0</v>
      </c>
      <c r="R5318" s="17">
        <f t="shared" si="2"/>
        <v>28.48305839</v>
      </c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>
        <f t="shared" si="8"/>
        <v>1</v>
      </c>
      <c r="AF5318" s="19">
        <f t="shared" si="13"/>
        <v>4</v>
      </c>
      <c r="AG5318" s="9"/>
      <c r="AH5318" s="9"/>
      <c r="AI5318" s="9"/>
    </row>
    <row r="5319" ht="15.0" customHeight="1">
      <c r="A5319" s="11">
        <v>5318.0</v>
      </c>
      <c r="B5319" s="12">
        <f t="shared" si="847"/>
        <v>40728</v>
      </c>
      <c r="C5319" s="13">
        <v>2011.0</v>
      </c>
      <c r="D5319" s="11" t="s">
        <v>44</v>
      </c>
      <c r="E5319" s="11">
        <v>18.0</v>
      </c>
      <c r="F5319" s="21" t="s">
        <v>126</v>
      </c>
      <c r="G5319" s="15">
        <v>0.013361702127659577</v>
      </c>
      <c r="H5319" s="11" t="s">
        <v>33</v>
      </c>
      <c r="I5319" s="16">
        <v>4.544</v>
      </c>
      <c r="J5319" s="11" t="s">
        <v>2256</v>
      </c>
      <c r="K5319" s="11" t="s">
        <v>35</v>
      </c>
      <c r="L5319" s="11" t="s">
        <v>48</v>
      </c>
      <c r="M5319" s="11" t="s">
        <v>28</v>
      </c>
      <c r="N5319" s="11" t="s">
        <v>42</v>
      </c>
      <c r="O5319" s="11" t="s">
        <v>1022</v>
      </c>
      <c r="P5319" s="11" t="s">
        <v>38</v>
      </c>
      <c r="Q5319" s="20">
        <v>40730.0</v>
      </c>
      <c r="R5319" s="17">
        <f t="shared" si="2"/>
        <v>1.239217702</v>
      </c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>
        <f t="shared" si="8"/>
        <v>4</v>
      </c>
      <c r="AF5319" s="19">
        <f t="shared" si="13"/>
        <v>2</v>
      </c>
      <c r="AG5319" s="9"/>
      <c r="AH5319" s="9"/>
      <c r="AI5319" s="9"/>
    </row>
    <row r="5320" ht="15.0" customHeight="1">
      <c r="A5320" s="11">
        <v>5319.0</v>
      </c>
      <c r="B5320" s="12">
        <f t="shared" si="847"/>
        <v>40728</v>
      </c>
      <c r="C5320" s="13">
        <v>2011.0</v>
      </c>
      <c r="D5320" s="11" t="s">
        <v>44</v>
      </c>
      <c r="E5320" s="11">
        <v>49.0</v>
      </c>
      <c r="F5320" s="21" t="s">
        <v>573</v>
      </c>
      <c r="G5320" s="15">
        <v>0.05077453987730057</v>
      </c>
      <c r="H5320" s="11" t="s">
        <v>33</v>
      </c>
      <c r="I5320" s="16">
        <v>10.016</v>
      </c>
      <c r="J5320" s="11" t="s">
        <v>2256</v>
      </c>
      <c r="K5320" s="11" t="s">
        <v>35</v>
      </c>
      <c r="L5320" s="11" t="s">
        <v>48</v>
      </c>
      <c r="M5320" s="11" t="s">
        <v>49</v>
      </c>
      <c r="N5320" s="11" t="s">
        <v>73</v>
      </c>
      <c r="O5320" s="11" t="s">
        <v>575</v>
      </c>
      <c r="P5320" s="11" t="s">
        <v>38</v>
      </c>
      <c r="Q5320" s="20">
        <v>40730.0</v>
      </c>
      <c r="R5320" s="17">
        <f t="shared" si="2"/>
        <v>25.13928709</v>
      </c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>
        <f t="shared" si="8"/>
        <v>4</v>
      </c>
      <c r="AF5320" s="19">
        <f t="shared" si="13"/>
        <v>2</v>
      </c>
      <c r="AG5320" s="9"/>
      <c r="AH5320" s="9"/>
      <c r="AI5320" s="9"/>
    </row>
    <row r="5321" ht="15.0" customHeight="1">
      <c r="A5321" s="11">
        <v>5320.0</v>
      </c>
      <c r="B5321" s="12">
        <f t="shared" si="847"/>
        <v>40728</v>
      </c>
      <c r="C5321" s="13">
        <v>2011.0</v>
      </c>
      <c r="D5321" s="11" t="s">
        <v>44</v>
      </c>
      <c r="E5321" s="11">
        <v>27.0</v>
      </c>
      <c r="F5321" s="21" t="s">
        <v>1268</v>
      </c>
      <c r="G5321" s="15">
        <v>0.09386818181818174</v>
      </c>
      <c r="H5321" s="11" t="s">
        <v>33</v>
      </c>
      <c r="I5321" s="16">
        <v>6.296</v>
      </c>
      <c r="J5321" s="11" t="s">
        <v>2256</v>
      </c>
      <c r="K5321" s="11" t="s">
        <v>35</v>
      </c>
      <c r="L5321" s="11" t="s">
        <v>48</v>
      </c>
      <c r="M5321" s="11" t="s">
        <v>49</v>
      </c>
      <c r="N5321" s="11" t="s">
        <v>73</v>
      </c>
      <c r="O5321" s="11" t="s">
        <v>1269</v>
      </c>
      <c r="P5321" s="11" t="s">
        <v>38</v>
      </c>
      <c r="Q5321" s="20">
        <v>40730.0</v>
      </c>
      <c r="R5321" s="17">
        <f t="shared" si="2"/>
        <v>74.85011271</v>
      </c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>
        <f t="shared" si="8"/>
        <v>4</v>
      </c>
      <c r="AF5321" s="19">
        <f t="shared" si="13"/>
        <v>2</v>
      </c>
      <c r="AG5321" s="9"/>
      <c r="AH5321" s="9"/>
      <c r="AI5321" s="9"/>
    </row>
    <row r="5322" ht="15.0" customHeight="1">
      <c r="A5322" s="11">
        <v>5321.0</v>
      </c>
      <c r="B5322" s="12">
        <f t="shared" si="847"/>
        <v>40728</v>
      </c>
      <c r="C5322" s="13">
        <v>2011.0</v>
      </c>
      <c r="D5322" s="11" t="s">
        <v>23</v>
      </c>
      <c r="E5322" s="11">
        <v>39.0</v>
      </c>
      <c r="F5322" s="21" t="s">
        <v>1791</v>
      </c>
      <c r="G5322" s="15">
        <v>0.09079504814305354</v>
      </c>
      <c r="H5322" s="11" t="s">
        <v>33</v>
      </c>
      <c r="I5322" s="16">
        <v>2.8960000000000004</v>
      </c>
      <c r="J5322" s="11" t="s">
        <v>1017</v>
      </c>
      <c r="K5322" s="11" t="s">
        <v>117</v>
      </c>
      <c r="L5322" s="11" t="s">
        <v>48</v>
      </c>
      <c r="M5322" s="11" t="s">
        <v>66</v>
      </c>
      <c r="N5322" s="11" t="s">
        <v>67</v>
      </c>
      <c r="O5322" s="11" t="s">
        <v>2118</v>
      </c>
      <c r="P5322" s="11" t="s">
        <v>99</v>
      </c>
      <c r="Q5322" s="20">
        <v>40730.0</v>
      </c>
      <c r="R5322" s="17">
        <f t="shared" si="2"/>
        <v>30.00740023</v>
      </c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>
        <f t="shared" si="8"/>
        <v>4</v>
      </c>
      <c r="AF5322" s="19" t="b">
        <f t="shared" si="13"/>
        <v>0</v>
      </c>
      <c r="AG5322" s="9"/>
      <c r="AH5322" s="9"/>
      <c r="AI5322" s="9"/>
    </row>
    <row r="5323" ht="15.0" customHeight="1">
      <c r="A5323" s="11">
        <v>5322.0</v>
      </c>
      <c r="B5323" s="12">
        <f t="shared" si="847"/>
        <v>40728</v>
      </c>
      <c r="C5323" s="13">
        <v>2011.0</v>
      </c>
      <c r="D5323" s="11" t="s">
        <v>23</v>
      </c>
      <c r="E5323" s="11">
        <v>8.0</v>
      </c>
      <c r="F5323" s="21" t="s">
        <v>130</v>
      </c>
      <c r="G5323" s="15">
        <v>0.0637982195845699</v>
      </c>
      <c r="H5323" s="11" t="s">
        <v>33</v>
      </c>
      <c r="I5323" s="16">
        <v>5.2</v>
      </c>
      <c r="J5323" s="11" t="s">
        <v>1017</v>
      </c>
      <c r="K5323" s="11" t="s">
        <v>117</v>
      </c>
      <c r="L5323" s="11" t="s">
        <v>48</v>
      </c>
      <c r="M5323" s="11" t="s">
        <v>66</v>
      </c>
      <c r="N5323" s="11" t="s">
        <v>67</v>
      </c>
      <c r="O5323" s="11" t="s">
        <v>1464</v>
      </c>
      <c r="P5323" s="11" t="s">
        <v>38</v>
      </c>
      <c r="Q5323" s="20">
        <v>40730.0</v>
      </c>
      <c r="R5323" s="17">
        <f t="shared" si="2"/>
        <v>16.10267062</v>
      </c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>
        <f t="shared" si="8"/>
        <v>4</v>
      </c>
      <c r="AF5323" s="19" t="b">
        <f t="shared" si="13"/>
        <v>0</v>
      </c>
      <c r="AG5323" s="9"/>
      <c r="AH5323" s="9"/>
      <c r="AI5323" s="9"/>
    </row>
    <row r="5324" ht="15.0" customHeight="1">
      <c r="A5324" s="11">
        <v>5323.0</v>
      </c>
      <c r="B5324" s="12">
        <f t="shared" ref="B5324:B5330" si="848">DATE(2012,12,31)-545</f>
        <v>40729</v>
      </c>
      <c r="C5324" s="13">
        <v>2011.0</v>
      </c>
      <c r="D5324" s="11" t="s">
        <v>32</v>
      </c>
      <c r="E5324" s="11">
        <v>50.0</v>
      </c>
      <c r="F5324" s="21" t="s">
        <v>1639</v>
      </c>
      <c r="G5324" s="15">
        <v>0.012083929422985178</v>
      </c>
      <c r="H5324" s="11" t="s">
        <v>24</v>
      </c>
      <c r="I5324" s="16">
        <v>15.991999999999999</v>
      </c>
      <c r="J5324" s="11" t="s">
        <v>1716</v>
      </c>
      <c r="K5324" s="11" t="s">
        <v>65</v>
      </c>
      <c r="L5324" s="11" t="s">
        <v>27</v>
      </c>
      <c r="M5324" s="11" t="s">
        <v>28</v>
      </c>
      <c r="N5324" s="11" t="s">
        <v>197</v>
      </c>
      <c r="O5324" s="11" t="s">
        <v>1641</v>
      </c>
      <c r="P5324" s="11" t="s">
        <v>38</v>
      </c>
      <c r="Q5324" s="20">
        <v>40730.0</v>
      </c>
      <c r="R5324" s="17">
        <f t="shared" si="2"/>
        <v>30.04055187</v>
      </c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>
        <f t="shared" si="8"/>
        <v>1</v>
      </c>
      <c r="AF5324" s="19">
        <f t="shared" si="13"/>
        <v>5</v>
      </c>
      <c r="AG5324" s="9"/>
      <c r="AH5324" s="9"/>
      <c r="AI5324" s="9"/>
    </row>
    <row r="5325" ht="15.0" customHeight="1">
      <c r="A5325" s="11">
        <v>5324.0</v>
      </c>
      <c r="B5325" s="12">
        <f t="shared" si="848"/>
        <v>40729</v>
      </c>
      <c r="C5325" s="13">
        <v>2011.0</v>
      </c>
      <c r="D5325" s="11" t="s">
        <v>32</v>
      </c>
      <c r="E5325" s="11">
        <v>44.0</v>
      </c>
      <c r="F5325" s="21" t="s">
        <v>135</v>
      </c>
      <c r="G5325" s="15">
        <v>0.10492261001517451</v>
      </c>
      <c r="H5325" s="11" t="s">
        <v>33</v>
      </c>
      <c r="I5325" s="16">
        <v>4.5280000000000005</v>
      </c>
      <c r="J5325" s="11" t="s">
        <v>360</v>
      </c>
      <c r="K5325" s="11" t="s">
        <v>65</v>
      </c>
      <c r="L5325" s="11" t="s">
        <v>27</v>
      </c>
      <c r="M5325" s="11" t="s">
        <v>28</v>
      </c>
      <c r="N5325" s="11" t="s">
        <v>56</v>
      </c>
      <c r="O5325" s="11" t="s">
        <v>590</v>
      </c>
      <c r="P5325" s="11" t="s">
        <v>38</v>
      </c>
      <c r="Q5325" s="20">
        <v>40730.0</v>
      </c>
      <c r="R5325" s="17">
        <f t="shared" si="2"/>
        <v>30.94461553</v>
      </c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>
        <f t="shared" si="8"/>
        <v>1</v>
      </c>
      <c r="AF5325" s="19">
        <f t="shared" si="13"/>
        <v>5</v>
      </c>
      <c r="AG5325" s="9"/>
      <c r="AH5325" s="9"/>
      <c r="AI5325" s="9"/>
    </row>
    <row r="5326" ht="15.0" customHeight="1">
      <c r="A5326" s="11">
        <v>5325.0</v>
      </c>
      <c r="B5326" s="12">
        <f t="shared" si="848"/>
        <v>40729</v>
      </c>
      <c r="C5326" s="13">
        <v>2011.0</v>
      </c>
      <c r="D5326" s="11" t="s">
        <v>32</v>
      </c>
      <c r="E5326" s="11">
        <v>41.0</v>
      </c>
      <c r="F5326" s="21" t="s">
        <v>103</v>
      </c>
      <c r="G5326" s="15">
        <v>0.05170769831965611</v>
      </c>
      <c r="H5326" s="11" t="s">
        <v>33</v>
      </c>
      <c r="I5326" s="16">
        <v>0.768</v>
      </c>
      <c r="J5326" s="11" t="s">
        <v>360</v>
      </c>
      <c r="K5326" s="11" t="s">
        <v>65</v>
      </c>
      <c r="L5326" s="11" t="s">
        <v>27</v>
      </c>
      <c r="M5326" s="11" t="s">
        <v>28</v>
      </c>
      <c r="N5326" s="11" t="s">
        <v>62</v>
      </c>
      <c r="O5326" s="11" t="s">
        <v>691</v>
      </c>
      <c r="P5326" s="11" t="s">
        <v>58</v>
      </c>
      <c r="Q5326" s="20">
        <v>40731.0</v>
      </c>
      <c r="R5326" s="17">
        <f t="shared" si="2"/>
        <v>12.54780374</v>
      </c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>
        <f t="shared" si="8"/>
        <v>1</v>
      </c>
      <c r="AF5326" s="19">
        <f t="shared" si="13"/>
        <v>5</v>
      </c>
      <c r="AG5326" s="9"/>
      <c r="AH5326" s="9"/>
      <c r="AI5326" s="9"/>
    </row>
    <row r="5327" ht="15.0" customHeight="1">
      <c r="A5327" s="11">
        <v>5326.0</v>
      </c>
      <c r="B5327" s="12">
        <f t="shared" si="848"/>
        <v>40729</v>
      </c>
      <c r="C5327" s="13">
        <v>2011.0</v>
      </c>
      <c r="D5327" s="11" t="s">
        <v>32</v>
      </c>
      <c r="E5327" s="11">
        <v>6.0</v>
      </c>
      <c r="F5327" s="21" t="s">
        <v>319</v>
      </c>
      <c r="G5327" s="15">
        <v>0.04972375690607766</v>
      </c>
      <c r="H5327" s="11" t="s">
        <v>33</v>
      </c>
      <c r="I5327" s="16">
        <v>0.4</v>
      </c>
      <c r="J5327" s="11" t="s">
        <v>120</v>
      </c>
      <c r="K5327" s="11" t="s">
        <v>47</v>
      </c>
      <c r="L5327" s="11" t="s">
        <v>27</v>
      </c>
      <c r="M5327" s="11" t="s">
        <v>49</v>
      </c>
      <c r="N5327" s="11" t="s">
        <v>85</v>
      </c>
      <c r="O5327" s="11" t="s">
        <v>1115</v>
      </c>
      <c r="P5327" s="11" t="s">
        <v>87</v>
      </c>
      <c r="Q5327" s="20">
        <v>40731.0</v>
      </c>
      <c r="R5327" s="17">
        <f t="shared" si="2"/>
        <v>0.8552486188</v>
      </c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>
        <f t="shared" si="8"/>
        <v>1</v>
      </c>
      <c r="AF5327" s="19">
        <f t="shared" si="13"/>
        <v>3</v>
      </c>
      <c r="AG5327" s="9"/>
      <c r="AH5327" s="9"/>
      <c r="AI5327" s="9"/>
    </row>
    <row r="5328" ht="15.0" customHeight="1">
      <c r="A5328" s="11">
        <v>5327.0</v>
      </c>
      <c r="B5328" s="12">
        <f t="shared" si="848"/>
        <v>40729</v>
      </c>
      <c r="C5328" s="13">
        <v>2011.0</v>
      </c>
      <c r="D5328" s="11" t="s">
        <v>102</v>
      </c>
      <c r="E5328" s="11">
        <v>7.0</v>
      </c>
      <c r="F5328" s="21" t="s">
        <v>103</v>
      </c>
      <c r="G5328" s="15">
        <v>0.12147001934235978</v>
      </c>
      <c r="H5328" s="11" t="s">
        <v>24</v>
      </c>
      <c r="I5328" s="16">
        <v>4.12</v>
      </c>
      <c r="J5328" s="11" t="s">
        <v>674</v>
      </c>
      <c r="K5328" s="11" t="s">
        <v>61</v>
      </c>
      <c r="L5328" s="11" t="s">
        <v>36</v>
      </c>
      <c r="M5328" s="11" t="s">
        <v>28</v>
      </c>
      <c r="N5328" s="11" t="s">
        <v>56</v>
      </c>
      <c r="O5328" s="11" t="s">
        <v>1478</v>
      </c>
      <c r="P5328" s="11" t="s">
        <v>38</v>
      </c>
      <c r="Q5328" s="20">
        <v>40731.0</v>
      </c>
      <c r="R5328" s="17">
        <f t="shared" si="2"/>
        <v>5.517168279</v>
      </c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>
        <f t="shared" si="8"/>
        <v>2</v>
      </c>
      <c r="AF5328" s="19">
        <f t="shared" si="13"/>
        <v>4</v>
      </c>
      <c r="AG5328" s="9"/>
      <c r="AH5328" s="9"/>
      <c r="AI5328" s="9"/>
    </row>
    <row r="5329" ht="15.0" customHeight="1">
      <c r="A5329" s="11">
        <v>5328.0</v>
      </c>
      <c r="B5329" s="12">
        <f t="shared" si="848"/>
        <v>40729</v>
      </c>
      <c r="C5329" s="13">
        <v>2011.0</v>
      </c>
      <c r="D5329" s="11" t="s">
        <v>102</v>
      </c>
      <c r="E5329" s="11">
        <v>47.0</v>
      </c>
      <c r="F5329" s="21" t="s">
        <v>347</v>
      </c>
      <c r="G5329" s="15">
        <v>0.05782272384519961</v>
      </c>
      <c r="H5329" s="11" t="s">
        <v>45</v>
      </c>
      <c r="I5329" s="16">
        <v>72.84</v>
      </c>
      <c r="J5329" s="11" t="s">
        <v>674</v>
      </c>
      <c r="K5329" s="11" t="s">
        <v>61</v>
      </c>
      <c r="L5329" s="11" t="s">
        <v>36</v>
      </c>
      <c r="M5329" s="11" t="s">
        <v>28</v>
      </c>
      <c r="N5329" s="11" t="s">
        <v>197</v>
      </c>
      <c r="O5329" s="11" t="s">
        <v>348</v>
      </c>
      <c r="P5329" s="11" t="s">
        <v>52</v>
      </c>
      <c r="Q5329" s="20">
        <v>40731.0</v>
      </c>
      <c r="R5329" s="17">
        <f t="shared" si="2"/>
        <v>895.8786848</v>
      </c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>
        <f t="shared" si="8"/>
        <v>2</v>
      </c>
      <c r="AF5329" s="19">
        <f t="shared" si="13"/>
        <v>4</v>
      </c>
      <c r="AG5329" s="9"/>
      <c r="AH5329" s="9"/>
      <c r="AI5329" s="9"/>
    </row>
    <row r="5330" ht="15.0" customHeight="1">
      <c r="A5330" s="11">
        <v>5329.0</v>
      </c>
      <c r="B5330" s="12">
        <f t="shared" si="848"/>
        <v>40729</v>
      </c>
      <c r="C5330" s="13">
        <v>2011.0</v>
      </c>
      <c r="D5330" s="11" t="s">
        <v>102</v>
      </c>
      <c r="E5330" s="11">
        <v>27.0</v>
      </c>
      <c r="F5330" s="21" t="s">
        <v>405</v>
      </c>
      <c r="G5330" s="15">
        <v>0.06734475793314657</v>
      </c>
      <c r="H5330" s="11" t="s">
        <v>24</v>
      </c>
      <c r="I5330" s="16">
        <v>19.592</v>
      </c>
      <c r="J5330" s="11" t="s">
        <v>674</v>
      </c>
      <c r="K5330" s="11" t="s">
        <v>61</v>
      </c>
      <c r="L5330" s="11" t="s">
        <v>36</v>
      </c>
      <c r="M5330" s="11" t="s">
        <v>49</v>
      </c>
      <c r="N5330" s="11" t="s">
        <v>73</v>
      </c>
      <c r="O5330" s="11" t="s">
        <v>406</v>
      </c>
      <c r="P5330" s="11" t="s">
        <v>31</v>
      </c>
      <c r="Q5330" s="20">
        <v>40731.0</v>
      </c>
      <c r="R5330" s="17">
        <f t="shared" si="2"/>
        <v>192.7872998</v>
      </c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>
        <f t="shared" si="8"/>
        <v>2</v>
      </c>
      <c r="AF5330" s="19">
        <f t="shared" si="13"/>
        <v>4</v>
      </c>
      <c r="AG5330" s="9"/>
      <c r="AH5330" s="9"/>
      <c r="AI5330" s="9"/>
    </row>
    <row r="5331" ht="15.0" customHeight="1">
      <c r="A5331" s="11">
        <v>5330.0</v>
      </c>
      <c r="B5331" s="12">
        <f t="shared" ref="B5331:B5335" si="849">DATE(2012,12,31)-544</f>
        <v>40730</v>
      </c>
      <c r="C5331" s="13">
        <v>2011.0</v>
      </c>
      <c r="D5331" s="11" t="s">
        <v>32</v>
      </c>
      <c r="E5331" s="11">
        <v>12.0</v>
      </c>
      <c r="F5331" s="21" t="s">
        <v>694</v>
      </c>
      <c r="G5331" s="15">
        <v>0.026929165794431758</v>
      </c>
      <c r="H5331" s="11" t="s">
        <v>33</v>
      </c>
      <c r="I5331" s="16">
        <v>3.192</v>
      </c>
      <c r="J5331" s="11" t="s">
        <v>1872</v>
      </c>
      <c r="K5331" s="11" t="s">
        <v>35</v>
      </c>
      <c r="L5331" s="11" t="s">
        <v>48</v>
      </c>
      <c r="M5331" s="11" t="s">
        <v>28</v>
      </c>
      <c r="N5331" s="11" t="s">
        <v>197</v>
      </c>
      <c r="O5331" s="11" t="s">
        <v>2515</v>
      </c>
      <c r="P5331" s="11" t="s">
        <v>38</v>
      </c>
      <c r="Q5331" s="20">
        <v>40731.0</v>
      </c>
      <c r="R5331" s="17">
        <f t="shared" si="2"/>
        <v>12.81806748</v>
      </c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>
        <f t="shared" si="8"/>
        <v>4</v>
      </c>
      <c r="AF5331" s="19">
        <f t="shared" si="13"/>
        <v>2</v>
      </c>
      <c r="AG5331" s="9"/>
      <c r="AH5331" s="9"/>
      <c r="AI5331" s="9"/>
    </row>
    <row r="5332" ht="15.0" customHeight="1">
      <c r="A5332" s="11">
        <v>5331.0</v>
      </c>
      <c r="B5332" s="12">
        <f t="shared" si="849"/>
        <v>40730</v>
      </c>
      <c r="C5332" s="13">
        <v>2011.0</v>
      </c>
      <c r="D5332" s="11" t="s">
        <v>102</v>
      </c>
      <c r="E5332" s="11">
        <v>1.0</v>
      </c>
      <c r="F5332" s="21" t="s">
        <v>126</v>
      </c>
      <c r="G5332" s="15">
        <v>0.14099009900990095</v>
      </c>
      <c r="H5332" s="11" t="s">
        <v>33</v>
      </c>
      <c r="I5332" s="16">
        <v>3.776</v>
      </c>
      <c r="J5332" s="11" t="s">
        <v>2017</v>
      </c>
      <c r="K5332" s="11" t="s">
        <v>65</v>
      </c>
      <c r="L5332" s="11" t="s">
        <v>48</v>
      </c>
      <c r="M5332" s="11" t="s">
        <v>28</v>
      </c>
      <c r="N5332" s="11" t="s">
        <v>56</v>
      </c>
      <c r="O5332" s="11" t="s">
        <v>1299</v>
      </c>
      <c r="P5332" s="11" t="s">
        <v>38</v>
      </c>
      <c r="Q5332" s="20">
        <v>40732.0</v>
      </c>
      <c r="R5332" s="17">
        <f t="shared" si="2"/>
        <v>1.223230099</v>
      </c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>
        <f t="shared" si="8"/>
        <v>4</v>
      </c>
      <c r="AF5332" s="19">
        <f t="shared" si="13"/>
        <v>5</v>
      </c>
      <c r="AG5332" s="9"/>
      <c r="AH5332" s="9"/>
      <c r="AI5332" s="9"/>
    </row>
    <row r="5333" ht="15.0" customHeight="1">
      <c r="A5333" s="11">
        <v>5332.0</v>
      </c>
      <c r="B5333" s="12">
        <f t="shared" si="849"/>
        <v>40730</v>
      </c>
      <c r="C5333" s="13">
        <v>2011.0</v>
      </c>
      <c r="D5333" s="11" t="s">
        <v>102</v>
      </c>
      <c r="E5333" s="11">
        <v>48.0</v>
      </c>
      <c r="F5333" s="21" t="s">
        <v>325</v>
      </c>
      <c r="G5333" s="15">
        <v>0.04120317820658338</v>
      </c>
      <c r="H5333" s="11" t="s">
        <v>33</v>
      </c>
      <c r="I5333" s="16">
        <v>1.8800000000000001</v>
      </c>
      <c r="J5333" s="11" t="s">
        <v>2017</v>
      </c>
      <c r="K5333" s="11" t="s">
        <v>65</v>
      </c>
      <c r="L5333" s="11" t="s">
        <v>48</v>
      </c>
      <c r="M5333" s="11" t="s">
        <v>28</v>
      </c>
      <c r="N5333" s="11" t="s">
        <v>62</v>
      </c>
      <c r="O5333" s="11" t="s">
        <v>1113</v>
      </c>
      <c r="P5333" s="11" t="s">
        <v>58</v>
      </c>
      <c r="Q5333" s="20">
        <v>40732.0</v>
      </c>
      <c r="R5333" s="17">
        <f t="shared" si="2"/>
        <v>13.92172985</v>
      </c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>
        <f t="shared" si="8"/>
        <v>4</v>
      </c>
      <c r="AF5333" s="19">
        <f t="shared" si="13"/>
        <v>5</v>
      </c>
      <c r="AG5333" s="9"/>
      <c r="AH5333" s="9"/>
      <c r="AI5333" s="9"/>
    </row>
    <row r="5334" ht="15.0" customHeight="1">
      <c r="A5334" s="11">
        <v>5333.0</v>
      </c>
      <c r="B5334" s="12">
        <f t="shared" si="849"/>
        <v>40730</v>
      </c>
      <c r="C5334" s="13">
        <v>2011.0</v>
      </c>
      <c r="D5334" s="11" t="s">
        <v>23</v>
      </c>
      <c r="E5334" s="11">
        <v>38.0</v>
      </c>
      <c r="F5334" s="21" t="s">
        <v>1665</v>
      </c>
      <c r="G5334" s="15">
        <v>0.04806664026141193</v>
      </c>
      <c r="H5334" s="11" t="s">
        <v>45</v>
      </c>
      <c r="I5334" s="16">
        <v>44.24</v>
      </c>
      <c r="J5334" s="11" t="s">
        <v>1903</v>
      </c>
      <c r="K5334" s="11" t="s">
        <v>65</v>
      </c>
      <c r="L5334" s="11" t="s">
        <v>48</v>
      </c>
      <c r="M5334" s="11" t="s">
        <v>66</v>
      </c>
      <c r="N5334" s="11" t="s">
        <v>69</v>
      </c>
      <c r="O5334" s="11" t="s">
        <v>1666</v>
      </c>
      <c r="P5334" s="11" t="s">
        <v>52</v>
      </c>
      <c r="Q5334" s="20">
        <v>40732.0</v>
      </c>
      <c r="R5334" s="17">
        <f t="shared" si="2"/>
        <v>1478.695204</v>
      </c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>
        <f t="shared" si="8"/>
        <v>4</v>
      </c>
      <c r="AF5334" s="19">
        <f t="shared" si="13"/>
        <v>5</v>
      </c>
      <c r="AG5334" s="9"/>
      <c r="AH5334" s="9"/>
      <c r="AI5334" s="9"/>
    </row>
    <row r="5335" ht="15.0" customHeight="1">
      <c r="A5335" s="11">
        <v>5334.0</v>
      </c>
      <c r="B5335" s="12">
        <f t="shared" si="849"/>
        <v>40730</v>
      </c>
      <c r="C5335" s="13">
        <v>2011.0</v>
      </c>
      <c r="D5335" s="11" t="s">
        <v>44</v>
      </c>
      <c r="E5335" s="11">
        <v>31.0</v>
      </c>
      <c r="F5335" s="21" t="s">
        <v>1760</v>
      </c>
      <c r="G5335" s="15">
        <v>0.02039531478770133</v>
      </c>
      <c r="H5335" s="11" t="s">
        <v>33</v>
      </c>
      <c r="I5335" s="16">
        <v>4.128</v>
      </c>
      <c r="J5335" s="11" t="s">
        <v>2079</v>
      </c>
      <c r="K5335" s="11" t="s">
        <v>61</v>
      </c>
      <c r="L5335" s="11" t="s">
        <v>48</v>
      </c>
      <c r="M5335" s="11" t="s">
        <v>28</v>
      </c>
      <c r="N5335" s="11" t="s">
        <v>56</v>
      </c>
      <c r="O5335" s="11" t="s">
        <v>2549</v>
      </c>
      <c r="P5335" s="11" t="s">
        <v>58</v>
      </c>
      <c r="Q5335" s="20">
        <v>40732.0</v>
      </c>
      <c r="R5335" s="17">
        <f t="shared" si="2"/>
        <v>5.458357306</v>
      </c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>
        <f t="shared" si="8"/>
        <v>4</v>
      </c>
      <c r="AF5335" s="19">
        <f t="shared" si="13"/>
        <v>4</v>
      </c>
      <c r="AG5335" s="9"/>
      <c r="AH5335" s="9"/>
      <c r="AI5335" s="9"/>
    </row>
    <row r="5336" ht="15.0" customHeight="1">
      <c r="A5336" s="11">
        <v>5335.0</v>
      </c>
      <c r="B5336" s="12">
        <f t="shared" ref="B5336:B5340" si="850">DATE(2012,12,31)-543</f>
        <v>40731</v>
      </c>
      <c r="C5336" s="13">
        <v>2011.0</v>
      </c>
      <c r="D5336" s="11" t="s">
        <v>23</v>
      </c>
      <c r="E5336" s="11">
        <v>21.0</v>
      </c>
      <c r="F5336" s="21" t="s">
        <v>889</v>
      </c>
      <c r="G5336" s="15">
        <v>0.09536914101790386</v>
      </c>
      <c r="H5336" s="11" t="s">
        <v>33</v>
      </c>
      <c r="I5336" s="16">
        <v>2.3920000000000003</v>
      </c>
      <c r="J5336" s="11" t="s">
        <v>485</v>
      </c>
      <c r="K5336" s="11" t="s">
        <v>47</v>
      </c>
      <c r="L5336" s="11" t="s">
        <v>41</v>
      </c>
      <c r="M5336" s="11" t="s">
        <v>28</v>
      </c>
      <c r="N5336" s="11" t="s">
        <v>42</v>
      </c>
      <c r="O5336" s="11" t="s">
        <v>2489</v>
      </c>
      <c r="P5336" s="11" t="s">
        <v>38</v>
      </c>
      <c r="Q5336" s="20">
        <v>40732.0</v>
      </c>
      <c r="R5336" s="17">
        <f t="shared" si="2"/>
        <v>42.88673976</v>
      </c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>
        <f t="shared" si="8"/>
        <v>3</v>
      </c>
      <c r="AF5336" s="19">
        <f t="shared" si="13"/>
        <v>3</v>
      </c>
      <c r="AG5336" s="9"/>
      <c r="AH5336" s="9"/>
      <c r="AI5336" s="9"/>
    </row>
    <row r="5337" ht="15.0" customHeight="1">
      <c r="A5337" s="11">
        <v>5336.0</v>
      </c>
      <c r="B5337" s="12">
        <f t="shared" si="850"/>
        <v>40731</v>
      </c>
      <c r="C5337" s="13">
        <v>2011.0</v>
      </c>
      <c r="D5337" s="11" t="s">
        <v>32</v>
      </c>
      <c r="E5337" s="11">
        <v>23.0</v>
      </c>
      <c r="F5337" s="21" t="s">
        <v>933</v>
      </c>
      <c r="G5337" s="15">
        <v>0.06706786542923433</v>
      </c>
      <c r="H5337" s="11" t="s">
        <v>33</v>
      </c>
      <c r="I5337" s="16">
        <v>1.0</v>
      </c>
      <c r="J5337" s="11" t="s">
        <v>1618</v>
      </c>
      <c r="K5337" s="11" t="s">
        <v>65</v>
      </c>
      <c r="L5337" s="11" t="s">
        <v>41</v>
      </c>
      <c r="M5337" s="11" t="s">
        <v>66</v>
      </c>
      <c r="N5337" s="11" t="s">
        <v>80</v>
      </c>
      <c r="O5337" s="11" t="s">
        <v>1407</v>
      </c>
      <c r="P5337" s="11" t="s">
        <v>99</v>
      </c>
      <c r="Q5337" s="20">
        <v>40733.0</v>
      </c>
      <c r="R5337" s="17">
        <f t="shared" si="2"/>
        <v>86.29622245</v>
      </c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>
        <f t="shared" si="8"/>
        <v>3</v>
      </c>
      <c r="AF5337" s="19">
        <f t="shared" si="13"/>
        <v>5</v>
      </c>
      <c r="AG5337" s="9"/>
      <c r="AH5337" s="9"/>
      <c r="AI5337" s="9"/>
    </row>
    <row r="5338" ht="15.0" customHeight="1">
      <c r="A5338" s="11">
        <v>5337.0</v>
      </c>
      <c r="B5338" s="12">
        <f t="shared" si="850"/>
        <v>40731</v>
      </c>
      <c r="C5338" s="13">
        <v>2011.0</v>
      </c>
      <c r="D5338" s="11" t="s">
        <v>32</v>
      </c>
      <c r="E5338" s="11">
        <v>3.0</v>
      </c>
      <c r="F5338" s="21" t="s">
        <v>1656</v>
      </c>
      <c r="G5338" s="15">
        <v>0.05676619415036788</v>
      </c>
      <c r="H5338" s="11" t="s">
        <v>45</v>
      </c>
      <c r="I5338" s="16">
        <v>6.984000000000001</v>
      </c>
      <c r="J5338" s="11" t="s">
        <v>1618</v>
      </c>
      <c r="K5338" s="11" t="s">
        <v>65</v>
      </c>
      <c r="L5338" s="11" t="s">
        <v>41</v>
      </c>
      <c r="M5338" s="11" t="s">
        <v>66</v>
      </c>
      <c r="N5338" s="11" t="s">
        <v>69</v>
      </c>
      <c r="O5338" s="11" t="s">
        <v>1658</v>
      </c>
      <c r="P5338" s="11" t="s">
        <v>87</v>
      </c>
      <c r="Q5338" s="20">
        <v>40733.0</v>
      </c>
      <c r="R5338" s="17">
        <f t="shared" si="2"/>
        <v>596.7991207</v>
      </c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>
        <f t="shared" si="8"/>
        <v>3</v>
      </c>
      <c r="AF5338" s="19">
        <f t="shared" si="13"/>
        <v>5</v>
      </c>
      <c r="AG5338" s="9"/>
      <c r="AH5338" s="9"/>
      <c r="AI5338" s="9"/>
    </row>
    <row r="5339" ht="15.0" customHeight="1">
      <c r="A5339" s="11">
        <v>5338.0</v>
      </c>
      <c r="B5339" s="12">
        <f t="shared" si="850"/>
        <v>40731</v>
      </c>
      <c r="C5339" s="13">
        <v>2011.0</v>
      </c>
      <c r="D5339" s="11" t="s">
        <v>32</v>
      </c>
      <c r="E5339" s="11">
        <v>4.0</v>
      </c>
      <c r="F5339" s="21" t="s">
        <v>762</v>
      </c>
      <c r="G5339" s="15">
        <v>0.10444444444444441</v>
      </c>
      <c r="H5339" s="11" t="s">
        <v>33</v>
      </c>
      <c r="I5339" s="16">
        <v>3.9840000000000004</v>
      </c>
      <c r="J5339" s="11" t="s">
        <v>1240</v>
      </c>
      <c r="K5339" s="11" t="s">
        <v>35</v>
      </c>
      <c r="L5339" s="11" t="s">
        <v>41</v>
      </c>
      <c r="M5339" s="11" t="s">
        <v>28</v>
      </c>
      <c r="N5339" s="11" t="s">
        <v>197</v>
      </c>
      <c r="O5339" s="11" t="s">
        <v>1001</v>
      </c>
      <c r="P5339" s="11" t="s">
        <v>38</v>
      </c>
      <c r="Q5339" s="20">
        <v>40733.0</v>
      </c>
      <c r="R5339" s="17">
        <f t="shared" si="2"/>
        <v>5.387662222</v>
      </c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>
        <f t="shared" si="8"/>
        <v>3</v>
      </c>
      <c r="AF5339" s="19">
        <f t="shared" si="13"/>
        <v>2</v>
      </c>
      <c r="AG5339" s="9"/>
      <c r="AH5339" s="9"/>
      <c r="AI5339" s="9"/>
    </row>
    <row r="5340" ht="15.0" customHeight="1">
      <c r="A5340" s="11">
        <v>5339.0</v>
      </c>
      <c r="B5340" s="12">
        <f t="shared" si="850"/>
        <v>40731</v>
      </c>
      <c r="C5340" s="13">
        <v>2011.0</v>
      </c>
      <c r="D5340" s="11" t="s">
        <v>32</v>
      </c>
      <c r="E5340" s="11">
        <v>32.0</v>
      </c>
      <c r="F5340" s="21" t="s">
        <v>1015</v>
      </c>
      <c r="G5340" s="15">
        <v>0.08488954344624434</v>
      </c>
      <c r="H5340" s="11" t="s">
        <v>24</v>
      </c>
      <c r="I5340" s="16">
        <v>4.008</v>
      </c>
      <c r="J5340" s="11" t="s">
        <v>1240</v>
      </c>
      <c r="K5340" s="11" t="s">
        <v>35</v>
      </c>
      <c r="L5340" s="11" t="s">
        <v>41</v>
      </c>
      <c r="M5340" s="11" t="s">
        <v>28</v>
      </c>
      <c r="N5340" s="11" t="s">
        <v>42</v>
      </c>
      <c r="O5340" s="11" t="s">
        <v>1547</v>
      </c>
      <c r="P5340" s="11" t="s">
        <v>38</v>
      </c>
      <c r="Q5340" s="20">
        <v>40733.0</v>
      </c>
      <c r="R5340" s="17">
        <f t="shared" si="2"/>
        <v>15.82409001</v>
      </c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>
        <f t="shared" si="8"/>
        <v>3</v>
      </c>
      <c r="AF5340" s="19">
        <f t="shared" si="13"/>
        <v>2</v>
      </c>
      <c r="AG5340" s="9"/>
      <c r="AH5340" s="9"/>
      <c r="AI5340" s="9"/>
    </row>
    <row r="5341" ht="15.0" customHeight="1">
      <c r="A5341" s="11">
        <v>5340.0</v>
      </c>
      <c r="B5341" s="12">
        <f t="shared" ref="B5341:B5342" si="851">DATE(2012,12,31)-542</f>
        <v>40732</v>
      </c>
      <c r="C5341" s="13">
        <v>2011.0</v>
      </c>
      <c r="D5341" s="11" t="s">
        <v>23</v>
      </c>
      <c r="E5341" s="11">
        <v>7.0</v>
      </c>
      <c r="F5341" s="21" t="s">
        <v>322</v>
      </c>
      <c r="G5341" s="15">
        <v>0.10837606837606843</v>
      </c>
      <c r="H5341" s="11" t="s">
        <v>33</v>
      </c>
      <c r="I5341" s="16">
        <v>2.3920000000000003</v>
      </c>
      <c r="J5341" s="11" t="s">
        <v>2372</v>
      </c>
      <c r="K5341" s="11" t="s">
        <v>714</v>
      </c>
      <c r="L5341" s="11" t="s">
        <v>27</v>
      </c>
      <c r="M5341" s="11" t="s">
        <v>28</v>
      </c>
      <c r="N5341" s="11" t="s">
        <v>42</v>
      </c>
      <c r="O5341" s="11" t="s">
        <v>2146</v>
      </c>
      <c r="P5341" s="11" t="s">
        <v>38</v>
      </c>
      <c r="Q5341" s="20">
        <v>40734.0</v>
      </c>
      <c r="R5341" s="17">
        <f t="shared" si="2"/>
        <v>6.783474872</v>
      </c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>
        <f t="shared" si="8"/>
        <v>1</v>
      </c>
      <c r="AF5341" s="19" t="b">
        <f t="shared" si="13"/>
        <v>0</v>
      </c>
      <c r="AG5341" s="9"/>
      <c r="AH5341" s="9"/>
      <c r="AI5341" s="9"/>
    </row>
    <row r="5342" ht="15.0" customHeight="1">
      <c r="A5342" s="11">
        <v>5341.0</v>
      </c>
      <c r="B5342" s="12">
        <f t="shared" si="851"/>
        <v>40732</v>
      </c>
      <c r="C5342" s="13">
        <v>2011.0</v>
      </c>
      <c r="D5342" s="11" t="s">
        <v>23</v>
      </c>
      <c r="E5342" s="11">
        <v>17.0</v>
      </c>
      <c r="F5342" s="21" t="s">
        <v>668</v>
      </c>
      <c r="G5342" s="15">
        <v>0.0650134048257372</v>
      </c>
      <c r="H5342" s="11" t="s">
        <v>33</v>
      </c>
      <c r="I5342" s="16">
        <v>5.2</v>
      </c>
      <c r="J5342" s="11" t="s">
        <v>2374</v>
      </c>
      <c r="K5342" s="11" t="s">
        <v>61</v>
      </c>
      <c r="L5342" s="11" t="s">
        <v>48</v>
      </c>
      <c r="M5342" s="11" t="s">
        <v>28</v>
      </c>
      <c r="N5342" s="11" t="s">
        <v>29</v>
      </c>
      <c r="O5342" s="11" t="s">
        <v>1509</v>
      </c>
      <c r="P5342" s="11" t="s">
        <v>75</v>
      </c>
      <c r="Q5342" s="20">
        <v>40734.0</v>
      </c>
      <c r="R5342" s="17">
        <f t="shared" si="2"/>
        <v>9.069369973</v>
      </c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>
        <f t="shared" si="8"/>
        <v>4</v>
      </c>
      <c r="AF5342" s="19">
        <f t="shared" si="13"/>
        <v>4</v>
      </c>
      <c r="AG5342" s="9"/>
      <c r="AH5342" s="9"/>
      <c r="AI5342" s="9"/>
    </row>
    <row r="5343" ht="15.0" customHeight="1">
      <c r="A5343" s="11">
        <v>5342.0</v>
      </c>
      <c r="B5343" s="12">
        <f t="shared" ref="B5343:B5350" si="852">DATE(2012,12,31)-540</f>
        <v>40734</v>
      </c>
      <c r="C5343" s="13">
        <v>2011.0</v>
      </c>
      <c r="D5343" s="11" t="s">
        <v>32</v>
      </c>
      <c r="E5343" s="11">
        <v>30.0</v>
      </c>
      <c r="F5343" s="21" t="s">
        <v>569</v>
      </c>
      <c r="G5343" s="15">
        <v>0.07461215240073653</v>
      </c>
      <c r="H5343" s="11" t="s">
        <v>33</v>
      </c>
      <c r="I5343" s="16">
        <v>3.192</v>
      </c>
      <c r="J5343" s="11" t="s">
        <v>501</v>
      </c>
      <c r="K5343" s="11" t="s">
        <v>117</v>
      </c>
      <c r="L5343" s="11" t="s">
        <v>48</v>
      </c>
      <c r="M5343" s="11" t="s">
        <v>66</v>
      </c>
      <c r="N5343" s="11" t="s">
        <v>80</v>
      </c>
      <c r="O5343" s="11" t="s">
        <v>570</v>
      </c>
      <c r="P5343" s="11" t="s">
        <v>38</v>
      </c>
      <c r="Q5343" s="20">
        <v>40734.0</v>
      </c>
      <c r="R5343" s="17">
        <f t="shared" si="2"/>
        <v>438.7337816</v>
      </c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>
        <f t="shared" si="8"/>
        <v>4</v>
      </c>
      <c r="AF5343" s="19" t="b">
        <f t="shared" si="13"/>
        <v>0</v>
      </c>
      <c r="AG5343" s="9"/>
      <c r="AH5343" s="9"/>
      <c r="AI5343" s="9"/>
    </row>
    <row r="5344" ht="15.0" customHeight="1">
      <c r="A5344" s="11">
        <v>5343.0</v>
      </c>
      <c r="B5344" s="12">
        <f t="shared" si="852"/>
        <v>40734</v>
      </c>
      <c r="C5344" s="13">
        <v>2011.0</v>
      </c>
      <c r="D5344" s="11" t="s">
        <v>39</v>
      </c>
      <c r="E5344" s="11">
        <v>37.0</v>
      </c>
      <c r="F5344" s="21" t="s">
        <v>983</v>
      </c>
      <c r="G5344" s="15">
        <v>0.04306737808661121</v>
      </c>
      <c r="H5344" s="11" t="s">
        <v>33</v>
      </c>
      <c r="I5344" s="16">
        <v>1.592</v>
      </c>
      <c r="J5344" s="11" t="s">
        <v>1773</v>
      </c>
      <c r="K5344" s="11" t="s">
        <v>61</v>
      </c>
      <c r="L5344" s="11" t="s">
        <v>48</v>
      </c>
      <c r="M5344" s="11" t="s">
        <v>66</v>
      </c>
      <c r="N5344" s="11" t="s">
        <v>67</v>
      </c>
      <c r="O5344" s="11" t="s">
        <v>2051</v>
      </c>
      <c r="P5344" s="11" t="s">
        <v>99</v>
      </c>
      <c r="Q5344" s="20">
        <v>40735.0</v>
      </c>
      <c r="R5344" s="17">
        <f t="shared" si="2"/>
        <v>33.21321744</v>
      </c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>
        <f t="shared" si="8"/>
        <v>4</v>
      </c>
      <c r="AF5344" s="19">
        <f t="shared" si="13"/>
        <v>4</v>
      </c>
      <c r="AG5344" s="9"/>
      <c r="AH5344" s="9"/>
      <c r="AI5344" s="9"/>
    </row>
    <row r="5345" ht="15.0" customHeight="1">
      <c r="A5345" s="11">
        <v>5344.0</v>
      </c>
      <c r="B5345" s="12">
        <f t="shared" si="852"/>
        <v>40734</v>
      </c>
      <c r="C5345" s="13">
        <v>2011.0</v>
      </c>
      <c r="D5345" s="11" t="s">
        <v>39</v>
      </c>
      <c r="E5345" s="11">
        <v>12.0</v>
      </c>
      <c r="F5345" s="21" t="s">
        <v>142</v>
      </c>
      <c r="G5345" s="15">
        <v>0.012601235415237005</v>
      </c>
      <c r="H5345" s="11" t="s">
        <v>33</v>
      </c>
      <c r="I5345" s="16">
        <v>0.792</v>
      </c>
      <c r="J5345" s="11" t="s">
        <v>1773</v>
      </c>
      <c r="K5345" s="11" t="s">
        <v>61</v>
      </c>
      <c r="L5345" s="11" t="s">
        <v>48</v>
      </c>
      <c r="M5345" s="11" t="s">
        <v>66</v>
      </c>
      <c r="N5345" s="11" t="s">
        <v>80</v>
      </c>
      <c r="O5345" s="11" t="s">
        <v>1046</v>
      </c>
      <c r="P5345" s="11" t="s">
        <v>99</v>
      </c>
      <c r="Q5345" s="20">
        <v>40736.0</v>
      </c>
      <c r="R5345" s="17">
        <f t="shared" si="2"/>
        <v>5.438592395</v>
      </c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>
        <f t="shared" si="8"/>
        <v>4</v>
      </c>
      <c r="AF5345" s="19">
        <f t="shared" si="13"/>
        <v>4</v>
      </c>
      <c r="AG5345" s="9"/>
      <c r="AH5345" s="9"/>
      <c r="AI5345" s="9"/>
    </row>
    <row r="5346" ht="15.0" customHeight="1">
      <c r="A5346" s="11">
        <v>5345.0</v>
      </c>
      <c r="B5346" s="12">
        <f t="shared" si="852"/>
        <v>40734</v>
      </c>
      <c r="C5346" s="13">
        <v>2011.0</v>
      </c>
      <c r="D5346" s="11" t="s">
        <v>23</v>
      </c>
      <c r="E5346" s="11">
        <v>33.0</v>
      </c>
      <c r="F5346" s="21" t="s">
        <v>450</v>
      </c>
      <c r="G5346" s="15">
        <v>0.09197941398476642</v>
      </c>
      <c r="H5346" s="11" t="s">
        <v>33</v>
      </c>
      <c r="I5346" s="16">
        <v>19.592</v>
      </c>
      <c r="J5346" s="11" t="s">
        <v>934</v>
      </c>
      <c r="K5346" s="11" t="s">
        <v>61</v>
      </c>
      <c r="L5346" s="11" t="s">
        <v>41</v>
      </c>
      <c r="M5346" s="11" t="s">
        <v>66</v>
      </c>
      <c r="N5346" s="11" t="s">
        <v>170</v>
      </c>
      <c r="O5346" s="11" t="s">
        <v>451</v>
      </c>
      <c r="P5346" s="11" t="s">
        <v>31</v>
      </c>
      <c r="Q5346" s="20">
        <v>40736.0</v>
      </c>
      <c r="R5346" s="17">
        <f t="shared" si="2"/>
        <v>608.5626609</v>
      </c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>
        <f t="shared" si="8"/>
        <v>3</v>
      </c>
      <c r="AF5346" s="19">
        <f t="shared" si="13"/>
        <v>4</v>
      </c>
      <c r="AG5346" s="9"/>
      <c r="AH5346" s="9"/>
      <c r="AI5346" s="9"/>
    </row>
    <row r="5347" ht="15.0" customHeight="1">
      <c r="A5347" s="11">
        <v>5346.0</v>
      </c>
      <c r="B5347" s="12">
        <f t="shared" si="852"/>
        <v>40734</v>
      </c>
      <c r="C5347" s="13">
        <v>2011.0</v>
      </c>
      <c r="D5347" s="11" t="s">
        <v>23</v>
      </c>
      <c r="E5347" s="11">
        <v>15.0</v>
      </c>
      <c r="F5347" s="21" t="s">
        <v>158</v>
      </c>
      <c r="G5347" s="15">
        <v>0.0538904363974002</v>
      </c>
      <c r="H5347" s="11" t="s">
        <v>33</v>
      </c>
      <c r="I5347" s="16">
        <v>5.896000000000001</v>
      </c>
      <c r="J5347" s="11" t="s">
        <v>934</v>
      </c>
      <c r="K5347" s="11" t="s">
        <v>61</v>
      </c>
      <c r="L5347" s="11" t="s">
        <v>41</v>
      </c>
      <c r="M5347" s="11" t="s">
        <v>28</v>
      </c>
      <c r="N5347" s="11" t="s">
        <v>56</v>
      </c>
      <c r="O5347" s="11" t="s">
        <v>860</v>
      </c>
      <c r="P5347" s="11" t="s">
        <v>38</v>
      </c>
      <c r="Q5347" s="20">
        <v>40736.0</v>
      </c>
      <c r="R5347" s="17">
        <f t="shared" si="2"/>
        <v>5.491219907</v>
      </c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>
        <f t="shared" si="8"/>
        <v>3</v>
      </c>
      <c r="AF5347" s="19">
        <f t="shared" si="13"/>
        <v>4</v>
      </c>
      <c r="AG5347" s="9"/>
      <c r="AH5347" s="9"/>
      <c r="AI5347" s="9"/>
    </row>
    <row r="5348" ht="15.0" customHeight="1">
      <c r="A5348" s="11">
        <v>5347.0</v>
      </c>
      <c r="B5348" s="12">
        <f t="shared" si="852"/>
        <v>40734</v>
      </c>
      <c r="C5348" s="13">
        <v>2011.0</v>
      </c>
      <c r="D5348" s="11" t="s">
        <v>44</v>
      </c>
      <c r="E5348" s="11">
        <v>33.0</v>
      </c>
      <c r="F5348" s="21" t="s">
        <v>513</v>
      </c>
      <c r="G5348" s="15">
        <v>0.035371781192869496</v>
      </c>
      <c r="H5348" s="11" t="s">
        <v>45</v>
      </c>
      <c r="I5348" s="16">
        <v>24.0</v>
      </c>
      <c r="J5348" s="11" t="s">
        <v>1831</v>
      </c>
      <c r="K5348" s="11" t="s">
        <v>61</v>
      </c>
      <c r="L5348" s="11" t="s">
        <v>48</v>
      </c>
      <c r="M5348" s="11" t="s">
        <v>49</v>
      </c>
      <c r="N5348" s="11" t="s">
        <v>50</v>
      </c>
      <c r="O5348" s="11" t="s">
        <v>515</v>
      </c>
      <c r="P5348" s="11" t="s">
        <v>52</v>
      </c>
      <c r="Q5348" s="20">
        <v>40736.0</v>
      </c>
      <c r="R5348" s="17">
        <f t="shared" si="2"/>
        <v>188.6624693</v>
      </c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>
        <f t="shared" si="8"/>
        <v>4</v>
      </c>
      <c r="AF5348" s="19">
        <f t="shared" si="13"/>
        <v>4</v>
      </c>
      <c r="AG5348" s="9"/>
      <c r="AH5348" s="9"/>
      <c r="AI5348" s="9"/>
    </row>
    <row r="5349" ht="15.0" customHeight="1">
      <c r="A5349" s="11">
        <v>5348.0</v>
      </c>
      <c r="B5349" s="12">
        <f t="shared" si="852"/>
        <v>40734</v>
      </c>
      <c r="C5349" s="13">
        <v>2011.0</v>
      </c>
      <c r="D5349" s="11" t="s">
        <v>44</v>
      </c>
      <c r="E5349" s="11">
        <v>24.0</v>
      </c>
      <c r="F5349" s="21" t="s">
        <v>256</v>
      </c>
      <c r="G5349" s="15">
        <v>0.09897765219624963</v>
      </c>
      <c r="H5349" s="11" t="s">
        <v>33</v>
      </c>
      <c r="I5349" s="16">
        <v>5.168</v>
      </c>
      <c r="J5349" s="11" t="s">
        <v>1876</v>
      </c>
      <c r="K5349" s="11" t="s">
        <v>61</v>
      </c>
      <c r="L5349" s="11" t="s">
        <v>27</v>
      </c>
      <c r="M5349" s="11" t="s">
        <v>28</v>
      </c>
      <c r="N5349" s="11" t="s">
        <v>42</v>
      </c>
      <c r="O5349" s="11" t="s">
        <v>547</v>
      </c>
      <c r="P5349" s="11" t="s">
        <v>38</v>
      </c>
      <c r="Q5349" s="20">
        <v>40737.0</v>
      </c>
      <c r="R5349" s="17">
        <f t="shared" si="2"/>
        <v>34.71819311</v>
      </c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>
        <f t="shared" si="8"/>
        <v>1</v>
      </c>
      <c r="AF5349" s="19">
        <f t="shared" si="13"/>
        <v>4</v>
      </c>
      <c r="AG5349" s="9"/>
      <c r="AH5349" s="9"/>
      <c r="AI5349" s="9"/>
    </row>
    <row r="5350" ht="15.0" customHeight="1">
      <c r="A5350" s="11">
        <v>5349.0</v>
      </c>
      <c r="B5350" s="12">
        <f t="shared" si="852"/>
        <v>40734</v>
      </c>
      <c r="C5350" s="13">
        <v>2011.0</v>
      </c>
      <c r="D5350" s="11" t="s">
        <v>44</v>
      </c>
      <c r="E5350" s="11">
        <v>12.0</v>
      </c>
      <c r="F5350" s="21" t="s">
        <v>336</v>
      </c>
      <c r="G5350" s="15">
        <v>0.0904392764857883</v>
      </c>
      <c r="H5350" s="11" t="s">
        <v>33</v>
      </c>
      <c r="I5350" s="16">
        <v>0.8</v>
      </c>
      <c r="J5350" s="11" t="s">
        <v>1876</v>
      </c>
      <c r="K5350" s="11" t="s">
        <v>61</v>
      </c>
      <c r="L5350" s="11" t="s">
        <v>27</v>
      </c>
      <c r="M5350" s="11" t="s">
        <v>28</v>
      </c>
      <c r="N5350" s="11" t="s">
        <v>62</v>
      </c>
      <c r="O5350" s="11" t="s">
        <v>2107</v>
      </c>
      <c r="P5350" s="11" t="s">
        <v>58</v>
      </c>
      <c r="Q5350" s="20">
        <v>40737.0</v>
      </c>
      <c r="R5350" s="17">
        <f t="shared" si="2"/>
        <v>6.366925065</v>
      </c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>
        <f t="shared" si="8"/>
        <v>1</v>
      </c>
      <c r="AF5350" s="19">
        <f t="shared" si="13"/>
        <v>4</v>
      </c>
      <c r="AG5350" s="9"/>
      <c r="AH5350" s="9"/>
      <c r="AI5350" s="9"/>
    </row>
    <row r="5351" ht="15.0" customHeight="1">
      <c r="A5351" s="11">
        <v>5350.0</v>
      </c>
      <c r="B5351" s="12">
        <f>DATE(2012,12,31)-539</f>
        <v>40735</v>
      </c>
      <c r="C5351" s="13">
        <v>2011.0</v>
      </c>
      <c r="D5351" s="11" t="s">
        <v>39</v>
      </c>
      <c r="E5351" s="11">
        <v>14.0</v>
      </c>
      <c r="F5351" s="21" t="s">
        <v>1002</v>
      </c>
      <c r="G5351" s="15">
        <v>0.021296160430423015</v>
      </c>
      <c r="H5351" s="11" t="s">
        <v>33</v>
      </c>
      <c r="I5351" s="16">
        <v>1.192</v>
      </c>
      <c r="J5351" s="11" t="s">
        <v>1123</v>
      </c>
      <c r="K5351" s="11" t="s">
        <v>61</v>
      </c>
      <c r="L5351" s="11" t="s">
        <v>48</v>
      </c>
      <c r="M5351" s="11" t="s">
        <v>28</v>
      </c>
      <c r="N5351" s="11" t="s">
        <v>42</v>
      </c>
      <c r="O5351" s="11" t="s">
        <v>1003</v>
      </c>
      <c r="P5351" s="11" t="s">
        <v>38</v>
      </c>
      <c r="Q5351" s="20">
        <v>40738.0</v>
      </c>
      <c r="R5351" s="17">
        <f t="shared" si="2"/>
        <v>8.522553035</v>
      </c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>
        <f t="shared" si="8"/>
        <v>4</v>
      </c>
      <c r="AF5351" s="19">
        <f t="shared" si="13"/>
        <v>4</v>
      </c>
      <c r="AG5351" s="9"/>
      <c r="AH5351" s="9"/>
      <c r="AI5351" s="9"/>
    </row>
    <row r="5352" ht="15.0" customHeight="1">
      <c r="A5352" s="11">
        <v>5351.0</v>
      </c>
      <c r="B5352" s="12">
        <f t="shared" ref="B5352:B5361" si="853">DATE(2012,12,31)-538</f>
        <v>40736</v>
      </c>
      <c r="C5352" s="13">
        <v>2011.0</v>
      </c>
      <c r="D5352" s="11" t="s">
        <v>44</v>
      </c>
      <c r="E5352" s="11">
        <v>23.0</v>
      </c>
      <c r="F5352" s="21" t="s">
        <v>158</v>
      </c>
      <c r="G5352" s="15">
        <v>0.07672683513838738</v>
      </c>
      <c r="H5352" s="11" t="s">
        <v>33</v>
      </c>
      <c r="I5352" s="16">
        <v>6.248</v>
      </c>
      <c r="J5352" s="11" t="s">
        <v>819</v>
      </c>
      <c r="K5352" s="11" t="s">
        <v>61</v>
      </c>
      <c r="L5352" s="11" t="s">
        <v>41</v>
      </c>
      <c r="M5352" s="11" t="s">
        <v>28</v>
      </c>
      <c r="N5352" s="11" t="s">
        <v>56</v>
      </c>
      <c r="O5352" s="11" t="s">
        <v>2550</v>
      </c>
      <c r="P5352" s="11" t="s">
        <v>38</v>
      </c>
      <c r="Q5352" s="20">
        <v>40738.0</v>
      </c>
      <c r="R5352" s="17">
        <f t="shared" si="2"/>
        <v>11.7735794</v>
      </c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>
        <f t="shared" si="8"/>
        <v>3</v>
      </c>
      <c r="AF5352" s="19">
        <f t="shared" si="13"/>
        <v>4</v>
      </c>
      <c r="AG5352" s="9"/>
      <c r="AH5352" s="9"/>
      <c r="AI5352" s="9"/>
    </row>
    <row r="5353" ht="15.0" customHeight="1">
      <c r="A5353" s="11">
        <v>5352.0</v>
      </c>
      <c r="B5353" s="12">
        <f t="shared" si="853"/>
        <v>40736</v>
      </c>
      <c r="C5353" s="13">
        <v>2011.0</v>
      </c>
      <c r="D5353" s="11" t="s">
        <v>32</v>
      </c>
      <c r="E5353" s="11">
        <v>32.0</v>
      </c>
      <c r="F5353" s="21" t="s">
        <v>758</v>
      </c>
      <c r="G5353" s="15">
        <v>0.08832807570977909</v>
      </c>
      <c r="H5353" s="11" t="s">
        <v>33</v>
      </c>
      <c r="I5353" s="16">
        <v>0.4</v>
      </c>
      <c r="J5353" s="11" t="s">
        <v>1625</v>
      </c>
      <c r="K5353" s="11" t="s">
        <v>35</v>
      </c>
      <c r="L5353" s="11" t="s">
        <v>36</v>
      </c>
      <c r="M5353" s="11" t="s">
        <v>28</v>
      </c>
      <c r="N5353" s="11" t="s">
        <v>188</v>
      </c>
      <c r="O5353" s="11" t="s">
        <v>787</v>
      </c>
      <c r="P5353" s="11" t="s">
        <v>38</v>
      </c>
      <c r="Q5353" s="20">
        <v>40738.0</v>
      </c>
      <c r="R5353" s="17">
        <f t="shared" si="2"/>
        <v>10.21072555</v>
      </c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>
        <f t="shared" si="8"/>
        <v>2</v>
      </c>
      <c r="AF5353" s="19">
        <f t="shared" si="13"/>
        <v>2</v>
      </c>
      <c r="AG5353" s="9"/>
      <c r="AH5353" s="9"/>
      <c r="AI5353" s="9"/>
    </row>
    <row r="5354" ht="15.0" customHeight="1">
      <c r="A5354" s="11">
        <v>5353.0</v>
      </c>
      <c r="B5354" s="12">
        <f t="shared" si="853"/>
        <v>40736</v>
      </c>
      <c r="C5354" s="13">
        <v>2011.0</v>
      </c>
      <c r="D5354" s="11" t="s">
        <v>44</v>
      </c>
      <c r="E5354" s="11">
        <v>11.0</v>
      </c>
      <c r="F5354" s="21" t="s">
        <v>1091</v>
      </c>
      <c r="G5354" s="15">
        <v>0.10072759538598051</v>
      </c>
      <c r="H5354" s="11" t="s">
        <v>33</v>
      </c>
      <c r="I5354" s="16">
        <v>15.991999999999999</v>
      </c>
      <c r="J5354" s="11" t="s">
        <v>491</v>
      </c>
      <c r="K5354" s="11" t="s">
        <v>47</v>
      </c>
      <c r="L5354" s="11" t="s">
        <v>48</v>
      </c>
      <c r="M5354" s="11" t="s">
        <v>28</v>
      </c>
      <c r="N5354" s="11" t="s">
        <v>56</v>
      </c>
      <c r="O5354" s="11" t="s">
        <v>1943</v>
      </c>
      <c r="P5354" s="11" t="s">
        <v>38</v>
      </c>
      <c r="Q5354" s="20">
        <v>40738.0</v>
      </c>
      <c r="R5354" s="17">
        <f t="shared" si="2"/>
        <v>40.83416135</v>
      </c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>
        <f t="shared" si="8"/>
        <v>4</v>
      </c>
      <c r="AF5354" s="19">
        <f t="shared" si="13"/>
        <v>3</v>
      </c>
      <c r="AG5354" s="9"/>
      <c r="AH5354" s="9"/>
      <c r="AI5354" s="9"/>
    </row>
    <row r="5355" ht="15.0" customHeight="1">
      <c r="A5355" s="11">
        <v>5354.0</v>
      </c>
      <c r="B5355" s="12">
        <f t="shared" si="853"/>
        <v>40736</v>
      </c>
      <c r="C5355" s="13">
        <v>2011.0</v>
      </c>
      <c r="D5355" s="11" t="s">
        <v>44</v>
      </c>
      <c r="E5355" s="11">
        <v>26.0</v>
      </c>
      <c r="F5355" s="21" t="s">
        <v>490</v>
      </c>
      <c r="G5355" s="15">
        <v>0.059750016190661226</v>
      </c>
      <c r="H5355" s="11" t="s">
        <v>33</v>
      </c>
      <c r="I5355" s="16">
        <v>11.440000000000001</v>
      </c>
      <c r="J5355" s="11" t="s">
        <v>491</v>
      </c>
      <c r="K5355" s="11" t="s">
        <v>47</v>
      </c>
      <c r="L5355" s="11" t="s">
        <v>48</v>
      </c>
      <c r="M5355" s="11" t="s">
        <v>28</v>
      </c>
      <c r="N5355" s="11" t="s">
        <v>56</v>
      </c>
      <c r="O5355" s="11" t="s">
        <v>492</v>
      </c>
      <c r="P5355" s="11" t="s">
        <v>38</v>
      </c>
      <c r="Q5355" s="20">
        <v>40738.0</v>
      </c>
      <c r="R5355" s="17">
        <f t="shared" si="2"/>
        <v>86.74746351</v>
      </c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>
        <f t="shared" si="8"/>
        <v>4</v>
      </c>
      <c r="AF5355" s="19">
        <f t="shared" si="13"/>
        <v>3</v>
      </c>
      <c r="AG5355" s="9"/>
      <c r="AH5355" s="9"/>
      <c r="AI5355" s="9"/>
    </row>
    <row r="5356" ht="15.0" customHeight="1">
      <c r="A5356" s="11">
        <v>5355.0</v>
      </c>
      <c r="B5356" s="12">
        <f t="shared" si="853"/>
        <v>40736</v>
      </c>
      <c r="C5356" s="13">
        <v>2011.0</v>
      </c>
      <c r="D5356" s="11" t="s">
        <v>44</v>
      </c>
      <c r="E5356" s="11">
        <v>5.0</v>
      </c>
      <c r="F5356" s="21" t="s">
        <v>126</v>
      </c>
      <c r="G5356" s="15">
        <v>0.023529411764705938</v>
      </c>
      <c r="H5356" s="11" t="s">
        <v>33</v>
      </c>
      <c r="I5356" s="16">
        <v>0.4</v>
      </c>
      <c r="J5356" s="11" t="s">
        <v>2048</v>
      </c>
      <c r="K5356" s="11" t="s">
        <v>26</v>
      </c>
      <c r="L5356" s="11" t="s">
        <v>27</v>
      </c>
      <c r="M5356" s="11" t="s">
        <v>28</v>
      </c>
      <c r="N5356" s="11" t="s">
        <v>188</v>
      </c>
      <c r="O5356" s="11" t="s">
        <v>410</v>
      </c>
      <c r="P5356" s="11" t="s">
        <v>38</v>
      </c>
      <c r="Q5356" s="20">
        <v>40738.0</v>
      </c>
      <c r="R5356" s="17">
        <f t="shared" si="2"/>
        <v>0.5858823529</v>
      </c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>
        <f t="shared" si="8"/>
        <v>1</v>
      </c>
      <c r="AF5356" s="19">
        <f t="shared" si="13"/>
        <v>1</v>
      </c>
      <c r="AG5356" s="9"/>
      <c r="AH5356" s="9"/>
      <c r="AI5356" s="9"/>
    </row>
    <row r="5357" ht="15.0" customHeight="1">
      <c r="A5357" s="11">
        <v>5356.0</v>
      </c>
      <c r="B5357" s="12">
        <f t="shared" si="853"/>
        <v>40736</v>
      </c>
      <c r="C5357" s="13">
        <v>2011.0</v>
      </c>
      <c r="D5357" s="11" t="s">
        <v>44</v>
      </c>
      <c r="E5357" s="11">
        <v>14.0</v>
      </c>
      <c r="F5357" s="21" t="s">
        <v>1187</v>
      </c>
      <c r="G5357" s="15">
        <v>0.023369803063457328</v>
      </c>
      <c r="H5357" s="11" t="s">
        <v>33</v>
      </c>
      <c r="I5357" s="16">
        <v>4.424</v>
      </c>
      <c r="J5357" s="11" t="s">
        <v>2048</v>
      </c>
      <c r="K5357" s="11" t="s">
        <v>26</v>
      </c>
      <c r="L5357" s="11" t="s">
        <v>27</v>
      </c>
      <c r="M5357" s="11" t="s">
        <v>28</v>
      </c>
      <c r="N5357" s="11" t="s">
        <v>62</v>
      </c>
      <c r="O5357" s="11" t="s">
        <v>1188</v>
      </c>
      <c r="P5357" s="11" t="s">
        <v>99</v>
      </c>
      <c r="Q5357" s="20">
        <v>40738.0</v>
      </c>
      <c r="R5357" s="17">
        <f t="shared" si="2"/>
        <v>7.301287352</v>
      </c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>
        <f t="shared" si="8"/>
        <v>1</v>
      </c>
      <c r="AF5357" s="19">
        <f t="shared" si="13"/>
        <v>1</v>
      </c>
      <c r="AG5357" s="9"/>
      <c r="AH5357" s="9"/>
      <c r="AI5357" s="9"/>
    </row>
    <row r="5358" ht="15.0" customHeight="1">
      <c r="A5358" s="11">
        <v>5357.0</v>
      </c>
      <c r="B5358" s="12">
        <f t="shared" si="853"/>
        <v>40736</v>
      </c>
      <c r="C5358" s="13">
        <v>2011.0</v>
      </c>
      <c r="D5358" s="11" t="s">
        <v>102</v>
      </c>
      <c r="E5358" s="11">
        <v>30.0</v>
      </c>
      <c r="F5358" s="21" t="s">
        <v>126</v>
      </c>
      <c r="G5358" s="15">
        <v>0.11041322314049591</v>
      </c>
      <c r="H5358" s="11" t="s">
        <v>33</v>
      </c>
      <c r="I5358" s="16">
        <v>3.696</v>
      </c>
      <c r="J5358" s="11" t="s">
        <v>597</v>
      </c>
      <c r="K5358" s="11" t="s">
        <v>26</v>
      </c>
      <c r="L5358" s="11" t="s">
        <v>27</v>
      </c>
      <c r="M5358" s="11" t="s">
        <v>66</v>
      </c>
      <c r="N5358" s="11" t="s">
        <v>67</v>
      </c>
      <c r="O5358" s="11" t="s">
        <v>675</v>
      </c>
      <c r="P5358" s="11" t="s">
        <v>99</v>
      </c>
      <c r="Q5358" s="20">
        <v>40738.0</v>
      </c>
      <c r="R5358" s="17">
        <f t="shared" si="2"/>
        <v>16.63883107</v>
      </c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>
        <f t="shared" si="8"/>
        <v>1</v>
      </c>
      <c r="AF5358" s="19">
        <f t="shared" si="13"/>
        <v>1</v>
      </c>
      <c r="AG5358" s="9"/>
      <c r="AH5358" s="9"/>
      <c r="AI5358" s="9"/>
    </row>
    <row r="5359" ht="15.0" customHeight="1">
      <c r="A5359" s="11">
        <v>5358.0</v>
      </c>
      <c r="B5359" s="12">
        <f t="shared" si="853"/>
        <v>40736</v>
      </c>
      <c r="C5359" s="13">
        <v>2011.0</v>
      </c>
      <c r="D5359" s="11" t="s">
        <v>102</v>
      </c>
      <c r="E5359" s="11">
        <v>9.0</v>
      </c>
      <c r="F5359" s="21" t="s">
        <v>93</v>
      </c>
      <c r="G5359" s="15">
        <v>0.019275167785234994</v>
      </c>
      <c r="H5359" s="11" t="s">
        <v>33</v>
      </c>
      <c r="I5359" s="16">
        <v>4.664000000000001</v>
      </c>
      <c r="J5359" s="11" t="s">
        <v>597</v>
      </c>
      <c r="K5359" s="11" t="s">
        <v>26</v>
      </c>
      <c r="L5359" s="11" t="s">
        <v>27</v>
      </c>
      <c r="M5359" s="11" t="s">
        <v>28</v>
      </c>
      <c r="N5359" s="11" t="s">
        <v>56</v>
      </c>
      <c r="O5359" s="11" t="s">
        <v>95</v>
      </c>
      <c r="P5359" s="11" t="s">
        <v>58</v>
      </c>
      <c r="Q5359" s="20">
        <v>40738.0</v>
      </c>
      <c r="R5359" s="17">
        <f t="shared" si="2"/>
        <v>1.408320859</v>
      </c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>
        <f t="shared" si="8"/>
        <v>1</v>
      </c>
      <c r="AF5359" s="19">
        <f t="shared" si="13"/>
        <v>1</v>
      </c>
      <c r="AG5359" s="9"/>
      <c r="AH5359" s="9"/>
      <c r="AI5359" s="9"/>
    </row>
    <row r="5360" ht="15.0" customHeight="1">
      <c r="A5360" s="11">
        <v>5359.0</v>
      </c>
      <c r="B5360" s="12">
        <f t="shared" si="853"/>
        <v>40736</v>
      </c>
      <c r="C5360" s="13">
        <v>2011.0</v>
      </c>
      <c r="D5360" s="11" t="s">
        <v>23</v>
      </c>
      <c r="E5360" s="11">
        <v>38.0</v>
      </c>
      <c r="F5360" s="21" t="s">
        <v>881</v>
      </c>
      <c r="G5360" s="15">
        <v>0.0700225879315908</v>
      </c>
      <c r="H5360" s="11" t="s">
        <v>33</v>
      </c>
      <c r="I5360" s="16">
        <v>3.2</v>
      </c>
      <c r="J5360" s="11" t="s">
        <v>981</v>
      </c>
      <c r="K5360" s="11" t="s">
        <v>61</v>
      </c>
      <c r="L5360" s="11" t="s">
        <v>48</v>
      </c>
      <c r="M5360" s="11" t="s">
        <v>49</v>
      </c>
      <c r="N5360" s="11" t="s">
        <v>73</v>
      </c>
      <c r="O5360" s="11" t="s">
        <v>883</v>
      </c>
      <c r="P5360" s="11" t="s">
        <v>58</v>
      </c>
      <c r="Q5360" s="20">
        <v>40739.0</v>
      </c>
      <c r="R5360" s="17">
        <f t="shared" si="2"/>
        <v>20.18050984</v>
      </c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>
        <f t="shared" si="8"/>
        <v>4</v>
      </c>
      <c r="AF5360" s="19">
        <f t="shared" si="13"/>
        <v>4</v>
      </c>
      <c r="AG5360" s="9"/>
      <c r="AH5360" s="9"/>
      <c r="AI5360" s="9"/>
    </row>
    <row r="5361" ht="15.0" customHeight="1">
      <c r="A5361" s="11">
        <v>5360.0</v>
      </c>
      <c r="B5361" s="12">
        <f t="shared" si="853"/>
        <v>40736</v>
      </c>
      <c r="C5361" s="13">
        <v>2011.0</v>
      </c>
      <c r="D5361" s="11" t="s">
        <v>23</v>
      </c>
      <c r="E5361" s="11">
        <v>34.0</v>
      </c>
      <c r="F5361" s="21" t="s">
        <v>333</v>
      </c>
      <c r="G5361" s="15">
        <v>0.0390795781399809</v>
      </c>
      <c r="H5361" s="11" t="s">
        <v>33</v>
      </c>
      <c r="I5361" s="16">
        <v>1.6239999999999999</v>
      </c>
      <c r="J5361" s="11" t="s">
        <v>981</v>
      </c>
      <c r="K5361" s="11" t="s">
        <v>61</v>
      </c>
      <c r="L5361" s="11" t="s">
        <v>48</v>
      </c>
      <c r="M5361" s="11" t="s">
        <v>28</v>
      </c>
      <c r="N5361" s="11" t="s">
        <v>62</v>
      </c>
      <c r="O5361" s="11" t="s">
        <v>335</v>
      </c>
      <c r="P5361" s="11" t="s">
        <v>58</v>
      </c>
      <c r="Q5361" s="20">
        <v>40739.0</v>
      </c>
      <c r="R5361" s="17">
        <f t="shared" si="2"/>
        <v>3.91671164</v>
      </c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>
        <f t="shared" si="8"/>
        <v>4</v>
      </c>
      <c r="AF5361" s="19">
        <f t="shared" si="13"/>
        <v>4</v>
      </c>
      <c r="AG5361" s="9"/>
      <c r="AH5361" s="9"/>
      <c r="AI5361" s="9"/>
    </row>
    <row r="5362" ht="15.0" customHeight="1">
      <c r="A5362" s="11">
        <v>5361.0</v>
      </c>
      <c r="B5362" s="12">
        <f t="shared" ref="B5362:B5366" si="854">DATE(2012,12,31)-537</f>
        <v>40737</v>
      </c>
      <c r="C5362" s="13">
        <v>2011.0</v>
      </c>
      <c r="D5362" s="11" t="s">
        <v>102</v>
      </c>
      <c r="E5362" s="11">
        <v>31.0</v>
      </c>
      <c r="F5362" s="21" t="s">
        <v>290</v>
      </c>
      <c r="G5362" s="15">
        <v>0.10856364874063974</v>
      </c>
      <c r="H5362" s="11" t="s">
        <v>33</v>
      </c>
      <c r="I5362" s="16">
        <v>0.752</v>
      </c>
      <c r="J5362" s="11" t="s">
        <v>462</v>
      </c>
      <c r="K5362" s="11" t="s">
        <v>35</v>
      </c>
      <c r="L5362" s="11" t="s">
        <v>27</v>
      </c>
      <c r="M5362" s="11" t="s">
        <v>28</v>
      </c>
      <c r="N5362" s="11" t="s">
        <v>62</v>
      </c>
      <c r="O5362" s="11" t="s">
        <v>291</v>
      </c>
      <c r="P5362" s="11" t="s">
        <v>58</v>
      </c>
      <c r="Q5362" s="20">
        <v>40739.0</v>
      </c>
      <c r="R5362" s="17">
        <f t="shared" si="2"/>
        <v>14.21662693</v>
      </c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>
        <f t="shared" si="8"/>
        <v>1</v>
      </c>
      <c r="AF5362" s="19">
        <f t="shared" si="13"/>
        <v>2</v>
      </c>
      <c r="AG5362" s="9"/>
      <c r="AH5362" s="9"/>
      <c r="AI5362" s="9"/>
    </row>
    <row r="5363" ht="15.0" customHeight="1">
      <c r="A5363" s="11">
        <v>5362.0</v>
      </c>
      <c r="B5363" s="12">
        <f t="shared" si="854"/>
        <v>40737</v>
      </c>
      <c r="C5363" s="13">
        <v>2011.0</v>
      </c>
      <c r="D5363" s="11" t="s">
        <v>23</v>
      </c>
      <c r="E5363" s="11">
        <v>38.0</v>
      </c>
      <c r="F5363" s="21" t="s">
        <v>1158</v>
      </c>
      <c r="G5363" s="15">
        <v>0.09618798955613571</v>
      </c>
      <c r="H5363" s="11" t="s">
        <v>33</v>
      </c>
      <c r="I5363" s="16">
        <v>5.464</v>
      </c>
      <c r="J5363" s="11" t="s">
        <v>1082</v>
      </c>
      <c r="K5363" s="11" t="s">
        <v>65</v>
      </c>
      <c r="L5363" s="11" t="s">
        <v>27</v>
      </c>
      <c r="M5363" s="11" t="s">
        <v>28</v>
      </c>
      <c r="N5363" s="11" t="s">
        <v>42</v>
      </c>
      <c r="O5363" s="11" t="s">
        <v>1577</v>
      </c>
      <c r="P5363" s="11" t="s">
        <v>38</v>
      </c>
      <c r="Q5363" s="20">
        <v>40739.0</v>
      </c>
      <c r="R5363" s="17">
        <f t="shared" si="2"/>
        <v>13.31857379</v>
      </c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>
        <f t="shared" si="8"/>
        <v>1</v>
      </c>
      <c r="AF5363" s="19">
        <f t="shared" si="13"/>
        <v>5</v>
      </c>
      <c r="AG5363" s="9"/>
      <c r="AH5363" s="9"/>
      <c r="AI5363" s="9"/>
    </row>
    <row r="5364" ht="15.0" customHeight="1">
      <c r="A5364" s="11">
        <v>5363.0</v>
      </c>
      <c r="B5364" s="12">
        <f t="shared" si="854"/>
        <v>40737</v>
      </c>
      <c r="C5364" s="13">
        <v>2011.0</v>
      </c>
      <c r="D5364" s="11" t="s">
        <v>23</v>
      </c>
      <c r="E5364" s="11">
        <v>28.0</v>
      </c>
      <c r="F5364" s="21" t="s">
        <v>552</v>
      </c>
      <c r="G5364" s="15">
        <v>0.03400565504241286</v>
      </c>
      <c r="H5364" s="11" t="s">
        <v>33</v>
      </c>
      <c r="I5364" s="16">
        <v>3.3840000000000003</v>
      </c>
      <c r="J5364" s="11" t="s">
        <v>1082</v>
      </c>
      <c r="K5364" s="11" t="s">
        <v>65</v>
      </c>
      <c r="L5364" s="11" t="s">
        <v>27</v>
      </c>
      <c r="M5364" s="11" t="s">
        <v>28</v>
      </c>
      <c r="N5364" s="11" t="s">
        <v>56</v>
      </c>
      <c r="O5364" s="11" t="s">
        <v>2551</v>
      </c>
      <c r="P5364" s="11" t="s">
        <v>58</v>
      </c>
      <c r="Q5364" s="20">
        <v>40739.0</v>
      </c>
      <c r="R5364" s="17">
        <f t="shared" si="2"/>
        <v>6.970615193</v>
      </c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>
        <f t="shared" si="8"/>
        <v>1</v>
      </c>
      <c r="AF5364" s="19">
        <f t="shared" si="13"/>
        <v>5</v>
      </c>
      <c r="AG5364" s="9"/>
      <c r="AH5364" s="9"/>
      <c r="AI5364" s="9"/>
    </row>
    <row r="5365" ht="15.0" customHeight="1">
      <c r="A5365" s="11">
        <v>5364.0</v>
      </c>
      <c r="B5365" s="12">
        <f t="shared" si="854"/>
        <v>40737</v>
      </c>
      <c r="C5365" s="13">
        <v>2011.0</v>
      </c>
      <c r="D5365" s="11" t="s">
        <v>23</v>
      </c>
      <c r="E5365" s="11">
        <v>36.0</v>
      </c>
      <c r="F5365" s="21" t="s">
        <v>314</v>
      </c>
      <c r="G5365" s="15">
        <v>0.09120000000000004</v>
      </c>
      <c r="H5365" s="11" t="s">
        <v>33</v>
      </c>
      <c r="I5365" s="16">
        <v>0.4</v>
      </c>
      <c r="J5365" s="11" t="s">
        <v>1960</v>
      </c>
      <c r="K5365" s="11" t="s">
        <v>65</v>
      </c>
      <c r="L5365" s="11" t="s">
        <v>36</v>
      </c>
      <c r="M5365" s="11" t="s">
        <v>28</v>
      </c>
      <c r="N5365" s="11" t="s">
        <v>188</v>
      </c>
      <c r="O5365" s="11" t="s">
        <v>516</v>
      </c>
      <c r="P5365" s="11" t="s">
        <v>38</v>
      </c>
      <c r="Q5365" s="20">
        <v>40739.0</v>
      </c>
      <c r="R5365" s="17">
        <f t="shared" si="2"/>
        <v>20.72064</v>
      </c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>
        <f t="shared" si="8"/>
        <v>2</v>
      </c>
      <c r="AF5365" s="19">
        <f t="shared" si="13"/>
        <v>5</v>
      </c>
      <c r="AG5365" s="9"/>
      <c r="AH5365" s="9"/>
      <c r="AI5365" s="9"/>
    </row>
    <row r="5366" ht="15.0" customHeight="1">
      <c r="A5366" s="11">
        <v>5365.0</v>
      </c>
      <c r="B5366" s="12">
        <f t="shared" si="854"/>
        <v>40737</v>
      </c>
      <c r="C5366" s="13">
        <v>2011.0</v>
      </c>
      <c r="D5366" s="11" t="s">
        <v>32</v>
      </c>
      <c r="E5366" s="11">
        <v>23.0</v>
      </c>
      <c r="F5366" s="21" t="s">
        <v>490</v>
      </c>
      <c r="G5366" s="15">
        <v>0.03153560887005214</v>
      </c>
      <c r="H5366" s="11" t="s">
        <v>24</v>
      </c>
      <c r="I5366" s="16">
        <v>5.432</v>
      </c>
      <c r="J5366" s="11" t="s">
        <v>1533</v>
      </c>
      <c r="K5366" s="11" t="s">
        <v>61</v>
      </c>
      <c r="L5366" s="11" t="s">
        <v>41</v>
      </c>
      <c r="M5366" s="11" t="s">
        <v>28</v>
      </c>
      <c r="N5366" s="11" t="s">
        <v>56</v>
      </c>
      <c r="O5366" s="11" t="s">
        <v>761</v>
      </c>
      <c r="P5366" s="11" t="s">
        <v>38</v>
      </c>
      <c r="Q5366" s="20">
        <v>40740.0</v>
      </c>
      <c r="R5366" s="17">
        <f t="shared" si="2"/>
        <v>40.35397425</v>
      </c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>
        <f t="shared" si="8"/>
        <v>3</v>
      </c>
      <c r="AF5366" s="19">
        <f t="shared" si="13"/>
        <v>4</v>
      </c>
      <c r="AG5366" s="9"/>
      <c r="AH5366" s="9"/>
      <c r="AI5366" s="9"/>
    </row>
    <row r="5367" ht="15.0" customHeight="1">
      <c r="A5367" s="11">
        <v>5366.0</v>
      </c>
      <c r="B5367" s="12">
        <f t="shared" ref="B5367:B5372" si="855">DATE(2012,12,31)-536</f>
        <v>40738</v>
      </c>
      <c r="C5367" s="13">
        <v>2011.0</v>
      </c>
      <c r="D5367" s="11" t="s">
        <v>44</v>
      </c>
      <c r="E5367" s="11">
        <v>6.0</v>
      </c>
      <c r="F5367" s="21" t="s">
        <v>183</v>
      </c>
      <c r="G5367" s="15">
        <v>0.10200364298724944</v>
      </c>
      <c r="H5367" s="11" t="s">
        <v>33</v>
      </c>
      <c r="I5367" s="16">
        <v>3.2</v>
      </c>
      <c r="J5367" s="11" t="s">
        <v>2311</v>
      </c>
      <c r="K5367" s="11" t="s">
        <v>61</v>
      </c>
      <c r="L5367" s="11" t="s">
        <v>27</v>
      </c>
      <c r="M5367" s="11" t="s">
        <v>66</v>
      </c>
      <c r="N5367" s="11" t="s">
        <v>67</v>
      </c>
      <c r="O5367" s="11" t="s">
        <v>941</v>
      </c>
      <c r="P5367" s="11" t="s">
        <v>38</v>
      </c>
      <c r="Q5367" s="20">
        <v>40740.0</v>
      </c>
      <c r="R5367" s="17">
        <f t="shared" si="2"/>
        <v>10.0575592</v>
      </c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>
        <f t="shared" si="8"/>
        <v>1</v>
      </c>
      <c r="AF5367" s="19">
        <f t="shared" si="13"/>
        <v>4</v>
      </c>
      <c r="AG5367" s="9"/>
      <c r="AH5367" s="9"/>
      <c r="AI5367" s="9"/>
    </row>
    <row r="5368" ht="15.0" customHeight="1">
      <c r="A5368" s="11">
        <v>5367.0</v>
      </c>
      <c r="B5368" s="12">
        <f t="shared" si="855"/>
        <v>40738</v>
      </c>
      <c r="C5368" s="13">
        <v>2011.0</v>
      </c>
      <c r="D5368" s="11" t="s">
        <v>23</v>
      </c>
      <c r="E5368" s="11">
        <v>22.0</v>
      </c>
      <c r="F5368" s="21" t="s">
        <v>147</v>
      </c>
      <c r="G5368" s="15">
        <v>0.08414414414414408</v>
      </c>
      <c r="H5368" s="11" t="s">
        <v>24</v>
      </c>
      <c r="I5368" s="16">
        <v>3.2640000000000002</v>
      </c>
      <c r="J5368" s="11" t="s">
        <v>1170</v>
      </c>
      <c r="K5368" s="11" t="s">
        <v>61</v>
      </c>
      <c r="L5368" s="11" t="s">
        <v>27</v>
      </c>
      <c r="M5368" s="11" t="s">
        <v>49</v>
      </c>
      <c r="N5368" s="11" t="s">
        <v>73</v>
      </c>
      <c r="O5368" s="11" t="s">
        <v>458</v>
      </c>
      <c r="P5368" s="11" t="s">
        <v>99</v>
      </c>
      <c r="Q5368" s="20">
        <v>40740.0</v>
      </c>
      <c r="R5368" s="17">
        <f t="shared" si="2"/>
        <v>3.421637477</v>
      </c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>
        <f t="shared" si="8"/>
        <v>1</v>
      </c>
      <c r="AF5368" s="19">
        <f t="shared" si="13"/>
        <v>4</v>
      </c>
      <c r="AG5368" s="9"/>
      <c r="AH5368" s="9"/>
      <c r="AI5368" s="9"/>
    </row>
    <row r="5369" ht="15.0" customHeight="1">
      <c r="A5369" s="11">
        <v>5368.0</v>
      </c>
      <c r="B5369" s="12">
        <f t="shared" si="855"/>
        <v>40738</v>
      </c>
      <c r="C5369" s="13">
        <v>2011.0</v>
      </c>
      <c r="D5369" s="11" t="s">
        <v>23</v>
      </c>
      <c r="E5369" s="11">
        <v>9.0</v>
      </c>
      <c r="F5369" s="21" t="s">
        <v>461</v>
      </c>
      <c r="G5369" s="15">
        <v>0.04237875288683595</v>
      </c>
      <c r="H5369" s="11" t="s">
        <v>45</v>
      </c>
      <c r="I5369" s="16">
        <v>11.200000000000001</v>
      </c>
      <c r="J5369" s="11" t="s">
        <v>2092</v>
      </c>
      <c r="K5369" s="11" t="s">
        <v>83</v>
      </c>
      <c r="L5369" s="11" t="s">
        <v>48</v>
      </c>
      <c r="M5369" s="11" t="s">
        <v>66</v>
      </c>
      <c r="N5369" s="11" t="s">
        <v>69</v>
      </c>
      <c r="O5369" s="11" t="s">
        <v>779</v>
      </c>
      <c r="P5369" s="11" t="s">
        <v>52</v>
      </c>
      <c r="Q5369" s="20">
        <v>40740.0</v>
      </c>
      <c r="R5369" s="17">
        <f t="shared" si="2"/>
        <v>35.14469977</v>
      </c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>
        <f t="shared" si="8"/>
        <v>4</v>
      </c>
      <c r="AF5369" s="19" t="b">
        <f t="shared" si="13"/>
        <v>0</v>
      </c>
      <c r="AG5369" s="9"/>
      <c r="AH5369" s="9"/>
      <c r="AI5369" s="9"/>
    </row>
    <row r="5370" ht="15.0" customHeight="1">
      <c r="A5370" s="11">
        <v>5369.0</v>
      </c>
      <c r="B5370" s="12">
        <f t="shared" si="855"/>
        <v>40738</v>
      </c>
      <c r="C5370" s="13">
        <v>2011.0</v>
      </c>
      <c r="D5370" s="11" t="s">
        <v>23</v>
      </c>
      <c r="E5370" s="11">
        <v>7.0</v>
      </c>
      <c r="F5370" s="21" t="s">
        <v>2310</v>
      </c>
      <c r="G5370" s="15">
        <v>0.04559363860707427</v>
      </c>
      <c r="H5370" s="11" t="s">
        <v>45</v>
      </c>
      <c r="I5370" s="16">
        <v>37.272000000000006</v>
      </c>
      <c r="J5370" s="11" t="s">
        <v>2092</v>
      </c>
      <c r="K5370" s="11" t="s">
        <v>83</v>
      </c>
      <c r="L5370" s="11" t="s">
        <v>48</v>
      </c>
      <c r="M5370" s="11" t="s">
        <v>49</v>
      </c>
      <c r="N5370" s="11" t="s">
        <v>85</v>
      </c>
      <c r="O5370" s="11" t="s">
        <v>2312</v>
      </c>
      <c r="P5370" s="11" t="s">
        <v>87</v>
      </c>
      <c r="Q5370" s="20">
        <v>40740.0</v>
      </c>
      <c r="R5370" s="17">
        <f t="shared" si="2"/>
        <v>15.86986898</v>
      </c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>
        <f t="shared" si="8"/>
        <v>4</v>
      </c>
      <c r="AF5370" s="19" t="b">
        <f t="shared" si="13"/>
        <v>0</v>
      </c>
      <c r="AG5370" s="9"/>
      <c r="AH5370" s="9"/>
      <c r="AI5370" s="9"/>
    </row>
    <row r="5371" ht="15.0" customHeight="1">
      <c r="A5371" s="11">
        <v>5370.0</v>
      </c>
      <c r="B5371" s="12">
        <f t="shared" si="855"/>
        <v>40738</v>
      </c>
      <c r="C5371" s="13">
        <v>2011.0</v>
      </c>
      <c r="D5371" s="11" t="s">
        <v>23</v>
      </c>
      <c r="E5371" s="11">
        <v>7.0</v>
      </c>
      <c r="F5371" s="21" t="s">
        <v>178</v>
      </c>
      <c r="G5371" s="15">
        <v>0.04983593109105815</v>
      </c>
      <c r="H5371" s="11" t="s">
        <v>33</v>
      </c>
      <c r="I5371" s="16">
        <v>2.0</v>
      </c>
      <c r="J5371" s="11" t="s">
        <v>2255</v>
      </c>
      <c r="K5371" s="11" t="s">
        <v>61</v>
      </c>
      <c r="L5371" s="11" t="s">
        <v>48</v>
      </c>
      <c r="M5371" s="11" t="s">
        <v>66</v>
      </c>
      <c r="N5371" s="11" t="s">
        <v>80</v>
      </c>
      <c r="O5371" s="11" t="s">
        <v>2552</v>
      </c>
      <c r="P5371" s="11" t="s">
        <v>38</v>
      </c>
      <c r="Q5371" s="20">
        <v>40741.0</v>
      </c>
      <c r="R5371" s="17">
        <f t="shared" si="2"/>
        <v>23.08898687</v>
      </c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>
        <f t="shared" si="8"/>
        <v>4</v>
      </c>
      <c r="AF5371" s="19">
        <f t="shared" si="13"/>
        <v>4</v>
      </c>
      <c r="AG5371" s="9"/>
      <c r="AH5371" s="9"/>
      <c r="AI5371" s="9"/>
    </row>
    <row r="5372" ht="15.0" customHeight="1">
      <c r="A5372" s="11">
        <v>5371.0</v>
      </c>
      <c r="B5372" s="12">
        <f t="shared" si="855"/>
        <v>40738</v>
      </c>
      <c r="C5372" s="13">
        <v>2011.0</v>
      </c>
      <c r="D5372" s="11" t="s">
        <v>39</v>
      </c>
      <c r="E5372" s="11">
        <v>35.0</v>
      </c>
      <c r="F5372" s="21" t="s">
        <v>1379</v>
      </c>
      <c r="G5372" s="15">
        <v>0.011525641025641038</v>
      </c>
      <c r="H5372" s="11" t="s">
        <v>33</v>
      </c>
      <c r="I5372" s="16">
        <v>4.712</v>
      </c>
      <c r="J5372" s="11" t="s">
        <v>819</v>
      </c>
      <c r="K5372" s="11" t="s">
        <v>61</v>
      </c>
      <c r="L5372" s="11" t="s">
        <v>41</v>
      </c>
      <c r="M5372" s="11" t="s">
        <v>66</v>
      </c>
      <c r="N5372" s="11" t="s">
        <v>67</v>
      </c>
      <c r="O5372" s="11" t="s">
        <v>1990</v>
      </c>
      <c r="P5372" s="11" t="s">
        <v>38</v>
      </c>
      <c r="Q5372" s="20">
        <v>40741.0</v>
      </c>
      <c r="R5372" s="17">
        <f t="shared" si="2"/>
        <v>10.66366138</v>
      </c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>
        <f t="shared" si="8"/>
        <v>3</v>
      </c>
      <c r="AF5372" s="19">
        <f t="shared" si="13"/>
        <v>4</v>
      </c>
      <c r="AG5372" s="9"/>
      <c r="AH5372" s="9"/>
      <c r="AI5372" s="9"/>
    </row>
    <row r="5373" ht="15.0" customHeight="1">
      <c r="A5373" s="11">
        <v>5372.0</v>
      </c>
      <c r="B5373" s="12">
        <f t="shared" ref="B5373:B5381" si="856">DATE(2012,12,31)-535</f>
        <v>40739</v>
      </c>
      <c r="C5373" s="13">
        <v>2011.0</v>
      </c>
      <c r="D5373" s="11" t="s">
        <v>32</v>
      </c>
      <c r="E5373" s="11">
        <v>26.0</v>
      </c>
      <c r="F5373" s="21" t="s">
        <v>802</v>
      </c>
      <c r="G5373" s="15">
        <v>0.06606798545551579</v>
      </c>
      <c r="H5373" s="11" t="s">
        <v>33</v>
      </c>
      <c r="I5373" s="16">
        <v>4.648</v>
      </c>
      <c r="J5373" s="11" t="s">
        <v>982</v>
      </c>
      <c r="K5373" s="11" t="s">
        <v>61</v>
      </c>
      <c r="L5373" s="11" t="s">
        <v>48</v>
      </c>
      <c r="M5373" s="11" t="s">
        <v>49</v>
      </c>
      <c r="N5373" s="11" t="s">
        <v>73</v>
      </c>
      <c r="O5373" s="11" t="s">
        <v>804</v>
      </c>
      <c r="P5373" s="11" t="s">
        <v>75</v>
      </c>
      <c r="Q5373" s="20">
        <v>40741.0</v>
      </c>
      <c r="R5373" s="17">
        <f t="shared" si="2"/>
        <v>184.9671033</v>
      </c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>
        <f t="shared" si="8"/>
        <v>4</v>
      </c>
      <c r="AF5373" s="19">
        <f t="shared" si="13"/>
        <v>4</v>
      </c>
      <c r="AG5373" s="9"/>
      <c r="AH5373" s="9"/>
      <c r="AI5373" s="9"/>
    </row>
    <row r="5374" ht="15.0" customHeight="1">
      <c r="A5374" s="11">
        <v>5373.0</v>
      </c>
      <c r="B5374" s="12">
        <f t="shared" si="856"/>
        <v>40739</v>
      </c>
      <c r="C5374" s="13">
        <v>2011.0</v>
      </c>
      <c r="D5374" s="11" t="s">
        <v>32</v>
      </c>
      <c r="E5374" s="11">
        <v>24.0</v>
      </c>
      <c r="F5374" s="21" t="s">
        <v>1521</v>
      </c>
      <c r="G5374" s="15">
        <v>0.09281688697612464</v>
      </c>
      <c r="H5374" s="11" t="s">
        <v>45</v>
      </c>
      <c r="I5374" s="16">
        <v>71.44</v>
      </c>
      <c r="J5374" s="11" t="s">
        <v>982</v>
      </c>
      <c r="K5374" s="11" t="s">
        <v>61</v>
      </c>
      <c r="L5374" s="11" t="s">
        <v>48</v>
      </c>
      <c r="M5374" s="11" t="s">
        <v>49</v>
      </c>
      <c r="N5374" s="11" t="s">
        <v>85</v>
      </c>
      <c r="O5374" s="11" t="s">
        <v>1522</v>
      </c>
      <c r="P5374" s="11" t="s">
        <v>87</v>
      </c>
      <c r="Q5374" s="20">
        <v>40741.0</v>
      </c>
      <c r="R5374" s="17">
        <f t="shared" si="2"/>
        <v>164.3452928</v>
      </c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>
        <f t="shared" si="8"/>
        <v>4</v>
      </c>
      <c r="AF5374" s="19">
        <f t="shared" si="13"/>
        <v>4</v>
      </c>
      <c r="AG5374" s="9"/>
      <c r="AH5374" s="9"/>
      <c r="AI5374" s="9"/>
    </row>
    <row r="5375" ht="15.0" customHeight="1">
      <c r="A5375" s="11">
        <v>5374.0</v>
      </c>
      <c r="B5375" s="12">
        <f t="shared" si="856"/>
        <v>40739</v>
      </c>
      <c r="C5375" s="13">
        <v>2011.0</v>
      </c>
      <c r="D5375" s="11" t="s">
        <v>32</v>
      </c>
      <c r="E5375" s="11">
        <v>23.0</v>
      </c>
      <c r="F5375" s="21" t="s">
        <v>668</v>
      </c>
      <c r="G5375" s="15">
        <v>0.053876719307182845</v>
      </c>
      <c r="H5375" s="11" t="s">
        <v>33</v>
      </c>
      <c r="I5375" s="16">
        <v>4.024</v>
      </c>
      <c r="J5375" s="11" t="s">
        <v>982</v>
      </c>
      <c r="K5375" s="11" t="s">
        <v>61</v>
      </c>
      <c r="L5375" s="11" t="s">
        <v>48</v>
      </c>
      <c r="M5375" s="11" t="s">
        <v>66</v>
      </c>
      <c r="N5375" s="11" t="s">
        <v>80</v>
      </c>
      <c r="O5375" s="11" t="s">
        <v>1603</v>
      </c>
      <c r="P5375" s="11" t="s">
        <v>75</v>
      </c>
      <c r="Q5375" s="20">
        <v>40741.0</v>
      </c>
      <c r="R5375" s="17">
        <f t="shared" si="2"/>
        <v>10.00619982</v>
      </c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>
        <f t="shared" si="8"/>
        <v>4</v>
      </c>
      <c r="AF5375" s="19">
        <f t="shared" si="13"/>
        <v>4</v>
      </c>
      <c r="AG5375" s="9"/>
      <c r="AH5375" s="9"/>
      <c r="AI5375" s="9"/>
    </row>
    <row r="5376" ht="15.0" customHeight="1">
      <c r="A5376" s="11">
        <v>5375.0</v>
      </c>
      <c r="B5376" s="12">
        <f t="shared" si="856"/>
        <v>40739</v>
      </c>
      <c r="C5376" s="13">
        <v>2011.0</v>
      </c>
      <c r="D5376" s="11" t="s">
        <v>32</v>
      </c>
      <c r="E5376" s="11">
        <v>15.0</v>
      </c>
      <c r="F5376" s="21" t="s">
        <v>1791</v>
      </c>
      <c r="G5376" s="15">
        <v>0.05738145789101205</v>
      </c>
      <c r="H5376" s="11" t="s">
        <v>33</v>
      </c>
      <c r="I5376" s="16">
        <v>7.192</v>
      </c>
      <c r="J5376" s="11" t="s">
        <v>982</v>
      </c>
      <c r="K5376" s="11" t="s">
        <v>61</v>
      </c>
      <c r="L5376" s="11" t="s">
        <v>48</v>
      </c>
      <c r="M5376" s="11" t="s">
        <v>66</v>
      </c>
      <c r="N5376" s="11" t="s">
        <v>67</v>
      </c>
      <c r="O5376" s="11" t="s">
        <v>1792</v>
      </c>
      <c r="P5376" s="11" t="s">
        <v>99</v>
      </c>
      <c r="Q5376" s="20">
        <v>40741.0</v>
      </c>
      <c r="R5376" s="17">
        <f t="shared" si="2"/>
        <v>7.642751139</v>
      </c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>
        <f t="shared" si="8"/>
        <v>4</v>
      </c>
      <c r="AF5376" s="19">
        <f t="shared" si="13"/>
        <v>4</v>
      </c>
      <c r="AG5376" s="9"/>
      <c r="AH5376" s="9"/>
      <c r="AI5376" s="9"/>
    </row>
    <row r="5377" ht="15.0" customHeight="1">
      <c r="A5377" s="11">
        <v>5376.0</v>
      </c>
      <c r="B5377" s="12">
        <f t="shared" si="856"/>
        <v>40739</v>
      </c>
      <c r="C5377" s="13">
        <v>2011.0</v>
      </c>
      <c r="D5377" s="11" t="s">
        <v>102</v>
      </c>
      <c r="E5377" s="11">
        <v>6.0</v>
      </c>
      <c r="F5377" s="21" t="s">
        <v>126</v>
      </c>
      <c r="G5377" s="15">
        <v>0.09993957703927492</v>
      </c>
      <c r="H5377" s="11" t="s">
        <v>33</v>
      </c>
      <c r="I5377" s="16">
        <v>0.392</v>
      </c>
      <c r="J5377" s="11" t="s">
        <v>898</v>
      </c>
      <c r="K5377" s="11" t="s">
        <v>35</v>
      </c>
      <c r="L5377" s="11" t="s">
        <v>48</v>
      </c>
      <c r="M5377" s="11" t="s">
        <v>28</v>
      </c>
      <c r="N5377" s="11" t="s">
        <v>188</v>
      </c>
      <c r="O5377" s="11" t="s">
        <v>1703</v>
      </c>
      <c r="P5377" s="11" t="s">
        <v>38</v>
      </c>
      <c r="Q5377" s="20">
        <v>40741.0</v>
      </c>
      <c r="R5377" s="17">
        <f t="shared" si="2"/>
        <v>2.977399879</v>
      </c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>
        <f t="shared" si="8"/>
        <v>4</v>
      </c>
      <c r="AF5377" s="19">
        <f t="shared" si="13"/>
        <v>2</v>
      </c>
      <c r="AG5377" s="9"/>
      <c r="AH5377" s="9"/>
      <c r="AI5377" s="9"/>
    </row>
    <row r="5378" ht="15.0" customHeight="1">
      <c r="A5378" s="11">
        <v>5377.0</v>
      </c>
      <c r="B5378" s="12">
        <f t="shared" si="856"/>
        <v>40739</v>
      </c>
      <c r="C5378" s="13">
        <v>2011.0</v>
      </c>
      <c r="D5378" s="11" t="s">
        <v>23</v>
      </c>
      <c r="E5378" s="11">
        <v>30.0</v>
      </c>
      <c r="F5378" s="21" t="s">
        <v>110</v>
      </c>
      <c r="G5378" s="15">
        <v>0.08361671831811722</v>
      </c>
      <c r="H5378" s="11" t="s">
        <v>45</v>
      </c>
      <c r="I5378" s="16">
        <v>14.280000000000001</v>
      </c>
      <c r="J5378" s="11" t="s">
        <v>2169</v>
      </c>
      <c r="K5378" s="11" t="s">
        <v>26</v>
      </c>
      <c r="L5378" s="11" t="s">
        <v>48</v>
      </c>
      <c r="M5378" s="11" t="s">
        <v>66</v>
      </c>
      <c r="N5378" s="11" t="s">
        <v>69</v>
      </c>
      <c r="O5378" s="11" t="s">
        <v>111</v>
      </c>
      <c r="P5378" s="11" t="s">
        <v>52</v>
      </c>
      <c r="Q5378" s="20">
        <v>40741.0</v>
      </c>
      <c r="R5378" s="17">
        <f t="shared" si="2"/>
        <v>365.930172</v>
      </c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>
        <f t="shared" si="8"/>
        <v>4</v>
      </c>
      <c r="AF5378" s="19">
        <f t="shared" si="13"/>
        <v>1</v>
      </c>
      <c r="AG5378" s="9"/>
      <c r="AH5378" s="9"/>
      <c r="AI5378" s="9"/>
    </row>
    <row r="5379" ht="15.0" customHeight="1">
      <c r="A5379" s="11">
        <v>5378.0</v>
      </c>
      <c r="B5379" s="12">
        <f t="shared" si="856"/>
        <v>40739</v>
      </c>
      <c r="C5379" s="13">
        <v>2011.0</v>
      </c>
      <c r="D5379" s="11" t="s">
        <v>44</v>
      </c>
      <c r="E5379" s="11">
        <v>9.0</v>
      </c>
      <c r="F5379" s="21" t="s">
        <v>872</v>
      </c>
      <c r="G5379" s="15">
        <v>0.06091722595078313</v>
      </c>
      <c r="H5379" s="11" t="s">
        <v>33</v>
      </c>
      <c r="I5379" s="16">
        <v>6.808</v>
      </c>
      <c r="J5379" s="11" t="s">
        <v>2315</v>
      </c>
      <c r="K5379" s="11" t="s">
        <v>26</v>
      </c>
      <c r="L5379" s="11" t="s">
        <v>36</v>
      </c>
      <c r="M5379" s="11" t="s">
        <v>66</v>
      </c>
      <c r="N5379" s="11" t="s">
        <v>69</v>
      </c>
      <c r="O5379" s="11" t="s">
        <v>1000</v>
      </c>
      <c r="P5379" s="11" t="s">
        <v>75</v>
      </c>
      <c r="Q5379" s="20">
        <v>40741.0</v>
      </c>
      <c r="R5379" s="17">
        <f t="shared" si="2"/>
        <v>10.22848957</v>
      </c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>
        <f t="shared" si="8"/>
        <v>2</v>
      </c>
      <c r="AF5379" s="19">
        <f t="shared" si="13"/>
        <v>1</v>
      </c>
      <c r="AG5379" s="9"/>
      <c r="AH5379" s="9"/>
      <c r="AI5379" s="9"/>
    </row>
    <row r="5380" ht="15.0" customHeight="1">
      <c r="A5380" s="11">
        <v>5379.0</v>
      </c>
      <c r="B5380" s="12">
        <f t="shared" si="856"/>
        <v>40739</v>
      </c>
      <c r="C5380" s="13">
        <v>2011.0</v>
      </c>
      <c r="D5380" s="11" t="s">
        <v>44</v>
      </c>
      <c r="E5380" s="11">
        <v>8.0</v>
      </c>
      <c r="F5380" s="21" t="s">
        <v>322</v>
      </c>
      <c r="G5380" s="15">
        <v>0.01362397820163507</v>
      </c>
      <c r="H5380" s="11" t="s">
        <v>24</v>
      </c>
      <c r="I5380" s="16">
        <v>3.6</v>
      </c>
      <c r="J5380" s="11" t="s">
        <v>2315</v>
      </c>
      <c r="K5380" s="11" t="s">
        <v>26</v>
      </c>
      <c r="L5380" s="11" t="s">
        <v>36</v>
      </c>
      <c r="M5380" s="11" t="s">
        <v>28</v>
      </c>
      <c r="N5380" s="11" t="s">
        <v>197</v>
      </c>
      <c r="O5380" s="11" t="s">
        <v>2521</v>
      </c>
      <c r="P5380" s="11" t="s">
        <v>38</v>
      </c>
      <c r="Q5380" s="20">
        <v>40742.0</v>
      </c>
      <c r="R5380" s="17">
        <f t="shared" si="2"/>
        <v>0.9863760218</v>
      </c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>
        <f t="shared" si="8"/>
        <v>2</v>
      </c>
      <c r="AF5380" s="19">
        <f t="shared" si="13"/>
        <v>1</v>
      </c>
      <c r="AG5380" s="9"/>
      <c r="AH5380" s="9"/>
      <c r="AI5380" s="9"/>
    </row>
    <row r="5381" ht="15.0" customHeight="1">
      <c r="A5381" s="11">
        <v>5380.0</v>
      </c>
      <c r="B5381" s="12">
        <f t="shared" si="856"/>
        <v>40739</v>
      </c>
      <c r="C5381" s="13">
        <v>2011.0</v>
      </c>
      <c r="D5381" s="11" t="s">
        <v>32</v>
      </c>
      <c r="E5381" s="11">
        <v>48.0</v>
      </c>
      <c r="F5381" s="21" t="s">
        <v>1818</v>
      </c>
      <c r="G5381" s="15">
        <v>0.057152855097820886</v>
      </c>
      <c r="H5381" s="11" t="s">
        <v>33</v>
      </c>
      <c r="I5381" s="16">
        <v>6.912000000000001</v>
      </c>
      <c r="J5381" s="11" t="s">
        <v>2498</v>
      </c>
      <c r="K5381" s="11" t="s">
        <v>26</v>
      </c>
      <c r="L5381" s="11" t="s">
        <v>27</v>
      </c>
      <c r="M5381" s="11" t="s">
        <v>28</v>
      </c>
      <c r="N5381" s="11" t="s">
        <v>29</v>
      </c>
      <c r="O5381" s="11" t="s">
        <v>1819</v>
      </c>
      <c r="P5381" s="11" t="s">
        <v>38</v>
      </c>
      <c r="Q5381" s="20">
        <v>40742.0</v>
      </c>
      <c r="R5381" s="17">
        <f t="shared" si="2"/>
        <v>304.9054525</v>
      </c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>
        <f t="shared" si="8"/>
        <v>1</v>
      </c>
      <c r="AF5381" s="19">
        <f t="shared" si="13"/>
        <v>1</v>
      </c>
      <c r="AG5381" s="9"/>
      <c r="AH5381" s="9"/>
      <c r="AI5381" s="9"/>
    </row>
    <row r="5382" ht="15.0" customHeight="1">
      <c r="A5382" s="11">
        <v>5381.0</v>
      </c>
      <c r="B5382" s="12">
        <f t="shared" ref="B5382:B5386" si="857">DATE(2012,12,31)-534</f>
        <v>40740</v>
      </c>
      <c r="C5382" s="13">
        <v>2011.0</v>
      </c>
      <c r="D5382" s="11" t="s">
        <v>39</v>
      </c>
      <c r="E5382" s="11">
        <v>28.0</v>
      </c>
      <c r="F5382" s="21" t="s">
        <v>270</v>
      </c>
      <c r="G5382" s="15">
        <v>0.041510438326540715</v>
      </c>
      <c r="H5382" s="11" t="s">
        <v>33</v>
      </c>
      <c r="I5382" s="16">
        <v>7.192</v>
      </c>
      <c r="J5382" s="11" t="s">
        <v>744</v>
      </c>
      <c r="K5382" s="11" t="s">
        <v>61</v>
      </c>
      <c r="L5382" s="11" t="s">
        <v>36</v>
      </c>
      <c r="M5382" s="11" t="s">
        <v>28</v>
      </c>
      <c r="N5382" s="11" t="s">
        <v>62</v>
      </c>
      <c r="O5382" s="11" t="s">
        <v>1847</v>
      </c>
      <c r="P5382" s="11" t="s">
        <v>99</v>
      </c>
      <c r="Q5382" s="20">
        <v>40742.0</v>
      </c>
      <c r="R5382" s="17">
        <f t="shared" si="2"/>
        <v>47.83629704</v>
      </c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>
        <f t="shared" si="8"/>
        <v>2</v>
      </c>
      <c r="AF5382" s="19">
        <f t="shared" si="13"/>
        <v>4</v>
      </c>
      <c r="AG5382" s="9"/>
      <c r="AH5382" s="9"/>
      <c r="AI5382" s="9"/>
    </row>
    <row r="5383" ht="15.0" customHeight="1">
      <c r="A5383" s="11">
        <v>5382.0</v>
      </c>
      <c r="B5383" s="12">
        <f t="shared" si="857"/>
        <v>40740</v>
      </c>
      <c r="C5383" s="13">
        <v>2011.0</v>
      </c>
      <c r="D5383" s="11" t="s">
        <v>44</v>
      </c>
      <c r="E5383" s="11">
        <v>42.0</v>
      </c>
      <c r="F5383" s="21" t="s">
        <v>119</v>
      </c>
      <c r="G5383" s="15">
        <v>0.08612440191387546</v>
      </c>
      <c r="H5383" s="11" t="s">
        <v>33</v>
      </c>
      <c r="I5383" s="16">
        <v>0.8</v>
      </c>
      <c r="J5383" s="11" t="s">
        <v>2063</v>
      </c>
      <c r="K5383" s="11" t="s">
        <v>83</v>
      </c>
      <c r="L5383" s="11" t="s">
        <v>48</v>
      </c>
      <c r="M5383" s="11" t="s">
        <v>28</v>
      </c>
      <c r="N5383" s="11" t="s">
        <v>62</v>
      </c>
      <c r="O5383" s="11" t="s">
        <v>2296</v>
      </c>
      <c r="P5383" s="11" t="s">
        <v>58</v>
      </c>
      <c r="Q5383" s="20">
        <v>40743.0</v>
      </c>
      <c r="R5383" s="17">
        <f t="shared" si="2"/>
        <v>6.579904306</v>
      </c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>
        <f t="shared" si="8"/>
        <v>4</v>
      </c>
      <c r="AF5383" s="19" t="b">
        <f t="shared" si="13"/>
        <v>0</v>
      </c>
      <c r="AG5383" s="9"/>
      <c r="AH5383" s="9"/>
      <c r="AI5383" s="9"/>
    </row>
    <row r="5384" ht="15.0" customHeight="1">
      <c r="A5384" s="11">
        <v>5383.0</v>
      </c>
      <c r="B5384" s="12">
        <f t="shared" si="857"/>
        <v>40740</v>
      </c>
      <c r="C5384" s="13">
        <v>2011.0</v>
      </c>
      <c r="D5384" s="11" t="s">
        <v>32</v>
      </c>
      <c r="E5384" s="11">
        <v>2.0</v>
      </c>
      <c r="F5384" s="21" t="s">
        <v>2260</v>
      </c>
      <c r="G5384" s="15">
        <v>0.05216084843128591</v>
      </c>
      <c r="H5384" s="11" t="s">
        <v>24</v>
      </c>
      <c r="I5384" s="16">
        <v>7.992000000000001</v>
      </c>
      <c r="J5384" s="11" t="s">
        <v>2180</v>
      </c>
      <c r="K5384" s="11" t="s">
        <v>61</v>
      </c>
      <c r="L5384" s="11" t="s">
        <v>36</v>
      </c>
      <c r="M5384" s="11" t="s">
        <v>28</v>
      </c>
      <c r="N5384" s="11" t="s">
        <v>29</v>
      </c>
      <c r="O5384" s="11" t="s">
        <v>2261</v>
      </c>
      <c r="P5384" s="11" t="s">
        <v>38</v>
      </c>
      <c r="Q5384" s="20">
        <v>40743.0</v>
      </c>
      <c r="R5384" s="17">
        <f t="shared" si="2"/>
        <v>22.37658669</v>
      </c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>
        <f t="shared" si="8"/>
        <v>2</v>
      </c>
      <c r="AF5384" s="19">
        <f t="shared" si="13"/>
        <v>4</v>
      </c>
      <c r="AG5384" s="9"/>
      <c r="AH5384" s="9"/>
      <c r="AI5384" s="9"/>
    </row>
    <row r="5385" ht="15.0" customHeight="1">
      <c r="A5385" s="11">
        <v>5384.0</v>
      </c>
      <c r="B5385" s="12">
        <f t="shared" si="857"/>
        <v>40740</v>
      </c>
      <c r="C5385" s="13">
        <v>2011.0</v>
      </c>
      <c r="D5385" s="11" t="s">
        <v>32</v>
      </c>
      <c r="E5385" s="11">
        <v>20.0</v>
      </c>
      <c r="F5385" s="21" t="s">
        <v>128</v>
      </c>
      <c r="G5385" s="15">
        <v>0.035058082259020795</v>
      </c>
      <c r="H5385" s="11" t="s">
        <v>24</v>
      </c>
      <c r="I5385" s="16">
        <v>6.152000000000001</v>
      </c>
      <c r="J5385" s="11" t="s">
        <v>2180</v>
      </c>
      <c r="K5385" s="11" t="s">
        <v>61</v>
      </c>
      <c r="L5385" s="11" t="s">
        <v>36</v>
      </c>
      <c r="M5385" s="11" t="s">
        <v>66</v>
      </c>
      <c r="N5385" s="11" t="s">
        <v>80</v>
      </c>
      <c r="O5385" s="11" t="s">
        <v>589</v>
      </c>
      <c r="P5385" s="11" t="s">
        <v>38</v>
      </c>
      <c r="Q5385" s="20">
        <v>40743.0</v>
      </c>
      <c r="R5385" s="17">
        <f t="shared" si="2"/>
        <v>88.49192845</v>
      </c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>
        <f t="shared" si="8"/>
        <v>2</v>
      </c>
      <c r="AF5385" s="19">
        <f t="shared" si="13"/>
        <v>4</v>
      </c>
      <c r="AG5385" s="9"/>
      <c r="AH5385" s="9"/>
      <c r="AI5385" s="9"/>
    </row>
    <row r="5386" ht="15.0" customHeight="1">
      <c r="A5386" s="11">
        <v>5385.0</v>
      </c>
      <c r="B5386" s="12">
        <f t="shared" si="857"/>
        <v>40740</v>
      </c>
      <c r="C5386" s="13">
        <v>2011.0</v>
      </c>
      <c r="D5386" s="11" t="s">
        <v>39</v>
      </c>
      <c r="E5386" s="11">
        <v>47.0</v>
      </c>
      <c r="F5386" s="21" t="s">
        <v>126</v>
      </c>
      <c r="G5386" s="15">
        <v>0.01852068533221892</v>
      </c>
      <c r="H5386" s="11" t="s">
        <v>33</v>
      </c>
      <c r="I5386" s="16">
        <v>4.5680000000000005</v>
      </c>
      <c r="J5386" s="11" t="s">
        <v>930</v>
      </c>
      <c r="K5386" s="11" t="s">
        <v>61</v>
      </c>
      <c r="L5386" s="11" t="s">
        <v>27</v>
      </c>
      <c r="M5386" s="11" t="s">
        <v>49</v>
      </c>
      <c r="N5386" s="11" t="s">
        <v>73</v>
      </c>
      <c r="O5386" s="11" t="s">
        <v>1920</v>
      </c>
      <c r="P5386" s="11" t="s">
        <v>75</v>
      </c>
      <c r="Q5386" s="20">
        <v>40743.0</v>
      </c>
      <c r="R5386" s="17">
        <f t="shared" si="2"/>
        <v>4.349916323</v>
      </c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>
        <f t="shared" si="8"/>
        <v>1</v>
      </c>
      <c r="AF5386" s="19">
        <f t="shared" si="13"/>
        <v>4</v>
      </c>
      <c r="AG5386" s="9"/>
      <c r="AH5386" s="9"/>
      <c r="AI5386" s="9"/>
    </row>
    <row r="5387" ht="15.0" customHeight="1">
      <c r="A5387" s="11">
        <v>5386.0</v>
      </c>
      <c r="B5387" s="12">
        <f>DATE(2012,12,31)-533</f>
        <v>40741</v>
      </c>
      <c r="C5387" s="13">
        <v>2011.0</v>
      </c>
      <c r="D5387" s="11" t="s">
        <v>44</v>
      </c>
      <c r="E5387" s="11">
        <v>6.0</v>
      </c>
      <c r="F5387" s="21" t="s">
        <v>242</v>
      </c>
      <c r="G5387" s="15">
        <v>0.03531914893617014</v>
      </c>
      <c r="H5387" s="11" t="s">
        <v>33</v>
      </c>
      <c r="I5387" s="16">
        <v>28.0</v>
      </c>
      <c r="J5387" s="11" t="s">
        <v>1013</v>
      </c>
      <c r="K5387" s="11" t="s">
        <v>35</v>
      </c>
      <c r="L5387" s="11" t="s">
        <v>41</v>
      </c>
      <c r="M5387" s="11" t="s">
        <v>28</v>
      </c>
      <c r="N5387" s="11" t="s">
        <v>29</v>
      </c>
      <c r="O5387" s="11" t="s">
        <v>2553</v>
      </c>
      <c r="P5387" s="11" t="s">
        <v>31</v>
      </c>
      <c r="Q5387" s="20">
        <v>40743.0</v>
      </c>
      <c r="R5387" s="17">
        <f t="shared" si="2"/>
        <v>16.01370213</v>
      </c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>
        <f t="shared" si="8"/>
        <v>3</v>
      </c>
      <c r="AF5387" s="19">
        <f t="shared" si="13"/>
        <v>2</v>
      </c>
      <c r="AG5387" s="9"/>
      <c r="AH5387" s="9"/>
      <c r="AI5387" s="9"/>
    </row>
    <row r="5388" ht="15.0" customHeight="1">
      <c r="A5388" s="11">
        <v>5387.0</v>
      </c>
      <c r="B5388" s="12">
        <f t="shared" ref="B5388:B5395" si="858">DATE(2012,12,31)-532</f>
        <v>40742</v>
      </c>
      <c r="C5388" s="13">
        <v>2011.0</v>
      </c>
      <c r="D5388" s="11" t="s">
        <v>23</v>
      </c>
      <c r="E5388" s="11">
        <v>39.0</v>
      </c>
      <c r="F5388" s="21" t="s">
        <v>758</v>
      </c>
      <c r="G5388" s="15">
        <v>0.05312710154673825</v>
      </c>
      <c r="H5388" s="11" t="s">
        <v>33</v>
      </c>
      <c r="I5388" s="16">
        <v>0.4</v>
      </c>
      <c r="J5388" s="11" t="s">
        <v>608</v>
      </c>
      <c r="K5388" s="11" t="s">
        <v>35</v>
      </c>
      <c r="L5388" s="11" t="s">
        <v>48</v>
      </c>
      <c r="M5388" s="11" t="s">
        <v>28</v>
      </c>
      <c r="N5388" s="11" t="s">
        <v>188</v>
      </c>
      <c r="O5388" s="11" t="s">
        <v>1867</v>
      </c>
      <c r="P5388" s="11" t="s">
        <v>38</v>
      </c>
      <c r="Q5388" s="20">
        <v>40743.0</v>
      </c>
      <c r="R5388" s="17">
        <f t="shared" si="2"/>
        <v>7.480295898</v>
      </c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>
        <f t="shared" si="8"/>
        <v>4</v>
      </c>
      <c r="AF5388" s="19">
        <f t="shared" si="13"/>
        <v>2</v>
      </c>
      <c r="AG5388" s="9"/>
      <c r="AH5388" s="9"/>
      <c r="AI5388" s="9"/>
    </row>
    <row r="5389" ht="15.0" customHeight="1">
      <c r="A5389" s="11">
        <v>5388.0</v>
      </c>
      <c r="B5389" s="12">
        <f t="shared" si="858"/>
        <v>40742</v>
      </c>
      <c r="C5389" s="13">
        <v>2011.0</v>
      </c>
      <c r="D5389" s="11" t="s">
        <v>23</v>
      </c>
      <c r="E5389" s="11">
        <v>31.0</v>
      </c>
      <c r="F5389" s="21" t="s">
        <v>158</v>
      </c>
      <c r="G5389" s="15">
        <v>0.06602189781021889</v>
      </c>
      <c r="H5389" s="11" t="s">
        <v>24</v>
      </c>
      <c r="I5389" s="16">
        <v>6.328</v>
      </c>
      <c r="J5389" s="11" t="s">
        <v>608</v>
      </c>
      <c r="K5389" s="11" t="s">
        <v>35</v>
      </c>
      <c r="L5389" s="11" t="s">
        <v>48</v>
      </c>
      <c r="M5389" s="11" t="s">
        <v>28</v>
      </c>
      <c r="N5389" s="11" t="s">
        <v>56</v>
      </c>
      <c r="O5389" s="11" t="s">
        <v>1392</v>
      </c>
      <c r="P5389" s="11" t="s">
        <v>38</v>
      </c>
      <c r="Q5389" s="20">
        <v>40743.0</v>
      </c>
      <c r="R5389" s="17">
        <f t="shared" si="2"/>
        <v>13.51653109</v>
      </c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>
        <f t="shared" si="8"/>
        <v>4</v>
      </c>
      <c r="AF5389" s="19">
        <f t="shared" si="13"/>
        <v>2</v>
      </c>
      <c r="AG5389" s="9"/>
      <c r="AH5389" s="9"/>
      <c r="AI5389" s="9"/>
    </row>
    <row r="5390" ht="15.0" customHeight="1">
      <c r="A5390" s="11">
        <v>5389.0</v>
      </c>
      <c r="B5390" s="12">
        <f t="shared" si="858"/>
        <v>40742</v>
      </c>
      <c r="C5390" s="13">
        <v>2011.0</v>
      </c>
      <c r="D5390" s="11" t="s">
        <v>102</v>
      </c>
      <c r="E5390" s="11">
        <v>38.0</v>
      </c>
      <c r="F5390" s="21" t="s">
        <v>115</v>
      </c>
      <c r="G5390" s="15">
        <v>0.04156904845469372</v>
      </c>
      <c r="H5390" s="11" t="s">
        <v>45</v>
      </c>
      <c r="I5390" s="16">
        <v>48.152</v>
      </c>
      <c r="J5390" s="11" t="s">
        <v>1935</v>
      </c>
      <c r="K5390" s="11" t="s">
        <v>35</v>
      </c>
      <c r="L5390" s="11" t="s">
        <v>36</v>
      </c>
      <c r="M5390" s="11" t="s">
        <v>49</v>
      </c>
      <c r="N5390" s="11" t="s">
        <v>156</v>
      </c>
      <c r="O5390" s="11" t="s">
        <v>2554</v>
      </c>
      <c r="P5390" s="11" t="s">
        <v>87</v>
      </c>
      <c r="Q5390" s="20">
        <v>40744.0</v>
      </c>
      <c r="R5390" s="17">
        <f t="shared" si="2"/>
        <v>192.9781552</v>
      </c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>
        <f t="shared" si="8"/>
        <v>2</v>
      </c>
      <c r="AF5390" s="19">
        <f t="shared" si="13"/>
        <v>2</v>
      </c>
      <c r="AG5390" s="9"/>
      <c r="AH5390" s="9"/>
      <c r="AI5390" s="9"/>
    </row>
    <row r="5391" ht="15.0" customHeight="1">
      <c r="A5391" s="11">
        <v>5390.0</v>
      </c>
      <c r="B5391" s="12">
        <f t="shared" si="858"/>
        <v>40742</v>
      </c>
      <c r="C5391" s="13">
        <v>2011.0</v>
      </c>
      <c r="D5391" s="11" t="s">
        <v>102</v>
      </c>
      <c r="E5391" s="11">
        <v>39.0</v>
      </c>
      <c r="F5391" s="21" t="s">
        <v>610</v>
      </c>
      <c r="G5391" s="15">
        <v>0.0373681043129389</v>
      </c>
      <c r="H5391" s="11" t="s">
        <v>33</v>
      </c>
      <c r="I5391" s="16">
        <v>4.072</v>
      </c>
      <c r="J5391" s="11" t="s">
        <v>1935</v>
      </c>
      <c r="K5391" s="11" t="s">
        <v>35</v>
      </c>
      <c r="L5391" s="11" t="s">
        <v>36</v>
      </c>
      <c r="M5391" s="11" t="s">
        <v>28</v>
      </c>
      <c r="N5391" s="11" t="s">
        <v>56</v>
      </c>
      <c r="O5391" s="11" t="s">
        <v>1797</v>
      </c>
      <c r="P5391" s="11" t="s">
        <v>38</v>
      </c>
      <c r="Q5391" s="20">
        <v>40744.0</v>
      </c>
      <c r="R5391" s="17">
        <f t="shared" si="2"/>
        <v>17.93190695</v>
      </c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>
        <f t="shared" si="8"/>
        <v>2</v>
      </c>
      <c r="AF5391" s="19">
        <f t="shared" si="13"/>
        <v>2</v>
      </c>
      <c r="AG5391" s="9"/>
      <c r="AH5391" s="9"/>
      <c r="AI5391" s="9"/>
    </row>
    <row r="5392" ht="15.0" customHeight="1">
      <c r="A5392" s="11">
        <v>5391.0</v>
      </c>
      <c r="B5392" s="12">
        <f t="shared" si="858"/>
        <v>40742</v>
      </c>
      <c r="C5392" s="13">
        <v>2011.0</v>
      </c>
      <c r="D5392" s="11" t="s">
        <v>102</v>
      </c>
      <c r="E5392" s="11">
        <v>3.0</v>
      </c>
      <c r="F5392" s="21" t="s">
        <v>2113</v>
      </c>
      <c r="G5392" s="15">
        <v>0.014751564225248369</v>
      </c>
      <c r="H5392" s="11" t="s">
        <v>33</v>
      </c>
      <c r="I5392" s="16">
        <v>15.991999999999999</v>
      </c>
      <c r="J5392" s="11" t="s">
        <v>942</v>
      </c>
      <c r="K5392" s="11" t="s">
        <v>61</v>
      </c>
      <c r="L5392" s="11" t="s">
        <v>48</v>
      </c>
      <c r="M5392" s="11" t="s">
        <v>28</v>
      </c>
      <c r="N5392" s="11" t="s">
        <v>236</v>
      </c>
      <c r="O5392" s="11" t="s">
        <v>2170</v>
      </c>
      <c r="P5392" s="11" t="s">
        <v>38</v>
      </c>
      <c r="Q5392" s="20">
        <v>40744.0</v>
      </c>
      <c r="R5392" s="17">
        <f t="shared" si="2"/>
        <v>3.948875731</v>
      </c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>
        <f t="shared" si="8"/>
        <v>4</v>
      </c>
      <c r="AF5392" s="19">
        <f t="shared" si="13"/>
        <v>4</v>
      </c>
      <c r="AG5392" s="9"/>
      <c r="AH5392" s="9"/>
      <c r="AI5392" s="9"/>
    </row>
    <row r="5393" ht="15.0" customHeight="1">
      <c r="A5393" s="11">
        <v>5392.0</v>
      </c>
      <c r="B5393" s="12">
        <f t="shared" si="858"/>
        <v>40742</v>
      </c>
      <c r="C5393" s="13">
        <v>2011.0</v>
      </c>
      <c r="D5393" s="11" t="s">
        <v>102</v>
      </c>
      <c r="E5393" s="11">
        <v>3.0</v>
      </c>
      <c r="F5393" s="21" t="s">
        <v>319</v>
      </c>
      <c r="G5393" s="15">
        <v>0.11111111111111126</v>
      </c>
      <c r="H5393" s="11" t="s">
        <v>33</v>
      </c>
      <c r="I5393" s="16">
        <v>0.4</v>
      </c>
      <c r="J5393" s="11" t="s">
        <v>1634</v>
      </c>
      <c r="K5393" s="11" t="s">
        <v>65</v>
      </c>
      <c r="L5393" s="11" t="s">
        <v>41</v>
      </c>
      <c r="M5393" s="11" t="s">
        <v>28</v>
      </c>
      <c r="N5393" s="11" t="s">
        <v>188</v>
      </c>
      <c r="O5393" s="11" t="s">
        <v>1198</v>
      </c>
      <c r="P5393" s="11" t="s">
        <v>38</v>
      </c>
      <c r="Q5393" s="20">
        <v>40744.0</v>
      </c>
      <c r="R5393" s="17">
        <f t="shared" si="2"/>
        <v>0.9777777778</v>
      </c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>
        <f t="shared" si="8"/>
        <v>3</v>
      </c>
      <c r="AF5393" s="19">
        <f t="shared" si="13"/>
        <v>5</v>
      </c>
      <c r="AG5393" s="9"/>
      <c r="AH5393" s="9"/>
      <c r="AI5393" s="9"/>
    </row>
    <row r="5394" ht="15.0" customHeight="1">
      <c r="A5394" s="11">
        <v>5393.0</v>
      </c>
      <c r="B5394" s="12">
        <f t="shared" si="858"/>
        <v>40742</v>
      </c>
      <c r="C5394" s="13">
        <v>2011.0</v>
      </c>
      <c r="D5394" s="11" t="s">
        <v>39</v>
      </c>
      <c r="E5394" s="11">
        <v>39.0</v>
      </c>
      <c r="F5394" s="21" t="s">
        <v>178</v>
      </c>
      <c r="G5394" s="15">
        <v>0.05816118878559383</v>
      </c>
      <c r="H5394" s="11" t="s">
        <v>24</v>
      </c>
      <c r="I5394" s="16">
        <v>3.192</v>
      </c>
      <c r="J5394" s="11" t="s">
        <v>1240</v>
      </c>
      <c r="K5394" s="11" t="s">
        <v>35</v>
      </c>
      <c r="L5394" s="11" t="s">
        <v>41</v>
      </c>
      <c r="M5394" s="11" t="s">
        <v>66</v>
      </c>
      <c r="N5394" s="11" t="s">
        <v>80</v>
      </c>
      <c r="O5394" s="11" t="s">
        <v>587</v>
      </c>
      <c r="P5394" s="11" t="s">
        <v>38</v>
      </c>
      <c r="Q5394" s="20">
        <v>40744.0</v>
      </c>
      <c r="R5394" s="17">
        <f t="shared" si="2"/>
        <v>149.6657218</v>
      </c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>
        <f t="shared" si="8"/>
        <v>3</v>
      </c>
      <c r="AF5394" s="19">
        <f t="shared" si="13"/>
        <v>2</v>
      </c>
      <c r="AG5394" s="9"/>
      <c r="AH5394" s="9"/>
      <c r="AI5394" s="9"/>
    </row>
    <row r="5395" ht="15.0" customHeight="1">
      <c r="A5395" s="11">
        <v>5394.0</v>
      </c>
      <c r="B5395" s="12">
        <f t="shared" si="858"/>
        <v>40742</v>
      </c>
      <c r="C5395" s="13">
        <v>2011.0</v>
      </c>
      <c r="D5395" s="11" t="s">
        <v>23</v>
      </c>
      <c r="E5395" s="11">
        <v>39.0</v>
      </c>
      <c r="F5395" s="21" t="s">
        <v>1156</v>
      </c>
      <c r="G5395" s="15">
        <v>0.0832034723373472</v>
      </c>
      <c r="H5395" s="11" t="s">
        <v>33</v>
      </c>
      <c r="I5395" s="16">
        <v>3.12</v>
      </c>
      <c r="J5395" s="11" t="s">
        <v>392</v>
      </c>
      <c r="K5395" s="11" t="s">
        <v>65</v>
      </c>
      <c r="L5395" s="11" t="s">
        <v>48</v>
      </c>
      <c r="M5395" s="11" t="s">
        <v>66</v>
      </c>
      <c r="N5395" s="11" t="s">
        <v>80</v>
      </c>
      <c r="O5395" s="11" t="s">
        <v>1157</v>
      </c>
      <c r="P5395" s="11" t="s">
        <v>38</v>
      </c>
      <c r="Q5395" s="20">
        <v>40744.0</v>
      </c>
      <c r="R5395" s="17">
        <f t="shared" si="2"/>
        <v>506.145027</v>
      </c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>
        <f t="shared" si="8"/>
        <v>4</v>
      </c>
      <c r="AF5395" s="19">
        <f t="shared" si="13"/>
        <v>5</v>
      </c>
      <c r="AG5395" s="9"/>
      <c r="AH5395" s="9"/>
      <c r="AI5395" s="9"/>
    </row>
    <row r="5396" ht="15.0" customHeight="1">
      <c r="A5396" s="11">
        <v>5395.0</v>
      </c>
      <c r="B5396" s="12">
        <f t="shared" ref="B5396:B5399" si="859">DATE(2012,12,31)-531</f>
        <v>40743</v>
      </c>
      <c r="C5396" s="13">
        <v>2011.0</v>
      </c>
      <c r="D5396" s="11" t="s">
        <v>32</v>
      </c>
      <c r="E5396" s="11">
        <v>45.0</v>
      </c>
      <c r="F5396" s="21" t="s">
        <v>629</v>
      </c>
      <c r="G5396" s="15">
        <v>0.03294186046511626</v>
      </c>
      <c r="H5396" s="11" t="s">
        <v>33</v>
      </c>
      <c r="I5396" s="16">
        <v>4.168</v>
      </c>
      <c r="J5396" s="11" t="s">
        <v>2075</v>
      </c>
      <c r="K5396" s="11" t="s">
        <v>35</v>
      </c>
      <c r="L5396" s="11" t="s">
        <v>48</v>
      </c>
      <c r="M5396" s="11" t="s">
        <v>49</v>
      </c>
      <c r="N5396" s="11" t="s">
        <v>73</v>
      </c>
      <c r="O5396" s="11" t="s">
        <v>1477</v>
      </c>
      <c r="P5396" s="11" t="s">
        <v>38</v>
      </c>
      <c r="Q5396" s="20">
        <v>40745.0</v>
      </c>
      <c r="R5396" s="17">
        <f t="shared" si="2"/>
        <v>10.95870284</v>
      </c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>
        <f t="shared" si="8"/>
        <v>4</v>
      </c>
      <c r="AF5396" s="19">
        <f t="shared" si="13"/>
        <v>2</v>
      </c>
      <c r="AG5396" s="9"/>
      <c r="AH5396" s="9"/>
      <c r="AI5396" s="9"/>
    </row>
    <row r="5397" ht="15.0" customHeight="1">
      <c r="A5397" s="11">
        <v>5396.0</v>
      </c>
      <c r="B5397" s="12">
        <f t="shared" si="859"/>
        <v>40743</v>
      </c>
      <c r="C5397" s="13">
        <v>2011.0</v>
      </c>
      <c r="D5397" s="11" t="s">
        <v>39</v>
      </c>
      <c r="E5397" s="11">
        <v>39.0</v>
      </c>
      <c r="F5397" s="21" t="s">
        <v>498</v>
      </c>
      <c r="G5397" s="15">
        <v>0.06952859066976849</v>
      </c>
      <c r="H5397" s="11" t="s">
        <v>45</v>
      </c>
      <c r="I5397" s="16">
        <v>59.48</v>
      </c>
      <c r="J5397" s="11" t="s">
        <v>155</v>
      </c>
      <c r="K5397" s="11" t="s">
        <v>117</v>
      </c>
      <c r="L5397" s="11" t="s">
        <v>48</v>
      </c>
      <c r="M5397" s="11" t="s">
        <v>49</v>
      </c>
      <c r="N5397" s="11" t="s">
        <v>50</v>
      </c>
      <c r="O5397" s="11" t="s">
        <v>1959</v>
      </c>
      <c r="P5397" s="11" t="s">
        <v>52</v>
      </c>
      <c r="Q5397" s="20">
        <v>40745.0</v>
      </c>
      <c r="R5397" s="17">
        <f t="shared" si="2"/>
        <v>264.1794425</v>
      </c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>
        <f t="shared" si="8"/>
        <v>4</v>
      </c>
      <c r="AF5397" s="19" t="b">
        <f t="shared" si="13"/>
        <v>0</v>
      </c>
      <c r="AG5397" s="9"/>
      <c r="AH5397" s="9"/>
      <c r="AI5397" s="9"/>
    </row>
    <row r="5398" ht="15.0" customHeight="1">
      <c r="A5398" s="11">
        <v>5397.0</v>
      </c>
      <c r="B5398" s="12">
        <f t="shared" si="859"/>
        <v>40743</v>
      </c>
      <c r="C5398" s="13">
        <v>2011.0</v>
      </c>
      <c r="D5398" s="11" t="s">
        <v>32</v>
      </c>
      <c r="E5398" s="11">
        <v>42.0</v>
      </c>
      <c r="F5398" s="21" t="s">
        <v>254</v>
      </c>
      <c r="G5398" s="15">
        <v>0.05452145214521438</v>
      </c>
      <c r="H5398" s="11" t="s">
        <v>24</v>
      </c>
      <c r="I5398" s="16">
        <v>2.5120000000000005</v>
      </c>
      <c r="J5398" s="11" t="s">
        <v>2052</v>
      </c>
      <c r="K5398" s="11" t="s">
        <v>65</v>
      </c>
      <c r="L5398" s="11" t="s">
        <v>48</v>
      </c>
      <c r="M5398" s="11" t="s">
        <v>28</v>
      </c>
      <c r="N5398" s="11" t="s">
        <v>442</v>
      </c>
      <c r="O5398" s="11" t="s">
        <v>1613</v>
      </c>
      <c r="P5398" s="11" t="s">
        <v>99</v>
      </c>
      <c r="Q5398" s="20">
        <v>40746.0</v>
      </c>
      <c r="R5398" s="17">
        <f t="shared" si="2"/>
        <v>29.67668066</v>
      </c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>
        <f t="shared" si="8"/>
        <v>4</v>
      </c>
      <c r="AF5398" s="19">
        <f t="shared" si="13"/>
        <v>5</v>
      </c>
      <c r="AG5398" s="9"/>
      <c r="AH5398" s="9"/>
      <c r="AI5398" s="9"/>
    </row>
    <row r="5399" ht="15.0" customHeight="1">
      <c r="A5399" s="11">
        <v>5398.0</v>
      </c>
      <c r="B5399" s="12">
        <f t="shared" si="859"/>
        <v>40743</v>
      </c>
      <c r="C5399" s="13">
        <v>2011.0</v>
      </c>
      <c r="D5399" s="11" t="s">
        <v>39</v>
      </c>
      <c r="E5399" s="11">
        <v>9.0</v>
      </c>
      <c r="F5399" s="21" t="s">
        <v>994</v>
      </c>
      <c r="G5399" s="15">
        <v>0.008566108007448761</v>
      </c>
      <c r="H5399" s="11" t="s">
        <v>33</v>
      </c>
      <c r="I5399" s="16">
        <v>14.76</v>
      </c>
      <c r="J5399" s="11" t="s">
        <v>2408</v>
      </c>
      <c r="K5399" s="11" t="s">
        <v>65</v>
      </c>
      <c r="L5399" s="11" t="s">
        <v>36</v>
      </c>
      <c r="M5399" s="11" t="s">
        <v>49</v>
      </c>
      <c r="N5399" s="11" t="s">
        <v>73</v>
      </c>
      <c r="O5399" s="11" t="s">
        <v>995</v>
      </c>
      <c r="P5399" s="11" t="s">
        <v>75</v>
      </c>
      <c r="Q5399" s="20">
        <v>40746.0</v>
      </c>
      <c r="R5399" s="17">
        <f t="shared" si="2"/>
        <v>4.104536313</v>
      </c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>
        <f t="shared" si="8"/>
        <v>2</v>
      </c>
      <c r="AF5399" s="19">
        <f t="shared" si="13"/>
        <v>5</v>
      </c>
      <c r="AG5399" s="9"/>
      <c r="AH5399" s="9"/>
      <c r="AI5399" s="9"/>
    </row>
    <row r="5400" ht="15.0" customHeight="1">
      <c r="A5400" s="11">
        <v>5399.0</v>
      </c>
      <c r="B5400" s="12">
        <f>DATE(2012,12,31)-530</f>
        <v>40744</v>
      </c>
      <c r="C5400" s="13">
        <v>2011.0</v>
      </c>
      <c r="D5400" s="11" t="s">
        <v>39</v>
      </c>
      <c r="E5400" s="11">
        <v>6.0</v>
      </c>
      <c r="F5400" s="21" t="s">
        <v>523</v>
      </c>
      <c r="G5400" s="15">
        <v>0.05090909090909086</v>
      </c>
      <c r="H5400" s="11" t="s">
        <v>33</v>
      </c>
      <c r="I5400" s="16">
        <v>0.792</v>
      </c>
      <c r="J5400" s="11" t="s">
        <v>665</v>
      </c>
      <c r="K5400" s="11" t="s">
        <v>65</v>
      </c>
      <c r="L5400" s="11" t="s">
        <v>36</v>
      </c>
      <c r="M5400" s="11" t="s">
        <v>28</v>
      </c>
      <c r="N5400" s="11" t="s">
        <v>188</v>
      </c>
      <c r="O5400" s="11" t="s">
        <v>1495</v>
      </c>
      <c r="P5400" s="11" t="s">
        <v>38</v>
      </c>
      <c r="Q5400" s="20">
        <v>40746.0</v>
      </c>
      <c r="R5400" s="17">
        <f t="shared" si="2"/>
        <v>0.9566836364</v>
      </c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>
        <f t="shared" si="8"/>
        <v>2</v>
      </c>
      <c r="AF5400" s="19">
        <f t="shared" si="13"/>
        <v>5</v>
      </c>
      <c r="AG5400" s="9"/>
      <c r="AH5400" s="9"/>
      <c r="AI5400" s="9"/>
    </row>
    <row r="5401" ht="15.0" customHeight="1">
      <c r="A5401" s="11">
        <v>5400.0</v>
      </c>
      <c r="B5401" s="12">
        <f t="shared" ref="B5401:B5406" si="860">DATE(2012,12,31)-529</f>
        <v>40745</v>
      </c>
      <c r="C5401" s="13">
        <v>2011.0</v>
      </c>
      <c r="D5401" s="11" t="s">
        <v>44</v>
      </c>
      <c r="E5401" s="11">
        <v>36.0</v>
      </c>
      <c r="F5401" s="21" t="s">
        <v>562</v>
      </c>
      <c r="G5401" s="15">
        <v>0.020064913213855496</v>
      </c>
      <c r="H5401" s="11" t="s">
        <v>45</v>
      </c>
      <c r="I5401" s="16">
        <v>22.512</v>
      </c>
      <c r="J5401" s="11" t="s">
        <v>1896</v>
      </c>
      <c r="K5401" s="11" t="s">
        <v>83</v>
      </c>
      <c r="L5401" s="11" t="s">
        <v>48</v>
      </c>
      <c r="M5401" s="11" t="s">
        <v>66</v>
      </c>
      <c r="N5401" s="11" t="s">
        <v>69</v>
      </c>
      <c r="O5401" s="11" t="s">
        <v>564</v>
      </c>
      <c r="P5401" s="11" t="s">
        <v>52</v>
      </c>
      <c r="Q5401" s="20">
        <v>40746.0</v>
      </c>
      <c r="R5401" s="17">
        <f t="shared" si="2"/>
        <v>362.2702424</v>
      </c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>
        <f t="shared" si="8"/>
        <v>4</v>
      </c>
      <c r="AF5401" s="19" t="b">
        <f t="shared" si="13"/>
        <v>0</v>
      </c>
      <c r="AG5401" s="9"/>
      <c r="AH5401" s="9"/>
      <c r="AI5401" s="9"/>
    </row>
    <row r="5402" ht="15.0" customHeight="1">
      <c r="A5402" s="11">
        <v>5401.0</v>
      </c>
      <c r="B5402" s="12">
        <f t="shared" si="860"/>
        <v>40745</v>
      </c>
      <c r="C5402" s="13">
        <v>2011.0</v>
      </c>
      <c r="D5402" s="11" t="s">
        <v>39</v>
      </c>
      <c r="E5402" s="11">
        <v>36.0</v>
      </c>
      <c r="F5402" s="21" t="s">
        <v>758</v>
      </c>
      <c r="G5402" s="15">
        <v>0.07997169143665966</v>
      </c>
      <c r="H5402" s="11" t="s">
        <v>33</v>
      </c>
      <c r="I5402" s="16">
        <v>0.4</v>
      </c>
      <c r="J5402" s="11" t="s">
        <v>488</v>
      </c>
      <c r="K5402" s="11" t="s">
        <v>61</v>
      </c>
      <c r="L5402" s="11" t="s">
        <v>48</v>
      </c>
      <c r="M5402" s="11" t="s">
        <v>28</v>
      </c>
      <c r="N5402" s="11" t="s">
        <v>188</v>
      </c>
      <c r="O5402" s="11" t="s">
        <v>787</v>
      </c>
      <c r="P5402" s="11" t="s">
        <v>38</v>
      </c>
      <c r="Q5402" s="20">
        <v>40747.0</v>
      </c>
      <c r="R5402" s="17">
        <f t="shared" si="2"/>
        <v>10.39631989</v>
      </c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>
        <f t="shared" si="8"/>
        <v>4</v>
      </c>
      <c r="AF5402" s="19">
        <f t="shared" si="13"/>
        <v>4</v>
      </c>
      <c r="AG5402" s="9"/>
      <c r="AH5402" s="9"/>
      <c r="AI5402" s="9"/>
    </row>
    <row r="5403" ht="15.0" customHeight="1">
      <c r="A5403" s="11">
        <v>5402.0</v>
      </c>
      <c r="B5403" s="12">
        <f t="shared" si="860"/>
        <v>40745</v>
      </c>
      <c r="C5403" s="13">
        <v>2011.0</v>
      </c>
      <c r="D5403" s="11" t="s">
        <v>23</v>
      </c>
      <c r="E5403" s="11">
        <v>1.0</v>
      </c>
      <c r="F5403" s="21" t="s">
        <v>245</v>
      </c>
      <c r="G5403" s="15">
        <v>0.07247311827956983</v>
      </c>
      <c r="H5403" s="11" t="s">
        <v>33</v>
      </c>
      <c r="I5403" s="16">
        <v>5.752000000000001</v>
      </c>
      <c r="J5403" s="11" t="s">
        <v>910</v>
      </c>
      <c r="K5403" s="11" t="s">
        <v>117</v>
      </c>
      <c r="L5403" s="11" t="s">
        <v>48</v>
      </c>
      <c r="M5403" s="11" t="s">
        <v>28</v>
      </c>
      <c r="N5403" s="11" t="s">
        <v>42</v>
      </c>
      <c r="O5403" s="11" t="s">
        <v>1030</v>
      </c>
      <c r="P5403" s="11" t="s">
        <v>38</v>
      </c>
      <c r="Q5403" s="20">
        <v>40747.0</v>
      </c>
      <c r="R5403" s="17">
        <f t="shared" si="2"/>
        <v>1.250306237</v>
      </c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>
        <f t="shared" si="8"/>
        <v>4</v>
      </c>
      <c r="AF5403" s="19" t="b">
        <f t="shared" si="13"/>
        <v>0</v>
      </c>
      <c r="AG5403" s="9"/>
      <c r="AH5403" s="9"/>
      <c r="AI5403" s="9"/>
    </row>
    <row r="5404" ht="15.0" customHeight="1">
      <c r="A5404" s="11">
        <v>5403.0</v>
      </c>
      <c r="B5404" s="12">
        <f t="shared" si="860"/>
        <v>40745</v>
      </c>
      <c r="C5404" s="13">
        <v>2011.0</v>
      </c>
      <c r="D5404" s="11" t="s">
        <v>32</v>
      </c>
      <c r="E5404" s="11">
        <v>10.0</v>
      </c>
      <c r="F5404" s="21" t="s">
        <v>408</v>
      </c>
      <c r="G5404" s="15">
        <v>0.0756007745577472</v>
      </c>
      <c r="H5404" s="11" t="s">
        <v>45</v>
      </c>
      <c r="I5404" s="16">
        <v>18.552000000000003</v>
      </c>
      <c r="J5404" s="11" t="s">
        <v>1827</v>
      </c>
      <c r="K5404" s="11" t="s">
        <v>117</v>
      </c>
      <c r="L5404" s="11" t="s">
        <v>27</v>
      </c>
      <c r="M5404" s="11" t="s">
        <v>28</v>
      </c>
      <c r="N5404" s="11" t="s">
        <v>197</v>
      </c>
      <c r="O5404" s="11" t="s">
        <v>409</v>
      </c>
      <c r="P5404" s="11" t="s">
        <v>52</v>
      </c>
      <c r="Q5404" s="20">
        <v>40747.0</v>
      </c>
      <c r="R5404" s="17">
        <f t="shared" si="2"/>
        <v>212.9335128</v>
      </c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>
        <f t="shared" si="8"/>
        <v>1</v>
      </c>
      <c r="AF5404" s="19" t="b">
        <f t="shared" si="13"/>
        <v>0</v>
      </c>
      <c r="AG5404" s="9"/>
      <c r="AH5404" s="9"/>
      <c r="AI5404" s="9"/>
    </row>
    <row r="5405" ht="15.0" customHeight="1">
      <c r="A5405" s="11">
        <v>5404.0</v>
      </c>
      <c r="B5405" s="12">
        <f t="shared" si="860"/>
        <v>40745</v>
      </c>
      <c r="C5405" s="13">
        <v>2011.0</v>
      </c>
      <c r="D5405" s="11" t="s">
        <v>44</v>
      </c>
      <c r="E5405" s="11">
        <v>17.0</v>
      </c>
      <c r="F5405" s="21" t="s">
        <v>135</v>
      </c>
      <c r="G5405" s="15">
        <v>0.08256000000000006</v>
      </c>
      <c r="H5405" s="11" t="s">
        <v>33</v>
      </c>
      <c r="I5405" s="16">
        <v>2.4800000000000004</v>
      </c>
      <c r="J5405" s="11" t="s">
        <v>1447</v>
      </c>
      <c r="K5405" s="11" t="s">
        <v>61</v>
      </c>
      <c r="L5405" s="11" t="s">
        <v>36</v>
      </c>
      <c r="M5405" s="11" t="s">
        <v>28</v>
      </c>
      <c r="N5405" s="11" t="s">
        <v>56</v>
      </c>
      <c r="O5405" s="11" t="s">
        <v>2150</v>
      </c>
      <c r="P5405" s="11" t="s">
        <v>58</v>
      </c>
      <c r="Q5405" s="20">
        <v>40747.0</v>
      </c>
      <c r="R5405" s="17">
        <f t="shared" si="2"/>
        <v>9.4679808</v>
      </c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>
        <f t="shared" si="8"/>
        <v>2</v>
      </c>
      <c r="AF5405" s="19">
        <f t="shared" si="13"/>
        <v>4</v>
      </c>
      <c r="AG5405" s="9"/>
      <c r="AH5405" s="9"/>
      <c r="AI5405" s="9"/>
    </row>
    <row r="5406" ht="15.0" customHeight="1">
      <c r="A5406" s="11">
        <v>5405.0</v>
      </c>
      <c r="B5406" s="12">
        <f t="shared" si="860"/>
        <v>40745</v>
      </c>
      <c r="C5406" s="13">
        <v>2011.0</v>
      </c>
      <c r="D5406" s="11" t="s">
        <v>44</v>
      </c>
      <c r="E5406" s="11">
        <v>29.0</v>
      </c>
      <c r="F5406" s="21" t="s">
        <v>137</v>
      </c>
      <c r="G5406" s="15">
        <v>0.09408357366386459</v>
      </c>
      <c r="H5406" s="11" t="s">
        <v>45</v>
      </c>
      <c r="I5406" s="16">
        <v>53.016</v>
      </c>
      <c r="J5406" s="11" t="s">
        <v>1802</v>
      </c>
      <c r="K5406" s="11" t="s">
        <v>61</v>
      </c>
      <c r="L5406" s="11" t="s">
        <v>27</v>
      </c>
      <c r="M5406" s="11" t="s">
        <v>49</v>
      </c>
      <c r="N5406" s="11" t="s">
        <v>156</v>
      </c>
      <c r="O5406" s="11" t="s">
        <v>1553</v>
      </c>
      <c r="P5406" s="11" t="s">
        <v>87</v>
      </c>
      <c r="Q5406" s="20">
        <v>40747.0</v>
      </c>
      <c r="R5406" s="17">
        <f t="shared" si="2"/>
        <v>416.7070615</v>
      </c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>
        <f t="shared" si="8"/>
        <v>1</v>
      </c>
      <c r="AF5406" s="19">
        <f t="shared" si="13"/>
        <v>4</v>
      </c>
      <c r="AG5406" s="9"/>
      <c r="AH5406" s="9"/>
      <c r="AI5406" s="9"/>
    </row>
    <row r="5407" ht="15.0" customHeight="1">
      <c r="A5407" s="11">
        <v>5406.0</v>
      </c>
      <c r="B5407" s="12">
        <f t="shared" ref="B5407:B5412" si="861">DATE(2012,12,31)-528</f>
        <v>40746</v>
      </c>
      <c r="C5407" s="13">
        <v>2011.0</v>
      </c>
      <c r="D5407" s="11" t="s">
        <v>32</v>
      </c>
      <c r="E5407" s="11">
        <v>46.0</v>
      </c>
      <c r="F5407" s="21" t="s">
        <v>126</v>
      </c>
      <c r="G5407" s="15">
        <v>0.047943498130452816</v>
      </c>
      <c r="H5407" s="11" t="s">
        <v>33</v>
      </c>
      <c r="I5407" s="16">
        <v>3.7600000000000002</v>
      </c>
      <c r="J5407" s="11" t="s">
        <v>803</v>
      </c>
      <c r="K5407" s="11" t="s">
        <v>61</v>
      </c>
      <c r="L5407" s="11" t="s">
        <v>48</v>
      </c>
      <c r="M5407" s="11" t="s">
        <v>28</v>
      </c>
      <c r="N5407" s="11" t="s">
        <v>56</v>
      </c>
      <c r="O5407" s="11" t="s">
        <v>1730</v>
      </c>
      <c r="P5407" s="11" t="s">
        <v>38</v>
      </c>
      <c r="Q5407" s="20">
        <v>40747.0</v>
      </c>
      <c r="R5407" s="17">
        <f t="shared" si="2"/>
        <v>10.98673203</v>
      </c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>
        <f t="shared" si="8"/>
        <v>4</v>
      </c>
      <c r="AF5407" s="19">
        <f t="shared" si="13"/>
        <v>4</v>
      </c>
      <c r="AG5407" s="9"/>
      <c r="AH5407" s="9"/>
      <c r="AI5407" s="9"/>
    </row>
    <row r="5408" ht="15.0" customHeight="1">
      <c r="A5408" s="11">
        <v>5407.0</v>
      </c>
      <c r="B5408" s="12">
        <f t="shared" si="861"/>
        <v>40746</v>
      </c>
      <c r="C5408" s="13">
        <v>2011.0</v>
      </c>
      <c r="D5408" s="11" t="s">
        <v>44</v>
      </c>
      <c r="E5408" s="11">
        <v>19.0</v>
      </c>
      <c r="F5408" s="21" t="s">
        <v>573</v>
      </c>
      <c r="G5408" s="15">
        <v>0.03289662231320367</v>
      </c>
      <c r="H5408" s="11" t="s">
        <v>33</v>
      </c>
      <c r="I5408" s="16">
        <v>0.8720000000000001</v>
      </c>
      <c r="J5408" s="11" t="s">
        <v>326</v>
      </c>
      <c r="K5408" s="11" t="s">
        <v>35</v>
      </c>
      <c r="L5408" s="11" t="s">
        <v>36</v>
      </c>
      <c r="M5408" s="11" t="s">
        <v>28</v>
      </c>
      <c r="N5408" s="11" t="s">
        <v>62</v>
      </c>
      <c r="O5408" s="11" t="s">
        <v>1555</v>
      </c>
      <c r="P5408" s="11" t="s">
        <v>58</v>
      </c>
      <c r="Q5408" s="20">
        <v>40747.0</v>
      </c>
      <c r="R5408" s="17">
        <f t="shared" si="2"/>
        <v>6.216540512</v>
      </c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>
        <f t="shared" si="8"/>
        <v>2</v>
      </c>
      <c r="AF5408" s="19">
        <f t="shared" si="13"/>
        <v>2</v>
      </c>
      <c r="AG5408" s="9"/>
      <c r="AH5408" s="9"/>
      <c r="AI5408" s="9"/>
    </row>
    <row r="5409" ht="15.0" customHeight="1">
      <c r="A5409" s="11">
        <v>5408.0</v>
      </c>
      <c r="B5409" s="12">
        <f t="shared" si="861"/>
        <v>40746</v>
      </c>
      <c r="C5409" s="13">
        <v>2011.0</v>
      </c>
      <c r="D5409" s="11" t="s">
        <v>102</v>
      </c>
      <c r="E5409" s="11">
        <v>43.0</v>
      </c>
      <c r="F5409" s="21" t="s">
        <v>122</v>
      </c>
      <c r="G5409" s="15">
        <v>0.09519519519519522</v>
      </c>
      <c r="H5409" s="11" t="s">
        <v>33</v>
      </c>
      <c r="I5409" s="16">
        <v>5.2</v>
      </c>
      <c r="J5409" s="11" t="s">
        <v>832</v>
      </c>
      <c r="K5409" s="11" t="s">
        <v>65</v>
      </c>
      <c r="L5409" s="11" t="s">
        <v>48</v>
      </c>
      <c r="M5409" s="11" t="s">
        <v>66</v>
      </c>
      <c r="N5409" s="11" t="s">
        <v>67</v>
      </c>
      <c r="O5409" s="11" t="s">
        <v>2130</v>
      </c>
      <c r="P5409" s="11" t="s">
        <v>38</v>
      </c>
      <c r="Q5409" s="20">
        <v>40747.0</v>
      </c>
      <c r="R5409" s="17">
        <f t="shared" si="2"/>
        <v>86.04693694</v>
      </c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>
        <f t="shared" si="8"/>
        <v>4</v>
      </c>
      <c r="AF5409" s="19">
        <f t="shared" si="13"/>
        <v>5</v>
      </c>
      <c r="AG5409" s="9"/>
      <c r="AH5409" s="9"/>
      <c r="AI5409" s="9"/>
    </row>
    <row r="5410" ht="15.0" customHeight="1">
      <c r="A5410" s="11">
        <v>5409.0</v>
      </c>
      <c r="B5410" s="12">
        <f t="shared" si="861"/>
        <v>40746</v>
      </c>
      <c r="C5410" s="13">
        <v>2011.0</v>
      </c>
      <c r="D5410" s="11" t="s">
        <v>102</v>
      </c>
      <c r="E5410" s="11">
        <v>6.0</v>
      </c>
      <c r="F5410" s="21" t="s">
        <v>1954</v>
      </c>
      <c r="G5410" s="15">
        <v>0.03546447270007492</v>
      </c>
      <c r="H5410" s="11" t="s">
        <v>33</v>
      </c>
      <c r="I5410" s="16">
        <v>15.991999999999999</v>
      </c>
      <c r="J5410" s="11" t="s">
        <v>832</v>
      </c>
      <c r="K5410" s="11" t="s">
        <v>65</v>
      </c>
      <c r="L5410" s="11" t="s">
        <v>48</v>
      </c>
      <c r="M5410" s="11" t="s">
        <v>28</v>
      </c>
      <c r="N5410" s="11" t="s">
        <v>56</v>
      </c>
      <c r="O5410" s="11" t="s">
        <v>2117</v>
      </c>
      <c r="P5410" s="11" t="s">
        <v>38</v>
      </c>
      <c r="Q5410" s="20">
        <v>40747.0</v>
      </c>
      <c r="R5410" s="17">
        <f t="shared" si="2"/>
        <v>22.86720828</v>
      </c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>
        <f t="shared" si="8"/>
        <v>4</v>
      </c>
      <c r="AF5410" s="19">
        <f t="shared" si="13"/>
        <v>5</v>
      </c>
      <c r="AG5410" s="9"/>
      <c r="AH5410" s="9"/>
      <c r="AI5410" s="9"/>
    </row>
    <row r="5411" ht="15.0" customHeight="1">
      <c r="A5411" s="11">
        <v>5410.0</v>
      </c>
      <c r="B5411" s="12">
        <f t="shared" si="861"/>
        <v>40746</v>
      </c>
      <c r="C5411" s="13">
        <v>2011.0</v>
      </c>
      <c r="D5411" s="11" t="s">
        <v>102</v>
      </c>
      <c r="E5411" s="11">
        <v>26.0</v>
      </c>
      <c r="F5411" s="21" t="s">
        <v>498</v>
      </c>
      <c r="G5411" s="15">
        <v>0.021218099264130295</v>
      </c>
      <c r="H5411" s="11" t="s">
        <v>33</v>
      </c>
      <c r="I5411" s="16">
        <v>7.192</v>
      </c>
      <c r="J5411" s="11" t="s">
        <v>832</v>
      </c>
      <c r="K5411" s="11" t="s">
        <v>65</v>
      </c>
      <c r="L5411" s="11" t="s">
        <v>48</v>
      </c>
      <c r="M5411" s="11" t="s">
        <v>66</v>
      </c>
      <c r="N5411" s="11" t="s">
        <v>80</v>
      </c>
      <c r="O5411" s="11" t="s">
        <v>1763</v>
      </c>
      <c r="P5411" s="11" t="s">
        <v>38</v>
      </c>
      <c r="Q5411" s="20">
        <v>40748.0</v>
      </c>
      <c r="R5411" s="17">
        <f t="shared" si="2"/>
        <v>53.05780928</v>
      </c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>
        <f t="shared" si="8"/>
        <v>4</v>
      </c>
      <c r="AF5411" s="19">
        <f t="shared" si="13"/>
        <v>5</v>
      </c>
      <c r="AG5411" s="9"/>
      <c r="AH5411" s="9"/>
      <c r="AI5411" s="9"/>
    </row>
    <row r="5412" ht="15.0" customHeight="1">
      <c r="A5412" s="11">
        <v>5411.0</v>
      </c>
      <c r="B5412" s="12">
        <f t="shared" si="861"/>
        <v>40746</v>
      </c>
      <c r="C5412" s="13">
        <v>2011.0</v>
      </c>
      <c r="D5412" s="11" t="s">
        <v>102</v>
      </c>
      <c r="E5412" s="11">
        <v>25.0</v>
      </c>
      <c r="F5412" s="21" t="s">
        <v>766</v>
      </c>
      <c r="G5412" s="15">
        <v>0.07765484633569743</v>
      </c>
      <c r="H5412" s="11" t="s">
        <v>45</v>
      </c>
      <c r="I5412" s="16">
        <v>43.792</v>
      </c>
      <c r="J5412" s="11" t="s">
        <v>617</v>
      </c>
      <c r="K5412" s="11" t="s">
        <v>61</v>
      </c>
      <c r="L5412" s="11" t="s">
        <v>41</v>
      </c>
      <c r="M5412" s="11" t="s">
        <v>49</v>
      </c>
      <c r="N5412" s="11" t="s">
        <v>156</v>
      </c>
      <c r="O5412" s="11" t="s">
        <v>767</v>
      </c>
      <c r="P5412" s="11" t="s">
        <v>87</v>
      </c>
      <c r="Q5412" s="20">
        <v>40748.0</v>
      </c>
      <c r="R5412" s="17">
        <f t="shared" si="2"/>
        <v>257.5261457</v>
      </c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>
        <f t="shared" si="8"/>
        <v>3</v>
      </c>
      <c r="AF5412" s="19">
        <f t="shared" si="13"/>
        <v>4</v>
      </c>
      <c r="AG5412" s="9"/>
      <c r="AH5412" s="9"/>
      <c r="AI5412" s="9"/>
    </row>
    <row r="5413" ht="15.0" customHeight="1">
      <c r="A5413" s="11">
        <v>5412.0</v>
      </c>
      <c r="B5413" s="12">
        <f t="shared" ref="B5413:B5420" si="862">DATE(2012,12,31)-527</f>
        <v>40747</v>
      </c>
      <c r="C5413" s="13">
        <v>2011.0</v>
      </c>
      <c r="D5413" s="11" t="s">
        <v>44</v>
      </c>
      <c r="E5413" s="11">
        <v>41.0</v>
      </c>
      <c r="F5413" s="21" t="s">
        <v>103</v>
      </c>
      <c r="G5413" s="15">
        <v>0.0763676633444074</v>
      </c>
      <c r="H5413" s="11" t="s">
        <v>33</v>
      </c>
      <c r="I5413" s="16">
        <v>8.312000000000001</v>
      </c>
      <c r="J5413" s="11" t="s">
        <v>1466</v>
      </c>
      <c r="K5413" s="11" t="s">
        <v>65</v>
      </c>
      <c r="L5413" s="11" t="s">
        <v>48</v>
      </c>
      <c r="M5413" s="11" t="s">
        <v>28</v>
      </c>
      <c r="N5413" s="11" t="s">
        <v>56</v>
      </c>
      <c r="O5413" s="11" t="s">
        <v>2400</v>
      </c>
      <c r="P5413" s="11" t="s">
        <v>38</v>
      </c>
      <c r="Q5413" s="20">
        <v>40748.0</v>
      </c>
      <c r="R5413" s="17">
        <f t="shared" si="2"/>
        <v>19.10810578</v>
      </c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>
        <f t="shared" si="8"/>
        <v>4</v>
      </c>
      <c r="AF5413" s="19">
        <f t="shared" si="13"/>
        <v>5</v>
      </c>
      <c r="AG5413" s="9"/>
      <c r="AH5413" s="9"/>
      <c r="AI5413" s="9"/>
    </row>
    <row r="5414" ht="15.0" customHeight="1">
      <c r="A5414" s="11">
        <v>5413.0</v>
      </c>
      <c r="B5414" s="12">
        <f t="shared" si="862"/>
        <v>40747</v>
      </c>
      <c r="C5414" s="13">
        <v>2011.0</v>
      </c>
      <c r="D5414" s="11" t="s">
        <v>44</v>
      </c>
      <c r="E5414" s="11">
        <v>14.0</v>
      </c>
      <c r="F5414" s="21" t="s">
        <v>1182</v>
      </c>
      <c r="G5414" s="15">
        <v>0.0373647058823528</v>
      </c>
      <c r="H5414" s="11" t="s">
        <v>33</v>
      </c>
      <c r="I5414" s="16">
        <v>6.224</v>
      </c>
      <c r="J5414" s="11" t="s">
        <v>1221</v>
      </c>
      <c r="K5414" s="11" t="s">
        <v>61</v>
      </c>
      <c r="L5414" s="11" t="s">
        <v>41</v>
      </c>
      <c r="M5414" s="11" t="s">
        <v>28</v>
      </c>
      <c r="N5414" s="11" t="s">
        <v>42</v>
      </c>
      <c r="O5414" s="11" t="s">
        <v>1311</v>
      </c>
      <c r="P5414" s="11" t="s">
        <v>38</v>
      </c>
      <c r="Q5414" s="20">
        <v>40748.0</v>
      </c>
      <c r="R5414" s="17">
        <f t="shared" si="2"/>
        <v>3.057329694</v>
      </c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>
        <f t="shared" si="8"/>
        <v>3</v>
      </c>
      <c r="AF5414" s="19">
        <f t="shared" si="13"/>
        <v>4</v>
      </c>
      <c r="AG5414" s="9"/>
      <c r="AH5414" s="9"/>
      <c r="AI5414" s="9"/>
    </row>
    <row r="5415" ht="15.0" customHeight="1">
      <c r="A5415" s="11">
        <v>5414.0</v>
      </c>
      <c r="B5415" s="12">
        <f t="shared" si="862"/>
        <v>40747</v>
      </c>
      <c r="C5415" s="13">
        <v>2011.0</v>
      </c>
      <c r="D5415" s="11" t="s">
        <v>39</v>
      </c>
      <c r="E5415" s="11">
        <v>50.0</v>
      </c>
      <c r="F5415" s="21" t="s">
        <v>1479</v>
      </c>
      <c r="G5415" s="15">
        <v>0.0915775401069518</v>
      </c>
      <c r="H5415" s="11" t="s">
        <v>33</v>
      </c>
      <c r="I5415" s="16">
        <v>3.6</v>
      </c>
      <c r="J5415" s="11" t="s">
        <v>1981</v>
      </c>
      <c r="K5415" s="11" t="s">
        <v>35</v>
      </c>
      <c r="L5415" s="11" t="s">
        <v>27</v>
      </c>
      <c r="M5415" s="11" t="s">
        <v>28</v>
      </c>
      <c r="N5415" s="11" t="s">
        <v>197</v>
      </c>
      <c r="O5415" s="11" t="s">
        <v>1480</v>
      </c>
      <c r="P5415" s="11" t="s">
        <v>38</v>
      </c>
      <c r="Q5415" s="20">
        <v>40749.0</v>
      </c>
      <c r="R5415" s="17">
        <f t="shared" si="2"/>
        <v>49.7815508</v>
      </c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>
        <f t="shared" si="8"/>
        <v>1</v>
      </c>
      <c r="AF5415" s="19">
        <f t="shared" si="13"/>
        <v>2</v>
      </c>
      <c r="AG5415" s="9"/>
      <c r="AH5415" s="9"/>
      <c r="AI5415" s="9"/>
    </row>
    <row r="5416" ht="15.0" customHeight="1">
      <c r="A5416" s="11">
        <v>5415.0</v>
      </c>
      <c r="B5416" s="12">
        <f t="shared" si="862"/>
        <v>40747</v>
      </c>
      <c r="C5416" s="13">
        <v>2011.0</v>
      </c>
      <c r="D5416" s="11" t="s">
        <v>44</v>
      </c>
      <c r="E5416" s="11">
        <v>3.0</v>
      </c>
      <c r="F5416" s="21" t="s">
        <v>1548</v>
      </c>
      <c r="G5416" s="15">
        <v>0.01117647058823537</v>
      </c>
      <c r="H5416" s="11" t="s">
        <v>33</v>
      </c>
      <c r="I5416" s="16">
        <v>1.592</v>
      </c>
      <c r="J5416" s="11" t="s">
        <v>1020</v>
      </c>
      <c r="K5416" s="11" t="s">
        <v>47</v>
      </c>
      <c r="L5416" s="11" t="s">
        <v>36</v>
      </c>
      <c r="M5416" s="11" t="s">
        <v>66</v>
      </c>
      <c r="N5416" s="11" t="s">
        <v>67</v>
      </c>
      <c r="O5416" s="11" t="s">
        <v>1549</v>
      </c>
      <c r="P5416" s="11" t="s">
        <v>99</v>
      </c>
      <c r="Q5416" s="20">
        <v>40749.0</v>
      </c>
      <c r="R5416" s="17">
        <f t="shared" si="2"/>
        <v>0.6012047059</v>
      </c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>
        <f t="shared" si="8"/>
        <v>2</v>
      </c>
      <c r="AF5416" s="19">
        <f t="shared" si="13"/>
        <v>3</v>
      </c>
      <c r="AG5416" s="9"/>
      <c r="AH5416" s="9"/>
      <c r="AI5416" s="9"/>
    </row>
    <row r="5417" ht="15.0" customHeight="1">
      <c r="A5417" s="11">
        <v>5416.0</v>
      </c>
      <c r="B5417" s="12">
        <f t="shared" si="862"/>
        <v>40747</v>
      </c>
      <c r="C5417" s="13">
        <v>2011.0</v>
      </c>
      <c r="D5417" s="11" t="s">
        <v>44</v>
      </c>
      <c r="E5417" s="11">
        <v>13.0</v>
      </c>
      <c r="F5417" s="21" t="s">
        <v>506</v>
      </c>
      <c r="G5417" s="15">
        <v>0.08409774436090232</v>
      </c>
      <c r="H5417" s="11" t="s">
        <v>33</v>
      </c>
      <c r="I5417" s="16">
        <v>7.752</v>
      </c>
      <c r="J5417" s="11" t="s">
        <v>1020</v>
      </c>
      <c r="K5417" s="11" t="s">
        <v>47</v>
      </c>
      <c r="L5417" s="11" t="s">
        <v>36</v>
      </c>
      <c r="M5417" s="11" t="s">
        <v>28</v>
      </c>
      <c r="N5417" s="11" t="s">
        <v>29</v>
      </c>
      <c r="O5417" s="11" t="s">
        <v>1800</v>
      </c>
      <c r="P5417" s="11" t="s">
        <v>38</v>
      </c>
      <c r="Q5417" s="20">
        <v>40749.0</v>
      </c>
      <c r="R5417" s="17">
        <f t="shared" si="2"/>
        <v>8.195493383</v>
      </c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>
        <f t="shared" si="8"/>
        <v>2</v>
      </c>
      <c r="AF5417" s="19">
        <f t="shared" si="13"/>
        <v>3</v>
      </c>
      <c r="AG5417" s="9"/>
      <c r="AH5417" s="9"/>
      <c r="AI5417" s="9"/>
    </row>
    <row r="5418" ht="15.0" customHeight="1">
      <c r="A5418" s="11">
        <v>5417.0</v>
      </c>
      <c r="B5418" s="12">
        <f t="shared" si="862"/>
        <v>40747</v>
      </c>
      <c r="C5418" s="13">
        <v>2011.0</v>
      </c>
      <c r="D5418" s="11" t="s">
        <v>44</v>
      </c>
      <c r="E5418" s="11">
        <v>12.0</v>
      </c>
      <c r="F5418" s="21" t="s">
        <v>1952</v>
      </c>
      <c r="G5418" s="15">
        <v>0.03989622766379871</v>
      </c>
      <c r="H5418" s="11" t="s">
        <v>33</v>
      </c>
      <c r="I5418" s="16">
        <v>19.592</v>
      </c>
      <c r="J5418" s="11" t="s">
        <v>2253</v>
      </c>
      <c r="K5418" s="11" t="s">
        <v>117</v>
      </c>
      <c r="L5418" s="11" t="s">
        <v>27</v>
      </c>
      <c r="M5418" s="11" t="s">
        <v>28</v>
      </c>
      <c r="N5418" s="11" t="s">
        <v>197</v>
      </c>
      <c r="O5418" s="11" t="s">
        <v>1953</v>
      </c>
      <c r="P5418" s="11" t="s">
        <v>31</v>
      </c>
      <c r="Q5418" s="20">
        <v>40750.0</v>
      </c>
      <c r="R5418" s="17">
        <f t="shared" si="2"/>
        <v>144.6953193</v>
      </c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>
        <f t="shared" si="8"/>
        <v>1</v>
      </c>
      <c r="AF5418" s="19" t="b">
        <f t="shared" si="13"/>
        <v>0</v>
      </c>
      <c r="AG5418" s="9"/>
      <c r="AH5418" s="9"/>
      <c r="AI5418" s="9"/>
    </row>
    <row r="5419" ht="15.0" customHeight="1">
      <c r="A5419" s="11">
        <v>5418.0</v>
      </c>
      <c r="B5419" s="12">
        <f t="shared" si="862"/>
        <v>40747</v>
      </c>
      <c r="C5419" s="13">
        <v>2011.0</v>
      </c>
      <c r="D5419" s="11" t="s">
        <v>44</v>
      </c>
      <c r="E5419" s="11">
        <v>42.0</v>
      </c>
      <c r="F5419" s="21" t="s">
        <v>527</v>
      </c>
      <c r="G5419" s="15">
        <v>0.07607973098104193</v>
      </c>
      <c r="H5419" s="11" t="s">
        <v>33</v>
      </c>
      <c r="I5419" s="16">
        <v>1.592</v>
      </c>
      <c r="J5419" s="11" t="s">
        <v>2253</v>
      </c>
      <c r="K5419" s="11" t="s">
        <v>117</v>
      </c>
      <c r="L5419" s="11" t="s">
        <v>27</v>
      </c>
      <c r="M5419" s="11" t="s">
        <v>66</v>
      </c>
      <c r="N5419" s="11" t="s">
        <v>67</v>
      </c>
      <c r="O5419" s="11" t="s">
        <v>529</v>
      </c>
      <c r="P5419" s="11" t="s">
        <v>99</v>
      </c>
      <c r="Q5419" s="20">
        <v>40750.0</v>
      </c>
      <c r="R5419" s="17">
        <f t="shared" si="2"/>
        <v>144.2313454</v>
      </c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>
        <f t="shared" si="8"/>
        <v>1</v>
      </c>
      <c r="AF5419" s="19" t="b">
        <f t="shared" si="13"/>
        <v>0</v>
      </c>
      <c r="AG5419" s="9"/>
      <c r="AH5419" s="9"/>
      <c r="AI5419" s="9"/>
    </row>
    <row r="5420" ht="15.0" customHeight="1">
      <c r="A5420" s="11">
        <v>5419.0</v>
      </c>
      <c r="B5420" s="12">
        <f t="shared" si="862"/>
        <v>40747</v>
      </c>
      <c r="C5420" s="13">
        <v>2011.0</v>
      </c>
      <c r="D5420" s="11" t="s">
        <v>32</v>
      </c>
      <c r="E5420" s="11">
        <v>22.0</v>
      </c>
      <c r="F5420" s="21" t="s">
        <v>226</v>
      </c>
      <c r="G5420" s="15">
        <v>0.06835792086033371</v>
      </c>
      <c r="H5420" s="11" t="s">
        <v>33</v>
      </c>
      <c r="I5420" s="16">
        <v>6.920000000000001</v>
      </c>
      <c r="J5420" s="11" t="s">
        <v>533</v>
      </c>
      <c r="K5420" s="11" t="s">
        <v>35</v>
      </c>
      <c r="L5420" s="11" t="s">
        <v>48</v>
      </c>
      <c r="M5420" s="11" t="s">
        <v>66</v>
      </c>
      <c r="N5420" s="11" t="s">
        <v>67</v>
      </c>
      <c r="O5420" s="11" t="s">
        <v>228</v>
      </c>
      <c r="P5420" s="11" t="s">
        <v>38</v>
      </c>
      <c r="Q5420" s="20">
        <v>40750.0</v>
      </c>
      <c r="R5420" s="17">
        <f t="shared" si="2"/>
        <v>46.19081428</v>
      </c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>
        <f t="shared" si="8"/>
        <v>4</v>
      </c>
      <c r="AF5420" s="19">
        <f t="shared" si="13"/>
        <v>2</v>
      </c>
      <c r="AG5420" s="9"/>
      <c r="AH5420" s="9"/>
      <c r="AI5420" s="9"/>
    </row>
    <row r="5421" ht="15.0" customHeight="1">
      <c r="A5421" s="11">
        <v>5420.0</v>
      </c>
      <c r="B5421" s="12">
        <f t="shared" ref="B5421:B5425" si="863">DATE(2012,12,31)-526</f>
        <v>40748</v>
      </c>
      <c r="C5421" s="13">
        <v>2011.0</v>
      </c>
      <c r="D5421" s="11" t="s">
        <v>32</v>
      </c>
      <c r="E5421" s="11">
        <v>44.0</v>
      </c>
      <c r="F5421" s="21" t="s">
        <v>147</v>
      </c>
      <c r="G5421" s="15">
        <v>0.06952496954933007</v>
      </c>
      <c r="H5421" s="11" t="s">
        <v>33</v>
      </c>
      <c r="I5421" s="16">
        <v>1.592</v>
      </c>
      <c r="J5421" s="11" t="s">
        <v>1006</v>
      </c>
      <c r="K5421" s="11" t="s">
        <v>61</v>
      </c>
      <c r="L5421" s="11" t="s">
        <v>48</v>
      </c>
      <c r="M5421" s="11" t="s">
        <v>66</v>
      </c>
      <c r="N5421" s="11" t="s">
        <v>67</v>
      </c>
      <c r="O5421" s="11" t="s">
        <v>149</v>
      </c>
      <c r="P5421" s="11" t="s">
        <v>99</v>
      </c>
      <c r="Q5421" s="20">
        <v>40750.0</v>
      </c>
      <c r="R5421" s="17">
        <f t="shared" si="2"/>
        <v>5.311151474</v>
      </c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>
        <f t="shared" si="8"/>
        <v>4</v>
      </c>
      <c r="AF5421" s="19">
        <f t="shared" si="13"/>
        <v>4</v>
      </c>
      <c r="AG5421" s="9"/>
      <c r="AH5421" s="9"/>
      <c r="AI5421" s="9"/>
    </row>
    <row r="5422" ht="15.0" customHeight="1">
      <c r="A5422" s="11">
        <v>5421.0</v>
      </c>
      <c r="B5422" s="12">
        <f t="shared" si="863"/>
        <v>40748</v>
      </c>
      <c r="C5422" s="13">
        <v>2011.0</v>
      </c>
      <c r="D5422" s="11" t="s">
        <v>44</v>
      </c>
      <c r="E5422" s="11">
        <v>16.0</v>
      </c>
      <c r="F5422" s="21" t="s">
        <v>2108</v>
      </c>
      <c r="G5422" s="15">
        <v>0.08525276697577026</v>
      </c>
      <c r="H5422" s="11" t="s">
        <v>33</v>
      </c>
      <c r="I5422" s="16">
        <v>3.6</v>
      </c>
      <c r="J5422" s="11" t="s">
        <v>800</v>
      </c>
      <c r="K5422" s="11" t="s">
        <v>61</v>
      </c>
      <c r="L5422" s="11" t="s">
        <v>41</v>
      </c>
      <c r="M5422" s="11" t="s">
        <v>28</v>
      </c>
      <c r="N5422" s="11" t="s">
        <v>197</v>
      </c>
      <c r="O5422" s="11" t="s">
        <v>2109</v>
      </c>
      <c r="P5422" s="11" t="s">
        <v>38</v>
      </c>
      <c r="Q5422" s="20">
        <v>40750.0</v>
      </c>
      <c r="R5422" s="17">
        <f t="shared" si="2"/>
        <v>52.14059228</v>
      </c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>
        <f t="shared" si="8"/>
        <v>3</v>
      </c>
      <c r="AF5422" s="19">
        <f t="shared" si="13"/>
        <v>4</v>
      </c>
      <c r="AG5422" s="9"/>
      <c r="AH5422" s="9"/>
      <c r="AI5422" s="9"/>
    </row>
    <row r="5423" ht="15.0" customHeight="1">
      <c r="A5423" s="11">
        <v>5422.0</v>
      </c>
      <c r="B5423" s="12">
        <f t="shared" si="863"/>
        <v>40748</v>
      </c>
      <c r="C5423" s="13">
        <v>2011.0</v>
      </c>
      <c r="D5423" s="11" t="s">
        <v>44</v>
      </c>
      <c r="E5423" s="11">
        <v>26.0</v>
      </c>
      <c r="F5423" s="21" t="s">
        <v>238</v>
      </c>
      <c r="G5423" s="15">
        <v>0.08211994421199449</v>
      </c>
      <c r="H5423" s="11" t="s">
        <v>33</v>
      </c>
      <c r="I5423" s="16">
        <v>1.6239999999999999</v>
      </c>
      <c r="J5423" s="11" t="s">
        <v>800</v>
      </c>
      <c r="K5423" s="11" t="s">
        <v>61</v>
      </c>
      <c r="L5423" s="11" t="s">
        <v>41</v>
      </c>
      <c r="M5423" s="11" t="s">
        <v>49</v>
      </c>
      <c r="N5423" s="11" t="s">
        <v>73</v>
      </c>
      <c r="O5423" s="11" t="s">
        <v>1583</v>
      </c>
      <c r="P5423" s="11" t="s">
        <v>58</v>
      </c>
      <c r="Q5423" s="20">
        <v>40751.0</v>
      </c>
      <c r="R5423" s="17">
        <f t="shared" si="2"/>
        <v>10.80895554</v>
      </c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>
        <f t="shared" si="8"/>
        <v>3</v>
      </c>
      <c r="AF5423" s="19">
        <f t="shared" si="13"/>
        <v>4</v>
      </c>
      <c r="AG5423" s="9"/>
      <c r="AH5423" s="9"/>
      <c r="AI5423" s="9"/>
    </row>
    <row r="5424" ht="15.0" customHeight="1">
      <c r="A5424" s="11">
        <v>5423.0</v>
      </c>
      <c r="B5424" s="12">
        <f t="shared" si="863"/>
        <v>40748</v>
      </c>
      <c r="C5424" s="13">
        <v>2011.0</v>
      </c>
      <c r="D5424" s="11" t="s">
        <v>44</v>
      </c>
      <c r="E5424" s="11">
        <v>22.0</v>
      </c>
      <c r="F5424" s="21" t="s">
        <v>128</v>
      </c>
      <c r="G5424" s="15">
        <v>0.03510480887150174</v>
      </c>
      <c r="H5424" s="11" t="s">
        <v>33</v>
      </c>
      <c r="I5424" s="16">
        <v>7.192</v>
      </c>
      <c r="J5424" s="11" t="s">
        <v>800</v>
      </c>
      <c r="K5424" s="11" t="s">
        <v>61</v>
      </c>
      <c r="L5424" s="11" t="s">
        <v>41</v>
      </c>
      <c r="M5424" s="11" t="s">
        <v>66</v>
      </c>
      <c r="N5424" s="11" t="s">
        <v>80</v>
      </c>
      <c r="O5424" s="11" t="s">
        <v>460</v>
      </c>
      <c r="P5424" s="11" t="s">
        <v>38</v>
      </c>
      <c r="Q5424" s="20">
        <v>40751.0</v>
      </c>
      <c r="R5424" s="17">
        <f t="shared" si="2"/>
        <v>97.4857734</v>
      </c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>
        <f t="shared" si="8"/>
        <v>3</v>
      </c>
      <c r="AF5424" s="19">
        <f t="shared" si="13"/>
        <v>4</v>
      </c>
      <c r="AG5424" s="9"/>
      <c r="AH5424" s="9"/>
      <c r="AI5424" s="9"/>
    </row>
    <row r="5425" ht="15.0" customHeight="1">
      <c r="A5425" s="11">
        <v>5424.0</v>
      </c>
      <c r="B5425" s="12">
        <f t="shared" si="863"/>
        <v>40748</v>
      </c>
      <c r="C5425" s="13">
        <v>2011.0</v>
      </c>
      <c r="D5425" s="11" t="s">
        <v>44</v>
      </c>
      <c r="E5425" s="11">
        <v>48.0</v>
      </c>
      <c r="F5425" s="21" t="s">
        <v>128</v>
      </c>
      <c r="G5425" s="15">
        <v>0.020566969417326268</v>
      </c>
      <c r="H5425" s="11" t="s">
        <v>33</v>
      </c>
      <c r="I5425" s="16">
        <v>6.464</v>
      </c>
      <c r="J5425" s="11" t="s">
        <v>800</v>
      </c>
      <c r="K5425" s="11" t="s">
        <v>61</v>
      </c>
      <c r="L5425" s="11" t="s">
        <v>41</v>
      </c>
      <c r="M5425" s="11" t="s">
        <v>66</v>
      </c>
      <c r="N5425" s="11" t="s">
        <v>80</v>
      </c>
      <c r="O5425" s="11" t="s">
        <v>1508</v>
      </c>
      <c r="P5425" s="11" t="s">
        <v>38</v>
      </c>
      <c r="Q5425" s="20">
        <v>40751.0</v>
      </c>
      <c r="R5425" s="17">
        <f t="shared" si="2"/>
        <v>124.4232545</v>
      </c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>
        <f t="shared" si="8"/>
        <v>3</v>
      </c>
      <c r="AF5425" s="19">
        <f t="shared" si="13"/>
        <v>4</v>
      </c>
      <c r="AG5425" s="9"/>
      <c r="AH5425" s="9"/>
      <c r="AI5425" s="9"/>
    </row>
    <row r="5426" ht="15.0" customHeight="1">
      <c r="A5426" s="11">
        <v>5425.0</v>
      </c>
      <c r="B5426" s="12">
        <f t="shared" ref="B5426:B5435" si="864">DATE(2012,12,31)-525</f>
        <v>40749</v>
      </c>
      <c r="C5426" s="13">
        <v>2011.0</v>
      </c>
      <c r="D5426" s="11" t="s">
        <v>32</v>
      </c>
      <c r="E5426" s="11">
        <v>15.0</v>
      </c>
      <c r="F5426" s="21" t="s">
        <v>1659</v>
      </c>
      <c r="G5426" s="15">
        <v>0.06356739305891852</v>
      </c>
      <c r="H5426" s="11" t="s">
        <v>33</v>
      </c>
      <c r="I5426" s="16">
        <v>5.024000000000001</v>
      </c>
      <c r="J5426" s="11" t="s">
        <v>2205</v>
      </c>
      <c r="K5426" s="11" t="s">
        <v>35</v>
      </c>
      <c r="L5426" s="11" t="s">
        <v>48</v>
      </c>
      <c r="M5426" s="11" t="s">
        <v>28</v>
      </c>
      <c r="N5426" s="11" t="s">
        <v>42</v>
      </c>
      <c r="O5426" s="11" t="s">
        <v>1660</v>
      </c>
      <c r="P5426" s="11" t="s">
        <v>38</v>
      </c>
      <c r="Q5426" s="20">
        <v>40751.0</v>
      </c>
      <c r="R5426" s="17">
        <f t="shared" si="2"/>
        <v>7.375343212</v>
      </c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>
        <f t="shared" si="8"/>
        <v>4</v>
      </c>
      <c r="AF5426" s="19">
        <f t="shared" si="13"/>
        <v>2</v>
      </c>
      <c r="AG5426" s="9"/>
      <c r="AH5426" s="9"/>
      <c r="AI5426" s="9"/>
    </row>
    <row r="5427" ht="15.0" customHeight="1">
      <c r="A5427" s="11">
        <v>5426.0</v>
      </c>
      <c r="B5427" s="12">
        <f t="shared" si="864"/>
        <v>40749</v>
      </c>
      <c r="C5427" s="13">
        <v>2011.0</v>
      </c>
      <c r="D5427" s="11" t="s">
        <v>44</v>
      </c>
      <c r="E5427" s="11">
        <v>29.0</v>
      </c>
      <c r="F5427" s="21" t="s">
        <v>838</v>
      </c>
      <c r="G5427" s="15">
        <v>0.07614740580997059</v>
      </c>
      <c r="H5427" s="11" t="s">
        <v>24</v>
      </c>
      <c r="I5427" s="16">
        <v>15.991999999999999</v>
      </c>
      <c r="J5427" s="11" t="s">
        <v>72</v>
      </c>
      <c r="K5427" s="11" t="s">
        <v>61</v>
      </c>
      <c r="L5427" s="11" t="s">
        <v>27</v>
      </c>
      <c r="M5427" s="11" t="s">
        <v>66</v>
      </c>
      <c r="N5427" s="11" t="s">
        <v>67</v>
      </c>
      <c r="O5427" s="11" t="s">
        <v>2263</v>
      </c>
      <c r="P5427" s="11" t="s">
        <v>38</v>
      </c>
      <c r="Q5427" s="20">
        <v>40751.0</v>
      </c>
      <c r="R5427" s="17">
        <f t="shared" si="2"/>
        <v>221.8243987</v>
      </c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>
        <f t="shared" si="8"/>
        <v>1</v>
      </c>
      <c r="AF5427" s="19">
        <f t="shared" si="13"/>
        <v>4</v>
      </c>
      <c r="AG5427" s="9"/>
      <c r="AH5427" s="9"/>
      <c r="AI5427" s="9"/>
    </row>
    <row r="5428" ht="15.0" customHeight="1">
      <c r="A5428" s="11">
        <v>5427.0</v>
      </c>
      <c r="B5428" s="12">
        <f t="shared" si="864"/>
        <v>40749</v>
      </c>
      <c r="C5428" s="13">
        <v>2011.0</v>
      </c>
      <c r="D5428" s="11" t="s">
        <v>39</v>
      </c>
      <c r="E5428" s="11">
        <v>20.0</v>
      </c>
      <c r="F5428" s="21" t="s">
        <v>186</v>
      </c>
      <c r="G5428" s="15">
        <v>0.06975557917109451</v>
      </c>
      <c r="H5428" s="11" t="s">
        <v>24</v>
      </c>
      <c r="I5428" s="16">
        <v>5.5360000000000005</v>
      </c>
      <c r="J5428" s="11" t="s">
        <v>2527</v>
      </c>
      <c r="K5428" s="11" t="s">
        <v>61</v>
      </c>
      <c r="L5428" s="11" t="s">
        <v>36</v>
      </c>
      <c r="M5428" s="11" t="s">
        <v>49</v>
      </c>
      <c r="N5428" s="11" t="s">
        <v>73</v>
      </c>
      <c r="O5428" s="11" t="s">
        <v>2344</v>
      </c>
      <c r="P5428" s="11" t="s">
        <v>38</v>
      </c>
      <c r="Q5428" s="20">
        <v>40752.0</v>
      </c>
      <c r="R5428" s="17">
        <f t="shared" si="2"/>
        <v>6.106124378</v>
      </c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>
        <f t="shared" si="8"/>
        <v>2</v>
      </c>
      <c r="AF5428" s="19">
        <f t="shared" si="13"/>
        <v>4</v>
      </c>
      <c r="AG5428" s="9"/>
      <c r="AH5428" s="9"/>
      <c r="AI5428" s="9"/>
    </row>
    <row r="5429" ht="15.0" customHeight="1">
      <c r="A5429" s="11">
        <v>5428.0</v>
      </c>
      <c r="B5429" s="12">
        <f t="shared" si="864"/>
        <v>40749</v>
      </c>
      <c r="C5429" s="13">
        <v>2011.0</v>
      </c>
      <c r="D5429" s="11" t="s">
        <v>39</v>
      </c>
      <c r="E5429" s="11">
        <v>41.0</v>
      </c>
      <c r="F5429" s="21" t="s">
        <v>2004</v>
      </c>
      <c r="G5429" s="15">
        <v>0.059914038219929876</v>
      </c>
      <c r="H5429" s="11" t="s">
        <v>33</v>
      </c>
      <c r="I5429" s="16">
        <v>7.192</v>
      </c>
      <c r="J5429" s="11" t="s">
        <v>2527</v>
      </c>
      <c r="K5429" s="11" t="s">
        <v>61</v>
      </c>
      <c r="L5429" s="11" t="s">
        <v>36</v>
      </c>
      <c r="M5429" s="11" t="s">
        <v>28</v>
      </c>
      <c r="N5429" s="11" t="s">
        <v>62</v>
      </c>
      <c r="O5429" s="11" t="s">
        <v>2007</v>
      </c>
      <c r="P5429" s="11" t="s">
        <v>99</v>
      </c>
      <c r="Q5429" s="20">
        <v>40752.0</v>
      </c>
      <c r="R5429" s="17">
        <f t="shared" si="2"/>
        <v>85.17930882</v>
      </c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>
        <f t="shared" si="8"/>
        <v>2</v>
      </c>
      <c r="AF5429" s="19">
        <f t="shared" si="13"/>
        <v>4</v>
      </c>
      <c r="AG5429" s="9"/>
      <c r="AH5429" s="9"/>
      <c r="AI5429" s="9"/>
    </row>
    <row r="5430" ht="15.0" customHeight="1">
      <c r="A5430" s="11">
        <v>5429.0</v>
      </c>
      <c r="B5430" s="12">
        <f t="shared" si="864"/>
        <v>40749</v>
      </c>
      <c r="C5430" s="13">
        <v>2011.0</v>
      </c>
      <c r="D5430" s="11" t="s">
        <v>102</v>
      </c>
      <c r="E5430" s="11">
        <v>9.0</v>
      </c>
      <c r="F5430" s="21" t="s">
        <v>163</v>
      </c>
      <c r="G5430" s="15">
        <v>0.09304882890035726</v>
      </c>
      <c r="H5430" s="11" t="s">
        <v>33</v>
      </c>
      <c r="I5430" s="16">
        <v>5.744</v>
      </c>
      <c r="J5430" s="11" t="s">
        <v>2409</v>
      </c>
      <c r="K5430" s="11" t="s">
        <v>83</v>
      </c>
      <c r="L5430" s="11" t="s">
        <v>27</v>
      </c>
      <c r="M5430" s="11" t="s">
        <v>66</v>
      </c>
      <c r="N5430" s="11" t="s">
        <v>67</v>
      </c>
      <c r="O5430" s="11" t="s">
        <v>1181</v>
      </c>
      <c r="P5430" s="11" t="s">
        <v>38</v>
      </c>
      <c r="Q5430" s="20">
        <v>40752.0</v>
      </c>
      <c r="R5430" s="17">
        <f t="shared" si="2"/>
        <v>85.032114</v>
      </c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>
        <f t="shared" si="8"/>
        <v>1</v>
      </c>
      <c r="AF5430" s="19" t="b">
        <f t="shared" si="13"/>
        <v>0</v>
      </c>
      <c r="AG5430" s="9"/>
      <c r="AH5430" s="9"/>
      <c r="AI5430" s="9"/>
    </row>
    <row r="5431" ht="15.0" customHeight="1">
      <c r="A5431" s="11">
        <v>5430.0</v>
      </c>
      <c r="B5431" s="12">
        <f t="shared" si="864"/>
        <v>40749</v>
      </c>
      <c r="C5431" s="13">
        <v>2011.0</v>
      </c>
      <c r="D5431" s="11" t="s">
        <v>102</v>
      </c>
      <c r="E5431" s="11">
        <v>1.0</v>
      </c>
      <c r="F5431" s="21" t="s">
        <v>565</v>
      </c>
      <c r="G5431" s="15">
        <v>0.10128525196486368</v>
      </c>
      <c r="H5431" s="11" t="s">
        <v>33</v>
      </c>
      <c r="I5431" s="16">
        <v>15.991999999999999</v>
      </c>
      <c r="J5431" s="11" t="s">
        <v>1425</v>
      </c>
      <c r="K5431" s="11" t="s">
        <v>47</v>
      </c>
      <c r="L5431" s="11" t="s">
        <v>48</v>
      </c>
      <c r="M5431" s="11" t="s">
        <v>28</v>
      </c>
      <c r="N5431" s="11" t="s">
        <v>29</v>
      </c>
      <c r="O5431" s="11" t="s">
        <v>566</v>
      </c>
      <c r="P5431" s="11" t="s">
        <v>38</v>
      </c>
      <c r="Q5431" s="20">
        <v>40752.0</v>
      </c>
      <c r="R5431" s="17">
        <f t="shared" si="2"/>
        <v>19.6890427</v>
      </c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>
        <f t="shared" si="8"/>
        <v>4</v>
      </c>
      <c r="AF5431" s="19">
        <f t="shared" si="13"/>
        <v>3</v>
      </c>
      <c r="AG5431" s="9"/>
      <c r="AH5431" s="9"/>
      <c r="AI5431" s="9"/>
    </row>
    <row r="5432" ht="15.0" customHeight="1">
      <c r="A5432" s="11">
        <v>5431.0</v>
      </c>
      <c r="B5432" s="12">
        <f t="shared" si="864"/>
        <v>40749</v>
      </c>
      <c r="C5432" s="13">
        <v>2011.0</v>
      </c>
      <c r="D5432" s="11" t="s">
        <v>102</v>
      </c>
      <c r="E5432" s="11">
        <v>20.0</v>
      </c>
      <c r="F5432" s="21" t="s">
        <v>740</v>
      </c>
      <c r="G5432" s="15">
        <v>0.04806586703329698</v>
      </c>
      <c r="H5432" s="11" t="s">
        <v>33</v>
      </c>
      <c r="I5432" s="16">
        <v>5.744</v>
      </c>
      <c r="J5432" s="11" t="s">
        <v>1425</v>
      </c>
      <c r="K5432" s="11" t="s">
        <v>47</v>
      </c>
      <c r="L5432" s="11" t="s">
        <v>48</v>
      </c>
      <c r="M5432" s="11" t="s">
        <v>66</v>
      </c>
      <c r="N5432" s="11" t="s">
        <v>67</v>
      </c>
      <c r="O5432" s="11" t="s">
        <v>1147</v>
      </c>
      <c r="P5432" s="11" t="s">
        <v>38</v>
      </c>
      <c r="Q5432" s="20">
        <v>40752.0</v>
      </c>
      <c r="R5432" s="17">
        <f t="shared" si="2"/>
        <v>289.5364781</v>
      </c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>
        <f t="shared" si="8"/>
        <v>4</v>
      </c>
      <c r="AF5432" s="19">
        <f t="shared" si="13"/>
        <v>3</v>
      </c>
      <c r="AG5432" s="9"/>
      <c r="AH5432" s="9"/>
      <c r="AI5432" s="9"/>
    </row>
    <row r="5433" ht="15.0" customHeight="1">
      <c r="A5433" s="11">
        <v>5432.0</v>
      </c>
      <c r="B5433" s="12">
        <f t="shared" si="864"/>
        <v>40749</v>
      </c>
      <c r="C5433" s="13">
        <v>2011.0</v>
      </c>
      <c r="D5433" s="11" t="s">
        <v>32</v>
      </c>
      <c r="E5433" s="11">
        <v>42.0</v>
      </c>
      <c r="F5433" s="21" t="s">
        <v>96</v>
      </c>
      <c r="G5433" s="15">
        <v>0.02645986353392863</v>
      </c>
      <c r="H5433" s="11" t="s">
        <v>33</v>
      </c>
      <c r="I5433" s="16">
        <v>1.592</v>
      </c>
      <c r="J5433" s="11" t="s">
        <v>1152</v>
      </c>
      <c r="K5433" s="11" t="s">
        <v>65</v>
      </c>
      <c r="L5433" s="11" t="s">
        <v>41</v>
      </c>
      <c r="M5433" s="11" t="s">
        <v>66</v>
      </c>
      <c r="N5433" s="11" t="s">
        <v>67</v>
      </c>
      <c r="O5433" s="11" t="s">
        <v>98</v>
      </c>
      <c r="P5433" s="11" t="s">
        <v>99</v>
      </c>
      <c r="Q5433" s="20">
        <v>40752.0</v>
      </c>
      <c r="R5433" s="17">
        <f t="shared" si="2"/>
        <v>31.60344933</v>
      </c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>
        <f t="shared" si="8"/>
        <v>3</v>
      </c>
      <c r="AF5433" s="19">
        <f t="shared" si="13"/>
        <v>5</v>
      </c>
      <c r="AG5433" s="9"/>
      <c r="AH5433" s="9"/>
      <c r="AI5433" s="9"/>
    </row>
    <row r="5434" ht="15.0" customHeight="1">
      <c r="A5434" s="11">
        <v>5433.0</v>
      </c>
      <c r="B5434" s="12">
        <f t="shared" si="864"/>
        <v>40749</v>
      </c>
      <c r="C5434" s="13">
        <v>2011.0</v>
      </c>
      <c r="D5434" s="11" t="s">
        <v>32</v>
      </c>
      <c r="E5434" s="11">
        <v>42.0</v>
      </c>
      <c r="F5434" s="21" t="s">
        <v>1782</v>
      </c>
      <c r="G5434" s="15">
        <v>0.031174642635177132</v>
      </c>
      <c r="H5434" s="11" t="s">
        <v>33</v>
      </c>
      <c r="I5434" s="16">
        <v>2.904</v>
      </c>
      <c r="J5434" s="11" t="s">
        <v>1152</v>
      </c>
      <c r="K5434" s="11" t="s">
        <v>65</v>
      </c>
      <c r="L5434" s="11" t="s">
        <v>41</v>
      </c>
      <c r="M5434" s="11" t="s">
        <v>49</v>
      </c>
      <c r="N5434" s="11" t="s">
        <v>73</v>
      </c>
      <c r="O5434" s="11" t="s">
        <v>1783</v>
      </c>
      <c r="P5434" s="11" t="s">
        <v>99</v>
      </c>
      <c r="Q5434" s="20">
        <v>40752.0</v>
      </c>
      <c r="R5434" s="17">
        <f t="shared" si="2"/>
        <v>29.15776796</v>
      </c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>
        <f t="shared" si="8"/>
        <v>3</v>
      </c>
      <c r="AF5434" s="19">
        <f t="shared" si="13"/>
        <v>5</v>
      </c>
      <c r="AG5434" s="9"/>
      <c r="AH5434" s="9"/>
      <c r="AI5434" s="9"/>
    </row>
    <row r="5435" ht="15.0" customHeight="1">
      <c r="A5435" s="11">
        <v>5434.0</v>
      </c>
      <c r="B5435" s="12">
        <f t="shared" si="864"/>
        <v>40749</v>
      </c>
      <c r="C5435" s="13">
        <v>2011.0</v>
      </c>
      <c r="D5435" s="11" t="s">
        <v>32</v>
      </c>
      <c r="E5435" s="11">
        <v>44.0</v>
      </c>
      <c r="F5435" s="21" t="s">
        <v>158</v>
      </c>
      <c r="G5435" s="15">
        <v>0.017649063032367802</v>
      </c>
      <c r="H5435" s="11" t="s">
        <v>33</v>
      </c>
      <c r="I5435" s="16">
        <v>6.720000000000001</v>
      </c>
      <c r="J5435" s="11" t="s">
        <v>1152</v>
      </c>
      <c r="K5435" s="11" t="s">
        <v>65</v>
      </c>
      <c r="L5435" s="11" t="s">
        <v>41</v>
      </c>
      <c r="M5435" s="11" t="s">
        <v>28</v>
      </c>
      <c r="N5435" s="11" t="s">
        <v>56</v>
      </c>
      <c r="O5435" s="11" t="s">
        <v>1260</v>
      </c>
      <c r="P5435" s="11" t="s">
        <v>38</v>
      </c>
      <c r="Q5435" s="20">
        <v>40752.0</v>
      </c>
      <c r="R5435" s="17">
        <f t="shared" si="2"/>
        <v>5.088577853</v>
      </c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>
        <f t="shared" si="8"/>
        <v>3</v>
      </c>
      <c r="AF5435" s="19">
        <f t="shared" si="13"/>
        <v>5</v>
      </c>
      <c r="AG5435" s="9"/>
      <c r="AH5435" s="9"/>
      <c r="AI5435" s="9"/>
    </row>
    <row r="5436" ht="15.0" customHeight="1">
      <c r="A5436" s="11">
        <v>5435.0</v>
      </c>
      <c r="B5436" s="12">
        <f t="shared" ref="B5436:B5438" si="865">DATE(2012,12,31)-524</f>
        <v>40750</v>
      </c>
      <c r="C5436" s="13">
        <v>2011.0</v>
      </c>
      <c r="D5436" s="11" t="s">
        <v>44</v>
      </c>
      <c r="E5436" s="11">
        <v>3.0</v>
      </c>
      <c r="F5436" s="21" t="s">
        <v>1479</v>
      </c>
      <c r="G5436" s="15">
        <v>0.10224438902743127</v>
      </c>
      <c r="H5436" s="11" t="s">
        <v>33</v>
      </c>
      <c r="I5436" s="16">
        <v>3.6</v>
      </c>
      <c r="J5436" s="11" t="s">
        <v>1080</v>
      </c>
      <c r="K5436" s="11" t="s">
        <v>47</v>
      </c>
      <c r="L5436" s="11" t="s">
        <v>48</v>
      </c>
      <c r="M5436" s="11" t="s">
        <v>28</v>
      </c>
      <c r="N5436" s="11" t="s">
        <v>197</v>
      </c>
      <c r="O5436" s="11" t="s">
        <v>1480</v>
      </c>
      <c r="P5436" s="11" t="s">
        <v>38</v>
      </c>
      <c r="Q5436" s="20">
        <v>40752.0</v>
      </c>
      <c r="R5436" s="17">
        <f t="shared" si="2"/>
        <v>3.680798005</v>
      </c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>
        <f t="shared" si="8"/>
        <v>4</v>
      </c>
      <c r="AF5436" s="19">
        <f t="shared" si="13"/>
        <v>3</v>
      </c>
      <c r="AG5436" s="9"/>
      <c r="AH5436" s="9"/>
      <c r="AI5436" s="9"/>
    </row>
    <row r="5437" ht="15.0" customHeight="1">
      <c r="A5437" s="11">
        <v>5436.0</v>
      </c>
      <c r="B5437" s="12">
        <f t="shared" si="865"/>
        <v>40750</v>
      </c>
      <c r="C5437" s="13">
        <v>2011.0</v>
      </c>
      <c r="D5437" s="11" t="s">
        <v>44</v>
      </c>
      <c r="E5437" s="11">
        <v>43.0</v>
      </c>
      <c r="F5437" s="21" t="s">
        <v>1088</v>
      </c>
      <c r="G5437" s="15">
        <v>0.040691301640024914</v>
      </c>
      <c r="H5437" s="11" t="s">
        <v>33</v>
      </c>
      <c r="I5437" s="16">
        <v>3.696</v>
      </c>
      <c r="J5437" s="11" t="s">
        <v>1080</v>
      </c>
      <c r="K5437" s="11" t="s">
        <v>47</v>
      </c>
      <c r="L5437" s="11" t="s">
        <v>48</v>
      </c>
      <c r="M5437" s="11" t="s">
        <v>28</v>
      </c>
      <c r="N5437" s="11" t="s">
        <v>197</v>
      </c>
      <c r="O5437" s="11" t="s">
        <v>1090</v>
      </c>
      <c r="P5437" s="11" t="s">
        <v>38</v>
      </c>
      <c r="Q5437" s="20">
        <v>40752.0</v>
      </c>
      <c r="R5437" s="17">
        <f t="shared" si="2"/>
        <v>75.21363919</v>
      </c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>
        <f t="shared" si="8"/>
        <v>4</v>
      </c>
      <c r="AF5437" s="19">
        <f t="shared" si="13"/>
        <v>3</v>
      </c>
      <c r="AG5437" s="9"/>
      <c r="AH5437" s="9"/>
      <c r="AI5437" s="9"/>
    </row>
    <row r="5438" ht="15.0" customHeight="1">
      <c r="A5438" s="11">
        <v>5437.0</v>
      </c>
      <c r="B5438" s="12">
        <f t="shared" si="865"/>
        <v>40750</v>
      </c>
      <c r="C5438" s="13">
        <v>2011.0</v>
      </c>
      <c r="D5438" s="11" t="s">
        <v>102</v>
      </c>
      <c r="E5438" s="11">
        <v>32.0</v>
      </c>
      <c r="F5438" s="21" t="s">
        <v>933</v>
      </c>
      <c r="G5438" s="15">
        <v>0.03955407867938684</v>
      </c>
      <c r="H5438" s="11" t="s">
        <v>24</v>
      </c>
      <c r="I5438" s="16">
        <v>3.2</v>
      </c>
      <c r="J5438" s="11" t="s">
        <v>1101</v>
      </c>
      <c r="K5438" s="11" t="s">
        <v>65</v>
      </c>
      <c r="L5438" s="11" t="s">
        <v>48</v>
      </c>
      <c r="M5438" s="11" t="s">
        <v>66</v>
      </c>
      <c r="N5438" s="11" t="s">
        <v>67</v>
      </c>
      <c r="O5438" s="11" t="s">
        <v>935</v>
      </c>
      <c r="P5438" s="11" t="s">
        <v>38</v>
      </c>
      <c r="Q5438" s="20">
        <v>40752.0</v>
      </c>
      <c r="R5438" s="17">
        <f t="shared" si="2"/>
        <v>70.88090899</v>
      </c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>
        <f t="shared" si="8"/>
        <v>4</v>
      </c>
      <c r="AF5438" s="19">
        <f t="shared" si="13"/>
        <v>5</v>
      </c>
      <c r="AG5438" s="9"/>
      <c r="AH5438" s="9"/>
      <c r="AI5438" s="9"/>
    </row>
    <row r="5439" ht="15.0" customHeight="1">
      <c r="A5439" s="11">
        <v>5438.0</v>
      </c>
      <c r="B5439" s="12">
        <f t="shared" ref="B5439:B5448" si="866">DATE(2012,12,31)-523</f>
        <v>40751</v>
      </c>
      <c r="C5439" s="13">
        <v>2011.0</v>
      </c>
      <c r="D5439" s="11" t="s">
        <v>102</v>
      </c>
      <c r="E5439" s="11">
        <v>16.0</v>
      </c>
      <c r="F5439" s="21" t="s">
        <v>144</v>
      </c>
      <c r="G5439" s="15">
        <v>0.11549549549549534</v>
      </c>
      <c r="H5439" s="11" t="s">
        <v>33</v>
      </c>
      <c r="I5439" s="16">
        <v>5.672000000000001</v>
      </c>
      <c r="J5439" s="11" t="s">
        <v>1415</v>
      </c>
      <c r="K5439" s="11" t="s">
        <v>65</v>
      </c>
      <c r="L5439" s="11" t="s">
        <v>36</v>
      </c>
      <c r="M5439" s="11" t="s">
        <v>28</v>
      </c>
      <c r="N5439" s="11" t="s">
        <v>56</v>
      </c>
      <c r="O5439" s="11" t="s">
        <v>2166</v>
      </c>
      <c r="P5439" s="11" t="s">
        <v>58</v>
      </c>
      <c r="Q5439" s="20">
        <v>40753.0</v>
      </c>
      <c r="R5439" s="17">
        <f t="shared" si="2"/>
        <v>4.535739099</v>
      </c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>
        <f t="shared" si="8"/>
        <v>2</v>
      </c>
      <c r="AF5439" s="19">
        <f t="shared" si="13"/>
        <v>5</v>
      </c>
      <c r="AG5439" s="9"/>
      <c r="AH5439" s="9"/>
      <c r="AI5439" s="9"/>
    </row>
    <row r="5440" ht="15.0" customHeight="1">
      <c r="A5440" s="11">
        <v>5439.0</v>
      </c>
      <c r="B5440" s="12">
        <f t="shared" si="866"/>
        <v>40751</v>
      </c>
      <c r="C5440" s="13">
        <v>2011.0</v>
      </c>
      <c r="D5440" s="11" t="s">
        <v>102</v>
      </c>
      <c r="E5440" s="11">
        <v>40.0</v>
      </c>
      <c r="F5440" s="21" t="s">
        <v>314</v>
      </c>
      <c r="G5440" s="15">
        <v>0.038842345773038904</v>
      </c>
      <c r="H5440" s="11" t="s">
        <v>33</v>
      </c>
      <c r="I5440" s="16">
        <v>0.4</v>
      </c>
      <c r="J5440" s="11" t="s">
        <v>1415</v>
      </c>
      <c r="K5440" s="11" t="s">
        <v>65</v>
      </c>
      <c r="L5440" s="11" t="s">
        <v>36</v>
      </c>
      <c r="M5440" s="11" t="s">
        <v>28</v>
      </c>
      <c r="N5440" s="11" t="s">
        <v>188</v>
      </c>
      <c r="O5440" s="11" t="s">
        <v>1143</v>
      </c>
      <c r="P5440" s="11" t="s">
        <v>38</v>
      </c>
      <c r="Q5440" s="20">
        <v>40753.0</v>
      </c>
      <c r="R5440" s="17">
        <f t="shared" si="2"/>
        <v>9.803808073</v>
      </c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>
        <f t="shared" si="8"/>
        <v>2</v>
      </c>
      <c r="AF5440" s="19">
        <f t="shared" si="13"/>
        <v>5</v>
      </c>
      <c r="AG5440" s="9"/>
      <c r="AH5440" s="9"/>
      <c r="AI5440" s="9"/>
    </row>
    <row r="5441" ht="15.0" customHeight="1">
      <c r="A5441" s="11">
        <v>5440.0</v>
      </c>
      <c r="B5441" s="12">
        <f t="shared" si="866"/>
        <v>40751</v>
      </c>
      <c r="C5441" s="13">
        <v>2011.0</v>
      </c>
      <c r="D5441" s="11" t="s">
        <v>39</v>
      </c>
      <c r="E5441" s="11">
        <v>35.0</v>
      </c>
      <c r="F5441" s="21" t="s">
        <v>299</v>
      </c>
      <c r="G5441" s="15">
        <v>0.06793020868970234</v>
      </c>
      <c r="H5441" s="11" t="s">
        <v>33</v>
      </c>
      <c r="I5441" s="16">
        <v>2.9440000000000004</v>
      </c>
      <c r="J5441" s="11" t="s">
        <v>2238</v>
      </c>
      <c r="K5441" s="11" t="s">
        <v>65</v>
      </c>
      <c r="L5441" s="11" t="s">
        <v>41</v>
      </c>
      <c r="M5441" s="11" t="s">
        <v>49</v>
      </c>
      <c r="N5441" s="11" t="s">
        <v>73</v>
      </c>
      <c r="O5441" s="11" t="s">
        <v>1949</v>
      </c>
      <c r="P5441" s="11" t="s">
        <v>58</v>
      </c>
      <c r="Q5441" s="20">
        <v>40753.0</v>
      </c>
      <c r="R5441" s="17">
        <f t="shared" si="2"/>
        <v>18.50717778</v>
      </c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>
        <f t="shared" si="8"/>
        <v>3</v>
      </c>
      <c r="AF5441" s="19">
        <f t="shared" si="13"/>
        <v>5</v>
      </c>
      <c r="AG5441" s="9"/>
      <c r="AH5441" s="9"/>
      <c r="AI5441" s="9"/>
    </row>
    <row r="5442" ht="15.0" customHeight="1">
      <c r="A5442" s="11">
        <v>5441.0</v>
      </c>
      <c r="B5442" s="12">
        <f t="shared" si="866"/>
        <v>40751</v>
      </c>
      <c r="C5442" s="13">
        <v>2011.0</v>
      </c>
      <c r="D5442" s="11" t="s">
        <v>102</v>
      </c>
      <c r="E5442" s="11">
        <v>13.0</v>
      </c>
      <c r="F5442" s="21" t="s">
        <v>1151</v>
      </c>
      <c r="G5442" s="15">
        <v>0.08137224938875307</v>
      </c>
      <c r="H5442" s="11" t="s">
        <v>45</v>
      </c>
      <c r="I5442" s="16">
        <v>33.6</v>
      </c>
      <c r="J5442" s="11" t="s">
        <v>1110</v>
      </c>
      <c r="K5442" s="11" t="s">
        <v>61</v>
      </c>
      <c r="L5442" s="11" t="s">
        <v>41</v>
      </c>
      <c r="M5442" s="11" t="s">
        <v>49</v>
      </c>
      <c r="N5442" s="11" t="s">
        <v>50</v>
      </c>
      <c r="O5442" s="11" t="s">
        <v>1153</v>
      </c>
      <c r="P5442" s="11" t="s">
        <v>52</v>
      </c>
      <c r="Q5442" s="20">
        <v>40753.0</v>
      </c>
      <c r="R5442" s="17">
        <f t="shared" si="2"/>
        <v>97.83385544</v>
      </c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>
        <f t="shared" si="8"/>
        <v>3</v>
      </c>
      <c r="AF5442" s="19">
        <f t="shared" si="13"/>
        <v>4</v>
      </c>
      <c r="AG5442" s="9"/>
      <c r="AH5442" s="9"/>
      <c r="AI5442" s="9"/>
    </row>
    <row r="5443" ht="15.0" customHeight="1">
      <c r="A5443" s="11">
        <v>5442.0</v>
      </c>
      <c r="B5443" s="12">
        <f t="shared" si="866"/>
        <v>40751</v>
      </c>
      <c r="C5443" s="13">
        <v>2011.0</v>
      </c>
      <c r="D5443" s="11" t="s">
        <v>102</v>
      </c>
      <c r="E5443" s="11">
        <v>47.0</v>
      </c>
      <c r="F5443" s="21" t="s">
        <v>881</v>
      </c>
      <c r="G5443" s="15">
        <v>0.06073409030895168</v>
      </c>
      <c r="H5443" s="11" t="s">
        <v>33</v>
      </c>
      <c r="I5443" s="16">
        <v>3.2</v>
      </c>
      <c r="J5443" s="11" t="s">
        <v>1110</v>
      </c>
      <c r="K5443" s="11" t="s">
        <v>61</v>
      </c>
      <c r="L5443" s="11" t="s">
        <v>41</v>
      </c>
      <c r="M5443" s="11" t="s">
        <v>49</v>
      </c>
      <c r="N5443" s="11" t="s">
        <v>73</v>
      </c>
      <c r="O5443" s="11" t="s">
        <v>883</v>
      </c>
      <c r="P5443" s="11" t="s">
        <v>58</v>
      </c>
      <c r="Q5443" s="20">
        <v>40753.0</v>
      </c>
      <c r="R5443" s="17">
        <f t="shared" si="2"/>
        <v>21.60311592</v>
      </c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>
        <f t="shared" si="8"/>
        <v>3</v>
      </c>
      <c r="AF5443" s="19">
        <f t="shared" si="13"/>
        <v>4</v>
      </c>
      <c r="AG5443" s="9"/>
      <c r="AH5443" s="9"/>
      <c r="AI5443" s="9"/>
    </row>
    <row r="5444" ht="15.0" customHeight="1">
      <c r="A5444" s="11">
        <v>5443.0</v>
      </c>
      <c r="B5444" s="12">
        <f t="shared" si="866"/>
        <v>40751</v>
      </c>
      <c r="C5444" s="13">
        <v>2011.0</v>
      </c>
      <c r="D5444" s="11" t="s">
        <v>44</v>
      </c>
      <c r="E5444" s="11">
        <v>14.0</v>
      </c>
      <c r="F5444" s="21" t="s">
        <v>734</v>
      </c>
      <c r="G5444" s="15">
        <v>0.0775959367945825</v>
      </c>
      <c r="H5444" s="11" t="s">
        <v>33</v>
      </c>
      <c r="I5444" s="16">
        <v>28.0</v>
      </c>
      <c r="J5444" s="11" t="s">
        <v>2315</v>
      </c>
      <c r="K5444" s="11" t="s">
        <v>26</v>
      </c>
      <c r="L5444" s="11" t="s">
        <v>36</v>
      </c>
      <c r="M5444" s="11" t="s">
        <v>28</v>
      </c>
      <c r="N5444" s="11" t="s">
        <v>29</v>
      </c>
      <c r="O5444" s="11" t="s">
        <v>736</v>
      </c>
      <c r="P5444" s="11" t="s">
        <v>31</v>
      </c>
      <c r="Q5444" s="20">
        <v>40753.0</v>
      </c>
      <c r="R5444" s="17">
        <f t="shared" si="2"/>
        <v>152.1966704</v>
      </c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>
        <f t="shared" si="8"/>
        <v>2</v>
      </c>
      <c r="AF5444" s="19">
        <f t="shared" si="13"/>
        <v>1</v>
      </c>
      <c r="AG5444" s="9"/>
      <c r="AH5444" s="9"/>
      <c r="AI5444" s="9"/>
    </row>
    <row r="5445" ht="15.0" customHeight="1">
      <c r="A5445" s="11">
        <v>5444.0</v>
      </c>
      <c r="B5445" s="12">
        <f t="shared" si="866"/>
        <v>40751</v>
      </c>
      <c r="C5445" s="13">
        <v>2011.0</v>
      </c>
      <c r="D5445" s="11" t="s">
        <v>102</v>
      </c>
      <c r="E5445" s="11">
        <v>46.0</v>
      </c>
      <c r="F5445" s="21" t="s">
        <v>115</v>
      </c>
      <c r="G5445" s="15">
        <v>0.06682491391126999</v>
      </c>
      <c r="H5445" s="11" t="s">
        <v>45</v>
      </c>
      <c r="I5445" s="16">
        <v>21.040000000000003</v>
      </c>
      <c r="J5445" s="11" t="s">
        <v>133</v>
      </c>
      <c r="K5445" s="11" t="s">
        <v>65</v>
      </c>
      <c r="L5445" s="11" t="s">
        <v>41</v>
      </c>
      <c r="M5445" s="11" t="s">
        <v>66</v>
      </c>
      <c r="N5445" s="11" t="s">
        <v>69</v>
      </c>
      <c r="O5445" s="11" t="s">
        <v>118</v>
      </c>
      <c r="P5445" s="11" t="s">
        <v>52</v>
      </c>
      <c r="Q5445" s="20">
        <v>40753.0</v>
      </c>
      <c r="R5445" s="17">
        <f t="shared" si="2"/>
        <v>373.0460724</v>
      </c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>
        <f t="shared" si="8"/>
        <v>3</v>
      </c>
      <c r="AF5445" s="19">
        <f t="shared" si="13"/>
        <v>5</v>
      </c>
      <c r="AG5445" s="9"/>
      <c r="AH5445" s="9"/>
      <c r="AI5445" s="9"/>
    </row>
    <row r="5446" ht="15.0" customHeight="1">
      <c r="A5446" s="11">
        <v>5445.0</v>
      </c>
      <c r="B5446" s="12">
        <f t="shared" si="866"/>
        <v>40751</v>
      </c>
      <c r="C5446" s="13">
        <v>2011.0</v>
      </c>
      <c r="D5446" s="11" t="s">
        <v>39</v>
      </c>
      <c r="E5446" s="11">
        <v>20.0</v>
      </c>
      <c r="F5446" s="21" t="s">
        <v>126</v>
      </c>
      <c r="G5446" s="15">
        <v>0.07605633802816895</v>
      </c>
      <c r="H5446" s="11" t="s">
        <v>33</v>
      </c>
      <c r="I5446" s="16">
        <v>0.4</v>
      </c>
      <c r="J5446" s="11" t="s">
        <v>1276</v>
      </c>
      <c r="K5446" s="11" t="s">
        <v>47</v>
      </c>
      <c r="L5446" s="11" t="s">
        <v>48</v>
      </c>
      <c r="M5446" s="11" t="s">
        <v>28</v>
      </c>
      <c r="N5446" s="11" t="s">
        <v>188</v>
      </c>
      <c r="O5446" s="11" t="s">
        <v>410</v>
      </c>
      <c r="P5446" s="11" t="s">
        <v>38</v>
      </c>
      <c r="Q5446" s="20">
        <v>40753.0</v>
      </c>
      <c r="R5446" s="17">
        <f t="shared" si="2"/>
        <v>7.483943662</v>
      </c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>
        <f t="shared" si="8"/>
        <v>4</v>
      </c>
      <c r="AF5446" s="19">
        <f t="shared" si="13"/>
        <v>3</v>
      </c>
      <c r="AG5446" s="9"/>
      <c r="AH5446" s="9"/>
      <c r="AI5446" s="9"/>
    </row>
    <row r="5447" ht="15.0" customHeight="1">
      <c r="A5447" s="11">
        <v>5446.0</v>
      </c>
      <c r="B5447" s="12">
        <f t="shared" si="866"/>
        <v>40751</v>
      </c>
      <c r="C5447" s="13">
        <v>2011.0</v>
      </c>
      <c r="D5447" s="11" t="s">
        <v>39</v>
      </c>
      <c r="E5447" s="11">
        <v>37.0</v>
      </c>
      <c r="F5447" s="21" t="s">
        <v>319</v>
      </c>
      <c r="G5447" s="15">
        <v>0.04789762340036571</v>
      </c>
      <c r="H5447" s="11" t="s">
        <v>33</v>
      </c>
      <c r="I5447" s="16">
        <v>0.5599999999999999</v>
      </c>
      <c r="J5447" s="11" t="s">
        <v>232</v>
      </c>
      <c r="K5447" s="11" t="s">
        <v>47</v>
      </c>
      <c r="L5447" s="11" t="s">
        <v>48</v>
      </c>
      <c r="M5447" s="11" t="s">
        <v>28</v>
      </c>
      <c r="N5447" s="11" t="s">
        <v>62</v>
      </c>
      <c r="O5447" s="11" t="s">
        <v>321</v>
      </c>
      <c r="P5447" s="11" t="s">
        <v>58</v>
      </c>
      <c r="Q5447" s="20">
        <v>40754.0</v>
      </c>
      <c r="R5447" s="17">
        <f t="shared" si="2"/>
        <v>4.989016453</v>
      </c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>
        <f t="shared" si="8"/>
        <v>4</v>
      </c>
      <c r="AF5447" s="19">
        <f t="shared" si="13"/>
        <v>3</v>
      </c>
      <c r="AG5447" s="9"/>
      <c r="AH5447" s="9"/>
      <c r="AI5447" s="9"/>
    </row>
    <row r="5448" ht="15.0" customHeight="1">
      <c r="A5448" s="11">
        <v>5447.0</v>
      </c>
      <c r="B5448" s="12">
        <f t="shared" si="866"/>
        <v>40751</v>
      </c>
      <c r="C5448" s="13">
        <v>2011.0</v>
      </c>
      <c r="D5448" s="11" t="s">
        <v>39</v>
      </c>
      <c r="E5448" s="11">
        <v>13.0</v>
      </c>
      <c r="F5448" s="21" t="s">
        <v>461</v>
      </c>
      <c r="G5448" s="15">
        <v>0.03212981744421899</v>
      </c>
      <c r="H5448" s="11" t="s">
        <v>45</v>
      </c>
      <c r="I5448" s="16">
        <v>11.200000000000001</v>
      </c>
      <c r="J5448" s="11" t="s">
        <v>232</v>
      </c>
      <c r="K5448" s="11" t="s">
        <v>47</v>
      </c>
      <c r="L5448" s="11" t="s">
        <v>48</v>
      </c>
      <c r="M5448" s="11" t="s">
        <v>66</v>
      </c>
      <c r="N5448" s="11" t="s">
        <v>69</v>
      </c>
      <c r="O5448" s="11" t="s">
        <v>779</v>
      </c>
      <c r="P5448" s="11" t="s">
        <v>52</v>
      </c>
      <c r="Q5448" s="20">
        <v>40754.0</v>
      </c>
      <c r="R5448" s="17">
        <f t="shared" si="2"/>
        <v>38.32765923</v>
      </c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>
        <f t="shared" si="8"/>
        <v>4</v>
      </c>
      <c r="AF5448" s="19">
        <f t="shared" si="13"/>
        <v>3</v>
      </c>
      <c r="AG5448" s="9"/>
      <c r="AH5448" s="9"/>
      <c r="AI5448" s="9"/>
    </row>
    <row r="5449" ht="15.0" customHeight="1">
      <c r="A5449" s="11">
        <v>5448.0</v>
      </c>
      <c r="B5449" s="12">
        <f t="shared" ref="B5449:B5452" si="867">DATE(2012,12,31)-522</f>
        <v>40752</v>
      </c>
      <c r="C5449" s="13">
        <v>2011.0</v>
      </c>
      <c r="D5449" s="11" t="s">
        <v>44</v>
      </c>
      <c r="E5449" s="11">
        <v>40.0</v>
      </c>
      <c r="F5449" s="21" t="s">
        <v>270</v>
      </c>
      <c r="G5449" s="15">
        <v>0.04054839465666737</v>
      </c>
      <c r="H5449" s="11" t="s">
        <v>33</v>
      </c>
      <c r="I5449" s="16">
        <v>1.592</v>
      </c>
      <c r="J5449" s="11" t="s">
        <v>567</v>
      </c>
      <c r="K5449" s="11" t="s">
        <v>35</v>
      </c>
      <c r="L5449" s="11" t="s">
        <v>36</v>
      </c>
      <c r="M5449" s="11" t="s">
        <v>66</v>
      </c>
      <c r="N5449" s="11" t="s">
        <v>67</v>
      </c>
      <c r="O5449" s="11" t="s">
        <v>2453</v>
      </c>
      <c r="P5449" s="11" t="s">
        <v>99</v>
      </c>
      <c r="Q5449" s="20">
        <v>40754.0</v>
      </c>
      <c r="R5449" s="17">
        <f t="shared" si="2"/>
        <v>66.4017267</v>
      </c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>
        <f t="shared" si="8"/>
        <v>2</v>
      </c>
      <c r="AF5449" s="19">
        <f t="shared" si="13"/>
        <v>2</v>
      </c>
      <c r="AG5449" s="9"/>
      <c r="AH5449" s="9"/>
      <c r="AI5449" s="9"/>
    </row>
    <row r="5450" ht="15.0" customHeight="1">
      <c r="A5450" s="11">
        <v>5449.0</v>
      </c>
      <c r="B5450" s="12">
        <f t="shared" si="867"/>
        <v>40752</v>
      </c>
      <c r="C5450" s="13">
        <v>2011.0</v>
      </c>
      <c r="D5450" s="11" t="s">
        <v>44</v>
      </c>
      <c r="E5450" s="11">
        <v>50.0</v>
      </c>
      <c r="F5450" s="21" t="s">
        <v>596</v>
      </c>
      <c r="G5450" s="15">
        <v>0.032737472905775764</v>
      </c>
      <c r="H5450" s="11" t="s">
        <v>33</v>
      </c>
      <c r="I5450" s="16">
        <v>3.6240000000000006</v>
      </c>
      <c r="J5450" s="11" t="s">
        <v>567</v>
      </c>
      <c r="K5450" s="11" t="s">
        <v>61</v>
      </c>
      <c r="L5450" s="11" t="s">
        <v>36</v>
      </c>
      <c r="M5450" s="11" t="s">
        <v>28</v>
      </c>
      <c r="N5450" s="11" t="s">
        <v>29</v>
      </c>
      <c r="O5450" s="11" t="s">
        <v>946</v>
      </c>
      <c r="P5450" s="11" t="s">
        <v>38</v>
      </c>
      <c r="Q5450" s="20">
        <v>40754.0</v>
      </c>
      <c r="R5450" s="17">
        <f t="shared" si="2"/>
        <v>24.83543265</v>
      </c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>
        <f t="shared" si="8"/>
        <v>2</v>
      </c>
      <c r="AF5450" s="19">
        <f t="shared" si="13"/>
        <v>4</v>
      </c>
      <c r="AG5450" s="9"/>
      <c r="AH5450" s="9"/>
      <c r="AI5450" s="9"/>
    </row>
    <row r="5451" ht="15.0" customHeight="1">
      <c r="A5451" s="11">
        <v>5450.0</v>
      </c>
      <c r="B5451" s="12">
        <f t="shared" si="867"/>
        <v>40752</v>
      </c>
      <c r="C5451" s="13">
        <v>2011.0</v>
      </c>
      <c r="D5451" s="11" t="s">
        <v>102</v>
      </c>
      <c r="E5451" s="11">
        <v>4.0</v>
      </c>
      <c r="F5451" s="21" t="s">
        <v>536</v>
      </c>
      <c r="G5451" s="15">
        <v>0.08934330839567749</v>
      </c>
      <c r="H5451" s="11" t="s">
        <v>45</v>
      </c>
      <c r="I5451" s="16">
        <v>56.160000000000004</v>
      </c>
      <c r="J5451" s="11" t="s">
        <v>639</v>
      </c>
      <c r="K5451" s="11" t="s">
        <v>35</v>
      </c>
      <c r="L5451" s="11" t="s">
        <v>48</v>
      </c>
      <c r="M5451" s="11" t="s">
        <v>49</v>
      </c>
      <c r="N5451" s="11" t="s">
        <v>50</v>
      </c>
      <c r="O5451" s="11" t="s">
        <v>537</v>
      </c>
      <c r="P5451" s="11" t="s">
        <v>52</v>
      </c>
      <c r="Q5451" s="20">
        <v>40754.0</v>
      </c>
      <c r="R5451" s="17">
        <f t="shared" si="2"/>
        <v>48.93869061</v>
      </c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>
        <f t="shared" si="8"/>
        <v>4</v>
      </c>
      <c r="AF5451" s="19">
        <f t="shared" si="13"/>
        <v>2</v>
      </c>
      <c r="AG5451" s="9"/>
      <c r="AH5451" s="9"/>
      <c r="AI5451" s="9"/>
    </row>
    <row r="5452" ht="15.0" customHeight="1">
      <c r="A5452" s="11">
        <v>5451.0</v>
      </c>
      <c r="B5452" s="12">
        <f t="shared" si="867"/>
        <v>40752</v>
      </c>
      <c r="C5452" s="13">
        <v>2011.0</v>
      </c>
      <c r="D5452" s="11" t="s">
        <v>102</v>
      </c>
      <c r="E5452" s="11">
        <v>44.0</v>
      </c>
      <c r="F5452" s="21" t="s">
        <v>126</v>
      </c>
      <c r="G5452" s="15">
        <v>0.04819444444444438</v>
      </c>
      <c r="H5452" s="11" t="s">
        <v>33</v>
      </c>
      <c r="I5452" s="16">
        <v>3.696</v>
      </c>
      <c r="J5452" s="11" t="s">
        <v>494</v>
      </c>
      <c r="K5452" s="11" t="s">
        <v>83</v>
      </c>
      <c r="L5452" s="11" t="s">
        <v>48</v>
      </c>
      <c r="M5452" s="11" t="s">
        <v>66</v>
      </c>
      <c r="N5452" s="11" t="s">
        <v>67</v>
      </c>
      <c r="O5452" s="11" t="s">
        <v>675</v>
      </c>
      <c r="P5452" s="11" t="s">
        <v>99</v>
      </c>
      <c r="Q5452" s="20">
        <v>40755.0</v>
      </c>
      <c r="R5452" s="17">
        <f t="shared" si="2"/>
        <v>10.56884889</v>
      </c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>
        <f t="shared" si="8"/>
        <v>4</v>
      </c>
      <c r="AF5452" s="19" t="b">
        <f t="shared" si="13"/>
        <v>0</v>
      </c>
      <c r="AG5452" s="9"/>
      <c r="AH5452" s="9"/>
      <c r="AI5452" s="9"/>
    </row>
    <row r="5453" ht="15.0" customHeight="1">
      <c r="A5453" s="11">
        <v>5452.0</v>
      </c>
      <c r="B5453" s="12">
        <f t="shared" ref="B5453:B5455" si="868">DATE(2012,12,31)-521</f>
        <v>40753</v>
      </c>
      <c r="C5453" s="13">
        <v>2011.0</v>
      </c>
      <c r="D5453" s="11" t="s">
        <v>23</v>
      </c>
      <c r="E5453" s="11">
        <v>13.0</v>
      </c>
      <c r="F5453" s="21" t="s">
        <v>1362</v>
      </c>
      <c r="G5453" s="15">
        <v>0.0484840744808561</v>
      </c>
      <c r="H5453" s="11" t="s">
        <v>33</v>
      </c>
      <c r="I5453" s="16">
        <v>2.3920000000000003</v>
      </c>
      <c r="J5453" s="11" t="s">
        <v>1536</v>
      </c>
      <c r="K5453" s="11" t="s">
        <v>61</v>
      </c>
      <c r="L5453" s="11" t="s">
        <v>36</v>
      </c>
      <c r="M5453" s="11" t="s">
        <v>28</v>
      </c>
      <c r="N5453" s="11" t="s">
        <v>42</v>
      </c>
      <c r="O5453" s="11" t="s">
        <v>1363</v>
      </c>
      <c r="P5453" s="11" t="s">
        <v>38</v>
      </c>
      <c r="Q5453" s="20">
        <v>40755.0</v>
      </c>
      <c r="R5453" s="17">
        <f t="shared" si="2"/>
        <v>27.09251295</v>
      </c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>
        <f t="shared" si="8"/>
        <v>2</v>
      </c>
      <c r="AF5453" s="19">
        <f t="shared" si="13"/>
        <v>4</v>
      </c>
      <c r="AG5453" s="9"/>
      <c r="AH5453" s="9"/>
      <c r="AI5453" s="9"/>
    </row>
    <row r="5454" ht="15.0" customHeight="1">
      <c r="A5454" s="11">
        <v>5453.0</v>
      </c>
      <c r="B5454" s="12">
        <f t="shared" si="868"/>
        <v>40753</v>
      </c>
      <c r="C5454" s="13">
        <v>2011.0</v>
      </c>
      <c r="D5454" s="11" t="s">
        <v>32</v>
      </c>
      <c r="E5454" s="11">
        <v>31.0</v>
      </c>
      <c r="F5454" s="21" t="s">
        <v>948</v>
      </c>
      <c r="G5454" s="15">
        <v>0.09910735826296753</v>
      </c>
      <c r="H5454" s="11" t="s">
        <v>33</v>
      </c>
      <c r="I5454" s="16">
        <v>0.568</v>
      </c>
      <c r="J5454" s="11" t="s">
        <v>800</v>
      </c>
      <c r="K5454" s="11" t="s">
        <v>61</v>
      </c>
      <c r="L5454" s="11" t="s">
        <v>41</v>
      </c>
      <c r="M5454" s="11" t="s">
        <v>28</v>
      </c>
      <c r="N5454" s="11" t="s">
        <v>62</v>
      </c>
      <c r="O5454" s="11" t="s">
        <v>949</v>
      </c>
      <c r="P5454" s="11" t="s">
        <v>58</v>
      </c>
      <c r="Q5454" s="20">
        <v>40755.0</v>
      </c>
      <c r="R5454" s="17">
        <f t="shared" si="2"/>
        <v>14.80346789</v>
      </c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>
        <f t="shared" si="8"/>
        <v>3</v>
      </c>
      <c r="AF5454" s="19">
        <f t="shared" si="13"/>
        <v>4</v>
      </c>
      <c r="AG5454" s="9"/>
      <c r="AH5454" s="9"/>
      <c r="AI5454" s="9"/>
    </row>
    <row r="5455" ht="15.0" customHeight="1">
      <c r="A5455" s="11">
        <v>5454.0</v>
      </c>
      <c r="B5455" s="12">
        <f t="shared" si="868"/>
        <v>40753</v>
      </c>
      <c r="C5455" s="13">
        <v>2011.0</v>
      </c>
      <c r="D5455" s="11" t="s">
        <v>39</v>
      </c>
      <c r="E5455" s="11">
        <v>44.0</v>
      </c>
      <c r="F5455" s="21" t="s">
        <v>163</v>
      </c>
      <c r="G5455" s="15">
        <v>0.0835853879772409</v>
      </c>
      <c r="H5455" s="11" t="s">
        <v>33</v>
      </c>
      <c r="I5455" s="16">
        <v>5.744</v>
      </c>
      <c r="J5455" s="11" t="s">
        <v>1101</v>
      </c>
      <c r="K5455" s="11" t="s">
        <v>65</v>
      </c>
      <c r="L5455" s="11" t="s">
        <v>48</v>
      </c>
      <c r="M5455" s="11" t="s">
        <v>66</v>
      </c>
      <c r="N5455" s="11" t="s">
        <v>67</v>
      </c>
      <c r="O5455" s="11" t="s">
        <v>1181</v>
      </c>
      <c r="P5455" s="11" t="s">
        <v>38</v>
      </c>
      <c r="Q5455" s="20">
        <v>40756.0</v>
      </c>
      <c r="R5455" s="17">
        <f t="shared" si="2"/>
        <v>371.5658029</v>
      </c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>
        <f t="shared" si="8"/>
        <v>4</v>
      </c>
      <c r="AF5455" s="19">
        <f t="shared" si="13"/>
        <v>5</v>
      </c>
      <c r="AG5455" s="9"/>
      <c r="AH5455" s="9"/>
      <c r="AI5455" s="9"/>
    </row>
    <row r="5456" ht="15.0" customHeight="1">
      <c r="A5456" s="11">
        <v>5455.0</v>
      </c>
      <c r="B5456" s="12">
        <f t="shared" ref="B5456:B5460" si="869">DATE(2012,12,31)-520</f>
        <v>40754</v>
      </c>
      <c r="C5456" s="13">
        <v>2011.0</v>
      </c>
      <c r="D5456" s="11" t="s">
        <v>102</v>
      </c>
      <c r="E5456" s="11">
        <v>40.0</v>
      </c>
      <c r="F5456" s="21" t="s">
        <v>245</v>
      </c>
      <c r="G5456" s="15">
        <v>0.07680475718533199</v>
      </c>
      <c r="H5456" s="11" t="s">
        <v>33</v>
      </c>
      <c r="I5456" s="16">
        <v>5.752000000000001</v>
      </c>
      <c r="J5456" s="11" t="s">
        <v>528</v>
      </c>
      <c r="K5456" s="11" t="s">
        <v>83</v>
      </c>
      <c r="L5456" s="11" t="s">
        <v>48</v>
      </c>
      <c r="M5456" s="11" t="s">
        <v>28</v>
      </c>
      <c r="N5456" s="11" t="s">
        <v>42</v>
      </c>
      <c r="O5456" s="11" t="s">
        <v>1030</v>
      </c>
      <c r="P5456" s="11" t="s">
        <v>38</v>
      </c>
      <c r="Q5456" s="20">
        <v>40756.0</v>
      </c>
      <c r="R5456" s="17">
        <f t="shared" si="2"/>
        <v>35.77196927</v>
      </c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>
        <f t="shared" si="8"/>
        <v>4</v>
      </c>
      <c r="AF5456" s="19" t="b">
        <f t="shared" si="13"/>
        <v>0</v>
      </c>
      <c r="AG5456" s="9"/>
      <c r="AH5456" s="9"/>
      <c r="AI5456" s="9"/>
    </row>
    <row r="5457" ht="15.0" customHeight="1">
      <c r="A5457" s="11">
        <v>5456.0</v>
      </c>
      <c r="B5457" s="12">
        <f t="shared" si="869"/>
        <v>40754</v>
      </c>
      <c r="C5457" s="13">
        <v>2011.0</v>
      </c>
      <c r="D5457" s="11" t="s">
        <v>32</v>
      </c>
      <c r="E5457" s="11">
        <v>39.0</v>
      </c>
      <c r="F5457" s="21" t="s">
        <v>891</v>
      </c>
      <c r="G5457" s="15">
        <v>0.05663990484686309</v>
      </c>
      <c r="H5457" s="11" t="s">
        <v>33</v>
      </c>
      <c r="I5457" s="16">
        <v>1.352</v>
      </c>
      <c r="J5457" s="11" t="s">
        <v>876</v>
      </c>
      <c r="K5457" s="11" t="s">
        <v>35</v>
      </c>
      <c r="L5457" s="11" t="s">
        <v>36</v>
      </c>
      <c r="M5457" s="11" t="s">
        <v>28</v>
      </c>
      <c r="N5457" s="11" t="s">
        <v>56</v>
      </c>
      <c r="O5457" s="11" t="s">
        <v>1996</v>
      </c>
      <c r="P5457" s="11" t="s">
        <v>58</v>
      </c>
      <c r="Q5457" s="20">
        <v>40756.0</v>
      </c>
      <c r="R5457" s="17">
        <f t="shared" si="2"/>
        <v>17.96912309</v>
      </c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>
        <f t="shared" si="8"/>
        <v>2</v>
      </c>
      <c r="AF5457" s="19">
        <f t="shared" si="13"/>
        <v>2</v>
      </c>
      <c r="AG5457" s="9"/>
      <c r="AH5457" s="9"/>
      <c r="AI5457" s="9"/>
    </row>
    <row r="5458" ht="15.0" customHeight="1">
      <c r="A5458" s="11">
        <v>5457.0</v>
      </c>
      <c r="B5458" s="12">
        <f t="shared" si="869"/>
        <v>40754</v>
      </c>
      <c r="C5458" s="13">
        <v>2011.0</v>
      </c>
      <c r="D5458" s="11" t="s">
        <v>32</v>
      </c>
      <c r="E5458" s="11">
        <v>48.0</v>
      </c>
      <c r="F5458" s="21" t="s">
        <v>762</v>
      </c>
      <c r="G5458" s="15">
        <v>0.027119445852339767</v>
      </c>
      <c r="H5458" s="11" t="s">
        <v>33</v>
      </c>
      <c r="I5458" s="16">
        <v>4.648</v>
      </c>
      <c r="J5458" s="11" t="s">
        <v>876</v>
      </c>
      <c r="K5458" s="11" t="s">
        <v>35</v>
      </c>
      <c r="L5458" s="11" t="s">
        <v>36</v>
      </c>
      <c r="M5458" s="11" t="s">
        <v>28</v>
      </c>
      <c r="N5458" s="11" t="s">
        <v>62</v>
      </c>
      <c r="O5458" s="11" t="s">
        <v>955</v>
      </c>
      <c r="P5458" s="11" t="s">
        <v>99</v>
      </c>
      <c r="Q5458" s="20">
        <v>40756.0</v>
      </c>
      <c r="R5458" s="17">
        <f t="shared" si="2"/>
        <v>15.61667866</v>
      </c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>
        <f t="shared" si="8"/>
        <v>2</v>
      </c>
      <c r="AF5458" s="19">
        <f t="shared" si="13"/>
        <v>2</v>
      </c>
      <c r="AG5458" s="9"/>
      <c r="AH5458" s="9"/>
      <c r="AI5458" s="9"/>
    </row>
    <row r="5459" ht="15.0" customHeight="1">
      <c r="A5459" s="11">
        <v>5458.0</v>
      </c>
      <c r="B5459" s="12">
        <f t="shared" si="869"/>
        <v>40754</v>
      </c>
      <c r="C5459" s="13">
        <v>2011.0</v>
      </c>
      <c r="D5459" s="11" t="s">
        <v>44</v>
      </c>
      <c r="E5459" s="11">
        <v>30.0</v>
      </c>
      <c r="F5459" s="21" t="s">
        <v>747</v>
      </c>
      <c r="G5459" s="15">
        <v>0.08072009291521474</v>
      </c>
      <c r="H5459" s="11" t="s">
        <v>33</v>
      </c>
      <c r="I5459" s="16">
        <v>4.6000000000000005</v>
      </c>
      <c r="J5459" s="11" t="s">
        <v>1858</v>
      </c>
      <c r="K5459" s="11" t="s">
        <v>61</v>
      </c>
      <c r="L5459" s="11" t="s">
        <v>41</v>
      </c>
      <c r="M5459" s="11" t="s">
        <v>28</v>
      </c>
      <c r="N5459" s="11" t="s">
        <v>42</v>
      </c>
      <c r="O5459" s="11" t="s">
        <v>748</v>
      </c>
      <c r="P5459" s="11" t="s">
        <v>38</v>
      </c>
      <c r="Q5459" s="20">
        <v>40757.0</v>
      </c>
      <c r="R5459" s="17">
        <f t="shared" si="2"/>
        <v>25.55598142</v>
      </c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>
        <f t="shared" si="8"/>
        <v>3</v>
      </c>
      <c r="AF5459" s="19">
        <f t="shared" si="13"/>
        <v>4</v>
      </c>
      <c r="AG5459" s="9"/>
      <c r="AH5459" s="9"/>
      <c r="AI5459" s="9"/>
    </row>
    <row r="5460" ht="15.0" customHeight="1">
      <c r="A5460" s="11">
        <v>5459.0</v>
      </c>
      <c r="B5460" s="12">
        <f t="shared" si="869"/>
        <v>40754</v>
      </c>
      <c r="C5460" s="13">
        <v>2011.0</v>
      </c>
      <c r="D5460" s="11" t="s">
        <v>32</v>
      </c>
      <c r="E5460" s="11">
        <v>41.0</v>
      </c>
      <c r="F5460" s="21" t="s">
        <v>308</v>
      </c>
      <c r="G5460" s="15">
        <v>0.09147817079079719</v>
      </c>
      <c r="H5460" s="11" t="s">
        <v>45</v>
      </c>
      <c r="I5460" s="16">
        <v>14.288</v>
      </c>
      <c r="J5460" s="11" t="s">
        <v>2476</v>
      </c>
      <c r="K5460" s="11" t="s">
        <v>61</v>
      </c>
      <c r="L5460" s="11" t="s">
        <v>48</v>
      </c>
      <c r="M5460" s="11" t="s">
        <v>66</v>
      </c>
      <c r="N5460" s="11" t="s">
        <v>69</v>
      </c>
      <c r="O5460" s="11" t="s">
        <v>309</v>
      </c>
      <c r="P5460" s="11" t="s">
        <v>52</v>
      </c>
      <c r="Q5460" s="20">
        <v>40757.0</v>
      </c>
      <c r="R5460" s="17">
        <f t="shared" si="2"/>
        <v>994.8423052</v>
      </c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>
        <f t="shared" si="8"/>
        <v>4</v>
      </c>
      <c r="AF5460" s="19">
        <f t="shared" si="13"/>
        <v>4</v>
      </c>
      <c r="AG5460" s="9"/>
      <c r="AH5460" s="9"/>
      <c r="AI5460" s="9"/>
    </row>
    <row r="5461" ht="15.0" customHeight="1">
      <c r="A5461" s="11">
        <v>5460.0</v>
      </c>
      <c r="B5461" s="12">
        <f t="shared" ref="B5461:B5464" si="870">DATE(2012,12,31)-519</f>
        <v>40755</v>
      </c>
      <c r="C5461" s="13">
        <v>2011.0</v>
      </c>
      <c r="D5461" s="11" t="s">
        <v>32</v>
      </c>
      <c r="E5461" s="11">
        <v>14.0</v>
      </c>
      <c r="F5461" s="21" t="s">
        <v>270</v>
      </c>
      <c r="G5461" s="15">
        <v>0.02824500577843827</v>
      </c>
      <c r="H5461" s="11" t="s">
        <v>33</v>
      </c>
      <c r="I5461" s="16">
        <v>15.991999999999999</v>
      </c>
      <c r="J5461" s="11" t="s">
        <v>857</v>
      </c>
      <c r="K5461" s="11" t="s">
        <v>35</v>
      </c>
      <c r="L5461" s="11" t="s">
        <v>36</v>
      </c>
      <c r="M5461" s="11" t="s">
        <v>28</v>
      </c>
      <c r="N5461" s="11" t="s">
        <v>56</v>
      </c>
      <c r="O5461" s="11" t="s">
        <v>1306</v>
      </c>
      <c r="P5461" s="11" t="s">
        <v>38</v>
      </c>
      <c r="Q5461" s="20">
        <v>40757.0</v>
      </c>
      <c r="R5461" s="17">
        <f t="shared" si="2"/>
        <v>16.62478444</v>
      </c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>
        <f t="shared" si="8"/>
        <v>2</v>
      </c>
      <c r="AF5461" s="19">
        <f t="shared" si="13"/>
        <v>2</v>
      </c>
      <c r="AG5461" s="9"/>
      <c r="AH5461" s="9"/>
      <c r="AI5461" s="9"/>
    </row>
    <row r="5462" ht="15.0" customHeight="1">
      <c r="A5462" s="11">
        <v>5461.0</v>
      </c>
      <c r="B5462" s="12">
        <f t="shared" si="870"/>
        <v>40755</v>
      </c>
      <c r="C5462" s="13">
        <v>2011.0</v>
      </c>
      <c r="D5462" s="11" t="s">
        <v>32</v>
      </c>
      <c r="E5462" s="11">
        <v>31.0</v>
      </c>
      <c r="F5462" s="21" t="s">
        <v>1435</v>
      </c>
      <c r="G5462" s="15">
        <v>0.10308788598574829</v>
      </c>
      <c r="H5462" s="11" t="s">
        <v>33</v>
      </c>
      <c r="I5462" s="16">
        <v>0.5599999999999999</v>
      </c>
      <c r="J5462" s="11" t="s">
        <v>857</v>
      </c>
      <c r="K5462" s="11" t="s">
        <v>35</v>
      </c>
      <c r="L5462" s="11" t="s">
        <v>36</v>
      </c>
      <c r="M5462" s="11" t="s">
        <v>28</v>
      </c>
      <c r="N5462" s="11" t="s">
        <v>216</v>
      </c>
      <c r="O5462" s="11" t="s">
        <v>1436</v>
      </c>
      <c r="P5462" s="11" t="s">
        <v>58</v>
      </c>
      <c r="Q5462" s="20">
        <v>40758.0</v>
      </c>
      <c r="R5462" s="17">
        <f t="shared" si="2"/>
        <v>3.892598575</v>
      </c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>
        <f t="shared" si="8"/>
        <v>2</v>
      </c>
      <c r="AF5462" s="19">
        <f t="shared" si="13"/>
        <v>2</v>
      </c>
      <c r="AG5462" s="9"/>
      <c r="AH5462" s="9"/>
      <c r="AI5462" s="9"/>
    </row>
    <row r="5463" ht="15.0" customHeight="1">
      <c r="A5463" s="11">
        <v>5462.0</v>
      </c>
      <c r="B5463" s="12">
        <f t="shared" si="870"/>
        <v>40755</v>
      </c>
      <c r="C5463" s="13">
        <v>2011.0</v>
      </c>
      <c r="D5463" s="11" t="s">
        <v>32</v>
      </c>
      <c r="E5463" s="11">
        <v>20.0</v>
      </c>
      <c r="F5463" s="21" t="s">
        <v>486</v>
      </c>
      <c r="G5463" s="15">
        <v>0.07388739946380697</v>
      </c>
      <c r="H5463" s="11" t="s">
        <v>33</v>
      </c>
      <c r="I5463" s="16">
        <v>1.6320000000000001</v>
      </c>
      <c r="J5463" s="11" t="s">
        <v>910</v>
      </c>
      <c r="K5463" s="11" t="s">
        <v>117</v>
      </c>
      <c r="L5463" s="11" t="s">
        <v>48</v>
      </c>
      <c r="M5463" s="11" t="s">
        <v>28</v>
      </c>
      <c r="N5463" s="11" t="s">
        <v>56</v>
      </c>
      <c r="O5463" s="11" t="s">
        <v>1340</v>
      </c>
      <c r="P5463" s="11" t="s">
        <v>58</v>
      </c>
      <c r="Q5463" s="20">
        <v>40758.0</v>
      </c>
      <c r="R5463" s="17">
        <f t="shared" si="2"/>
        <v>7.657098981</v>
      </c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>
        <f t="shared" si="8"/>
        <v>4</v>
      </c>
      <c r="AF5463" s="19" t="b">
        <f t="shared" si="13"/>
        <v>0</v>
      </c>
      <c r="AG5463" s="9"/>
      <c r="AH5463" s="9"/>
      <c r="AI5463" s="9"/>
    </row>
    <row r="5464" ht="15.0" customHeight="1">
      <c r="A5464" s="11">
        <v>5463.0</v>
      </c>
      <c r="B5464" s="12">
        <f t="shared" si="870"/>
        <v>40755</v>
      </c>
      <c r="C5464" s="13">
        <v>2011.0</v>
      </c>
      <c r="D5464" s="11" t="s">
        <v>32</v>
      </c>
      <c r="E5464" s="11">
        <v>19.0</v>
      </c>
      <c r="F5464" s="21" t="s">
        <v>1770</v>
      </c>
      <c r="G5464" s="15">
        <v>0.04241860465116275</v>
      </c>
      <c r="H5464" s="11" t="s">
        <v>33</v>
      </c>
      <c r="I5464" s="16">
        <v>2.608</v>
      </c>
      <c r="J5464" s="11" t="s">
        <v>910</v>
      </c>
      <c r="K5464" s="11" t="s">
        <v>117</v>
      </c>
      <c r="L5464" s="11" t="s">
        <v>48</v>
      </c>
      <c r="M5464" s="11" t="s">
        <v>28</v>
      </c>
      <c r="N5464" s="11" t="s">
        <v>442</v>
      </c>
      <c r="O5464" s="11" t="s">
        <v>1771</v>
      </c>
      <c r="P5464" s="11" t="s">
        <v>99</v>
      </c>
      <c r="Q5464" s="20">
        <v>40758.0</v>
      </c>
      <c r="R5464" s="17">
        <f t="shared" si="2"/>
        <v>13.97302772</v>
      </c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>
        <f t="shared" si="8"/>
        <v>4</v>
      </c>
      <c r="AF5464" s="19" t="b">
        <f t="shared" si="13"/>
        <v>0</v>
      </c>
      <c r="AG5464" s="9"/>
      <c r="AH5464" s="9"/>
      <c r="AI5464" s="9"/>
    </row>
    <row r="5465" ht="15.0" customHeight="1">
      <c r="A5465" s="11">
        <v>5464.0</v>
      </c>
      <c r="B5465" s="12">
        <f t="shared" ref="B5465:B5466" si="871">DATE(2012,12,31)-518</f>
        <v>40756</v>
      </c>
      <c r="C5465" s="13">
        <v>2011.0</v>
      </c>
      <c r="D5465" s="11" t="s">
        <v>39</v>
      </c>
      <c r="E5465" s="11">
        <v>38.0</v>
      </c>
      <c r="F5465" s="21" t="s">
        <v>135</v>
      </c>
      <c r="G5465" s="15">
        <v>0.035068078668683784</v>
      </c>
      <c r="H5465" s="11" t="s">
        <v>24</v>
      </c>
      <c r="I5465" s="16">
        <v>4.328</v>
      </c>
      <c r="J5465" s="11" t="s">
        <v>345</v>
      </c>
      <c r="K5465" s="11" t="s">
        <v>65</v>
      </c>
      <c r="L5465" s="11" t="s">
        <v>27</v>
      </c>
      <c r="M5465" s="11" t="s">
        <v>28</v>
      </c>
      <c r="N5465" s="11" t="s">
        <v>56</v>
      </c>
      <c r="O5465" s="11" t="s">
        <v>1271</v>
      </c>
      <c r="P5465" s="11" t="s">
        <v>38</v>
      </c>
      <c r="Q5465" s="20">
        <v>40758.0</v>
      </c>
      <c r="R5465" s="17">
        <f t="shared" si="2"/>
        <v>8.946848775</v>
      </c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>
        <f t="shared" si="8"/>
        <v>1</v>
      </c>
      <c r="AF5465" s="19">
        <f t="shared" si="13"/>
        <v>5</v>
      </c>
      <c r="AG5465" s="9"/>
      <c r="AH5465" s="9"/>
      <c r="AI5465" s="9"/>
    </row>
    <row r="5466" ht="15.0" customHeight="1">
      <c r="A5466" s="11">
        <v>5465.0</v>
      </c>
      <c r="B5466" s="12">
        <f t="shared" si="871"/>
        <v>40756</v>
      </c>
      <c r="C5466" s="13">
        <v>2011.0</v>
      </c>
      <c r="D5466" s="11" t="s">
        <v>44</v>
      </c>
      <c r="E5466" s="11">
        <v>36.0</v>
      </c>
      <c r="F5466" s="21" t="s">
        <v>1416</v>
      </c>
      <c r="G5466" s="15">
        <v>0.05895620022753124</v>
      </c>
      <c r="H5466" s="11" t="s">
        <v>45</v>
      </c>
      <c r="I5466" s="16">
        <v>41.536</v>
      </c>
      <c r="J5466" s="11" t="s">
        <v>1221</v>
      </c>
      <c r="K5466" s="11" t="s">
        <v>61</v>
      </c>
      <c r="L5466" s="11" t="s">
        <v>27</v>
      </c>
      <c r="M5466" s="11" t="s">
        <v>49</v>
      </c>
      <c r="N5466" s="11" t="s">
        <v>85</v>
      </c>
      <c r="O5466" s="11" t="s">
        <v>1418</v>
      </c>
      <c r="P5466" s="11" t="s">
        <v>87</v>
      </c>
      <c r="Q5466" s="20">
        <v>40758.0</v>
      </c>
      <c r="R5466" s="17">
        <f t="shared" si="2"/>
        <v>312.1103508</v>
      </c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>
        <f t="shared" si="8"/>
        <v>1</v>
      </c>
      <c r="AF5466" s="19">
        <f t="shared" si="13"/>
        <v>4</v>
      </c>
      <c r="AG5466" s="9"/>
      <c r="AH5466" s="9"/>
      <c r="AI5466" s="9"/>
    </row>
    <row r="5467" ht="15.0" customHeight="1">
      <c r="A5467" s="11">
        <v>5466.0</v>
      </c>
      <c r="B5467" s="12">
        <f t="shared" ref="B5467:B5470" si="872">DATE(2012,12,31)-517</f>
        <v>40757</v>
      </c>
      <c r="C5467" s="13">
        <v>2011.0</v>
      </c>
      <c r="D5467" s="11" t="s">
        <v>39</v>
      </c>
      <c r="E5467" s="11">
        <v>34.0</v>
      </c>
      <c r="F5467" s="21" t="s">
        <v>768</v>
      </c>
      <c r="G5467" s="15">
        <v>0.07491361615566565</v>
      </c>
      <c r="H5467" s="11" t="s">
        <v>45</v>
      </c>
      <c r="I5467" s="16">
        <v>34.016000000000005</v>
      </c>
      <c r="J5467" s="11" t="s">
        <v>945</v>
      </c>
      <c r="K5467" s="11" t="s">
        <v>65</v>
      </c>
      <c r="L5467" s="11" t="s">
        <v>36</v>
      </c>
      <c r="M5467" s="11" t="s">
        <v>28</v>
      </c>
      <c r="N5467" s="11" t="s">
        <v>197</v>
      </c>
      <c r="O5467" s="11" t="s">
        <v>770</v>
      </c>
      <c r="P5467" s="11" t="s">
        <v>52</v>
      </c>
      <c r="Q5467" s="20">
        <v>40759.0</v>
      </c>
      <c r="R5467" s="17">
        <f t="shared" si="2"/>
        <v>752.9130064</v>
      </c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>
        <f t="shared" si="8"/>
        <v>2</v>
      </c>
      <c r="AF5467" s="19">
        <f t="shared" si="13"/>
        <v>5</v>
      </c>
      <c r="AG5467" s="9"/>
      <c r="AH5467" s="9"/>
      <c r="AI5467" s="9"/>
    </row>
    <row r="5468" ht="15.0" customHeight="1">
      <c r="A5468" s="11">
        <v>5467.0</v>
      </c>
      <c r="B5468" s="12">
        <f t="shared" si="872"/>
        <v>40757</v>
      </c>
      <c r="C5468" s="13">
        <v>2011.0</v>
      </c>
      <c r="D5468" s="11" t="s">
        <v>39</v>
      </c>
      <c r="E5468" s="11">
        <v>6.0</v>
      </c>
      <c r="F5468" s="21" t="s">
        <v>1136</v>
      </c>
      <c r="G5468" s="15">
        <v>0.04729729729729749</v>
      </c>
      <c r="H5468" s="11" t="s">
        <v>24</v>
      </c>
      <c r="I5468" s="16">
        <v>3.6</v>
      </c>
      <c r="J5468" s="11" t="s">
        <v>771</v>
      </c>
      <c r="K5468" s="11" t="s">
        <v>61</v>
      </c>
      <c r="L5468" s="11" t="s">
        <v>48</v>
      </c>
      <c r="M5468" s="11" t="s">
        <v>28</v>
      </c>
      <c r="N5468" s="11" t="s">
        <v>197</v>
      </c>
      <c r="O5468" s="11" t="s">
        <v>2555</v>
      </c>
      <c r="P5468" s="11" t="s">
        <v>38</v>
      </c>
      <c r="Q5468" s="20">
        <v>40759.0</v>
      </c>
      <c r="R5468" s="17">
        <f t="shared" si="2"/>
        <v>6.668918919</v>
      </c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>
        <f t="shared" si="8"/>
        <v>4</v>
      </c>
      <c r="AF5468" s="19">
        <f t="shared" si="13"/>
        <v>4</v>
      </c>
      <c r="AG5468" s="9"/>
      <c r="AH5468" s="9"/>
      <c r="AI5468" s="9"/>
    </row>
    <row r="5469" ht="15.0" customHeight="1">
      <c r="A5469" s="11">
        <v>5468.0</v>
      </c>
      <c r="B5469" s="12">
        <f t="shared" si="872"/>
        <v>40757</v>
      </c>
      <c r="C5469" s="13">
        <v>2011.0</v>
      </c>
      <c r="D5469" s="11" t="s">
        <v>39</v>
      </c>
      <c r="E5469" s="11">
        <v>23.0</v>
      </c>
      <c r="F5469" s="21" t="s">
        <v>93</v>
      </c>
      <c r="G5469" s="15">
        <v>0.011217630853994654</v>
      </c>
      <c r="H5469" s="11" t="s">
        <v>33</v>
      </c>
      <c r="I5469" s="16">
        <v>4.664000000000001</v>
      </c>
      <c r="J5469" s="11" t="s">
        <v>395</v>
      </c>
      <c r="K5469" s="11" t="s">
        <v>35</v>
      </c>
      <c r="L5469" s="11" t="s">
        <v>36</v>
      </c>
      <c r="M5469" s="11" t="s">
        <v>28</v>
      </c>
      <c r="N5469" s="11" t="s">
        <v>56</v>
      </c>
      <c r="O5469" s="11" t="s">
        <v>95</v>
      </c>
      <c r="P5469" s="11" t="s">
        <v>58</v>
      </c>
      <c r="Q5469" s="20">
        <v>40759.0</v>
      </c>
      <c r="R5469" s="17">
        <f t="shared" si="2"/>
        <v>2.013160904</v>
      </c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>
        <f t="shared" si="8"/>
        <v>2</v>
      </c>
      <c r="AF5469" s="19">
        <f t="shared" si="13"/>
        <v>2</v>
      </c>
      <c r="AG5469" s="9"/>
      <c r="AH5469" s="9"/>
      <c r="AI5469" s="9"/>
    </row>
    <row r="5470" ht="15.0" customHeight="1">
      <c r="A5470" s="11">
        <v>5469.0</v>
      </c>
      <c r="B5470" s="12">
        <f t="shared" si="872"/>
        <v>40757</v>
      </c>
      <c r="C5470" s="13">
        <v>2011.0</v>
      </c>
      <c r="D5470" s="11" t="s">
        <v>39</v>
      </c>
      <c r="E5470" s="11">
        <v>23.0</v>
      </c>
      <c r="F5470" s="21" t="s">
        <v>758</v>
      </c>
      <c r="G5470" s="15">
        <v>0.0482603815937149</v>
      </c>
      <c r="H5470" s="11" t="s">
        <v>24</v>
      </c>
      <c r="I5470" s="16">
        <v>2.0</v>
      </c>
      <c r="J5470" s="11" t="s">
        <v>2319</v>
      </c>
      <c r="K5470" s="11" t="s">
        <v>61</v>
      </c>
      <c r="L5470" s="11" t="s">
        <v>48</v>
      </c>
      <c r="M5470" s="11" t="s">
        <v>28</v>
      </c>
      <c r="N5470" s="11" t="s">
        <v>236</v>
      </c>
      <c r="O5470" s="11" t="s">
        <v>1171</v>
      </c>
      <c r="P5470" s="11" t="s">
        <v>38</v>
      </c>
      <c r="Q5470" s="20">
        <v>40759.0</v>
      </c>
      <c r="R5470" s="17">
        <f t="shared" si="2"/>
        <v>4.092480359</v>
      </c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>
        <f t="shared" si="8"/>
        <v>4</v>
      </c>
      <c r="AF5470" s="19">
        <f t="shared" si="13"/>
        <v>4</v>
      </c>
      <c r="AG5470" s="9"/>
      <c r="AH5470" s="9"/>
      <c r="AI5470" s="9"/>
    </row>
    <row r="5471" ht="15.0" customHeight="1">
      <c r="A5471" s="11">
        <v>5470.0</v>
      </c>
      <c r="B5471" s="12">
        <f t="shared" ref="B5471:B5475" si="873">DATE(2012,12,31)-516</f>
        <v>40758</v>
      </c>
      <c r="C5471" s="13">
        <v>2011.0</v>
      </c>
      <c r="D5471" s="11" t="s">
        <v>44</v>
      </c>
      <c r="E5471" s="11">
        <v>10.0</v>
      </c>
      <c r="F5471" s="21" t="s">
        <v>2467</v>
      </c>
      <c r="G5471" s="15">
        <v>0.06849555831502539</v>
      </c>
      <c r="H5471" s="11" t="s">
        <v>33</v>
      </c>
      <c r="I5471" s="16">
        <v>11.192</v>
      </c>
      <c r="J5471" s="11" t="s">
        <v>488</v>
      </c>
      <c r="K5471" s="11" t="s">
        <v>61</v>
      </c>
      <c r="L5471" s="11" t="s">
        <v>48</v>
      </c>
      <c r="M5471" s="11" t="s">
        <v>66</v>
      </c>
      <c r="N5471" s="11" t="s">
        <v>69</v>
      </c>
      <c r="O5471" s="11" t="s">
        <v>2468</v>
      </c>
      <c r="P5471" s="11" t="s">
        <v>75</v>
      </c>
      <c r="Q5471" s="20">
        <v>40759.0</v>
      </c>
      <c r="R5471" s="17">
        <f t="shared" si="2"/>
        <v>66.7963205</v>
      </c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>
        <f t="shared" si="8"/>
        <v>4</v>
      </c>
      <c r="AF5471" s="19">
        <f t="shared" si="13"/>
        <v>4</v>
      </c>
      <c r="AG5471" s="9"/>
      <c r="AH5471" s="9"/>
      <c r="AI5471" s="9"/>
    </row>
    <row r="5472" ht="15.0" customHeight="1">
      <c r="A5472" s="11">
        <v>5471.0</v>
      </c>
      <c r="B5472" s="12">
        <f t="shared" si="873"/>
        <v>40758</v>
      </c>
      <c r="C5472" s="13">
        <v>2011.0</v>
      </c>
      <c r="D5472" s="11" t="s">
        <v>23</v>
      </c>
      <c r="E5472" s="11">
        <v>48.0</v>
      </c>
      <c r="F5472" s="21" t="s">
        <v>126</v>
      </c>
      <c r="G5472" s="15">
        <v>0.057293885601577804</v>
      </c>
      <c r="H5472" s="11" t="s">
        <v>33</v>
      </c>
      <c r="I5472" s="16">
        <v>3.776</v>
      </c>
      <c r="J5472" s="11" t="s">
        <v>2401</v>
      </c>
      <c r="K5472" s="11" t="s">
        <v>61</v>
      </c>
      <c r="L5472" s="11" t="s">
        <v>41</v>
      </c>
      <c r="M5472" s="11" t="s">
        <v>28</v>
      </c>
      <c r="N5472" s="11" t="s">
        <v>56</v>
      </c>
      <c r="O5472" s="11" t="s">
        <v>1299</v>
      </c>
      <c r="P5472" s="11" t="s">
        <v>38</v>
      </c>
      <c r="Q5472" s="20">
        <v>40760.0</v>
      </c>
      <c r="R5472" s="17">
        <f t="shared" si="2"/>
        <v>13.69186361</v>
      </c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>
        <f t="shared" si="8"/>
        <v>3</v>
      </c>
      <c r="AF5472" s="19">
        <f t="shared" si="13"/>
        <v>4</v>
      </c>
      <c r="AG5472" s="9"/>
      <c r="AH5472" s="9"/>
      <c r="AI5472" s="9"/>
    </row>
    <row r="5473" ht="15.0" customHeight="1">
      <c r="A5473" s="11">
        <v>5472.0</v>
      </c>
      <c r="B5473" s="12">
        <f t="shared" si="873"/>
        <v>40758</v>
      </c>
      <c r="C5473" s="13">
        <v>2011.0</v>
      </c>
      <c r="D5473" s="11" t="s">
        <v>23</v>
      </c>
      <c r="E5473" s="11">
        <v>47.0</v>
      </c>
      <c r="F5473" s="21" t="s">
        <v>333</v>
      </c>
      <c r="G5473" s="15">
        <v>0.052262975778546855</v>
      </c>
      <c r="H5473" s="11" t="s">
        <v>24</v>
      </c>
      <c r="I5473" s="16">
        <v>0.6480000000000001</v>
      </c>
      <c r="J5473" s="11" t="s">
        <v>2401</v>
      </c>
      <c r="K5473" s="11" t="s">
        <v>61</v>
      </c>
      <c r="L5473" s="11" t="s">
        <v>41</v>
      </c>
      <c r="M5473" s="11" t="s">
        <v>28</v>
      </c>
      <c r="N5473" s="11" t="s">
        <v>62</v>
      </c>
      <c r="O5473" s="11" t="s">
        <v>1910</v>
      </c>
      <c r="P5473" s="11" t="s">
        <v>58</v>
      </c>
      <c r="Q5473" s="20">
        <v>40760.0</v>
      </c>
      <c r="R5473" s="17">
        <f t="shared" si="2"/>
        <v>7.157310007</v>
      </c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>
        <f t="shared" si="8"/>
        <v>3</v>
      </c>
      <c r="AF5473" s="19">
        <f t="shared" si="13"/>
        <v>4</v>
      </c>
      <c r="AG5473" s="9"/>
      <c r="AH5473" s="9"/>
      <c r="AI5473" s="9"/>
    </row>
    <row r="5474" ht="15.0" customHeight="1">
      <c r="A5474" s="11">
        <v>5473.0</v>
      </c>
      <c r="B5474" s="12">
        <f t="shared" si="873"/>
        <v>40758</v>
      </c>
      <c r="C5474" s="13">
        <v>2011.0</v>
      </c>
      <c r="D5474" s="11" t="s">
        <v>39</v>
      </c>
      <c r="E5474" s="11">
        <v>42.0</v>
      </c>
      <c r="F5474" s="21" t="s">
        <v>762</v>
      </c>
      <c r="G5474" s="15">
        <v>0.06574338085539722</v>
      </c>
      <c r="H5474" s="11" t="s">
        <v>33</v>
      </c>
      <c r="I5474" s="16">
        <v>4.792000000000001</v>
      </c>
      <c r="J5474" s="11" t="s">
        <v>1685</v>
      </c>
      <c r="K5474" s="11" t="s">
        <v>61</v>
      </c>
      <c r="L5474" s="11" t="s">
        <v>41</v>
      </c>
      <c r="M5474" s="11" t="s">
        <v>66</v>
      </c>
      <c r="N5474" s="11" t="s">
        <v>69</v>
      </c>
      <c r="O5474" s="11" t="s">
        <v>764</v>
      </c>
      <c r="P5474" s="11" t="s">
        <v>75</v>
      </c>
      <c r="Q5474" s="20">
        <v>40760.0</v>
      </c>
      <c r="R5474" s="17">
        <f t="shared" si="2"/>
        <v>33.17358403</v>
      </c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>
        <f t="shared" si="8"/>
        <v>3</v>
      </c>
      <c r="AF5474" s="19">
        <f t="shared" si="13"/>
        <v>4</v>
      </c>
      <c r="AG5474" s="9"/>
      <c r="AH5474" s="9"/>
      <c r="AI5474" s="9"/>
    </row>
    <row r="5475" ht="15.0" customHeight="1">
      <c r="A5475" s="11">
        <v>5474.0</v>
      </c>
      <c r="B5475" s="12">
        <f t="shared" si="873"/>
        <v>40758</v>
      </c>
      <c r="C5475" s="13">
        <v>2011.0</v>
      </c>
      <c r="D5475" s="11" t="s">
        <v>102</v>
      </c>
      <c r="E5475" s="11">
        <v>41.0</v>
      </c>
      <c r="F5475" s="21" t="s">
        <v>573</v>
      </c>
      <c r="G5475" s="15">
        <v>0.03297837712159955</v>
      </c>
      <c r="H5475" s="11" t="s">
        <v>33</v>
      </c>
      <c r="I5475" s="16">
        <v>10.016</v>
      </c>
      <c r="J5475" s="11" t="s">
        <v>928</v>
      </c>
      <c r="K5475" s="11" t="s">
        <v>61</v>
      </c>
      <c r="L5475" s="11" t="s">
        <v>27</v>
      </c>
      <c r="M5475" s="11" t="s">
        <v>49</v>
      </c>
      <c r="N5475" s="11" t="s">
        <v>73</v>
      </c>
      <c r="O5475" s="11" t="s">
        <v>575</v>
      </c>
      <c r="P5475" s="11" t="s">
        <v>38</v>
      </c>
      <c r="Q5475" s="20">
        <v>40761.0</v>
      </c>
      <c r="R5475" s="17">
        <f t="shared" si="2"/>
        <v>13.7162347</v>
      </c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>
        <f t="shared" si="8"/>
        <v>1</v>
      </c>
      <c r="AF5475" s="19">
        <f t="shared" si="13"/>
        <v>4</v>
      </c>
      <c r="AG5475" s="9"/>
      <c r="AH5475" s="9"/>
      <c r="AI5475" s="9"/>
    </row>
    <row r="5476" ht="15.0" customHeight="1">
      <c r="A5476" s="11">
        <v>5475.0</v>
      </c>
      <c r="B5476" s="12">
        <f t="shared" ref="B5476:B5479" si="874">DATE(2012,12,31)-515</f>
        <v>40759</v>
      </c>
      <c r="C5476" s="13">
        <v>2011.0</v>
      </c>
      <c r="D5476" s="11" t="s">
        <v>23</v>
      </c>
      <c r="E5476" s="11">
        <v>41.0</v>
      </c>
      <c r="F5476" s="21" t="s">
        <v>333</v>
      </c>
      <c r="G5476" s="15">
        <v>0.03415657788539155</v>
      </c>
      <c r="H5476" s="11" t="s">
        <v>24</v>
      </c>
      <c r="I5476" s="16">
        <v>0.768</v>
      </c>
      <c r="J5476" s="11" t="s">
        <v>581</v>
      </c>
      <c r="K5476" s="11" t="s">
        <v>47</v>
      </c>
      <c r="L5476" s="11" t="s">
        <v>36</v>
      </c>
      <c r="M5476" s="11" t="s">
        <v>28</v>
      </c>
      <c r="N5476" s="11" t="s">
        <v>62</v>
      </c>
      <c r="O5476" s="11" t="s">
        <v>549</v>
      </c>
      <c r="P5476" s="11" t="s">
        <v>58</v>
      </c>
      <c r="Q5476" s="20">
        <v>40761.0</v>
      </c>
      <c r="R5476" s="17">
        <f t="shared" si="2"/>
        <v>4.087449362</v>
      </c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>
        <f t="shared" si="8"/>
        <v>2</v>
      </c>
      <c r="AF5476" s="19">
        <f t="shared" si="13"/>
        <v>3</v>
      </c>
      <c r="AG5476" s="9"/>
      <c r="AH5476" s="9"/>
      <c r="AI5476" s="9"/>
    </row>
    <row r="5477" ht="15.0" customHeight="1">
      <c r="A5477" s="11">
        <v>5476.0</v>
      </c>
      <c r="B5477" s="12">
        <f t="shared" si="874"/>
        <v>40759</v>
      </c>
      <c r="C5477" s="13">
        <v>2011.0</v>
      </c>
      <c r="D5477" s="11" t="s">
        <v>23</v>
      </c>
      <c r="E5477" s="11">
        <v>6.0</v>
      </c>
      <c r="F5477" s="21" t="s">
        <v>119</v>
      </c>
      <c r="G5477" s="15">
        <v>0.08064516129032258</v>
      </c>
      <c r="H5477" s="11" t="s">
        <v>33</v>
      </c>
      <c r="I5477" s="16">
        <v>0.6000000000000001</v>
      </c>
      <c r="J5477" s="11" t="s">
        <v>581</v>
      </c>
      <c r="K5477" s="11" t="s">
        <v>47</v>
      </c>
      <c r="L5477" s="11" t="s">
        <v>36</v>
      </c>
      <c r="M5477" s="11" t="s">
        <v>28</v>
      </c>
      <c r="N5477" s="11" t="s">
        <v>216</v>
      </c>
      <c r="O5477" s="11" t="s">
        <v>339</v>
      </c>
      <c r="P5477" s="11" t="s">
        <v>58</v>
      </c>
      <c r="Q5477" s="20">
        <v>40761.0</v>
      </c>
      <c r="R5477" s="17">
        <f t="shared" si="2"/>
        <v>0.9193548387</v>
      </c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>
        <f t="shared" si="8"/>
        <v>2</v>
      </c>
      <c r="AF5477" s="19">
        <f t="shared" si="13"/>
        <v>3</v>
      </c>
      <c r="AG5477" s="9"/>
      <c r="AH5477" s="9"/>
      <c r="AI5477" s="9"/>
    </row>
    <row r="5478" ht="15.0" customHeight="1">
      <c r="A5478" s="11">
        <v>5477.0</v>
      </c>
      <c r="B5478" s="12">
        <f t="shared" si="874"/>
        <v>40759</v>
      </c>
      <c r="C5478" s="13">
        <v>2011.0</v>
      </c>
      <c r="D5478" s="11" t="s">
        <v>32</v>
      </c>
      <c r="E5478" s="11">
        <v>22.0</v>
      </c>
      <c r="F5478" s="21" t="s">
        <v>476</v>
      </c>
      <c r="G5478" s="15">
        <v>0.08451711310340267</v>
      </c>
      <c r="H5478" s="11" t="s">
        <v>45</v>
      </c>
      <c r="I5478" s="16">
        <v>68.504</v>
      </c>
      <c r="J5478" s="11" t="s">
        <v>597</v>
      </c>
      <c r="K5478" s="11" t="s">
        <v>26</v>
      </c>
      <c r="L5478" s="11" t="s">
        <v>27</v>
      </c>
      <c r="M5478" s="11" t="s">
        <v>49</v>
      </c>
      <c r="N5478" s="11" t="s">
        <v>85</v>
      </c>
      <c r="O5478" s="11" t="s">
        <v>477</v>
      </c>
      <c r="P5478" s="11" t="s">
        <v>87</v>
      </c>
      <c r="Q5478" s="20">
        <v>40761.0</v>
      </c>
      <c r="R5478" s="17">
        <f t="shared" si="2"/>
        <v>705.1012576</v>
      </c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>
        <f t="shared" si="8"/>
        <v>1</v>
      </c>
      <c r="AF5478" s="19">
        <f t="shared" si="13"/>
        <v>1</v>
      </c>
      <c r="AG5478" s="9"/>
      <c r="AH5478" s="9"/>
      <c r="AI5478" s="9"/>
    </row>
    <row r="5479" ht="15.0" customHeight="1">
      <c r="A5479" s="11">
        <v>5478.0</v>
      </c>
      <c r="B5479" s="12">
        <f t="shared" si="874"/>
        <v>40759</v>
      </c>
      <c r="C5479" s="13">
        <v>2011.0</v>
      </c>
      <c r="D5479" s="11" t="s">
        <v>23</v>
      </c>
      <c r="E5479" s="11">
        <v>10.0</v>
      </c>
      <c r="F5479" s="21" t="s">
        <v>328</v>
      </c>
      <c r="G5479" s="15">
        <v>0.05775591552879308</v>
      </c>
      <c r="H5479" s="11" t="s">
        <v>33</v>
      </c>
      <c r="I5479" s="16">
        <v>2.0</v>
      </c>
      <c r="J5479" s="11" t="s">
        <v>340</v>
      </c>
      <c r="K5479" s="11" t="s">
        <v>26</v>
      </c>
      <c r="L5479" s="11" t="s">
        <v>36</v>
      </c>
      <c r="M5479" s="11" t="s">
        <v>66</v>
      </c>
      <c r="N5479" s="11" t="s">
        <v>80</v>
      </c>
      <c r="O5479" s="11" t="s">
        <v>81</v>
      </c>
      <c r="P5479" s="11" t="s">
        <v>38</v>
      </c>
      <c r="Q5479" s="20">
        <v>40761.0</v>
      </c>
      <c r="R5479" s="17">
        <f t="shared" si="2"/>
        <v>64.16682215</v>
      </c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>
        <f t="shared" si="8"/>
        <v>2</v>
      </c>
      <c r="AF5479" s="19">
        <f t="shared" si="13"/>
        <v>1</v>
      </c>
      <c r="AG5479" s="9"/>
      <c r="AH5479" s="9"/>
      <c r="AI5479" s="9"/>
    </row>
    <row r="5480" ht="15.0" customHeight="1">
      <c r="A5480" s="11">
        <v>5479.0</v>
      </c>
      <c r="B5480" s="12">
        <f t="shared" ref="B5480:B5482" si="875">DATE(2012,12,31)-514</f>
        <v>40760</v>
      </c>
      <c r="C5480" s="13">
        <v>2011.0</v>
      </c>
      <c r="D5480" s="11" t="s">
        <v>44</v>
      </c>
      <c r="E5480" s="11">
        <v>42.0</v>
      </c>
      <c r="F5480" s="21" t="s">
        <v>1116</v>
      </c>
      <c r="G5480" s="15">
        <v>0.08352794509402514</v>
      </c>
      <c r="H5480" s="11" t="s">
        <v>33</v>
      </c>
      <c r="I5480" s="16">
        <v>15.991999999999999</v>
      </c>
      <c r="J5480" s="11" t="s">
        <v>181</v>
      </c>
      <c r="K5480" s="11" t="s">
        <v>65</v>
      </c>
      <c r="L5480" s="11" t="s">
        <v>48</v>
      </c>
      <c r="M5480" s="11" t="s">
        <v>28</v>
      </c>
      <c r="N5480" s="11" t="s">
        <v>42</v>
      </c>
      <c r="O5480" s="11" t="s">
        <v>1117</v>
      </c>
      <c r="P5480" s="11" t="s">
        <v>38</v>
      </c>
      <c r="Q5480" s="20">
        <v>40762.0</v>
      </c>
      <c r="R5480" s="17">
        <f t="shared" si="2"/>
        <v>583.3417947</v>
      </c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>
        <f t="shared" si="8"/>
        <v>4</v>
      </c>
      <c r="AF5480" s="19">
        <f t="shared" si="13"/>
        <v>5</v>
      </c>
      <c r="AG5480" s="9"/>
      <c r="AH5480" s="9"/>
      <c r="AI5480" s="9"/>
    </row>
    <row r="5481" ht="15.0" customHeight="1">
      <c r="A5481" s="11">
        <v>5480.0</v>
      </c>
      <c r="B5481" s="12">
        <f t="shared" si="875"/>
        <v>40760</v>
      </c>
      <c r="C5481" s="13">
        <v>2011.0</v>
      </c>
      <c r="D5481" s="11" t="s">
        <v>44</v>
      </c>
      <c r="E5481" s="11">
        <v>13.0</v>
      </c>
      <c r="F5481" s="21" t="s">
        <v>1966</v>
      </c>
      <c r="G5481" s="15">
        <v>0.06288842892435073</v>
      </c>
      <c r="H5481" s="11" t="s">
        <v>45</v>
      </c>
      <c r="I5481" s="16">
        <v>33.312000000000005</v>
      </c>
      <c r="J5481" s="11" t="s">
        <v>181</v>
      </c>
      <c r="K5481" s="11" t="s">
        <v>65</v>
      </c>
      <c r="L5481" s="11" t="s">
        <v>48</v>
      </c>
      <c r="M5481" s="11" t="s">
        <v>49</v>
      </c>
      <c r="N5481" s="11" t="s">
        <v>85</v>
      </c>
      <c r="O5481" s="11" t="s">
        <v>1967</v>
      </c>
      <c r="P5481" s="11" t="s">
        <v>87</v>
      </c>
      <c r="Q5481" s="20">
        <v>40763.0</v>
      </c>
      <c r="R5481" s="17">
        <f t="shared" si="2"/>
        <v>88.26466466</v>
      </c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>
        <f t="shared" si="8"/>
        <v>4</v>
      </c>
      <c r="AF5481" s="19">
        <f t="shared" si="13"/>
        <v>5</v>
      </c>
      <c r="AG5481" s="9"/>
      <c r="AH5481" s="9"/>
      <c r="AI5481" s="9"/>
    </row>
    <row r="5482" ht="15.0" customHeight="1">
      <c r="A5482" s="11">
        <v>5481.0</v>
      </c>
      <c r="B5482" s="12">
        <f t="shared" si="875"/>
        <v>40760</v>
      </c>
      <c r="C5482" s="13">
        <v>2011.0</v>
      </c>
      <c r="D5482" s="11" t="s">
        <v>44</v>
      </c>
      <c r="E5482" s="11">
        <v>22.0</v>
      </c>
      <c r="F5482" s="21" t="s">
        <v>151</v>
      </c>
      <c r="G5482" s="15">
        <v>0.0814814814814814</v>
      </c>
      <c r="H5482" s="11" t="s">
        <v>33</v>
      </c>
      <c r="I5482" s="16">
        <v>4.0</v>
      </c>
      <c r="J5482" s="11" t="s">
        <v>636</v>
      </c>
      <c r="K5482" s="11" t="s">
        <v>61</v>
      </c>
      <c r="L5482" s="11" t="s">
        <v>41</v>
      </c>
      <c r="M5482" s="11" t="s">
        <v>28</v>
      </c>
      <c r="N5482" s="11" t="s">
        <v>62</v>
      </c>
      <c r="O5482" s="11" t="s">
        <v>2132</v>
      </c>
      <c r="P5482" s="11" t="s">
        <v>58</v>
      </c>
      <c r="Q5482" s="20">
        <v>40763.0</v>
      </c>
      <c r="R5482" s="17">
        <f t="shared" si="2"/>
        <v>6.062222222</v>
      </c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>
        <f t="shared" si="8"/>
        <v>3</v>
      </c>
      <c r="AF5482" s="19">
        <f t="shared" si="13"/>
        <v>4</v>
      </c>
      <c r="AG5482" s="9"/>
      <c r="AH5482" s="9"/>
      <c r="AI5482" s="9"/>
    </row>
    <row r="5483" ht="15.0" customHeight="1">
      <c r="A5483" s="11">
        <v>5482.0</v>
      </c>
      <c r="B5483" s="12">
        <f t="shared" ref="B5483:B5485" si="876">DATE(2012,12,31)-513</f>
        <v>40761</v>
      </c>
      <c r="C5483" s="13">
        <v>2011.0</v>
      </c>
      <c r="D5483" s="11" t="s">
        <v>44</v>
      </c>
      <c r="E5483" s="11">
        <v>25.0</v>
      </c>
      <c r="F5483" s="21" t="s">
        <v>521</v>
      </c>
      <c r="G5483" s="15">
        <v>0.07660213327983402</v>
      </c>
      <c r="H5483" s="11" t="s">
        <v>45</v>
      </c>
      <c r="I5483" s="16">
        <v>55.712</v>
      </c>
      <c r="J5483" s="11" t="s">
        <v>970</v>
      </c>
      <c r="K5483" s="11" t="s">
        <v>35</v>
      </c>
      <c r="L5483" s="11" t="s">
        <v>36</v>
      </c>
      <c r="M5483" s="11" t="s">
        <v>49</v>
      </c>
      <c r="N5483" s="11" t="s">
        <v>85</v>
      </c>
      <c r="O5483" s="11" t="s">
        <v>522</v>
      </c>
      <c r="P5483" s="11" t="s">
        <v>87</v>
      </c>
      <c r="Q5483" s="20">
        <v>40763.0</v>
      </c>
      <c r="R5483" s="17">
        <f t="shared" si="2"/>
        <v>423.0898218</v>
      </c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>
        <f t="shared" si="8"/>
        <v>2</v>
      </c>
      <c r="AF5483" s="19">
        <f t="shared" si="13"/>
        <v>2</v>
      </c>
      <c r="AG5483" s="9"/>
      <c r="AH5483" s="9"/>
      <c r="AI5483" s="9"/>
    </row>
    <row r="5484" ht="15.0" customHeight="1">
      <c r="A5484" s="11">
        <v>5483.0</v>
      </c>
      <c r="B5484" s="12">
        <f t="shared" si="876"/>
        <v>40761</v>
      </c>
      <c r="C5484" s="13">
        <v>2011.0</v>
      </c>
      <c r="D5484" s="11" t="s">
        <v>23</v>
      </c>
      <c r="E5484" s="11">
        <v>7.0</v>
      </c>
      <c r="F5484" s="21" t="s">
        <v>126</v>
      </c>
      <c r="G5484" s="15">
        <v>0.09890214797136018</v>
      </c>
      <c r="H5484" s="11" t="s">
        <v>33</v>
      </c>
      <c r="I5484" s="16">
        <v>3.4560000000000004</v>
      </c>
      <c r="J5484" s="11" t="s">
        <v>1196</v>
      </c>
      <c r="K5484" s="11" t="s">
        <v>61</v>
      </c>
      <c r="L5484" s="11" t="s">
        <v>41</v>
      </c>
      <c r="M5484" s="11" t="s">
        <v>66</v>
      </c>
      <c r="N5484" s="11" t="s">
        <v>67</v>
      </c>
      <c r="O5484" s="11" t="s">
        <v>2181</v>
      </c>
      <c r="P5484" s="11" t="s">
        <v>99</v>
      </c>
      <c r="Q5484" s="20">
        <v>40763.0</v>
      </c>
      <c r="R5484" s="17">
        <f t="shared" si="2"/>
        <v>3.734149499</v>
      </c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>
        <f t="shared" si="8"/>
        <v>3</v>
      </c>
      <c r="AF5484" s="19">
        <f t="shared" si="13"/>
        <v>4</v>
      </c>
      <c r="AG5484" s="9"/>
      <c r="AH5484" s="9"/>
      <c r="AI5484" s="9"/>
    </row>
    <row r="5485" ht="15.0" customHeight="1">
      <c r="A5485" s="11">
        <v>5484.0</v>
      </c>
      <c r="B5485" s="12">
        <f t="shared" si="876"/>
        <v>40761</v>
      </c>
      <c r="C5485" s="13">
        <v>2011.0</v>
      </c>
      <c r="D5485" s="11" t="s">
        <v>23</v>
      </c>
      <c r="E5485" s="11">
        <v>6.0</v>
      </c>
      <c r="F5485" s="21" t="s">
        <v>413</v>
      </c>
      <c r="G5485" s="15">
        <v>0.10488636363636374</v>
      </c>
      <c r="H5485" s="11" t="s">
        <v>33</v>
      </c>
      <c r="I5485" s="16">
        <v>4.816</v>
      </c>
      <c r="J5485" s="11" t="s">
        <v>1196</v>
      </c>
      <c r="K5485" s="11" t="s">
        <v>61</v>
      </c>
      <c r="L5485" s="11" t="s">
        <v>41</v>
      </c>
      <c r="M5485" s="11" t="s">
        <v>49</v>
      </c>
      <c r="N5485" s="11" t="s">
        <v>73</v>
      </c>
      <c r="O5485" s="11" t="s">
        <v>1102</v>
      </c>
      <c r="P5485" s="11" t="s">
        <v>75</v>
      </c>
      <c r="Q5485" s="20">
        <v>40764.0</v>
      </c>
      <c r="R5485" s="17">
        <f t="shared" si="2"/>
        <v>6.609519091</v>
      </c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>
        <f t="shared" si="8"/>
        <v>3</v>
      </c>
      <c r="AF5485" s="19">
        <f t="shared" si="13"/>
        <v>4</v>
      </c>
      <c r="AG5485" s="9"/>
      <c r="AH5485" s="9"/>
      <c r="AI5485" s="9"/>
    </row>
    <row r="5486" ht="15.0" customHeight="1">
      <c r="A5486" s="11">
        <v>5485.0</v>
      </c>
      <c r="B5486" s="12">
        <f t="shared" ref="B5486:B5491" si="877">DATE(2012,12,31)-512</f>
        <v>40762</v>
      </c>
      <c r="C5486" s="13">
        <v>2011.0</v>
      </c>
      <c r="D5486" s="11" t="s">
        <v>39</v>
      </c>
      <c r="E5486" s="11">
        <v>29.0</v>
      </c>
      <c r="F5486" s="21" t="s">
        <v>2556</v>
      </c>
      <c r="G5486" s="15">
        <v>0.06637085956041681</v>
      </c>
      <c r="H5486" s="11" t="s">
        <v>24</v>
      </c>
      <c r="I5486" s="16">
        <v>2.8800000000000003</v>
      </c>
      <c r="J5486" s="11" t="s">
        <v>2557</v>
      </c>
      <c r="K5486" s="11" t="s">
        <v>61</v>
      </c>
      <c r="L5486" s="11" t="s">
        <v>48</v>
      </c>
      <c r="M5486" s="11" t="s">
        <v>66</v>
      </c>
      <c r="N5486" s="11" t="s">
        <v>67</v>
      </c>
      <c r="O5486" s="11" t="s">
        <v>2558</v>
      </c>
      <c r="P5486" s="11" t="s">
        <v>99</v>
      </c>
      <c r="Q5486" s="20">
        <v>40764.0</v>
      </c>
      <c r="R5486" s="17">
        <f t="shared" si="2"/>
        <v>60.05102631</v>
      </c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>
        <f t="shared" si="8"/>
        <v>4</v>
      </c>
      <c r="AF5486" s="19">
        <f t="shared" si="13"/>
        <v>4</v>
      </c>
      <c r="AG5486" s="9"/>
      <c r="AH5486" s="9"/>
      <c r="AI5486" s="9"/>
    </row>
    <row r="5487" ht="15.0" customHeight="1">
      <c r="A5487" s="11">
        <v>5486.0</v>
      </c>
      <c r="B5487" s="12">
        <f t="shared" si="877"/>
        <v>40762</v>
      </c>
      <c r="C5487" s="13">
        <v>2011.0</v>
      </c>
      <c r="D5487" s="11" t="s">
        <v>39</v>
      </c>
      <c r="E5487" s="11">
        <v>1.0</v>
      </c>
      <c r="F5487" s="21" t="s">
        <v>1559</v>
      </c>
      <c r="G5487" s="15">
        <v>0.10909090909090918</v>
      </c>
      <c r="H5487" s="11" t="s">
        <v>33</v>
      </c>
      <c r="I5487" s="16">
        <v>0.5599999999999999</v>
      </c>
      <c r="J5487" s="11" t="s">
        <v>2557</v>
      </c>
      <c r="K5487" s="11" t="s">
        <v>61</v>
      </c>
      <c r="L5487" s="11" t="s">
        <v>48</v>
      </c>
      <c r="M5487" s="11" t="s">
        <v>28</v>
      </c>
      <c r="N5487" s="11" t="s">
        <v>216</v>
      </c>
      <c r="O5487" s="11" t="s">
        <v>1561</v>
      </c>
      <c r="P5487" s="11" t="s">
        <v>58</v>
      </c>
      <c r="Q5487" s="20">
        <v>40764.0</v>
      </c>
      <c r="R5487" s="17">
        <f t="shared" si="2"/>
        <v>0.2138181818</v>
      </c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>
        <f t="shared" si="8"/>
        <v>4</v>
      </c>
      <c r="AF5487" s="19">
        <f t="shared" si="13"/>
        <v>4</v>
      </c>
      <c r="AG5487" s="9"/>
      <c r="AH5487" s="9"/>
      <c r="AI5487" s="9"/>
    </row>
    <row r="5488" ht="15.0" customHeight="1">
      <c r="A5488" s="11">
        <v>5487.0</v>
      </c>
      <c r="B5488" s="12">
        <f t="shared" si="877"/>
        <v>40762</v>
      </c>
      <c r="C5488" s="13">
        <v>2011.0</v>
      </c>
      <c r="D5488" s="11" t="s">
        <v>44</v>
      </c>
      <c r="E5488" s="11">
        <v>22.0</v>
      </c>
      <c r="F5488" s="21" t="s">
        <v>1244</v>
      </c>
      <c r="G5488" s="15">
        <v>0.020393707114046564</v>
      </c>
      <c r="H5488" s="11" t="s">
        <v>33</v>
      </c>
      <c r="I5488" s="16">
        <v>19.592</v>
      </c>
      <c r="J5488" s="11" t="s">
        <v>1017</v>
      </c>
      <c r="K5488" s="11" t="s">
        <v>117</v>
      </c>
      <c r="L5488" s="11" t="s">
        <v>48</v>
      </c>
      <c r="M5488" s="11" t="s">
        <v>49</v>
      </c>
      <c r="N5488" s="11" t="s">
        <v>50</v>
      </c>
      <c r="O5488" s="11" t="s">
        <v>1246</v>
      </c>
      <c r="P5488" s="11" t="s">
        <v>31</v>
      </c>
      <c r="Q5488" s="20">
        <v>40764.0</v>
      </c>
      <c r="R5488" s="17">
        <f t="shared" si="2"/>
        <v>124.3198754</v>
      </c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>
        <f t="shared" si="8"/>
        <v>4</v>
      </c>
      <c r="AF5488" s="19" t="b">
        <f t="shared" si="13"/>
        <v>0</v>
      </c>
      <c r="AG5488" s="9"/>
      <c r="AH5488" s="9"/>
      <c r="AI5488" s="9"/>
    </row>
    <row r="5489" ht="15.0" customHeight="1">
      <c r="A5489" s="11">
        <v>5488.0</v>
      </c>
      <c r="B5489" s="12">
        <f t="shared" si="877"/>
        <v>40762</v>
      </c>
      <c r="C5489" s="13">
        <v>2011.0</v>
      </c>
      <c r="D5489" s="11" t="s">
        <v>102</v>
      </c>
      <c r="E5489" s="11">
        <v>34.0</v>
      </c>
      <c r="F5489" s="21" t="s">
        <v>1002</v>
      </c>
      <c r="G5489" s="15">
        <v>0.07530308806709878</v>
      </c>
      <c r="H5489" s="11" t="s">
        <v>33</v>
      </c>
      <c r="I5489" s="16">
        <v>1.192</v>
      </c>
      <c r="J5489" s="11" t="s">
        <v>2099</v>
      </c>
      <c r="K5489" s="11" t="s">
        <v>83</v>
      </c>
      <c r="L5489" s="11" t="s">
        <v>48</v>
      </c>
      <c r="M5489" s="11" t="s">
        <v>28</v>
      </c>
      <c r="N5489" s="11" t="s">
        <v>42</v>
      </c>
      <c r="O5489" s="11" t="s">
        <v>1003</v>
      </c>
      <c r="P5489" s="11" t="s">
        <v>38</v>
      </c>
      <c r="Q5489" s="20">
        <v>40764.0</v>
      </c>
      <c r="R5489" s="17">
        <f t="shared" si="2"/>
        <v>73.05845362</v>
      </c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>
        <f t="shared" si="8"/>
        <v>4</v>
      </c>
      <c r="AF5489" s="19" t="b">
        <f t="shared" si="13"/>
        <v>0</v>
      </c>
      <c r="AG5489" s="9"/>
      <c r="AH5489" s="9"/>
      <c r="AI5489" s="9"/>
    </row>
    <row r="5490" ht="15.0" customHeight="1">
      <c r="A5490" s="11">
        <v>5489.0</v>
      </c>
      <c r="B5490" s="12">
        <f t="shared" si="877"/>
        <v>40762</v>
      </c>
      <c r="C5490" s="13">
        <v>2011.0</v>
      </c>
      <c r="D5490" s="11" t="s">
        <v>102</v>
      </c>
      <c r="E5490" s="11">
        <v>17.0</v>
      </c>
      <c r="F5490" s="21" t="s">
        <v>838</v>
      </c>
      <c r="G5490" s="15">
        <v>0.06842082382349739</v>
      </c>
      <c r="H5490" s="11" t="s">
        <v>33</v>
      </c>
      <c r="I5490" s="16">
        <v>15.991999999999999</v>
      </c>
      <c r="J5490" s="11" t="s">
        <v>2099</v>
      </c>
      <c r="K5490" s="11" t="s">
        <v>83</v>
      </c>
      <c r="L5490" s="11" t="s">
        <v>48</v>
      </c>
      <c r="M5490" s="11" t="s">
        <v>66</v>
      </c>
      <c r="N5490" s="11" t="s">
        <v>67</v>
      </c>
      <c r="O5490" s="11" t="s">
        <v>2263</v>
      </c>
      <c r="P5490" s="11" t="s">
        <v>38</v>
      </c>
      <c r="Q5490" s="20">
        <v>40765.0</v>
      </c>
      <c r="R5490" s="17">
        <f t="shared" si="2"/>
        <v>117.2932709</v>
      </c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>
        <f t="shared" si="8"/>
        <v>4</v>
      </c>
      <c r="AF5490" s="19" t="b">
        <f t="shared" si="13"/>
        <v>0</v>
      </c>
      <c r="AG5490" s="9"/>
      <c r="AH5490" s="9"/>
      <c r="AI5490" s="9"/>
    </row>
    <row r="5491" ht="15.0" customHeight="1">
      <c r="A5491" s="11">
        <v>5490.0</v>
      </c>
      <c r="B5491" s="12">
        <f t="shared" si="877"/>
        <v>40762</v>
      </c>
      <c r="C5491" s="13">
        <v>2011.0</v>
      </c>
      <c r="D5491" s="11" t="s">
        <v>32</v>
      </c>
      <c r="E5491" s="11">
        <v>48.0</v>
      </c>
      <c r="F5491" s="21" t="s">
        <v>322</v>
      </c>
      <c r="G5491" s="15">
        <v>0.09138609532138176</v>
      </c>
      <c r="H5491" s="11" t="s">
        <v>33</v>
      </c>
      <c r="I5491" s="16">
        <v>2.8000000000000003</v>
      </c>
      <c r="J5491" s="11" t="s">
        <v>1564</v>
      </c>
      <c r="K5491" s="11" t="s">
        <v>35</v>
      </c>
      <c r="L5491" s="11" t="s">
        <v>36</v>
      </c>
      <c r="M5491" s="11" t="s">
        <v>28</v>
      </c>
      <c r="N5491" s="11" t="s">
        <v>197</v>
      </c>
      <c r="O5491" s="11" t="s">
        <v>2172</v>
      </c>
      <c r="P5491" s="11" t="s">
        <v>38</v>
      </c>
      <c r="Q5491" s="20">
        <v>40765.0</v>
      </c>
      <c r="R5491" s="17">
        <f t="shared" si="2"/>
        <v>37.98006122</v>
      </c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>
        <f t="shared" si="8"/>
        <v>2</v>
      </c>
      <c r="AF5491" s="19">
        <f t="shared" si="13"/>
        <v>2</v>
      </c>
      <c r="AG5491" s="9"/>
      <c r="AH5491" s="9"/>
      <c r="AI5491" s="9"/>
    </row>
    <row r="5492" ht="15.0" customHeight="1">
      <c r="A5492" s="11">
        <v>5491.0</v>
      </c>
      <c r="B5492" s="12">
        <f t="shared" ref="B5492:B5498" si="878">DATE(2012,12,31)-511</f>
        <v>40763</v>
      </c>
      <c r="C5492" s="13">
        <v>2011.0</v>
      </c>
      <c r="D5492" s="11" t="s">
        <v>39</v>
      </c>
      <c r="E5492" s="11">
        <v>35.0</v>
      </c>
      <c r="F5492" s="21" t="s">
        <v>1369</v>
      </c>
      <c r="G5492" s="15">
        <v>0.0883512841756421</v>
      </c>
      <c r="H5492" s="11" t="s">
        <v>33</v>
      </c>
      <c r="I5492" s="16">
        <v>1.536</v>
      </c>
      <c r="J5492" s="11" t="s">
        <v>1858</v>
      </c>
      <c r="K5492" s="11" t="s">
        <v>61</v>
      </c>
      <c r="L5492" s="11" t="s">
        <v>41</v>
      </c>
      <c r="M5492" s="11" t="s">
        <v>28</v>
      </c>
      <c r="N5492" s="11" t="s">
        <v>442</v>
      </c>
      <c r="O5492" s="11" t="s">
        <v>1776</v>
      </c>
      <c r="P5492" s="11" t="s">
        <v>58</v>
      </c>
      <c r="Q5492" s="20">
        <v>40765.0</v>
      </c>
      <c r="R5492" s="17">
        <f t="shared" si="2"/>
        <v>9.721821906</v>
      </c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>
        <f t="shared" si="8"/>
        <v>3</v>
      </c>
      <c r="AF5492" s="19">
        <f t="shared" si="13"/>
        <v>4</v>
      </c>
      <c r="AG5492" s="9"/>
      <c r="AH5492" s="9"/>
      <c r="AI5492" s="9"/>
    </row>
    <row r="5493" ht="15.0" customHeight="1">
      <c r="A5493" s="11">
        <v>5492.0</v>
      </c>
      <c r="B5493" s="12">
        <f t="shared" si="878"/>
        <v>40763</v>
      </c>
      <c r="C5493" s="13">
        <v>2011.0</v>
      </c>
      <c r="D5493" s="11" t="s">
        <v>44</v>
      </c>
      <c r="E5493" s="11">
        <v>49.0</v>
      </c>
      <c r="F5493" s="21" t="s">
        <v>1760</v>
      </c>
      <c r="G5493" s="15">
        <v>0.02065535672786436</v>
      </c>
      <c r="H5493" s="11" t="s">
        <v>24</v>
      </c>
      <c r="I5493" s="16">
        <v>4.912</v>
      </c>
      <c r="J5493" s="11" t="s">
        <v>1374</v>
      </c>
      <c r="K5493" s="11" t="s">
        <v>26</v>
      </c>
      <c r="L5493" s="11" t="s">
        <v>48</v>
      </c>
      <c r="M5493" s="11" t="s">
        <v>28</v>
      </c>
      <c r="N5493" s="11" t="s">
        <v>442</v>
      </c>
      <c r="O5493" s="11" t="s">
        <v>1916</v>
      </c>
      <c r="P5493" s="11" t="s">
        <v>99</v>
      </c>
      <c r="Q5493" s="20">
        <v>40765.0</v>
      </c>
      <c r="R5493" s="17">
        <f t="shared" si="2"/>
        <v>8.704415189</v>
      </c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>
        <f t="shared" si="8"/>
        <v>4</v>
      </c>
      <c r="AF5493" s="19">
        <f t="shared" si="13"/>
        <v>1</v>
      </c>
      <c r="AG5493" s="9"/>
      <c r="AH5493" s="9"/>
      <c r="AI5493" s="9"/>
    </row>
    <row r="5494" ht="15.0" customHeight="1">
      <c r="A5494" s="11">
        <v>5493.0</v>
      </c>
      <c r="B5494" s="12">
        <f t="shared" si="878"/>
        <v>40763</v>
      </c>
      <c r="C5494" s="13">
        <v>2011.0</v>
      </c>
      <c r="D5494" s="11" t="s">
        <v>44</v>
      </c>
      <c r="E5494" s="11">
        <v>30.0</v>
      </c>
      <c r="F5494" s="21" t="s">
        <v>1523</v>
      </c>
      <c r="G5494" s="15">
        <v>0.08637727545509093</v>
      </c>
      <c r="H5494" s="11" t="s">
        <v>33</v>
      </c>
      <c r="I5494" s="16">
        <v>6.720000000000001</v>
      </c>
      <c r="J5494" s="11" t="s">
        <v>485</v>
      </c>
      <c r="K5494" s="11" t="s">
        <v>47</v>
      </c>
      <c r="L5494" s="11" t="s">
        <v>48</v>
      </c>
      <c r="M5494" s="11" t="s">
        <v>28</v>
      </c>
      <c r="N5494" s="11" t="s">
        <v>42</v>
      </c>
      <c r="O5494" s="11" t="s">
        <v>1525</v>
      </c>
      <c r="P5494" s="11" t="s">
        <v>38</v>
      </c>
      <c r="Q5494" s="20">
        <v>40765.0</v>
      </c>
      <c r="R5494" s="17">
        <f t="shared" si="2"/>
        <v>39.45022925</v>
      </c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>
        <f t="shared" si="8"/>
        <v>4</v>
      </c>
      <c r="AF5494" s="19">
        <f t="shared" si="13"/>
        <v>3</v>
      </c>
      <c r="AG5494" s="9"/>
      <c r="AH5494" s="9"/>
      <c r="AI5494" s="9"/>
    </row>
    <row r="5495" ht="15.0" customHeight="1">
      <c r="A5495" s="11">
        <v>5494.0</v>
      </c>
      <c r="B5495" s="12">
        <f t="shared" si="878"/>
        <v>40763</v>
      </c>
      <c r="C5495" s="13">
        <v>2011.0</v>
      </c>
      <c r="D5495" s="11" t="s">
        <v>44</v>
      </c>
      <c r="E5495" s="11">
        <v>22.0</v>
      </c>
      <c r="F5495" s="21" t="s">
        <v>115</v>
      </c>
      <c r="G5495" s="15">
        <v>0.03040825971570865</v>
      </c>
      <c r="H5495" s="11" t="s">
        <v>33</v>
      </c>
      <c r="I5495" s="16">
        <v>7.256</v>
      </c>
      <c r="J5495" s="11" t="s">
        <v>485</v>
      </c>
      <c r="K5495" s="11" t="s">
        <v>47</v>
      </c>
      <c r="L5495" s="11" t="s">
        <v>48</v>
      </c>
      <c r="M5495" s="11" t="s">
        <v>28</v>
      </c>
      <c r="N5495" s="11" t="s">
        <v>42</v>
      </c>
      <c r="O5495" s="11" t="s">
        <v>772</v>
      </c>
      <c r="P5495" s="11" t="s">
        <v>38</v>
      </c>
      <c r="Q5495" s="20">
        <v>40765.0</v>
      </c>
      <c r="R5495" s="17">
        <f t="shared" si="2"/>
        <v>81.10053152</v>
      </c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>
        <f t="shared" si="8"/>
        <v>4</v>
      </c>
      <c r="AF5495" s="19">
        <f t="shared" si="13"/>
        <v>3</v>
      </c>
      <c r="AG5495" s="9"/>
      <c r="AH5495" s="9"/>
      <c r="AI5495" s="9"/>
    </row>
    <row r="5496" ht="15.0" customHeight="1">
      <c r="A5496" s="11">
        <v>5495.0</v>
      </c>
      <c r="B5496" s="12">
        <f t="shared" si="878"/>
        <v>40763</v>
      </c>
      <c r="C5496" s="13">
        <v>2011.0</v>
      </c>
      <c r="D5496" s="11" t="s">
        <v>23</v>
      </c>
      <c r="E5496" s="11">
        <v>12.0</v>
      </c>
      <c r="F5496" s="21" t="s">
        <v>350</v>
      </c>
      <c r="G5496" s="15">
        <v>0.0792447830407419</v>
      </c>
      <c r="H5496" s="11" t="s">
        <v>33</v>
      </c>
      <c r="I5496" s="16">
        <v>4.376</v>
      </c>
      <c r="J5496" s="11" t="s">
        <v>1212</v>
      </c>
      <c r="K5496" s="11" t="s">
        <v>117</v>
      </c>
      <c r="L5496" s="11" t="s">
        <v>27</v>
      </c>
      <c r="M5496" s="11" t="s">
        <v>28</v>
      </c>
      <c r="N5496" s="11" t="s">
        <v>56</v>
      </c>
      <c r="O5496" s="11" t="s">
        <v>2087</v>
      </c>
      <c r="P5496" s="11" t="s">
        <v>38</v>
      </c>
      <c r="Q5496" s="20">
        <v>40766.0</v>
      </c>
      <c r="R5496" s="17">
        <f t="shared" si="2"/>
        <v>22.02814781</v>
      </c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>
        <f t="shared" si="8"/>
        <v>1</v>
      </c>
      <c r="AF5496" s="19" t="b">
        <f t="shared" si="13"/>
        <v>0</v>
      </c>
      <c r="AG5496" s="9"/>
      <c r="AH5496" s="9"/>
      <c r="AI5496" s="9"/>
    </row>
    <row r="5497" ht="15.0" customHeight="1">
      <c r="A5497" s="11">
        <v>5496.0</v>
      </c>
      <c r="B5497" s="12">
        <f t="shared" si="878"/>
        <v>40763</v>
      </c>
      <c r="C5497" s="13">
        <v>2011.0</v>
      </c>
      <c r="D5497" s="11" t="s">
        <v>23</v>
      </c>
      <c r="E5497" s="11">
        <v>20.0</v>
      </c>
      <c r="F5497" s="21" t="s">
        <v>1219</v>
      </c>
      <c r="G5497" s="15">
        <v>0.0855152546811575</v>
      </c>
      <c r="H5497" s="11" t="s">
        <v>24</v>
      </c>
      <c r="I5497" s="16">
        <v>4.392</v>
      </c>
      <c r="J5497" s="11" t="s">
        <v>1212</v>
      </c>
      <c r="K5497" s="11" t="s">
        <v>117</v>
      </c>
      <c r="L5497" s="11" t="s">
        <v>27</v>
      </c>
      <c r="M5497" s="11" t="s">
        <v>28</v>
      </c>
      <c r="N5497" s="11" t="s">
        <v>29</v>
      </c>
      <c r="O5497" s="11" t="s">
        <v>1220</v>
      </c>
      <c r="P5497" s="11" t="s">
        <v>38</v>
      </c>
      <c r="Q5497" s="20">
        <v>40766.0</v>
      </c>
      <c r="R5497" s="17">
        <f t="shared" si="2"/>
        <v>59.72316975</v>
      </c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>
        <f t="shared" si="8"/>
        <v>1</v>
      </c>
      <c r="AF5497" s="19" t="b">
        <f t="shared" si="13"/>
        <v>0</v>
      </c>
      <c r="AG5497" s="9"/>
      <c r="AH5497" s="9"/>
      <c r="AI5497" s="9"/>
    </row>
    <row r="5498" ht="15.0" customHeight="1">
      <c r="A5498" s="11">
        <v>5497.0</v>
      </c>
      <c r="B5498" s="12">
        <f t="shared" si="878"/>
        <v>40763</v>
      </c>
      <c r="C5498" s="13">
        <v>2011.0</v>
      </c>
      <c r="D5498" s="11" t="s">
        <v>32</v>
      </c>
      <c r="E5498" s="11">
        <v>43.0</v>
      </c>
      <c r="F5498" s="21" t="s">
        <v>270</v>
      </c>
      <c r="G5498" s="15">
        <v>0.013970408276782727</v>
      </c>
      <c r="H5498" s="11" t="s">
        <v>33</v>
      </c>
      <c r="I5498" s="16">
        <v>13.984000000000002</v>
      </c>
      <c r="J5498" s="11" t="s">
        <v>1410</v>
      </c>
      <c r="K5498" s="11" t="s">
        <v>83</v>
      </c>
      <c r="L5498" s="11" t="s">
        <v>41</v>
      </c>
      <c r="M5498" s="11" t="s">
        <v>28</v>
      </c>
      <c r="N5498" s="11" t="s">
        <v>56</v>
      </c>
      <c r="O5498" s="11" t="s">
        <v>1172</v>
      </c>
      <c r="P5498" s="11" t="s">
        <v>38</v>
      </c>
      <c r="Q5498" s="20">
        <v>40766.0</v>
      </c>
      <c r="R5498" s="17">
        <f t="shared" si="2"/>
        <v>24.76511923</v>
      </c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>
        <f t="shared" si="8"/>
        <v>3</v>
      </c>
      <c r="AF5498" s="19" t="b">
        <f t="shared" si="13"/>
        <v>0</v>
      </c>
      <c r="AG5498" s="9"/>
      <c r="AH5498" s="9"/>
      <c r="AI5498" s="9"/>
    </row>
    <row r="5499" ht="15.0" customHeight="1">
      <c r="A5499" s="11">
        <v>5498.0</v>
      </c>
      <c r="B5499" s="12">
        <f t="shared" ref="B5499:B5504" si="879">DATE(2012,12,31)-510</f>
        <v>40764</v>
      </c>
      <c r="C5499" s="13">
        <v>2011.0</v>
      </c>
      <c r="D5499" s="11" t="s">
        <v>44</v>
      </c>
      <c r="E5499" s="11">
        <v>41.0</v>
      </c>
      <c r="F5499" s="21" t="s">
        <v>1071</v>
      </c>
      <c r="G5499" s="15">
        <v>0.01607668421763199</v>
      </c>
      <c r="H5499" s="11" t="s">
        <v>33</v>
      </c>
      <c r="I5499" s="16">
        <v>7.192</v>
      </c>
      <c r="J5499" s="11" t="s">
        <v>474</v>
      </c>
      <c r="K5499" s="11" t="s">
        <v>65</v>
      </c>
      <c r="L5499" s="11" t="s">
        <v>36</v>
      </c>
      <c r="M5499" s="11" t="s">
        <v>49</v>
      </c>
      <c r="N5499" s="11" t="s">
        <v>73</v>
      </c>
      <c r="O5499" s="11" t="s">
        <v>1073</v>
      </c>
      <c r="P5499" s="11" t="s">
        <v>99</v>
      </c>
      <c r="Q5499" s="20">
        <v>40766.0</v>
      </c>
      <c r="R5499" s="17">
        <f t="shared" si="2"/>
        <v>11.71655884</v>
      </c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>
        <f t="shared" si="8"/>
        <v>2</v>
      </c>
      <c r="AF5499" s="19">
        <f t="shared" si="13"/>
        <v>5</v>
      </c>
      <c r="AG5499" s="9"/>
      <c r="AH5499" s="9"/>
      <c r="AI5499" s="9"/>
    </row>
    <row r="5500" ht="15.0" customHeight="1">
      <c r="A5500" s="11">
        <v>5499.0</v>
      </c>
      <c r="B5500" s="12">
        <f t="shared" si="879"/>
        <v>40764</v>
      </c>
      <c r="C5500" s="13">
        <v>2011.0</v>
      </c>
      <c r="D5500" s="11" t="s">
        <v>23</v>
      </c>
      <c r="E5500" s="11">
        <v>3.0</v>
      </c>
      <c r="F5500" s="21" t="s">
        <v>333</v>
      </c>
      <c r="G5500" s="15">
        <v>0.08587155963302767</v>
      </c>
      <c r="H5500" s="11" t="s">
        <v>33</v>
      </c>
      <c r="I5500" s="16">
        <v>1.2640000000000002</v>
      </c>
      <c r="J5500" s="11" t="s">
        <v>876</v>
      </c>
      <c r="K5500" s="11" t="s">
        <v>35</v>
      </c>
      <c r="L5500" s="11" t="s">
        <v>36</v>
      </c>
      <c r="M5500" s="11" t="s">
        <v>28</v>
      </c>
      <c r="N5500" s="11" t="s">
        <v>216</v>
      </c>
      <c r="O5500" s="11" t="s">
        <v>643</v>
      </c>
      <c r="P5500" s="11" t="s">
        <v>58</v>
      </c>
      <c r="Q5500" s="20">
        <v>40766.0</v>
      </c>
      <c r="R5500" s="17">
        <f t="shared" si="2"/>
        <v>0.8556242202</v>
      </c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>
        <f t="shared" si="8"/>
        <v>2</v>
      </c>
      <c r="AF5500" s="19">
        <f t="shared" si="13"/>
        <v>2</v>
      </c>
      <c r="AG5500" s="9"/>
      <c r="AH5500" s="9"/>
      <c r="AI5500" s="9"/>
    </row>
    <row r="5501" ht="15.0" customHeight="1">
      <c r="A5501" s="11">
        <v>5500.0</v>
      </c>
      <c r="B5501" s="12">
        <f t="shared" si="879"/>
        <v>40764</v>
      </c>
      <c r="C5501" s="13">
        <v>2011.0</v>
      </c>
      <c r="D5501" s="11" t="s">
        <v>23</v>
      </c>
      <c r="E5501" s="11">
        <v>2.0</v>
      </c>
      <c r="F5501" s="21" t="s">
        <v>336</v>
      </c>
      <c r="G5501" s="15">
        <v>0.10650000000000004</v>
      </c>
      <c r="H5501" s="11" t="s">
        <v>33</v>
      </c>
      <c r="I5501" s="16">
        <v>2.696</v>
      </c>
      <c r="J5501" s="11" t="s">
        <v>876</v>
      </c>
      <c r="K5501" s="11" t="s">
        <v>35</v>
      </c>
      <c r="L5501" s="11" t="s">
        <v>36</v>
      </c>
      <c r="M5501" s="11" t="s">
        <v>28</v>
      </c>
      <c r="N5501" s="11" t="s">
        <v>216</v>
      </c>
      <c r="O5501" s="11" t="s">
        <v>557</v>
      </c>
      <c r="P5501" s="11" t="s">
        <v>58</v>
      </c>
      <c r="Q5501" s="20">
        <v>40766.0</v>
      </c>
      <c r="R5501" s="17">
        <f t="shared" si="2"/>
        <v>1.522524</v>
      </c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>
        <f t="shared" si="8"/>
        <v>2</v>
      </c>
      <c r="AF5501" s="19">
        <f t="shared" si="13"/>
        <v>2</v>
      </c>
      <c r="AG5501" s="9"/>
      <c r="AH5501" s="9"/>
      <c r="AI5501" s="9"/>
    </row>
    <row r="5502" ht="15.0" customHeight="1">
      <c r="A5502" s="11">
        <v>5501.0</v>
      </c>
      <c r="B5502" s="12">
        <f t="shared" si="879"/>
        <v>40764</v>
      </c>
      <c r="C5502" s="13">
        <v>2011.0</v>
      </c>
      <c r="D5502" s="11" t="s">
        <v>44</v>
      </c>
      <c r="E5502" s="11">
        <v>4.0</v>
      </c>
      <c r="F5502" s="21" t="s">
        <v>126</v>
      </c>
      <c r="G5502" s="15">
        <v>0.057419354838709656</v>
      </c>
      <c r="H5502" s="11" t="s">
        <v>33</v>
      </c>
      <c r="I5502" s="16">
        <v>3.776</v>
      </c>
      <c r="J5502" s="11" t="s">
        <v>892</v>
      </c>
      <c r="K5502" s="11" t="s">
        <v>35</v>
      </c>
      <c r="L5502" s="11" t="s">
        <v>27</v>
      </c>
      <c r="M5502" s="11" t="s">
        <v>28</v>
      </c>
      <c r="N5502" s="11" t="s">
        <v>56</v>
      </c>
      <c r="O5502" s="11" t="s">
        <v>1299</v>
      </c>
      <c r="P5502" s="11" t="s">
        <v>38</v>
      </c>
      <c r="Q5502" s="20">
        <v>40766.0</v>
      </c>
      <c r="R5502" s="17">
        <f t="shared" si="2"/>
        <v>1.342234839</v>
      </c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>
        <f t="shared" si="8"/>
        <v>1</v>
      </c>
      <c r="AF5502" s="19">
        <f t="shared" si="13"/>
        <v>2</v>
      </c>
      <c r="AG5502" s="9"/>
      <c r="AH5502" s="9"/>
      <c r="AI5502" s="9"/>
    </row>
    <row r="5503" ht="15.0" customHeight="1">
      <c r="A5503" s="11">
        <v>5502.0</v>
      </c>
      <c r="B5503" s="12">
        <f t="shared" si="879"/>
        <v>40764</v>
      </c>
      <c r="C5503" s="13">
        <v>2011.0</v>
      </c>
      <c r="D5503" s="11" t="s">
        <v>44</v>
      </c>
      <c r="E5503" s="11">
        <v>17.0</v>
      </c>
      <c r="F5503" s="21" t="s">
        <v>397</v>
      </c>
      <c r="G5503" s="15">
        <v>0.04576546690993529</v>
      </c>
      <c r="H5503" s="11" t="s">
        <v>45</v>
      </c>
      <c r="I5503" s="16">
        <v>36.408</v>
      </c>
      <c r="J5503" s="11" t="s">
        <v>892</v>
      </c>
      <c r="K5503" s="11" t="s">
        <v>35</v>
      </c>
      <c r="L5503" s="11" t="s">
        <v>27</v>
      </c>
      <c r="M5503" s="11" t="s">
        <v>49</v>
      </c>
      <c r="N5503" s="11" t="s">
        <v>85</v>
      </c>
      <c r="O5503" s="11" t="s">
        <v>399</v>
      </c>
      <c r="P5503" s="11" t="s">
        <v>87</v>
      </c>
      <c r="Q5503" s="20">
        <v>40766.0</v>
      </c>
      <c r="R5503" s="17">
        <f t="shared" si="2"/>
        <v>26.32923924</v>
      </c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>
        <f t="shared" si="8"/>
        <v>1</v>
      </c>
      <c r="AF5503" s="19">
        <f t="shared" si="13"/>
        <v>2</v>
      </c>
      <c r="AG5503" s="9"/>
      <c r="AH5503" s="9"/>
      <c r="AI5503" s="9"/>
    </row>
    <row r="5504" ht="15.0" customHeight="1">
      <c r="A5504" s="11">
        <v>5503.0</v>
      </c>
      <c r="B5504" s="12">
        <f t="shared" si="879"/>
        <v>40764</v>
      </c>
      <c r="C5504" s="13">
        <v>2011.0</v>
      </c>
      <c r="D5504" s="11" t="s">
        <v>39</v>
      </c>
      <c r="E5504" s="11">
        <v>17.0</v>
      </c>
      <c r="F5504" s="21" t="s">
        <v>144</v>
      </c>
      <c r="G5504" s="15">
        <v>0.10507726269315654</v>
      </c>
      <c r="H5504" s="11" t="s">
        <v>33</v>
      </c>
      <c r="I5504" s="16">
        <v>4.84</v>
      </c>
      <c r="J5504" s="11" t="s">
        <v>1245</v>
      </c>
      <c r="K5504" s="11" t="s">
        <v>61</v>
      </c>
      <c r="L5504" s="11" t="s">
        <v>48</v>
      </c>
      <c r="M5504" s="11" t="s">
        <v>28</v>
      </c>
      <c r="N5504" s="11" t="s">
        <v>42</v>
      </c>
      <c r="O5504" s="11" t="s">
        <v>542</v>
      </c>
      <c r="P5504" s="11" t="s">
        <v>38</v>
      </c>
      <c r="Q5504" s="20">
        <v>40767.0</v>
      </c>
      <c r="R5504" s="17">
        <f t="shared" si="2"/>
        <v>4.25983223</v>
      </c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>
        <f t="shared" si="8"/>
        <v>4</v>
      </c>
      <c r="AF5504" s="19">
        <f t="shared" si="13"/>
        <v>4</v>
      </c>
      <c r="AG5504" s="9"/>
      <c r="AH5504" s="9"/>
      <c r="AI5504" s="9"/>
    </row>
    <row r="5505" ht="15.0" customHeight="1">
      <c r="A5505" s="11">
        <v>5504.0</v>
      </c>
      <c r="B5505" s="12">
        <f t="shared" ref="B5505:B5511" si="880">DATE(2012,12,31)-509</f>
        <v>40765</v>
      </c>
      <c r="C5505" s="13">
        <v>2011.0</v>
      </c>
      <c r="D5505" s="11" t="s">
        <v>39</v>
      </c>
      <c r="E5505" s="11">
        <v>23.0</v>
      </c>
      <c r="F5505" s="21" t="s">
        <v>270</v>
      </c>
      <c r="G5505" s="15">
        <v>0.01452964917727422</v>
      </c>
      <c r="H5505" s="11" t="s">
        <v>33</v>
      </c>
      <c r="I5505" s="16">
        <v>11.56</v>
      </c>
      <c r="J5505" s="11" t="s">
        <v>1602</v>
      </c>
      <c r="K5505" s="11" t="s">
        <v>117</v>
      </c>
      <c r="L5505" s="11" t="s">
        <v>36</v>
      </c>
      <c r="M5505" s="11" t="s">
        <v>49</v>
      </c>
      <c r="N5505" s="11" t="s">
        <v>73</v>
      </c>
      <c r="O5505" s="11" t="s">
        <v>2259</v>
      </c>
      <c r="P5505" s="11" t="s">
        <v>31</v>
      </c>
      <c r="Q5505" s="20">
        <v>40767.0</v>
      </c>
      <c r="R5505" s="17">
        <f t="shared" si="2"/>
        <v>13.83600373</v>
      </c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>
        <f t="shared" si="8"/>
        <v>2</v>
      </c>
      <c r="AF5505" s="19" t="b">
        <f t="shared" si="13"/>
        <v>0</v>
      </c>
      <c r="AG5505" s="9"/>
      <c r="AH5505" s="9"/>
      <c r="AI5505" s="9"/>
    </row>
    <row r="5506" ht="15.0" customHeight="1">
      <c r="A5506" s="11">
        <v>5505.0</v>
      </c>
      <c r="B5506" s="12">
        <f t="shared" si="880"/>
        <v>40765</v>
      </c>
      <c r="C5506" s="13">
        <v>2011.0</v>
      </c>
      <c r="D5506" s="11" t="s">
        <v>39</v>
      </c>
      <c r="E5506" s="11">
        <v>17.0</v>
      </c>
      <c r="F5506" s="21" t="s">
        <v>1097</v>
      </c>
      <c r="G5506" s="15">
        <v>0.040508925423837626</v>
      </c>
      <c r="H5506" s="11" t="s">
        <v>45</v>
      </c>
      <c r="I5506" s="16">
        <v>48.0</v>
      </c>
      <c r="J5506" s="11" t="s">
        <v>1602</v>
      </c>
      <c r="K5506" s="11" t="s">
        <v>117</v>
      </c>
      <c r="L5506" s="11" t="s">
        <v>36</v>
      </c>
      <c r="M5506" s="11" t="s">
        <v>49</v>
      </c>
      <c r="N5506" s="11" t="s">
        <v>85</v>
      </c>
      <c r="O5506" s="11" t="s">
        <v>1098</v>
      </c>
      <c r="P5506" s="11" t="s">
        <v>52</v>
      </c>
      <c r="Q5506" s="20">
        <v>40767.0</v>
      </c>
      <c r="R5506" s="17">
        <f t="shared" si="2"/>
        <v>242.5593437</v>
      </c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>
        <f t="shared" si="8"/>
        <v>2</v>
      </c>
      <c r="AF5506" s="19" t="b">
        <f t="shared" si="13"/>
        <v>0</v>
      </c>
      <c r="AG5506" s="9"/>
      <c r="AH5506" s="9"/>
      <c r="AI5506" s="9"/>
    </row>
    <row r="5507" ht="15.0" customHeight="1">
      <c r="A5507" s="11">
        <v>5506.0</v>
      </c>
      <c r="B5507" s="12">
        <f t="shared" si="880"/>
        <v>40765</v>
      </c>
      <c r="C5507" s="13">
        <v>2011.0</v>
      </c>
      <c r="D5507" s="11" t="s">
        <v>32</v>
      </c>
      <c r="E5507" s="11">
        <v>31.0</v>
      </c>
      <c r="F5507" s="21" t="s">
        <v>304</v>
      </c>
      <c r="G5507" s="15">
        <v>0.044553108808290276</v>
      </c>
      <c r="H5507" s="11" t="s">
        <v>33</v>
      </c>
      <c r="I5507" s="16">
        <v>4.184</v>
      </c>
      <c r="J5507" s="11" t="s">
        <v>738</v>
      </c>
      <c r="K5507" s="11" t="s">
        <v>65</v>
      </c>
      <c r="L5507" s="11" t="s">
        <v>48</v>
      </c>
      <c r="M5507" s="11" t="s">
        <v>28</v>
      </c>
      <c r="N5507" s="11" t="s">
        <v>42</v>
      </c>
      <c r="O5507" s="11" t="s">
        <v>2410</v>
      </c>
      <c r="P5507" s="11" t="s">
        <v>38</v>
      </c>
      <c r="Q5507" s="20">
        <v>40767.0</v>
      </c>
      <c r="R5507" s="17">
        <f t="shared" si="2"/>
        <v>26.29007666</v>
      </c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>
        <f t="shared" si="8"/>
        <v>4</v>
      </c>
      <c r="AF5507" s="19">
        <f t="shared" si="13"/>
        <v>5</v>
      </c>
      <c r="AG5507" s="9"/>
      <c r="AH5507" s="9"/>
      <c r="AI5507" s="9"/>
    </row>
    <row r="5508" ht="15.0" customHeight="1">
      <c r="A5508" s="11">
        <v>5507.0</v>
      </c>
      <c r="B5508" s="12">
        <f t="shared" si="880"/>
        <v>40765</v>
      </c>
      <c r="C5508" s="13">
        <v>2011.0</v>
      </c>
      <c r="D5508" s="11" t="s">
        <v>32</v>
      </c>
      <c r="E5508" s="11">
        <v>41.0</v>
      </c>
      <c r="F5508" s="21" t="s">
        <v>1336</v>
      </c>
      <c r="G5508" s="15">
        <v>0.09160159103823366</v>
      </c>
      <c r="H5508" s="11" t="s">
        <v>33</v>
      </c>
      <c r="I5508" s="16">
        <v>14.448</v>
      </c>
      <c r="J5508" s="11" t="s">
        <v>738</v>
      </c>
      <c r="K5508" s="11" t="s">
        <v>65</v>
      </c>
      <c r="L5508" s="11" t="s">
        <v>48</v>
      </c>
      <c r="M5508" s="11" t="s">
        <v>49</v>
      </c>
      <c r="N5508" s="11" t="s">
        <v>50</v>
      </c>
      <c r="O5508" s="11" t="s">
        <v>1337</v>
      </c>
      <c r="P5508" s="11" t="s">
        <v>31</v>
      </c>
      <c r="Q5508" s="20">
        <v>40768.0</v>
      </c>
      <c r="R5508" s="17">
        <f t="shared" si="2"/>
        <v>820.0584805</v>
      </c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>
        <f t="shared" si="8"/>
        <v>4</v>
      </c>
      <c r="AF5508" s="19">
        <f t="shared" si="13"/>
        <v>5</v>
      </c>
      <c r="AG5508" s="9"/>
      <c r="AH5508" s="9"/>
      <c r="AI5508" s="9"/>
    </row>
    <row r="5509" ht="15.0" customHeight="1">
      <c r="A5509" s="11">
        <v>5508.0</v>
      </c>
      <c r="B5509" s="12">
        <f t="shared" si="880"/>
        <v>40765</v>
      </c>
      <c r="C5509" s="13">
        <v>2011.0</v>
      </c>
      <c r="D5509" s="11" t="s">
        <v>32</v>
      </c>
      <c r="E5509" s="11">
        <v>6.0</v>
      </c>
      <c r="F5509" s="21" t="s">
        <v>425</v>
      </c>
      <c r="G5509" s="15">
        <v>0.09358166189111754</v>
      </c>
      <c r="H5509" s="11" t="s">
        <v>33</v>
      </c>
      <c r="I5509" s="16">
        <v>5.336</v>
      </c>
      <c r="J5509" s="11" t="s">
        <v>738</v>
      </c>
      <c r="K5509" s="11" t="s">
        <v>65</v>
      </c>
      <c r="L5509" s="11" t="s">
        <v>48</v>
      </c>
      <c r="M5509" s="11" t="s">
        <v>49</v>
      </c>
      <c r="N5509" s="11" t="s">
        <v>73</v>
      </c>
      <c r="O5509" s="11" t="s">
        <v>2268</v>
      </c>
      <c r="P5509" s="11" t="s">
        <v>99</v>
      </c>
      <c r="Q5509" s="20">
        <v>40768.0</v>
      </c>
      <c r="R5509" s="17">
        <f t="shared" si="2"/>
        <v>11.84144917</v>
      </c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>
        <f t="shared" si="8"/>
        <v>4</v>
      </c>
      <c r="AF5509" s="19">
        <f t="shared" si="13"/>
        <v>5</v>
      </c>
      <c r="AG5509" s="9"/>
      <c r="AH5509" s="9"/>
      <c r="AI5509" s="9"/>
    </row>
    <row r="5510" ht="15.0" customHeight="1">
      <c r="A5510" s="11">
        <v>5509.0</v>
      </c>
      <c r="B5510" s="12">
        <f t="shared" si="880"/>
        <v>40765</v>
      </c>
      <c r="C5510" s="13">
        <v>2011.0</v>
      </c>
      <c r="D5510" s="11" t="s">
        <v>32</v>
      </c>
      <c r="E5510" s="11">
        <v>30.0</v>
      </c>
      <c r="F5510" s="21" t="s">
        <v>144</v>
      </c>
      <c r="G5510" s="15">
        <v>0.03745839636913755</v>
      </c>
      <c r="H5510" s="11" t="s">
        <v>33</v>
      </c>
      <c r="I5510" s="16">
        <v>0.6240000000000001</v>
      </c>
      <c r="J5510" s="11" t="s">
        <v>738</v>
      </c>
      <c r="K5510" s="11" t="s">
        <v>65</v>
      </c>
      <c r="L5510" s="11" t="s">
        <v>48</v>
      </c>
      <c r="M5510" s="11" t="s">
        <v>28</v>
      </c>
      <c r="N5510" s="11" t="s">
        <v>216</v>
      </c>
      <c r="O5510" s="11" t="s">
        <v>341</v>
      </c>
      <c r="P5510" s="11" t="s">
        <v>58</v>
      </c>
      <c r="Q5510" s="20">
        <v>40768.0</v>
      </c>
      <c r="R5510" s="17">
        <f t="shared" si="2"/>
        <v>2.383253011</v>
      </c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>
        <f t="shared" si="8"/>
        <v>4</v>
      </c>
      <c r="AF5510" s="19">
        <f t="shared" si="13"/>
        <v>5</v>
      </c>
      <c r="AG5510" s="9"/>
      <c r="AH5510" s="9"/>
      <c r="AI5510" s="9"/>
    </row>
    <row r="5511" ht="15.0" customHeight="1">
      <c r="A5511" s="11">
        <v>5510.0</v>
      </c>
      <c r="B5511" s="12">
        <f t="shared" si="880"/>
        <v>40765</v>
      </c>
      <c r="C5511" s="13">
        <v>2011.0</v>
      </c>
      <c r="D5511" s="11" t="s">
        <v>32</v>
      </c>
      <c r="E5511" s="11">
        <v>19.0</v>
      </c>
      <c r="F5511" s="21" t="s">
        <v>509</v>
      </c>
      <c r="G5511" s="15">
        <v>0.06890876565295176</v>
      </c>
      <c r="H5511" s="11" t="s">
        <v>33</v>
      </c>
      <c r="I5511" s="16">
        <v>15.991999999999999</v>
      </c>
      <c r="J5511" s="11" t="s">
        <v>904</v>
      </c>
      <c r="K5511" s="11" t="s">
        <v>61</v>
      </c>
      <c r="L5511" s="11" t="s">
        <v>27</v>
      </c>
      <c r="M5511" s="11" t="s">
        <v>49</v>
      </c>
      <c r="N5511" s="11" t="s">
        <v>73</v>
      </c>
      <c r="O5511" s="11" t="s">
        <v>664</v>
      </c>
      <c r="P5511" s="11" t="s">
        <v>38</v>
      </c>
      <c r="Q5511" s="20">
        <v>40768.0</v>
      </c>
      <c r="R5511" s="17">
        <f t="shared" si="2"/>
        <v>104.0103396</v>
      </c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>
        <f t="shared" si="8"/>
        <v>1</v>
      </c>
      <c r="AF5511" s="19">
        <f t="shared" si="13"/>
        <v>4</v>
      </c>
      <c r="AG5511" s="9"/>
      <c r="AH5511" s="9"/>
      <c r="AI5511" s="9"/>
    </row>
    <row r="5512" ht="15.0" customHeight="1">
      <c r="A5512" s="11">
        <v>5511.0</v>
      </c>
      <c r="B5512" s="12">
        <f t="shared" ref="B5512:B5517" si="881">DATE(2012,12,31)-508</f>
        <v>40766</v>
      </c>
      <c r="C5512" s="13">
        <v>2011.0</v>
      </c>
      <c r="D5512" s="11" t="s">
        <v>32</v>
      </c>
      <c r="E5512" s="11">
        <v>30.0</v>
      </c>
      <c r="F5512" s="21" t="s">
        <v>158</v>
      </c>
      <c r="G5512" s="15">
        <v>0.027980295566502496</v>
      </c>
      <c r="H5512" s="11" t="s">
        <v>33</v>
      </c>
      <c r="I5512" s="16">
        <v>5.32</v>
      </c>
      <c r="J5512" s="11" t="s">
        <v>719</v>
      </c>
      <c r="K5512" s="11" t="s">
        <v>61</v>
      </c>
      <c r="L5512" s="11" t="s">
        <v>48</v>
      </c>
      <c r="M5512" s="11" t="s">
        <v>28</v>
      </c>
      <c r="N5512" s="11" t="s">
        <v>56</v>
      </c>
      <c r="O5512" s="11" t="s">
        <v>2282</v>
      </c>
      <c r="P5512" s="11" t="s">
        <v>38</v>
      </c>
      <c r="Q5512" s="20">
        <v>40768.0</v>
      </c>
      <c r="R5512" s="17">
        <f t="shared" si="2"/>
        <v>5.521071921</v>
      </c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>
        <f t="shared" si="8"/>
        <v>4</v>
      </c>
      <c r="AF5512" s="19">
        <f t="shared" si="13"/>
        <v>4</v>
      </c>
      <c r="AG5512" s="9"/>
      <c r="AH5512" s="9"/>
      <c r="AI5512" s="9"/>
    </row>
    <row r="5513" ht="15.0" customHeight="1">
      <c r="A5513" s="11">
        <v>5512.0</v>
      </c>
      <c r="B5513" s="12">
        <f t="shared" si="881"/>
        <v>40766</v>
      </c>
      <c r="C5513" s="13">
        <v>2011.0</v>
      </c>
      <c r="D5513" s="11" t="s">
        <v>32</v>
      </c>
      <c r="E5513" s="11">
        <v>13.0</v>
      </c>
      <c r="F5513" s="21" t="s">
        <v>100</v>
      </c>
      <c r="G5513" s="15">
        <v>0.010698549761983738</v>
      </c>
      <c r="H5513" s="11" t="s">
        <v>33</v>
      </c>
      <c r="I5513" s="16">
        <v>4.208</v>
      </c>
      <c r="J5513" s="11" t="s">
        <v>533</v>
      </c>
      <c r="K5513" s="11" t="s">
        <v>35</v>
      </c>
      <c r="L5513" s="11" t="s">
        <v>48</v>
      </c>
      <c r="M5513" s="11" t="s">
        <v>66</v>
      </c>
      <c r="N5513" s="11" t="s">
        <v>80</v>
      </c>
      <c r="O5513" s="11" t="s">
        <v>1810</v>
      </c>
      <c r="P5513" s="11" t="s">
        <v>38</v>
      </c>
      <c r="Q5513" s="20">
        <v>40768.0</v>
      </c>
      <c r="R5513" s="17">
        <f t="shared" si="2"/>
        <v>28.68182765</v>
      </c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>
        <f t="shared" si="8"/>
        <v>4</v>
      </c>
      <c r="AF5513" s="19">
        <f t="shared" si="13"/>
        <v>2</v>
      </c>
      <c r="AG5513" s="9"/>
      <c r="AH5513" s="9"/>
      <c r="AI5513" s="9"/>
    </row>
    <row r="5514" ht="15.0" customHeight="1">
      <c r="A5514" s="11">
        <v>5513.0</v>
      </c>
      <c r="B5514" s="12">
        <f t="shared" si="881"/>
        <v>40766</v>
      </c>
      <c r="C5514" s="13">
        <v>2011.0</v>
      </c>
      <c r="D5514" s="11" t="s">
        <v>44</v>
      </c>
      <c r="E5514" s="11">
        <v>33.0</v>
      </c>
      <c r="F5514" s="21" t="s">
        <v>471</v>
      </c>
      <c r="G5514" s="15">
        <v>0.06889119889119891</v>
      </c>
      <c r="H5514" s="11" t="s">
        <v>33</v>
      </c>
      <c r="I5514" s="16">
        <v>5.672000000000001</v>
      </c>
      <c r="J5514" s="11" t="s">
        <v>167</v>
      </c>
      <c r="K5514" s="11" t="s">
        <v>26</v>
      </c>
      <c r="L5514" s="11" t="s">
        <v>27</v>
      </c>
      <c r="M5514" s="11" t="s">
        <v>49</v>
      </c>
      <c r="N5514" s="11" t="s">
        <v>73</v>
      </c>
      <c r="O5514" s="11" t="s">
        <v>2559</v>
      </c>
      <c r="P5514" s="11" t="s">
        <v>38</v>
      </c>
      <c r="Q5514" s="20">
        <v>40769.0</v>
      </c>
      <c r="R5514" s="17">
        <f t="shared" si="2"/>
        <v>74.04922073</v>
      </c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>
        <f t="shared" si="8"/>
        <v>1</v>
      </c>
      <c r="AF5514" s="19">
        <f t="shared" si="13"/>
        <v>1</v>
      </c>
      <c r="AG5514" s="9"/>
      <c r="AH5514" s="9"/>
      <c r="AI5514" s="9"/>
    </row>
    <row r="5515" ht="15.0" customHeight="1">
      <c r="A5515" s="11">
        <v>5514.0</v>
      </c>
      <c r="B5515" s="12">
        <f t="shared" si="881"/>
        <v>40766</v>
      </c>
      <c r="C5515" s="13">
        <v>2011.0</v>
      </c>
      <c r="D5515" s="11" t="s">
        <v>39</v>
      </c>
      <c r="E5515" s="11">
        <v>20.0</v>
      </c>
      <c r="F5515" s="21" t="s">
        <v>178</v>
      </c>
      <c r="G5515" s="15">
        <v>0.04926534140017292</v>
      </c>
      <c r="H5515" s="11" t="s">
        <v>33</v>
      </c>
      <c r="I5515" s="16">
        <v>2.0</v>
      </c>
      <c r="J5515" s="11" t="s">
        <v>2293</v>
      </c>
      <c r="K5515" s="11" t="s">
        <v>65</v>
      </c>
      <c r="L5515" s="11" t="s">
        <v>27</v>
      </c>
      <c r="M5515" s="11" t="s">
        <v>66</v>
      </c>
      <c r="N5515" s="11" t="s">
        <v>80</v>
      </c>
      <c r="O5515" s="11" t="s">
        <v>2356</v>
      </c>
      <c r="P5515" s="11" t="s">
        <v>38</v>
      </c>
      <c r="Q5515" s="20">
        <v>40769.0</v>
      </c>
      <c r="R5515" s="17">
        <f t="shared" si="2"/>
        <v>65.03025065</v>
      </c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>
        <f t="shared" si="8"/>
        <v>1</v>
      </c>
      <c r="AF5515" s="19">
        <f t="shared" si="13"/>
        <v>5</v>
      </c>
      <c r="AG5515" s="9"/>
      <c r="AH5515" s="9"/>
      <c r="AI5515" s="9"/>
    </row>
    <row r="5516" ht="15.0" customHeight="1">
      <c r="A5516" s="11">
        <v>5515.0</v>
      </c>
      <c r="B5516" s="12">
        <f t="shared" si="881"/>
        <v>40766</v>
      </c>
      <c r="C5516" s="13">
        <v>2011.0</v>
      </c>
      <c r="D5516" s="11" t="s">
        <v>102</v>
      </c>
      <c r="E5516" s="11">
        <v>23.0</v>
      </c>
      <c r="F5516" s="21" t="s">
        <v>394</v>
      </c>
      <c r="G5516" s="15">
        <v>0.05023326071169205</v>
      </c>
      <c r="H5516" s="11" t="s">
        <v>45</v>
      </c>
      <c r="I5516" s="16">
        <v>28.872000000000003</v>
      </c>
      <c r="J5516" s="11" t="s">
        <v>1594</v>
      </c>
      <c r="K5516" s="11" t="s">
        <v>61</v>
      </c>
      <c r="L5516" s="11" t="s">
        <v>48</v>
      </c>
      <c r="M5516" s="11" t="s">
        <v>49</v>
      </c>
      <c r="N5516" s="11" t="s">
        <v>156</v>
      </c>
      <c r="O5516" s="11" t="s">
        <v>1194</v>
      </c>
      <c r="P5516" s="11" t="s">
        <v>87</v>
      </c>
      <c r="Q5516" s="20">
        <v>40769.0</v>
      </c>
      <c r="R5516" s="17">
        <f t="shared" si="2"/>
        <v>164.2412627</v>
      </c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>
        <f t="shared" si="8"/>
        <v>4</v>
      </c>
      <c r="AF5516" s="19">
        <f t="shared" si="13"/>
        <v>4</v>
      </c>
      <c r="AG5516" s="9"/>
      <c r="AH5516" s="9"/>
      <c r="AI5516" s="9"/>
    </row>
    <row r="5517" ht="15.0" customHeight="1">
      <c r="A5517" s="11">
        <v>5516.0</v>
      </c>
      <c r="B5517" s="12">
        <f t="shared" si="881"/>
        <v>40766</v>
      </c>
      <c r="C5517" s="13">
        <v>2011.0</v>
      </c>
      <c r="D5517" s="11" t="s">
        <v>102</v>
      </c>
      <c r="E5517" s="11">
        <v>28.0</v>
      </c>
      <c r="F5517" s="21" t="s">
        <v>186</v>
      </c>
      <c r="G5517" s="15">
        <v>0.06478964401294507</v>
      </c>
      <c r="H5517" s="11" t="s">
        <v>24</v>
      </c>
      <c r="I5517" s="16">
        <v>0.792</v>
      </c>
      <c r="J5517" s="11" t="s">
        <v>1594</v>
      </c>
      <c r="K5517" s="11" t="s">
        <v>61</v>
      </c>
      <c r="L5517" s="11" t="s">
        <v>48</v>
      </c>
      <c r="M5517" s="11" t="s">
        <v>28</v>
      </c>
      <c r="N5517" s="11" t="s">
        <v>188</v>
      </c>
      <c r="O5517" s="11" t="s">
        <v>189</v>
      </c>
      <c r="P5517" s="11" t="s">
        <v>38</v>
      </c>
      <c r="Q5517" s="20">
        <v>40769.0</v>
      </c>
      <c r="R5517" s="17">
        <f t="shared" si="2"/>
        <v>7.489164531</v>
      </c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>
        <f t="shared" si="8"/>
        <v>4</v>
      </c>
      <c r="AF5517" s="19">
        <f t="shared" si="13"/>
        <v>4</v>
      </c>
      <c r="AG5517" s="9"/>
      <c r="AH5517" s="9"/>
      <c r="AI5517" s="9"/>
    </row>
    <row r="5518" ht="15.0" customHeight="1">
      <c r="A5518" s="11">
        <v>5517.0</v>
      </c>
      <c r="B5518" s="12">
        <f t="shared" ref="B5518:B5520" si="882">DATE(2012,12,31)-507</f>
        <v>40767</v>
      </c>
      <c r="C5518" s="13">
        <v>2011.0</v>
      </c>
      <c r="D5518" s="11" t="s">
        <v>44</v>
      </c>
      <c r="E5518" s="11">
        <v>36.0</v>
      </c>
      <c r="F5518" s="21" t="s">
        <v>440</v>
      </c>
      <c r="G5518" s="15">
        <v>0.06878306878306895</v>
      </c>
      <c r="H5518" s="11" t="s">
        <v>24</v>
      </c>
      <c r="I5518" s="16">
        <v>1.6</v>
      </c>
      <c r="J5518" s="11" t="s">
        <v>2529</v>
      </c>
      <c r="K5518" s="11" t="s">
        <v>26</v>
      </c>
      <c r="L5518" s="11" t="s">
        <v>36</v>
      </c>
      <c r="M5518" s="11" t="s">
        <v>28</v>
      </c>
      <c r="N5518" s="11" t="s">
        <v>56</v>
      </c>
      <c r="O5518" s="11" t="s">
        <v>489</v>
      </c>
      <c r="P5518" s="11" t="s">
        <v>58</v>
      </c>
      <c r="Q5518" s="20">
        <v>40769.0</v>
      </c>
      <c r="R5518" s="17">
        <f t="shared" si="2"/>
        <v>16.94814815</v>
      </c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>
        <f t="shared" si="8"/>
        <v>2</v>
      </c>
      <c r="AF5518" s="19">
        <f t="shared" si="13"/>
        <v>1</v>
      </c>
      <c r="AG5518" s="9"/>
      <c r="AH5518" s="9"/>
      <c r="AI5518" s="9"/>
    </row>
    <row r="5519" ht="15.0" customHeight="1">
      <c r="A5519" s="11">
        <v>5518.0</v>
      </c>
      <c r="B5519" s="12">
        <f t="shared" si="882"/>
        <v>40767</v>
      </c>
      <c r="C5519" s="13">
        <v>2011.0</v>
      </c>
      <c r="D5519" s="11" t="s">
        <v>102</v>
      </c>
      <c r="E5519" s="11">
        <v>48.0</v>
      </c>
      <c r="F5519" s="21" t="s">
        <v>1897</v>
      </c>
      <c r="G5519" s="15">
        <v>0.030406870825019677</v>
      </c>
      <c r="H5519" s="11" t="s">
        <v>45</v>
      </c>
      <c r="I5519" s="16">
        <v>79.2</v>
      </c>
      <c r="J5519" s="11" t="s">
        <v>796</v>
      </c>
      <c r="K5519" s="11" t="s">
        <v>117</v>
      </c>
      <c r="L5519" s="11" t="s">
        <v>48</v>
      </c>
      <c r="M5519" s="11" t="s">
        <v>28</v>
      </c>
      <c r="N5519" s="11" t="s">
        <v>29</v>
      </c>
      <c r="O5519" s="11" t="s">
        <v>1898</v>
      </c>
      <c r="P5519" s="11" t="s">
        <v>52</v>
      </c>
      <c r="Q5519" s="20">
        <v>40770.0</v>
      </c>
      <c r="R5519" s="17">
        <f t="shared" si="2"/>
        <v>543.7478268</v>
      </c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>
        <f t="shared" si="8"/>
        <v>4</v>
      </c>
      <c r="AF5519" s="19" t="b">
        <f t="shared" si="13"/>
        <v>0</v>
      </c>
      <c r="AG5519" s="9"/>
      <c r="AH5519" s="9"/>
      <c r="AI5519" s="9"/>
    </row>
    <row r="5520" ht="15.0" customHeight="1">
      <c r="A5520" s="11">
        <v>5519.0</v>
      </c>
      <c r="B5520" s="12">
        <f t="shared" si="882"/>
        <v>40767</v>
      </c>
      <c r="C5520" s="13">
        <v>2011.0</v>
      </c>
      <c r="D5520" s="11" t="s">
        <v>102</v>
      </c>
      <c r="E5520" s="11">
        <v>16.0</v>
      </c>
      <c r="F5520" s="21" t="s">
        <v>431</v>
      </c>
      <c r="G5520" s="15">
        <v>0.035221394532305106</v>
      </c>
      <c r="H5520" s="11" t="s">
        <v>33</v>
      </c>
      <c r="I5520" s="16">
        <v>11.192</v>
      </c>
      <c r="J5520" s="11" t="s">
        <v>796</v>
      </c>
      <c r="K5520" s="11" t="s">
        <v>117</v>
      </c>
      <c r="L5520" s="11" t="s">
        <v>48</v>
      </c>
      <c r="M5520" s="11" t="s">
        <v>66</v>
      </c>
      <c r="N5520" s="11" t="s">
        <v>80</v>
      </c>
      <c r="O5520" s="11" t="s">
        <v>1589</v>
      </c>
      <c r="P5520" s="11" t="s">
        <v>75</v>
      </c>
      <c r="Q5520" s="20">
        <v>40770.0</v>
      </c>
      <c r="R5520" s="17">
        <f t="shared" si="2"/>
        <v>101.7754599</v>
      </c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>
        <f t="shared" si="8"/>
        <v>4</v>
      </c>
      <c r="AF5520" s="19" t="b">
        <f t="shared" si="13"/>
        <v>0</v>
      </c>
      <c r="AG5520" s="9"/>
      <c r="AH5520" s="9"/>
      <c r="AI5520" s="9"/>
    </row>
    <row r="5521" ht="15.0" customHeight="1">
      <c r="A5521" s="11">
        <v>5520.0</v>
      </c>
      <c r="B5521" s="12">
        <f t="shared" ref="B5521:B5523" si="883">DATE(2012,12,31)-506</f>
        <v>40768</v>
      </c>
      <c r="C5521" s="13">
        <v>2011.0</v>
      </c>
      <c r="D5521" s="11" t="s">
        <v>102</v>
      </c>
      <c r="E5521" s="11">
        <v>44.0</v>
      </c>
      <c r="F5521" s="21" t="s">
        <v>186</v>
      </c>
      <c r="G5521" s="15">
        <v>0.0723447922011289</v>
      </c>
      <c r="H5521" s="11" t="s">
        <v>33</v>
      </c>
      <c r="I5521" s="16">
        <v>0.4</v>
      </c>
      <c r="J5521" s="11" t="s">
        <v>248</v>
      </c>
      <c r="K5521" s="11" t="s">
        <v>117</v>
      </c>
      <c r="L5521" s="11" t="s">
        <v>48</v>
      </c>
      <c r="M5521" s="11" t="s">
        <v>28</v>
      </c>
      <c r="N5521" s="11" t="s">
        <v>188</v>
      </c>
      <c r="O5521" s="11" t="s">
        <v>1968</v>
      </c>
      <c r="P5521" s="11" t="s">
        <v>38</v>
      </c>
      <c r="Q5521" s="20">
        <v>40770.0</v>
      </c>
      <c r="R5521" s="17">
        <f t="shared" si="2"/>
        <v>13.07993843</v>
      </c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>
        <f t="shared" si="8"/>
        <v>4</v>
      </c>
      <c r="AF5521" s="19" t="b">
        <f t="shared" si="13"/>
        <v>0</v>
      </c>
      <c r="AG5521" s="9"/>
      <c r="AH5521" s="9"/>
      <c r="AI5521" s="9"/>
    </row>
    <row r="5522" ht="15.0" customHeight="1">
      <c r="A5522" s="11">
        <v>5521.0</v>
      </c>
      <c r="B5522" s="12">
        <f t="shared" si="883"/>
        <v>40768</v>
      </c>
      <c r="C5522" s="13">
        <v>2011.0</v>
      </c>
      <c r="D5522" s="11" t="s">
        <v>39</v>
      </c>
      <c r="E5522" s="11">
        <v>7.0</v>
      </c>
      <c r="F5522" s="21" t="s">
        <v>231</v>
      </c>
      <c r="G5522" s="15">
        <v>0.044432677760968195</v>
      </c>
      <c r="H5522" s="11" t="s">
        <v>45</v>
      </c>
      <c r="I5522" s="16">
        <v>15.352000000000002</v>
      </c>
      <c r="J5522" s="11" t="s">
        <v>988</v>
      </c>
      <c r="K5522" s="11" t="s">
        <v>26</v>
      </c>
      <c r="L5522" s="11" t="s">
        <v>27</v>
      </c>
      <c r="M5522" s="11" t="s">
        <v>49</v>
      </c>
      <c r="N5522" s="11" t="s">
        <v>50</v>
      </c>
      <c r="O5522" s="11" t="s">
        <v>121</v>
      </c>
      <c r="P5522" s="11" t="s">
        <v>52</v>
      </c>
      <c r="Q5522" s="20">
        <v>40770.0</v>
      </c>
      <c r="R5522" s="17">
        <f t="shared" si="2"/>
        <v>11.2260049</v>
      </c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>
        <f t="shared" si="8"/>
        <v>1</v>
      </c>
      <c r="AF5522" s="19">
        <f t="shared" si="13"/>
        <v>1</v>
      </c>
      <c r="AG5522" s="9"/>
      <c r="AH5522" s="9"/>
      <c r="AI5522" s="9"/>
    </row>
    <row r="5523" ht="15.0" customHeight="1">
      <c r="A5523" s="11">
        <v>5522.0</v>
      </c>
      <c r="B5523" s="12">
        <f t="shared" si="883"/>
        <v>40768</v>
      </c>
      <c r="C5523" s="13">
        <v>2011.0</v>
      </c>
      <c r="D5523" s="11" t="s">
        <v>39</v>
      </c>
      <c r="E5523" s="11">
        <v>13.0</v>
      </c>
      <c r="F5523" s="21" t="s">
        <v>2560</v>
      </c>
      <c r="G5523" s="15">
        <v>0.06726076808826648</v>
      </c>
      <c r="H5523" s="11" t="s">
        <v>33</v>
      </c>
      <c r="I5523" s="16">
        <v>2.8000000000000003</v>
      </c>
      <c r="J5523" s="11" t="s">
        <v>606</v>
      </c>
      <c r="K5523" s="11" t="s">
        <v>65</v>
      </c>
      <c r="L5523" s="11" t="s">
        <v>48</v>
      </c>
      <c r="M5523" s="11" t="s">
        <v>28</v>
      </c>
      <c r="N5523" s="11" t="s">
        <v>197</v>
      </c>
      <c r="O5523" s="11" t="s">
        <v>2561</v>
      </c>
      <c r="P5523" s="11" t="s">
        <v>38</v>
      </c>
      <c r="Q5523" s="20">
        <v>40770.0</v>
      </c>
      <c r="R5523" s="17">
        <f t="shared" si="2"/>
        <v>29.56783365</v>
      </c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>
        <f t="shared" si="8"/>
        <v>4</v>
      </c>
      <c r="AF5523" s="19">
        <f t="shared" si="13"/>
        <v>5</v>
      </c>
      <c r="AG5523" s="9"/>
      <c r="AH5523" s="9"/>
      <c r="AI5523" s="9"/>
    </row>
    <row r="5524" ht="15.0" customHeight="1">
      <c r="A5524" s="11">
        <v>5523.0</v>
      </c>
      <c r="B5524" s="12">
        <f t="shared" ref="B5524:B5528" si="884">DATE(2012,12,31)-505</f>
        <v>40769</v>
      </c>
      <c r="C5524" s="13">
        <v>2011.0</v>
      </c>
      <c r="D5524" s="11" t="s">
        <v>39</v>
      </c>
      <c r="E5524" s="11">
        <v>29.0</v>
      </c>
      <c r="F5524" s="21" t="s">
        <v>2195</v>
      </c>
      <c r="G5524" s="15">
        <v>0.0778889343703096</v>
      </c>
      <c r="H5524" s="11" t="s">
        <v>45</v>
      </c>
      <c r="I5524" s="16">
        <v>46.976</v>
      </c>
      <c r="J5524" s="11" t="s">
        <v>2360</v>
      </c>
      <c r="K5524" s="11" t="s">
        <v>35</v>
      </c>
      <c r="L5524" s="11" t="s">
        <v>41</v>
      </c>
      <c r="M5524" s="11" t="s">
        <v>49</v>
      </c>
      <c r="N5524" s="11" t="s">
        <v>156</v>
      </c>
      <c r="O5524" s="11" t="s">
        <v>2504</v>
      </c>
      <c r="P5524" s="11" t="s">
        <v>87</v>
      </c>
      <c r="Q5524" s="20">
        <v>40770.0</v>
      </c>
      <c r="R5524" s="17">
        <f t="shared" si="2"/>
        <v>263.1926288</v>
      </c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>
        <f t="shared" si="8"/>
        <v>3</v>
      </c>
      <c r="AF5524" s="19">
        <f t="shared" si="13"/>
        <v>2</v>
      </c>
      <c r="AG5524" s="9"/>
      <c r="AH5524" s="9"/>
      <c r="AI5524" s="9"/>
    </row>
    <row r="5525" ht="15.0" customHeight="1">
      <c r="A5525" s="11">
        <v>5524.0</v>
      </c>
      <c r="B5525" s="12">
        <f t="shared" si="884"/>
        <v>40769</v>
      </c>
      <c r="C5525" s="13">
        <v>2011.0</v>
      </c>
      <c r="D5525" s="11" t="s">
        <v>39</v>
      </c>
      <c r="E5525" s="11">
        <v>3.0</v>
      </c>
      <c r="F5525" s="21" t="s">
        <v>336</v>
      </c>
      <c r="G5525" s="15">
        <v>0.033684210526315816</v>
      </c>
      <c r="H5525" s="11" t="s">
        <v>33</v>
      </c>
      <c r="I5525" s="16">
        <v>0.96</v>
      </c>
      <c r="J5525" s="11" t="s">
        <v>604</v>
      </c>
      <c r="K5525" s="11" t="s">
        <v>83</v>
      </c>
      <c r="L5525" s="11" t="s">
        <v>27</v>
      </c>
      <c r="M5525" s="11" t="s">
        <v>28</v>
      </c>
      <c r="N5525" s="11" t="s">
        <v>62</v>
      </c>
      <c r="O5525" s="11" t="s">
        <v>1540</v>
      </c>
      <c r="P5525" s="11" t="s">
        <v>58</v>
      </c>
      <c r="Q5525" s="20">
        <v>40771.0</v>
      </c>
      <c r="R5525" s="17">
        <f t="shared" si="2"/>
        <v>0.6184421053</v>
      </c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>
        <f t="shared" si="8"/>
        <v>1</v>
      </c>
      <c r="AF5525" s="19" t="b">
        <f t="shared" si="13"/>
        <v>0</v>
      </c>
      <c r="AG5525" s="9"/>
      <c r="AH5525" s="9"/>
      <c r="AI5525" s="9"/>
    </row>
    <row r="5526" ht="15.0" customHeight="1">
      <c r="A5526" s="11">
        <v>5525.0</v>
      </c>
      <c r="B5526" s="12">
        <f t="shared" si="884"/>
        <v>40769</v>
      </c>
      <c r="C5526" s="13">
        <v>2011.0</v>
      </c>
      <c r="D5526" s="11" t="s">
        <v>23</v>
      </c>
      <c r="E5526" s="11">
        <v>9.0</v>
      </c>
      <c r="F5526" s="21" t="s">
        <v>218</v>
      </c>
      <c r="G5526" s="15">
        <v>0.10528473804100227</v>
      </c>
      <c r="H5526" s="11" t="s">
        <v>33</v>
      </c>
      <c r="I5526" s="16">
        <v>3.8560000000000003</v>
      </c>
      <c r="J5526" s="11" t="s">
        <v>2168</v>
      </c>
      <c r="K5526" s="11" t="s">
        <v>35</v>
      </c>
      <c r="L5526" s="11" t="s">
        <v>41</v>
      </c>
      <c r="M5526" s="11" t="s">
        <v>28</v>
      </c>
      <c r="N5526" s="11" t="s">
        <v>56</v>
      </c>
      <c r="O5526" s="11" t="s">
        <v>560</v>
      </c>
      <c r="P5526" s="11" t="s">
        <v>38</v>
      </c>
      <c r="Q5526" s="20">
        <v>40771.0</v>
      </c>
      <c r="R5526" s="17">
        <f t="shared" si="2"/>
        <v>8.270747882</v>
      </c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>
        <f t="shared" si="8"/>
        <v>3</v>
      </c>
      <c r="AF5526" s="19">
        <f t="shared" si="13"/>
        <v>2</v>
      </c>
      <c r="AG5526" s="9"/>
      <c r="AH5526" s="9"/>
      <c r="AI5526" s="9"/>
    </row>
    <row r="5527" ht="15.0" customHeight="1">
      <c r="A5527" s="11">
        <v>5526.0</v>
      </c>
      <c r="B5527" s="12">
        <f t="shared" si="884"/>
        <v>40769</v>
      </c>
      <c r="C5527" s="13">
        <v>2011.0</v>
      </c>
      <c r="D5527" s="11" t="s">
        <v>23</v>
      </c>
      <c r="E5527" s="11">
        <v>44.0</v>
      </c>
      <c r="F5527" s="21" t="s">
        <v>122</v>
      </c>
      <c r="G5527" s="15">
        <v>0.10401043121914888</v>
      </c>
      <c r="H5527" s="11" t="s">
        <v>45</v>
      </c>
      <c r="I5527" s="16">
        <v>42.42400000000001</v>
      </c>
      <c r="J5527" s="11" t="s">
        <v>2168</v>
      </c>
      <c r="K5527" s="11" t="s">
        <v>35</v>
      </c>
      <c r="L5527" s="11" t="s">
        <v>41</v>
      </c>
      <c r="M5527" s="11" t="s">
        <v>28</v>
      </c>
      <c r="N5527" s="11" t="s">
        <v>29</v>
      </c>
      <c r="O5527" s="11" t="s">
        <v>725</v>
      </c>
      <c r="P5527" s="11" t="s">
        <v>52</v>
      </c>
      <c r="Q5527" s="20">
        <v>40771.0</v>
      </c>
      <c r="R5527" s="17">
        <f t="shared" si="2"/>
        <v>100.0605311</v>
      </c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>
        <f t="shared" si="8"/>
        <v>3</v>
      </c>
      <c r="AF5527" s="19">
        <f t="shared" si="13"/>
        <v>2</v>
      </c>
      <c r="AG5527" s="9"/>
      <c r="AH5527" s="9"/>
      <c r="AI5527" s="9"/>
    </row>
    <row r="5528" ht="15.0" customHeight="1">
      <c r="A5528" s="11">
        <v>5527.0</v>
      </c>
      <c r="B5528" s="12">
        <f t="shared" si="884"/>
        <v>40769</v>
      </c>
      <c r="C5528" s="13">
        <v>2011.0</v>
      </c>
      <c r="D5528" s="11" t="s">
        <v>23</v>
      </c>
      <c r="E5528" s="11">
        <v>29.0</v>
      </c>
      <c r="F5528" s="21" t="s">
        <v>1795</v>
      </c>
      <c r="G5528" s="15">
        <v>0.049184262563356534</v>
      </c>
      <c r="H5528" s="11" t="s">
        <v>45</v>
      </c>
      <c r="I5528" s="16">
        <v>49.408</v>
      </c>
      <c r="J5528" s="11" t="s">
        <v>2168</v>
      </c>
      <c r="K5528" s="11" t="s">
        <v>35</v>
      </c>
      <c r="L5528" s="11" t="s">
        <v>41</v>
      </c>
      <c r="M5528" s="11" t="s">
        <v>49</v>
      </c>
      <c r="N5528" s="11" t="s">
        <v>85</v>
      </c>
      <c r="O5528" s="11" t="s">
        <v>1796</v>
      </c>
      <c r="P5528" s="11" t="s">
        <v>87</v>
      </c>
      <c r="Q5528" s="20">
        <v>40771.0</v>
      </c>
      <c r="R5528" s="17">
        <f t="shared" si="2"/>
        <v>411.5054446</v>
      </c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>
        <f t="shared" si="8"/>
        <v>3</v>
      </c>
      <c r="AF5528" s="19">
        <f t="shared" si="13"/>
        <v>2</v>
      </c>
      <c r="AG5528" s="9"/>
      <c r="AH5528" s="9"/>
      <c r="AI5528" s="9"/>
    </row>
    <row r="5529" ht="15.0" customHeight="1">
      <c r="A5529" s="11">
        <v>5528.0</v>
      </c>
      <c r="B5529" s="12">
        <f t="shared" ref="B5529:B5531" si="885">DATE(2012,12,31)-504</f>
        <v>40770</v>
      </c>
      <c r="C5529" s="13">
        <v>2011.0</v>
      </c>
      <c r="D5529" s="11" t="s">
        <v>39</v>
      </c>
      <c r="E5529" s="11">
        <v>44.0</v>
      </c>
      <c r="F5529" s="21" t="s">
        <v>1966</v>
      </c>
      <c r="G5529" s="15">
        <v>0.0678682897625224</v>
      </c>
      <c r="H5529" s="11" t="s">
        <v>45</v>
      </c>
      <c r="I5529" s="16">
        <v>33.312000000000005</v>
      </c>
      <c r="J5529" s="11" t="s">
        <v>538</v>
      </c>
      <c r="K5529" s="11" t="s">
        <v>61</v>
      </c>
      <c r="L5529" s="11" t="s">
        <v>36</v>
      </c>
      <c r="M5529" s="11" t="s">
        <v>49</v>
      </c>
      <c r="N5529" s="11" t="s">
        <v>85</v>
      </c>
      <c r="O5529" s="11" t="s">
        <v>1967</v>
      </c>
      <c r="P5529" s="11" t="s">
        <v>87</v>
      </c>
      <c r="Q5529" s="20">
        <v>40771.0</v>
      </c>
      <c r="R5529" s="17">
        <f t="shared" si="2"/>
        <v>317.0068091</v>
      </c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>
        <f t="shared" si="8"/>
        <v>2</v>
      </c>
      <c r="AF5529" s="19">
        <f t="shared" si="13"/>
        <v>4</v>
      </c>
      <c r="AG5529" s="9"/>
      <c r="AH5529" s="9"/>
      <c r="AI5529" s="9"/>
    </row>
    <row r="5530" ht="15.0" customHeight="1">
      <c r="A5530" s="11">
        <v>5529.0</v>
      </c>
      <c r="B5530" s="12">
        <f t="shared" si="885"/>
        <v>40770</v>
      </c>
      <c r="C5530" s="13">
        <v>2011.0</v>
      </c>
      <c r="D5530" s="11" t="s">
        <v>32</v>
      </c>
      <c r="E5530" s="11">
        <v>26.0</v>
      </c>
      <c r="F5530" s="21" t="s">
        <v>1015</v>
      </c>
      <c r="G5530" s="15">
        <v>0.02029506093649767</v>
      </c>
      <c r="H5530" s="11" t="s">
        <v>33</v>
      </c>
      <c r="I5530" s="16">
        <v>4.5360000000000005</v>
      </c>
      <c r="J5530" s="11" t="s">
        <v>2128</v>
      </c>
      <c r="K5530" s="11" t="s">
        <v>65</v>
      </c>
      <c r="L5530" s="11" t="s">
        <v>27</v>
      </c>
      <c r="M5530" s="11" t="s">
        <v>28</v>
      </c>
      <c r="N5530" s="11" t="s">
        <v>56</v>
      </c>
      <c r="O5530" s="11" t="s">
        <v>1617</v>
      </c>
      <c r="P5530" s="11" t="s">
        <v>38</v>
      </c>
      <c r="Q5530" s="20">
        <v>40772.0</v>
      </c>
      <c r="R5530" s="17">
        <f t="shared" si="2"/>
        <v>3.099786427</v>
      </c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>
        <f t="shared" si="8"/>
        <v>1</v>
      </c>
      <c r="AF5530" s="19">
        <f t="shared" si="13"/>
        <v>5</v>
      </c>
      <c r="AG5530" s="9"/>
      <c r="AH5530" s="9"/>
      <c r="AI5530" s="9"/>
    </row>
    <row r="5531" ht="15.0" customHeight="1">
      <c r="A5531" s="11">
        <v>5530.0</v>
      </c>
      <c r="B5531" s="12">
        <f t="shared" si="885"/>
        <v>40770</v>
      </c>
      <c r="C5531" s="13">
        <v>2011.0</v>
      </c>
      <c r="D5531" s="11" t="s">
        <v>32</v>
      </c>
      <c r="E5531" s="11">
        <v>38.0</v>
      </c>
      <c r="F5531" s="21" t="s">
        <v>135</v>
      </c>
      <c r="G5531" s="15">
        <v>0.07118397085610208</v>
      </c>
      <c r="H5531" s="11" t="s">
        <v>33</v>
      </c>
      <c r="I5531" s="16">
        <v>4.16</v>
      </c>
      <c r="J5531" s="11" t="s">
        <v>859</v>
      </c>
      <c r="K5531" s="11" t="s">
        <v>26</v>
      </c>
      <c r="L5531" s="11" t="s">
        <v>48</v>
      </c>
      <c r="M5531" s="11" t="s">
        <v>28</v>
      </c>
      <c r="N5531" s="11" t="s">
        <v>56</v>
      </c>
      <c r="O5531" s="11" t="s">
        <v>1237</v>
      </c>
      <c r="P5531" s="11" t="s">
        <v>38</v>
      </c>
      <c r="Q5531" s="20">
        <v>40772.0</v>
      </c>
      <c r="R5531" s="17">
        <f t="shared" si="2"/>
        <v>18.14906521</v>
      </c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>
        <f t="shared" si="8"/>
        <v>4</v>
      </c>
      <c r="AF5531" s="19">
        <f t="shared" si="13"/>
        <v>1</v>
      </c>
      <c r="AG5531" s="9"/>
      <c r="AH5531" s="9"/>
      <c r="AI5531" s="9"/>
    </row>
    <row r="5532" ht="15.0" customHeight="1">
      <c r="A5532" s="11">
        <v>5531.0</v>
      </c>
      <c r="B5532" s="12">
        <f t="shared" ref="B5532:B5536" si="886">DATE(2012,12,31)-503</f>
        <v>40771</v>
      </c>
      <c r="C5532" s="13">
        <v>2011.0</v>
      </c>
      <c r="D5532" s="11" t="s">
        <v>32</v>
      </c>
      <c r="E5532" s="11">
        <v>32.0</v>
      </c>
      <c r="F5532" s="21" t="s">
        <v>394</v>
      </c>
      <c r="G5532" s="15">
        <v>0.02626484183315811</v>
      </c>
      <c r="H5532" s="11" t="s">
        <v>45</v>
      </c>
      <c r="I5532" s="16">
        <v>42.784</v>
      </c>
      <c r="J5532" s="11" t="s">
        <v>1017</v>
      </c>
      <c r="K5532" s="11" t="s">
        <v>117</v>
      </c>
      <c r="L5532" s="11" t="s">
        <v>48</v>
      </c>
      <c r="M5532" s="11" t="s">
        <v>49</v>
      </c>
      <c r="N5532" s="11" t="s">
        <v>156</v>
      </c>
      <c r="O5532" s="11" t="s">
        <v>396</v>
      </c>
      <c r="P5532" s="11" t="s">
        <v>87</v>
      </c>
      <c r="Q5532" s="20">
        <v>40772.0</v>
      </c>
      <c r="R5532" s="17">
        <f t="shared" si="2"/>
        <v>119.5466339</v>
      </c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>
        <f t="shared" si="8"/>
        <v>4</v>
      </c>
      <c r="AF5532" s="19" t="b">
        <f t="shared" si="13"/>
        <v>0</v>
      </c>
      <c r="AG5532" s="9"/>
      <c r="AH5532" s="9"/>
      <c r="AI5532" s="9"/>
    </row>
    <row r="5533" ht="15.0" customHeight="1">
      <c r="A5533" s="11">
        <v>5532.0</v>
      </c>
      <c r="B5533" s="12">
        <f t="shared" si="886"/>
        <v>40771</v>
      </c>
      <c r="C5533" s="13">
        <v>2011.0</v>
      </c>
      <c r="D5533" s="11" t="s">
        <v>32</v>
      </c>
      <c r="E5533" s="11">
        <v>44.0</v>
      </c>
      <c r="F5533" s="21" t="s">
        <v>1336</v>
      </c>
      <c r="G5533" s="15">
        <v>0.010633902180293975</v>
      </c>
      <c r="H5533" s="11" t="s">
        <v>33</v>
      </c>
      <c r="I5533" s="16">
        <v>14.448</v>
      </c>
      <c r="J5533" s="11" t="s">
        <v>1017</v>
      </c>
      <c r="K5533" s="11" t="s">
        <v>117</v>
      </c>
      <c r="L5533" s="11" t="s">
        <v>48</v>
      </c>
      <c r="M5533" s="11" t="s">
        <v>49</v>
      </c>
      <c r="N5533" s="11" t="s">
        <v>50</v>
      </c>
      <c r="O5533" s="11" t="s">
        <v>1337</v>
      </c>
      <c r="P5533" s="11" t="s">
        <v>31</v>
      </c>
      <c r="Q5533" s="20">
        <v>40772.0</v>
      </c>
      <c r="R5533" s="17">
        <f t="shared" si="2"/>
        <v>102.1540283</v>
      </c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>
        <f t="shared" si="8"/>
        <v>4</v>
      </c>
      <c r="AF5533" s="19" t="b">
        <f t="shared" si="13"/>
        <v>0</v>
      </c>
      <c r="AG5533" s="9"/>
      <c r="AH5533" s="9"/>
      <c r="AI5533" s="9"/>
    </row>
    <row r="5534" ht="15.0" customHeight="1">
      <c r="A5534" s="11">
        <v>5533.0</v>
      </c>
      <c r="B5534" s="12">
        <f t="shared" si="886"/>
        <v>40771</v>
      </c>
      <c r="C5534" s="13">
        <v>2011.0</v>
      </c>
      <c r="D5534" s="11" t="s">
        <v>32</v>
      </c>
      <c r="E5534" s="11">
        <v>34.0</v>
      </c>
      <c r="F5534" s="21" t="s">
        <v>743</v>
      </c>
      <c r="G5534" s="15">
        <v>0.08468677494199543</v>
      </c>
      <c r="H5534" s="11" t="s">
        <v>24</v>
      </c>
      <c r="I5534" s="16">
        <v>5.2</v>
      </c>
      <c r="J5534" s="11" t="s">
        <v>1017</v>
      </c>
      <c r="K5534" s="11" t="s">
        <v>117</v>
      </c>
      <c r="L5534" s="11" t="s">
        <v>48</v>
      </c>
      <c r="M5534" s="11" t="s">
        <v>66</v>
      </c>
      <c r="N5534" s="11" t="s">
        <v>67</v>
      </c>
      <c r="O5534" s="11" t="s">
        <v>1864</v>
      </c>
      <c r="P5534" s="11" t="s">
        <v>38</v>
      </c>
      <c r="Q5534" s="20">
        <v>40772.0</v>
      </c>
      <c r="R5534" s="17">
        <f t="shared" si="2"/>
        <v>146.9993039</v>
      </c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>
        <f t="shared" si="8"/>
        <v>4</v>
      </c>
      <c r="AF5534" s="19" t="b">
        <f t="shared" si="13"/>
        <v>0</v>
      </c>
      <c r="AG5534" s="9"/>
      <c r="AH5534" s="9"/>
      <c r="AI5534" s="9"/>
    </row>
    <row r="5535" ht="15.0" customHeight="1">
      <c r="A5535" s="11">
        <v>5534.0</v>
      </c>
      <c r="B5535" s="12">
        <f t="shared" si="886"/>
        <v>40771</v>
      </c>
      <c r="C5535" s="13">
        <v>2011.0</v>
      </c>
      <c r="D5535" s="11" t="s">
        <v>39</v>
      </c>
      <c r="E5535" s="11">
        <v>4.0</v>
      </c>
      <c r="F5535" s="21" t="s">
        <v>151</v>
      </c>
      <c r="G5535" s="15">
        <v>0.06845637583892615</v>
      </c>
      <c r="H5535" s="11" t="s">
        <v>33</v>
      </c>
      <c r="I5535" s="16">
        <v>1.08</v>
      </c>
      <c r="J5535" s="11" t="s">
        <v>861</v>
      </c>
      <c r="K5535" s="11" t="s">
        <v>35</v>
      </c>
      <c r="L5535" s="11" t="s">
        <v>27</v>
      </c>
      <c r="M5535" s="11" t="s">
        <v>28</v>
      </c>
      <c r="N5535" s="11" t="s">
        <v>216</v>
      </c>
      <c r="O5535" s="11" t="s">
        <v>217</v>
      </c>
      <c r="P5535" s="11" t="s">
        <v>58</v>
      </c>
      <c r="Q5535" s="20">
        <v>40772.0</v>
      </c>
      <c r="R5535" s="17">
        <f t="shared" si="2"/>
        <v>0.9501744966</v>
      </c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>
        <f t="shared" si="8"/>
        <v>1</v>
      </c>
      <c r="AF5535" s="19">
        <f t="shared" si="13"/>
        <v>2</v>
      </c>
      <c r="AG5535" s="9"/>
      <c r="AH5535" s="9"/>
      <c r="AI5535" s="9"/>
    </row>
    <row r="5536" ht="15.0" customHeight="1">
      <c r="A5536" s="11">
        <v>5535.0</v>
      </c>
      <c r="B5536" s="12">
        <f t="shared" si="886"/>
        <v>40771</v>
      </c>
      <c r="C5536" s="13">
        <v>2011.0</v>
      </c>
      <c r="D5536" s="11" t="s">
        <v>32</v>
      </c>
      <c r="E5536" s="11">
        <v>28.0</v>
      </c>
      <c r="F5536" s="21" t="s">
        <v>518</v>
      </c>
      <c r="G5536" s="15">
        <v>0.04281224600379306</v>
      </c>
      <c r="H5536" s="11" t="s">
        <v>33</v>
      </c>
      <c r="I5536" s="16">
        <v>15.991999999999999</v>
      </c>
      <c r="J5536" s="11" t="s">
        <v>370</v>
      </c>
      <c r="K5536" s="11" t="s">
        <v>65</v>
      </c>
      <c r="L5536" s="11" t="s">
        <v>41</v>
      </c>
      <c r="M5536" s="11" t="s">
        <v>66</v>
      </c>
      <c r="N5536" s="11" t="s">
        <v>67</v>
      </c>
      <c r="O5536" s="11" t="s">
        <v>519</v>
      </c>
      <c r="P5536" s="11" t="s">
        <v>38</v>
      </c>
      <c r="Q5536" s="20">
        <v>40773.0</v>
      </c>
      <c r="R5536" s="17">
        <f t="shared" si="2"/>
        <v>60.50192355</v>
      </c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>
        <f t="shared" si="8"/>
        <v>3</v>
      </c>
      <c r="AF5536" s="19">
        <f t="shared" si="13"/>
        <v>5</v>
      </c>
      <c r="AG5536" s="9"/>
      <c r="AH5536" s="9"/>
      <c r="AI5536" s="9"/>
    </row>
    <row r="5537" ht="15.0" customHeight="1">
      <c r="A5537" s="11">
        <v>5536.0</v>
      </c>
      <c r="B5537" s="12">
        <f t="shared" ref="B5537:B5543" si="887">DATE(2012,12,31)-502</f>
        <v>40772</v>
      </c>
      <c r="C5537" s="13">
        <v>2011.0</v>
      </c>
      <c r="D5537" s="11" t="s">
        <v>102</v>
      </c>
      <c r="E5537" s="11">
        <v>41.0</v>
      </c>
      <c r="F5537" s="21" t="s">
        <v>577</v>
      </c>
      <c r="G5537" s="15">
        <v>0.035048557832575565</v>
      </c>
      <c r="H5537" s="11" t="s">
        <v>45</v>
      </c>
      <c r="I5537" s="16">
        <v>53.336000000000006</v>
      </c>
      <c r="J5537" s="11" t="s">
        <v>1409</v>
      </c>
      <c r="K5537" s="11" t="s">
        <v>26</v>
      </c>
      <c r="L5537" s="11" t="s">
        <v>41</v>
      </c>
      <c r="M5537" s="11" t="s">
        <v>49</v>
      </c>
      <c r="N5537" s="11" t="s">
        <v>85</v>
      </c>
      <c r="O5537" s="11" t="s">
        <v>579</v>
      </c>
      <c r="P5537" s="11" t="s">
        <v>87</v>
      </c>
      <c r="Q5537" s="20">
        <v>40773.0</v>
      </c>
      <c r="R5537" s="17">
        <f t="shared" si="2"/>
        <v>375.0558791</v>
      </c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>
        <f t="shared" si="8"/>
        <v>3</v>
      </c>
      <c r="AF5537" s="19">
        <f t="shared" si="13"/>
        <v>1</v>
      </c>
      <c r="AG5537" s="9"/>
      <c r="AH5537" s="9"/>
      <c r="AI5537" s="9"/>
    </row>
    <row r="5538" ht="15.0" customHeight="1">
      <c r="A5538" s="11">
        <v>5537.0</v>
      </c>
      <c r="B5538" s="12">
        <f t="shared" si="887"/>
        <v>40772</v>
      </c>
      <c r="C5538" s="13">
        <v>2011.0</v>
      </c>
      <c r="D5538" s="11" t="s">
        <v>39</v>
      </c>
      <c r="E5538" s="11">
        <v>13.0</v>
      </c>
      <c r="F5538" s="21" t="s">
        <v>1158</v>
      </c>
      <c r="G5538" s="15">
        <v>0.10116402116402123</v>
      </c>
      <c r="H5538" s="11" t="s">
        <v>33</v>
      </c>
      <c r="I5538" s="16">
        <v>5.464</v>
      </c>
      <c r="J5538" s="11" t="s">
        <v>403</v>
      </c>
      <c r="K5538" s="11" t="s">
        <v>61</v>
      </c>
      <c r="L5538" s="11" t="s">
        <v>48</v>
      </c>
      <c r="M5538" s="11" t="s">
        <v>28</v>
      </c>
      <c r="N5538" s="11" t="s">
        <v>42</v>
      </c>
      <c r="O5538" s="11" t="s">
        <v>1577</v>
      </c>
      <c r="P5538" s="11" t="s">
        <v>38</v>
      </c>
      <c r="Q5538" s="20">
        <v>40773.0</v>
      </c>
      <c r="R5538" s="17">
        <f t="shared" si="2"/>
        <v>5.155723175</v>
      </c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>
        <f t="shared" si="8"/>
        <v>4</v>
      </c>
      <c r="AF5538" s="19">
        <f t="shared" si="13"/>
        <v>4</v>
      </c>
      <c r="AG5538" s="9"/>
      <c r="AH5538" s="9"/>
      <c r="AI5538" s="9"/>
    </row>
    <row r="5539" ht="15.0" customHeight="1">
      <c r="A5539" s="11">
        <v>5538.0</v>
      </c>
      <c r="B5539" s="12">
        <f t="shared" si="887"/>
        <v>40772</v>
      </c>
      <c r="C5539" s="13">
        <v>2011.0</v>
      </c>
      <c r="D5539" s="11" t="s">
        <v>39</v>
      </c>
      <c r="E5539" s="11">
        <v>22.0</v>
      </c>
      <c r="F5539" s="21" t="s">
        <v>103</v>
      </c>
      <c r="G5539" s="15">
        <v>0.09284651791751182</v>
      </c>
      <c r="H5539" s="11" t="s">
        <v>33</v>
      </c>
      <c r="I5539" s="16">
        <v>4.368</v>
      </c>
      <c r="J5539" s="11" t="s">
        <v>2449</v>
      </c>
      <c r="K5539" s="11" t="s">
        <v>35</v>
      </c>
      <c r="L5539" s="11" t="s">
        <v>48</v>
      </c>
      <c r="M5539" s="11" t="s">
        <v>28</v>
      </c>
      <c r="N5539" s="11" t="s">
        <v>56</v>
      </c>
      <c r="O5539" s="11" t="s">
        <v>693</v>
      </c>
      <c r="P5539" s="11" t="s">
        <v>38</v>
      </c>
      <c r="Q5539" s="20">
        <v>40773.0</v>
      </c>
      <c r="R5539" s="17">
        <f t="shared" si="2"/>
        <v>12.45703162</v>
      </c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>
        <f t="shared" si="8"/>
        <v>4</v>
      </c>
      <c r="AF5539" s="19">
        <f t="shared" si="13"/>
        <v>2</v>
      </c>
      <c r="AG5539" s="9"/>
      <c r="AH5539" s="9"/>
      <c r="AI5539" s="9"/>
    </row>
    <row r="5540" ht="15.0" customHeight="1">
      <c r="A5540" s="11">
        <v>5539.0</v>
      </c>
      <c r="B5540" s="12">
        <f t="shared" si="887"/>
        <v>40772</v>
      </c>
      <c r="C5540" s="13">
        <v>2011.0</v>
      </c>
      <c r="D5540" s="11" t="s">
        <v>39</v>
      </c>
      <c r="E5540" s="11">
        <v>37.0</v>
      </c>
      <c r="F5540" s="21" t="s">
        <v>319</v>
      </c>
      <c r="G5540" s="15">
        <v>0.06893464637421667</v>
      </c>
      <c r="H5540" s="11" t="s">
        <v>33</v>
      </c>
      <c r="I5540" s="16">
        <v>0.4</v>
      </c>
      <c r="J5540" s="11" t="s">
        <v>2449</v>
      </c>
      <c r="K5540" s="11" t="s">
        <v>35</v>
      </c>
      <c r="L5540" s="11" t="s">
        <v>48</v>
      </c>
      <c r="M5540" s="11" t="s">
        <v>28</v>
      </c>
      <c r="N5540" s="11" t="s">
        <v>188</v>
      </c>
      <c r="O5540" s="11" t="s">
        <v>437</v>
      </c>
      <c r="P5540" s="11" t="s">
        <v>38</v>
      </c>
      <c r="Q5540" s="20">
        <v>40773.0</v>
      </c>
      <c r="R5540" s="17">
        <f t="shared" si="2"/>
        <v>7.169203223</v>
      </c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>
        <f t="shared" si="8"/>
        <v>4</v>
      </c>
      <c r="AF5540" s="19">
        <f t="shared" si="13"/>
        <v>2</v>
      </c>
      <c r="AG5540" s="9"/>
      <c r="AH5540" s="9"/>
      <c r="AI5540" s="9"/>
    </row>
    <row r="5541" ht="15.0" customHeight="1">
      <c r="A5541" s="11">
        <v>5540.0</v>
      </c>
      <c r="B5541" s="12">
        <f t="shared" si="887"/>
        <v>40772</v>
      </c>
      <c r="C5541" s="13">
        <v>2011.0</v>
      </c>
      <c r="D5541" s="11" t="s">
        <v>39</v>
      </c>
      <c r="E5541" s="11">
        <v>15.0</v>
      </c>
      <c r="F5541" s="21" t="s">
        <v>158</v>
      </c>
      <c r="G5541" s="15">
        <v>0.044127579737335776</v>
      </c>
      <c r="H5541" s="11" t="s">
        <v>33</v>
      </c>
      <c r="I5541" s="16">
        <v>5.896000000000001</v>
      </c>
      <c r="J5541" s="11" t="s">
        <v>2449</v>
      </c>
      <c r="K5541" s="11" t="s">
        <v>35</v>
      </c>
      <c r="L5541" s="11" t="s">
        <v>48</v>
      </c>
      <c r="M5541" s="11" t="s">
        <v>28</v>
      </c>
      <c r="N5541" s="11" t="s">
        <v>56</v>
      </c>
      <c r="O5541" s="11" t="s">
        <v>860</v>
      </c>
      <c r="P5541" s="11" t="s">
        <v>38</v>
      </c>
      <c r="Q5541" s="20">
        <v>40774.0</v>
      </c>
      <c r="R5541" s="17">
        <f t="shared" si="2"/>
        <v>4.496423865</v>
      </c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>
        <f t="shared" si="8"/>
        <v>4</v>
      </c>
      <c r="AF5541" s="19">
        <f t="shared" si="13"/>
        <v>2</v>
      </c>
      <c r="AG5541" s="9"/>
      <c r="AH5541" s="9"/>
      <c r="AI5541" s="9"/>
    </row>
    <row r="5542" ht="15.0" customHeight="1">
      <c r="A5542" s="11">
        <v>5541.0</v>
      </c>
      <c r="B5542" s="12">
        <f t="shared" si="887"/>
        <v>40772</v>
      </c>
      <c r="C5542" s="13">
        <v>2011.0</v>
      </c>
      <c r="D5542" s="11" t="s">
        <v>23</v>
      </c>
      <c r="E5542" s="11">
        <v>11.0</v>
      </c>
      <c r="F5542" s="21" t="s">
        <v>810</v>
      </c>
      <c r="G5542" s="15">
        <v>0.09614190687361425</v>
      </c>
      <c r="H5542" s="11" t="s">
        <v>24</v>
      </c>
      <c r="I5542" s="16">
        <v>2.3920000000000003</v>
      </c>
      <c r="J5542" s="11" t="s">
        <v>932</v>
      </c>
      <c r="K5542" s="11" t="s">
        <v>83</v>
      </c>
      <c r="L5542" s="11" t="s">
        <v>41</v>
      </c>
      <c r="M5542" s="11" t="s">
        <v>28</v>
      </c>
      <c r="N5542" s="11" t="s">
        <v>42</v>
      </c>
      <c r="O5542" s="11" t="s">
        <v>811</v>
      </c>
      <c r="P5542" s="11" t="s">
        <v>38</v>
      </c>
      <c r="Q5542" s="20">
        <v>40774.0</v>
      </c>
      <c r="R5542" s="17">
        <f t="shared" si="2"/>
        <v>11.75738608</v>
      </c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>
        <f t="shared" si="8"/>
        <v>3</v>
      </c>
      <c r="AF5542" s="19" t="b">
        <f t="shared" si="13"/>
        <v>0</v>
      </c>
      <c r="AG5542" s="9"/>
      <c r="AH5542" s="9"/>
      <c r="AI5542" s="9"/>
    </row>
    <row r="5543" ht="15.0" customHeight="1">
      <c r="A5543" s="11">
        <v>5542.0</v>
      </c>
      <c r="B5543" s="12">
        <f t="shared" si="887"/>
        <v>40772</v>
      </c>
      <c r="C5543" s="13">
        <v>2011.0</v>
      </c>
      <c r="D5543" s="11" t="s">
        <v>23</v>
      </c>
      <c r="E5543" s="11">
        <v>10.0</v>
      </c>
      <c r="F5543" s="21" t="s">
        <v>122</v>
      </c>
      <c r="G5543" s="15">
        <v>0.06122376060741402</v>
      </c>
      <c r="H5543" s="11" t="s">
        <v>33</v>
      </c>
      <c r="I5543" s="16">
        <v>1.192</v>
      </c>
      <c r="J5543" s="11" t="s">
        <v>1370</v>
      </c>
      <c r="K5543" s="11" t="s">
        <v>83</v>
      </c>
      <c r="L5543" s="11" t="s">
        <v>27</v>
      </c>
      <c r="M5543" s="11" t="s">
        <v>28</v>
      </c>
      <c r="N5543" s="11" t="s">
        <v>42</v>
      </c>
      <c r="O5543" s="11" t="s">
        <v>1121</v>
      </c>
      <c r="P5543" s="11" t="s">
        <v>38</v>
      </c>
      <c r="Q5543" s="20">
        <v>40774.0</v>
      </c>
      <c r="R5543" s="17">
        <f t="shared" si="2"/>
        <v>12.86874469</v>
      </c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>
        <f t="shared" si="8"/>
        <v>1</v>
      </c>
      <c r="AF5543" s="19" t="b">
        <f t="shared" si="13"/>
        <v>0</v>
      </c>
      <c r="AG5543" s="9"/>
      <c r="AH5543" s="9"/>
      <c r="AI5543" s="9"/>
    </row>
    <row r="5544" ht="15.0" customHeight="1">
      <c r="A5544" s="11">
        <v>5543.0</v>
      </c>
      <c r="B5544" s="12">
        <f t="shared" ref="B5544:B5546" si="888">DATE(2012,12,31)-501</f>
        <v>40773</v>
      </c>
      <c r="C5544" s="13">
        <v>2011.0</v>
      </c>
      <c r="D5544" s="11" t="s">
        <v>32</v>
      </c>
      <c r="E5544" s="11">
        <v>44.0</v>
      </c>
      <c r="F5544" s="21" t="s">
        <v>178</v>
      </c>
      <c r="G5544" s="15">
        <v>0.03079069456960699</v>
      </c>
      <c r="H5544" s="11" t="s">
        <v>33</v>
      </c>
      <c r="I5544" s="16">
        <v>4.248</v>
      </c>
      <c r="J5544" s="11" t="s">
        <v>850</v>
      </c>
      <c r="K5544" s="11" t="s">
        <v>61</v>
      </c>
      <c r="L5544" s="11" t="s">
        <v>36</v>
      </c>
      <c r="M5544" s="11" t="s">
        <v>66</v>
      </c>
      <c r="N5544" s="11" t="s">
        <v>80</v>
      </c>
      <c r="O5544" s="11" t="s">
        <v>1738</v>
      </c>
      <c r="P5544" s="11" t="s">
        <v>38</v>
      </c>
      <c r="Q5544" s="20">
        <v>40774.0</v>
      </c>
      <c r="R5544" s="17">
        <f t="shared" si="2"/>
        <v>89.41149684</v>
      </c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>
        <f t="shared" si="8"/>
        <v>2</v>
      </c>
      <c r="AF5544" s="19">
        <f t="shared" si="13"/>
        <v>4</v>
      </c>
      <c r="AG5544" s="9"/>
      <c r="AH5544" s="9"/>
      <c r="AI5544" s="9"/>
    </row>
    <row r="5545" ht="15.0" customHeight="1">
      <c r="A5545" s="11">
        <v>5544.0</v>
      </c>
      <c r="B5545" s="12">
        <f t="shared" si="888"/>
        <v>40773</v>
      </c>
      <c r="C5545" s="13">
        <v>2011.0</v>
      </c>
      <c r="D5545" s="11" t="s">
        <v>32</v>
      </c>
      <c r="E5545" s="11">
        <v>10.0</v>
      </c>
      <c r="F5545" s="21" t="s">
        <v>1182</v>
      </c>
      <c r="G5545" s="15">
        <v>0.06193146417445481</v>
      </c>
      <c r="H5545" s="11" t="s">
        <v>33</v>
      </c>
      <c r="I5545" s="16">
        <v>6.224</v>
      </c>
      <c r="J5545" s="11" t="s">
        <v>215</v>
      </c>
      <c r="K5545" s="11" t="s">
        <v>26</v>
      </c>
      <c r="L5545" s="11" t="s">
        <v>48</v>
      </c>
      <c r="M5545" s="11" t="s">
        <v>28</v>
      </c>
      <c r="N5545" s="11" t="s">
        <v>42</v>
      </c>
      <c r="O5545" s="11" t="s">
        <v>1311</v>
      </c>
      <c r="P5545" s="11" t="s">
        <v>38</v>
      </c>
      <c r="Q5545" s="20">
        <v>40774.0</v>
      </c>
      <c r="R5545" s="17">
        <f t="shared" si="2"/>
        <v>3.729760498</v>
      </c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>
        <f t="shared" si="8"/>
        <v>4</v>
      </c>
      <c r="AF5545" s="19">
        <f t="shared" si="13"/>
        <v>1</v>
      </c>
      <c r="AG5545" s="9"/>
      <c r="AH5545" s="9"/>
      <c r="AI5545" s="9"/>
    </row>
    <row r="5546" ht="15.0" customHeight="1">
      <c r="A5546" s="11">
        <v>5545.0</v>
      </c>
      <c r="B5546" s="12">
        <f t="shared" si="888"/>
        <v>40773</v>
      </c>
      <c r="C5546" s="13">
        <v>2011.0</v>
      </c>
      <c r="D5546" s="11" t="s">
        <v>23</v>
      </c>
      <c r="E5546" s="11">
        <v>34.0</v>
      </c>
      <c r="F5546" s="21" t="s">
        <v>1136</v>
      </c>
      <c r="G5546" s="15">
        <v>0.04282917278512006</v>
      </c>
      <c r="H5546" s="11" t="s">
        <v>24</v>
      </c>
      <c r="I5546" s="16">
        <v>3.6</v>
      </c>
      <c r="J5546" s="11" t="s">
        <v>227</v>
      </c>
      <c r="K5546" s="11" t="s">
        <v>35</v>
      </c>
      <c r="L5546" s="11" t="s">
        <v>27</v>
      </c>
      <c r="M5546" s="11" t="s">
        <v>28</v>
      </c>
      <c r="N5546" s="11" t="s">
        <v>197</v>
      </c>
      <c r="O5546" s="11" t="s">
        <v>2555</v>
      </c>
      <c r="P5546" s="11" t="s">
        <v>38</v>
      </c>
      <c r="Q5546" s="20">
        <v>40775.0</v>
      </c>
      <c r="R5546" s="17">
        <f t="shared" si="2"/>
        <v>33.50097895</v>
      </c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>
        <f t="shared" si="8"/>
        <v>1</v>
      </c>
      <c r="AF5546" s="19">
        <f t="shared" si="13"/>
        <v>2</v>
      </c>
      <c r="AG5546" s="9"/>
      <c r="AH5546" s="9"/>
      <c r="AI5546" s="9"/>
    </row>
    <row r="5547" ht="15.0" customHeight="1">
      <c r="A5547" s="11">
        <v>5546.0</v>
      </c>
      <c r="B5547" s="12">
        <f t="shared" ref="B5547:B5550" si="889">DATE(2012,12,31)-500</f>
        <v>40774</v>
      </c>
      <c r="C5547" s="13">
        <v>2011.0</v>
      </c>
      <c r="D5547" s="11" t="s">
        <v>23</v>
      </c>
      <c r="E5547" s="11">
        <v>24.0</v>
      </c>
      <c r="F5547" s="21" t="s">
        <v>632</v>
      </c>
      <c r="G5547" s="15">
        <v>0.09970668115154804</v>
      </c>
      <c r="H5547" s="11" t="s">
        <v>33</v>
      </c>
      <c r="I5547" s="16">
        <v>4.944</v>
      </c>
      <c r="J5547" s="11" t="s">
        <v>895</v>
      </c>
      <c r="K5547" s="11" t="s">
        <v>35</v>
      </c>
      <c r="L5547" s="11" t="s">
        <v>27</v>
      </c>
      <c r="M5547" s="11" t="s">
        <v>28</v>
      </c>
      <c r="N5547" s="11" t="s">
        <v>56</v>
      </c>
      <c r="O5547" s="11" t="s">
        <v>2378</v>
      </c>
      <c r="P5547" s="11" t="s">
        <v>38</v>
      </c>
      <c r="Q5547" s="20">
        <v>40775.0</v>
      </c>
      <c r="R5547" s="17">
        <f t="shared" si="2"/>
        <v>16.52578416</v>
      </c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>
        <f t="shared" si="8"/>
        <v>1</v>
      </c>
      <c r="AF5547" s="19">
        <f t="shared" si="13"/>
        <v>2</v>
      </c>
      <c r="AG5547" s="9"/>
      <c r="AH5547" s="9"/>
      <c r="AI5547" s="9"/>
    </row>
    <row r="5548" ht="15.0" customHeight="1">
      <c r="A5548" s="11">
        <v>5547.0</v>
      </c>
      <c r="B5548" s="12">
        <f t="shared" si="889"/>
        <v>40774</v>
      </c>
      <c r="C5548" s="13">
        <v>2011.0</v>
      </c>
      <c r="D5548" s="11" t="s">
        <v>23</v>
      </c>
      <c r="E5548" s="11">
        <v>20.0</v>
      </c>
      <c r="F5548" s="21" t="s">
        <v>306</v>
      </c>
      <c r="G5548" s="15">
        <v>0.054003759398496325</v>
      </c>
      <c r="H5548" s="11" t="s">
        <v>33</v>
      </c>
      <c r="I5548" s="16">
        <v>4.616</v>
      </c>
      <c r="J5548" s="11" t="s">
        <v>576</v>
      </c>
      <c r="K5548" s="11" t="s">
        <v>117</v>
      </c>
      <c r="L5548" s="11" t="s">
        <v>36</v>
      </c>
      <c r="M5548" s="11" t="s">
        <v>28</v>
      </c>
      <c r="N5548" s="11" t="s">
        <v>56</v>
      </c>
      <c r="O5548" s="11" t="s">
        <v>1169</v>
      </c>
      <c r="P5548" s="11" t="s">
        <v>38</v>
      </c>
      <c r="Q5548" s="20">
        <v>40775.0</v>
      </c>
      <c r="R5548" s="17">
        <f t="shared" si="2"/>
        <v>21.74277759</v>
      </c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>
        <f t="shared" si="8"/>
        <v>2</v>
      </c>
      <c r="AF5548" s="19" t="b">
        <f t="shared" si="13"/>
        <v>0</v>
      </c>
      <c r="AG5548" s="9"/>
      <c r="AH5548" s="9"/>
      <c r="AI5548" s="9"/>
    </row>
    <row r="5549" ht="15.0" customHeight="1">
      <c r="A5549" s="11">
        <v>5548.0</v>
      </c>
      <c r="B5549" s="12">
        <f t="shared" si="889"/>
        <v>40774</v>
      </c>
      <c r="C5549" s="13">
        <v>2011.0</v>
      </c>
      <c r="D5549" s="11" t="s">
        <v>44</v>
      </c>
      <c r="E5549" s="11">
        <v>5.0</v>
      </c>
      <c r="F5549" s="21" t="s">
        <v>530</v>
      </c>
      <c r="G5549" s="15">
        <v>0.07664397100812655</v>
      </c>
      <c r="H5549" s="11" t="s">
        <v>33</v>
      </c>
      <c r="I5549" s="16">
        <v>4.904</v>
      </c>
      <c r="J5549" s="11" t="s">
        <v>1518</v>
      </c>
      <c r="K5549" s="11" t="s">
        <v>83</v>
      </c>
      <c r="L5549" s="11" t="s">
        <v>48</v>
      </c>
      <c r="M5549" s="11" t="s">
        <v>66</v>
      </c>
      <c r="N5549" s="11" t="s">
        <v>67</v>
      </c>
      <c r="O5549" s="11" t="s">
        <v>531</v>
      </c>
      <c r="P5549" s="11" t="s">
        <v>38</v>
      </c>
      <c r="Q5549" s="20">
        <v>40775.0</v>
      </c>
      <c r="R5549" s="17">
        <f t="shared" si="2"/>
        <v>32.22143199</v>
      </c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>
        <f t="shared" si="8"/>
        <v>4</v>
      </c>
      <c r="AF5549" s="19" t="b">
        <f t="shared" si="13"/>
        <v>0</v>
      </c>
      <c r="AG5549" s="9"/>
      <c r="AH5549" s="9"/>
      <c r="AI5549" s="9"/>
    </row>
    <row r="5550" ht="15.0" customHeight="1">
      <c r="A5550" s="11">
        <v>5549.0</v>
      </c>
      <c r="B5550" s="12">
        <f t="shared" si="889"/>
        <v>40774</v>
      </c>
      <c r="C5550" s="13">
        <v>2011.0</v>
      </c>
      <c r="D5550" s="11" t="s">
        <v>44</v>
      </c>
      <c r="E5550" s="11">
        <v>34.0</v>
      </c>
      <c r="F5550" s="21" t="s">
        <v>306</v>
      </c>
      <c r="G5550" s="15">
        <v>0.061815176972868924</v>
      </c>
      <c r="H5550" s="11" t="s">
        <v>33</v>
      </c>
      <c r="I5550" s="16">
        <v>4.616</v>
      </c>
      <c r="J5550" s="11" t="s">
        <v>1518</v>
      </c>
      <c r="K5550" s="11" t="s">
        <v>83</v>
      </c>
      <c r="L5550" s="11" t="s">
        <v>48</v>
      </c>
      <c r="M5550" s="11" t="s">
        <v>28</v>
      </c>
      <c r="N5550" s="11" t="s">
        <v>56</v>
      </c>
      <c r="O5550" s="11" t="s">
        <v>1169</v>
      </c>
      <c r="P5550" s="11" t="s">
        <v>38</v>
      </c>
      <c r="Q5550" s="20">
        <v>40775.0</v>
      </c>
      <c r="R5550" s="17">
        <f t="shared" si="2"/>
        <v>42.1094876</v>
      </c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>
        <f t="shared" si="8"/>
        <v>4</v>
      </c>
      <c r="AF5550" s="19" t="b">
        <f t="shared" si="13"/>
        <v>0</v>
      </c>
      <c r="AG5550" s="9"/>
      <c r="AH5550" s="9"/>
      <c r="AI5550" s="9"/>
    </row>
    <row r="5551" ht="15.0" customHeight="1">
      <c r="A5551" s="11">
        <v>5550.0</v>
      </c>
      <c r="B5551" s="12">
        <f t="shared" ref="B5551:B5559" si="890">DATE(2012,12,31)-499</f>
        <v>40775</v>
      </c>
      <c r="C5551" s="13">
        <v>2011.0</v>
      </c>
      <c r="D5551" s="11" t="s">
        <v>102</v>
      </c>
      <c r="E5551" s="11">
        <v>22.0</v>
      </c>
      <c r="F5551" s="21" t="s">
        <v>178</v>
      </c>
      <c r="G5551" s="15">
        <v>0.08627851888791915</v>
      </c>
      <c r="H5551" s="11" t="s">
        <v>33</v>
      </c>
      <c r="I5551" s="16">
        <v>15.991999999999999</v>
      </c>
      <c r="J5551" s="11" t="s">
        <v>1108</v>
      </c>
      <c r="K5551" s="11" t="s">
        <v>47</v>
      </c>
      <c r="L5551" s="11" t="s">
        <v>48</v>
      </c>
      <c r="M5551" s="11" t="s">
        <v>66</v>
      </c>
      <c r="N5551" s="11" t="s">
        <v>80</v>
      </c>
      <c r="O5551" s="11" t="s">
        <v>2359</v>
      </c>
      <c r="P5551" s="11" t="s">
        <v>38</v>
      </c>
      <c r="Q5551" s="20">
        <v>40776.0</v>
      </c>
      <c r="R5551" s="17">
        <f t="shared" si="2"/>
        <v>126.4663628</v>
      </c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>
        <f t="shared" si="8"/>
        <v>4</v>
      </c>
      <c r="AF5551" s="19">
        <f t="shared" si="13"/>
        <v>3</v>
      </c>
      <c r="AG5551" s="9"/>
      <c r="AH5551" s="9"/>
      <c r="AI5551" s="9"/>
    </row>
    <row r="5552" ht="15.0" customHeight="1">
      <c r="A5552" s="11">
        <v>5551.0</v>
      </c>
      <c r="B5552" s="12">
        <f t="shared" si="890"/>
        <v>40775</v>
      </c>
      <c r="C5552" s="13">
        <v>2011.0</v>
      </c>
      <c r="D5552" s="11" t="s">
        <v>102</v>
      </c>
      <c r="E5552" s="11">
        <v>16.0</v>
      </c>
      <c r="F5552" s="21" t="s">
        <v>93</v>
      </c>
      <c r="G5552" s="15">
        <v>0.10323863636363646</v>
      </c>
      <c r="H5552" s="11" t="s">
        <v>24</v>
      </c>
      <c r="I5552" s="16">
        <v>4.664000000000001</v>
      </c>
      <c r="J5552" s="11" t="s">
        <v>1648</v>
      </c>
      <c r="K5552" s="11" t="s">
        <v>35</v>
      </c>
      <c r="L5552" s="11" t="s">
        <v>27</v>
      </c>
      <c r="M5552" s="11" t="s">
        <v>28</v>
      </c>
      <c r="N5552" s="11" t="s">
        <v>56</v>
      </c>
      <c r="O5552" s="11" t="s">
        <v>95</v>
      </c>
      <c r="P5552" s="11" t="s">
        <v>58</v>
      </c>
      <c r="Q5552" s="20">
        <v>40776.0</v>
      </c>
      <c r="R5552" s="17">
        <f t="shared" si="2"/>
        <v>13.03532318</v>
      </c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>
        <f t="shared" si="8"/>
        <v>1</v>
      </c>
      <c r="AF5552" s="19">
        <f t="shared" si="13"/>
        <v>2</v>
      </c>
      <c r="AG5552" s="9"/>
      <c r="AH5552" s="9"/>
      <c r="AI5552" s="9"/>
    </row>
    <row r="5553" ht="15.0" customHeight="1">
      <c r="A5553" s="11">
        <v>5552.0</v>
      </c>
      <c r="B5553" s="12">
        <f t="shared" si="890"/>
        <v>40775</v>
      </c>
      <c r="C5553" s="13">
        <v>2011.0</v>
      </c>
      <c r="D5553" s="11" t="s">
        <v>102</v>
      </c>
      <c r="E5553" s="11">
        <v>30.0</v>
      </c>
      <c r="F5553" s="21" t="s">
        <v>573</v>
      </c>
      <c r="G5553" s="15">
        <v>0.05907499999999999</v>
      </c>
      <c r="H5553" s="11" t="s">
        <v>33</v>
      </c>
      <c r="I5553" s="16">
        <v>4.096</v>
      </c>
      <c r="J5553" s="11" t="s">
        <v>1648</v>
      </c>
      <c r="K5553" s="11" t="s">
        <v>35</v>
      </c>
      <c r="L5553" s="11" t="s">
        <v>27</v>
      </c>
      <c r="M5553" s="11" t="s">
        <v>28</v>
      </c>
      <c r="N5553" s="11" t="s">
        <v>56</v>
      </c>
      <c r="O5553" s="11" t="s">
        <v>2202</v>
      </c>
      <c r="P5553" s="11" t="s">
        <v>38</v>
      </c>
      <c r="Q5553" s="20">
        <v>40776.0</v>
      </c>
      <c r="R5553" s="17">
        <f t="shared" si="2"/>
        <v>17.7872462</v>
      </c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>
        <f t="shared" si="8"/>
        <v>1</v>
      </c>
      <c r="AF5553" s="19">
        <f t="shared" si="13"/>
        <v>2</v>
      </c>
      <c r="AG5553" s="9"/>
      <c r="AH5553" s="9"/>
      <c r="AI5553" s="9"/>
    </row>
    <row r="5554" ht="15.0" customHeight="1">
      <c r="A5554" s="11">
        <v>5553.0</v>
      </c>
      <c r="B5554" s="12">
        <f t="shared" si="890"/>
        <v>40775</v>
      </c>
      <c r="C5554" s="13">
        <v>2011.0</v>
      </c>
      <c r="D5554" s="11" t="s">
        <v>44</v>
      </c>
      <c r="E5554" s="11">
        <v>15.0</v>
      </c>
      <c r="F5554" s="21" t="s">
        <v>573</v>
      </c>
      <c r="G5554" s="15">
        <v>0.097636684303351</v>
      </c>
      <c r="H5554" s="11" t="s">
        <v>24</v>
      </c>
      <c r="I5554" s="16">
        <v>4.992000000000001</v>
      </c>
      <c r="J5554" s="11" t="s">
        <v>2314</v>
      </c>
      <c r="K5554" s="11" t="s">
        <v>61</v>
      </c>
      <c r="L5554" s="11" t="s">
        <v>41</v>
      </c>
      <c r="M5554" s="11" t="s">
        <v>66</v>
      </c>
      <c r="N5554" s="11" t="s">
        <v>69</v>
      </c>
      <c r="O5554" s="11" t="s">
        <v>1412</v>
      </c>
      <c r="P5554" s="11" t="s">
        <v>75</v>
      </c>
      <c r="Q5554" s="20">
        <v>40776.0</v>
      </c>
      <c r="R5554" s="17">
        <f t="shared" si="2"/>
        <v>14.98644995</v>
      </c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>
        <f t="shared" si="8"/>
        <v>3</v>
      </c>
      <c r="AF5554" s="19">
        <f t="shared" si="13"/>
        <v>4</v>
      </c>
      <c r="AG5554" s="9"/>
      <c r="AH5554" s="9"/>
      <c r="AI5554" s="9"/>
    </row>
    <row r="5555" ht="15.0" customHeight="1">
      <c r="A5555" s="11">
        <v>5554.0</v>
      </c>
      <c r="B5555" s="12">
        <f t="shared" si="890"/>
        <v>40775</v>
      </c>
      <c r="C5555" s="13">
        <v>2011.0</v>
      </c>
      <c r="D5555" s="11" t="s">
        <v>23</v>
      </c>
      <c r="E5555" s="11">
        <v>37.0</v>
      </c>
      <c r="F5555" s="21" t="s">
        <v>325</v>
      </c>
      <c r="G5555" s="15">
        <v>0.08591450595655215</v>
      </c>
      <c r="H5555" s="11" t="s">
        <v>33</v>
      </c>
      <c r="I5555" s="16">
        <v>1.8800000000000001</v>
      </c>
      <c r="J5555" s="11" t="s">
        <v>227</v>
      </c>
      <c r="K5555" s="11" t="s">
        <v>35</v>
      </c>
      <c r="L5555" s="11" t="s">
        <v>27</v>
      </c>
      <c r="M5555" s="11" t="s">
        <v>28</v>
      </c>
      <c r="N5555" s="11" t="s">
        <v>62</v>
      </c>
      <c r="O5555" s="11" t="s">
        <v>1113</v>
      </c>
      <c r="P5555" s="11" t="s">
        <v>58</v>
      </c>
      <c r="Q5555" s="20">
        <v>40777.0</v>
      </c>
      <c r="R5555" s="17">
        <f t="shared" si="2"/>
        <v>22.41337631</v>
      </c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>
        <f t="shared" si="8"/>
        <v>1</v>
      </c>
      <c r="AF5555" s="19">
        <f t="shared" si="13"/>
        <v>2</v>
      </c>
      <c r="AG5555" s="9"/>
      <c r="AH5555" s="9"/>
      <c r="AI5555" s="9"/>
    </row>
    <row r="5556" ht="15.0" customHeight="1">
      <c r="A5556" s="11">
        <v>5555.0</v>
      </c>
      <c r="B5556" s="12">
        <f t="shared" si="890"/>
        <v>40775</v>
      </c>
      <c r="C5556" s="13">
        <v>2011.0</v>
      </c>
      <c r="D5556" s="11" t="s">
        <v>32</v>
      </c>
      <c r="E5556" s="11">
        <v>8.0</v>
      </c>
      <c r="F5556" s="21" t="s">
        <v>218</v>
      </c>
      <c r="G5556" s="15">
        <v>0.008650217706821532</v>
      </c>
      <c r="H5556" s="11" t="s">
        <v>33</v>
      </c>
      <c r="I5556" s="16">
        <v>1.904</v>
      </c>
      <c r="J5556" s="11" t="s">
        <v>2427</v>
      </c>
      <c r="K5556" s="11" t="s">
        <v>65</v>
      </c>
      <c r="L5556" s="11" t="s">
        <v>27</v>
      </c>
      <c r="M5556" s="11" t="s">
        <v>66</v>
      </c>
      <c r="N5556" s="11" t="s">
        <v>67</v>
      </c>
      <c r="O5556" s="11" t="s">
        <v>773</v>
      </c>
      <c r="P5556" s="11" t="s">
        <v>99</v>
      </c>
      <c r="Q5556" s="20">
        <v>40777.0</v>
      </c>
      <c r="R5556" s="17">
        <f t="shared" si="2"/>
        <v>0.5908444702</v>
      </c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>
        <f t="shared" si="8"/>
        <v>1</v>
      </c>
      <c r="AF5556" s="19">
        <f t="shared" si="13"/>
        <v>5</v>
      </c>
      <c r="AG5556" s="9"/>
      <c r="AH5556" s="9"/>
      <c r="AI5556" s="9"/>
    </row>
    <row r="5557" ht="15.0" customHeight="1">
      <c r="A5557" s="11">
        <v>5556.0</v>
      </c>
      <c r="B5557" s="12">
        <f t="shared" si="890"/>
        <v>40775</v>
      </c>
      <c r="C5557" s="13">
        <v>2011.0</v>
      </c>
      <c r="D5557" s="11" t="s">
        <v>32</v>
      </c>
      <c r="E5557" s="11">
        <v>10.0</v>
      </c>
      <c r="F5557" s="21" t="s">
        <v>135</v>
      </c>
      <c r="G5557" s="15">
        <v>0.05845347313237213</v>
      </c>
      <c r="H5557" s="11" t="s">
        <v>33</v>
      </c>
      <c r="I5557" s="16">
        <v>5.84</v>
      </c>
      <c r="J5557" s="11" t="s">
        <v>2427</v>
      </c>
      <c r="K5557" s="11" t="s">
        <v>65</v>
      </c>
      <c r="L5557" s="11" t="s">
        <v>27</v>
      </c>
      <c r="M5557" s="11" t="s">
        <v>28</v>
      </c>
      <c r="N5557" s="11" t="s">
        <v>56</v>
      </c>
      <c r="O5557" s="11" t="s">
        <v>2129</v>
      </c>
      <c r="P5557" s="11" t="s">
        <v>38</v>
      </c>
      <c r="Q5557" s="20">
        <v>40777.0</v>
      </c>
      <c r="R5557" s="17">
        <f t="shared" si="2"/>
        <v>4.19929751</v>
      </c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>
        <f t="shared" si="8"/>
        <v>1</v>
      </c>
      <c r="AF5557" s="19">
        <f t="shared" si="13"/>
        <v>5</v>
      </c>
      <c r="AG5557" s="9"/>
      <c r="AH5557" s="9"/>
      <c r="AI5557" s="9"/>
    </row>
    <row r="5558" ht="15.0" customHeight="1">
      <c r="A5558" s="11">
        <v>5557.0</v>
      </c>
      <c r="B5558" s="12">
        <f t="shared" si="890"/>
        <v>40775</v>
      </c>
      <c r="C5558" s="13">
        <v>2011.0</v>
      </c>
      <c r="D5558" s="11" t="s">
        <v>102</v>
      </c>
      <c r="E5558" s="11">
        <v>6.0</v>
      </c>
      <c r="F5558" s="21" t="s">
        <v>306</v>
      </c>
      <c r="G5558" s="15">
        <v>0.016778210116731564</v>
      </c>
      <c r="H5558" s="11" t="s">
        <v>33</v>
      </c>
      <c r="I5558" s="16">
        <v>6.944</v>
      </c>
      <c r="J5558" s="11" t="s">
        <v>2167</v>
      </c>
      <c r="K5558" s="11" t="s">
        <v>83</v>
      </c>
      <c r="L5558" s="11" t="s">
        <v>41</v>
      </c>
      <c r="M5558" s="11" t="s">
        <v>28</v>
      </c>
      <c r="N5558" s="11" t="s">
        <v>56</v>
      </c>
      <c r="O5558" s="11" t="s">
        <v>401</v>
      </c>
      <c r="P5558" s="11" t="s">
        <v>38</v>
      </c>
      <c r="Q5558" s="20">
        <v>40777.0</v>
      </c>
      <c r="R5558" s="17">
        <f t="shared" si="2"/>
        <v>2.119826179</v>
      </c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>
        <f t="shared" si="8"/>
        <v>3</v>
      </c>
      <c r="AF5558" s="19" t="b">
        <f t="shared" si="13"/>
        <v>0</v>
      </c>
      <c r="AG5558" s="9"/>
      <c r="AH5558" s="9"/>
      <c r="AI5558" s="9"/>
    </row>
    <row r="5559" ht="15.0" customHeight="1">
      <c r="A5559" s="11">
        <v>5558.0</v>
      </c>
      <c r="B5559" s="12">
        <f t="shared" si="890"/>
        <v>40775</v>
      </c>
      <c r="C5559" s="13">
        <v>2011.0</v>
      </c>
      <c r="D5559" s="11" t="s">
        <v>32</v>
      </c>
      <c r="E5559" s="11">
        <v>20.0</v>
      </c>
      <c r="F5559" s="21" t="s">
        <v>1057</v>
      </c>
      <c r="G5559" s="15">
        <v>0.028900523560209248</v>
      </c>
      <c r="H5559" s="11" t="s">
        <v>33</v>
      </c>
      <c r="I5559" s="16">
        <v>3.672</v>
      </c>
      <c r="J5559" s="11" t="s">
        <v>2112</v>
      </c>
      <c r="K5559" s="11" t="s">
        <v>26</v>
      </c>
      <c r="L5559" s="11" t="s">
        <v>41</v>
      </c>
      <c r="M5559" s="11" t="s">
        <v>28</v>
      </c>
      <c r="N5559" s="11" t="s">
        <v>442</v>
      </c>
      <c r="O5559" s="11" t="s">
        <v>1059</v>
      </c>
      <c r="P5559" s="11" t="s">
        <v>58</v>
      </c>
      <c r="Q5559" s="20">
        <v>40777.0</v>
      </c>
      <c r="R5559" s="17">
        <f t="shared" si="2"/>
        <v>7.504656754</v>
      </c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>
        <f t="shared" si="8"/>
        <v>3</v>
      </c>
      <c r="AF5559" s="19">
        <f t="shared" si="13"/>
        <v>1</v>
      </c>
      <c r="AG5559" s="9"/>
      <c r="AH5559" s="9"/>
      <c r="AI5559" s="9"/>
    </row>
    <row r="5560" ht="15.0" customHeight="1">
      <c r="A5560" s="11">
        <v>5559.0</v>
      </c>
      <c r="B5560" s="12">
        <f t="shared" ref="B5560:B5570" si="891">DATE(2012,12,31)-498</f>
        <v>40776</v>
      </c>
      <c r="C5560" s="13">
        <v>2011.0</v>
      </c>
      <c r="D5560" s="11" t="s">
        <v>102</v>
      </c>
      <c r="E5560" s="11">
        <v>28.0</v>
      </c>
      <c r="F5560" s="21" t="s">
        <v>126</v>
      </c>
      <c r="G5560" s="15">
        <v>0.08575875486381299</v>
      </c>
      <c r="H5560" s="11" t="s">
        <v>33</v>
      </c>
      <c r="I5560" s="16">
        <v>3.776</v>
      </c>
      <c r="J5560" s="11" t="s">
        <v>588</v>
      </c>
      <c r="K5560" s="11" t="s">
        <v>47</v>
      </c>
      <c r="L5560" s="11" t="s">
        <v>41</v>
      </c>
      <c r="M5560" s="11" t="s">
        <v>28</v>
      </c>
      <c r="N5560" s="11" t="s">
        <v>56</v>
      </c>
      <c r="O5560" s="11" t="s">
        <v>1299</v>
      </c>
      <c r="P5560" s="11" t="s">
        <v>38</v>
      </c>
      <c r="Q5560" s="20">
        <v>40777.0</v>
      </c>
      <c r="R5560" s="17">
        <f t="shared" si="2"/>
        <v>12.08992623</v>
      </c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>
        <f t="shared" si="8"/>
        <v>3</v>
      </c>
      <c r="AF5560" s="19">
        <f t="shared" si="13"/>
        <v>3</v>
      </c>
      <c r="AG5560" s="9"/>
      <c r="AH5560" s="9"/>
      <c r="AI5560" s="9"/>
    </row>
    <row r="5561" ht="15.0" customHeight="1">
      <c r="A5561" s="11">
        <v>5560.0</v>
      </c>
      <c r="B5561" s="12">
        <f t="shared" si="891"/>
        <v>40776</v>
      </c>
      <c r="C5561" s="13">
        <v>2011.0</v>
      </c>
      <c r="D5561" s="11" t="s">
        <v>32</v>
      </c>
      <c r="E5561" s="11">
        <v>23.0</v>
      </c>
      <c r="F5561" s="21" t="s">
        <v>513</v>
      </c>
      <c r="G5561" s="15">
        <v>0.03116139940174268</v>
      </c>
      <c r="H5561" s="11" t="s">
        <v>45</v>
      </c>
      <c r="I5561" s="16">
        <v>24.0</v>
      </c>
      <c r="J5561" s="11" t="s">
        <v>1218</v>
      </c>
      <c r="K5561" s="11" t="s">
        <v>61</v>
      </c>
      <c r="L5561" s="11" t="s">
        <v>41</v>
      </c>
      <c r="M5561" s="11" t="s">
        <v>49</v>
      </c>
      <c r="N5561" s="11" t="s">
        <v>50</v>
      </c>
      <c r="O5561" s="11" t="s">
        <v>515</v>
      </c>
      <c r="P5561" s="11" t="s">
        <v>52</v>
      </c>
      <c r="Q5561" s="20">
        <v>40778.0</v>
      </c>
      <c r="R5561" s="17">
        <f t="shared" si="2"/>
        <v>116.0668644</v>
      </c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>
        <f t="shared" si="8"/>
        <v>3</v>
      </c>
      <c r="AF5561" s="19">
        <f t="shared" si="13"/>
        <v>4</v>
      </c>
      <c r="AG5561" s="9"/>
      <c r="AH5561" s="9"/>
      <c r="AI5561" s="9"/>
    </row>
    <row r="5562" ht="15.0" customHeight="1">
      <c r="A5562" s="11">
        <v>5561.0</v>
      </c>
      <c r="B5562" s="12">
        <f t="shared" si="891"/>
        <v>40776</v>
      </c>
      <c r="C5562" s="13">
        <v>2011.0</v>
      </c>
      <c r="D5562" s="11" t="s">
        <v>32</v>
      </c>
      <c r="E5562" s="11">
        <v>9.0</v>
      </c>
      <c r="F5562" s="21" t="s">
        <v>270</v>
      </c>
      <c r="G5562" s="15">
        <v>0.06808167380892372</v>
      </c>
      <c r="H5562" s="11" t="s">
        <v>33</v>
      </c>
      <c r="I5562" s="16">
        <v>1.592</v>
      </c>
      <c r="J5562" s="11" t="s">
        <v>1218</v>
      </c>
      <c r="K5562" s="11" t="s">
        <v>61</v>
      </c>
      <c r="L5562" s="11" t="s">
        <v>41</v>
      </c>
      <c r="M5562" s="11" t="s">
        <v>66</v>
      </c>
      <c r="N5562" s="11" t="s">
        <v>67</v>
      </c>
      <c r="O5562" s="11" t="s">
        <v>2453</v>
      </c>
      <c r="P5562" s="11" t="s">
        <v>99</v>
      </c>
      <c r="Q5562" s="20">
        <v>40778.0</v>
      </c>
      <c r="R5562" s="17">
        <f t="shared" si="2"/>
        <v>25.16925015</v>
      </c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>
        <f t="shared" si="8"/>
        <v>3</v>
      </c>
      <c r="AF5562" s="19">
        <f t="shared" si="13"/>
        <v>4</v>
      </c>
      <c r="AG5562" s="9"/>
      <c r="AH5562" s="9"/>
      <c r="AI5562" s="9"/>
    </row>
    <row r="5563" ht="15.0" customHeight="1">
      <c r="A5563" s="11">
        <v>5562.0</v>
      </c>
      <c r="B5563" s="12">
        <f t="shared" si="891"/>
        <v>40776</v>
      </c>
      <c r="C5563" s="13">
        <v>2011.0</v>
      </c>
      <c r="D5563" s="11" t="s">
        <v>23</v>
      </c>
      <c r="E5563" s="11">
        <v>33.0</v>
      </c>
      <c r="F5563" s="21" t="s">
        <v>218</v>
      </c>
      <c r="G5563" s="15">
        <v>0.09453709783322387</v>
      </c>
      <c r="H5563" s="11" t="s">
        <v>33</v>
      </c>
      <c r="I5563" s="16">
        <v>1.904</v>
      </c>
      <c r="J5563" s="11" t="s">
        <v>850</v>
      </c>
      <c r="K5563" s="11" t="s">
        <v>61</v>
      </c>
      <c r="L5563" s="11" t="s">
        <v>36</v>
      </c>
      <c r="M5563" s="11" t="s">
        <v>66</v>
      </c>
      <c r="N5563" s="11" t="s">
        <v>67</v>
      </c>
      <c r="O5563" s="11" t="s">
        <v>773</v>
      </c>
      <c r="P5563" s="11" t="s">
        <v>99</v>
      </c>
      <c r="Q5563" s="20">
        <v>40778.0</v>
      </c>
      <c r="R5563" s="17">
        <f t="shared" si="2"/>
        <v>26.07370973</v>
      </c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>
        <f t="shared" si="8"/>
        <v>2</v>
      </c>
      <c r="AF5563" s="19">
        <f t="shared" si="13"/>
        <v>4</v>
      </c>
      <c r="AG5563" s="9"/>
      <c r="AH5563" s="9"/>
      <c r="AI5563" s="9"/>
    </row>
    <row r="5564" ht="15.0" customHeight="1">
      <c r="A5564" s="11">
        <v>5563.0</v>
      </c>
      <c r="B5564" s="12">
        <f t="shared" si="891"/>
        <v>40776</v>
      </c>
      <c r="C5564" s="13">
        <v>2011.0</v>
      </c>
      <c r="D5564" s="11" t="s">
        <v>102</v>
      </c>
      <c r="E5564" s="11">
        <v>26.0</v>
      </c>
      <c r="F5564" s="21" t="s">
        <v>1015</v>
      </c>
      <c r="G5564" s="15">
        <v>0.04151133501259436</v>
      </c>
      <c r="H5564" s="11" t="s">
        <v>24</v>
      </c>
      <c r="I5564" s="16">
        <v>4.008</v>
      </c>
      <c r="J5564" s="11" t="s">
        <v>960</v>
      </c>
      <c r="K5564" s="11" t="s">
        <v>65</v>
      </c>
      <c r="L5564" s="11" t="s">
        <v>36</v>
      </c>
      <c r="M5564" s="11" t="s">
        <v>28</v>
      </c>
      <c r="N5564" s="11" t="s">
        <v>42</v>
      </c>
      <c r="O5564" s="11" t="s">
        <v>1547</v>
      </c>
      <c r="P5564" s="11" t="s">
        <v>38</v>
      </c>
      <c r="Q5564" s="20">
        <v>40778.0</v>
      </c>
      <c r="R5564" s="17">
        <f t="shared" si="2"/>
        <v>6.31835728</v>
      </c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>
        <f t="shared" si="8"/>
        <v>2</v>
      </c>
      <c r="AF5564" s="19">
        <f t="shared" si="13"/>
        <v>5</v>
      </c>
      <c r="AG5564" s="9"/>
      <c r="AH5564" s="9"/>
      <c r="AI5564" s="9"/>
    </row>
    <row r="5565" ht="15.0" customHeight="1">
      <c r="A5565" s="11">
        <v>5564.0</v>
      </c>
      <c r="B5565" s="12">
        <f t="shared" si="891"/>
        <v>40776</v>
      </c>
      <c r="C5565" s="13">
        <v>2011.0</v>
      </c>
      <c r="D5565" s="11" t="s">
        <v>102</v>
      </c>
      <c r="E5565" s="11">
        <v>23.0</v>
      </c>
      <c r="F5565" s="21" t="s">
        <v>1764</v>
      </c>
      <c r="G5565" s="15">
        <v>0.0218570642346096</v>
      </c>
      <c r="H5565" s="11" t="s">
        <v>24</v>
      </c>
      <c r="I5565" s="16">
        <v>4.4</v>
      </c>
      <c r="J5565" s="11" t="s">
        <v>960</v>
      </c>
      <c r="K5565" s="11" t="s">
        <v>65</v>
      </c>
      <c r="L5565" s="11" t="s">
        <v>36</v>
      </c>
      <c r="M5565" s="11" t="s">
        <v>66</v>
      </c>
      <c r="N5565" s="11" t="s">
        <v>67</v>
      </c>
      <c r="O5565" s="11" t="s">
        <v>1765</v>
      </c>
      <c r="P5565" s="11" t="s">
        <v>38</v>
      </c>
      <c r="Q5565" s="20">
        <v>40778.0</v>
      </c>
      <c r="R5565" s="17">
        <f t="shared" si="2"/>
        <v>27.19237361</v>
      </c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>
        <f t="shared" si="8"/>
        <v>2</v>
      </c>
      <c r="AF5565" s="19">
        <f t="shared" si="13"/>
        <v>5</v>
      </c>
      <c r="AG5565" s="9"/>
      <c r="AH5565" s="9"/>
      <c r="AI5565" s="9"/>
    </row>
    <row r="5566" ht="15.0" customHeight="1">
      <c r="A5566" s="11">
        <v>5565.0</v>
      </c>
      <c r="B5566" s="12">
        <f t="shared" si="891"/>
        <v>40776</v>
      </c>
      <c r="C5566" s="13">
        <v>2011.0</v>
      </c>
      <c r="D5566" s="11" t="s">
        <v>102</v>
      </c>
      <c r="E5566" s="11">
        <v>1.0</v>
      </c>
      <c r="F5566" s="21" t="s">
        <v>336</v>
      </c>
      <c r="G5566" s="15">
        <v>0.10817391304347825</v>
      </c>
      <c r="H5566" s="11" t="s">
        <v>33</v>
      </c>
      <c r="I5566" s="16">
        <v>4.456</v>
      </c>
      <c r="J5566" s="11" t="s">
        <v>960</v>
      </c>
      <c r="K5566" s="11" t="s">
        <v>65</v>
      </c>
      <c r="L5566" s="11" t="s">
        <v>36</v>
      </c>
      <c r="M5566" s="11" t="s">
        <v>49</v>
      </c>
      <c r="N5566" s="11" t="s">
        <v>73</v>
      </c>
      <c r="O5566" s="11" t="s">
        <v>2479</v>
      </c>
      <c r="P5566" s="11" t="s">
        <v>38</v>
      </c>
      <c r="Q5566" s="20">
        <v>40778.0</v>
      </c>
      <c r="R5566" s="17">
        <f t="shared" si="2"/>
        <v>1.109431652</v>
      </c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>
        <f t="shared" si="8"/>
        <v>2</v>
      </c>
      <c r="AF5566" s="19">
        <f t="shared" si="13"/>
        <v>5</v>
      </c>
      <c r="AG5566" s="9"/>
      <c r="AH5566" s="9"/>
      <c r="AI5566" s="9"/>
    </row>
    <row r="5567" ht="15.0" customHeight="1">
      <c r="A5567" s="11">
        <v>5566.0</v>
      </c>
      <c r="B5567" s="12">
        <f t="shared" si="891"/>
        <v>40776</v>
      </c>
      <c r="C5567" s="13">
        <v>2011.0</v>
      </c>
      <c r="D5567" s="11" t="s">
        <v>44</v>
      </c>
      <c r="E5567" s="11">
        <v>2.0</v>
      </c>
      <c r="F5567" s="21" t="s">
        <v>638</v>
      </c>
      <c r="G5567" s="15">
        <v>0.14234234234234236</v>
      </c>
      <c r="H5567" s="11" t="s">
        <v>33</v>
      </c>
      <c r="I5567" s="16">
        <v>4.84</v>
      </c>
      <c r="J5567" s="11" t="s">
        <v>873</v>
      </c>
      <c r="K5567" s="11" t="s">
        <v>83</v>
      </c>
      <c r="L5567" s="11" t="s">
        <v>41</v>
      </c>
      <c r="M5567" s="11" t="s">
        <v>28</v>
      </c>
      <c r="N5567" s="11" t="s">
        <v>42</v>
      </c>
      <c r="O5567" s="11" t="s">
        <v>640</v>
      </c>
      <c r="P5567" s="11" t="s">
        <v>38</v>
      </c>
      <c r="Q5567" s="20">
        <v>40778.0</v>
      </c>
      <c r="R5567" s="17">
        <f t="shared" si="2"/>
        <v>2.710198198</v>
      </c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>
        <f t="shared" si="8"/>
        <v>3</v>
      </c>
      <c r="AF5567" s="19" t="b">
        <f t="shared" si="13"/>
        <v>0</v>
      </c>
      <c r="AG5567" s="9"/>
      <c r="AH5567" s="9"/>
      <c r="AI5567" s="9"/>
    </row>
    <row r="5568" ht="15.0" customHeight="1">
      <c r="A5568" s="11">
        <v>5567.0</v>
      </c>
      <c r="B5568" s="12">
        <f t="shared" si="891"/>
        <v>40776</v>
      </c>
      <c r="C5568" s="13">
        <v>2011.0</v>
      </c>
      <c r="D5568" s="11" t="s">
        <v>44</v>
      </c>
      <c r="E5568" s="11">
        <v>17.0</v>
      </c>
      <c r="F5568" s="21" t="s">
        <v>100</v>
      </c>
      <c r="G5568" s="15">
        <v>0.010472369759294766</v>
      </c>
      <c r="H5568" s="11" t="s">
        <v>33</v>
      </c>
      <c r="I5568" s="16">
        <v>2.232</v>
      </c>
      <c r="J5568" s="11" t="s">
        <v>873</v>
      </c>
      <c r="K5568" s="11" t="s">
        <v>83</v>
      </c>
      <c r="L5568" s="11" t="s">
        <v>41</v>
      </c>
      <c r="M5568" s="11" t="s">
        <v>66</v>
      </c>
      <c r="N5568" s="11" t="s">
        <v>80</v>
      </c>
      <c r="O5568" s="11" t="s">
        <v>2416</v>
      </c>
      <c r="P5568" s="11" t="s">
        <v>38</v>
      </c>
      <c r="Q5568" s="20">
        <v>40778.0</v>
      </c>
      <c r="R5568" s="17">
        <f t="shared" si="2"/>
        <v>36.6798102</v>
      </c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>
        <f t="shared" si="8"/>
        <v>3</v>
      </c>
      <c r="AF5568" s="19" t="b">
        <f t="shared" si="13"/>
        <v>0</v>
      </c>
      <c r="AG5568" s="9"/>
      <c r="AH5568" s="9"/>
      <c r="AI5568" s="9"/>
    </row>
    <row r="5569" ht="15.0" customHeight="1">
      <c r="A5569" s="11">
        <v>5568.0</v>
      </c>
      <c r="B5569" s="12">
        <f t="shared" si="891"/>
        <v>40776</v>
      </c>
      <c r="C5569" s="13">
        <v>2011.0</v>
      </c>
      <c r="D5569" s="11" t="s">
        <v>44</v>
      </c>
      <c r="E5569" s="11">
        <v>23.0</v>
      </c>
      <c r="F5569" s="21" t="s">
        <v>666</v>
      </c>
      <c r="G5569" s="15">
        <v>0.05953290870488342</v>
      </c>
      <c r="H5569" s="11" t="s">
        <v>33</v>
      </c>
      <c r="I5569" s="16">
        <v>1.192</v>
      </c>
      <c r="J5569" s="11" t="s">
        <v>873</v>
      </c>
      <c r="K5569" s="11" t="s">
        <v>83</v>
      </c>
      <c r="L5569" s="11" t="s">
        <v>41</v>
      </c>
      <c r="M5569" s="11" t="s">
        <v>28</v>
      </c>
      <c r="N5569" s="11" t="s">
        <v>42</v>
      </c>
      <c r="O5569" s="11" t="s">
        <v>667</v>
      </c>
      <c r="P5569" s="11" t="s">
        <v>38</v>
      </c>
      <c r="Q5569" s="20">
        <v>40779.0</v>
      </c>
      <c r="R5569" s="17">
        <f t="shared" si="2"/>
        <v>5.274139448</v>
      </c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>
        <f t="shared" si="8"/>
        <v>3</v>
      </c>
      <c r="AF5569" s="19" t="b">
        <f t="shared" si="13"/>
        <v>0</v>
      </c>
      <c r="AG5569" s="9"/>
      <c r="AH5569" s="9"/>
      <c r="AI5569" s="9"/>
    </row>
    <row r="5570" ht="15.0" customHeight="1">
      <c r="A5570" s="11">
        <v>5569.0</v>
      </c>
      <c r="B5570" s="12">
        <f t="shared" si="891"/>
        <v>40776</v>
      </c>
      <c r="C5570" s="13">
        <v>2011.0</v>
      </c>
      <c r="D5570" s="11" t="s">
        <v>44</v>
      </c>
      <c r="E5570" s="11">
        <v>39.0</v>
      </c>
      <c r="F5570" s="21" t="s">
        <v>2464</v>
      </c>
      <c r="G5570" s="15">
        <v>0.06881729492825375</v>
      </c>
      <c r="H5570" s="11" t="s">
        <v>33</v>
      </c>
      <c r="I5570" s="16">
        <v>55.2</v>
      </c>
      <c r="J5570" s="11" t="s">
        <v>873</v>
      </c>
      <c r="K5570" s="11" t="s">
        <v>83</v>
      </c>
      <c r="L5570" s="11" t="s">
        <v>41</v>
      </c>
      <c r="M5570" s="11" t="s">
        <v>49</v>
      </c>
      <c r="N5570" s="11" t="s">
        <v>85</v>
      </c>
      <c r="O5570" s="11" t="s">
        <v>2404</v>
      </c>
      <c r="P5570" s="11" t="s">
        <v>31</v>
      </c>
      <c r="Q5570" s="20">
        <v>40779.0</v>
      </c>
      <c r="R5570" s="17">
        <f t="shared" si="2"/>
        <v>304.1242715</v>
      </c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>
        <f t="shared" si="8"/>
        <v>3</v>
      </c>
      <c r="AF5570" s="19" t="b">
        <f t="shared" si="13"/>
        <v>0</v>
      </c>
      <c r="AG5570" s="9"/>
      <c r="AH5570" s="9"/>
      <c r="AI5570" s="9"/>
    </row>
    <row r="5571" ht="15.0" customHeight="1">
      <c r="A5571" s="11">
        <v>5570.0</v>
      </c>
      <c r="B5571" s="12">
        <f t="shared" ref="B5571:B5572" si="892">DATE(2012,12,31)-497</f>
        <v>40777</v>
      </c>
      <c r="C5571" s="13">
        <v>2011.0</v>
      </c>
      <c r="D5571" s="11" t="s">
        <v>102</v>
      </c>
      <c r="E5571" s="11">
        <v>50.0</v>
      </c>
      <c r="F5571" s="21" t="s">
        <v>740</v>
      </c>
      <c r="G5571" s="15">
        <v>0.09192822900313387</v>
      </c>
      <c r="H5571" s="11" t="s">
        <v>45</v>
      </c>
      <c r="I5571" s="16">
        <v>51.784000000000006</v>
      </c>
      <c r="J5571" s="11" t="s">
        <v>1564</v>
      </c>
      <c r="K5571" s="11" t="s">
        <v>35</v>
      </c>
      <c r="L5571" s="11" t="s">
        <v>27</v>
      </c>
      <c r="M5571" s="11" t="s">
        <v>49</v>
      </c>
      <c r="N5571" s="11" t="s">
        <v>50</v>
      </c>
      <c r="O5571" s="11" t="s">
        <v>742</v>
      </c>
      <c r="P5571" s="11" t="s">
        <v>52</v>
      </c>
      <c r="Q5571" s="20">
        <v>40779.0</v>
      </c>
      <c r="R5571" s="17">
        <f t="shared" si="2"/>
        <v>1387.820617</v>
      </c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>
        <f t="shared" si="8"/>
        <v>1</v>
      </c>
      <c r="AF5571" s="19">
        <f t="shared" si="13"/>
        <v>2</v>
      </c>
      <c r="AG5571" s="9"/>
      <c r="AH5571" s="9"/>
      <c r="AI5571" s="9"/>
    </row>
    <row r="5572" ht="15.0" customHeight="1">
      <c r="A5572" s="11">
        <v>5571.0</v>
      </c>
      <c r="B5572" s="12">
        <f t="shared" si="892"/>
        <v>40777</v>
      </c>
      <c r="C5572" s="13">
        <v>2011.0</v>
      </c>
      <c r="D5572" s="11" t="s">
        <v>102</v>
      </c>
      <c r="E5572" s="11">
        <v>25.0</v>
      </c>
      <c r="F5572" s="21" t="s">
        <v>2210</v>
      </c>
      <c r="G5572" s="15">
        <v>0.014285714285714228</v>
      </c>
      <c r="H5572" s="11" t="s">
        <v>33</v>
      </c>
      <c r="I5572" s="16">
        <v>0.5599999999999999</v>
      </c>
      <c r="J5572" s="11" t="s">
        <v>1564</v>
      </c>
      <c r="K5572" s="11" t="s">
        <v>35</v>
      </c>
      <c r="L5572" s="11" t="s">
        <v>27</v>
      </c>
      <c r="M5572" s="11" t="s">
        <v>28</v>
      </c>
      <c r="N5572" s="11" t="s">
        <v>216</v>
      </c>
      <c r="O5572" s="11" t="s">
        <v>2562</v>
      </c>
      <c r="P5572" s="11" t="s">
        <v>58</v>
      </c>
      <c r="Q5572" s="20">
        <v>40780.0</v>
      </c>
      <c r="R5572" s="17">
        <f t="shared" si="2"/>
        <v>1.222285714</v>
      </c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>
        <f t="shared" si="8"/>
        <v>1</v>
      </c>
      <c r="AF5572" s="19">
        <f t="shared" si="13"/>
        <v>2</v>
      </c>
      <c r="AG5572" s="9"/>
      <c r="AH5572" s="9"/>
      <c r="AI5572" s="9"/>
    </row>
    <row r="5573" ht="15.0" customHeight="1">
      <c r="A5573" s="11">
        <v>5572.0</v>
      </c>
      <c r="B5573" s="12">
        <f t="shared" ref="B5573:B5579" si="893">DATE(2012,12,31)-496</f>
        <v>40778</v>
      </c>
      <c r="C5573" s="13">
        <v>2011.0</v>
      </c>
      <c r="D5573" s="11" t="s">
        <v>32</v>
      </c>
      <c r="E5573" s="11">
        <v>15.0</v>
      </c>
      <c r="F5573" s="21" t="s">
        <v>1173</v>
      </c>
      <c r="G5573" s="15">
        <v>0.09169625640002663</v>
      </c>
      <c r="H5573" s="11" t="s">
        <v>33</v>
      </c>
      <c r="I5573" s="16">
        <v>15.991999999999999</v>
      </c>
      <c r="J5573" s="11" t="s">
        <v>578</v>
      </c>
      <c r="K5573" s="11" t="s">
        <v>65</v>
      </c>
      <c r="L5573" s="11" t="s">
        <v>27</v>
      </c>
      <c r="M5573" s="11" t="s">
        <v>28</v>
      </c>
      <c r="N5573" s="11" t="s">
        <v>197</v>
      </c>
      <c r="O5573" s="11" t="s">
        <v>1174</v>
      </c>
      <c r="P5573" s="11" t="s">
        <v>38</v>
      </c>
      <c r="Q5573" s="20">
        <v>40780.0</v>
      </c>
      <c r="R5573" s="17">
        <f t="shared" si="2"/>
        <v>501.0276114</v>
      </c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>
        <f t="shared" si="8"/>
        <v>1</v>
      </c>
      <c r="AF5573" s="19">
        <f t="shared" si="13"/>
        <v>5</v>
      </c>
      <c r="AG5573" s="9"/>
      <c r="AH5573" s="9"/>
      <c r="AI5573" s="9"/>
    </row>
    <row r="5574" ht="15.0" customHeight="1">
      <c r="A5574" s="11">
        <v>5573.0</v>
      </c>
      <c r="B5574" s="12">
        <f t="shared" si="893"/>
        <v>40778</v>
      </c>
      <c r="C5574" s="13">
        <v>2011.0</v>
      </c>
      <c r="D5574" s="11" t="s">
        <v>44</v>
      </c>
      <c r="E5574" s="11">
        <v>39.0</v>
      </c>
      <c r="F5574" s="21" t="s">
        <v>100</v>
      </c>
      <c r="G5574" s="15">
        <v>0.029662910491926077</v>
      </c>
      <c r="H5574" s="11" t="s">
        <v>33</v>
      </c>
      <c r="I5574" s="16">
        <v>4.0</v>
      </c>
      <c r="J5574" s="11" t="s">
        <v>1929</v>
      </c>
      <c r="K5574" s="11" t="s">
        <v>83</v>
      </c>
      <c r="L5574" s="11" t="s">
        <v>48</v>
      </c>
      <c r="M5574" s="11" t="s">
        <v>66</v>
      </c>
      <c r="N5574" s="11" t="s">
        <v>80</v>
      </c>
      <c r="O5574" s="11" t="s">
        <v>2025</v>
      </c>
      <c r="P5574" s="11" t="s">
        <v>38</v>
      </c>
      <c r="Q5574" s="20">
        <v>40781.0</v>
      </c>
      <c r="R5574" s="17">
        <f t="shared" si="2"/>
        <v>238.3147892</v>
      </c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>
        <f t="shared" si="8"/>
        <v>4</v>
      </c>
      <c r="AF5574" s="19" t="b">
        <f t="shared" si="13"/>
        <v>0</v>
      </c>
      <c r="AG5574" s="9"/>
      <c r="AH5574" s="9"/>
      <c r="AI5574" s="9"/>
    </row>
    <row r="5575" ht="15.0" customHeight="1">
      <c r="A5575" s="11">
        <v>5574.0</v>
      </c>
      <c r="B5575" s="12">
        <f t="shared" si="893"/>
        <v>40778</v>
      </c>
      <c r="C5575" s="13">
        <v>2011.0</v>
      </c>
      <c r="D5575" s="11" t="s">
        <v>44</v>
      </c>
      <c r="E5575" s="11">
        <v>4.0</v>
      </c>
      <c r="F5575" s="21" t="s">
        <v>166</v>
      </c>
      <c r="G5575" s="15">
        <v>0.12705882352941172</v>
      </c>
      <c r="H5575" s="11" t="s">
        <v>33</v>
      </c>
      <c r="I5575" s="16">
        <v>1.304</v>
      </c>
      <c r="J5575" s="11" t="s">
        <v>1929</v>
      </c>
      <c r="K5575" s="11" t="s">
        <v>83</v>
      </c>
      <c r="L5575" s="11" t="s">
        <v>48</v>
      </c>
      <c r="M5575" s="11" t="s">
        <v>28</v>
      </c>
      <c r="N5575" s="11" t="s">
        <v>62</v>
      </c>
      <c r="O5575" s="11" t="s">
        <v>2220</v>
      </c>
      <c r="P5575" s="11" t="s">
        <v>58</v>
      </c>
      <c r="Q5575" s="20">
        <v>40781.0</v>
      </c>
      <c r="R5575" s="17">
        <f t="shared" si="2"/>
        <v>1.131331765</v>
      </c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>
        <f t="shared" si="8"/>
        <v>4</v>
      </c>
      <c r="AF5575" s="19" t="b">
        <f t="shared" si="13"/>
        <v>0</v>
      </c>
      <c r="AG5575" s="9"/>
      <c r="AH5575" s="9"/>
      <c r="AI5575" s="9"/>
    </row>
    <row r="5576" ht="15.0" customHeight="1">
      <c r="A5576" s="11">
        <v>5575.0</v>
      </c>
      <c r="B5576" s="12">
        <f t="shared" si="893"/>
        <v>40778</v>
      </c>
      <c r="C5576" s="13">
        <v>2011.0</v>
      </c>
      <c r="D5576" s="11" t="s">
        <v>44</v>
      </c>
      <c r="E5576" s="11">
        <v>43.0</v>
      </c>
      <c r="F5576" s="21" t="s">
        <v>122</v>
      </c>
      <c r="G5576" s="15">
        <v>0.06961936284650393</v>
      </c>
      <c r="H5576" s="11" t="s">
        <v>33</v>
      </c>
      <c r="I5576" s="16">
        <v>0.792</v>
      </c>
      <c r="J5576" s="11" t="s">
        <v>1929</v>
      </c>
      <c r="K5576" s="11" t="s">
        <v>83</v>
      </c>
      <c r="L5576" s="11" t="s">
        <v>48</v>
      </c>
      <c r="M5576" s="11" t="s">
        <v>66</v>
      </c>
      <c r="N5576" s="11" t="s">
        <v>80</v>
      </c>
      <c r="O5576" s="11" t="s">
        <v>1854</v>
      </c>
      <c r="P5576" s="11" t="s">
        <v>58</v>
      </c>
      <c r="Q5576" s="20">
        <v>40781.0</v>
      </c>
      <c r="R5576" s="17">
        <f t="shared" si="2"/>
        <v>62.62205993</v>
      </c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>
        <f t="shared" si="8"/>
        <v>4</v>
      </c>
      <c r="AF5576" s="19" t="b">
        <f t="shared" si="13"/>
        <v>0</v>
      </c>
      <c r="AG5576" s="9"/>
      <c r="AH5576" s="9"/>
      <c r="AI5576" s="9"/>
    </row>
    <row r="5577" ht="15.0" customHeight="1">
      <c r="A5577" s="11">
        <v>5576.0</v>
      </c>
      <c r="B5577" s="12">
        <f t="shared" si="893"/>
        <v>40778</v>
      </c>
      <c r="C5577" s="13">
        <v>2011.0</v>
      </c>
      <c r="D5577" s="11" t="s">
        <v>39</v>
      </c>
      <c r="E5577" s="11">
        <v>29.0</v>
      </c>
      <c r="F5577" s="21" t="s">
        <v>158</v>
      </c>
      <c r="G5577" s="15">
        <v>0.01779153766769855</v>
      </c>
      <c r="H5577" s="11" t="s">
        <v>24</v>
      </c>
      <c r="I5577" s="16">
        <v>4.752000000000001</v>
      </c>
      <c r="J5577" s="11" t="s">
        <v>1886</v>
      </c>
      <c r="K5577" s="11" t="s">
        <v>61</v>
      </c>
      <c r="L5577" s="11" t="s">
        <v>48</v>
      </c>
      <c r="M5577" s="11" t="s">
        <v>28</v>
      </c>
      <c r="N5577" s="11" t="s">
        <v>56</v>
      </c>
      <c r="O5577" s="11" t="s">
        <v>2186</v>
      </c>
      <c r="P5577" s="11" t="s">
        <v>38</v>
      </c>
      <c r="Q5577" s="20">
        <v>40781.0</v>
      </c>
      <c r="R5577" s="17">
        <f t="shared" si="2"/>
        <v>3.386654778</v>
      </c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>
        <f t="shared" si="8"/>
        <v>4</v>
      </c>
      <c r="AF5577" s="19">
        <f t="shared" si="13"/>
        <v>4</v>
      </c>
      <c r="AG5577" s="9"/>
      <c r="AH5577" s="9"/>
      <c r="AI5577" s="9"/>
    </row>
    <row r="5578" ht="15.0" customHeight="1">
      <c r="A5578" s="11">
        <v>5577.0</v>
      </c>
      <c r="B5578" s="12">
        <f t="shared" si="893"/>
        <v>40778</v>
      </c>
      <c r="C5578" s="13">
        <v>2011.0</v>
      </c>
      <c r="D5578" s="11" t="s">
        <v>23</v>
      </c>
      <c r="E5578" s="11">
        <v>45.0</v>
      </c>
      <c r="F5578" s="21" t="s">
        <v>1458</v>
      </c>
      <c r="G5578" s="15">
        <v>0.06660840468457838</v>
      </c>
      <c r="H5578" s="11" t="s">
        <v>33</v>
      </c>
      <c r="I5578" s="16">
        <v>8.096</v>
      </c>
      <c r="J5578" s="11" t="s">
        <v>1629</v>
      </c>
      <c r="K5578" s="11" t="s">
        <v>65</v>
      </c>
      <c r="L5578" s="11" t="s">
        <v>41</v>
      </c>
      <c r="M5578" s="11" t="s">
        <v>49</v>
      </c>
      <c r="N5578" s="11" t="s">
        <v>73</v>
      </c>
      <c r="O5578" s="11" t="s">
        <v>1459</v>
      </c>
      <c r="P5578" s="11" t="s">
        <v>31</v>
      </c>
      <c r="Q5578" s="20">
        <v>40781.0</v>
      </c>
      <c r="R5578" s="17">
        <f t="shared" si="2"/>
        <v>315.8634494</v>
      </c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>
        <f t="shared" si="8"/>
        <v>3</v>
      </c>
      <c r="AF5578" s="19">
        <f t="shared" si="13"/>
        <v>5</v>
      </c>
      <c r="AG5578" s="9"/>
      <c r="AH5578" s="9"/>
      <c r="AI5578" s="9"/>
    </row>
    <row r="5579" ht="15.0" customHeight="1">
      <c r="A5579" s="11">
        <v>5578.0</v>
      </c>
      <c r="B5579" s="12">
        <f t="shared" si="893"/>
        <v>40778</v>
      </c>
      <c r="C5579" s="13">
        <v>2011.0</v>
      </c>
      <c r="D5579" s="11" t="s">
        <v>23</v>
      </c>
      <c r="E5579" s="11">
        <v>42.0</v>
      </c>
      <c r="F5579" s="21" t="s">
        <v>178</v>
      </c>
      <c r="G5579" s="15">
        <v>0.011592197696394755</v>
      </c>
      <c r="H5579" s="11" t="s">
        <v>24</v>
      </c>
      <c r="I5579" s="16">
        <v>3.9920000000000004</v>
      </c>
      <c r="J5579" s="11" t="s">
        <v>1629</v>
      </c>
      <c r="K5579" s="11" t="s">
        <v>65</v>
      </c>
      <c r="L5579" s="11" t="s">
        <v>41</v>
      </c>
      <c r="M5579" s="11" t="s">
        <v>66</v>
      </c>
      <c r="N5579" s="11" t="s">
        <v>80</v>
      </c>
      <c r="O5579" s="11" t="s">
        <v>1614</v>
      </c>
      <c r="P5579" s="11" t="s">
        <v>38</v>
      </c>
      <c r="Q5579" s="20">
        <v>40781.0</v>
      </c>
      <c r="R5579" s="17">
        <f t="shared" si="2"/>
        <v>32.13116084</v>
      </c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>
        <f t="shared" si="8"/>
        <v>3</v>
      </c>
      <c r="AF5579" s="19">
        <f t="shared" si="13"/>
        <v>5</v>
      </c>
      <c r="AG5579" s="9"/>
      <c r="AH5579" s="9"/>
      <c r="AI5579" s="9"/>
    </row>
    <row r="5580" ht="15.0" customHeight="1">
      <c r="A5580" s="11">
        <v>5579.0</v>
      </c>
      <c r="B5580" s="12">
        <f t="shared" ref="B5580:B5582" si="894">DATE(2012,12,31)-495</f>
        <v>40779</v>
      </c>
      <c r="C5580" s="13">
        <v>2011.0</v>
      </c>
      <c r="D5580" s="11" t="s">
        <v>23</v>
      </c>
      <c r="E5580" s="11">
        <v>44.0</v>
      </c>
      <c r="F5580" s="21" t="s">
        <v>705</v>
      </c>
      <c r="G5580" s="15">
        <v>0.04954954954954945</v>
      </c>
      <c r="H5580" s="11" t="s">
        <v>33</v>
      </c>
      <c r="I5580" s="16">
        <v>6.0</v>
      </c>
      <c r="J5580" s="11" t="s">
        <v>148</v>
      </c>
      <c r="K5580" s="11" t="s">
        <v>65</v>
      </c>
      <c r="L5580" s="11" t="s">
        <v>41</v>
      </c>
      <c r="M5580" s="11" t="s">
        <v>28</v>
      </c>
      <c r="N5580" s="11" t="s">
        <v>188</v>
      </c>
      <c r="O5580" s="11" t="s">
        <v>2563</v>
      </c>
      <c r="P5580" s="11" t="s">
        <v>38</v>
      </c>
      <c r="Q5580" s="20">
        <v>40781.0</v>
      </c>
      <c r="R5580" s="17">
        <f t="shared" si="2"/>
        <v>8.363963964</v>
      </c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>
        <f t="shared" si="8"/>
        <v>3</v>
      </c>
      <c r="AF5580" s="19">
        <f t="shared" si="13"/>
        <v>5</v>
      </c>
      <c r="AG5580" s="9"/>
      <c r="AH5580" s="9"/>
      <c r="AI5580" s="9"/>
    </row>
    <row r="5581" ht="15.0" customHeight="1">
      <c r="A5581" s="11">
        <v>5580.0</v>
      </c>
      <c r="B5581" s="12">
        <f t="shared" si="894"/>
        <v>40779</v>
      </c>
      <c r="C5581" s="13">
        <v>2011.0</v>
      </c>
      <c r="D5581" s="11" t="s">
        <v>44</v>
      </c>
      <c r="E5581" s="11">
        <v>33.0</v>
      </c>
      <c r="F5581" s="21" t="s">
        <v>498</v>
      </c>
      <c r="G5581" s="15">
        <v>0.06831446247227731</v>
      </c>
      <c r="H5581" s="11" t="s">
        <v>24</v>
      </c>
      <c r="I5581" s="16">
        <v>28.0</v>
      </c>
      <c r="J5581" s="11" t="s">
        <v>581</v>
      </c>
      <c r="K5581" s="11" t="s">
        <v>47</v>
      </c>
      <c r="L5581" s="11" t="s">
        <v>36</v>
      </c>
      <c r="M5581" s="11" t="s">
        <v>28</v>
      </c>
      <c r="N5581" s="11" t="s">
        <v>29</v>
      </c>
      <c r="O5581" s="11" t="s">
        <v>30</v>
      </c>
      <c r="P5581" s="11" t="s">
        <v>31</v>
      </c>
      <c r="Q5581" s="20">
        <v>40781.0</v>
      </c>
      <c r="R5581" s="17">
        <f t="shared" si="2"/>
        <v>218.1075843</v>
      </c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>
        <f t="shared" si="8"/>
        <v>2</v>
      </c>
      <c r="AF5581" s="19">
        <f t="shared" si="13"/>
        <v>3</v>
      </c>
      <c r="AG5581" s="9"/>
      <c r="AH5581" s="9"/>
      <c r="AI5581" s="9"/>
    </row>
    <row r="5582" ht="15.0" customHeight="1">
      <c r="A5582" s="11">
        <v>5581.0</v>
      </c>
      <c r="B5582" s="12">
        <f t="shared" si="894"/>
        <v>40779</v>
      </c>
      <c r="C5582" s="13">
        <v>2011.0</v>
      </c>
      <c r="D5582" s="11" t="s">
        <v>44</v>
      </c>
      <c r="E5582" s="11">
        <v>49.0</v>
      </c>
      <c r="F5582" s="21" t="s">
        <v>1156</v>
      </c>
      <c r="G5582" s="15">
        <v>0.07482522051617123</v>
      </c>
      <c r="H5582" s="11" t="s">
        <v>33</v>
      </c>
      <c r="I5582" s="16">
        <v>7.192</v>
      </c>
      <c r="J5582" s="11" t="s">
        <v>581</v>
      </c>
      <c r="K5582" s="11" t="s">
        <v>47</v>
      </c>
      <c r="L5582" s="11" t="s">
        <v>36</v>
      </c>
      <c r="M5582" s="11" t="s">
        <v>66</v>
      </c>
      <c r="N5582" s="11" t="s">
        <v>80</v>
      </c>
      <c r="O5582" s="11" t="s">
        <v>2237</v>
      </c>
      <c r="P5582" s="11" t="s">
        <v>38</v>
      </c>
      <c r="Q5582" s="20">
        <v>40781.0</v>
      </c>
      <c r="R5582" s="17">
        <f t="shared" si="2"/>
        <v>572.135485</v>
      </c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>
        <f t="shared" si="8"/>
        <v>2</v>
      </c>
      <c r="AF5582" s="19">
        <f t="shared" si="13"/>
        <v>3</v>
      </c>
      <c r="AG5582" s="9"/>
      <c r="AH5582" s="9"/>
      <c r="AI5582" s="9"/>
    </row>
    <row r="5583" ht="15.0" customHeight="1">
      <c r="A5583" s="11">
        <v>5582.0</v>
      </c>
      <c r="B5583" s="12">
        <f t="shared" ref="B5583:B5592" si="895">DATE(2012,12,31)-494</f>
        <v>40780</v>
      </c>
      <c r="C5583" s="13">
        <v>2011.0</v>
      </c>
      <c r="D5583" s="11" t="s">
        <v>39</v>
      </c>
      <c r="E5583" s="11">
        <v>37.0</v>
      </c>
      <c r="F5583" s="21" t="s">
        <v>1282</v>
      </c>
      <c r="G5583" s="15">
        <v>0.039265936375763096</v>
      </c>
      <c r="H5583" s="11" t="s">
        <v>24</v>
      </c>
      <c r="I5583" s="16">
        <v>10.120000000000001</v>
      </c>
      <c r="J5583" s="11" t="s">
        <v>2301</v>
      </c>
      <c r="K5583" s="11" t="s">
        <v>83</v>
      </c>
      <c r="L5583" s="11" t="s">
        <v>27</v>
      </c>
      <c r="M5583" s="11" t="s">
        <v>49</v>
      </c>
      <c r="N5583" s="11" t="s">
        <v>50</v>
      </c>
      <c r="O5583" s="11" t="s">
        <v>1283</v>
      </c>
      <c r="P5583" s="11" t="s">
        <v>75</v>
      </c>
      <c r="Q5583" s="20">
        <v>40782.0</v>
      </c>
      <c r="R5583" s="17">
        <f t="shared" si="2"/>
        <v>186.6514139</v>
      </c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>
        <f t="shared" si="8"/>
        <v>1</v>
      </c>
      <c r="AF5583" s="19" t="b">
        <f t="shared" si="13"/>
        <v>0</v>
      </c>
      <c r="AG5583" s="9"/>
      <c r="AH5583" s="9"/>
      <c r="AI5583" s="9"/>
    </row>
    <row r="5584" ht="15.0" customHeight="1">
      <c r="A5584" s="11">
        <v>5583.0</v>
      </c>
      <c r="B5584" s="12">
        <f t="shared" si="895"/>
        <v>40780</v>
      </c>
      <c r="C5584" s="13">
        <v>2011.0</v>
      </c>
      <c r="D5584" s="11" t="s">
        <v>32</v>
      </c>
      <c r="E5584" s="11">
        <v>34.0</v>
      </c>
      <c r="F5584" s="21" t="s">
        <v>496</v>
      </c>
      <c r="G5584" s="15">
        <v>0.0355419410708207</v>
      </c>
      <c r="H5584" s="11" t="s">
        <v>45</v>
      </c>
      <c r="I5584" s="16">
        <v>48.160000000000004</v>
      </c>
      <c r="J5584" s="11" t="s">
        <v>634</v>
      </c>
      <c r="K5584" s="11" t="s">
        <v>61</v>
      </c>
      <c r="L5584" s="11" t="s">
        <v>41</v>
      </c>
      <c r="M5584" s="11" t="s">
        <v>49</v>
      </c>
      <c r="N5584" s="11" t="s">
        <v>156</v>
      </c>
      <c r="O5584" s="11" t="s">
        <v>497</v>
      </c>
      <c r="P5584" s="11" t="s">
        <v>87</v>
      </c>
      <c r="Q5584" s="20">
        <v>40782.0</v>
      </c>
      <c r="R5584" s="17">
        <f t="shared" si="2"/>
        <v>292.8215224</v>
      </c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>
        <f t="shared" si="8"/>
        <v>3</v>
      </c>
      <c r="AF5584" s="19">
        <f t="shared" si="13"/>
        <v>4</v>
      </c>
      <c r="AG5584" s="9"/>
      <c r="AH5584" s="9"/>
      <c r="AI5584" s="9"/>
    </row>
    <row r="5585" ht="15.0" customHeight="1">
      <c r="A5585" s="11">
        <v>5584.0</v>
      </c>
      <c r="B5585" s="12">
        <f t="shared" si="895"/>
        <v>40780</v>
      </c>
      <c r="C5585" s="13">
        <v>2011.0</v>
      </c>
      <c r="D5585" s="11" t="s">
        <v>32</v>
      </c>
      <c r="E5585" s="11">
        <v>21.0</v>
      </c>
      <c r="F5585" s="21" t="s">
        <v>158</v>
      </c>
      <c r="G5585" s="15">
        <v>0.10488664987405545</v>
      </c>
      <c r="H5585" s="11" t="s">
        <v>33</v>
      </c>
      <c r="I5585" s="16">
        <v>7.744</v>
      </c>
      <c r="J5585" s="11" t="s">
        <v>634</v>
      </c>
      <c r="K5585" s="11" t="s">
        <v>61</v>
      </c>
      <c r="L5585" s="11" t="s">
        <v>41</v>
      </c>
      <c r="M5585" s="11" t="s">
        <v>28</v>
      </c>
      <c r="N5585" s="11" t="s">
        <v>56</v>
      </c>
      <c r="O5585" s="11" t="s">
        <v>635</v>
      </c>
      <c r="P5585" s="11" t="s">
        <v>38</v>
      </c>
      <c r="Q5585" s="20">
        <v>40782.0</v>
      </c>
      <c r="R5585" s="17">
        <f t="shared" si="2"/>
        <v>14.90900796</v>
      </c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>
        <f t="shared" si="8"/>
        <v>3</v>
      </c>
      <c r="AF5585" s="19">
        <f t="shared" si="13"/>
        <v>4</v>
      </c>
      <c r="AG5585" s="9"/>
      <c r="AH5585" s="9"/>
      <c r="AI5585" s="9"/>
    </row>
    <row r="5586" ht="15.0" customHeight="1">
      <c r="A5586" s="11">
        <v>5585.0</v>
      </c>
      <c r="B5586" s="12">
        <f t="shared" si="895"/>
        <v>40780</v>
      </c>
      <c r="C5586" s="13">
        <v>2011.0</v>
      </c>
      <c r="D5586" s="11" t="s">
        <v>23</v>
      </c>
      <c r="E5586" s="11">
        <v>32.0</v>
      </c>
      <c r="F5586" s="21" t="s">
        <v>163</v>
      </c>
      <c r="G5586" s="15">
        <v>0.07550077041602463</v>
      </c>
      <c r="H5586" s="11" t="s">
        <v>45</v>
      </c>
      <c r="I5586" s="16">
        <v>11.200000000000001</v>
      </c>
      <c r="J5586" s="11" t="s">
        <v>1231</v>
      </c>
      <c r="K5586" s="11" t="s">
        <v>65</v>
      </c>
      <c r="L5586" s="11" t="s">
        <v>48</v>
      </c>
      <c r="M5586" s="11" t="s">
        <v>66</v>
      </c>
      <c r="N5586" s="11" t="s">
        <v>69</v>
      </c>
      <c r="O5586" s="11" t="s">
        <v>1918</v>
      </c>
      <c r="P5586" s="11" t="s">
        <v>52</v>
      </c>
      <c r="Q5586" s="20">
        <v>40782.0</v>
      </c>
      <c r="R5586" s="17">
        <f t="shared" si="2"/>
        <v>244.6224961</v>
      </c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>
        <f t="shared" si="8"/>
        <v>4</v>
      </c>
      <c r="AF5586" s="19">
        <f t="shared" si="13"/>
        <v>5</v>
      </c>
      <c r="AG5586" s="9"/>
      <c r="AH5586" s="9"/>
      <c r="AI5586" s="9"/>
    </row>
    <row r="5587" ht="15.0" customHeight="1">
      <c r="A5587" s="11">
        <v>5586.0</v>
      </c>
      <c r="B5587" s="12">
        <f t="shared" si="895"/>
        <v>40780</v>
      </c>
      <c r="C5587" s="13">
        <v>2011.0</v>
      </c>
      <c r="D5587" s="11" t="s">
        <v>23</v>
      </c>
      <c r="E5587" s="11">
        <v>15.0</v>
      </c>
      <c r="F5587" s="21" t="s">
        <v>350</v>
      </c>
      <c r="G5587" s="15">
        <v>0.04456140350877201</v>
      </c>
      <c r="H5587" s="11" t="s">
        <v>33</v>
      </c>
      <c r="I5587" s="16">
        <v>6.5440000000000005</v>
      </c>
      <c r="J5587" s="11" t="s">
        <v>1231</v>
      </c>
      <c r="K5587" s="11" t="s">
        <v>65</v>
      </c>
      <c r="L5587" s="11" t="s">
        <v>48</v>
      </c>
      <c r="M5587" s="11" t="s">
        <v>28</v>
      </c>
      <c r="N5587" s="11" t="s">
        <v>56</v>
      </c>
      <c r="O5587" s="11" t="s">
        <v>351</v>
      </c>
      <c r="P5587" s="11" t="s">
        <v>38</v>
      </c>
      <c r="Q5587" s="20">
        <v>40782.0</v>
      </c>
      <c r="R5587" s="17">
        <f t="shared" si="2"/>
        <v>15.53160982</v>
      </c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>
        <f t="shared" si="8"/>
        <v>4</v>
      </c>
      <c r="AF5587" s="19">
        <f t="shared" si="13"/>
        <v>5</v>
      </c>
      <c r="AG5587" s="9"/>
      <c r="AH5587" s="9"/>
      <c r="AI5587" s="9"/>
    </row>
    <row r="5588" ht="15.0" customHeight="1">
      <c r="A5588" s="11">
        <v>5587.0</v>
      </c>
      <c r="B5588" s="12">
        <f t="shared" si="895"/>
        <v>40780</v>
      </c>
      <c r="C5588" s="13">
        <v>2011.0</v>
      </c>
      <c r="D5588" s="11" t="s">
        <v>102</v>
      </c>
      <c r="E5588" s="11">
        <v>39.0</v>
      </c>
      <c r="F5588" s="21" t="s">
        <v>122</v>
      </c>
      <c r="G5588" s="15">
        <v>0.05183962812318427</v>
      </c>
      <c r="H5588" s="11" t="s">
        <v>33</v>
      </c>
      <c r="I5588" s="16">
        <v>0.792</v>
      </c>
      <c r="J5588" s="11" t="s">
        <v>1654</v>
      </c>
      <c r="K5588" s="11" t="s">
        <v>117</v>
      </c>
      <c r="L5588" s="11" t="s">
        <v>36</v>
      </c>
      <c r="M5588" s="11" t="s">
        <v>66</v>
      </c>
      <c r="N5588" s="11" t="s">
        <v>80</v>
      </c>
      <c r="O5588" s="11" t="s">
        <v>1854</v>
      </c>
      <c r="P5588" s="11" t="s">
        <v>58</v>
      </c>
      <c r="Q5588" s="20">
        <v>40782.0</v>
      </c>
      <c r="R5588" s="17">
        <f t="shared" si="2"/>
        <v>42.29553787</v>
      </c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>
        <f t="shared" si="8"/>
        <v>2</v>
      </c>
      <c r="AF5588" s="19" t="b">
        <f t="shared" si="13"/>
        <v>0</v>
      </c>
      <c r="AG5588" s="9"/>
      <c r="AH5588" s="9"/>
      <c r="AI5588" s="9"/>
    </row>
    <row r="5589" ht="15.0" customHeight="1">
      <c r="A5589" s="11">
        <v>5588.0</v>
      </c>
      <c r="B5589" s="12">
        <f t="shared" si="895"/>
        <v>40780</v>
      </c>
      <c r="C5589" s="13">
        <v>2011.0</v>
      </c>
      <c r="D5589" s="11" t="s">
        <v>44</v>
      </c>
      <c r="E5589" s="11">
        <v>13.0</v>
      </c>
      <c r="F5589" s="21" t="s">
        <v>629</v>
      </c>
      <c r="G5589" s="15">
        <v>0.1003260869565218</v>
      </c>
      <c r="H5589" s="11" t="s">
        <v>33</v>
      </c>
      <c r="I5589" s="16">
        <v>4.424</v>
      </c>
      <c r="J5589" s="11" t="s">
        <v>836</v>
      </c>
      <c r="K5589" s="11" t="s">
        <v>65</v>
      </c>
      <c r="L5589" s="11" t="s">
        <v>48</v>
      </c>
      <c r="M5589" s="11" t="s">
        <v>66</v>
      </c>
      <c r="N5589" s="11" t="s">
        <v>67</v>
      </c>
      <c r="O5589" s="11" t="s">
        <v>1610</v>
      </c>
      <c r="P5589" s="11" t="s">
        <v>99</v>
      </c>
      <c r="Q5589" s="20">
        <v>40782.0</v>
      </c>
      <c r="R5589" s="17">
        <f t="shared" si="2"/>
        <v>9.964788261</v>
      </c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>
        <f t="shared" si="8"/>
        <v>4</v>
      </c>
      <c r="AF5589" s="19">
        <f t="shared" si="13"/>
        <v>5</v>
      </c>
      <c r="AG5589" s="9"/>
      <c r="AH5589" s="9"/>
      <c r="AI5589" s="9"/>
    </row>
    <row r="5590" ht="15.0" customHeight="1">
      <c r="A5590" s="11">
        <v>5589.0</v>
      </c>
      <c r="B5590" s="12">
        <f t="shared" si="895"/>
        <v>40780</v>
      </c>
      <c r="C5590" s="13">
        <v>2011.0</v>
      </c>
      <c r="D5590" s="11" t="s">
        <v>44</v>
      </c>
      <c r="E5590" s="11">
        <v>40.0</v>
      </c>
      <c r="F5590" s="21" t="s">
        <v>135</v>
      </c>
      <c r="G5590" s="15">
        <v>0.02565217391304342</v>
      </c>
      <c r="H5590" s="11" t="s">
        <v>33</v>
      </c>
      <c r="I5590" s="16">
        <v>4.920000000000001</v>
      </c>
      <c r="J5590" s="11" t="s">
        <v>836</v>
      </c>
      <c r="K5590" s="11" t="s">
        <v>65</v>
      </c>
      <c r="L5590" s="11" t="s">
        <v>48</v>
      </c>
      <c r="M5590" s="11" t="s">
        <v>28</v>
      </c>
      <c r="N5590" s="11" t="s">
        <v>56</v>
      </c>
      <c r="O5590" s="11" t="s">
        <v>2393</v>
      </c>
      <c r="P5590" s="11" t="s">
        <v>38</v>
      </c>
      <c r="Q5590" s="20">
        <v>40783.0</v>
      </c>
      <c r="R5590" s="17">
        <f t="shared" si="2"/>
        <v>6.898382609</v>
      </c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>
        <f t="shared" si="8"/>
        <v>4</v>
      </c>
      <c r="AF5590" s="19">
        <f t="shared" si="13"/>
        <v>5</v>
      </c>
      <c r="AG5590" s="9"/>
      <c r="AH5590" s="9"/>
      <c r="AI5590" s="9"/>
    </row>
    <row r="5591" ht="15.0" customHeight="1">
      <c r="A5591" s="11">
        <v>5590.0</v>
      </c>
      <c r="B5591" s="12">
        <f t="shared" si="895"/>
        <v>40780</v>
      </c>
      <c r="C5591" s="13">
        <v>2011.0</v>
      </c>
      <c r="D5591" s="11" t="s">
        <v>32</v>
      </c>
      <c r="E5591" s="11">
        <v>2.0</v>
      </c>
      <c r="F5591" s="21" t="s">
        <v>1913</v>
      </c>
      <c r="G5591" s="15">
        <v>0.04084805653710243</v>
      </c>
      <c r="H5591" s="11" t="s">
        <v>33</v>
      </c>
      <c r="I5591" s="16">
        <v>4.344</v>
      </c>
      <c r="J5591" s="11" t="s">
        <v>716</v>
      </c>
      <c r="K5591" s="11" t="s">
        <v>61</v>
      </c>
      <c r="L5591" s="11" t="s">
        <v>48</v>
      </c>
      <c r="M5591" s="11" t="s">
        <v>28</v>
      </c>
      <c r="N5591" s="11" t="s">
        <v>56</v>
      </c>
      <c r="O5591" s="11" t="s">
        <v>1914</v>
      </c>
      <c r="P5591" s="11" t="s">
        <v>38</v>
      </c>
      <c r="Q5591" s="20">
        <v>40784.0</v>
      </c>
      <c r="R5591" s="17">
        <f t="shared" si="2"/>
        <v>1.108779647</v>
      </c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>
        <f t="shared" si="8"/>
        <v>4</v>
      </c>
      <c r="AF5591" s="19">
        <f t="shared" si="13"/>
        <v>4</v>
      </c>
      <c r="AG5591" s="9"/>
      <c r="AH5591" s="9"/>
      <c r="AI5591" s="9"/>
    </row>
    <row r="5592" ht="15.0" customHeight="1">
      <c r="A5592" s="11">
        <v>5591.0</v>
      </c>
      <c r="B5592" s="12">
        <f t="shared" si="895"/>
        <v>40780</v>
      </c>
      <c r="C5592" s="13">
        <v>2011.0</v>
      </c>
      <c r="D5592" s="11" t="s">
        <v>32</v>
      </c>
      <c r="E5592" s="11">
        <v>11.0</v>
      </c>
      <c r="F5592" s="21" t="s">
        <v>135</v>
      </c>
      <c r="G5592" s="15">
        <v>0.07961813842482098</v>
      </c>
      <c r="H5592" s="11" t="s">
        <v>33</v>
      </c>
      <c r="I5592" s="16">
        <v>4.5280000000000005</v>
      </c>
      <c r="J5592" s="11" t="s">
        <v>716</v>
      </c>
      <c r="K5592" s="11" t="s">
        <v>61</v>
      </c>
      <c r="L5592" s="11" t="s">
        <v>48</v>
      </c>
      <c r="M5592" s="11" t="s">
        <v>28</v>
      </c>
      <c r="N5592" s="11" t="s">
        <v>56</v>
      </c>
      <c r="O5592" s="11" t="s">
        <v>590</v>
      </c>
      <c r="P5592" s="11" t="s">
        <v>38</v>
      </c>
      <c r="Q5592" s="20">
        <v>40784.0</v>
      </c>
      <c r="R5592" s="17">
        <f t="shared" si="2"/>
        <v>6.14078778</v>
      </c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>
        <f t="shared" si="8"/>
        <v>4</v>
      </c>
      <c r="AF5592" s="19">
        <f t="shared" si="13"/>
        <v>4</v>
      </c>
      <c r="AG5592" s="9"/>
      <c r="AH5592" s="9"/>
      <c r="AI5592" s="9"/>
    </row>
    <row r="5593" ht="15.0" customHeight="1">
      <c r="A5593" s="11">
        <v>5592.0</v>
      </c>
      <c r="B5593" s="12">
        <f t="shared" ref="B5593:B5597" si="896">DATE(2012,12,31)-493</f>
        <v>40781</v>
      </c>
      <c r="C5593" s="13">
        <v>2011.0</v>
      </c>
      <c r="D5593" s="11" t="s">
        <v>39</v>
      </c>
      <c r="E5593" s="11">
        <v>42.0</v>
      </c>
      <c r="F5593" s="21" t="s">
        <v>619</v>
      </c>
      <c r="G5593" s="15">
        <v>0.03988304970387605</v>
      </c>
      <c r="H5593" s="11" t="s">
        <v>33</v>
      </c>
      <c r="I5593" s="16">
        <v>3.6</v>
      </c>
      <c r="J5593" s="11" t="s">
        <v>2283</v>
      </c>
      <c r="K5593" s="11" t="s">
        <v>65</v>
      </c>
      <c r="L5593" s="11" t="s">
        <v>41</v>
      </c>
      <c r="M5593" s="11" t="s">
        <v>28</v>
      </c>
      <c r="N5593" s="11" t="s">
        <v>197</v>
      </c>
      <c r="O5593" s="11" t="s">
        <v>1388</v>
      </c>
      <c r="P5593" s="11" t="s">
        <v>38</v>
      </c>
      <c r="Q5593" s="20">
        <v>40785.0</v>
      </c>
      <c r="R5593" s="17">
        <f t="shared" si="2"/>
        <v>102.1564435</v>
      </c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>
        <f t="shared" si="8"/>
        <v>3</v>
      </c>
      <c r="AF5593" s="19">
        <f t="shared" si="13"/>
        <v>5</v>
      </c>
      <c r="AG5593" s="9"/>
      <c r="AH5593" s="9"/>
      <c r="AI5593" s="9"/>
    </row>
    <row r="5594" ht="15.0" customHeight="1">
      <c r="A5594" s="11">
        <v>5593.0</v>
      </c>
      <c r="B5594" s="12">
        <f t="shared" si="896"/>
        <v>40781</v>
      </c>
      <c r="C5594" s="13">
        <v>2011.0</v>
      </c>
      <c r="D5594" s="11" t="s">
        <v>44</v>
      </c>
      <c r="E5594" s="11">
        <v>44.0</v>
      </c>
      <c r="F5594" s="21" t="s">
        <v>142</v>
      </c>
      <c r="G5594" s="15">
        <v>0.02597658715133156</v>
      </c>
      <c r="H5594" s="11" t="s">
        <v>33</v>
      </c>
      <c r="I5594" s="16">
        <v>0.8800000000000001</v>
      </c>
      <c r="J5594" s="11" t="s">
        <v>1288</v>
      </c>
      <c r="K5594" s="11" t="s">
        <v>26</v>
      </c>
      <c r="L5594" s="11" t="s">
        <v>48</v>
      </c>
      <c r="M5594" s="11" t="s">
        <v>66</v>
      </c>
      <c r="N5594" s="11" t="s">
        <v>80</v>
      </c>
      <c r="O5594" s="11" t="s">
        <v>143</v>
      </c>
      <c r="P5594" s="11" t="s">
        <v>38</v>
      </c>
      <c r="Q5594" s="20">
        <v>40785.0</v>
      </c>
      <c r="R5594" s="17">
        <f t="shared" si="2"/>
        <v>41.05547646</v>
      </c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>
        <f t="shared" si="8"/>
        <v>4</v>
      </c>
      <c r="AF5594" s="19">
        <f t="shared" si="13"/>
        <v>1</v>
      </c>
      <c r="AG5594" s="9"/>
      <c r="AH5594" s="9"/>
      <c r="AI5594" s="9"/>
    </row>
    <row r="5595" ht="15.0" customHeight="1">
      <c r="A5595" s="11">
        <v>5594.0</v>
      </c>
      <c r="B5595" s="12">
        <f t="shared" si="896"/>
        <v>40781</v>
      </c>
      <c r="C5595" s="13">
        <v>2011.0</v>
      </c>
      <c r="D5595" s="11" t="s">
        <v>44</v>
      </c>
      <c r="E5595" s="11">
        <v>34.0</v>
      </c>
      <c r="F5595" s="21" t="s">
        <v>805</v>
      </c>
      <c r="G5595" s="15">
        <v>0.09212003663595698</v>
      </c>
      <c r="H5595" s="11" t="s">
        <v>45</v>
      </c>
      <c r="I5595" s="16">
        <v>43.296</v>
      </c>
      <c r="J5595" s="11" t="s">
        <v>1288</v>
      </c>
      <c r="K5595" s="11" t="s">
        <v>26</v>
      </c>
      <c r="L5595" s="11" t="s">
        <v>48</v>
      </c>
      <c r="M5595" s="11" t="s">
        <v>49</v>
      </c>
      <c r="N5595" s="11" t="s">
        <v>85</v>
      </c>
      <c r="O5595" s="11" t="s">
        <v>807</v>
      </c>
      <c r="P5595" s="11" t="s">
        <v>87</v>
      </c>
      <c r="Q5595" s="20">
        <v>40785.0</v>
      </c>
      <c r="R5595" s="17">
        <f t="shared" si="2"/>
        <v>931.3976859</v>
      </c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>
        <f t="shared" si="8"/>
        <v>4</v>
      </c>
      <c r="AF5595" s="19">
        <f t="shared" si="13"/>
        <v>1</v>
      </c>
      <c r="AG5595" s="9"/>
      <c r="AH5595" s="9"/>
      <c r="AI5595" s="9"/>
    </row>
    <row r="5596" ht="15.0" customHeight="1">
      <c r="A5596" s="11">
        <v>5595.0</v>
      </c>
      <c r="B5596" s="12">
        <f t="shared" si="896"/>
        <v>40781</v>
      </c>
      <c r="C5596" s="13">
        <v>2011.0</v>
      </c>
      <c r="D5596" s="11" t="s">
        <v>102</v>
      </c>
      <c r="E5596" s="11">
        <v>5.0</v>
      </c>
      <c r="F5596" s="21" t="s">
        <v>948</v>
      </c>
      <c r="G5596" s="15">
        <v>0.013333333333333221</v>
      </c>
      <c r="H5596" s="11" t="s">
        <v>33</v>
      </c>
      <c r="I5596" s="16">
        <v>0.568</v>
      </c>
      <c r="J5596" s="11" t="s">
        <v>1252</v>
      </c>
      <c r="K5596" s="11" t="s">
        <v>35</v>
      </c>
      <c r="L5596" s="11" t="s">
        <v>27</v>
      </c>
      <c r="M5596" s="11" t="s">
        <v>28</v>
      </c>
      <c r="N5596" s="11" t="s">
        <v>62</v>
      </c>
      <c r="O5596" s="11" t="s">
        <v>949</v>
      </c>
      <c r="P5596" s="11" t="s">
        <v>58</v>
      </c>
      <c r="Q5596" s="20">
        <v>40785.0</v>
      </c>
      <c r="R5596" s="17">
        <f t="shared" si="2"/>
        <v>0.3275733333</v>
      </c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>
        <f t="shared" si="8"/>
        <v>1</v>
      </c>
      <c r="AF5596" s="19">
        <f t="shared" si="13"/>
        <v>2</v>
      </c>
      <c r="AG5596" s="9"/>
      <c r="AH5596" s="9"/>
      <c r="AI5596" s="9"/>
    </row>
    <row r="5597" ht="15.0" customHeight="1">
      <c r="A5597" s="11">
        <v>5596.0</v>
      </c>
      <c r="B5597" s="12">
        <f t="shared" si="896"/>
        <v>40781</v>
      </c>
      <c r="C5597" s="13">
        <v>2011.0</v>
      </c>
      <c r="D5597" s="11" t="s">
        <v>23</v>
      </c>
      <c r="E5597" s="11">
        <v>35.0</v>
      </c>
      <c r="F5597" s="21" t="s">
        <v>130</v>
      </c>
      <c r="G5597" s="15">
        <v>0.032592856506635876</v>
      </c>
      <c r="H5597" s="11" t="s">
        <v>33</v>
      </c>
      <c r="I5597" s="16">
        <v>4.608</v>
      </c>
      <c r="J5597" s="11" t="s">
        <v>2105</v>
      </c>
      <c r="K5597" s="11" t="s">
        <v>61</v>
      </c>
      <c r="L5597" s="11" t="s">
        <v>36</v>
      </c>
      <c r="M5597" s="11" t="s">
        <v>28</v>
      </c>
      <c r="N5597" s="11" t="s">
        <v>56</v>
      </c>
      <c r="O5597" s="11" t="s">
        <v>132</v>
      </c>
      <c r="P5597" s="11" t="s">
        <v>38</v>
      </c>
      <c r="Q5597" s="20">
        <v>40785.0</v>
      </c>
      <c r="R5597" s="17">
        <f t="shared" si="2"/>
        <v>35.39936219</v>
      </c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>
        <f t="shared" si="8"/>
        <v>2</v>
      </c>
      <c r="AF5597" s="19">
        <f t="shared" si="13"/>
        <v>4</v>
      </c>
      <c r="AG5597" s="9"/>
      <c r="AH5597" s="9"/>
      <c r="AI5597" s="9"/>
    </row>
    <row r="5598" ht="15.0" customHeight="1">
      <c r="A5598" s="11">
        <v>5597.0</v>
      </c>
      <c r="B5598" s="12">
        <f t="shared" ref="B5598:B5602" si="897">DATE(2012,12,31)-491</f>
        <v>40783</v>
      </c>
      <c r="C5598" s="13">
        <v>2011.0</v>
      </c>
      <c r="D5598" s="11" t="s">
        <v>32</v>
      </c>
      <c r="E5598" s="11">
        <v>43.0</v>
      </c>
      <c r="F5598" s="21" t="s">
        <v>638</v>
      </c>
      <c r="G5598" s="15">
        <v>0.013549618320610659</v>
      </c>
      <c r="H5598" s="11" t="s">
        <v>24</v>
      </c>
      <c r="I5598" s="16">
        <v>4.84</v>
      </c>
      <c r="J5598" s="11" t="s">
        <v>1863</v>
      </c>
      <c r="K5598" s="11" t="s">
        <v>65</v>
      </c>
      <c r="L5598" s="11" t="s">
        <v>27</v>
      </c>
      <c r="M5598" s="11" t="s">
        <v>28</v>
      </c>
      <c r="N5598" s="11" t="s">
        <v>42</v>
      </c>
      <c r="O5598" s="11" t="s">
        <v>640</v>
      </c>
      <c r="P5598" s="11" t="s">
        <v>38</v>
      </c>
      <c r="Q5598" s="20">
        <v>40785.0</v>
      </c>
      <c r="R5598" s="17">
        <f t="shared" si="2"/>
        <v>4.202278626</v>
      </c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>
        <f t="shared" si="8"/>
        <v>1</v>
      </c>
      <c r="AF5598" s="19">
        <f t="shared" si="13"/>
        <v>5</v>
      </c>
      <c r="AG5598" s="9"/>
      <c r="AH5598" s="9"/>
      <c r="AI5598" s="9"/>
    </row>
    <row r="5599" ht="15.0" customHeight="1">
      <c r="A5599" s="11">
        <v>5598.0</v>
      </c>
      <c r="B5599" s="12">
        <f t="shared" si="897"/>
        <v>40783</v>
      </c>
      <c r="C5599" s="13">
        <v>2011.0</v>
      </c>
      <c r="D5599" s="11" t="s">
        <v>32</v>
      </c>
      <c r="E5599" s="11">
        <v>4.0</v>
      </c>
      <c r="F5599" s="21" t="s">
        <v>740</v>
      </c>
      <c r="G5599" s="15">
        <v>0.04844690366103232</v>
      </c>
      <c r="H5599" s="11" t="s">
        <v>45</v>
      </c>
      <c r="I5599" s="16">
        <v>51.784000000000006</v>
      </c>
      <c r="J5599" s="11" t="s">
        <v>337</v>
      </c>
      <c r="K5599" s="11" t="s">
        <v>117</v>
      </c>
      <c r="L5599" s="11" t="s">
        <v>48</v>
      </c>
      <c r="M5599" s="11" t="s">
        <v>49</v>
      </c>
      <c r="N5599" s="11" t="s">
        <v>50</v>
      </c>
      <c r="O5599" s="11" t="s">
        <v>742</v>
      </c>
      <c r="P5599" s="11" t="s">
        <v>52</v>
      </c>
      <c r="Q5599" s="20">
        <v>40785.0</v>
      </c>
      <c r="R5599" s="17">
        <f t="shared" si="2"/>
        <v>60.81946771</v>
      </c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>
        <f t="shared" si="8"/>
        <v>4</v>
      </c>
      <c r="AF5599" s="19" t="b">
        <f t="shared" si="13"/>
        <v>0</v>
      </c>
      <c r="AG5599" s="9"/>
      <c r="AH5599" s="9"/>
      <c r="AI5599" s="9"/>
    </row>
    <row r="5600" ht="15.0" customHeight="1">
      <c r="A5600" s="11">
        <v>5599.0</v>
      </c>
      <c r="B5600" s="12">
        <f t="shared" si="897"/>
        <v>40783</v>
      </c>
      <c r="C5600" s="13">
        <v>2011.0</v>
      </c>
      <c r="D5600" s="11" t="s">
        <v>32</v>
      </c>
      <c r="E5600" s="11">
        <v>17.0</v>
      </c>
      <c r="F5600" s="21" t="s">
        <v>1944</v>
      </c>
      <c r="G5600" s="15">
        <v>0.033178947368421065</v>
      </c>
      <c r="H5600" s="11" t="s">
        <v>33</v>
      </c>
      <c r="I5600" s="16">
        <v>3.4240000000000004</v>
      </c>
      <c r="J5600" s="11" t="s">
        <v>2079</v>
      </c>
      <c r="K5600" s="11" t="s">
        <v>61</v>
      </c>
      <c r="L5600" s="11" t="s">
        <v>48</v>
      </c>
      <c r="M5600" s="11" t="s">
        <v>28</v>
      </c>
      <c r="N5600" s="11" t="s">
        <v>62</v>
      </c>
      <c r="O5600" s="11" t="s">
        <v>2466</v>
      </c>
      <c r="P5600" s="11" t="s">
        <v>58</v>
      </c>
      <c r="Q5600" s="20">
        <v>40786.0</v>
      </c>
      <c r="R5600" s="17">
        <f t="shared" si="2"/>
        <v>1.523709979</v>
      </c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>
        <f t="shared" si="8"/>
        <v>4</v>
      </c>
      <c r="AF5600" s="19">
        <f t="shared" si="13"/>
        <v>4</v>
      </c>
      <c r="AG5600" s="9"/>
      <c r="AH5600" s="9"/>
      <c r="AI5600" s="9"/>
    </row>
    <row r="5601" ht="15.0" customHeight="1">
      <c r="A5601" s="11">
        <v>5600.0</v>
      </c>
      <c r="B5601" s="12">
        <f t="shared" si="897"/>
        <v>40783</v>
      </c>
      <c r="C5601" s="13">
        <v>2011.0</v>
      </c>
      <c r="D5601" s="11" t="s">
        <v>39</v>
      </c>
      <c r="E5601" s="11">
        <v>32.0</v>
      </c>
      <c r="F5601" s="21" t="s">
        <v>103</v>
      </c>
      <c r="G5601" s="15">
        <v>0.07397890699904117</v>
      </c>
      <c r="H5601" s="11" t="s">
        <v>33</v>
      </c>
      <c r="I5601" s="16">
        <v>4.368</v>
      </c>
      <c r="J5601" s="11" t="s">
        <v>1332</v>
      </c>
      <c r="K5601" s="11" t="s">
        <v>35</v>
      </c>
      <c r="L5601" s="11" t="s">
        <v>36</v>
      </c>
      <c r="M5601" s="11" t="s">
        <v>28</v>
      </c>
      <c r="N5601" s="11" t="s">
        <v>56</v>
      </c>
      <c r="O5601" s="11" t="s">
        <v>693</v>
      </c>
      <c r="P5601" s="11" t="s">
        <v>38</v>
      </c>
      <c r="Q5601" s="20">
        <v>40786.0</v>
      </c>
      <c r="R5601" s="17">
        <f t="shared" si="2"/>
        <v>14.29035751</v>
      </c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>
        <f t="shared" si="8"/>
        <v>2</v>
      </c>
      <c r="AF5601" s="19">
        <f t="shared" si="13"/>
        <v>2</v>
      </c>
      <c r="AG5601" s="9"/>
      <c r="AH5601" s="9"/>
      <c r="AI5601" s="9"/>
    </row>
    <row r="5602" ht="15.0" customHeight="1">
      <c r="A5602" s="11">
        <v>5601.0</v>
      </c>
      <c r="B5602" s="12">
        <f t="shared" si="897"/>
        <v>40783</v>
      </c>
      <c r="C5602" s="13">
        <v>2011.0</v>
      </c>
      <c r="D5602" s="11" t="s">
        <v>39</v>
      </c>
      <c r="E5602" s="11">
        <v>7.0</v>
      </c>
      <c r="F5602" s="21" t="s">
        <v>1997</v>
      </c>
      <c r="G5602" s="15">
        <v>0.07162790697674422</v>
      </c>
      <c r="H5602" s="11" t="s">
        <v>33</v>
      </c>
      <c r="I5602" s="16">
        <v>5.016</v>
      </c>
      <c r="J5602" s="11" t="s">
        <v>1332</v>
      </c>
      <c r="K5602" s="11" t="s">
        <v>35</v>
      </c>
      <c r="L5602" s="11" t="s">
        <v>36</v>
      </c>
      <c r="M5602" s="11" t="s">
        <v>28</v>
      </c>
      <c r="N5602" s="11" t="s">
        <v>29</v>
      </c>
      <c r="O5602" s="11" t="s">
        <v>1998</v>
      </c>
      <c r="P5602" s="11" t="s">
        <v>75</v>
      </c>
      <c r="Q5602" s="20">
        <v>40787.0</v>
      </c>
      <c r="R5602" s="17">
        <f t="shared" si="2"/>
        <v>6.576587907</v>
      </c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>
        <f t="shared" si="8"/>
        <v>2</v>
      </c>
      <c r="AF5602" s="19">
        <f t="shared" si="13"/>
        <v>2</v>
      </c>
      <c r="AG5602" s="9"/>
      <c r="AH5602" s="9"/>
      <c r="AI5602" s="9"/>
    </row>
    <row r="5603" ht="15.0" customHeight="1">
      <c r="A5603" s="11">
        <v>5602.0</v>
      </c>
      <c r="B5603" s="12">
        <f t="shared" ref="B5603:B5606" si="898">DATE(2012,12,31)-489</f>
        <v>40785</v>
      </c>
      <c r="C5603" s="13">
        <v>2011.0</v>
      </c>
      <c r="D5603" s="11" t="s">
        <v>23</v>
      </c>
      <c r="E5603" s="11">
        <v>25.0</v>
      </c>
      <c r="F5603" s="21" t="s">
        <v>810</v>
      </c>
      <c r="G5603" s="15">
        <v>0.029705056179775407</v>
      </c>
      <c r="H5603" s="11" t="s">
        <v>33</v>
      </c>
      <c r="I5603" s="16">
        <v>3.84</v>
      </c>
      <c r="J5603" s="11" t="s">
        <v>2486</v>
      </c>
      <c r="K5603" s="11" t="s">
        <v>35</v>
      </c>
      <c r="L5603" s="11" t="s">
        <v>48</v>
      </c>
      <c r="M5603" s="11" t="s">
        <v>28</v>
      </c>
      <c r="N5603" s="11" t="s">
        <v>236</v>
      </c>
      <c r="O5603" s="11" t="s">
        <v>1494</v>
      </c>
      <c r="P5603" s="11" t="s">
        <v>38</v>
      </c>
      <c r="Q5603" s="20">
        <v>40787.0</v>
      </c>
      <c r="R5603" s="17">
        <f t="shared" si="2"/>
        <v>8.208695225</v>
      </c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>
        <f t="shared" si="8"/>
        <v>4</v>
      </c>
      <c r="AF5603" s="19">
        <f t="shared" si="13"/>
        <v>2</v>
      </c>
      <c r="AG5603" s="9"/>
      <c r="AH5603" s="9"/>
      <c r="AI5603" s="9"/>
    </row>
    <row r="5604" ht="15.0" customHeight="1">
      <c r="A5604" s="11">
        <v>5603.0</v>
      </c>
      <c r="B5604" s="12">
        <f t="shared" si="898"/>
        <v>40785</v>
      </c>
      <c r="C5604" s="13">
        <v>2011.0</v>
      </c>
      <c r="D5604" s="11" t="s">
        <v>39</v>
      </c>
      <c r="E5604" s="11">
        <v>28.0</v>
      </c>
      <c r="F5604" s="21" t="s">
        <v>178</v>
      </c>
      <c r="G5604" s="15">
        <v>0.09298731821965416</v>
      </c>
      <c r="H5604" s="11" t="s">
        <v>33</v>
      </c>
      <c r="I5604" s="16">
        <v>7.192</v>
      </c>
      <c r="J5604" s="11" t="s">
        <v>2321</v>
      </c>
      <c r="K5604" s="11" t="s">
        <v>35</v>
      </c>
      <c r="L5604" s="11" t="s">
        <v>48</v>
      </c>
      <c r="M5604" s="11" t="s">
        <v>66</v>
      </c>
      <c r="N5604" s="11" t="s">
        <v>80</v>
      </c>
      <c r="O5604" s="11" t="s">
        <v>1263</v>
      </c>
      <c r="P5604" s="11" t="s">
        <v>38</v>
      </c>
      <c r="Q5604" s="20">
        <v>40787.0</v>
      </c>
      <c r="R5604" s="17">
        <f t="shared" si="2"/>
        <v>172.2489644</v>
      </c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>
        <f t="shared" si="8"/>
        <v>4</v>
      </c>
      <c r="AF5604" s="19">
        <f t="shared" si="13"/>
        <v>2</v>
      </c>
      <c r="AG5604" s="9"/>
      <c r="AH5604" s="9"/>
      <c r="AI5604" s="9"/>
    </row>
    <row r="5605" ht="15.0" customHeight="1">
      <c r="A5605" s="11">
        <v>5604.0</v>
      </c>
      <c r="B5605" s="12">
        <f t="shared" si="898"/>
        <v>40785</v>
      </c>
      <c r="C5605" s="13">
        <v>2011.0</v>
      </c>
      <c r="D5605" s="11" t="s">
        <v>39</v>
      </c>
      <c r="E5605" s="11">
        <v>19.0</v>
      </c>
      <c r="F5605" s="21" t="s">
        <v>297</v>
      </c>
      <c r="G5605" s="15">
        <v>0.10513343037360508</v>
      </c>
      <c r="H5605" s="11" t="s">
        <v>33</v>
      </c>
      <c r="I5605" s="16">
        <v>5.832000000000001</v>
      </c>
      <c r="J5605" s="11" t="s">
        <v>2078</v>
      </c>
      <c r="K5605" s="11" t="s">
        <v>65</v>
      </c>
      <c r="L5605" s="11" t="s">
        <v>27</v>
      </c>
      <c r="M5605" s="11" t="s">
        <v>49</v>
      </c>
      <c r="N5605" s="11" t="s">
        <v>73</v>
      </c>
      <c r="O5605" s="11" t="s">
        <v>298</v>
      </c>
      <c r="P5605" s="11" t="s">
        <v>99</v>
      </c>
      <c r="Q5605" s="20">
        <v>40787.0</v>
      </c>
      <c r="R5605" s="17">
        <f t="shared" si="2"/>
        <v>19.38996883</v>
      </c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>
        <f t="shared" si="8"/>
        <v>1</v>
      </c>
      <c r="AF5605" s="19">
        <f t="shared" si="13"/>
        <v>5</v>
      </c>
      <c r="AG5605" s="9"/>
      <c r="AH5605" s="9"/>
      <c r="AI5605" s="9"/>
    </row>
    <row r="5606" ht="15.0" customHeight="1">
      <c r="A5606" s="11">
        <v>5605.0</v>
      </c>
      <c r="B5606" s="12">
        <f t="shared" si="898"/>
        <v>40785</v>
      </c>
      <c r="C5606" s="13">
        <v>2011.0</v>
      </c>
      <c r="D5606" s="11" t="s">
        <v>102</v>
      </c>
      <c r="E5606" s="11">
        <v>39.0</v>
      </c>
      <c r="F5606" s="21" t="s">
        <v>158</v>
      </c>
      <c r="G5606" s="15">
        <v>0.045393258426966204</v>
      </c>
      <c r="H5606" s="11" t="s">
        <v>24</v>
      </c>
      <c r="I5606" s="16">
        <v>5.28</v>
      </c>
      <c r="J5606" s="11" t="s">
        <v>588</v>
      </c>
      <c r="K5606" s="11" t="s">
        <v>47</v>
      </c>
      <c r="L5606" s="11" t="s">
        <v>41</v>
      </c>
      <c r="M5606" s="11" t="s">
        <v>28</v>
      </c>
      <c r="N5606" s="11" t="s">
        <v>56</v>
      </c>
      <c r="O5606" s="11" t="s">
        <v>543</v>
      </c>
      <c r="P5606" s="11" t="s">
        <v>38</v>
      </c>
      <c r="Q5606" s="20">
        <v>40787.0</v>
      </c>
      <c r="R5606" s="17">
        <f t="shared" si="2"/>
        <v>11.56983371</v>
      </c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>
        <f t="shared" si="8"/>
        <v>3</v>
      </c>
      <c r="AF5606" s="19">
        <f t="shared" si="13"/>
        <v>3</v>
      </c>
      <c r="AG5606" s="9"/>
      <c r="AH5606" s="9"/>
      <c r="AI5606" s="9"/>
    </row>
    <row r="5607" ht="15.0" customHeight="1">
      <c r="A5607" s="11">
        <v>5606.0</v>
      </c>
      <c r="B5607" s="12">
        <f t="shared" ref="B5607:B5614" si="899">DATE(2012,12,31)-488</f>
        <v>40786</v>
      </c>
      <c r="C5607" s="13">
        <v>2011.0</v>
      </c>
      <c r="D5607" s="11" t="s">
        <v>32</v>
      </c>
      <c r="E5607" s="11">
        <v>11.0</v>
      </c>
      <c r="F5607" s="21" t="s">
        <v>128</v>
      </c>
      <c r="G5607" s="15">
        <v>0.040190436762574916</v>
      </c>
      <c r="H5607" s="11" t="s">
        <v>33</v>
      </c>
      <c r="I5607" s="16">
        <v>6.152000000000001</v>
      </c>
      <c r="J5607" s="11" t="s">
        <v>2372</v>
      </c>
      <c r="K5607" s="11" t="s">
        <v>714</v>
      </c>
      <c r="L5607" s="11" t="s">
        <v>27</v>
      </c>
      <c r="M5607" s="11" t="s">
        <v>66</v>
      </c>
      <c r="N5607" s="11" t="s">
        <v>80</v>
      </c>
      <c r="O5607" s="11" t="s">
        <v>589</v>
      </c>
      <c r="P5607" s="11" t="s">
        <v>38</v>
      </c>
      <c r="Q5607" s="20">
        <v>40787.0</v>
      </c>
      <c r="R5607" s="17">
        <f t="shared" si="2"/>
        <v>55.90698744</v>
      </c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>
        <f t="shared" si="8"/>
        <v>1</v>
      </c>
      <c r="AF5607" s="19" t="b">
        <f t="shared" si="13"/>
        <v>0</v>
      </c>
      <c r="AG5607" s="9"/>
      <c r="AH5607" s="9"/>
      <c r="AI5607" s="9"/>
    </row>
    <row r="5608" ht="15.0" customHeight="1">
      <c r="A5608" s="11">
        <v>5607.0</v>
      </c>
      <c r="B5608" s="12">
        <f t="shared" si="899"/>
        <v>40786</v>
      </c>
      <c r="C5608" s="13">
        <v>2011.0</v>
      </c>
      <c r="D5608" s="11" t="s">
        <v>32</v>
      </c>
      <c r="E5608" s="11">
        <v>50.0</v>
      </c>
      <c r="F5608" s="21" t="s">
        <v>705</v>
      </c>
      <c r="G5608" s="15">
        <v>0.04235537190082639</v>
      </c>
      <c r="H5608" s="11" t="s">
        <v>33</v>
      </c>
      <c r="I5608" s="16">
        <v>0.4</v>
      </c>
      <c r="J5608" s="11" t="s">
        <v>2372</v>
      </c>
      <c r="K5608" s="11" t="s">
        <v>714</v>
      </c>
      <c r="L5608" s="11" t="s">
        <v>27</v>
      </c>
      <c r="M5608" s="11" t="s">
        <v>28</v>
      </c>
      <c r="N5608" s="11" t="s">
        <v>188</v>
      </c>
      <c r="O5608" s="11" t="s">
        <v>706</v>
      </c>
      <c r="P5608" s="11" t="s">
        <v>38</v>
      </c>
      <c r="Q5608" s="20">
        <v>40787.0</v>
      </c>
      <c r="R5608" s="17">
        <f t="shared" si="2"/>
        <v>7.85268595</v>
      </c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>
        <f t="shared" si="8"/>
        <v>1</v>
      </c>
      <c r="AF5608" s="19" t="b">
        <f t="shared" si="13"/>
        <v>0</v>
      </c>
      <c r="AG5608" s="9"/>
      <c r="AH5608" s="9"/>
      <c r="AI5608" s="9"/>
    </row>
    <row r="5609" ht="15.0" customHeight="1">
      <c r="A5609" s="11">
        <v>5608.0</v>
      </c>
      <c r="B5609" s="12">
        <f t="shared" si="899"/>
        <v>40786</v>
      </c>
      <c r="C5609" s="13">
        <v>2011.0</v>
      </c>
      <c r="D5609" s="11" t="s">
        <v>32</v>
      </c>
      <c r="E5609" s="11">
        <v>3.0</v>
      </c>
      <c r="F5609" s="21" t="s">
        <v>610</v>
      </c>
      <c r="G5609" s="15">
        <v>0.09771058315334775</v>
      </c>
      <c r="H5609" s="11" t="s">
        <v>24</v>
      </c>
      <c r="I5609" s="16">
        <v>5.176</v>
      </c>
      <c r="J5609" s="11" t="s">
        <v>2372</v>
      </c>
      <c r="K5609" s="11" t="s">
        <v>714</v>
      </c>
      <c r="L5609" s="11" t="s">
        <v>27</v>
      </c>
      <c r="M5609" s="11" t="s">
        <v>28</v>
      </c>
      <c r="N5609" s="11" t="s">
        <v>56</v>
      </c>
      <c r="O5609" s="11" t="s">
        <v>2006</v>
      </c>
      <c r="P5609" s="11" t="s">
        <v>38</v>
      </c>
      <c r="Q5609" s="20">
        <v>40787.0</v>
      </c>
      <c r="R5609" s="17">
        <f t="shared" si="2"/>
        <v>4.081957322</v>
      </c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>
        <f t="shared" si="8"/>
        <v>1</v>
      </c>
      <c r="AF5609" s="19" t="b">
        <f t="shared" si="13"/>
        <v>0</v>
      </c>
      <c r="AG5609" s="9"/>
      <c r="AH5609" s="9"/>
      <c r="AI5609" s="9"/>
    </row>
    <row r="5610" ht="15.0" customHeight="1">
      <c r="A5610" s="11">
        <v>5609.0</v>
      </c>
      <c r="B5610" s="12">
        <f t="shared" si="899"/>
        <v>40786</v>
      </c>
      <c r="C5610" s="13">
        <v>2011.0</v>
      </c>
      <c r="D5610" s="11" t="s">
        <v>32</v>
      </c>
      <c r="E5610" s="11">
        <v>30.0</v>
      </c>
      <c r="F5610" s="21" t="s">
        <v>1156</v>
      </c>
      <c r="G5610" s="15">
        <v>0.01083475873719776</v>
      </c>
      <c r="H5610" s="11" t="s">
        <v>33</v>
      </c>
      <c r="I5610" s="16">
        <v>7.192</v>
      </c>
      <c r="J5610" s="11" t="s">
        <v>2372</v>
      </c>
      <c r="K5610" s="11" t="s">
        <v>714</v>
      </c>
      <c r="L5610" s="11" t="s">
        <v>27</v>
      </c>
      <c r="M5610" s="11" t="s">
        <v>66</v>
      </c>
      <c r="N5610" s="11" t="s">
        <v>80</v>
      </c>
      <c r="O5610" s="11" t="s">
        <v>2237</v>
      </c>
      <c r="P5610" s="11" t="s">
        <v>38</v>
      </c>
      <c r="Q5610" s="20">
        <v>40788.0</v>
      </c>
      <c r="R5610" s="17">
        <f t="shared" si="2"/>
        <v>50.7520902</v>
      </c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>
        <f t="shared" si="8"/>
        <v>1</v>
      </c>
      <c r="AF5610" s="19" t="b">
        <f t="shared" si="13"/>
        <v>0</v>
      </c>
      <c r="AG5610" s="9"/>
      <c r="AH5610" s="9"/>
      <c r="AI5610" s="9"/>
    </row>
    <row r="5611" ht="15.0" customHeight="1">
      <c r="A5611" s="11">
        <v>5610.0</v>
      </c>
      <c r="B5611" s="12">
        <f t="shared" si="899"/>
        <v>40786</v>
      </c>
      <c r="C5611" s="13">
        <v>2011.0</v>
      </c>
      <c r="D5611" s="11" t="s">
        <v>23</v>
      </c>
      <c r="E5611" s="11">
        <v>48.0</v>
      </c>
      <c r="F5611" s="21" t="s">
        <v>2055</v>
      </c>
      <c r="G5611" s="15">
        <v>0.01218615655385322</v>
      </c>
      <c r="H5611" s="11" t="s">
        <v>33</v>
      </c>
      <c r="I5611" s="16">
        <v>30.064</v>
      </c>
      <c r="J5611" s="11" t="s">
        <v>690</v>
      </c>
      <c r="K5611" s="11" t="s">
        <v>61</v>
      </c>
      <c r="L5611" s="11" t="s">
        <v>48</v>
      </c>
      <c r="M5611" s="11" t="s">
        <v>49</v>
      </c>
      <c r="N5611" s="11" t="s">
        <v>73</v>
      </c>
      <c r="O5611" s="11" t="s">
        <v>2056</v>
      </c>
      <c r="P5611" s="11" t="s">
        <v>58</v>
      </c>
      <c r="Q5611" s="20">
        <v>40788.0</v>
      </c>
      <c r="R5611" s="17">
        <f t="shared" si="2"/>
        <v>41.72130549</v>
      </c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>
        <f t="shared" si="8"/>
        <v>4</v>
      </c>
      <c r="AF5611" s="19">
        <f t="shared" si="13"/>
        <v>4</v>
      </c>
      <c r="AG5611" s="9"/>
      <c r="AH5611" s="9"/>
      <c r="AI5611" s="9"/>
    </row>
    <row r="5612" ht="15.0" customHeight="1">
      <c r="A5612" s="11">
        <v>5611.0</v>
      </c>
      <c r="B5612" s="12">
        <f t="shared" si="899"/>
        <v>40786</v>
      </c>
      <c r="C5612" s="13">
        <v>2011.0</v>
      </c>
      <c r="D5612" s="11" t="s">
        <v>23</v>
      </c>
      <c r="E5612" s="11">
        <v>1.0</v>
      </c>
      <c r="F5612" s="21" t="s">
        <v>476</v>
      </c>
      <c r="G5612" s="15">
        <v>0.09999190283400801</v>
      </c>
      <c r="H5612" s="11" t="s">
        <v>45</v>
      </c>
      <c r="I5612" s="16">
        <v>68.504</v>
      </c>
      <c r="J5612" s="11" t="s">
        <v>690</v>
      </c>
      <c r="K5612" s="11" t="s">
        <v>61</v>
      </c>
      <c r="L5612" s="11" t="s">
        <v>48</v>
      </c>
      <c r="M5612" s="11" t="s">
        <v>49</v>
      </c>
      <c r="N5612" s="11" t="s">
        <v>85</v>
      </c>
      <c r="O5612" s="11" t="s">
        <v>477</v>
      </c>
      <c r="P5612" s="11" t="s">
        <v>87</v>
      </c>
      <c r="Q5612" s="20">
        <v>40788.0</v>
      </c>
      <c r="R5612" s="17">
        <f t="shared" si="2"/>
        <v>44.45679997</v>
      </c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>
        <f t="shared" si="8"/>
        <v>4</v>
      </c>
      <c r="AF5612" s="19">
        <f t="shared" si="13"/>
        <v>4</v>
      </c>
      <c r="AG5612" s="9"/>
      <c r="AH5612" s="9"/>
      <c r="AI5612" s="9"/>
    </row>
    <row r="5613" ht="15.0" customHeight="1">
      <c r="A5613" s="11">
        <v>5612.0</v>
      </c>
      <c r="B5613" s="12">
        <f t="shared" si="899"/>
        <v>40786</v>
      </c>
      <c r="C5613" s="13">
        <v>2011.0</v>
      </c>
      <c r="D5613" s="11" t="s">
        <v>39</v>
      </c>
      <c r="E5613" s="11">
        <v>39.0</v>
      </c>
      <c r="F5613" s="21" t="s">
        <v>93</v>
      </c>
      <c r="G5613" s="15">
        <v>0.06099096291679652</v>
      </c>
      <c r="H5613" s="11" t="s">
        <v>33</v>
      </c>
      <c r="I5613" s="16">
        <v>4.928000000000001</v>
      </c>
      <c r="J5613" s="11" t="s">
        <v>1137</v>
      </c>
      <c r="K5613" s="11" t="s">
        <v>83</v>
      </c>
      <c r="L5613" s="11" t="s">
        <v>41</v>
      </c>
      <c r="M5613" s="11" t="s">
        <v>28</v>
      </c>
      <c r="N5613" s="11" t="s">
        <v>42</v>
      </c>
      <c r="O5613" s="11" t="s">
        <v>134</v>
      </c>
      <c r="P5613" s="11" t="s">
        <v>38</v>
      </c>
      <c r="Q5613" s="20">
        <v>40788.0</v>
      </c>
      <c r="R5613" s="17">
        <f t="shared" si="2"/>
        <v>18.37828487</v>
      </c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>
        <f t="shared" si="8"/>
        <v>3</v>
      </c>
      <c r="AF5613" s="19" t="b">
        <f t="shared" si="13"/>
        <v>0</v>
      </c>
      <c r="AG5613" s="9"/>
      <c r="AH5613" s="9"/>
      <c r="AI5613" s="9"/>
    </row>
    <row r="5614" ht="15.0" customHeight="1">
      <c r="A5614" s="11">
        <v>5613.0</v>
      </c>
      <c r="B5614" s="12">
        <f t="shared" si="899"/>
        <v>40786</v>
      </c>
      <c r="C5614" s="13">
        <v>2011.0</v>
      </c>
      <c r="D5614" s="11" t="s">
        <v>32</v>
      </c>
      <c r="E5614" s="11">
        <v>25.0</v>
      </c>
      <c r="F5614" s="21" t="s">
        <v>562</v>
      </c>
      <c r="G5614" s="15">
        <v>0.020821461379170687</v>
      </c>
      <c r="H5614" s="11" t="s">
        <v>45</v>
      </c>
      <c r="I5614" s="16">
        <v>55.44</v>
      </c>
      <c r="J5614" s="11" t="s">
        <v>653</v>
      </c>
      <c r="K5614" s="11" t="s">
        <v>65</v>
      </c>
      <c r="L5614" s="11" t="s">
        <v>41</v>
      </c>
      <c r="M5614" s="11" t="s">
        <v>66</v>
      </c>
      <c r="N5614" s="11" t="s">
        <v>69</v>
      </c>
      <c r="O5614" s="11" t="s">
        <v>2222</v>
      </c>
      <c r="P5614" s="11" t="s">
        <v>52</v>
      </c>
      <c r="Q5614" s="20">
        <v>40788.0</v>
      </c>
      <c r="R5614" s="17">
        <f t="shared" si="2"/>
        <v>261.8910919</v>
      </c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>
        <f t="shared" si="8"/>
        <v>3</v>
      </c>
      <c r="AF5614" s="19">
        <f t="shared" si="13"/>
        <v>5</v>
      </c>
      <c r="AG5614" s="9"/>
      <c r="AH5614" s="9"/>
      <c r="AI5614" s="9"/>
    </row>
    <row r="5615" ht="15.0" customHeight="1">
      <c r="A5615" s="11">
        <v>5614.0</v>
      </c>
      <c r="B5615" s="12">
        <f t="shared" ref="B5615:B5616" si="900">DATE(2012,12,31)-487</f>
        <v>40787</v>
      </c>
      <c r="C5615" s="13">
        <v>2011.0</v>
      </c>
      <c r="D5615" s="11" t="s">
        <v>39</v>
      </c>
      <c r="E5615" s="11">
        <v>13.0</v>
      </c>
      <c r="F5615" s="21" t="s">
        <v>908</v>
      </c>
      <c r="G5615" s="15">
        <v>0.09770754716981131</v>
      </c>
      <c r="H5615" s="11" t="s">
        <v>33</v>
      </c>
      <c r="I5615" s="16">
        <v>6.872</v>
      </c>
      <c r="J5615" s="11" t="s">
        <v>2116</v>
      </c>
      <c r="K5615" s="11" t="s">
        <v>65</v>
      </c>
      <c r="L5615" s="11" t="s">
        <v>36</v>
      </c>
      <c r="M5615" s="11" t="s">
        <v>66</v>
      </c>
      <c r="N5615" s="11" t="s">
        <v>80</v>
      </c>
      <c r="O5615" s="11" t="s">
        <v>909</v>
      </c>
      <c r="P5615" s="11" t="s">
        <v>75</v>
      </c>
      <c r="Q5615" s="20">
        <v>40788.0</v>
      </c>
      <c r="R5615" s="17">
        <f t="shared" si="2"/>
        <v>37.38017174</v>
      </c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>
        <f t="shared" si="8"/>
        <v>2</v>
      </c>
      <c r="AF5615" s="19">
        <f t="shared" si="13"/>
        <v>5</v>
      </c>
      <c r="AG5615" s="9"/>
      <c r="AH5615" s="9"/>
      <c r="AI5615" s="9"/>
    </row>
    <row r="5616" ht="15.0" customHeight="1">
      <c r="A5616" s="11">
        <v>5615.0</v>
      </c>
      <c r="B5616" s="12">
        <f t="shared" si="900"/>
        <v>40787</v>
      </c>
      <c r="C5616" s="13">
        <v>2011.0</v>
      </c>
      <c r="D5616" s="11" t="s">
        <v>32</v>
      </c>
      <c r="E5616" s="11">
        <v>24.0</v>
      </c>
      <c r="F5616" s="21" t="s">
        <v>1791</v>
      </c>
      <c r="G5616" s="15">
        <v>0.04841321544904605</v>
      </c>
      <c r="H5616" s="11" t="s">
        <v>33</v>
      </c>
      <c r="I5616" s="16">
        <v>2.8960000000000004</v>
      </c>
      <c r="J5616" s="11" t="s">
        <v>510</v>
      </c>
      <c r="K5616" s="11" t="s">
        <v>35</v>
      </c>
      <c r="L5616" s="11" t="s">
        <v>27</v>
      </c>
      <c r="M5616" s="11" t="s">
        <v>66</v>
      </c>
      <c r="N5616" s="11" t="s">
        <v>67</v>
      </c>
      <c r="O5616" s="11" t="s">
        <v>2118</v>
      </c>
      <c r="P5616" s="11" t="s">
        <v>99</v>
      </c>
      <c r="Q5616" s="20">
        <v>40789.0</v>
      </c>
      <c r="R5616" s="17">
        <f t="shared" si="2"/>
        <v>9.900308906</v>
      </c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>
        <f t="shared" si="8"/>
        <v>1</v>
      </c>
      <c r="AF5616" s="19">
        <f t="shared" si="13"/>
        <v>2</v>
      </c>
      <c r="AG5616" s="9"/>
      <c r="AH5616" s="9"/>
      <c r="AI5616" s="9"/>
    </row>
    <row r="5617" ht="15.0" customHeight="1">
      <c r="A5617" s="11">
        <v>5616.0</v>
      </c>
      <c r="B5617" s="12">
        <f t="shared" ref="B5617:B5622" si="901">DATE(2012,12,31)-486</f>
        <v>40788</v>
      </c>
      <c r="C5617" s="13">
        <v>2011.0</v>
      </c>
      <c r="D5617" s="11" t="s">
        <v>32</v>
      </c>
      <c r="E5617" s="11">
        <v>40.0</v>
      </c>
      <c r="F5617" s="21" t="s">
        <v>413</v>
      </c>
      <c r="G5617" s="15">
        <v>0.0971297148114076</v>
      </c>
      <c r="H5617" s="11" t="s">
        <v>33</v>
      </c>
      <c r="I5617" s="16">
        <v>4.5680000000000005</v>
      </c>
      <c r="J5617" s="11" t="s">
        <v>2069</v>
      </c>
      <c r="K5617" s="11" t="s">
        <v>35</v>
      </c>
      <c r="L5617" s="11" t="s">
        <v>48</v>
      </c>
      <c r="M5617" s="11" t="s">
        <v>49</v>
      </c>
      <c r="N5617" s="11" t="s">
        <v>73</v>
      </c>
      <c r="O5617" s="11" t="s">
        <v>2564</v>
      </c>
      <c r="P5617" s="11" t="s">
        <v>38</v>
      </c>
      <c r="Q5617" s="20">
        <v>40789.0</v>
      </c>
      <c r="R5617" s="17">
        <f t="shared" si="2"/>
        <v>38.13001788</v>
      </c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>
        <f t="shared" si="8"/>
        <v>4</v>
      </c>
      <c r="AF5617" s="19">
        <f t="shared" si="13"/>
        <v>2</v>
      </c>
      <c r="AG5617" s="9"/>
      <c r="AH5617" s="9"/>
      <c r="AI5617" s="9"/>
    </row>
    <row r="5618" ht="15.0" customHeight="1">
      <c r="A5618" s="11">
        <v>5617.0</v>
      </c>
      <c r="B5618" s="12">
        <f t="shared" si="901"/>
        <v>40788</v>
      </c>
      <c r="C5618" s="13">
        <v>2011.0</v>
      </c>
      <c r="D5618" s="11" t="s">
        <v>44</v>
      </c>
      <c r="E5618" s="11">
        <v>30.0</v>
      </c>
      <c r="F5618" s="21" t="s">
        <v>142</v>
      </c>
      <c r="G5618" s="15">
        <v>0.05015246320613389</v>
      </c>
      <c r="H5618" s="11" t="s">
        <v>33</v>
      </c>
      <c r="I5618" s="16">
        <v>0.792</v>
      </c>
      <c r="J5618" s="11" t="s">
        <v>1103</v>
      </c>
      <c r="K5618" s="11" t="s">
        <v>83</v>
      </c>
      <c r="L5618" s="11" t="s">
        <v>41</v>
      </c>
      <c r="M5618" s="11" t="s">
        <v>66</v>
      </c>
      <c r="N5618" s="11" t="s">
        <v>80</v>
      </c>
      <c r="O5618" s="11" t="s">
        <v>1046</v>
      </c>
      <c r="P5618" s="11" t="s">
        <v>99</v>
      </c>
      <c r="Q5618" s="20">
        <v>40789.0</v>
      </c>
      <c r="R5618" s="17">
        <f t="shared" si="2"/>
        <v>54.05392362</v>
      </c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>
        <f t="shared" si="8"/>
        <v>3</v>
      </c>
      <c r="AF5618" s="19" t="b">
        <f t="shared" si="13"/>
        <v>0</v>
      </c>
      <c r="AG5618" s="9"/>
      <c r="AH5618" s="9"/>
      <c r="AI5618" s="9"/>
    </row>
    <row r="5619" ht="15.0" customHeight="1">
      <c r="A5619" s="11">
        <v>5618.0</v>
      </c>
      <c r="B5619" s="12">
        <f t="shared" si="901"/>
        <v>40788</v>
      </c>
      <c r="C5619" s="13">
        <v>2011.0</v>
      </c>
      <c r="D5619" s="11" t="s">
        <v>39</v>
      </c>
      <c r="E5619" s="11">
        <v>10.0</v>
      </c>
      <c r="F5619" s="21" t="s">
        <v>952</v>
      </c>
      <c r="G5619" s="15">
        <v>0.02053899231870859</v>
      </c>
      <c r="H5619" s="11" t="s">
        <v>33</v>
      </c>
      <c r="I5619" s="16">
        <v>19.592</v>
      </c>
      <c r="J5619" s="11" t="s">
        <v>1123</v>
      </c>
      <c r="K5619" s="11" t="s">
        <v>61</v>
      </c>
      <c r="L5619" s="11" t="s">
        <v>48</v>
      </c>
      <c r="M5619" s="11" t="s">
        <v>66</v>
      </c>
      <c r="N5619" s="11" t="s">
        <v>170</v>
      </c>
      <c r="O5619" s="11" t="s">
        <v>954</v>
      </c>
      <c r="P5619" s="11" t="s">
        <v>31</v>
      </c>
      <c r="Q5619" s="20">
        <v>40789.0</v>
      </c>
      <c r="R5619" s="17">
        <f t="shared" si="2"/>
        <v>123.6158149</v>
      </c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>
        <f t="shared" si="8"/>
        <v>4</v>
      </c>
      <c r="AF5619" s="19">
        <f t="shared" si="13"/>
        <v>4</v>
      </c>
      <c r="AG5619" s="9"/>
      <c r="AH5619" s="9"/>
      <c r="AI5619" s="9"/>
    </row>
    <row r="5620" ht="15.0" customHeight="1">
      <c r="A5620" s="11">
        <v>5619.0</v>
      </c>
      <c r="B5620" s="12">
        <f t="shared" si="901"/>
        <v>40788</v>
      </c>
      <c r="C5620" s="13">
        <v>2011.0</v>
      </c>
      <c r="D5620" s="11" t="s">
        <v>39</v>
      </c>
      <c r="E5620" s="11">
        <v>1.0</v>
      </c>
      <c r="F5620" s="21" t="s">
        <v>1987</v>
      </c>
      <c r="G5620" s="15">
        <v>0.03197373820270814</v>
      </c>
      <c r="H5620" s="11" t="s">
        <v>33</v>
      </c>
      <c r="I5620" s="16">
        <v>12.008000000000001</v>
      </c>
      <c r="J5620" s="11" t="s">
        <v>1123</v>
      </c>
      <c r="K5620" s="11" t="s">
        <v>61</v>
      </c>
      <c r="L5620" s="11" t="s">
        <v>48</v>
      </c>
      <c r="M5620" s="11" t="s">
        <v>28</v>
      </c>
      <c r="N5620" s="11" t="s">
        <v>42</v>
      </c>
      <c r="O5620" s="11" t="s">
        <v>1988</v>
      </c>
      <c r="P5620" s="11" t="s">
        <v>38</v>
      </c>
      <c r="Q5620" s="20">
        <v>40790.0</v>
      </c>
      <c r="R5620" s="17">
        <f t="shared" si="2"/>
        <v>7.542860632</v>
      </c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>
        <f t="shared" si="8"/>
        <v>4</v>
      </c>
      <c r="AF5620" s="19">
        <f t="shared" si="13"/>
        <v>4</v>
      </c>
      <c r="AG5620" s="9"/>
      <c r="AH5620" s="9"/>
      <c r="AI5620" s="9"/>
    </row>
    <row r="5621" ht="15.0" customHeight="1">
      <c r="A5621" s="11">
        <v>5620.0</v>
      </c>
      <c r="B5621" s="12">
        <f t="shared" si="901"/>
        <v>40788</v>
      </c>
      <c r="C5621" s="13">
        <v>2011.0</v>
      </c>
      <c r="D5621" s="11" t="s">
        <v>39</v>
      </c>
      <c r="E5621" s="11">
        <v>34.0</v>
      </c>
      <c r="F5621" s="21" t="s">
        <v>394</v>
      </c>
      <c r="G5621" s="15">
        <v>0.06733134651855846</v>
      </c>
      <c r="H5621" s="11" t="s">
        <v>45</v>
      </c>
      <c r="I5621" s="16">
        <v>28.872000000000003</v>
      </c>
      <c r="J5621" s="11" t="s">
        <v>1123</v>
      </c>
      <c r="K5621" s="11" t="s">
        <v>61</v>
      </c>
      <c r="L5621" s="11" t="s">
        <v>48</v>
      </c>
      <c r="M5621" s="11" t="s">
        <v>49</v>
      </c>
      <c r="N5621" s="11" t="s">
        <v>156</v>
      </c>
      <c r="O5621" s="11" t="s">
        <v>1194</v>
      </c>
      <c r="P5621" s="11" t="s">
        <v>87</v>
      </c>
      <c r="Q5621" s="20">
        <v>40790.0</v>
      </c>
      <c r="R5621" s="17">
        <f t="shared" si="2"/>
        <v>324.5015393</v>
      </c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>
        <f t="shared" si="8"/>
        <v>4</v>
      </c>
      <c r="AF5621" s="19">
        <f t="shared" si="13"/>
        <v>4</v>
      </c>
      <c r="AG5621" s="9"/>
      <c r="AH5621" s="9"/>
      <c r="AI5621" s="9"/>
    </row>
    <row r="5622" ht="15.0" customHeight="1">
      <c r="A5622" s="11">
        <v>5621.0</v>
      </c>
      <c r="B5622" s="12">
        <f t="shared" si="901"/>
        <v>40788</v>
      </c>
      <c r="C5622" s="13">
        <v>2011.0</v>
      </c>
      <c r="D5622" s="11" t="s">
        <v>23</v>
      </c>
      <c r="E5622" s="11">
        <v>21.0</v>
      </c>
      <c r="F5622" s="21" t="s">
        <v>1659</v>
      </c>
      <c r="G5622" s="15">
        <v>0.03110012360939438</v>
      </c>
      <c r="H5622" s="11" t="s">
        <v>24</v>
      </c>
      <c r="I5622" s="16">
        <v>1.368</v>
      </c>
      <c r="J5622" s="11" t="s">
        <v>2441</v>
      </c>
      <c r="K5622" s="11" t="s">
        <v>35</v>
      </c>
      <c r="L5622" s="11" t="s">
        <v>48</v>
      </c>
      <c r="M5622" s="11" t="s">
        <v>28</v>
      </c>
      <c r="N5622" s="11" t="s">
        <v>56</v>
      </c>
      <c r="O5622" s="11" t="s">
        <v>2342</v>
      </c>
      <c r="P5622" s="11" t="s">
        <v>58</v>
      </c>
      <c r="Q5622" s="20">
        <v>40790.0</v>
      </c>
      <c r="R5622" s="17">
        <f t="shared" si="2"/>
        <v>4.875504178</v>
      </c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>
        <f t="shared" si="8"/>
        <v>4</v>
      </c>
      <c r="AF5622" s="19">
        <f t="shared" si="13"/>
        <v>2</v>
      </c>
      <c r="AG5622" s="9"/>
      <c r="AH5622" s="9"/>
      <c r="AI5622" s="9"/>
    </row>
    <row r="5623" ht="15.0" customHeight="1">
      <c r="A5623" s="11">
        <v>5622.0</v>
      </c>
      <c r="B5623" s="12">
        <f t="shared" ref="B5623:B5631" si="902">DATE(2012,12,31)-485</f>
        <v>40789</v>
      </c>
      <c r="C5623" s="13">
        <v>2011.0</v>
      </c>
      <c r="D5623" s="11" t="s">
        <v>44</v>
      </c>
      <c r="E5623" s="11">
        <v>7.0</v>
      </c>
      <c r="F5623" s="21" t="s">
        <v>666</v>
      </c>
      <c r="G5623" s="15">
        <v>0.05469387755102043</v>
      </c>
      <c r="H5623" s="11" t="s">
        <v>33</v>
      </c>
      <c r="I5623" s="16">
        <v>1.192</v>
      </c>
      <c r="J5623" s="11" t="s">
        <v>897</v>
      </c>
      <c r="K5623" s="11" t="s">
        <v>26</v>
      </c>
      <c r="L5623" s="11" t="s">
        <v>41</v>
      </c>
      <c r="M5623" s="11" t="s">
        <v>28</v>
      </c>
      <c r="N5623" s="11" t="s">
        <v>42</v>
      </c>
      <c r="O5623" s="11" t="s">
        <v>667</v>
      </c>
      <c r="P5623" s="11" t="s">
        <v>38</v>
      </c>
      <c r="Q5623" s="20">
        <v>40790.0</v>
      </c>
      <c r="R5623" s="17">
        <f t="shared" si="2"/>
        <v>1.520052245</v>
      </c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>
        <f t="shared" si="8"/>
        <v>3</v>
      </c>
      <c r="AF5623" s="19">
        <f t="shared" si="13"/>
        <v>1</v>
      </c>
      <c r="AG5623" s="9"/>
      <c r="AH5623" s="9"/>
      <c r="AI5623" s="9"/>
    </row>
    <row r="5624" ht="15.0" customHeight="1">
      <c r="A5624" s="11">
        <v>5623.0</v>
      </c>
      <c r="B5624" s="12">
        <f t="shared" si="902"/>
        <v>40789</v>
      </c>
      <c r="C5624" s="13">
        <v>2011.0</v>
      </c>
      <c r="D5624" s="11" t="s">
        <v>32</v>
      </c>
      <c r="E5624" s="11">
        <v>8.0</v>
      </c>
      <c r="F5624" s="21" t="s">
        <v>178</v>
      </c>
      <c r="G5624" s="15">
        <v>0.024119795471146767</v>
      </c>
      <c r="H5624" s="11" t="s">
        <v>33</v>
      </c>
      <c r="I5624" s="16">
        <v>7.192</v>
      </c>
      <c r="J5624" s="11" t="s">
        <v>716</v>
      </c>
      <c r="K5624" s="11" t="s">
        <v>61</v>
      </c>
      <c r="L5624" s="11" t="s">
        <v>41</v>
      </c>
      <c r="M5624" s="11" t="s">
        <v>66</v>
      </c>
      <c r="N5624" s="11" t="s">
        <v>80</v>
      </c>
      <c r="O5624" s="11" t="s">
        <v>1263</v>
      </c>
      <c r="P5624" s="11" t="s">
        <v>38</v>
      </c>
      <c r="Q5624" s="20">
        <v>40790.0</v>
      </c>
      <c r="R5624" s="17">
        <f t="shared" si="2"/>
        <v>12.88942574</v>
      </c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>
        <f t="shared" si="8"/>
        <v>3</v>
      </c>
      <c r="AF5624" s="19">
        <f t="shared" si="13"/>
        <v>4</v>
      </c>
      <c r="AG5624" s="9"/>
      <c r="AH5624" s="9"/>
      <c r="AI5624" s="9"/>
    </row>
    <row r="5625" ht="15.0" customHeight="1">
      <c r="A5625" s="11">
        <v>5624.0</v>
      </c>
      <c r="B5625" s="12">
        <f t="shared" si="902"/>
        <v>40789</v>
      </c>
      <c r="C5625" s="13">
        <v>2011.0</v>
      </c>
      <c r="D5625" s="11" t="s">
        <v>32</v>
      </c>
      <c r="E5625" s="11">
        <v>2.0</v>
      </c>
      <c r="F5625" s="21" t="s">
        <v>1015</v>
      </c>
      <c r="G5625" s="15">
        <v>0.10640000000000001</v>
      </c>
      <c r="H5625" s="11" t="s">
        <v>24</v>
      </c>
      <c r="I5625" s="16">
        <v>6.472</v>
      </c>
      <c r="J5625" s="11" t="s">
        <v>525</v>
      </c>
      <c r="K5625" s="11" t="s">
        <v>65</v>
      </c>
      <c r="L5625" s="11" t="s">
        <v>48</v>
      </c>
      <c r="M5625" s="11" t="s">
        <v>28</v>
      </c>
      <c r="N5625" s="11" t="s">
        <v>56</v>
      </c>
      <c r="O5625" s="11" t="s">
        <v>2137</v>
      </c>
      <c r="P5625" s="11" t="s">
        <v>38</v>
      </c>
      <c r="Q5625" s="20">
        <v>40790.0</v>
      </c>
      <c r="R5625" s="17">
        <f t="shared" si="2"/>
        <v>1.9015808</v>
      </c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>
        <f t="shared" si="8"/>
        <v>4</v>
      </c>
      <c r="AF5625" s="19">
        <f t="shared" si="13"/>
        <v>5</v>
      </c>
      <c r="AG5625" s="9"/>
      <c r="AH5625" s="9"/>
      <c r="AI5625" s="9"/>
    </row>
    <row r="5626" ht="15.0" customHeight="1">
      <c r="A5626" s="11">
        <v>5625.0</v>
      </c>
      <c r="B5626" s="12">
        <f t="shared" si="902"/>
        <v>40789</v>
      </c>
      <c r="C5626" s="13">
        <v>2011.0</v>
      </c>
      <c r="D5626" s="11" t="s">
        <v>23</v>
      </c>
      <c r="E5626" s="11">
        <v>4.0</v>
      </c>
      <c r="F5626" s="21" t="s">
        <v>126</v>
      </c>
      <c r="G5626" s="15">
        <v>0.13151079136690644</v>
      </c>
      <c r="H5626" s="11" t="s">
        <v>33</v>
      </c>
      <c r="I5626" s="16">
        <v>4.544</v>
      </c>
      <c r="J5626" s="11" t="s">
        <v>1065</v>
      </c>
      <c r="K5626" s="11" t="s">
        <v>65</v>
      </c>
      <c r="L5626" s="11" t="s">
        <v>27</v>
      </c>
      <c r="M5626" s="11" t="s">
        <v>28</v>
      </c>
      <c r="N5626" s="11" t="s">
        <v>42</v>
      </c>
      <c r="O5626" s="11" t="s">
        <v>1022</v>
      </c>
      <c r="P5626" s="11" t="s">
        <v>38</v>
      </c>
      <c r="Q5626" s="20">
        <v>40790.0</v>
      </c>
      <c r="R5626" s="17">
        <f t="shared" si="2"/>
        <v>3.175196547</v>
      </c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>
        <f t="shared" si="8"/>
        <v>1</v>
      </c>
      <c r="AF5626" s="19">
        <f t="shared" si="13"/>
        <v>5</v>
      </c>
      <c r="AG5626" s="9"/>
      <c r="AH5626" s="9"/>
      <c r="AI5626" s="9"/>
    </row>
    <row r="5627" ht="15.0" customHeight="1">
      <c r="A5627" s="11">
        <v>5626.0</v>
      </c>
      <c r="B5627" s="12">
        <f t="shared" si="902"/>
        <v>40789</v>
      </c>
      <c r="C5627" s="13">
        <v>2011.0</v>
      </c>
      <c r="D5627" s="11" t="s">
        <v>23</v>
      </c>
      <c r="E5627" s="11">
        <v>36.0</v>
      </c>
      <c r="F5627" s="21" t="s">
        <v>802</v>
      </c>
      <c r="G5627" s="15">
        <v>0.01045867810808044</v>
      </c>
      <c r="H5627" s="11" t="s">
        <v>33</v>
      </c>
      <c r="I5627" s="16">
        <v>4.648</v>
      </c>
      <c r="J5627" s="11" t="s">
        <v>1065</v>
      </c>
      <c r="K5627" s="11" t="s">
        <v>65</v>
      </c>
      <c r="L5627" s="11" t="s">
        <v>27</v>
      </c>
      <c r="M5627" s="11" t="s">
        <v>49</v>
      </c>
      <c r="N5627" s="11" t="s">
        <v>73</v>
      </c>
      <c r="O5627" s="11" t="s">
        <v>804</v>
      </c>
      <c r="P5627" s="11" t="s">
        <v>75</v>
      </c>
      <c r="Q5627" s="20">
        <v>40791.0</v>
      </c>
      <c r="R5627" s="17">
        <f t="shared" si="2"/>
        <v>40.52369621</v>
      </c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>
        <f t="shared" si="8"/>
        <v>1</v>
      </c>
      <c r="AF5627" s="19">
        <f t="shared" si="13"/>
        <v>5</v>
      </c>
      <c r="AG5627" s="9"/>
      <c r="AH5627" s="9"/>
      <c r="AI5627" s="9"/>
    </row>
    <row r="5628" ht="15.0" customHeight="1">
      <c r="A5628" s="11">
        <v>5627.0</v>
      </c>
      <c r="B5628" s="12">
        <f t="shared" si="902"/>
        <v>40789</v>
      </c>
      <c r="C5628" s="13">
        <v>2011.0</v>
      </c>
      <c r="D5628" s="11" t="s">
        <v>32</v>
      </c>
      <c r="E5628" s="11">
        <v>49.0</v>
      </c>
      <c r="F5628" s="21" t="s">
        <v>2230</v>
      </c>
      <c r="G5628" s="15">
        <v>0.03040127421260846</v>
      </c>
      <c r="H5628" s="11" t="s">
        <v>33</v>
      </c>
      <c r="I5628" s="16">
        <v>15.96</v>
      </c>
      <c r="J5628" s="11" t="s">
        <v>1507</v>
      </c>
      <c r="K5628" s="11" t="s">
        <v>61</v>
      </c>
      <c r="L5628" s="11" t="s">
        <v>48</v>
      </c>
      <c r="M5628" s="11" t="s">
        <v>28</v>
      </c>
      <c r="N5628" s="11" t="s">
        <v>197</v>
      </c>
      <c r="O5628" s="11" t="s">
        <v>2231</v>
      </c>
      <c r="P5628" s="11" t="s">
        <v>31</v>
      </c>
      <c r="Q5628" s="20">
        <v>40791.0</v>
      </c>
      <c r="R5628" s="17">
        <f t="shared" si="2"/>
        <v>114.7423132</v>
      </c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>
        <f t="shared" si="8"/>
        <v>4</v>
      </c>
      <c r="AF5628" s="19">
        <f t="shared" si="13"/>
        <v>4</v>
      </c>
      <c r="AG5628" s="9"/>
      <c r="AH5628" s="9"/>
      <c r="AI5628" s="9"/>
    </row>
    <row r="5629" ht="15.0" customHeight="1">
      <c r="A5629" s="11">
        <v>5628.0</v>
      </c>
      <c r="B5629" s="12">
        <f t="shared" si="902"/>
        <v>40789</v>
      </c>
      <c r="C5629" s="13">
        <v>2011.0</v>
      </c>
      <c r="D5629" s="11" t="s">
        <v>32</v>
      </c>
      <c r="E5629" s="11">
        <v>29.0</v>
      </c>
      <c r="F5629" s="21" t="s">
        <v>119</v>
      </c>
      <c r="G5629" s="15">
        <v>0.13324675324675322</v>
      </c>
      <c r="H5629" s="11" t="s">
        <v>33</v>
      </c>
      <c r="I5629" s="16">
        <v>1.192</v>
      </c>
      <c r="J5629" s="11" t="s">
        <v>1507</v>
      </c>
      <c r="K5629" s="11" t="s">
        <v>61</v>
      </c>
      <c r="L5629" s="11" t="s">
        <v>48</v>
      </c>
      <c r="M5629" s="11" t="s">
        <v>28</v>
      </c>
      <c r="N5629" s="11" t="s">
        <v>42</v>
      </c>
      <c r="O5629" s="11" t="s">
        <v>1129</v>
      </c>
      <c r="P5629" s="11" t="s">
        <v>38</v>
      </c>
      <c r="Q5629" s="20">
        <v>40791.0</v>
      </c>
      <c r="R5629" s="17">
        <f t="shared" si="2"/>
        <v>7.114310649</v>
      </c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>
        <f t="shared" si="8"/>
        <v>4</v>
      </c>
      <c r="AF5629" s="19">
        <f t="shared" si="13"/>
        <v>4</v>
      </c>
      <c r="AG5629" s="9"/>
      <c r="AH5629" s="9"/>
      <c r="AI5629" s="9"/>
    </row>
    <row r="5630" ht="15.0" customHeight="1">
      <c r="A5630" s="11">
        <v>5629.0</v>
      </c>
      <c r="B5630" s="12">
        <f t="shared" si="902"/>
        <v>40789</v>
      </c>
      <c r="C5630" s="13">
        <v>2011.0</v>
      </c>
      <c r="D5630" s="11" t="s">
        <v>32</v>
      </c>
      <c r="E5630" s="11">
        <v>23.0</v>
      </c>
      <c r="F5630" s="21" t="s">
        <v>838</v>
      </c>
      <c r="G5630" s="15">
        <v>0.012466601220709219</v>
      </c>
      <c r="H5630" s="11" t="s">
        <v>33</v>
      </c>
      <c r="I5630" s="16">
        <v>15.991999999999999</v>
      </c>
      <c r="J5630" s="11" t="s">
        <v>648</v>
      </c>
      <c r="K5630" s="11" t="s">
        <v>35</v>
      </c>
      <c r="L5630" s="11" t="s">
        <v>27</v>
      </c>
      <c r="M5630" s="11" t="s">
        <v>66</v>
      </c>
      <c r="N5630" s="11" t="s">
        <v>67</v>
      </c>
      <c r="O5630" s="11" t="s">
        <v>845</v>
      </c>
      <c r="P5630" s="11" t="s">
        <v>38</v>
      </c>
      <c r="Q5630" s="20">
        <v>40791.0</v>
      </c>
      <c r="R5630" s="17">
        <f t="shared" si="2"/>
        <v>28.84387551</v>
      </c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>
        <f t="shared" si="8"/>
        <v>1</v>
      </c>
      <c r="AF5630" s="19">
        <f t="shared" si="13"/>
        <v>2</v>
      </c>
      <c r="AG5630" s="9"/>
      <c r="AH5630" s="9"/>
      <c r="AI5630" s="9"/>
    </row>
    <row r="5631" ht="15.0" customHeight="1">
      <c r="A5631" s="11">
        <v>5630.0</v>
      </c>
      <c r="B5631" s="12">
        <f t="shared" si="902"/>
        <v>40789</v>
      </c>
      <c r="C5631" s="13">
        <v>2011.0</v>
      </c>
      <c r="D5631" s="11" t="s">
        <v>32</v>
      </c>
      <c r="E5631" s="11">
        <v>45.0</v>
      </c>
      <c r="F5631" s="21" t="s">
        <v>2327</v>
      </c>
      <c r="G5631" s="15">
        <v>0.09804700430321087</v>
      </c>
      <c r="H5631" s="11" t="s">
        <v>24</v>
      </c>
      <c r="I5631" s="16">
        <v>4.960000000000001</v>
      </c>
      <c r="J5631" s="11" t="s">
        <v>648</v>
      </c>
      <c r="K5631" s="11" t="s">
        <v>35</v>
      </c>
      <c r="L5631" s="11" t="s">
        <v>27</v>
      </c>
      <c r="M5631" s="11" t="s">
        <v>49</v>
      </c>
      <c r="N5631" s="11" t="s">
        <v>73</v>
      </c>
      <c r="O5631" s="11" t="s">
        <v>2328</v>
      </c>
      <c r="P5631" s="11" t="s">
        <v>58</v>
      </c>
      <c r="Q5631" s="20">
        <v>40791.0</v>
      </c>
      <c r="R5631" s="17">
        <f t="shared" si="2"/>
        <v>53.43169547</v>
      </c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>
        <f t="shared" si="8"/>
        <v>1</v>
      </c>
      <c r="AF5631" s="19">
        <f t="shared" si="13"/>
        <v>2</v>
      </c>
      <c r="AG5631" s="9"/>
      <c r="AH5631" s="9"/>
      <c r="AI5631" s="9"/>
    </row>
    <row r="5632" ht="15.0" customHeight="1">
      <c r="A5632" s="11">
        <v>5631.0</v>
      </c>
      <c r="B5632" s="12">
        <f t="shared" ref="B5632:B5639" si="903">DATE(2012,12,31)-484</f>
        <v>40790</v>
      </c>
      <c r="C5632" s="13">
        <v>2011.0</v>
      </c>
      <c r="D5632" s="11" t="s">
        <v>39</v>
      </c>
      <c r="E5632" s="11">
        <v>18.0</v>
      </c>
      <c r="F5632" s="21" t="s">
        <v>147</v>
      </c>
      <c r="G5632" s="15">
        <v>0.035294117647058844</v>
      </c>
      <c r="H5632" s="11" t="s">
        <v>33</v>
      </c>
      <c r="I5632" s="16">
        <v>0.5599999999999999</v>
      </c>
      <c r="J5632" s="11" t="s">
        <v>895</v>
      </c>
      <c r="K5632" s="11" t="s">
        <v>35</v>
      </c>
      <c r="L5632" s="11" t="s">
        <v>27</v>
      </c>
      <c r="M5632" s="11" t="s">
        <v>28</v>
      </c>
      <c r="N5632" s="11" t="s">
        <v>62</v>
      </c>
      <c r="O5632" s="11" t="s">
        <v>182</v>
      </c>
      <c r="P5632" s="11" t="s">
        <v>58</v>
      </c>
      <c r="Q5632" s="20">
        <v>40791.0</v>
      </c>
      <c r="R5632" s="17">
        <f t="shared" si="2"/>
        <v>1.099764706</v>
      </c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>
        <f t="shared" si="8"/>
        <v>1</v>
      </c>
      <c r="AF5632" s="19">
        <f t="shared" si="13"/>
        <v>2</v>
      </c>
      <c r="AG5632" s="9"/>
      <c r="AH5632" s="9"/>
      <c r="AI5632" s="9"/>
    </row>
    <row r="5633" ht="15.0" customHeight="1">
      <c r="A5633" s="11">
        <v>5632.0</v>
      </c>
      <c r="B5633" s="12">
        <f t="shared" si="903"/>
        <v>40790</v>
      </c>
      <c r="C5633" s="13">
        <v>2011.0</v>
      </c>
      <c r="D5633" s="11" t="s">
        <v>39</v>
      </c>
      <c r="E5633" s="11">
        <v>37.0</v>
      </c>
      <c r="F5633" s="21" t="s">
        <v>498</v>
      </c>
      <c r="G5633" s="15">
        <v>0.0836764174792343</v>
      </c>
      <c r="H5633" s="11" t="s">
        <v>33</v>
      </c>
      <c r="I5633" s="16">
        <v>3.9200000000000004</v>
      </c>
      <c r="J5633" s="11" t="s">
        <v>982</v>
      </c>
      <c r="K5633" s="11" t="s">
        <v>61</v>
      </c>
      <c r="L5633" s="11" t="s">
        <v>48</v>
      </c>
      <c r="M5633" s="11" t="s">
        <v>66</v>
      </c>
      <c r="N5633" s="11" t="s">
        <v>80</v>
      </c>
      <c r="O5633" s="11" t="s">
        <v>500</v>
      </c>
      <c r="P5633" s="11" t="s">
        <v>38</v>
      </c>
      <c r="Q5633" s="20">
        <v>40792.0</v>
      </c>
      <c r="R5633" s="17">
        <f t="shared" si="2"/>
        <v>297.2370437</v>
      </c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>
        <f t="shared" si="8"/>
        <v>4</v>
      </c>
      <c r="AF5633" s="19">
        <f t="shared" si="13"/>
        <v>4</v>
      </c>
      <c r="AG5633" s="9"/>
      <c r="AH5633" s="9"/>
      <c r="AI5633" s="9"/>
    </row>
    <row r="5634" ht="15.0" customHeight="1">
      <c r="A5634" s="11">
        <v>5633.0</v>
      </c>
      <c r="B5634" s="12">
        <f t="shared" si="903"/>
        <v>40790</v>
      </c>
      <c r="C5634" s="13">
        <v>2011.0</v>
      </c>
      <c r="D5634" s="11" t="s">
        <v>102</v>
      </c>
      <c r="E5634" s="11">
        <v>49.0</v>
      </c>
      <c r="F5634" s="21" t="s">
        <v>2456</v>
      </c>
      <c r="G5634" s="15">
        <v>0.030247893590114844</v>
      </c>
      <c r="H5634" s="11" t="s">
        <v>45</v>
      </c>
      <c r="I5634" s="16">
        <v>43.44800000000001</v>
      </c>
      <c r="J5634" s="11" t="s">
        <v>1907</v>
      </c>
      <c r="K5634" s="11" t="s">
        <v>61</v>
      </c>
      <c r="L5634" s="11" t="s">
        <v>36</v>
      </c>
      <c r="M5634" s="11" t="s">
        <v>49</v>
      </c>
      <c r="N5634" s="11" t="s">
        <v>50</v>
      </c>
      <c r="O5634" s="11" t="s">
        <v>2457</v>
      </c>
      <c r="P5634" s="11" t="s">
        <v>52</v>
      </c>
      <c r="Q5634" s="20">
        <v>40792.0</v>
      </c>
      <c r="R5634" s="17">
        <f t="shared" si="2"/>
        <v>385.0420134</v>
      </c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>
        <f t="shared" si="8"/>
        <v>2</v>
      </c>
      <c r="AF5634" s="19">
        <f t="shared" si="13"/>
        <v>4</v>
      </c>
      <c r="AG5634" s="9"/>
      <c r="AH5634" s="9"/>
      <c r="AI5634" s="9"/>
    </row>
    <row r="5635" ht="15.0" customHeight="1">
      <c r="A5635" s="11">
        <v>5634.0</v>
      </c>
      <c r="B5635" s="12">
        <f t="shared" si="903"/>
        <v>40790</v>
      </c>
      <c r="C5635" s="13">
        <v>2011.0</v>
      </c>
      <c r="D5635" s="11" t="s">
        <v>44</v>
      </c>
      <c r="E5635" s="11">
        <v>23.0</v>
      </c>
      <c r="F5635" s="21" t="s">
        <v>297</v>
      </c>
      <c r="G5635" s="15">
        <v>0.03380330722367276</v>
      </c>
      <c r="H5635" s="11" t="s">
        <v>33</v>
      </c>
      <c r="I5635" s="16">
        <v>5.832000000000001</v>
      </c>
      <c r="J5635" s="11" t="s">
        <v>300</v>
      </c>
      <c r="K5635" s="11" t="s">
        <v>35</v>
      </c>
      <c r="L5635" s="11" t="s">
        <v>36</v>
      </c>
      <c r="M5635" s="11" t="s">
        <v>49</v>
      </c>
      <c r="N5635" s="11" t="s">
        <v>73</v>
      </c>
      <c r="O5635" s="11" t="s">
        <v>298</v>
      </c>
      <c r="P5635" s="11" t="s">
        <v>99</v>
      </c>
      <c r="Q5635" s="20">
        <v>40792.0</v>
      </c>
      <c r="R5635" s="17">
        <f t="shared" si="2"/>
        <v>7.505415909</v>
      </c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>
        <f t="shared" si="8"/>
        <v>2</v>
      </c>
      <c r="AF5635" s="19">
        <f t="shared" si="13"/>
        <v>2</v>
      </c>
      <c r="AG5635" s="9"/>
      <c r="AH5635" s="9"/>
      <c r="AI5635" s="9"/>
    </row>
    <row r="5636" ht="15.0" customHeight="1">
      <c r="A5636" s="11">
        <v>5635.0</v>
      </c>
      <c r="B5636" s="12">
        <f t="shared" si="903"/>
        <v>40790</v>
      </c>
      <c r="C5636" s="13">
        <v>2011.0</v>
      </c>
      <c r="D5636" s="11" t="s">
        <v>44</v>
      </c>
      <c r="E5636" s="11">
        <v>47.0</v>
      </c>
      <c r="F5636" s="21" t="s">
        <v>1452</v>
      </c>
      <c r="G5636" s="15">
        <v>0.020256677072493928</v>
      </c>
      <c r="H5636" s="11" t="s">
        <v>45</v>
      </c>
      <c r="I5636" s="16">
        <v>39.2</v>
      </c>
      <c r="J5636" s="11" t="s">
        <v>300</v>
      </c>
      <c r="K5636" s="11" t="s">
        <v>35</v>
      </c>
      <c r="L5636" s="11" t="s">
        <v>36</v>
      </c>
      <c r="M5636" s="11" t="s">
        <v>66</v>
      </c>
      <c r="N5636" s="11" t="s">
        <v>170</v>
      </c>
      <c r="O5636" s="11" t="s">
        <v>1453</v>
      </c>
      <c r="P5636" s="11" t="s">
        <v>52</v>
      </c>
      <c r="Q5636" s="20">
        <v>40792.0</v>
      </c>
      <c r="R5636" s="17">
        <f t="shared" si="2"/>
        <v>429.1275754</v>
      </c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>
        <f t="shared" si="8"/>
        <v>2</v>
      </c>
      <c r="AF5636" s="19">
        <f t="shared" si="13"/>
        <v>2</v>
      </c>
      <c r="AG5636" s="9"/>
      <c r="AH5636" s="9"/>
      <c r="AI5636" s="9"/>
    </row>
    <row r="5637" ht="15.0" customHeight="1">
      <c r="A5637" s="11">
        <v>5636.0</v>
      </c>
      <c r="B5637" s="12">
        <f t="shared" si="903"/>
        <v>40790</v>
      </c>
      <c r="C5637" s="13">
        <v>2011.0</v>
      </c>
      <c r="D5637" s="11" t="s">
        <v>32</v>
      </c>
      <c r="E5637" s="11">
        <v>16.0</v>
      </c>
      <c r="F5637" s="21" t="s">
        <v>610</v>
      </c>
      <c r="G5637" s="15">
        <v>0.05035071090047404</v>
      </c>
      <c r="H5637" s="11" t="s">
        <v>33</v>
      </c>
      <c r="I5637" s="16">
        <v>5.176</v>
      </c>
      <c r="J5637" s="11" t="s">
        <v>1618</v>
      </c>
      <c r="K5637" s="11" t="s">
        <v>65</v>
      </c>
      <c r="L5637" s="11" t="s">
        <v>41</v>
      </c>
      <c r="M5637" s="11" t="s">
        <v>28</v>
      </c>
      <c r="N5637" s="11" t="s">
        <v>56</v>
      </c>
      <c r="O5637" s="11" t="s">
        <v>2006</v>
      </c>
      <c r="P5637" s="11" t="s">
        <v>38</v>
      </c>
      <c r="Q5637" s="20">
        <v>40792.0</v>
      </c>
      <c r="R5637" s="17">
        <f t="shared" si="2"/>
        <v>10.08907405</v>
      </c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>
        <f t="shared" si="8"/>
        <v>3</v>
      </c>
      <c r="AF5637" s="19">
        <f t="shared" si="13"/>
        <v>5</v>
      </c>
      <c r="AG5637" s="9"/>
      <c r="AH5637" s="9"/>
      <c r="AI5637" s="9"/>
    </row>
    <row r="5638" ht="15.0" customHeight="1">
      <c r="A5638" s="11">
        <v>5637.0</v>
      </c>
      <c r="B5638" s="12">
        <f t="shared" si="903"/>
        <v>40790</v>
      </c>
      <c r="C5638" s="13">
        <v>2011.0</v>
      </c>
      <c r="D5638" s="11" t="s">
        <v>32</v>
      </c>
      <c r="E5638" s="11">
        <v>33.0</v>
      </c>
      <c r="F5638" s="21" t="s">
        <v>178</v>
      </c>
      <c r="G5638" s="15">
        <v>0.09286931936302012</v>
      </c>
      <c r="H5638" s="11" t="s">
        <v>33</v>
      </c>
      <c r="I5638" s="16">
        <v>7.040000000000001</v>
      </c>
      <c r="J5638" s="11" t="s">
        <v>1618</v>
      </c>
      <c r="K5638" s="11" t="s">
        <v>65</v>
      </c>
      <c r="L5638" s="11" t="s">
        <v>41</v>
      </c>
      <c r="M5638" s="11" t="s">
        <v>66</v>
      </c>
      <c r="N5638" s="11" t="s">
        <v>80</v>
      </c>
      <c r="O5638" s="11" t="s">
        <v>812</v>
      </c>
      <c r="P5638" s="11" t="s">
        <v>38</v>
      </c>
      <c r="Q5638" s="20">
        <v>40792.0</v>
      </c>
      <c r="R5638" s="17">
        <f t="shared" si="2"/>
        <v>202.6167088</v>
      </c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>
        <f t="shared" si="8"/>
        <v>3</v>
      </c>
      <c r="AF5638" s="19">
        <f t="shared" si="13"/>
        <v>5</v>
      </c>
      <c r="AG5638" s="9"/>
      <c r="AH5638" s="9"/>
      <c r="AI5638" s="9"/>
    </row>
    <row r="5639" ht="15.0" customHeight="1">
      <c r="A5639" s="11">
        <v>5638.0</v>
      </c>
      <c r="B5639" s="12">
        <f t="shared" si="903"/>
        <v>40790</v>
      </c>
      <c r="C5639" s="13">
        <v>2011.0</v>
      </c>
      <c r="D5639" s="11" t="s">
        <v>23</v>
      </c>
      <c r="E5639" s="11">
        <v>21.0</v>
      </c>
      <c r="F5639" s="21" t="s">
        <v>1144</v>
      </c>
      <c r="G5639" s="15">
        <v>0.09150846968635372</v>
      </c>
      <c r="H5639" s="11" t="s">
        <v>33</v>
      </c>
      <c r="I5639" s="16">
        <v>15.991999999999999</v>
      </c>
      <c r="J5639" s="11" t="s">
        <v>320</v>
      </c>
      <c r="K5639" s="11" t="s">
        <v>65</v>
      </c>
      <c r="L5639" s="11" t="s">
        <v>36</v>
      </c>
      <c r="M5639" s="11" t="s">
        <v>28</v>
      </c>
      <c r="N5639" s="11" t="s">
        <v>29</v>
      </c>
      <c r="O5639" s="11" t="s">
        <v>1146</v>
      </c>
      <c r="P5639" s="11" t="s">
        <v>38</v>
      </c>
      <c r="Q5639" s="20">
        <v>40793.0</v>
      </c>
      <c r="R5639" s="17">
        <f t="shared" si="2"/>
        <v>806.838596</v>
      </c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>
        <f t="shared" si="8"/>
        <v>2</v>
      </c>
      <c r="AF5639" s="19">
        <f t="shared" si="13"/>
        <v>5</v>
      </c>
      <c r="AG5639" s="9"/>
      <c r="AH5639" s="9"/>
      <c r="AI5639" s="9"/>
    </row>
    <row r="5640" ht="15.0" customHeight="1">
      <c r="A5640" s="11">
        <v>5639.0</v>
      </c>
      <c r="B5640" s="12">
        <f t="shared" ref="B5640:B5643" si="904">DATE(2012,12,31)-483</f>
        <v>40791</v>
      </c>
      <c r="C5640" s="13">
        <v>2011.0</v>
      </c>
      <c r="D5640" s="11" t="s">
        <v>44</v>
      </c>
      <c r="E5640" s="11">
        <v>30.0</v>
      </c>
      <c r="F5640" s="21" t="s">
        <v>610</v>
      </c>
      <c r="G5640" s="15">
        <v>0.019291380222104686</v>
      </c>
      <c r="H5640" s="11" t="s">
        <v>24</v>
      </c>
      <c r="I5640" s="16">
        <v>4.904</v>
      </c>
      <c r="J5640" s="11" t="s">
        <v>863</v>
      </c>
      <c r="K5640" s="11" t="s">
        <v>117</v>
      </c>
      <c r="L5640" s="11" t="s">
        <v>27</v>
      </c>
      <c r="M5640" s="11" t="s">
        <v>28</v>
      </c>
      <c r="N5640" s="11" t="s">
        <v>29</v>
      </c>
      <c r="O5640" s="11" t="s">
        <v>1969</v>
      </c>
      <c r="P5640" s="11" t="s">
        <v>38</v>
      </c>
      <c r="Q5640" s="20">
        <v>40793.0</v>
      </c>
      <c r="R5640" s="17">
        <f t="shared" si="2"/>
        <v>7.15525009</v>
      </c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>
        <f t="shared" si="8"/>
        <v>1</v>
      </c>
      <c r="AF5640" s="19" t="b">
        <f t="shared" si="13"/>
        <v>0</v>
      </c>
      <c r="AG5640" s="9"/>
      <c r="AH5640" s="9"/>
      <c r="AI5640" s="9"/>
    </row>
    <row r="5641" ht="15.0" customHeight="1">
      <c r="A5641" s="11">
        <v>5640.0</v>
      </c>
      <c r="B5641" s="12">
        <f t="shared" si="904"/>
        <v>40791</v>
      </c>
      <c r="C5641" s="13">
        <v>2011.0</v>
      </c>
      <c r="D5641" s="11" t="s">
        <v>44</v>
      </c>
      <c r="E5641" s="11">
        <v>1.0</v>
      </c>
      <c r="F5641" s="21" t="s">
        <v>747</v>
      </c>
      <c r="G5641" s="15">
        <v>0.09843971631205674</v>
      </c>
      <c r="H5641" s="11" t="s">
        <v>33</v>
      </c>
      <c r="I5641" s="16">
        <v>2.3120000000000003</v>
      </c>
      <c r="J5641" s="11" t="s">
        <v>1257</v>
      </c>
      <c r="K5641" s="11" t="s">
        <v>35</v>
      </c>
      <c r="L5641" s="11" t="s">
        <v>48</v>
      </c>
      <c r="M5641" s="11" t="s">
        <v>28</v>
      </c>
      <c r="N5641" s="11" t="s">
        <v>62</v>
      </c>
      <c r="O5641" s="11" t="s">
        <v>1491</v>
      </c>
      <c r="P5641" s="11" t="s">
        <v>99</v>
      </c>
      <c r="Q5641" s="20">
        <v>40793.0</v>
      </c>
      <c r="R5641" s="17">
        <f t="shared" si="2"/>
        <v>1.251365674</v>
      </c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>
        <f t="shared" si="8"/>
        <v>4</v>
      </c>
      <c r="AF5641" s="19">
        <f t="shared" si="13"/>
        <v>2</v>
      </c>
      <c r="AG5641" s="9"/>
      <c r="AH5641" s="9"/>
      <c r="AI5641" s="9"/>
    </row>
    <row r="5642" ht="15.0" customHeight="1">
      <c r="A5642" s="11">
        <v>5641.0</v>
      </c>
      <c r="B5642" s="12">
        <f t="shared" si="904"/>
        <v>40791</v>
      </c>
      <c r="C5642" s="13">
        <v>2011.0</v>
      </c>
      <c r="D5642" s="11" t="s">
        <v>39</v>
      </c>
      <c r="E5642" s="11">
        <v>35.0</v>
      </c>
      <c r="F5642" s="21" t="s">
        <v>261</v>
      </c>
      <c r="G5642" s="15">
        <v>0.030297548352590388</v>
      </c>
      <c r="H5642" s="11" t="s">
        <v>45</v>
      </c>
      <c r="I5642" s="16">
        <v>47.2</v>
      </c>
      <c r="J5642" s="11" t="s">
        <v>196</v>
      </c>
      <c r="K5642" s="11" t="s">
        <v>65</v>
      </c>
      <c r="L5642" s="11" t="s">
        <v>27</v>
      </c>
      <c r="M5642" s="11" t="s">
        <v>49</v>
      </c>
      <c r="N5642" s="11" t="s">
        <v>50</v>
      </c>
      <c r="O5642" s="11" t="s">
        <v>263</v>
      </c>
      <c r="P5642" s="11" t="s">
        <v>52</v>
      </c>
      <c r="Q5642" s="20">
        <v>40793.0</v>
      </c>
      <c r="R5642" s="17">
        <f t="shared" si="2"/>
        <v>373.5293844</v>
      </c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>
        <f t="shared" si="8"/>
        <v>1</v>
      </c>
      <c r="AF5642" s="19">
        <f t="shared" si="13"/>
        <v>5</v>
      </c>
      <c r="AG5642" s="9"/>
      <c r="AH5642" s="9"/>
      <c r="AI5642" s="9"/>
    </row>
    <row r="5643" ht="15.0" customHeight="1">
      <c r="A5643" s="11">
        <v>5642.0</v>
      </c>
      <c r="B5643" s="12">
        <f t="shared" si="904"/>
        <v>40791</v>
      </c>
      <c r="C5643" s="13">
        <v>2011.0</v>
      </c>
      <c r="D5643" s="11" t="s">
        <v>102</v>
      </c>
      <c r="E5643" s="11">
        <v>3.0</v>
      </c>
      <c r="F5643" s="21" t="s">
        <v>245</v>
      </c>
      <c r="G5643" s="15">
        <v>0.12188764044943819</v>
      </c>
      <c r="H5643" s="11" t="s">
        <v>33</v>
      </c>
      <c r="I5643" s="16">
        <v>4.576</v>
      </c>
      <c r="J5643" s="11" t="s">
        <v>1821</v>
      </c>
      <c r="K5643" s="11" t="s">
        <v>35</v>
      </c>
      <c r="L5643" s="11" t="s">
        <v>36</v>
      </c>
      <c r="M5643" s="11" t="s">
        <v>28</v>
      </c>
      <c r="N5643" s="11" t="s">
        <v>236</v>
      </c>
      <c r="O5643" s="11" t="s">
        <v>376</v>
      </c>
      <c r="P5643" s="11" t="s">
        <v>38</v>
      </c>
      <c r="Q5643" s="20">
        <v>40793.0</v>
      </c>
      <c r="R5643" s="17">
        <f t="shared" si="2"/>
        <v>4.762881438</v>
      </c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>
        <f t="shared" si="8"/>
        <v>2</v>
      </c>
      <c r="AF5643" s="19">
        <f t="shared" si="13"/>
        <v>2</v>
      </c>
      <c r="AG5643" s="9"/>
      <c r="AH5643" s="9"/>
      <c r="AI5643" s="9"/>
    </row>
    <row r="5644" ht="15.0" customHeight="1">
      <c r="A5644" s="11">
        <v>5643.0</v>
      </c>
      <c r="B5644" s="12">
        <f t="shared" ref="B5644:B5647" si="905">DATE(2012,12,31)-482</f>
        <v>40792</v>
      </c>
      <c r="C5644" s="13">
        <v>2011.0</v>
      </c>
      <c r="D5644" s="11" t="s">
        <v>32</v>
      </c>
      <c r="E5644" s="11">
        <v>45.0</v>
      </c>
      <c r="F5644" s="21" t="s">
        <v>122</v>
      </c>
      <c r="G5644" s="15">
        <v>0.05219227674979897</v>
      </c>
      <c r="H5644" s="11" t="s">
        <v>24</v>
      </c>
      <c r="I5644" s="16">
        <v>2.0</v>
      </c>
      <c r="J5644" s="11" t="s">
        <v>1731</v>
      </c>
      <c r="K5644" s="11" t="s">
        <v>35</v>
      </c>
      <c r="L5644" s="11" t="s">
        <v>27</v>
      </c>
      <c r="M5644" s="11" t="s">
        <v>66</v>
      </c>
      <c r="N5644" s="11" t="s">
        <v>80</v>
      </c>
      <c r="O5644" s="11" t="s">
        <v>1381</v>
      </c>
      <c r="P5644" s="11" t="s">
        <v>58</v>
      </c>
      <c r="Q5644" s="20">
        <v>40793.0</v>
      </c>
      <c r="R5644" s="17">
        <f t="shared" si="2"/>
        <v>49.19122084</v>
      </c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>
        <f t="shared" si="8"/>
        <v>1</v>
      </c>
      <c r="AF5644" s="19">
        <f t="shared" si="13"/>
        <v>2</v>
      </c>
      <c r="AG5644" s="9"/>
      <c r="AH5644" s="9"/>
      <c r="AI5644" s="9"/>
    </row>
    <row r="5645" ht="15.0" customHeight="1">
      <c r="A5645" s="11">
        <v>5644.0</v>
      </c>
      <c r="B5645" s="12">
        <f t="shared" si="905"/>
        <v>40792</v>
      </c>
      <c r="C5645" s="13">
        <v>2011.0</v>
      </c>
      <c r="D5645" s="11" t="s">
        <v>39</v>
      </c>
      <c r="E5645" s="11">
        <v>8.0</v>
      </c>
      <c r="F5645" s="21" t="s">
        <v>1182</v>
      </c>
      <c r="G5645" s="15">
        <v>0.028998035363457603</v>
      </c>
      <c r="H5645" s="11" t="s">
        <v>33</v>
      </c>
      <c r="I5645" s="16">
        <v>6.224</v>
      </c>
      <c r="J5645" s="11" t="s">
        <v>1482</v>
      </c>
      <c r="K5645" s="11" t="s">
        <v>61</v>
      </c>
      <c r="L5645" s="11" t="s">
        <v>36</v>
      </c>
      <c r="M5645" s="11" t="s">
        <v>28</v>
      </c>
      <c r="N5645" s="11" t="s">
        <v>42</v>
      </c>
      <c r="O5645" s="11" t="s">
        <v>1311</v>
      </c>
      <c r="P5645" s="11" t="s">
        <v>38</v>
      </c>
      <c r="Q5645" s="20">
        <v>40793.0</v>
      </c>
      <c r="R5645" s="17">
        <f t="shared" si="2"/>
        <v>1.4331989</v>
      </c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>
        <f t="shared" si="8"/>
        <v>2</v>
      </c>
      <c r="AF5645" s="19">
        <f t="shared" si="13"/>
        <v>4</v>
      </c>
      <c r="AG5645" s="9"/>
      <c r="AH5645" s="9"/>
      <c r="AI5645" s="9"/>
    </row>
    <row r="5646" ht="15.0" customHeight="1">
      <c r="A5646" s="11">
        <v>5645.0</v>
      </c>
      <c r="B5646" s="12">
        <f t="shared" si="905"/>
        <v>40792</v>
      </c>
      <c r="C5646" s="13">
        <v>2011.0</v>
      </c>
      <c r="D5646" s="11" t="s">
        <v>44</v>
      </c>
      <c r="E5646" s="11">
        <v>11.0</v>
      </c>
      <c r="F5646" s="21" t="s">
        <v>1182</v>
      </c>
      <c r="G5646" s="15">
        <v>0.007260726072607223</v>
      </c>
      <c r="H5646" s="11" t="s">
        <v>33</v>
      </c>
      <c r="I5646" s="16">
        <v>0.76</v>
      </c>
      <c r="J5646" s="11" t="s">
        <v>2069</v>
      </c>
      <c r="K5646" s="11" t="s">
        <v>35</v>
      </c>
      <c r="L5646" s="11" t="s">
        <v>41</v>
      </c>
      <c r="M5646" s="11" t="s">
        <v>28</v>
      </c>
      <c r="N5646" s="11" t="s">
        <v>56</v>
      </c>
      <c r="O5646" s="11" t="s">
        <v>1183</v>
      </c>
      <c r="P5646" s="11" t="s">
        <v>58</v>
      </c>
      <c r="Q5646" s="20">
        <v>40794.0</v>
      </c>
      <c r="R5646" s="17">
        <f t="shared" si="2"/>
        <v>0.4368052805</v>
      </c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>
        <f t="shared" si="8"/>
        <v>3</v>
      </c>
      <c r="AF5646" s="19">
        <f t="shared" si="13"/>
        <v>2</v>
      </c>
      <c r="AG5646" s="9"/>
      <c r="AH5646" s="9"/>
      <c r="AI5646" s="9"/>
    </row>
    <row r="5647" ht="15.0" customHeight="1">
      <c r="A5647" s="11">
        <v>5646.0</v>
      </c>
      <c r="B5647" s="12">
        <f t="shared" si="905"/>
        <v>40792</v>
      </c>
      <c r="C5647" s="13">
        <v>2011.0</v>
      </c>
      <c r="D5647" s="11" t="s">
        <v>44</v>
      </c>
      <c r="E5647" s="11">
        <v>45.0</v>
      </c>
      <c r="F5647" s="21" t="s">
        <v>2330</v>
      </c>
      <c r="G5647" s="15">
        <v>0.09319999999999998</v>
      </c>
      <c r="H5647" s="11" t="s">
        <v>24</v>
      </c>
      <c r="I5647" s="16">
        <v>0.8160000000000001</v>
      </c>
      <c r="J5647" s="11" t="s">
        <v>2069</v>
      </c>
      <c r="K5647" s="11" t="s">
        <v>35</v>
      </c>
      <c r="L5647" s="11" t="s">
        <v>41</v>
      </c>
      <c r="M5647" s="11" t="s">
        <v>28</v>
      </c>
      <c r="N5647" s="11" t="s">
        <v>216</v>
      </c>
      <c r="O5647" s="11" t="s">
        <v>2331</v>
      </c>
      <c r="P5647" s="11" t="s">
        <v>58</v>
      </c>
      <c r="Q5647" s="20">
        <v>40794.0</v>
      </c>
      <c r="R5647" s="17">
        <f t="shared" si="2"/>
        <v>10.1416512</v>
      </c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>
        <f t="shared" si="8"/>
        <v>3</v>
      </c>
      <c r="AF5647" s="19">
        <f t="shared" si="13"/>
        <v>2</v>
      </c>
      <c r="AG5647" s="9"/>
      <c r="AH5647" s="9"/>
      <c r="AI5647" s="9"/>
    </row>
    <row r="5648" ht="15.0" customHeight="1">
      <c r="A5648" s="11">
        <v>5647.0</v>
      </c>
      <c r="B5648" s="12">
        <f t="shared" ref="B5648:B5653" si="906">DATE(2012,12,31)-481</f>
        <v>40793</v>
      </c>
      <c r="C5648" s="13">
        <v>2011.0</v>
      </c>
      <c r="D5648" s="11" t="s">
        <v>23</v>
      </c>
      <c r="E5648" s="11">
        <v>16.0</v>
      </c>
      <c r="F5648" s="21" t="s">
        <v>319</v>
      </c>
      <c r="G5648" s="15">
        <v>0.04842105263157904</v>
      </c>
      <c r="H5648" s="11" t="s">
        <v>33</v>
      </c>
      <c r="I5648" s="16">
        <v>0.4</v>
      </c>
      <c r="J5648" s="11" t="s">
        <v>1072</v>
      </c>
      <c r="K5648" s="11" t="s">
        <v>35</v>
      </c>
      <c r="L5648" s="11" t="s">
        <v>36</v>
      </c>
      <c r="M5648" s="11" t="s">
        <v>28</v>
      </c>
      <c r="N5648" s="11" t="s">
        <v>188</v>
      </c>
      <c r="O5648" s="11" t="s">
        <v>2440</v>
      </c>
      <c r="P5648" s="11" t="s">
        <v>38</v>
      </c>
      <c r="Q5648" s="20">
        <v>40794.0</v>
      </c>
      <c r="R5648" s="17">
        <f t="shared" si="2"/>
        <v>2.188631579</v>
      </c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>
        <f t="shared" si="8"/>
        <v>2</v>
      </c>
      <c r="AF5648" s="19">
        <f t="shared" si="13"/>
        <v>2</v>
      </c>
      <c r="AG5648" s="9"/>
      <c r="AH5648" s="9"/>
      <c r="AI5648" s="9"/>
    </row>
    <row r="5649" ht="15.0" customHeight="1">
      <c r="A5649" s="11">
        <v>5648.0</v>
      </c>
      <c r="B5649" s="12">
        <f t="shared" si="906"/>
        <v>40793</v>
      </c>
      <c r="C5649" s="13">
        <v>2011.0</v>
      </c>
      <c r="D5649" s="11" t="s">
        <v>39</v>
      </c>
      <c r="E5649" s="11">
        <v>20.0</v>
      </c>
      <c r="F5649" s="21" t="s">
        <v>1369</v>
      </c>
      <c r="G5649" s="15">
        <v>0.055928677563150016</v>
      </c>
      <c r="H5649" s="11" t="s">
        <v>33</v>
      </c>
      <c r="I5649" s="16">
        <v>1.536</v>
      </c>
      <c r="J5649" s="11" t="s">
        <v>525</v>
      </c>
      <c r="K5649" s="11" t="s">
        <v>65</v>
      </c>
      <c r="L5649" s="11" t="s">
        <v>48</v>
      </c>
      <c r="M5649" s="11" t="s">
        <v>28</v>
      </c>
      <c r="N5649" s="11" t="s">
        <v>442</v>
      </c>
      <c r="O5649" s="11" t="s">
        <v>1776</v>
      </c>
      <c r="P5649" s="11" t="s">
        <v>58</v>
      </c>
      <c r="Q5649" s="20">
        <v>40795.0</v>
      </c>
      <c r="R5649" s="17">
        <f t="shared" si="2"/>
        <v>3.553484458</v>
      </c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>
        <f t="shared" si="8"/>
        <v>4</v>
      </c>
      <c r="AF5649" s="19">
        <f t="shared" si="13"/>
        <v>5</v>
      </c>
      <c r="AG5649" s="9"/>
      <c r="AH5649" s="9"/>
      <c r="AI5649" s="9"/>
    </row>
    <row r="5650" ht="15.0" customHeight="1">
      <c r="A5650" s="11">
        <v>5649.0</v>
      </c>
      <c r="B5650" s="12">
        <f t="shared" si="906"/>
        <v>40793</v>
      </c>
      <c r="C5650" s="13">
        <v>2011.0</v>
      </c>
      <c r="D5650" s="11" t="s">
        <v>39</v>
      </c>
      <c r="E5650" s="11">
        <v>15.0</v>
      </c>
      <c r="F5650" s="21" t="s">
        <v>668</v>
      </c>
      <c r="G5650" s="15">
        <v>0.09177679882525688</v>
      </c>
      <c r="H5650" s="11" t="s">
        <v>24</v>
      </c>
      <c r="I5650" s="16">
        <v>5.2</v>
      </c>
      <c r="J5650" s="11" t="s">
        <v>525</v>
      </c>
      <c r="K5650" s="11" t="s">
        <v>65</v>
      </c>
      <c r="L5650" s="11" t="s">
        <v>48</v>
      </c>
      <c r="M5650" s="11" t="s">
        <v>28</v>
      </c>
      <c r="N5650" s="11" t="s">
        <v>29</v>
      </c>
      <c r="O5650" s="11" t="s">
        <v>1509</v>
      </c>
      <c r="P5650" s="11" t="s">
        <v>75</v>
      </c>
      <c r="Q5650" s="20">
        <v>40795.0</v>
      </c>
      <c r="R5650" s="17">
        <f t="shared" si="2"/>
        <v>11.35279001</v>
      </c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>
        <f t="shared" si="8"/>
        <v>4</v>
      </c>
      <c r="AF5650" s="19">
        <f t="shared" si="13"/>
        <v>5</v>
      </c>
      <c r="AG5650" s="9"/>
      <c r="AH5650" s="9"/>
      <c r="AI5650" s="9"/>
    </row>
    <row r="5651" ht="15.0" customHeight="1">
      <c r="A5651" s="11">
        <v>5650.0</v>
      </c>
      <c r="B5651" s="12">
        <f t="shared" si="906"/>
        <v>40793</v>
      </c>
      <c r="C5651" s="13">
        <v>2011.0</v>
      </c>
      <c r="D5651" s="11" t="s">
        <v>32</v>
      </c>
      <c r="E5651" s="11">
        <v>46.0</v>
      </c>
      <c r="F5651" s="21" t="s">
        <v>277</v>
      </c>
      <c r="G5651" s="15">
        <v>0.13432703003337032</v>
      </c>
      <c r="H5651" s="11" t="s">
        <v>33</v>
      </c>
      <c r="I5651" s="16">
        <v>4.224</v>
      </c>
      <c r="J5651" s="11" t="s">
        <v>453</v>
      </c>
      <c r="K5651" s="11" t="s">
        <v>61</v>
      </c>
      <c r="L5651" s="11" t="s">
        <v>36</v>
      </c>
      <c r="M5651" s="11" t="s">
        <v>28</v>
      </c>
      <c r="N5651" s="11" t="s">
        <v>42</v>
      </c>
      <c r="O5651" s="11" t="s">
        <v>2565</v>
      </c>
      <c r="P5651" s="11" t="s">
        <v>38</v>
      </c>
      <c r="Q5651" s="20">
        <v>40795.0</v>
      </c>
      <c r="R5651" s="17">
        <f t="shared" si="2"/>
        <v>10.45386679</v>
      </c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>
        <f t="shared" si="8"/>
        <v>2</v>
      </c>
      <c r="AF5651" s="19">
        <f t="shared" si="13"/>
        <v>4</v>
      </c>
      <c r="AG5651" s="9"/>
      <c r="AH5651" s="9"/>
      <c r="AI5651" s="9"/>
    </row>
    <row r="5652" ht="15.0" customHeight="1">
      <c r="A5652" s="11">
        <v>5651.0</v>
      </c>
      <c r="B5652" s="12">
        <f t="shared" si="906"/>
        <v>40793</v>
      </c>
      <c r="C5652" s="13">
        <v>2011.0</v>
      </c>
      <c r="D5652" s="11" t="s">
        <v>39</v>
      </c>
      <c r="E5652" s="11">
        <v>16.0</v>
      </c>
      <c r="F5652" s="21" t="s">
        <v>933</v>
      </c>
      <c r="G5652" s="15">
        <v>0.04070152924820881</v>
      </c>
      <c r="H5652" s="11" t="s">
        <v>33</v>
      </c>
      <c r="I5652" s="16">
        <v>2.64</v>
      </c>
      <c r="J5652" s="11" t="s">
        <v>421</v>
      </c>
      <c r="K5652" s="11" t="s">
        <v>83</v>
      </c>
      <c r="L5652" s="11" t="s">
        <v>27</v>
      </c>
      <c r="M5652" s="11" t="s">
        <v>66</v>
      </c>
      <c r="N5652" s="11" t="s">
        <v>80</v>
      </c>
      <c r="O5652" s="11" t="s">
        <v>1695</v>
      </c>
      <c r="P5652" s="11" t="s">
        <v>99</v>
      </c>
      <c r="Q5652" s="20">
        <v>40795.0</v>
      </c>
      <c r="R5652" s="17">
        <f t="shared" si="2"/>
        <v>36.5108998</v>
      </c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>
        <f t="shared" si="8"/>
        <v>1</v>
      </c>
      <c r="AF5652" s="19" t="b">
        <f t="shared" si="13"/>
        <v>0</v>
      </c>
      <c r="AG5652" s="9"/>
      <c r="AH5652" s="9"/>
      <c r="AI5652" s="9"/>
    </row>
    <row r="5653" ht="15.0" customHeight="1">
      <c r="A5653" s="11">
        <v>5652.0</v>
      </c>
      <c r="B5653" s="12">
        <f t="shared" si="906"/>
        <v>40793</v>
      </c>
      <c r="C5653" s="13">
        <v>2011.0</v>
      </c>
      <c r="D5653" s="11" t="s">
        <v>23</v>
      </c>
      <c r="E5653" s="11">
        <v>48.0</v>
      </c>
      <c r="F5653" s="21" t="s">
        <v>322</v>
      </c>
      <c r="G5653" s="15">
        <v>0.09965337954939353</v>
      </c>
      <c r="H5653" s="11" t="s">
        <v>33</v>
      </c>
      <c r="I5653" s="16">
        <v>2.8000000000000003</v>
      </c>
      <c r="J5653" s="11" t="s">
        <v>1872</v>
      </c>
      <c r="K5653" s="11" t="s">
        <v>35</v>
      </c>
      <c r="L5653" s="11" t="s">
        <v>48</v>
      </c>
      <c r="M5653" s="11" t="s">
        <v>28</v>
      </c>
      <c r="N5653" s="11" t="s">
        <v>197</v>
      </c>
      <c r="O5653" s="11" t="s">
        <v>2172</v>
      </c>
      <c r="P5653" s="11" t="s">
        <v>38</v>
      </c>
      <c r="Q5653" s="20">
        <v>40795.0</v>
      </c>
      <c r="R5653" s="17">
        <f t="shared" si="2"/>
        <v>41.41594454</v>
      </c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>
        <f t="shared" si="8"/>
        <v>4</v>
      </c>
      <c r="AF5653" s="19">
        <f t="shared" si="13"/>
        <v>2</v>
      </c>
      <c r="AG5653" s="9"/>
      <c r="AH5653" s="9"/>
      <c r="AI5653" s="9"/>
    </row>
    <row r="5654" ht="15.0" customHeight="1">
      <c r="A5654" s="11">
        <v>5653.0</v>
      </c>
      <c r="B5654" s="12">
        <f t="shared" ref="B5654:B5660" si="907">DATE(2012,12,31)-480</f>
        <v>40794</v>
      </c>
      <c r="C5654" s="13">
        <v>2011.0</v>
      </c>
      <c r="D5654" s="11" t="s">
        <v>39</v>
      </c>
      <c r="E5654" s="11">
        <v>42.0</v>
      </c>
      <c r="F5654" s="21" t="s">
        <v>147</v>
      </c>
      <c r="G5654" s="15">
        <v>0.08097062579821206</v>
      </c>
      <c r="H5654" s="11" t="s">
        <v>33</v>
      </c>
      <c r="I5654" s="16">
        <v>0.5599999999999999</v>
      </c>
      <c r="J5654" s="11" t="s">
        <v>2086</v>
      </c>
      <c r="K5654" s="11" t="s">
        <v>83</v>
      </c>
      <c r="L5654" s="11" t="s">
        <v>41</v>
      </c>
      <c r="M5654" s="11" t="s">
        <v>28</v>
      </c>
      <c r="N5654" s="11" t="s">
        <v>62</v>
      </c>
      <c r="O5654" s="11" t="s">
        <v>1107</v>
      </c>
      <c r="P5654" s="11" t="s">
        <v>58</v>
      </c>
      <c r="Q5654" s="20">
        <v>40796.0</v>
      </c>
      <c r="R5654" s="17">
        <f t="shared" si="2"/>
        <v>5.826646232</v>
      </c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>
        <f t="shared" si="8"/>
        <v>3</v>
      </c>
      <c r="AF5654" s="19" t="b">
        <f t="shared" si="13"/>
        <v>0</v>
      </c>
      <c r="AG5654" s="9"/>
      <c r="AH5654" s="9"/>
      <c r="AI5654" s="9"/>
    </row>
    <row r="5655" ht="15.0" customHeight="1">
      <c r="A5655" s="11">
        <v>5654.0</v>
      </c>
      <c r="B5655" s="12">
        <f t="shared" si="907"/>
        <v>40794</v>
      </c>
      <c r="C5655" s="13">
        <v>2011.0</v>
      </c>
      <c r="D5655" s="11" t="s">
        <v>32</v>
      </c>
      <c r="E5655" s="11">
        <v>17.0</v>
      </c>
      <c r="F5655" s="21" t="s">
        <v>122</v>
      </c>
      <c r="G5655" s="15">
        <v>0.080357142857143</v>
      </c>
      <c r="H5655" s="11" t="s">
        <v>33</v>
      </c>
      <c r="I5655" s="16">
        <v>5.2</v>
      </c>
      <c r="J5655" s="11" t="s">
        <v>131</v>
      </c>
      <c r="K5655" s="11" t="s">
        <v>35</v>
      </c>
      <c r="L5655" s="11" t="s">
        <v>27</v>
      </c>
      <c r="M5655" s="11" t="s">
        <v>66</v>
      </c>
      <c r="N5655" s="11" t="s">
        <v>67</v>
      </c>
      <c r="O5655" s="11" t="s">
        <v>2130</v>
      </c>
      <c r="P5655" s="11" t="s">
        <v>38</v>
      </c>
      <c r="Q5655" s="20">
        <v>40796.0</v>
      </c>
      <c r="R5655" s="17">
        <f t="shared" si="2"/>
        <v>28.96875</v>
      </c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>
        <f t="shared" si="8"/>
        <v>1</v>
      </c>
      <c r="AF5655" s="19">
        <f t="shared" si="13"/>
        <v>2</v>
      </c>
      <c r="AG5655" s="9"/>
      <c r="AH5655" s="9"/>
      <c r="AI5655" s="9"/>
    </row>
    <row r="5656" ht="15.0" customHeight="1">
      <c r="A5656" s="11">
        <v>5655.0</v>
      </c>
      <c r="B5656" s="12">
        <f t="shared" si="907"/>
        <v>40794</v>
      </c>
      <c r="C5656" s="13">
        <v>2011.0</v>
      </c>
      <c r="D5656" s="11" t="s">
        <v>32</v>
      </c>
      <c r="E5656" s="11">
        <v>21.0</v>
      </c>
      <c r="F5656" s="21" t="s">
        <v>979</v>
      </c>
      <c r="G5656" s="15">
        <v>0.035050473641316957</v>
      </c>
      <c r="H5656" s="11" t="s">
        <v>45</v>
      </c>
      <c r="I5656" s="16">
        <v>22.928</v>
      </c>
      <c r="J5656" s="11" t="s">
        <v>131</v>
      </c>
      <c r="K5656" s="11" t="s">
        <v>35</v>
      </c>
      <c r="L5656" s="11" t="s">
        <v>27</v>
      </c>
      <c r="M5656" s="11" t="s">
        <v>28</v>
      </c>
      <c r="N5656" s="11" t="s">
        <v>29</v>
      </c>
      <c r="O5656" s="11" t="s">
        <v>1742</v>
      </c>
      <c r="P5656" s="11" t="s">
        <v>52</v>
      </c>
      <c r="Q5656" s="20">
        <v>40796.0</v>
      </c>
      <c r="R5656" s="17">
        <f t="shared" si="2"/>
        <v>166.4171252</v>
      </c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>
        <f t="shared" si="8"/>
        <v>1</v>
      </c>
      <c r="AF5656" s="19">
        <f t="shared" si="13"/>
        <v>2</v>
      </c>
      <c r="AG5656" s="9"/>
      <c r="AH5656" s="9"/>
      <c r="AI5656" s="9"/>
    </row>
    <row r="5657" ht="15.0" customHeight="1">
      <c r="A5657" s="11">
        <v>5656.0</v>
      </c>
      <c r="B5657" s="12">
        <f t="shared" si="907"/>
        <v>40794</v>
      </c>
      <c r="C5657" s="13">
        <v>2011.0</v>
      </c>
      <c r="D5657" s="11" t="s">
        <v>44</v>
      </c>
      <c r="E5657" s="11">
        <v>6.0</v>
      </c>
      <c r="F5657" s="21" t="s">
        <v>284</v>
      </c>
      <c r="G5657" s="15">
        <v>0.1302673796791444</v>
      </c>
      <c r="H5657" s="11" t="s">
        <v>24</v>
      </c>
      <c r="I5657" s="16">
        <v>4.264</v>
      </c>
      <c r="J5657" s="11" t="s">
        <v>1314</v>
      </c>
      <c r="K5657" s="11" t="s">
        <v>47</v>
      </c>
      <c r="L5657" s="11" t="s">
        <v>48</v>
      </c>
      <c r="M5657" s="11" t="s">
        <v>49</v>
      </c>
      <c r="N5657" s="11" t="s">
        <v>73</v>
      </c>
      <c r="O5657" s="11" t="s">
        <v>286</v>
      </c>
      <c r="P5657" s="11" t="s">
        <v>38</v>
      </c>
      <c r="Q5657" s="20">
        <v>40796.0</v>
      </c>
      <c r="R5657" s="17">
        <f t="shared" si="2"/>
        <v>2.118668663</v>
      </c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>
        <f t="shared" si="8"/>
        <v>4</v>
      </c>
      <c r="AF5657" s="19">
        <f t="shared" si="13"/>
        <v>3</v>
      </c>
      <c r="AG5657" s="9"/>
      <c r="AH5657" s="9"/>
      <c r="AI5657" s="9"/>
    </row>
    <row r="5658" ht="15.0" customHeight="1">
      <c r="A5658" s="11">
        <v>5657.0</v>
      </c>
      <c r="B5658" s="12">
        <f t="shared" si="907"/>
        <v>40794</v>
      </c>
      <c r="C5658" s="13">
        <v>2011.0</v>
      </c>
      <c r="D5658" s="11" t="s">
        <v>44</v>
      </c>
      <c r="E5658" s="11">
        <v>43.0</v>
      </c>
      <c r="F5658" s="21" t="s">
        <v>962</v>
      </c>
      <c r="G5658" s="15">
        <v>0.07814183617372182</v>
      </c>
      <c r="H5658" s="11" t="s">
        <v>24</v>
      </c>
      <c r="I5658" s="16">
        <v>8.544</v>
      </c>
      <c r="J5658" s="11" t="s">
        <v>1314</v>
      </c>
      <c r="K5658" s="11" t="s">
        <v>47</v>
      </c>
      <c r="L5658" s="11" t="s">
        <v>48</v>
      </c>
      <c r="M5658" s="11" t="s">
        <v>28</v>
      </c>
      <c r="N5658" s="11" t="s">
        <v>29</v>
      </c>
      <c r="O5658" s="11" t="s">
        <v>1180</v>
      </c>
      <c r="P5658" s="11" t="s">
        <v>38</v>
      </c>
      <c r="Q5658" s="20">
        <v>40796.0</v>
      </c>
      <c r="R5658" s="17">
        <f t="shared" si="2"/>
        <v>52.41316776</v>
      </c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>
        <f t="shared" si="8"/>
        <v>4</v>
      </c>
      <c r="AF5658" s="19">
        <f t="shared" si="13"/>
        <v>3</v>
      </c>
      <c r="AG5658" s="9"/>
      <c r="AH5658" s="9"/>
      <c r="AI5658" s="9"/>
    </row>
    <row r="5659" ht="15.0" customHeight="1">
      <c r="A5659" s="11">
        <v>5658.0</v>
      </c>
      <c r="B5659" s="12">
        <f t="shared" si="907"/>
        <v>40794</v>
      </c>
      <c r="C5659" s="13">
        <v>2011.0</v>
      </c>
      <c r="D5659" s="11" t="s">
        <v>39</v>
      </c>
      <c r="E5659" s="11">
        <v>9.0</v>
      </c>
      <c r="F5659" s="21" t="s">
        <v>1615</v>
      </c>
      <c r="G5659" s="15">
        <v>0.03022875209224478</v>
      </c>
      <c r="H5659" s="11" t="s">
        <v>33</v>
      </c>
      <c r="I5659" s="16">
        <v>1.592</v>
      </c>
      <c r="J5659" s="11" t="s">
        <v>2027</v>
      </c>
      <c r="K5659" s="11" t="s">
        <v>83</v>
      </c>
      <c r="L5659" s="11" t="s">
        <v>48</v>
      </c>
      <c r="M5659" s="11" t="s">
        <v>66</v>
      </c>
      <c r="N5659" s="11" t="s">
        <v>67</v>
      </c>
      <c r="O5659" s="11" t="s">
        <v>1616</v>
      </c>
      <c r="P5659" s="11" t="s">
        <v>99</v>
      </c>
      <c r="Q5659" s="20">
        <v>40796.0</v>
      </c>
      <c r="R5659" s="17">
        <f t="shared" si="2"/>
        <v>31.52532373</v>
      </c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>
        <f t="shared" si="8"/>
        <v>4</v>
      </c>
      <c r="AF5659" s="19" t="b">
        <f t="shared" si="13"/>
        <v>0</v>
      </c>
      <c r="AG5659" s="9"/>
      <c r="AH5659" s="9"/>
      <c r="AI5659" s="9"/>
    </row>
    <row r="5660" ht="15.0" customHeight="1">
      <c r="A5660" s="11">
        <v>5659.0</v>
      </c>
      <c r="B5660" s="12">
        <f t="shared" si="907"/>
        <v>40794</v>
      </c>
      <c r="C5660" s="13">
        <v>2011.0</v>
      </c>
      <c r="D5660" s="11" t="s">
        <v>39</v>
      </c>
      <c r="E5660" s="11">
        <v>29.0</v>
      </c>
      <c r="F5660" s="21" t="s">
        <v>2055</v>
      </c>
      <c r="G5660" s="15">
        <v>0.07752571833983674</v>
      </c>
      <c r="H5660" s="11" t="s">
        <v>33</v>
      </c>
      <c r="I5660" s="16">
        <v>30.064</v>
      </c>
      <c r="J5660" s="11" t="s">
        <v>2557</v>
      </c>
      <c r="K5660" s="11" t="s">
        <v>61</v>
      </c>
      <c r="L5660" s="11" t="s">
        <v>48</v>
      </c>
      <c r="M5660" s="11" t="s">
        <v>49</v>
      </c>
      <c r="N5660" s="11" t="s">
        <v>73</v>
      </c>
      <c r="O5660" s="11" t="s">
        <v>2056</v>
      </c>
      <c r="P5660" s="11" t="s">
        <v>58</v>
      </c>
      <c r="Q5660" s="20">
        <v>40797.0</v>
      </c>
      <c r="R5660" s="17">
        <f t="shared" si="2"/>
        <v>161.2817135</v>
      </c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>
        <f t="shared" si="8"/>
        <v>4</v>
      </c>
      <c r="AF5660" s="19">
        <f t="shared" si="13"/>
        <v>4</v>
      </c>
      <c r="AG5660" s="9"/>
      <c r="AH5660" s="9"/>
      <c r="AI5660" s="9"/>
    </row>
    <row r="5661" ht="15.0" customHeight="1">
      <c r="A5661" s="11">
        <v>5660.0</v>
      </c>
      <c r="B5661" s="12">
        <f t="shared" ref="B5661:B5663" si="908">DATE(2012,12,31)-479</f>
        <v>40795</v>
      </c>
      <c r="C5661" s="13">
        <v>2011.0</v>
      </c>
      <c r="D5661" s="11" t="s">
        <v>23</v>
      </c>
      <c r="E5661" s="11">
        <v>26.0</v>
      </c>
      <c r="F5661" s="21" t="s">
        <v>100</v>
      </c>
      <c r="G5661" s="15">
        <v>0.09160984206602035</v>
      </c>
      <c r="H5661" s="11" t="s">
        <v>33</v>
      </c>
      <c r="I5661" s="16">
        <v>7.192</v>
      </c>
      <c r="J5661" s="11" t="s">
        <v>2165</v>
      </c>
      <c r="K5661" s="11" t="s">
        <v>83</v>
      </c>
      <c r="L5661" s="11" t="s">
        <v>48</v>
      </c>
      <c r="M5661" s="11" t="s">
        <v>66</v>
      </c>
      <c r="N5661" s="11" t="s">
        <v>80</v>
      </c>
      <c r="O5661" s="11" t="s">
        <v>615</v>
      </c>
      <c r="P5661" s="11" t="s">
        <v>38</v>
      </c>
      <c r="Q5661" s="20">
        <v>40797.0</v>
      </c>
      <c r="R5661" s="17">
        <f t="shared" si="2"/>
        <v>491.0829865</v>
      </c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>
        <f t="shared" si="8"/>
        <v>4</v>
      </c>
      <c r="AF5661" s="19" t="b">
        <f t="shared" si="13"/>
        <v>0</v>
      </c>
      <c r="AG5661" s="9"/>
      <c r="AH5661" s="9"/>
      <c r="AI5661" s="9"/>
    </row>
    <row r="5662" ht="15.0" customHeight="1">
      <c r="A5662" s="11">
        <v>5661.0</v>
      </c>
      <c r="B5662" s="12">
        <f t="shared" si="908"/>
        <v>40795</v>
      </c>
      <c r="C5662" s="13">
        <v>2011.0</v>
      </c>
      <c r="D5662" s="11" t="s">
        <v>44</v>
      </c>
      <c r="E5662" s="11">
        <v>39.0</v>
      </c>
      <c r="F5662" s="21" t="s">
        <v>2089</v>
      </c>
      <c r="G5662" s="15">
        <v>0.08324903692667884</v>
      </c>
      <c r="H5662" s="11" t="s">
        <v>45</v>
      </c>
      <c r="I5662" s="16">
        <v>51.672000000000004</v>
      </c>
      <c r="J5662" s="11" t="s">
        <v>1440</v>
      </c>
      <c r="K5662" s="11" t="s">
        <v>26</v>
      </c>
      <c r="L5662" s="11" t="s">
        <v>27</v>
      </c>
      <c r="M5662" s="11" t="s">
        <v>49</v>
      </c>
      <c r="N5662" s="11" t="s">
        <v>85</v>
      </c>
      <c r="O5662" s="11" t="s">
        <v>2492</v>
      </c>
      <c r="P5662" s="11" t="s">
        <v>87</v>
      </c>
      <c r="Q5662" s="20">
        <v>40797.0</v>
      </c>
      <c r="R5662" s="17">
        <f t="shared" si="2"/>
        <v>1792.915528</v>
      </c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>
        <f t="shared" si="8"/>
        <v>1</v>
      </c>
      <c r="AF5662" s="19">
        <f t="shared" si="13"/>
        <v>1</v>
      </c>
      <c r="AG5662" s="9"/>
      <c r="AH5662" s="9"/>
      <c r="AI5662" s="9"/>
    </row>
    <row r="5663" ht="15.0" customHeight="1">
      <c r="A5663" s="11">
        <v>5662.0</v>
      </c>
      <c r="B5663" s="12">
        <f t="shared" si="908"/>
        <v>40795</v>
      </c>
      <c r="C5663" s="13">
        <v>2011.0</v>
      </c>
      <c r="D5663" s="11" t="s">
        <v>102</v>
      </c>
      <c r="E5663" s="11">
        <v>49.0</v>
      </c>
      <c r="F5663" s="21" t="s">
        <v>126</v>
      </c>
      <c r="G5663" s="15">
        <v>0.04687183482664571</v>
      </c>
      <c r="H5663" s="11" t="s">
        <v>24</v>
      </c>
      <c r="I5663" s="16">
        <v>4.5680000000000005</v>
      </c>
      <c r="J5663" s="11" t="s">
        <v>1650</v>
      </c>
      <c r="K5663" s="11" t="s">
        <v>65</v>
      </c>
      <c r="L5663" s="11" t="s">
        <v>27</v>
      </c>
      <c r="M5663" s="11" t="s">
        <v>49</v>
      </c>
      <c r="N5663" s="11" t="s">
        <v>73</v>
      </c>
      <c r="O5663" s="11" t="s">
        <v>1920</v>
      </c>
      <c r="P5663" s="11" t="s">
        <v>75</v>
      </c>
      <c r="Q5663" s="20">
        <v>40797.0</v>
      </c>
      <c r="R5663" s="17">
        <f t="shared" si="2"/>
        <v>11.46803808</v>
      </c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>
        <f t="shared" si="8"/>
        <v>1</v>
      </c>
      <c r="AF5663" s="19">
        <f t="shared" si="13"/>
        <v>5</v>
      </c>
      <c r="AG5663" s="9"/>
      <c r="AH5663" s="9"/>
      <c r="AI5663" s="9"/>
    </row>
    <row r="5664" ht="15.0" customHeight="1">
      <c r="A5664" s="11">
        <v>5663.0</v>
      </c>
      <c r="B5664" s="12">
        <f t="shared" ref="B5664:B5670" si="909">DATE(2012,12,31)-478</f>
        <v>40796</v>
      </c>
      <c r="C5664" s="13">
        <v>2011.0</v>
      </c>
      <c r="D5664" s="11" t="s">
        <v>23</v>
      </c>
      <c r="E5664" s="11">
        <v>14.0</v>
      </c>
      <c r="F5664" s="21" t="s">
        <v>350</v>
      </c>
      <c r="G5664" s="15">
        <v>0.06991664271342343</v>
      </c>
      <c r="H5664" s="11" t="s">
        <v>24</v>
      </c>
      <c r="I5664" s="16">
        <v>4.376</v>
      </c>
      <c r="J5664" s="11" t="s">
        <v>491</v>
      </c>
      <c r="K5664" s="11" t="s">
        <v>47</v>
      </c>
      <c r="L5664" s="11" t="s">
        <v>48</v>
      </c>
      <c r="M5664" s="11" t="s">
        <v>28</v>
      </c>
      <c r="N5664" s="11" t="s">
        <v>56</v>
      </c>
      <c r="O5664" s="11" t="s">
        <v>2087</v>
      </c>
      <c r="P5664" s="11" t="s">
        <v>38</v>
      </c>
      <c r="Q5664" s="20">
        <v>40797.0</v>
      </c>
      <c r="R5664" s="17">
        <f t="shared" si="2"/>
        <v>22.62334758</v>
      </c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>
        <f t="shared" si="8"/>
        <v>4</v>
      </c>
      <c r="AF5664" s="19">
        <f t="shared" si="13"/>
        <v>3</v>
      </c>
      <c r="AG5664" s="9"/>
      <c r="AH5664" s="9"/>
      <c r="AI5664" s="9"/>
    </row>
    <row r="5665" ht="15.0" customHeight="1">
      <c r="A5665" s="11">
        <v>5664.0</v>
      </c>
      <c r="B5665" s="12">
        <f t="shared" si="909"/>
        <v>40796</v>
      </c>
      <c r="C5665" s="13">
        <v>2011.0</v>
      </c>
      <c r="D5665" s="11" t="s">
        <v>39</v>
      </c>
      <c r="E5665" s="11">
        <v>5.0</v>
      </c>
      <c r="F5665" s="21" t="s">
        <v>183</v>
      </c>
      <c r="G5665" s="15">
        <v>0.06106360792492188</v>
      </c>
      <c r="H5665" s="11" t="s">
        <v>33</v>
      </c>
      <c r="I5665" s="16">
        <v>10.544</v>
      </c>
      <c r="J5665" s="11" t="s">
        <v>2141</v>
      </c>
      <c r="K5665" s="11" t="s">
        <v>26</v>
      </c>
      <c r="L5665" s="11" t="s">
        <v>36</v>
      </c>
      <c r="M5665" s="11" t="s">
        <v>28</v>
      </c>
      <c r="N5665" s="11" t="s">
        <v>42</v>
      </c>
      <c r="O5665" s="11" t="s">
        <v>185</v>
      </c>
      <c r="P5665" s="11" t="s">
        <v>38</v>
      </c>
      <c r="Q5665" s="20">
        <v>40798.0</v>
      </c>
      <c r="R5665" s="17">
        <f t="shared" si="2"/>
        <v>5.498411512</v>
      </c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>
        <f t="shared" si="8"/>
        <v>2</v>
      </c>
      <c r="AF5665" s="19">
        <f t="shared" si="13"/>
        <v>1</v>
      </c>
      <c r="AG5665" s="9"/>
      <c r="AH5665" s="9"/>
      <c r="AI5665" s="9"/>
    </row>
    <row r="5666" ht="15.0" customHeight="1">
      <c r="A5666" s="11">
        <v>5665.0</v>
      </c>
      <c r="B5666" s="12">
        <f t="shared" si="909"/>
        <v>40796</v>
      </c>
      <c r="C5666" s="13">
        <v>2011.0</v>
      </c>
      <c r="D5666" s="11" t="s">
        <v>44</v>
      </c>
      <c r="E5666" s="11">
        <v>6.0</v>
      </c>
      <c r="F5666" s="21" t="s">
        <v>1091</v>
      </c>
      <c r="G5666" s="15">
        <v>0.08119478334034502</v>
      </c>
      <c r="H5666" s="11" t="s">
        <v>33</v>
      </c>
      <c r="I5666" s="16">
        <v>6.0</v>
      </c>
      <c r="J5666" s="11" t="s">
        <v>1017</v>
      </c>
      <c r="K5666" s="11" t="s">
        <v>117</v>
      </c>
      <c r="L5666" s="11" t="s">
        <v>36</v>
      </c>
      <c r="M5666" s="11" t="s">
        <v>28</v>
      </c>
      <c r="N5666" s="11" t="s">
        <v>56</v>
      </c>
      <c r="O5666" s="11" t="s">
        <v>1451</v>
      </c>
      <c r="P5666" s="11" t="s">
        <v>38</v>
      </c>
      <c r="Q5666" s="20">
        <v>40798.0</v>
      </c>
      <c r="R5666" s="17">
        <f t="shared" si="2"/>
        <v>17.73294068</v>
      </c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>
        <f t="shared" si="8"/>
        <v>2</v>
      </c>
      <c r="AF5666" s="19" t="b">
        <f t="shared" si="13"/>
        <v>0</v>
      </c>
      <c r="AG5666" s="9"/>
      <c r="AH5666" s="9"/>
      <c r="AI5666" s="9"/>
    </row>
    <row r="5667" ht="15.0" customHeight="1">
      <c r="A5667" s="11">
        <v>5666.0</v>
      </c>
      <c r="B5667" s="12">
        <f t="shared" si="909"/>
        <v>40796</v>
      </c>
      <c r="C5667" s="13">
        <v>2011.0</v>
      </c>
      <c r="D5667" s="11" t="s">
        <v>32</v>
      </c>
      <c r="E5667" s="11">
        <v>5.0</v>
      </c>
      <c r="F5667" s="21" t="s">
        <v>599</v>
      </c>
      <c r="G5667" s="15">
        <v>0.06211274934952297</v>
      </c>
      <c r="H5667" s="11" t="s">
        <v>33</v>
      </c>
      <c r="I5667" s="16">
        <v>11.192</v>
      </c>
      <c r="J5667" s="11" t="s">
        <v>2475</v>
      </c>
      <c r="K5667" s="11" t="s">
        <v>35</v>
      </c>
      <c r="L5667" s="11" t="s">
        <v>41</v>
      </c>
      <c r="M5667" s="11" t="s">
        <v>49</v>
      </c>
      <c r="N5667" s="11" t="s">
        <v>73</v>
      </c>
      <c r="O5667" s="11" t="s">
        <v>601</v>
      </c>
      <c r="P5667" s="11" t="s">
        <v>75</v>
      </c>
      <c r="Q5667" s="20">
        <v>40798.0</v>
      </c>
      <c r="R5667" s="17">
        <f t="shared" si="2"/>
        <v>33.58386667</v>
      </c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>
        <f t="shared" si="8"/>
        <v>3</v>
      </c>
      <c r="AF5667" s="19">
        <f t="shared" si="13"/>
        <v>2</v>
      </c>
      <c r="AG5667" s="9"/>
      <c r="AH5667" s="9"/>
      <c r="AI5667" s="9"/>
    </row>
    <row r="5668" ht="15.0" customHeight="1">
      <c r="A5668" s="11">
        <v>5667.0</v>
      </c>
      <c r="B5668" s="12">
        <f t="shared" si="909"/>
        <v>40796</v>
      </c>
      <c r="C5668" s="13">
        <v>2011.0</v>
      </c>
      <c r="D5668" s="11" t="s">
        <v>32</v>
      </c>
      <c r="E5668" s="11">
        <v>37.0</v>
      </c>
      <c r="F5668" s="21" t="s">
        <v>2004</v>
      </c>
      <c r="G5668" s="15">
        <v>0.09420547558566189</v>
      </c>
      <c r="H5668" s="11" t="s">
        <v>33</v>
      </c>
      <c r="I5668" s="16">
        <v>7.192</v>
      </c>
      <c r="J5668" s="11" t="s">
        <v>2475</v>
      </c>
      <c r="K5668" s="11" t="s">
        <v>35</v>
      </c>
      <c r="L5668" s="11" t="s">
        <v>41</v>
      </c>
      <c r="M5668" s="11" t="s">
        <v>28</v>
      </c>
      <c r="N5668" s="11" t="s">
        <v>62</v>
      </c>
      <c r="O5668" s="11" t="s">
        <v>2007</v>
      </c>
      <c r="P5668" s="11" t="s">
        <v>99</v>
      </c>
      <c r="Q5668" s="20">
        <v>40798.0</v>
      </c>
      <c r="R5668" s="17">
        <f t="shared" si="2"/>
        <v>120.9308154</v>
      </c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>
        <f t="shared" si="8"/>
        <v>3</v>
      </c>
      <c r="AF5668" s="19">
        <f t="shared" si="13"/>
        <v>2</v>
      </c>
      <c r="AG5668" s="9"/>
      <c r="AH5668" s="9"/>
      <c r="AI5668" s="9"/>
    </row>
    <row r="5669" ht="15.0" customHeight="1">
      <c r="A5669" s="11">
        <v>5668.0</v>
      </c>
      <c r="B5669" s="12">
        <f t="shared" si="909"/>
        <v>40796</v>
      </c>
      <c r="C5669" s="13">
        <v>2011.0</v>
      </c>
      <c r="D5669" s="11" t="s">
        <v>39</v>
      </c>
      <c r="E5669" s="11">
        <v>3.0</v>
      </c>
      <c r="F5669" s="21" t="s">
        <v>743</v>
      </c>
      <c r="G5669" s="15">
        <v>0.09112465373961223</v>
      </c>
      <c r="H5669" s="11" t="s">
        <v>45</v>
      </c>
      <c r="I5669" s="16">
        <v>11.352</v>
      </c>
      <c r="J5669" s="11" t="s">
        <v>1802</v>
      </c>
      <c r="K5669" s="11" t="s">
        <v>61</v>
      </c>
      <c r="L5669" s="11" t="s">
        <v>48</v>
      </c>
      <c r="M5669" s="11" t="s">
        <v>49</v>
      </c>
      <c r="N5669" s="11" t="s">
        <v>50</v>
      </c>
      <c r="O5669" s="11" t="s">
        <v>2249</v>
      </c>
      <c r="P5669" s="11" t="s">
        <v>52</v>
      </c>
      <c r="Q5669" s="20">
        <v>40798.0</v>
      </c>
      <c r="R5669" s="17">
        <f t="shared" si="2"/>
        <v>14.9491817</v>
      </c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>
        <f t="shared" si="8"/>
        <v>4</v>
      </c>
      <c r="AF5669" s="19">
        <f t="shared" si="13"/>
        <v>4</v>
      </c>
      <c r="AG5669" s="9"/>
      <c r="AH5669" s="9"/>
      <c r="AI5669" s="9"/>
    </row>
    <row r="5670" ht="15.0" customHeight="1">
      <c r="A5670" s="11">
        <v>5669.0</v>
      </c>
      <c r="B5670" s="12">
        <f t="shared" si="909"/>
        <v>40796</v>
      </c>
      <c r="C5670" s="13">
        <v>2011.0</v>
      </c>
      <c r="D5670" s="11" t="s">
        <v>39</v>
      </c>
      <c r="E5670" s="11">
        <v>2.0</v>
      </c>
      <c r="F5670" s="21" t="s">
        <v>163</v>
      </c>
      <c r="G5670" s="15">
        <v>0.06488399528116398</v>
      </c>
      <c r="H5670" s="11" t="s">
        <v>45</v>
      </c>
      <c r="I5670" s="16">
        <v>36.0</v>
      </c>
      <c r="J5670" s="11" t="s">
        <v>1068</v>
      </c>
      <c r="K5670" s="11" t="s">
        <v>35</v>
      </c>
      <c r="L5670" s="11" t="s">
        <v>41</v>
      </c>
      <c r="M5670" s="11" t="s">
        <v>49</v>
      </c>
      <c r="N5670" s="11" t="s">
        <v>50</v>
      </c>
      <c r="O5670" s="11" t="s">
        <v>53</v>
      </c>
      <c r="P5670" s="11" t="s">
        <v>52</v>
      </c>
      <c r="Q5670" s="20">
        <v>40799.0</v>
      </c>
      <c r="R5670" s="17">
        <f t="shared" si="2"/>
        <v>15.42941408</v>
      </c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>
        <f t="shared" si="8"/>
        <v>3</v>
      </c>
      <c r="AF5670" s="19">
        <f t="shared" si="13"/>
        <v>2</v>
      </c>
      <c r="AG5670" s="9"/>
      <c r="AH5670" s="9"/>
      <c r="AI5670" s="9"/>
    </row>
    <row r="5671" ht="15.0" customHeight="1">
      <c r="A5671" s="11">
        <v>5670.0</v>
      </c>
      <c r="B5671" s="12">
        <f t="shared" ref="B5671:B5676" si="910">DATE(2012,12,31)-477</f>
        <v>40797</v>
      </c>
      <c r="C5671" s="13">
        <v>2011.0</v>
      </c>
      <c r="D5671" s="11" t="s">
        <v>32</v>
      </c>
      <c r="E5671" s="11">
        <v>10.0</v>
      </c>
      <c r="F5671" s="21" t="s">
        <v>178</v>
      </c>
      <c r="G5671" s="15">
        <v>0.023465259454705418</v>
      </c>
      <c r="H5671" s="11" t="s">
        <v>24</v>
      </c>
      <c r="I5671" s="16">
        <v>7.192</v>
      </c>
      <c r="J5671" s="11" t="s">
        <v>1259</v>
      </c>
      <c r="K5671" s="11" t="s">
        <v>65</v>
      </c>
      <c r="L5671" s="11" t="s">
        <v>41</v>
      </c>
      <c r="M5671" s="11" t="s">
        <v>66</v>
      </c>
      <c r="N5671" s="11" t="s">
        <v>80</v>
      </c>
      <c r="O5671" s="11" t="s">
        <v>1272</v>
      </c>
      <c r="P5671" s="11" t="s">
        <v>38</v>
      </c>
      <c r="Q5671" s="20">
        <v>40799.0</v>
      </c>
      <c r="R5671" s="17">
        <f t="shared" si="2"/>
        <v>15.63236813</v>
      </c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>
        <f t="shared" si="8"/>
        <v>3</v>
      </c>
      <c r="AF5671" s="19">
        <f t="shared" si="13"/>
        <v>5</v>
      </c>
      <c r="AG5671" s="9"/>
      <c r="AH5671" s="9"/>
      <c r="AI5671" s="9"/>
    </row>
    <row r="5672" ht="15.0" customHeight="1">
      <c r="A5672" s="11">
        <v>5671.0</v>
      </c>
      <c r="B5672" s="12">
        <f t="shared" si="910"/>
        <v>40797</v>
      </c>
      <c r="C5672" s="13">
        <v>2011.0</v>
      </c>
      <c r="D5672" s="11" t="s">
        <v>23</v>
      </c>
      <c r="E5672" s="11">
        <v>16.0</v>
      </c>
      <c r="F5672" s="21" t="s">
        <v>1878</v>
      </c>
      <c r="G5672" s="15">
        <v>0.025081081081081136</v>
      </c>
      <c r="H5672" s="11" t="s">
        <v>33</v>
      </c>
      <c r="I5672" s="16">
        <v>4.216</v>
      </c>
      <c r="J5672" s="11" t="s">
        <v>2079</v>
      </c>
      <c r="K5672" s="11" t="s">
        <v>61</v>
      </c>
      <c r="L5672" s="11" t="s">
        <v>48</v>
      </c>
      <c r="M5672" s="11" t="s">
        <v>28</v>
      </c>
      <c r="N5672" s="11" t="s">
        <v>42</v>
      </c>
      <c r="O5672" s="11" t="s">
        <v>1879</v>
      </c>
      <c r="P5672" s="11" t="s">
        <v>38</v>
      </c>
      <c r="Q5672" s="20">
        <v>40799.0</v>
      </c>
      <c r="R5672" s="17">
        <f t="shared" si="2"/>
        <v>2.71417427</v>
      </c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>
        <f t="shared" si="8"/>
        <v>4</v>
      </c>
      <c r="AF5672" s="19">
        <f t="shared" si="13"/>
        <v>4</v>
      </c>
      <c r="AG5672" s="9"/>
      <c r="AH5672" s="9"/>
      <c r="AI5672" s="9"/>
    </row>
    <row r="5673" ht="15.0" customHeight="1">
      <c r="A5673" s="11">
        <v>5672.0</v>
      </c>
      <c r="B5673" s="12">
        <f t="shared" si="910"/>
        <v>40797</v>
      </c>
      <c r="C5673" s="13">
        <v>2011.0</v>
      </c>
      <c r="D5673" s="11" t="s">
        <v>44</v>
      </c>
      <c r="E5673" s="11">
        <v>4.0</v>
      </c>
      <c r="F5673" s="21" t="s">
        <v>166</v>
      </c>
      <c r="G5673" s="15">
        <v>0.1667153284671532</v>
      </c>
      <c r="H5673" s="11" t="s">
        <v>33</v>
      </c>
      <c r="I5673" s="16">
        <v>3.816</v>
      </c>
      <c r="J5673" s="11" t="s">
        <v>1448</v>
      </c>
      <c r="K5673" s="11" t="s">
        <v>61</v>
      </c>
      <c r="L5673" s="11" t="s">
        <v>27</v>
      </c>
      <c r="M5673" s="11" t="s">
        <v>28</v>
      </c>
      <c r="N5673" s="11" t="s">
        <v>42</v>
      </c>
      <c r="O5673" s="11" t="s">
        <v>168</v>
      </c>
      <c r="P5673" s="11" t="s">
        <v>38</v>
      </c>
      <c r="Q5673" s="20">
        <v>40799.0</v>
      </c>
      <c r="R5673" s="17">
        <f t="shared" si="2"/>
        <v>1.90322219</v>
      </c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>
        <f t="shared" si="8"/>
        <v>1</v>
      </c>
      <c r="AF5673" s="19">
        <f t="shared" si="13"/>
        <v>4</v>
      </c>
      <c r="AG5673" s="9"/>
      <c r="AH5673" s="9"/>
      <c r="AI5673" s="9"/>
    </row>
    <row r="5674" ht="15.0" customHeight="1">
      <c r="A5674" s="11">
        <v>5673.0</v>
      </c>
      <c r="B5674" s="12">
        <f t="shared" si="910"/>
        <v>40797</v>
      </c>
      <c r="C5674" s="13">
        <v>2011.0</v>
      </c>
      <c r="D5674" s="11" t="s">
        <v>39</v>
      </c>
      <c r="E5674" s="11">
        <v>4.0</v>
      </c>
      <c r="F5674" s="21" t="s">
        <v>1136</v>
      </c>
      <c r="G5674" s="15">
        <v>0.0821052631578949</v>
      </c>
      <c r="H5674" s="11" t="s">
        <v>24</v>
      </c>
      <c r="I5674" s="16">
        <v>6.064</v>
      </c>
      <c r="J5674" s="11" t="s">
        <v>426</v>
      </c>
      <c r="K5674" s="11" t="s">
        <v>61</v>
      </c>
      <c r="L5674" s="11" t="s">
        <v>27</v>
      </c>
      <c r="M5674" s="11" t="s">
        <v>49</v>
      </c>
      <c r="N5674" s="11" t="s">
        <v>73</v>
      </c>
      <c r="O5674" s="11" t="s">
        <v>2284</v>
      </c>
      <c r="P5674" s="11" t="s">
        <v>38</v>
      </c>
      <c r="Q5674" s="20">
        <v>40799.0</v>
      </c>
      <c r="R5674" s="17">
        <f t="shared" si="2"/>
        <v>8.018728421</v>
      </c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>
        <f t="shared" si="8"/>
        <v>1</v>
      </c>
      <c r="AF5674" s="19">
        <f t="shared" si="13"/>
        <v>4</v>
      </c>
      <c r="AG5674" s="9"/>
      <c r="AH5674" s="9"/>
      <c r="AI5674" s="9"/>
    </row>
    <row r="5675" ht="15.0" customHeight="1">
      <c r="A5675" s="11">
        <v>5674.0</v>
      </c>
      <c r="B5675" s="12">
        <f t="shared" si="910"/>
        <v>40797</v>
      </c>
      <c r="C5675" s="13">
        <v>2011.0</v>
      </c>
      <c r="D5675" s="11" t="s">
        <v>32</v>
      </c>
      <c r="E5675" s="11">
        <v>47.0</v>
      </c>
      <c r="F5675" s="21" t="s">
        <v>1282</v>
      </c>
      <c r="G5675" s="15">
        <v>0.05728878684222868</v>
      </c>
      <c r="H5675" s="11" t="s">
        <v>33</v>
      </c>
      <c r="I5675" s="16">
        <v>10.120000000000001</v>
      </c>
      <c r="J5675" s="11" t="s">
        <v>1024</v>
      </c>
      <c r="K5675" s="11" t="s">
        <v>26</v>
      </c>
      <c r="L5675" s="11" t="s">
        <v>36</v>
      </c>
      <c r="M5675" s="11" t="s">
        <v>49</v>
      </c>
      <c r="N5675" s="11" t="s">
        <v>50</v>
      </c>
      <c r="O5675" s="11" t="s">
        <v>1283</v>
      </c>
      <c r="P5675" s="11" t="s">
        <v>75</v>
      </c>
      <c r="Q5675" s="20">
        <v>40799.0</v>
      </c>
      <c r="R5675" s="17">
        <f t="shared" si="2"/>
        <v>345.7676188</v>
      </c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>
        <f t="shared" si="8"/>
        <v>2</v>
      </c>
      <c r="AF5675" s="19">
        <f t="shared" si="13"/>
        <v>1</v>
      </c>
      <c r="AG5675" s="9"/>
      <c r="AH5675" s="9"/>
      <c r="AI5675" s="9"/>
    </row>
    <row r="5676" ht="15.0" customHeight="1">
      <c r="A5676" s="11">
        <v>5675.0</v>
      </c>
      <c r="B5676" s="12">
        <f t="shared" si="910"/>
        <v>40797</v>
      </c>
      <c r="C5676" s="13">
        <v>2011.0</v>
      </c>
      <c r="D5676" s="11" t="s">
        <v>44</v>
      </c>
      <c r="E5676" s="11">
        <v>42.0</v>
      </c>
      <c r="F5676" s="21" t="s">
        <v>1074</v>
      </c>
      <c r="G5676" s="15">
        <v>0.027933884297520625</v>
      </c>
      <c r="H5676" s="11" t="s">
        <v>33</v>
      </c>
      <c r="I5676" s="16">
        <v>4.24</v>
      </c>
      <c r="J5676" s="11" t="s">
        <v>1960</v>
      </c>
      <c r="K5676" s="11" t="s">
        <v>65</v>
      </c>
      <c r="L5676" s="11" t="s">
        <v>36</v>
      </c>
      <c r="M5676" s="11" t="s">
        <v>28</v>
      </c>
      <c r="N5676" s="11" t="s">
        <v>236</v>
      </c>
      <c r="O5676" s="11" t="s">
        <v>1075</v>
      </c>
      <c r="P5676" s="11" t="s">
        <v>38</v>
      </c>
      <c r="Q5676" s="20">
        <v>40799.0</v>
      </c>
      <c r="R5676" s="17">
        <f t="shared" si="2"/>
        <v>6.571166942</v>
      </c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>
        <f t="shared" si="8"/>
        <v>2</v>
      </c>
      <c r="AF5676" s="19">
        <f t="shared" si="13"/>
        <v>5</v>
      </c>
      <c r="AG5676" s="9"/>
      <c r="AH5676" s="9"/>
      <c r="AI5676" s="9"/>
    </row>
    <row r="5677" ht="15.0" customHeight="1">
      <c r="A5677" s="11">
        <v>5676.0</v>
      </c>
      <c r="B5677" s="12">
        <f t="shared" ref="B5677:B5686" si="911">DATE(2012,12,31)-476</f>
        <v>40798</v>
      </c>
      <c r="C5677" s="13">
        <v>2011.0</v>
      </c>
      <c r="D5677" s="11" t="s">
        <v>102</v>
      </c>
      <c r="E5677" s="11">
        <v>26.0</v>
      </c>
      <c r="F5677" s="21" t="s">
        <v>126</v>
      </c>
      <c r="G5677" s="15">
        <v>0.06335040234089244</v>
      </c>
      <c r="H5677" s="11" t="s">
        <v>33</v>
      </c>
      <c r="I5677" s="16">
        <v>0.6400000000000001</v>
      </c>
      <c r="J5677" s="11" t="s">
        <v>1061</v>
      </c>
      <c r="K5677" s="11" t="s">
        <v>26</v>
      </c>
      <c r="L5677" s="11" t="s">
        <v>36</v>
      </c>
      <c r="M5677" s="11" t="s">
        <v>28</v>
      </c>
      <c r="N5677" s="11" t="s">
        <v>56</v>
      </c>
      <c r="O5677" s="11" t="s">
        <v>517</v>
      </c>
      <c r="P5677" s="11" t="s">
        <v>58</v>
      </c>
      <c r="Q5677" s="20">
        <v>40799.0</v>
      </c>
      <c r="R5677" s="17">
        <f t="shared" si="2"/>
        <v>8.111385516</v>
      </c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>
        <f t="shared" si="8"/>
        <v>2</v>
      </c>
      <c r="AF5677" s="19">
        <f t="shared" si="13"/>
        <v>1</v>
      </c>
      <c r="AG5677" s="9"/>
      <c r="AH5677" s="9"/>
      <c r="AI5677" s="9"/>
    </row>
    <row r="5678" ht="15.0" customHeight="1">
      <c r="A5678" s="11">
        <v>5677.0</v>
      </c>
      <c r="B5678" s="12">
        <f t="shared" si="911"/>
        <v>40798</v>
      </c>
      <c r="C5678" s="13">
        <v>2011.0</v>
      </c>
      <c r="D5678" s="11" t="s">
        <v>102</v>
      </c>
      <c r="E5678" s="11">
        <v>10.0</v>
      </c>
      <c r="F5678" s="21" t="s">
        <v>178</v>
      </c>
      <c r="G5678" s="15">
        <v>0.07669775859668661</v>
      </c>
      <c r="H5678" s="11" t="s">
        <v>33</v>
      </c>
      <c r="I5678" s="16">
        <v>4.208</v>
      </c>
      <c r="J5678" s="11" t="s">
        <v>1061</v>
      </c>
      <c r="K5678" s="11" t="s">
        <v>26</v>
      </c>
      <c r="L5678" s="11" t="s">
        <v>36</v>
      </c>
      <c r="M5678" s="11" t="s">
        <v>66</v>
      </c>
      <c r="N5678" s="11" t="s">
        <v>80</v>
      </c>
      <c r="O5678" s="11" t="s">
        <v>912</v>
      </c>
      <c r="P5678" s="11" t="s">
        <v>38</v>
      </c>
      <c r="Q5678" s="20">
        <v>40800.0</v>
      </c>
      <c r="R5678" s="17">
        <f t="shared" si="2"/>
        <v>50.86656708</v>
      </c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>
        <f t="shared" si="8"/>
        <v>2</v>
      </c>
      <c r="AF5678" s="19">
        <f t="shared" si="13"/>
        <v>1</v>
      </c>
      <c r="AG5678" s="9"/>
      <c r="AH5678" s="9"/>
      <c r="AI5678" s="9"/>
    </row>
    <row r="5679" ht="15.0" customHeight="1">
      <c r="A5679" s="11">
        <v>5678.0</v>
      </c>
      <c r="B5679" s="12">
        <f t="shared" si="911"/>
        <v>40798</v>
      </c>
      <c r="C5679" s="13">
        <v>2011.0</v>
      </c>
      <c r="D5679" s="11" t="s">
        <v>102</v>
      </c>
      <c r="E5679" s="11">
        <v>40.0</v>
      </c>
      <c r="F5679" s="21" t="s">
        <v>210</v>
      </c>
      <c r="G5679" s="15">
        <v>0.06030603060306021</v>
      </c>
      <c r="H5679" s="11" t="s">
        <v>33</v>
      </c>
      <c r="I5679" s="16">
        <v>0.4</v>
      </c>
      <c r="J5679" s="11" t="s">
        <v>1089</v>
      </c>
      <c r="K5679" s="11" t="s">
        <v>35</v>
      </c>
      <c r="L5679" s="11" t="s">
        <v>27</v>
      </c>
      <c r="M5679" s="11" t="s">
        <v>28</v>
      </c>
      <c r="N5679" s="11" t="s">
        <v>188</v>
      </c>
      <c r="O5679" s="11" t="s">
        <v>1356</v>
      </c>
      <c r="P5679" s="11" t="s">
        <v>38</v>
      </c>
      <c r="Q5679" s="20">
        <v>40800.0</v>
      </c>
      <c r="R5679" s="17">
        <f t="shared" si="2"/>
        <v>6.295949595</v>
      </c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>
        <f t="shared" si="8"/>
        <v>1</v>
      </c>
      <c r="AF5679" s="19">
        <f t="shared" si="13"/>
        <v>2</v>
      </c>
      <c r="AG5679" s="9"/>
      <c r="AH5679" s="9"/>
      <c r="AI5679" s="9"/>
    </row>
    <row r="5680" ht="15.0" customHeight="1">
      <c r="A5680" s="11">
        <v>5679.0</v>
      </c>
      <c r="B5680" s="12">
        <f t="shared" si="911"/>
        <v>40798</v>
      </c>
      <c r="C5680" s="13">
        <v>2011.0</v>
      </c>
      <c r="D5680" s="11" t="s">
        <v>102</v>
      </c>
      <c r="E5680" s="11">
        <v>3.0</v>
      </c>
      <c r="F5680" s="21" t="s">
        <v>2210</v>
      </c>
      <c r="G5680" s="15">
        <v>0.043539823008849635</v>
      </c>
      <c r="H5680" s="11" t="s">
        <v>24</v>
      </c>
      <c r="I5680" s="16">
        <v>0.6080000000000001</v>
      </c>
      <c r="J5680" s="11" t="s">
        <v>1089</v>
      </c>
      <c r="K5680" s="11" t="s">
        <v>35</v>
      </c>
      <c r="L5680" s="11" t="s">
        <v>27</v>
      </c>
      <c r="M5680" s="11" t="s">
        <v>28</v>
      </c>
      <c r="N5680" s="11" t="s">
        <v>216</v>
      </c>
      <c r="O5680" s="11" t="s">
        <v>2211</v>
      </c>
      <c r="P5680" s="11" t="s">
        <v>58</v>
      </c>
      <c r="Q5680" s="20">
        <v>40800.0</v>
      </c>
      <c r="R5680" s="17">
        <f t="shared" si="2"/>
        <v>0.4705784071</v>
      </c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>
        <f t="shared" si="8"/>
        <v>1</v>
      </c>
      <c r="AF5680" s="19">
        <f t="shared" si="13"/>
        <v>2</v>
      </c>
      <c r="AG5680" s="9"/>
      <c r="AH5680" s="9"/>
      <c r="AI5680" s="9"/>
    </row>
    <row r="5681" ht="15.0" customHeight="1">
      <c r="A5681" s="11">
        <v>5680.0</v>
      </c>
      <c r="B5681" s="12">
        <f t="shared" si="911"/>
        <v>40798</v>
      </c>
      <c r="C5681" s="13">
        <v>2011.0</v>
      </c>
      <c r="D5681" s="11" t="s">
        <v>32</v>
      </c>
      <c r="E5681" s="11">
        <v>6.0</v>
      </c>
      <c r="F5681" s="21" t="s">
        <v>119</v>
      </c>
      <c r="G5681" s="15">
        <v>0.11823529411764697</v>
      </c>
      <c r="H5681" s="11" t="s">
        <v>33</v>
      </c>
      <c r="I5681" s="16">
        <v>1.192</v>
      </c>
      <c r="J5681" s="11" t="s">
        <v>1811</v>
      </c>
      <c r="K5681" s="11" t="s">
        <v>65</v>
      </c>
      <c r="L5681" s="11" t="s">
        <v>48</v>
      </c>
      <c r="M5681" s="11" t="s">
        <v>28</v>
      </c>
      <c r="N5681" s="11" t="s">
        <v>42</v>
      </c>
      <c r="O5681" s="11" t="s">
        <v>1129</v>
      </c>
      <c r="P5681" s="11" t="s">
        <v>38</v>
      </c>
      <c r="Q5681" s="20">
        <v>40800.0</v>
      </c>
      <c r="R5681" s="17">
        <f t="shared" si="2"/>
        <v>1.417877647</v>
      </c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>
        <f t="shared" si="8"/>
        <v>4</v>
      </c>
      <c r="AF5681" s="19">
        <f t="shared" si="13"/>
        <v>5</v>
      </c>
      <c r="AG5681" s="9"/>
      <c r="AH5681" s="9"/>
      <c r="AI5681" s="9"/>
    </row>
    <row r="5682" ht="15.0" customHeight="1">
      <c r="A5682" s="11">
        <v>5681.0</v>
      </c>
      <c r="B5682" s="12">
        <f t="shared" si="911"/>
        <v>40798</v>
      </c>
      <c r="C5682" s="13">
        <v>2011.0</v>
      </c>
      <c r="D5682" s="11" t="s">
        <v>44</v>
      </c>
      <c r="E5682" s="11">
        <v>25.0</v>
      </c>
      <c r="F5682" s="21" t="s">
        <v>242</v>
      </c>
      <c r="G5682" s="15">
        <v>0.027399702281812047</v>
      </c>
      <c r="H5682" s="11" t="s">
        <v>45</v>
      </c>
      <c r="I5682" s="16">
        <v>21.392</v>
      </c>
      <c r="J5682" s="11" t="s">
        <v>1466</v>
      </c>
      <c r="K5682" s="11" t="s">
        <v>65</v>
      </c>
      <c r="L5682" s="11" t="s">
        <v>27</v>
      </c>
      <c r="M5682" s="11" t="s">
        <v>49</v>
      </c>
      <c r="N5682" s="11" t="s">
        <v>156</v>
      </c>
      <c r="O5682" s="11" t="s">
        <v>1909</v>
      </c>
      <c r="P5682" s="11" t="s">
        <v>87</v>
      </c>
      <c r="Q5682" s="20">
        <v>40800.0</v>
      </c>
      <c r="R5682" s="17">
        <f t="shared" si="2"/>
        <v>49.15210673</v>
      </c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>
        <f t="shared" si="8"/>
        <v>1</v>
      </c>
      <c r="AF5682" s="19">
        <f t="shared" si="13"/>
        <v>5</v>
      </c>
      <c r="AG5682" s="9"/>
      <c r="AH5682" s="9"/>
      <c r="AI5682" s="9"/>
    </row>
    <row r="5683" ht="15.0" customHeight="1">
      <c r="A5683" s="11">
        <v>5682.0</v>
      </c>
      <c r="B5683" s="12">
        <f t="shared" si="911"/>
        <v>40798</v>
      </c>
      <c r="C5683" s="13">
        <v>2011.0</v>
      </c>
      <c r="D5683" s="11" t="s">
        <v>44</v>
      </c>
      <c r="E5683" s="11">
        <v>22.0</v>
      </c>
      <c r="F5683" s="21" t="s">
        <v>372</v>
      </c>
      <c r="G5683" s="15">
        <v>0.0795493843332461</v>
      </c>
      <c r="H5683" s="11" t="s">
        <v>33</v>
      </c>
      <c r="I5683" s="16">
        <v>5.936</v>
      </c>
      <c r="J5683" s="11" t="s">
        <v>282</v>
      </c>
      <c r="K5683" s="11" t="s">
        <v>65</v>
      </c>
      <c r="L5683" s="11" t="s">
        <v>41</v>
      </c>
      <c r="M5683" s="11" t="s">
        <v>28</v>
      </c>
      <c r="N5683" s="11" t="s">
        <v>442</v>
      </c>
      <c r="O5683" s="11" t="s">
        <v>1678</v>
      </c>
      <c r="P5683" s="11" t="s">
        <v>99</v>
      </c>
      <c r="Q5683" s="20">
        <v>40800.0</v>
      </c>
      <c r="R5683" s="17">
        <f t="shared" si="2"/>
        <v>27.94856249</v>
      </c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>
        <f t="shared" si="8"/>
        <v>3</v>
      </c>
      <c r="AF5683" s="19">
        <f t="shared" si="13"/>
        <v>5</v>
      </c>
      <c r="AG5683" s="9"/>
      <c r="AH5683" s="9"/>
      <c r="AI5683" s="9"/>
    </row>
    <row r="5684" ht="15.0" customHeight="1">
      <c r="A5684" s="11">
        <v>5683.0</v>
      </c>
      <c r="B5684" s="12">
        <f t="shared" si="911"/>
        <v>40798</v>
      </c>
      <c r="C5684" s="13">
        <v>2011.0</v>
      </c>
      <c r="D5684" s="11" t="s">
        <v>32</v>
      </c>
      <c r="E5684" s="11">
        <v>27.0</v>
      </c>
      <c r="F5684" s="21" t="s">
        <v>1116</v>
      </c>
      <c r="G5684" s="15">
        <v>0.011241421784268712</v>
      </c>
      <c r="H5684" s="11" t="s">
        <v>33</v>
      </c>
      <c r="I5684" s="16">
        <v>15.991999999999999</v>
      </c>
      <c r="J5684" s="11" t="s">
        <v>1221</v>
      </c>
      <c r="K5684" s="11" t="s">
        <v>61</v>
      </c>
      <c r="L5684" s="11" t="s">
        <v>41</v>
      </c>
      <c r="M5684" s="11" t="s">
        <v>28</v>
      </c>
      <c r="N5684" s="11" t="s">
        <v>42</v>
      </c>
      <c r="O5684" s="11" t="s">
        <v>1117</v>
      </c>
      <c r="P5684" s="11" t="s">
        <v>38</v>
      </c>
      <c r="Q5684" s="20">
        <v>40800.0</v>
      </c>
      <c r="R5684" s="17">
        <f t="shared" si="2"/>
        <v>50.53347342</v>
      </c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>
        <f t="shared" si="8"/>
        <v>3</v>
      </c>
      <c r="AF5684" s="19">
        <f t="shared" si="13"/>
        <v>4</v>
      </c>
      <c r="AG5684" s="9"/>
      <c r="AH5684" s="9"/>
      <c r="AI5684" s="9"/>
    </row>
    <row r="5685" ht="15.0" customHeight="1">
      <c r="A5685" s="11">
        <v>5684.0</v>
      </c>
      <c r="B5685" s="12">
        <f t="shared" si="911"/>
        <v>40798</v>
      </c>
      <c r="C5685" s="13">
        <v>2011.0</v>
      </c>
      <c r="D5685" s="11" t="s">
        <v>32</v>
      </c>
      <c r="E5685" s="11">
        <v>4.0</v>
      </c>
      <c r="F5685" s="21" t="s">
        <v>350</v>
      </c>
      <c r="G5685" s="15">
        <v>0.07838028169014082</v>
      </c>
      <c r="H5685" s="11" t="s">
        <v>33</v>
      </c>
      <c r="I5685" s="16">
        <v>13.496000000000002</v>
      </c>
      <c r="J5685" s="11" t="s">
        <v>1212</v>
      </c>
      <c r="K5685" s="11" t="s">
        <v>117</v>
      </c>
      <c r="L5685" s="11" t="s">
        <v>27</v>
      </c>
      <c r="M5685" s="11" t="s">
        <v>28</v>
      </c>
      <c r="N5685" s="11" t="s">
        <v>56</v>
      </c>
      <c r="O5685" s="11" t="s">
        <v>1630</v>
      </c>
      <c r="P5685" s="11" t="s">
        <v>38</v>
      </c>
      <c r="Q5685" s="20">
        <v>40800.0</v>
      </c>
      <c r="R5685" s="17">
        <f t="shared" si="2"/>
        <v>8.206101972</v>
      </c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>
        <f t="shared" si="8"/>
        <v>1</v>
      </c>
      <c r="AF5685" s="19" t="b">
        <f t="shared" si="13"/>
        <v>0</v>
      </c>
      <c r="AG5685" s="9"/>
      <c r="AH5685" s="9"/>
      <c r="AI5685" s="9"/>
    </row>
    <row r="5686" ht="15.0" customHeight="1">
      <c r="A5686" s="11">
        <v>5685.0</v>
      </c>
      <c r="B5686" s="12">
        <f t="shared" si="911"/>
        <v>40798</v>
      </c>
      <c r="C5686" s="13">
        <v>2011.0</v>
      </c>
      <c r="D5686" s="11" t="s">
        <v>102</v>
      </c>
      <c r="E5686" s="11">
        <v>39.0</v>
      </c>
      <c r="F5686" s="21" t="s">
        <v>319</v>
      </c>
      <c r="G5686" s="15">
        <v>0.10032786885245909</v>
      </c>
      <c r="H5686" s="11" t="s">
        <v>33</v>
      </c>
      <c r="I5686" s="16">
        <v>0.5599999999999999</v>
      </c>
      <c r="J5686" s="11" t="s">
        <v>2436</v>
      </c>
      <c r="K5686" s="11" t="s">
        <v>35</v>
      </c>
      <c r="L5686" s="11" t="s">
        <v>48</v>
      </c>
      <c r="M5686" s="11" t="s">
        <v>28</v>
      </c>
      <c r="N5686" s="11" t="s">
        <v>62</v>
      </c>
      <c r="O5686" s="11" t="s">
        <v>383</v>
      </c>
      <c r="P5686" s="11" t="s">
        <v>58</v>
      </c>
      <c r="Q5686" s="20">
        <v>40801.0</v>
      </c>
      <c r="R5686" s="17">
        <f t="shared" si="2"/>
        <v>11.01198689</v>
      </c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>
        <f t="shared" si="8"/>
        <v>4</v>
      </c>
      <c r="AF5686" s="19">
        <f t="shared" si="13"/>
        <v>2</v>
      </c>
      <c r="AG5686" s="9"/>
      <c r="AH5686" s="9"/>
      <c r="AI5686" s="9"/>
    </row>
    <row r="5687" ht="15.0" customHeight="1">
      <c r="A5687" s="11">
        <v>5686.0</v>
      </c>
      <c r="B5687" s="12">
        <f t="shared" ref="B5687:B5690" si="912">DATE(2012,12,31)-475</f>
        <v>40799</v>
      </c>
      <c r="C5687" s="13">
        <v>2011.0</v>
      </c>
      <c r="D5687" s="11" t="s">
        <v>39</v>
      </c>
      <c r="E5687" s="11">
        <v>45.0</v>
      </c>
      <c r="F5687" s="21" t="s">
        <v>869</v>
      </c>
      <c r="G5687" s="15">
        <v>0.07507188823233893</v>
      </c>
      <c r="H5687" s="11" t="s">
        <v>33</v>
      </c>
      <c r="I5687" s="16">
        <v>0.792</v>
      </c>
      <c r="J5687" s="11" t="s">
        <v>942</v>
      </c>
      <c r="K5687" s="11" t="s">
        <v>61</v>
      </c>
      <c r="L5687" s="11" t="s">
        <v>48</v>
      </c>
      <c r="M5687" s="11" t="s">
        <v>66</v>
      </c>
      <c r="N5687" s="11" t="s">
        <v>80</v>
      </c>
      <c r="O5687" s="11" t="s">
        <v>870</v>
      </c>
      <c r="P5687" s="11" t="s">
        <v>58</v>
      </c>
      <c r="Q5687" s="20">
        <v>40801.0</v>
      </c>
      <c r="R5687" s="17">
        <f t="shared" si="2"/>
        <v>290.2498409</v>
      </c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>
        <f t="shared" si="8"/>
        <v>4</v>
      </c>
      <c r="AF5687" s="19">
        <f t="shared" si="13"/>
        <v>4</v>
      </c>
      <c r="AG5687" s="9"/>
      <c r="AH5687" s="9"/>
      <c r="AI5687" s="9"/>
    </row>
    <row r="5688" ht="15.0" customHeight="1">
      <c r="A5688" s="11">
        <v>5687.0</v>
      </c>
      <c r="B5688" s="12">
        <f t="shared" si="912"/>
        <v>40799</v>
      </c>
      <c r="C5688" s="13">
        <v>2011.0</v>
      </c>
      <c r="D5688" s="11" t="s">
        <v>32</v>
      </c>
      <c r="E5688" s="11">
        <v>23.0</v>
      </c>
      <c r="F5688" s="21" t="s">
        <v>336</v>
      </c>
      <c r="G5688" s="15">
        <v>0.06911022576361213</v>
      </c>
      <c r="H5688" s="11" t="s">
        <v>24</v>
      </c>
      <c r="I5688" s="16">
        <v>6.792000000000001</v>
      </c>
      <c r="J5688" s="11" t="s">
        <v>555</v>
      </c>
      <c r="K5688" s="11" t="s">
        <v>65</v>
      </c>
      <c r="L5688" s="11" t="s">
        <v>27</v>
      </c>
      <c r="M5688" s="11" t="s">
        <v>28</v>
      </c>
      <c r="N5688" s="11" t="s">
        <v>42</v>
      </c>
      <c r="O5688" s="11" t="s">
        <v>338</v>
      </c>
      <c r="P5688" s="11" t="s">
        <v>38</v>
      </c>
      <c r="Q5688" s="20">
        <v>40801.0</v>
      </c>
      <c r="R5688" s="17">
        <f t="shared" si="2"/>
        <v>9.68870077</v>
      </c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>
        <f t="shared" si="8"/>
        <v>1</v>
      </c>
      <c r="AF5688" s="19">
        <f t="shared" si="13"/>
        <v>5</v>
      </c>
      <c r="AG5688" s="9"/>
      <c r="AH5688" s="9"/>
      <c r="AI5688" s="9"/>
    </row>
    <row r="5689" ht="15.0" customHeight="1">
      <c r="A5689" s="11">
        <v>5688.0</v>
      </c>
      <c r="B5689" s="12">
        <f t="shared" si="912"/>
        <v>40799</v>
      </c>
      <c r="C5689" s="13">
        <v>2011.0</v>
      </c>
      <c r="D5689" s="11" t="s">
        <v>23</v>
      </c>
      <c r="E5689" s="11">
        <v>32.0</v>
      </c>
      <c r="F5689" s="21" t="s">
        <v>1441</v>
      </c>
      <c r="G5689" s="15">
        <v>0.03806321452589084</v>
      </c>
      <c r="H5689" s="11" t="s">
        <v>33</v>
      </c>
      <c r="I5689" s="16">
        <v>4.4799999999999995</v>
      </c>
      <c r="J5689" s="11" t="s">
        <v>528</v>
      </c>
      <c r="K5689" s="11" t="s">
        <v>83</v>
      </c>
      <c r="L5689" s="11" t="s">
        <v>48</v>
      </c>
      <c r="M5689" s="11" t="s">
        <v>28</v>
      </c>
      <c r="N5689" s="11" t="s">
        <v>42</v>
      </c>
      <c r="O5689" s="11" t="s">
        <v>1443</v>
      </c>
      <c r="P5689" s="11" t="s">
        <v>38</v>
      </c>
      <c r="Q5689" s="20">
        <v>40801.0</v>
      </c>
      <c r="R5689" s="17">
        <f t="shared" si="2"/>
        <v>10.88912441</v>
      </c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>
        <f t="shared" si="8"/>
        <v>4</v>
      </c>
      <c r="AF5689" s="19" t="b">
        <f t="shared" si="13"/>
        <v>0</v>
      </c>
      <c r="AG5689" s="9"/>
      <c r="AH5689" s="9"/>
      <c r="AI5689" s="9"/>
    </row>
    <row r="5690" ht="15.0" customHeight="1">
      <c r="A5690" s="11">
        <v>5689.0</v>
      </c>
      <c r="B5690" s="12">
        <f t="shared" si="912"/>
        <v>40799</v>
      </c>
      <c r="C5690" s="13">
        <v>2011.0</v>
      </c>
      <c r="D5690" s="11" t="s">
        <v>23</v>
      </c>
      <c r="E5690" s="11">
        <v>18.0</v>
      </c>
      <c r="F5690" s="21" t="s">
        <v>328</v>
      </c>
      <c r="G5690" s="15">
        <v>0.051103804603100024</v>
      </c>
      <c r="H5690" s="11" t="s">
        <v>45</v>
      </c>
      <c r="I5690" s="16">
        <v>24.0</v>
      </c>
      <c r="J5690" s="11" t="s">
        <v>528</v>
      </c>
      <c r="K5690" s="11" t="s">
        <v>83</v>
      </c>
      <c r="L5690" s="11" t="s">
        <v>48</v>
      </c>
      <c r="M5690" s="11" t="s">
        <v>49</v>
      </c>
      <c r="N5690" s="11" t="s">
        <v>50</v>
      </c>
      <c r="O5690" s="11" t="s">
        <v>2458</v>
      </c>
      <c r="P5690" s="11" t="s">
        <v>52</v>
      </c>
      <c r="Q5690" s="20">
        <v>40801.0</v>
      </c>
      <c r="R5690" s="17">
        <f t="shared" si="2"/>
        <v>103.2399061</v>
      </c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>
        <f t="shared" si="8"/>
        <v>4</v>
      </c>
      <c r="AF5690" s="19" t="b">
        <f t="shared" si="13"/>
        <v>0</v>
      </c>
      <c r="AG5690" s="9"/>
      <c r="AH5690" s="9"/>
      <c r="AI5690" s="9"/>
    </row>
    <row r="5691" ht="15.0" customHeight="1">
      <c r="A5691" s="11">
        <v>5690.0</v>
      </c>
      <c r="B5691" s="12">
        <f t="shared" ref="B5691:B5692" si="913">DATE(2012,12,31)-474</f>
        <v>40800</v>
      </c>
      <c r="C5691" s="13">
        <v>2011.0</v>
      </c>
      <c r="D5691" s="11" t="s">
        <v>23</v>
      </c>
      <c r="E5691" s="11">
        <v>4.0</v>
      </c>
      <c r="F5691" s="21" t="s">
        <v>2045</v>
      </c>
      <c r="G5691" s="15">
        <v>0.05712753999135325</v>
      </c>
      <c r="H5691" s="11" t="s">
        <v>45</v>
      </c>
      <c r="I5691" s="16">
        <v>11.76</v>
      </c>
      <c r="J5691" s="11" t="s">
        <v>831</v>
      </c>
      <c r="K5691" s="11" t="s">
        <v>117</v>
      </c>
      <c r="L5691" s="11" t="s">
        <v>27</v>
      </c>
      <c r="M5691" s="11" t="s">
        <v>66</v>
      </c>
      <c r="N5691" s="11" t="s">
        <v>69</v>
      </c>
      <c r="O5691" s="11" t="s">
        <v>2046</v>
      </c>
      <c r="P5691" s="11" t="s">
        <v>52</v>
      </c>
      <c r="Q5691" s="20">
        <v>40801.0</v>
      </c>
      <c r="R5691" s="17">
        <f t="shared" si="2"/>
        <v>311.4684884</v>
      </c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>
        <f t="shared" si="8"/>
        <v>1</v>
      </c>
      <c r="AF5691" s="19" t="b">
        <f t="shared" si="13"/>
        <v>0</v>
      </c>
      <c r="AG5691" s="9"/>
      <c r="AH5691" s="9"/>
      <c r="AI5691" s="9"/>
    </row>
    <row r="5692" ht="15.0" customHeight="1">
      <c r="A5692" s="11">
        <v>5691.0</v>
      </c>
      <c r="B5692" s="12">
        <f t="shared" si="913"/>
        <v>40800</v>
      </c>
      <c r="C5692" s="13">
        <v>2011.0</v>
      </c>
      <c r="D5692" s="11" t="s">
        <v>23</v>
      </c>
      <c r="E5692" s="11">
        <v>8.0</v>
      </c>
      <c r="F5692" s="21" t="s">
        <v>231</v>
      </c>
      <c r="G5692" s="15">
        <v>0.0142690058479533</v>
      </c>
      <c r="H5692" s="11" t="s">
        <v>45</v>
      </c>
      <c r="I5692" s="16">
        <v>15.352000000000002</v>
      </c>
      <c r="J5692" s="11" t="s">
        <v>1801</v>
      </c>
      <c r="K5692" s="11" t="s">
        <v>26</v>
      </c>
      <c r="L5692" s="11" t="s">
        <v>48</v>
      </c>
      <c r="M5692" s="11" t="s">
        <v>49</v>
      </c>
      <c r="N5692" s="11" t="s">
        <v>50</v>
      </c>
      <c r="O5692" s="11" t="s">
        <v>121</v>
      </c>
      <c r="P5692" s="11" t="s">
        <v>52</v>
      </c>
      <c r="Q5692" s="20">
        <v>40801.0</v>
      </c>
      <c r="R5692" s="17">
        <f t="shared" si="2"/>
        <v>4.088812164</v>
      </c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>
        <f t="shared" si="8"/>
        <v>4</v>
      </c>
      <c r="AF5692" s="19">
        <f t="shared" si="13"/>
        <v>1</v>
      </c>
      <c r="AG5692" s="9"/>
      <c r="AH5692" s="9"/>
      <c r="AI5692" s="9"/>
    </row>
    <row r="5693" ht="15.0" customHeight="1">
      <c r="A5693" s="11">
        <v>5692.0</v>
      </c>
      <c r="B5693" s="12">
        <f t="shared" ref="B5693:B5712" si="914">DATE(2012,12,31)-473</f>
        <v>40801</v>
      </c>
      <c r="C5693" s="13">
        <v>2011.0</v>
      </c>
      <c r="D5693" s="11" t="s">
        <v>102</v>
      </c>
      <c r="E5693" s="11">
        <v>3.0</v>
      </c>
      <c r="F5693" s="21" t="s">
        <v>169</v>
      </c>
      <c r="G5693" s="15">
        <v>0.031446460399433294</v>
      </c>
      <c r="H5693" s="11" t="s">
        <v>33</v>
      </c>
      <c r="I5693" s="16">
        <v>19.592</v>
      </c>
      <c r="J5693" s="11" t="s">
        <v>232</v>
      </c>
      <c r="K5693" s="11" t="s">
        <v>47</v>
      </c>
      <c r="L5693" s="11" t="s">
        <v>36</v>
      </c>
      <c r="M5693" s="11" t="s">
        <v>66</v>
      </c>
      <c r="N5693" s="11" t="s">
        <v>170</v>
      </c>
      <c r="O5693" s="11" t="s">
        <v>171</v>
      </c>
      <c r="P5693" s="11" t="s">
        <v>31</v>
      </c>
      <c r="Q5693" s="20">
        <v>40801.0</v>
      </c>
      <c r="R5693" s="17">
        <f t="shared" si="2"/>
        <v>66.64423195</v>
      </c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>
        <f t="shared" si="8"/>
        <v>2</v>
      </c>
      <c r="AF5693" s="19">
        <f t="shared" si="13"/>
        <v>3</v>
      </c>
      <c r="AG5693" s="9"/>
      <c r="AH5693" s="9"/>
      <c r="AI5693" s="9"/>
    </row>
    <row r="5694" ht="15.0" customHeight="1">
      <c r="A5694" s="11">
        <v>5693.0</v>
      </c>
      <c r="B5694" s="12">
        <f t="shared" si="914"/>
        <v>40801</v>
      </c>
      <c r="C5694" s="13">
        <v>2011.0</v>
      </c>
      <c r="D5694" s="11" t="s">
        <v>102</v>
      </c>
      <c r="E5694" s="11">
        <v>21.0</v>
      </c>
      <c r="F5694" s="21" t="s">
        <v>2013</v>
      </c>
      <c r="G5694" s="15">
        <v>0.08585668103448271</v>
      </c>
      <c r="H5694" s="11" t="s">
        <v>45</v>
      </c>
      <c r="I5694" s="16">
        <v>48.0</v>
      </c>
      <c r="J5694" s="11" t="s">
        <v>232</v>
      </c>
      <c r="K5694" s="11" t="s">
        <v>47</v>
      </c>
      <c r="L5694" s="11" t="s">
        <v>36</v>
      </c>
      <c r="M5694" s="11" t="s">
        <v>49</v>
      </c>
      <c r="N5694" s="11" t="s">
        <v>85</v>
      </c>
      <c r="O5694" s="11" t="s">
        <v>2014</v>
      </c>
      <c r="P5694" s="11" t="s">
        <v>52</v>
      </c>
      <c r="Q5694" s="20">
        <v>40801.0</v>
      </c>
      <c r="R5694" s="17">
        <f t="shared" si="2"/>
        <v>291.3374758</v>
      </c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>
        <f t="shared" si="8"/>
        <v>2</v>
      </c>
      <c r="AF5694" s="19">
        <f t="shared" si="13"/>
        <v>3</v>
      </c>
      <c r="AG5694" s="9"/>
      <c r="AH5694" s="9"/>
      <c r="AI5694" s="9"/>
    </row>
    <row r="5695" ht="15.0" customHeight="1">
      <c r="A5695" s="11">
        <v>5694.0</v>
      </c>
      <c r="B5695" s="12">
        <f t="shared" si="914"/>
        <v>40801</v>
      </c>
      <c r="C5695" s="13">
        <v>2011.0</v>
      </c>
      <c r="D5695" s="11" t="s">
        <v>23</v>
      </c>
      <c r="E5695" s="11">
        <v>28.0</v>
      </c>
      <c r="F5695" s="21" t="s">
        <v>466</v>
      </c>
      <c r="G5695" s="15">
        <v>0.07881548974943045</v>
      </c>
      <c r="H5695" s="11" t="s">
        <v>33</v>
      </c>
      <c r="I5695" s="16">
        <v>4.0</v>
      </c>
      <c r="J5695" s="11" t="s">
        <v>1439</v>
      </c>
      <c r="K5695" s="11" t="s">
        <v>61</v>
      </c>
      <c r="L5695" s="11" t="s">
        <v>41</v>
      </c>
      <c r="M5695" s="11" t="s">
        <v>49</v>
      </c>
      <c r="N5695" s="11" t="s">
        <v>73</v>
      </c>
      <c r="O5695" s="11" t="s">
        <v>467</v>
      </c>
      <c r="P5695" s="11" t="s">
        <v>99</v>
      </c>
      <c r="Q5695" s="20">
        <v>40801.0</v>
      </c>
      <c r="R5695" s="17">
        <f t="shared" si="2"/>
        <v>31.87298405</v>
      </c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>
        <f t="shared" si="8"/>
        <v>3</v>
      </c>
      <c r="AF5695" s="19">
        <f t="shared" si="13"/>
        <v>4</v>
      </c>
      <c r="AG5695" s="9"/>
      <c r="AH5695" s="9"/>
      <c r="AI5695" s="9"/>
    </row>
    <row r="5696" ht="15.0" customHeight="1">
      <c r="A5696" s="11">
        <v>5695.0</v>
      </c>
      <c r="B5696" s="12">
        <f t="shared" si="914"/>
        <v>40801</v>
      </c>
      <c r="C5696" s="13">
        <v>2011.0</v>
      </c>
      <c r="D5696" s="11" t="s">
        <v>23</v>
      </c>
      <c r="E5696" s="11">
        <v>10.0</v>
      </c>
      <c r="F5696" s="21" t="s">
        <v>569</v>
      </c>
      <c r="G5696" s="15">
        <v>0.09212171584245271</v>
      </c>
      <c r="H5696" s="11" t="s">
        <v>33</v>
      </c>
      <c r="I5696" s="16">
        <v>7.192</v>
      </c>
      <c r="J5696" s="11" t="s">
        <v>1439</v>
      </c>
      <c r="K5696" s="11" t="s">
        <v>61</v>
      </c>
      <c r="L5696" s="11" t="s">
        <v>41</v>
      </c>
      <c r="M5696" s="11" t="s">
        <v>66</v>
      </c>
      <c r="N5696" s="11" t="s">
        <v>80</v>
      </c>
      <c r="O5696" s="11" t="s">
        <v>755</v>
      </c>
      <c r="P5696" s="11" t="s">
        <v>38</v>
      </c>
      <c r="Q5696" s="20">
        <v>40801.0</v>
      </c>
      <c r="R5696" s="17">
        <f t="shared" si="2"/>
        <v>181.1289807</v>
      </c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>
        <f t="shared" si="8"/>
        <v>3</v>
      </c>
      <c r="AF5696" s="19">
        <f t="shared" si="13"/>
        <v>4</v>
      </c>
      <c r="AG5696" s="9"/>
      <c r="AH5696" s="9"/>
      <c r="AI5696" s="9"/>
    </row>
    <row r="5697" ht="15.0" customHeight="1">
      <c r="A5697" s="11">
        <v>5696.0</v>
      </c>
      <c r="B5697" s="12">
        <f t="shared" si="914"/>
        <v>40801</v>
      </c>
      <c r="C5697" s="13">
        <v>2011.0</v>
      </c>
      <c r="D5697" s="11" t="s">
        <v>23</v>
      </c>
      <c r="E5697" s="11">
        <v>36.0</v>
      </c>
      <c r="F5697" s="21" t="s">
        <v>144</v>
      </c>
      <c r="G5697" s="15">
        <v>0.111160220994475</v>
      </c>
      <c r="H5697" s="11" t="s">
        <v>33</v>
      </c>
      <c r="I5697" s="16">
        <v>4.84</v>
      </c>
      <c r="J5697" s="11" t="s">
        <v>855</v>
      </c>
      <c r="K5697" s="11" t="s">
        <v>26</v>
      </c>
      <c r="L5697" s="11" t="s">
        <v>36</v>
      </c>
      <c r="M5697" s="11" t="s">
        <v>28</v>
      </c>
      <c r="N5697" s="11" t="s">
        <v>42</v>
      </c>
      <c r="O5697" s="11" t="s">
        <v>542</v>
      </c>
      <c r="P5697" s="11" t="s">
        <v>38</v>
      </c>
      <c r="Q5697" s="20">
        <v>40802.0</v>
      </c>
      <c r="R5697" s="17">
        <f t="shared" si="2"/>
        <v>8.941728177</v>
      </c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>
        <f t="shared" si="8"/>
        <v>2</v>
      </c>
      <c r="AF5697" s="19">
        <f t="shared" si="13"/>
        <v>1</v>
      </c>
      <c r="AG5697" s="9"/>
      <c r="AH5697" s="9"/>
      <c r="AI5697" s="9"/>
    </row>
    <row r="5698" ht="15.0" customHeight="1">
      <c r="A5698" s="11">
        <v>5697.0</v>
      </c>
      <c r="B5698" s="12">
        <f t="shared" si="914"/>
        <v>40801</v>
      </c>
      <c r="C5698" s="13">
        <v>2011.0</v>
      </c>
      <c r="D5698" s="11" t="s">
        <v>44</v>
      </c>
      <c r="E5698" s="11">
        <v>18.0</v>
      </c>
      <c r="F5698" s="21" t="s">
        <v>518</v>
      </c>
      <c r="G5698" s="15">
        <v>0.06227100215406717</v>
      </c>
      <c r="H5698" s="11" t="s">
        <v>33</v>
      </c>
      <c r="I5698" s="16">
        <v>15.991999999999999</v>
      </c>
      <c r="J5698" s="11" t="s">
        <v>2099</v>
      </c>
      <c r="K5698" s="11" t="s">
        <v>83</v>
      </c>
      <c r="L5698" s="11" t="s">
        <v>48</v>
      </c>
      <c r="M5698" s="11" t="s">
        <v>66</v>
      </c>
      <c r="N5698" s="11" t="s">
        <v>67</v>
      </c>
      <c r="O5698" s="11" t="s">
        <v>712</v>
      </c>
      <c r="P5698" s="11" t="s">
        <v>38</v>
      </c>
      <c r="Q5698" s="20">
        <v>40802.0</v>
      </c>
      <c r="R5698" s="17">
        <f t="shared" si="2"/>
        <v>56.927652</v>
      </c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>
        <f t="shared" si="8"/>
        <v>4</v>
      </c>
      <c r="AF5698" s="19" t="b">
        <f t="shared" si="13"/>
        <v>0</v>
      </c>
      <c r="AG5698" s="9"/>
      <c r="AH5698" s="9"/>
      <c r="AI5698" s="9"/>
    </row>
    <row r="5699" ht="15.0" customHeight="1">
      <c r="A5699" s="11">
        <v>5698.0</v>
      </c>
      <c r="B5699" s="12">
        <f t="shared" si="914"/>
        <v>40801</v>
      </c>
      <c r="C5699" s="13">
        <v>2011.0</v>
      </c>
      <c r="D5699" s="11" t="s">
        <v>102</v>
      </c>
      <c r="E5699" s="11">
        <v>8.0</v>
      </c>
      <c r="F5699" s="21" t="s">
        <v>270</v>
      </c>
      <c r="G5699" s="15">
        <v>0.09495780590717295</v>
      </c>
      <c r="H5699" s="11" t="s">
        <v>33</v>
      </c>
      <c r="I5699" s="16">
        <v>15.991999999999999</v>
      </c>
      <c r="J5699" s="11" t="s">
        <v>1086</v>
      </c>
      <c r="K5699" s="11" t="s">
        <v>61</v>
      </c>
      <c r="L5699" s="11" t="s">
        <v>41</v>
      </c>
      <c r="M5699" s="11" t="s">
        <v>28</v>
      </c>
      <c r="N5699" s="11" t="s">
        <v>56</v>
      </c>
      <c r="O5699" s="11" t="s">
        <v>1306</v>
      </c>
      <c r="P5699" s="11" t="s">
        <v>38</v>
      </c>
      <c r="Q5699" s="20">
        <v>40802.0</v>
      </c>
      <c r="R5699" s="17">
        <f t="shared" si="2"/>
        <v>32.58875932</v>
      </c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>
        <f t="shared" si="8"/>
        <v>3</v>
      </c>
      <c r="AF5699" s="19">
        <f t="shared" si="13"/>
        <v>4</v>
      </c>
      <c r="AG5699" s="9"/>
      <c r="AH5699" s="9"/>
      <c r="AI5699" s="9"/>
    </row>
    <row r="5700" ht="15.0" customHeight="1">
      <c r="A5700" s="11">
        <v>5699.0</v>
      </c>
      <c r="B5700" s="12">
        <f t="shared" si="914"/>
        <v>40801</v>
      </c>
      <c r="C5700" s="13">
        <v>2011.0</v>
      </c>
      <c r="D5700" s="11" t="s">
        <v>102</v>
      </c>
      <c r="E5700" s="11">
        <v>18.0</v>
      </c>
      <c r="F5700" s="21" t="s">
        <v>413</v>
      </c>
      <c r="G5700" s="15">
        <v>0.103511755877939</v>
      </c>
      <c r="H5700" s="11" t="s">
        <v>33</v>
      </c>
      <c r="I5700" s="16">
        <v>4.608</v>
      </c>
      <c r="J5700" s="11" t="s">
        <v>1086</v>
      </c>
      <c r="K5700" s="11" t="s">
        <v>61</v>
      </c>
      <c r="L5700" s="11" t="s">
        <v>41</v>
      </c>
      <c r="M5700" s="11" t="s">
        <v>28</v>
      </c>
      <c r="N5700" s="11" t="s">
        <v>236</v>
      </c>
      <c r="O5700" s="11" t="s">
        <v>809</v>
      </c>
      <c r="P5700" s="11" t="s">
        <v>38</v>
      </c>
      <c r="Q5700" s="20">
        <v>40802.0</v>
      </c>
      <c r="R5700" s="17">
        <f t="shared" si="2"/>
        <v>18.55013475</v>
      </c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>
        <f t="shared" si="8"/>
        <v>3</v>
      </c>
      <c r="AF5700" s="19">
        <f t="shared" si="13"/>
        <v>4</v>
      </c>
      <c r="AG5700" s="9"/>
      <c r="AH5700" s="9"/>
      <c r="AI5700" s="9"/>
    </row>
    <row r="5701" ht="15.0" customHeight="1">
      <c r="A5701" s="11">
        <v>5700.0</v>
      </c>
      <c r="B5701" s="12">
        <f t="shared" si="914"/>
        <v>40801</v>
      </c>
      <c r="C5701" s="13">
        <v>2011.0</v>
      </c>
      <c r="D5701" s="11" t="s">
        <v>102</v>
      </c>
      <c r="E5701" s="11">
        <v>39.0</v>
      </c>
      <c r="F5701" s="21" t="s">
        <v>372</v>
      </c>
      <c r="G5701" s="15">
        <v>0.06934216468463039</v>
      </c>
      <c r="H5701" s="11" t="s">
        <v>33</v>
      </c>
      <c r="I5701" s="16">
        <v>5.936</v>
      </c>
      <c r="J5701" s="11" t="s">
        <v>1086</v>
      </c>
      <c r="K5701" s="11" t="s">
        <v>61</v>
      </c>
      <c r="L5701" s="11" t="s">
        <v>41</v>
      </c>
      <c r="M5701" s="11" t="s">
        <v>28</v>
      </c>
      <c r="N5701" s="11" t="s">
        <v>442</v>
      </c>
      <c r="O5701" s="11" t="s">
        <v>1678</v>
      </c>
      <c r="P5701" s="11" t="s">
        <v>99</v>
      </c>
      <c r="Q5701" s="20">
        <v>40802.0</v>
      </c>
      <c r="R5701" s="17">
        <f t="shared" si="2"/>
        <v>42.86982253</v>
      </c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>
        <f t="shared" si="8"/>
        <v>3</v>
      </c>
      <c r="AF5701" s="19">
        <f t="shared" si="13"/>
        <v>4</v>
      </c>
      <c r="AG5701" s="9"/>
      <c r="AH5701" s="9"/>
      <c r="AI5701" s="9"/>
    </row>
    <row r="5702" ht="15.0" customHeight="1">
      <c r="A5702" s="11">
        <v>5701.0</v>
      </c>
      <c r="B5702" s="12">
        <f t="shared" si="914"/>
        <v>40801</v>
      </c>
      <c r="C5702" s="13">
        <v>2011.0</v>
      </c>
      <c r="D5702" s="11" t="s">
        <v>39</v>
      </c>
      <c r="E5702" s="11">
        <v>34.0</v>
      </c>
      <c r="F5702" s="21" t="s">
        <v>629</v>
      </c>
      <c r="G5702" s="15">
        <v>0.03462618595825436</v>
      </c>
      <c r="H5702" s="11" t="s">
        <v>33</v>
      </c>
      <c r="I5702" s="16">
        <v>6.176</v>
      </c>
      <c r="J5702" s="11" t="s">
        <v>2064</v>
      </c>
      <c r="K5702" s="11" t="s">
        <v>61</v>
      </c>
      <c r="L5702" s="11" t="s">
        <v>41</v>
      </c>
      <c r="M5702" s="11" t="s">
        <v>28</v>
      </c>
      <c r="N5702" s="11" t="s">
        <v>42</v>
      </c>
      <c r="O5702" s="11" t="s">
        <v>1822</v>
      </c>
      <c r="P5702" s="11" t="s">
        <v>38</v>
      </c>
      <c r="Q5702" s="20">
        <v>40802.0</v>
      </c>
      <c r="R5702" s="17">
        <f t="shared" si="2"/>
        <v>8.808070679</v>
      </c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>
        <f t="shared" si="8"/>
        <v>3</v>
      </c>
      <c r="AF5702" s="19">
        <f t="shared" si="13"/>
        <v>4</v>
      </c>
      <c r="AG5702" s="9"/>
      <c r="AH5702" s="9"/>
      <c r="AI5702" s="9"/>
    </row>
    <row r="5703" ht="15.0" customHeight="1">
      <c r="A5703" s="11">
        <v>5702.0</v>
      </c>
      <c r="B5703" s="12">
        <f t="shared" si="914"/>
        <v>40801</v>
      </c>
      <c r="C5703" s="13">
        <v>2011.0</v>
      </c>
      <c r="D5703" s="11" t="s">
        <v>39</v>
      </c>
      <c r="E5703" s="11">
        <v>15.0</v>
      </c>
      <c r="F5703" s="21" t="s">
        <v>558</v>
      </c>
      <c r="G5703" s="15">
        <v>0.02714162780368654</v>
      </c>
      <c r="H5703" s="11" t="s">
        <v>33</v>
      </c>
      <c r="I5703" s="16">
        <v>1.592</v>
      </c>
      <c r="J5703" s="11" t="s">
        <v>2064</v>
      </c>
      <c r="K5703" s="11" t="s">
        <v>61</v>
      </c>
      <c r="L5703" s="11" t="s">
        <v>41</v>
      </c>
      <c r="M5703" s="11" t="s">
        <v>66</v>
      </c>
      <c r="N5703" s="11" t="s">
        <v>67</v>
      </c>
      <c r="O5703" s="11" t="s">
        <v>559</v>
      </c>
      <c r="P5703" s="11" t="s">
        <v>99</v>
      </c>
      <c r="Q5703" s="20">
        <v>40803.0</v>
      </c>
      <c r="R5703" s="17">
        <f t="shared" si="2"/>
        <v>12.1755171</v>
      </c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>
        <f t="shared" si="8"/>
        <v>3</v>
      </c>
      <c r="AF5703" s="19">
        <f t="shared" si="13"/>
        <v>4</v>
      </c>
      <c r="AG5703" s="9"/>
      <c r="AH5703" s="9"/>
      <c r="AI5703" s="9"/>
    </row>
    <row r="5704" ht="15.0" customHeight="1">
      <c r="A5704" s="11">
        <v>5703.0</v>
      </c>
      <c r="B5704" s="12">
        <f t="shared" si="914"/>
        <v>40801</v>
      </c>
      <c r="C5704" s="13">
        <v>2011.0</v>
      </c>
      <c r="D5704" s="11" t="s">
        <v>102</v>
      </c>
      <c r="E5704" s="11">
        <v>38.0</v>
      </c>
      <c r="F5704" s="21" t="s">
        <v>130</v>
      </c>
      <c r="G5704" s="15">
        <v>0.02698503632677189</v>
      </c>
      <c r="H5704" s="11" t="s">
        <v>33</v>
      </c>
      <c r="I5704" s="16">
        <v>5.2</v>
      </c>
      <c r="J5704" s="11" t="s">
        <v>2351</v>
      </c>
      <c r="K5704" s="11" t="s">
        <v>83</v>
      </c>
      <c r="L5704" s="11" t="s">
        <v>48</v>
      </c>
      <c r="M5704" s="11" t="s">
        <v>66</v>
      </c>
      <c r="N5704" s="11" t="s">
        <v>67</v>
      </c>
      <c r="O5704" s="11" t="s">
        <v>1305</v>
      </c>
      <c r="P5704" s="11" t="s">
        <v>38</v>
      </c>
      <c r="Q5704" s="20">
        <v>40803.0</v>
      </c>
      <c r="R5704" s="17">
        <f t="shared" si="2"/>
        <v>31.82615184</v>
      </c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>
        <f t="shared" si="8"/>
        <v>4</v>
      </c>
      <c r="AF5704" s="19" t="b">
        <f t="shared" si="13"/>
        <v>0</v>
      </c>
      <c r="AG5704" s="9"/>
      <c r="AH5704" s="9"/>
      <c r="AI5704" s="9"/>
    </row>
    <row r="5705" ht="15.0" customHeight="1">
      <c r="A5705" s="11">
        <v>5704.0</v>
      </c>
      <c r="B5705" s="12">
        <f t="shared" si="914"/>
        <v>40801</v>
      </c>
      <c r="C5705" s="13">
        <v>2011.0</v>
      </c>
      <c r="D5705" s="11" t="s">
        <v>102</v>
      </c>
      <c r="E5705" s="11">
        <v>37.0</v>
      </c>
      <c r="F5705" s="21" t="s">
        <v>290</v>
      </c>
      <c r="G5705" s="15">
        <v>0.06218053927315344</v>
      </c>
      <c r="H5705" s="11" t="s">
        <v>33</v>
      </c>
      <c r="I5705" s="16">
        <v>4.5920000000000005</v>
      </c>
      <c r="J5705" s="11" t="s">
        <v>2351</v>
      </c>
      <c r="K5705" s="11" t="s">
        <v>83</v>
      </c>
      <c r="L5705" s="11" t="s">
        <v>48</v>
      </c>
      <c r="M5705" s="11" t="s">
        <v>28</v>
      </c>
      <c r="N5705" s="11" t="s">
        <v>56</v>
      </c>
      <c r="O5705" s="11" t="s">
        <v>2234</v>
      </c>
      <c r="P5705" s="11" t="s">
        <v>38</v>
      </c>
      <c r="Q5705" s="20">
        <v>40803.0</v>
      </c>
      <c r="R5705" s="17">
        <f t="shared" si="2"/>
        <v>9.948388839</v>
      </c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>
        <f t="shared" si="8"/>
        <v>4</v>
      </c>
      <c r="AF5705" s="19" t="b">
        <f t="shared" si="13"/>
        <v>0</v>
      </c>
      <c r="AG5705" s="9"/>
      <c r="AH5705" s="9"/>
      <c r="AI5705" s="9"/>
    </row>
    <row r="5706" ht="15.0" customHeight="1">
      <c r="A5706" s="11">
        <v>5705.0</v>
      </c>
      <c r="B5706" s="12">
        <f t="shared" si="914"/>
        <v>40801</v>
      </c>
      <c r="C5706" s="13">
        <v>2011.0</v>
      </c>
      <c r="D5706" s="11" t="s">
        <v>102</v>
      </c>
      <c r="E5706" s="11">
        <v>23.0</v>
      </c>
      <c r="F5706" s="21" t="s">
        <v>178</v>
      </c>
      <c r="G5706" s="15">
        <v>0.09272119402985074</v>
      </c>
      <c r="H5706" s="11" t="s">
        <v>33</v>
      </c>
      <c r="I5706" s="16">
        <v>3.9920000000000004</v>
      </c>
      <c r="J5706" s="11" t="s">
        <v>2351</v>
      </c>
      <c r="K5706" s="11" t="s">
        <v>83</v>
      </c>
      <c r="L5706" s="11" t="s">
        <v>48</v>
      </c>
      <c r="M5706" s="11" t="s">
        <v>66</v>
      </c>
      <c r="N5706" s="11" t="s">
        <v>80</v>
      </c>
      <c r="O5706" s="11" t="s">
        <v>1614</v>
      </c>
      <c r="P5706" s="11" t="s">
        <v>38</v>
      </c>
      <c r="Q5706" s="20">
        <v>40803.0</v>
      </c>
      <c r="R5706" s="17">
        <f t="shared" si="2"/>
        <v>140.9076568</v>
      </c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>
        <f t="shared" si="8"/>
        <v>4</v>
      </c>
      <c r="AF5706" s="19" t="b">
        <f t="shared" si="13"/>
        <v>0</v>
      </c>
      <c r="AG5706" s="9"/>
      <c r="AH5706" s="9"/>
      <c r="AI5706" s="9"/>
    </row>
    <row r="5707" ht="15.0" customHeight="1">
      <c r="A5707" s="11">
        <v>5706.0</v>
      </c>
      <c r="B5707" s="12">
        <f t="shared" si="914"/>
        <v>40801</v>
      </c>
      <c r="C5707" s="13">
        <v>2011.0</v>
      </c>
      <c r="D5707" s="11" t="s">
        <v>102</v>
      </c>
      <c r="E5707" s="11">
        <v>20.0</v>
      </c>
      <c r="F5707" s="21" t="s">
        <v>694</v>
      </c>
      <c r="G5707" s="15">
        <v>0.02205598216497398</v>
      </c>
      <c r="H5707" s="11" t="s">
        <v>24</v>
      </c>
      <c r="I5707" s="16">
        <v>1.592</v>
      </c>
      <c r="J5707" s="11" t="s">
        <v>120</v>
      </c>
      <c r="K5707" s="11" t="s">
        <v>35</v>
      </c>
      <c r="L5707" s="11" t="s">
        <v>48</v>
      </c>
      <c r="M5707" s="11" t="s">
        <v>66</v>
      </c>
      <c r="N5707" s="11" t="s">
        <v>67</v>
      </c>
      <c r="O5707" s="11" t="s">
        <v>695</v>
      </c>
      <c r="P5707" s="11" t="s">
        <v>99</v>
      </c>
      <c r="Q5707" s="20">
        <v>40803.0</v>
      </c>
      <c r="R5707" s="17">
        <f t="shared" si="2"/>
        <v>17.41522707</v>
      </c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>
        <f t="shared" si="8"/>
        <v>4</v>
      </c>
      <c r="AF5707" s="19">
        <f t="shared" si="13"/>
        <v>2</v>
      </c>
      <c r="AG5707" s="9"/>
      <c r="AH5707" s="9"/>
      <c r="AI5707" s="9"/>
    </row>
    <row r="5708" ht="15.0" customHeight="1">
      <c r="A5708" s="11">
        <v>5707.0</v>
      </c>
      <c r="B5708" s="12">
        <f t="shared" si="914"/>
        <v>40801</v>
      </c>
      <c r="C5708" s="13">
        <v>2011.0</v>
      </c>
      <c r="D5708" s="11" t="s">
        <v>102</v>
      </c>
      <c r="E5708" s="11">
        <v>25.0</v>
      </c>
      <c r="F5708" s="21" t="s">
        <v>1071</v>
      </c>
      <c r="G5708" s="15">
        <v>0.045888628120332675</v>
      </c>
      <c r="H5708" s="11" t="s">
        <v>33</v>
      </c>
      <c r="I5708" s="16">
        <v>7.192</v>
      </c>
      <c r="J5708" s="11" t="s">
        <v>120</v>
      </c>
      <c r="K5708" s="11" t="s">
        <v>35</v>
      </c>
      <c r="L5708" s="11" t="s">
        <v>48</v>
      </c>
      <c r="M5708" s="11" t="s">
        <v>49</v>
      </c>
      <c r="N5708" s="11" t="s">
        <v>73</v>
      </c>
      <c r="O5708" s="11" t="s">
        <v>1073</v>
      </c>
      <c r="P5708" s="11" t="s">
        <v>99</v>
      </c>
      <c r="Q5708" s="20">
        <v>40803.0</v>
      </c>
      <c r="R5708" s="17">
        <f t="shared" si="2"/>
        <v>20.52102739</v>
      </c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>
        <f t="shared" si="8"/>
        <v>4</v>
      </c>
      <c r="AF5708" s="19">
        <f t="shared" si="13"/>
        <v>2</v>
      </c>
      <c r="AG5708" s="9"/>
      <c r="AH5708" s="9"/>
      <c r="AI5708" s="9"/>
    </row>
    <row r="5709" ht="15.0" customHeight="1">
      <c r="A5709" s="11">
        <v>5708.0</v>
      </c>
      <c r="B5709" s="12">
        <f t="shared" si="914"/>
        <v>40801</v>
      </c>
      <c r="C5709" s="13">
        <v>2011.0</v>
      </c>
      <c r="D5709" s="11" t="s">
        <v>102</v>
      </c>
      <c r="E5709" s="11">
        <v>36.0</v>
      </c>
      <c r="F5709" s="21" t="s">
        <v>119</v>
      </c>
      <c r="G5709" s="15">
        <v>0.10821621621621635</v>
      </c>
      <c r="H5709" s="11" t="s">
        <v>33</v>
      </c>
      <c r="I5709" s="16">
        <v>1.192</v>
      </c>
      <c r="J5709" s="11" t="s">
        <v>120</v>
      </c>
      <c r="K5709" s="11" t="s">
        <v>35</v>
      </c>
      <c r="L5709" s="11" t="s">
        <v>48</v>
      </c>
      <c r="M5709" s="11" t="s">
        <v>49</v>
      </c>
      <c r="N5709" s="11" t="s">
        <v>85</v>
      </c>
      <c r="O5709" s="11" t="s">
        <v>1323</v>
      </c>
      <c r="P5709" s="11" t="s">
        <v>87</v>
      </c>
      <c r="Q5709" s="20">
        <v>40803.0</v>
      </c>
      <c r="R5709" s="17">
        <f t="shared" si="2"/>
        <v>7.141404541</v>
      </c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>
        <f t="shared" si="8"/>
        <v>4</v>
      </c>
      <c r="AF5709" s="19">
        <f t="shared" si="13"/>
        <v>2</v>
      </c>
      <c r="AG5709" s="9"/>
      <c r="AH5709" s="9"/>
      <c r="AI5709" s="9"/>
    </row>
    <row r="5710" ht="15.0" customHeight="1">
      <c r="A5710" s="11">
        <v>5709.0</v>
      </c>
      <c r="B5710" s="12">
        <f t="shared" si="914"/>
        <v>40801</v>
      </c>
      <c r="C5710" s="13">
        <v>2011.0</v>
      </c>
      <c r="D5710" s="11" t="s">
        <v>32</v>
      </c>
      <c r="E5710" s="11">
        <v>47.0</v>
      </c>
      <c r="F5710" s="21" t="s">
        <v>758</v>
      </c>
      <c r="G5710" s="15">
        <v>0.026719727117680434</v>
      </c>
      <c r="H5710" s="11" t="s">
        <v>33</v>
      </c>
      <c r="I5710" s="16">
        <v>2.0</v>
      </c>
      <c r="J5710" s="11" t="s">
        <v>2542</v>
      </c>
      <c r="K5710" s="11" t="s">
        <v>61</v>
      </c>
      <c r="L5710" s="11" t="s">
        <v>36</v>
      </c>
      <c r="M5710" s="11" t="s">
        <v>28</v>
      </c>
      <c r="N5710" s="11" t="s">
        <v>236</v>
      </c>
      <c r="O5710" s="11" t="s">
        <v>1171</v>
      </c>
      <c r="P5710" s="11" t="s">
        <v>38</v>
      </c>
      <c r="Q5710" s="20">
        <v>40803.0</v>
      </c>
      <c r="R5710" s="17">
        <f t="shared" si="2"/>
        <v>4.574417283</v>
      </c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>
        <f t="shared" si="8"/>
        <v>2</v>
      </c>
      <c r="AF5710" s="19">
        <f t="shared" si="13"/>
        <v>4</v>
      </c>
      <c r="AG5710" s="9"/>
      <c r="AH5710" s="9"/>
      <c r="AI5710" s="9"/>
    </row>
    <row r="5711" ht="15.0" customHeight="1">
      <c r="A5711" s="11">
        <v>5710.0</v>
      </c>
      <c r="B5711" s="12">
        <f t="shared" si="914"/>
        <v>40801</v>
      </c>
      <c r="C5711" s="13">
        <v>2011.0</v>
      </c>
      <c r="D5711" s="11" t="s">
        <v>32</v>
      </c>
      <c r="E5711" s="11">
        <v>23.0</v>
      </c>
      <c r="F5711" s="21" t="s">
        <v>1659</v>
      </c>
      <c r="G5711" s="15">
        <v>0.030689265536723097</v>
      </c>
      <c r="H5711" s="11" t="s">
        <v>33</v>
      </c>
      <c r="I5711" s="16">
        <v>1.368</v>
      </c>
      <c r="J5711" s="11" t="s">
        <v>1814</v>
      </c>
      <c r="K5711" s="11" t="s">
        <v>35</v>
      </c>
      <c r="L5711" s="11" t="s">
        <v>48</v>
      </c>
      <c r="M5711" s="11" t="s">
        <v>28</v>
      </c>
      <c r="N5711" s="11" t="s">
        <v>56</v>
      </c>
      <c r="O5711" s="11" t="s">
        <v>2342</v>
      </c>
      <c r="P5711" s="11" t="s">
        <v>58</v>
      </c>
      <c r="Q5711" s="20">
        <v>40803.0</v>
      </c>
      <c r="R5711" s="17">
        <f t="shared" si="2"/>
        <v>5.26529591</v>
      </c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>
        <f t="shared" si="8"/>
        <v>4</v>
      </c>
      <c r="AF5711" s="19">
        <f t="shared" si="13"/>
        <v>2</v>
      </c>
      <c r="AG5711" s="9"/>
      <c r="AH5711" s="9"/>
      <c r="AI5711" s="9"/>
    </row>
    <row r="5712" ht="15.0" customHeight="1">
      <c r="A5712" s="11">
        <v>5711.0</v>
      </c>
      <c r="B5712" s="12">
        <f t="shared" si="914"/>
        <v>40801</v>
      </c>
      <c r="C5712" s="13">
        <v>2011.0</v>
      </c>
      <c r="D5712" s="11" t="s">
        <v>32</v>
      </c>
      <c r="E5712" s="11">
        <v>38.0</v>
      </c>
      <c r="F5712" s="21" t="s">
        <v>158</v>
      </c>
      <c r="G5712" s="15">
        <v>0.06540156892043325</v>
      </c>
      <c r="H5712" s="11" t="s">
        <v>33</v>
      </c>
      <c r="I5712" s="16">
        <v>6.992000000000001</v>
      </c>
      <c r="J5712" s="11" t="s">
        <v>1814</v>
      </c>
      <c r="K5712" s="11" t="s">
        <v>35</v>
      </c>
      <c r="L5712" s="11" t="s">
        <v>48</v>
      </c>
      <c r="M5712" s="11" t="s">
        <v>28</v>
      </c>
      <c r="N5712" s="11" t="s">
        <v>56</v>
      </c>
      <c r="O5712" s="11" t="s">
        <v>2047</v>
      </c>
      <c r="P5712" s="11" t="s">
        <v>38</v>
      </c>
      <c r="Q5712" s="20">
        <v>40803.0</v>
      </c>
      <c r="R5712" s="17">
        <f t="shared" si="2"/>
        <v>16.36294933</v>
      </c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>
        <f t="shared" si="8"/>
        <v>4</v>
      </c>
      <c r="AF5712" s="19">
        <f t="shared" si="13"/>
        <v>2</v>
      </c>
      <c r="AG5712" s="9"/>
      <c r="AH5712" s="9"/>
      <c r="AI5712" s="9"/>
    </row>
    <row r="5713" ht="15.0" customHeight="1">
      <c r="A5713" s="11">
        <v>5712.0</v>
      </c>
      <c r="B5713" s="12">
        <f>DATE(2012,12,31)-472</f>
        <v>40802</v>
      </c>
      <c r="C5713" s="13">
        <v>2011.0</v>
      </c>
      <c r="D5713" s="11" t="s">
        <v>39</v>
      </c>
      <c r="E5713" s="11">
        <v>42.0</v>
      </c>
      <c r="F5713" s="21" t="s">
        <v>605</v>
      </c>
      <c r="G5713" s="15">
        <v>0.00872605042016789</v>
      </c>
      <c r="H5713" s="11" t="s">
        <v>33</v>
      </c>
      <c r="I5713" s="16">
        <v>6.008</v>
      </c>
      <c r="J5713" s="11" t="s">
        <v>227</v>
      </c>
      <c r="K5713" s="11" t="s">
        <v>35</v>
      </c>
      <c r="L5713" s="11" t="s">
        <v>48</v>
      </c>
      <c r="M5713" s="11" t="s">
        <v>66</v>
      </c>
      <c r="N5713" s="11" t="s">
        <v>69</v>
      </c>
      <c r="O5713" s="11" t="s">
        <v>607</v>
      </c>
      <c r="P5713" s="11" t="s">
        <v>75</v>
      </c>
      <c r="Q5713" s="20">
        <v>40805.0</v>
      </c>
      <c r="R5713" s="17">
        <f t="shared" si="2"/>
        <v>5.146694346</v>
      </c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>
        <f t="shared" si="8"/>
        <v>4</v>
      </c>
      <c r="AF5713" s="19">
        <f t="shared" si="13"/>
        <v>2</v>
      </c>
      <c r="AG5713" s="9"/>
      <c r="AH5713" s="9"/>
      <c r="AI5713" s="9"/>
    </row>
    <row r="5714" ht="15.0" customHeight="1">
      <c r="A5714" s="11">
        <v>5713.0</v>
      </c>
      <c r="B5714" s="12">
        <f>DATE(2012,12,31)-471</f>
        <v>40803</v>
      </c>
      <c r="C5714" s="13">
        <v>2011.0</v>
      </c>
      <c r="D5714" s="11" t="s">
        <v>102</v>
      </c>
      <c r="E5714" s="11">
        <v>31.0</v>
      </c>
      <c r="F5714" s="21" t="s">
        <v>469</v>
      </c>
      <c r="G5714" s="15">
        <v>0.09683043140734182</v>
      </c>
      <c r="H5714" s="11" t="s">
        <v>45</v>
      </c>
      <c r="I5714" s="16">
        <v>11.488</v>
      </c>
      <c r="J5714" s="11" t="s">
        <v>2253</v>
      </c>
      <c r="K5714" s="11" t="s">
        <v>117</v>
      </c>
      <c r="L5714" s="11" t="s">
        <v>27</v>
      </c>
      <c r="M5714" s="11" t="s">
        <v>49</v>
      </c>
      <c r="N5714" s="11" t="s">
        <v>50</v>
      </c>
      <c r="O5714" s="11" t="s">
        <v>470</v>
      </c>
      <c r="P5714" s="11" t="s">
        <v>52</v>
      </c>
      <c r="Q5714" s="20">
        <v>40805.0</v>
      </c>
      <c r="R5714" s="17">
        <f t="shared" si="2"/>
        <v>78.85754137</v>
      </c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>
        <f t="shared" si="8"/>
        <v>1</v>
      </c>
      <c r="AF5714" s="19" t="b">
        <f t="shared" si="13"/>
        <v>0</v>
      </c>
      <c r="AG5714" s="9"/>
      <c r="AH5714" s="9"/>
      <c r="AI5714" s="9"/>
    </row>
    <row r="5715" ht="15.0" customHeight="1">
      <c r="A5715" s="11">
        <v>5714.0</v>
      </c>
      <c r="B5715" s="12">
        <f>DATE(2012,12,31)-470</f>
        <v>40804</v>
      </c>
      <c r="C5715" s="13">
        <v>2011.0</v>
      </c>
      <c r="D5715" s="11" t="s">
        <v>23</v>
      </c>
      <c r="E5715" s="11">
        <v>48.0</v>
      </c>
      <c r="F5715" s="21" t="s">
        <v>328</v>
      </c>
      <c r="G5715" s="15">
        <v>0.011124128726086108</v>
      </c>
      <c r="H5715" s="11" t="s">
        <v>33</v>
      </c>
      <c r="I5715" s="16">
        <v>11.192</v>
      </c>
      <c r="J5715" s="11" t="s">
        <v>385</v>
      </c>
      <c r="K5715" s="11" t="s">
        <v>35</v>
      </c>
      <c r="L5715" s="11" t="s">
        <v>41</v>
      </c>
      <c r="M5715" s="11" t="s">
        <v>49</v>
      </c>
      <c r="N5715" s="11" t="s">
        <v>73</v>
      </c>
      <c r="O5715" s="11" t="s">
        <v>330</v>
      </c>
      <c r="P5715" s="11" t="s">
        <v>75</v>
      </c>
      <c r="Q5715" s="20">
        <v>40805.0</v>
      </c>
      <c r="R5715" s="17">
        <f t="shared" si="2"/>
        <v>59.34046328</v>
      </c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>
        <f t="shared" si="8"/>
        <v>3</v>
      </c>
      <c r="AF5715" s="19">
        <f t="shared" si="13"/>
        <v>2</v>
      </c>
      <c r="AG5715" s="9"/>
      <c r="AH5715" s="9"/>
      <c r="AI5715" s="9"/>
    </row>
    <row r="5716" ht="15.0" customHeight="1">
      <c r="A5716" s="11">
        <v>5715.0</v>
      </c>
      <c r="B5716" s="12">
        <f t="shared" ref="B5716:B5723" si="915">DATE(2012,12,31)-469</f>
        <v>40805</v>
      </c>
      <c r="C5716" s="13">
        <v>2011.0</v>
      </c>
      <c r="D5716" s="11" t="s">
        <v>32</v>
      </c>
      <c r="E5716" s="11">
        <v>17.0</v>
      </c>
      <c r="F5716" s="21" t="s">
        <v>306</v>
      </c>
      <c r="G5716" s="15">
        <v>0.016974212034384054</v>
      </c>
      <c r="H5716" s="11" t="s">
        <v>24</v>
      </c>
      <c r="I5716" s="16">
        <v>4.776</v>
      </c>
      <c r="J5716" s="11" t="s">
        <v>793</v>
      </c>
      <c r="K5716" s="11" t="s">
        <v>65</v>
      </c>
      <c r="L5716" s="11" t="s">
        <v>36</v>
      </c>
      <c r="M5716" s="11" t="s">
        <v>28</v>
      </c>
      <c r="N5716" s="11" t="s">
        <v>56</v>
      </c>
      <c r="O5716" s="11" t="s">
        <v>1866</v>
      </c>
      <c r="P5716" s="11" t="s">
        <v>38</v>
      </c>
      <c r="Q5716" s="20">
        <v>40806.0</v>
      </c>
      <c r="R5716" s="17">
        <f t="shared" si="2"/>
        <v>5.823444768</v>
      </c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>
        <f t="shared" si="8"/>
        <v>2</v>
      </c>
      <c r="AF5716" s="19">
        <f t="shared" si="13"/>
        <v>5</v>
      </c>
      <c r="AG5716" s="9"/>
      <c r="AH5716" s="9"/>
      <c r="AI5716" s="9"/>
    </row>
    <row r="5717" ht="15.0" customHeight="1">
      <c r="A5717" s="11">
        <v>5716.0</v>
      </c>
      <c r="B5717" s="12">
        <f t="shared" si="915"/>
        <v>40805</v>
      </c>
      <c r="C5717" s="13">
        <v>2011.0</v>
      </c>
      <c r="D5717" s="11" t="s">
        <v>39</v>
      </c>
      <c r="E5717" s="11">
        <v>37.0</v>
      </c>
      <c r="F5717" s="21" t="s">
        <v>221</v>
      </c>
      <c r="G5717" s="15">
        <v>0.09293376983127676</v>
      </c>
      <c r="H5717" s="11" t="s">
        <v>33</v>
      </c>
      <c r="I5717" s="16">
        <v>3.8880000000000003</v>
      </c>
      <c r="J5717" s="11" t="s">
        <v>148</v>
      </c>
      <c r="K5717" s="11" t="s">
        <v>65</v>
      </c>
      <c r="L5717" s="11" t="s">
        <v>48</v>
      </c>
      <c r="M5717" s="11" t="s">
        <v>28</v>
      </c>
      <c r="N5717" s="11" t="s">
        <v>56</v>
      </c>
      <c r="O5717" s="11" t="s">
        <v>2072</v>
      </c>
      <c r="P5717" s="11" t="s">
        <v>58</v>
      </c>
      <c r="Q5717" s="20">
        <v>40807.0</v>
      </c>
      <c r="R5717" s="17">
        <f t="shared" si="2"/>
        <v>100.4231165</v>
      </c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>
        <f t="shared" si="8"/>
        <v>4</v>
      </c>
      <c r="AF5717" s="19">
        <f t="shared" si="13"/>
        <v>5</v>
      </c>
      <c r="AG5717" s="9"/>
      <c r="AH5717" s="9"/>
      <c r="AI5717" s="9"/>
    </row>
    <row r="5718" ht="15.0" customHeight="1">
      <c r="A5718" s="11">
        <v>5717.0</v>
      </c>
      <c r="B5718" s="12">
        <f t="shared" si="915"/>
        <v>40805</v>
      </c>
      <c r="C5718" s="13">
        <v>2011.0</v>
      </c>
      <c r="D5718" s="11" t="s">
        <v>32</v>
      </c>
      <c r="E5718" s="11">
        <v>25.0</v>
      </c>
      <c r="F5718" s="21" t="s">
        <v>280</v>
      </c>
      <c r="G5718" s="15">
        <v>0.0757062840481853</v>
      </c>
      <c r="H5718" s="11" t="s">
        <v>24</v>
      </c>
      <c r="I5718" s="16">
        <v>4.632000000000001</v>
      </c>
      <c r="J5718" s="11" t="s">
        <v>1989</v>
      </c>
      <c r="K5718" s="11" t="s">
        <v>65</v>
      </c>
      <c r="L5718" s="11" t="s">
        <v>36</v>
      </c>
      <c r="M5718" s="11" t="s">
        <v>28</v>
      </c>
      <c r="N5718" s="11" t="s">
        <v>56</v>
      </c>
      <c r="O5718" s="11" t="s">
        <v>1430</v>
      </c>
      <c r="P5718" s="11" t="s">
        <v>38</v>
      </c>
      <c r="Q5718" s="20">
        <v>40807.0</v>
      </c>
      <c r="R5718" s="17">
        <f t="shared" si="2"/>
        <v>91.19821237</v>
      </c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>
        <f t="shared" si="8"/>
        <v>2</v>
      </c>
      <c r="AF5718" s="19">
        <f t="shared" si="13"/>
        <v>5</v>
      </c>
      <c r="AG5718" s="9"/>
      <c r="AH5718" s="9"/>
      <c r="AI5718" s="9"/>
    </row>
    <row r="5719" ht="15.0" customHeight="1">
      <c r="A5719" s="11">
        <v>5718.0</v>
      </c>
      <c r="B5719" s="12">
        <f t="shared" si="915"/>
        <v>40805</v>
      </c>
      <c r="C5719" s="13">
        <v>2011.0</v>
      </c>
      <c r="D5719" s="11" t="s">
        <v>32</v>
      </c>
      <c r="E5719" s="11">
        <v>12.0</v>
      </c>
      <c r="F5719" s="21" t="s">
        <v>1659</v>
      </c>
      <c r="G5719" s="15">
        <v>0.07471400394477311</v>
      </c>
      <c r="H5719" s="11" t="s">
        <v>33</v>
      </c>
      <c r="I5719" s="16">
        <v>5.024000000000001</v>
      </c>
      <c r="J5719" s="11" t="s">
        <v>1816</v>
      </c>
      <c r="K5719" s="11" t="s">
        <v>47</v>
      </c>
      <c r="L5719" s="11" t="s">
        <v>41</v>
      </c>
      <c r="M5719" s="11" t="s">
        <v>28</v>
      </c>
      <c r="N5719" s="11" t="s">
        <v>42</v>
      </c>
      <c r="O5719" s="11" t="s">
        <v>1660</v>
      </c>
      <c r="P5719" s="11" t="s">
        <v>38</v>
      </c>
      <c r="Q5719" s="20">
        <v>40807.0</v>
      </c>
      <c r="R5719" s="17">
        <f t="shared" si="2"/>
        <v>7.009966706</v>
      </c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>
        <f t="shared" si="8"/>
        <v>3</v>
      </c>
      <c r="AF5719" s="19">
        <f t="shared" si="13"/>
        <v>3</v>
      </c>
      <c r="AG5719" s="9"/>
      <c r="AH5719" s="9"/>
      <c r="AI5719" s="9"/>
    </row>
    <row r="5720" ht="15.0" customHeight="1">
      <c r="A5720" s="11">
        <v>5719.0</v>
      </c>
      <c r="B5720" s="12">
        <f t="shared" si="915"/>
        <v>40805</v>
      </c>
      <c r="C5720" s="13">
        <v>2011.0</v>
      </c>
      <c r="D5720" s="11" t="s">
        <v>39</v>
      </c>
      <c r="E5720" s="11">
        <v>41.0</v>
      </c>
      <c r="F5720" s="21" t="s">
        <v>565</v>
      </c>
      <c r="G5720" s="15">
        <v>0.09175036241311364</v>
      </c>
      <c r="H5720" s="11" t="s">
        <v>24</v>
      </c>
      <c r="I5720" s="16">
        <v>15.991999999999999</v>
      </c>
      <c r="J5720" s="11" t="s">
        <v>2165</v>
      </c>
      <c r="K5720" s="11" t="s">
        <v>83</v>
      </c>
      <c r="L5720" s="11" t="s">
        <v>41</v>
      </c>
      <c r="M5720" s="11" t="s">
        <v>28</v>
      </c>
      <c r="N5720" s="11" t="s">
        <v>29</v>
      </c>
      <c r="O5720" s="11" t="s">
        <v>566</v>
      </c>
      <c r="P5720" s="11" t="s">
        <v>38</v>
      </c>
      <c r="Q5720" s="20">
        <v>40807.0</v>
      </c>
      <c r="R5720" s="17">
        <f t="shared" si="2"/>
        <v>672.5661226</v>
      </c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>
        <f t="shared" si="8"/>
        <v>3</v>
      </c>
      <c r="AF5720" s="19" t="b">
        <f t="shared" si="13"/>
        <v>0</v>
      </c>
      <c r="AG5720" s="9"/>
      <c r="AH5720" s="9"/>
      <c r="AI5720" s="9"/>
    </row>
    <row r="5721" ht="15.0" customHeight="1">
      <c r="A5721" s="11">
        <v>5720.0</v>
      </c>
      <c r="B5721" s="12">
        <f t="shared" si="915"/>
        <v>40805</v>
      </c>
      <c r="C5721" s="13">
        <v>2011.0</v>
      </c>
      <c r="D5721" s="11" t="s">
        <v>23</v>
      </c>
      <c r="E5721" s="11">
        <v>46.0</v>
      </c>
      <c r="F5721" s="21" t="s">
        <v>254</v>
      </c>
      <c r="G5721" s="15">
        <v>0.019654159869494293</v>
      </c>
      <c r="H5721" s="11" t="s">
        <v>33</v>
      </c>
      <c r="I5721" s="16">
        <v>7.552</v>
      </c>
      <c r="J5721" s="11" t="s">
        <v>953</v>
      </c>
      <c r="K5721" s="11" t="s">
        <v>65</v>
      </c>
      <c r="L5721" s="11" t="s">
        <v>48</v>
      </c>
      <c r="M5721" s="11" t="s">
        <v>66</v>
      </c>
      <c r="N5721" s="11" t="s">
        <v>69</v>
      </c>
      <c r="O5721" s="11" t="s">
        <v>1348</v>
      </c>
      <c r="P5721" s="11" t="s">
        <v>75</v>
      </c>
      <c r="Q5721" s="20">
        <v>40807.0</v>
      </c>
      <c r="R5721" s="17">
        <f t="shared" si="2"/>
        <v>11.81120668</v>
      </c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>
        <f t="shared" si="8"/>
        <v>4</v>
      </c>
      <c r="AF5721" s="19">
        <f t="shared" si="13"/>
        <v>5</v>
      </c>
      <c r="AG5721" s="9"/>
      <c r="AH5721" s="9"/>
      <c r="AI5721" s="9"/>
    </row>
    <row r="5722" ht="15.0" customHeight="1">
      <c r="A5722" s="11">
        <v>5721.0</v>
      </c>
      <c r="B5722" s="12">
        <f t="shared" si="915"/>
        <v>40805</v>
      </c>
      <c r="C5722" s="13">
        <v>2011.0</v>
      </c>
      <c r="D5722" s="11" t="s">
        <v>23</v>
      </c>
      <c r="E5722" s="11">
        <v>25.0</v>
      </c>
      <c r="F5722" s="21" t="s">
        <v>128</v>
      </c>
      <c r="G5722" s="15">
        <v>0.06652498224011368</v>
      </c>
      <c r="H5722" s="11" t="s">
        <v>33</v>
      </c>
      <c r="I5722" s="16">
        <v>6.152000000000001</v>
      </c>
      <c r="J5722" s="11" t="s">
        <v>953</v>
      </c>
      <c r="K5722" s="11" t="s">
        <v>65</v>
      </c>
      <c r="L5722" s="11" t="s">
        <v>48</v>
      </c>
      <c r="M5722" s="11" t="s">
        <v>66</v>
      </c>
      <c r="N5722" s="11" t="s">
        <v>80</v>
      </c>
      <c r="O5722" s="11" t="s">
        <v>589</v>
      </c>
      <c r="P5722" s="11" t="s">
        <v>38</v>
      </c>
      <c r="Q5722" s="20">
        <v>40807.0</v>
      </c>
      <c r="R5722" s="17">
        <f t="shared" si="2"/>
        <v>209.7966433</v>
      </c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>
        <f t="shared" si="8"/>
        <v>4</v>
      </c>
      <c r="AF5722" s="19">
        <f t="shared" si="13"/>
        <v>5</v>
      </c>
      <c r="AG5722" s="9"/>
      <c r="AH5722" s="9"/>
      <c r="AI5722" s="9"/>
    </row>
    <row r="5723" ht="15.0" customHeight="1">
      <c r="A5723" s="11">
        <v>5722.0</v>
      </c>
      <c r="B5723" s="12">
        <f t="shared" si="915"/>
        <v>40805</v>
      </c>
      <c r="C5723" s="13">
        <v>2011.0</v>
      </c>
      <c r="D5723" s="11" t="s">
        <v>39</v>
      </c>
      <c r="E5723" s="11">
        <v>10.0</v>
      </c>
      <c r="F5723" s="21" t="s">
        <v>128</v>
      </c>
      <c r="G5723" s="15">
        <v>0.030980392156862643</v>
      </c>
      <c r="H5723" s="11" t="s">
        <v>24</v>
      </c>
      <c r="I5723" s="16">
        <v>6.152000000000001</v>
      </c>
      <c r="J5723" s="11" t="s">
        <v>2392</v>
      </c>
      <c r="K5723" s="11" t="s">
        <v>26</v>
      </c>
      <c r="L5723" s="11" t="s">
        <v>48</v>
      </c>
      <c r="M5723" s="11" t="s">
        <v>66</v>
      </c>
      <c r="N5723" s="11" t="s">
        <v>80</v>
      </c>
      <c r="O5723" s="11" t="s">
        <v>589</v>
      </c>
      <c r="P5723" s="11" t="s">
        <v>38</v>
      </c>
      <c r="Q5723" s="20">
        <v>40807.0</v>
      </c>
      <c r="R5723" s="17">
        <f t="shared" si="2"/>
        <v>39.1949051</v>
      </c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>
        <f t="shared" si="8"/>
        <v>4</v>
      </c>
      <c r="AF5723" s="19">
        <f t="shared" si="13"/>
        <v>1</v>
      </c>
      <c r="AG5723" s="9"/>
      <c r="AH5723" s="9"/>
      <c r="AI5723" s="9"/>
    </row>
    <row r="5724" ht="15.0" customHeight="1">
      <c r="A5724" s="11">
        <v>5723.0</v>
      </c>
      <c r="B5724" s="12">
        <f>DATE(2012,12,31)-468</f>
        <v>40806</v>
      </c>
      <c r="C5724" s="13">
        <v>2011.0</v>
      </c>
      <c r="D5724" s="11" t="s">
        <v>102</v>
      </c>
      <c r="E5724" s="11">
        <v>2.0</v>
      </c>
      <c r="F5724" s="21" t="s">
        <v>422</v>
      </c>
      <c r="G5724" s="15">
        <v>0.036058913153885194</v>
      </c>
      <c r="H5724" s="11" t="s">
        <v>33</v>
      </c>
      <c r="I5724" s="16">
        <v>28.0</v>
      </c>
      <c r="J5724" s="11" t="s">
        <v>1831</v>
      </c>
      <c r="K5724" s="11" t="s">
        <v>61</v>
      </c>
      <c r="L5724" s="11" t="s">
        <v>27</v>
      </c>
      <c r="M5724" s="11" t="s">
        <v>28</v>
      </c>
      <c r="N5724" s="11" t="s">
        <v>29</v>
      </c>
      <c r="O5724" s="11" t="s">
        <v>1571</v>
      </c>
      <c r="P5724" s="11" t="s">
        <v>31</v>
      </c>
      <c r="Q5724" s="20">
        <v>40807.0</v>
      </c>
      <c r="R5724" s="17">
        <f t="shared" si="2"/>
        <v>6.843981717</v>
      </c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>
        <f t="shared" si="8"/>
        <v>1</v>
      </c>
      <c r="AF5724" s="19">
        <f t="shared" si="13"/>
        <v>4</v>
      </c>
      <c r="AG5724" s="9"/>
      <c r="AH5724" s="9"/>
      <c r="AI5724" s="9"/>
    </row>
    <row r="5725" ht="15.0" customHeight="1">
      <c r="A5725" s="11">
        <v>5724.0</v>
      </c>
      <c r="B5725" s="12">
        <f>DATE(2012,12,31)-467</f>
        <v>40807</v>
      </c>
      <c r="C5725" s="13">
        <v>2011.0</v>
      </c>
      <c r="D5725" s="11" t="s">
        <v>39</v>
      </c>
      <c r="E5725" s="11">
        <v>29.0</v>
      </c>
      <c r="F5725" s="21" t="s">
        <v>169</v>
      </c>
      <c r="G5725" s="15">
        <v>0.038813649933056076</v>
      </c>
      <c r="H5725" s="11" t="s">
        <v>33</v>
      </c>
      <c r="I5725" s="16">
        <v>19.592</v>
      </c>
      <c r="J5725" s="11" t="s">
        <v>1747</v>
      </c>
      <c r="K5725" s="11" t="s">
        <v>61</v>
      </c>
      <c r="L5725" s="11" t="s">
        <v>36</v>
      </c>
      <c r="M5725" s="11" t="s">
        <v>66</v>
      </c>
      <c r="N5725" s="11" t="s">
        <v>170</v>
      </c>
      <c r="O5725" s="11" t="s">
        <v>672</v>
      </c>
      <c r="P5725" s="11" t="s">
        <v>31</v>
      </c>
      <c r="Q5725" s="20">
        <v>40808.0</v>
      </c>
      <c r="R5725" s="17">
        <f t="shared" si="2"/>
        <v>788.5649711</v>
      </c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>
        <f t="shared" si="8"/>
        <v>2</v>
      </c>
      <c r="AF5725" s="19">
        <f t="shared" si="13"/>
        <v>4</v>
      </c>
      <c r="AG5725" s="9"/>
      <c r="AH5725" s="9"/>
      <c r="AI5725" s="9"/>
    </row>
    <row r="5726" ht="15.0" customHeight="1">
      <c r="A5726" s="11">
        <v>5725.0</v>
      </c>
      <c r="B5726" s="12">
        <f t="shared" ref="B5726:B5735" si="916">DATE(2012,12,31)-466</f>
        <v>40808</v>
      </c>
      <c r="C5726" s="13">
        <v>2011.0</v>
      </c>
      <c r="D5726" s="11" t="s">
        <v>102</v>
      </c>
      <c r="E5726" s="11">
        <v>34.0</v>
      </c>
      <c r="F5726" s="21" t="s">
        <v>158</v>
      </c>
      <c r="G5726" s="15">
        <v>0.05760669456066934</v>
      </c>
      <c r="H5726" s="11" t="s">
        <v>33</v>
      </c>
      <c r="I5726" s="16">
        <v>7.632</v>
      </c>
      <c r="J5726" s="11" t="s">
        <v>1338</v>
      </c>
      <c r="K5726" s="11" t="s">
        <v>61</v>
      </c>
      <c r="L5726" s="11" t="s">
        <v>36</v>
      </c>
      <c r="M5726" s="11" t="s">
        <v>28</v>
      </c>
      <c r="N5726" s="11" t="s">
        <v>56</v>
      </c>
      <c r="O5726" s="11" t="s">
        <v>1474</v>
      </c>
      <c r="P5726" s="11" t="s">
        <v>38</v>
      </c>
      <c r="Q5726" s="20">
        <v>40808.0</v>
      </c>
      <c r="R5726" s="17">
        <f t="shared" si="2"/>
        <v>12.97487103</v>
      </c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>
        <f t="shared" si="8"/>
        <v>2</v>
      </c>
      <c r="AF5726" s="19">
        <f t="shared" si="13"/>
        <v>4</v>
      </c>
      <c r="AG5726" s="9"/>
      <c r="AH5726" s="9"/>
      <c r="AI5726" s="9"/>
    </row>
    <row r="5727" ht="15.0" customHeight="1">
      <c r="A5727" s="11">
        <v>5726.0</v>
      </c>
      <c r="B5727" s="12">
        <f t="shared" si="916"/>
        <v>40808</v>
      </c>
      <c r="C5727" s="13">
        <v>2011.0</v>
      </c>
      <c r="D5727" s="11" t="s">
        <v>102</v>
      </c>
      <c r="E5727" s="11">
        <v>32.0</v>
      </c>
      <c r="F5727" s="21" t="s">
        <v>962</v>
      </c>
      <c r="G5727" s="15">
        <v>0.08746996723698577</v>
      </c>
      <c r="H5727" s="11" t="s">
        <v>24</v>
      </c>
      <c r="I5727" s="16">
        <v>8.544</v>
      </c>
      <c r="J5727" s="11" t="s">
        <v>1338</v>
      </c>
      <c r="K5727" s="11" t="s">
        <v>61</v>
      </c>
      <c r="L5727" s="11" t="s">
        <v>36</v>
      </c>
      <c r="M5727" s="11" t="s">
        <v>28</v>
      </c>
      <c r="N5727" s="11" t="s">
        <v>29</v>
      </c>
      <c r="O5727" s="11" t="s">
        <v>1180</v>
      </c>
      <c r="P5727" s="11" t="s">
        <v>38</v>
      </c>
      <c r="Q5727" s="20">
        <v>40809.0</v>
      </c>
      <c r="R5727" s="17">
        <f t="shared" si="2"/>
        <v>43.85254325</v>
      </c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>
        <f t="shared" si="8"/>
        <v>2</v>
      </c>
      <c r="AF5727" s="19">
        <f t="shared" si="13"/>
        <v>4</v>
      </c>
      <c r="AG5727" s="9"/>
      <c r="AH5727" s="9"/>
      <c r="AI5727" s="9"/>
    </row>
    <row r="5728" ht="15.0" customHeight="1">
      <c r="A5728" s="11">
        <v>5727.0</v>
      </c>
      <c r="B5728" s="12">
        <f t="shared" si="916"/>
        <v>40808</v>
      </c>
      <c r="C5728" s="13">
        <v>2011.0</v>
      </c>
      <c r="D5728" s="11" t="s">
        <v>32</v>
      </c>
      <c r="E5728" s="11">
        <v>21.0</v>
      </c>
      <c r="F5728" s="21" t="s">
        <v>1233</v>
      </c>
      <c r="G5728" s="15">
        <v>0.08297530372017864</v>
      </c>
      <c r="H5728" s="11" t="s">
        <v>33</v>
      </c>
      <c r="I5728" s="16">
        <v>9.096</v>
      </c>
      <c r="J5728" s="11" t="s">
        <v>1414</v>
      </c>
      <c r="K5728" s="11" t="s">
        <v>35</v>
      </c>
      <c r="L5728" s="11" t="s">
        <v>27</v>
      </c>
      <c r="M5728" s="11" t="s">
        <v>28</v>
      </c>
      <c r="N5728" s="11" t="s">
        <v>29</v>
      </c>
      <c r="O5728" s="11" t="s">
        <v>1234</v>
      </c>
      <c r="P5728" s="11" t="s">
        <v>38</v>
      </c>
      <c r="Q5728" s="20">
        <v>40809.0</v>
      </c>
      <c r="R5728" s="17">
        <f t="shared" si="2"/>
        <v>725.2785004</v>
      </c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>
        <f t="shared" si="8"/>
        <v>1</v>
      </c>
      <c r="AF5728" s="19">
        <f t="shared" si="13"/>
        <v>2</v>
      </c>
      <c r="AG5728" s="9"/>
      <c r="AH5728" s="9"/>
      <c r="AI5728" s="9"/>
    </row>
    <row r="5729" ht="15.0" customHeight="1">
      <c r="A5729" s="11">
        <v>5728.0</v>
      </c>
      <c r="B5729" s="12">
        <f t="shared" si="916"/>
        <v>40808</v>
      </c>
      <c r="C5729" s="13">
        <v>2011.0</v>
      </c>
      <c r="D5729" s="11" t="s">
        <v>39</v>
      </c>
      <c r="E5729" s="11">
        <v>48.0</v>
      </c>
      <c r="F5729" s="21" t="s">
        <v>1091</v>
      </c>
      <c r="G5729" s="15">
        <v>0.04173864461701788</v>
      </c>
      <c r="H5729" s="11" t="s">
        <v>33</v>
      </c>
      <c r="I5729" s="16">
        <v>15.991999999999999</v>
      </c>
      <c r="J5729" s="11" t="s">
        <v>1777</v>
      </c>
      <c r="K5729" s="11" t="s">
        <v>83</v>
      </c>
      <c r="L5729" s="11" t="s">
        <v>48</v>
      </c>
      <c r="M5729" s="11" t="s">
        <v>28</v>
      </c>
      <c r="N5729" s="11" t="s">
        <v>56</v>
      </c>
      <c r="O5729" s="11" t="s">
        <v>1943</v>
      </c>
      <c r="P5729" s="11" t="s">
        <v>38</v>
      </c>
      <c r="Q5729" s="20">
        <v>40809.0</v>
      </c>
      <c r="R5729" s="17">
        <f t="shared" si="2"/>
        <v>71.58978934</v>
      </c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>
        <f t="shared" si="8"/>
        <v>4</v>
      </c>
      <c r="AF5729" s="19" t="b">
        <f t="shared" si="13"/>
        <v>0</v>
      </c>
      <c r="AG5729" s="9"/>
      <c r="AH5729" s="9"/>
      <c r="AI5729" s="9"/>
    </row>
    <row r="5730" ht="15.0" customHeight="1">
      <c r="A5730" s="11">
        <v>5729.0</v>
      </c>
      <c r="B5730" s="12">
        <f t="shared" si="916"/>
        <v>40808</v>
      </c>
      <c r="C5730" s="13">
        <v>2011.0</v>
      </c>
      <c r="D5730" s="11" t="s">
        <v>44</v>
      </c>
      <c r="E5730" s="11">
        <v>20.0</v>
      </c>
      <c r="F5730" s="21" t="s">
        <v>705</v>
      </c>
      <c r="G5730" s="15">
        <v>0.042471042471042435</v>
      </c>
      <c r="H5730" s="11" t="s">
        <v>33</v>
      </c>
      <c r="I5730" s="16">
        <v>0.4</v>
      </c>
      <c r="J5730" s="11" t="s">
        <v>793</v>
      </c>
      <c r="K5730" s="11" t="s">
        <v>65</v>
      </c>
      <c r="L5730" s="11" t="s">
        <v>36</v>
      </c>
      <c r="M5730" s="11" t="s">
        <v>28</v>
      </c>
      <c r="N5730" s="11" t="s">
        <v>188</v>
      </c>
      <c r="O5730" s="11" t="s">
        <v>706</v>
      </c>
      <c r="P5730" s="11" t="s">
        <v>38</v>
      </c>
      <c r="Q5730" s="20">
        <v>40809.0</v>
      </c>
      <c r="R5730" s="17">
        <f t="shared" si="2"/>
        <v>3.15984556</v>
      </c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>
        <f t="shared" si="8"/>
        <v>2</v>
      </c>
      <c r="AF5730" s="19">
        <f t="shared" si="13"/>
        <v>5</v>
      </c>
      <c r="AG5730" s="9"/>
      <c r="AH5730" s="9"/>
      <c r="AI5730" s="9"/>
    </row>
    <row r="5731" ht="15.0" customHeight="1">
      <c r="A5731" s="11">
        <v>5730.0</v>
      </c>
      <c r="B5731" s="12">
        <f t="shared" si="916"/>
        <v>40808</v>
      </c>
      <c r="C5731" s="13">
        <v>2011.0</v>
      </c>
      <c r="D5731" s="11" t="s">
        <v>32</v>
      </c>
      <c r="E5731" s="11">
        <v>23.0</v>
      </c>
      <c r="F5731" s="21" t="s">
        <v>740</v>
      </c>
      <c r="G5731" s="15">
        <v>0.057010837009203334</v>
      </c>
      <c r="H5731" s="11" t="s">
        <v>33</v>
      </c>
      <c r="I5731" s="16">
        <v>5.744</v>
      </c>
      <c r="J5731" s="11" t="s">
        <v>307</v>
      </c>
      <c r="K5731" s="11" t="s">
        <v>61</v>
      </c>
      <c r="L5731" s="11" t="s">
        <v>48</v>
      </c>
      <c r="M5731" s="11" t="s">
        <v>66</v>
      </c>
      <c r="N5731" s="11" t="s">
        <v>67</v>
      </c>
      <c r="O5731" s="11" t="s">
        <v>1147</v>
      </c>
      <c r="P5731" s="11" t="s">
        <v>38</v>
      </c>
      <c r="Q5731" s="20">
        <v>40809.0</v>
      </c>
      <c r="R5731" s="17">
        <f t="shared" si="2"/>
        <v>394.8823699</v>
      </c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>
        <f t="shared" si="8"/>
        <v>4</v>
      </c>
      <c r="AF5731" s="19">
        <f t="shared" si="13"/>
        <v>4</v>
      </c>
      <c r="AG5731" s="9"/>
      <c r="AH5731" s="9"/>
      <c r="AI5731" s="9"/>
    </row>
    <row r="5732" ht="15.0" customHeight="1">
      <c r="A5732" s="11">
        <v>5731.0</v>
      </c>
      <c r="B5732" s="12">
        <f t="shared" si="916"/>
        <v>40808</v>
      </c>
      <c r="C5732" s="13">
        <v>2011.0</v>
      </c>
      <c r="D5732" s="11" t="s">
        <v>32</v>
      </c>
      <c r="E5732" s="11">
        <v>19.0</v>
      </c>
      <c r="F5732" s="21" t="s">
        <v>1521</v>
      </c>
      <c r="G5732" s="15">
        <v>0.0950300242749457</v>
      </c>
      <c r="H5732" s="11" t="s">
        <v>45</v>
      </c>
      <c r="I5732" s="16">
        <v>71.44</v>
      </c>
      <c r="J5732" s="11" t="s">
        <v>307</v>
      </c>
      <c r="K5732" s="11" t="s">
        <v>61</v>
      </c>
      <c r="L5732" s="11" t="s">
        <v>48</v>
      </c>
      <c r="M5732" s="11" t="s">
        <v>49</v>
      </c>
      <c r="N5732" s="11" t="s">
        <v>85</v>
      </c>
      <c r="O5732" s="11" t="s">
        <v>1522</v>
      </c>
      <c r="P5732" s="11" t="s">
        <v>87</v>
      </c>
      <c r="Q5732" s="20">
        <v>40809.0</v>
      </c>
      <c r="R5732" s="17">
        <f t="shared" si="2"/>
        <v>134.6233336</v>
      </c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>
        <f t="shared" si="8"/>
        <v>4</v>
      </c>
      <c r="AF5732" s="19">
        <f t="shared" si="13"/>
        <v>4</v>
      </c>
      <c r="AG5732" s="9"/>
      <c r="AH5732" s="9"/>
      <c r="AI5732" s="9"/>
    </row>
    <row r="5733" ht="15.0" customHeight="1">
      <c r="A5733" s="11">
        <v>5732.0</v>
      </c>
      <c r="B5733" s="12">
        <f t="shared" si="916"/>
        <v>40808</v>
      </c>
      <c r="C5733" s="13">
        <v>2011.0</v>
      </c>
      <c r="D5733" s="11" t="s">
        <v>32</v>
      </c>
      <c r="E5733" s="11">
        <v>7.0</v>
      </c>
      <c r="F5733" s="21" t="s">
        <v>372</v>
      </c>
      <c r="G5733" s="15">
        <v>0.0372469635627531</v>
      </c>
      <c r="H5733" s="11" t="s">
        <v>33</v>
      </c>
      <c r="I5733" s="16">
        <v>9.0</v>
      </c>
      <c r="J5733" s="11" t="s">
        <v>1499</v>
      </c>
      <c r="K5733" s="11" t="s">
        <v>117</v>
      </c>
      <c r="L5733" s="11" t="s">
        <v>27</v>
      </c>
      <c r="M5733" s="11" t="s">
        <v>28</v>
      </c>
      <c r="N5733" s="11" t="s">
        <v>29</v>
      </c>
      <c r="O5733" s="11" t="s">
        <v>1741</v>
      </c>
      <c r="P5733" s="11" t="s">
        <v>38</v>
      </c>
      <c r="Q5733" s="20">
        <v>40810.0</v>
      </c>
      <c r="R5733" s="17">
        <f t="shared" si="2"/>
        <v>4.428663968</v>
      </c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>
        <f t="shared" si="8"/>
        <v>1</v>
      </c>
      <c r="AF5733" s="19" t="b">
        <f t="shared" si="13"/>
        <v>0</v>
      </c>
      <c r="AG5733" s="9"/>
      <c r="AH5733" s="9"/>
      <c r="AI5733" s="9"/>
    </row>
    <row r="5734" ht="15.0" customHeight="1">
      <c r="A5734" s="11">
        <v>5733.0</v>
      </c>
      <c r="B5734" s="12">
        <f t="shared" si="916"/>
        <v>40808</v>
      </c>
      <c r="C5734" s="13">
        <v>2011.0</v>
      </c>
      <c r="D5734" s="11" t="s">
        <v>102</v>
      </c>
      <c r="E5734" s="11">
        <v>38.0</v>
      </c>
      <c r="F5734" s="21" t="s">
        <v>264</v>
      </c>
      <c r="G5734" s="15">
        <v>0.10042122100773143</v>
      </c>
      <c r="H5734" s="11" t="s">
        <v>33</v>
      </c>
      <c r="I5734" s="16">
        <v>6.832</v>
      </c>
      <c r="J5734" s="11" t="s">
        <v>1643</v>
      </c>
      <c r="K5734" s="11" t="s">
        <v>83</v>
      </c>
      <c r="L5734" s="11" t="s">
        <v>48</v>
      </c>
      <c r="M5734" s="11" t="s">
        <v>49</v>
      </c>
      <c r="N5734" s="11" t="s">
        <v>73</v>
      </c>
      <c r="O5734" s="11" t="s">
        <v>1838</v>
      </c>
      <c r="P5734" s="11" t="s">
        <v>99</v>
      </c>
      <c r="Q5734" s="20">
        <v>40810.0</v>
      </c>
      <c r="R5734" s="17">
        <f t="shared" si="2"/>
        <v>33.88533345</v>
      </c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>
        <f t="shared" si="8"/>
        <v>4</v>
      </c>
      <c r="AF5734" s="19" t="b">
        <f t="shared" si="13"/>
        <v>0</v>
      </c>
      <c r="AG5734" s="9"/>
      <c r="AH5734" s="9"/>
      <c r="AI5734" s="9"/>
    </row>
    <row r="5735" ht="15.0" customHeight="1">
      <c r="A5735" s="11">
        <v>5734.0</v>
      </c>
      <c r="B5735" s="12">
        <f t="shared" si="916"/>
        <v>40808</v>
      </c>
      <c r="C5735" s="13">
        <v>2011.0</v>
      </c>
      <c r="D5735" s="11" t="s">
        <v>102</v>
      </c>
      <c r="E5735" s="11">
        <v>24.0</v>
      </c>
      <c r="F5735" s="21" t="s">
        <v>336</v>
      </c>
      <c r="G5735" s="15">
        <v>0.09314469453376212</v>
      </c>
      <c r="H5735" s="11" t="s">
        <v>33</v>
      </c>
      <c r="I5735" s="16">
        <v>1.816</v>
      </c>
      <c r="J5735" s="11" t="s">
        <v>1643</v>
      </c>
      <c r="K5735" s="11" t="s">
        <v>83</v>
      </c>
      <c r="L5735" s="11" t="s">
        <v>48</v>
      </c>
      <c r="M5735" s="11" t="s">
        <v>28</v>
      </c>
      <c r="N5735" s="11" t="s">
        <v>62</v>
      </c>
      <c r="O5735" s="11" t="s">
        <v>1391</v>
      </c>
      <c r="P5735" s="11" t="s">
        <v>58</v>
      </c>
      <c r="Q5735" s="20">
        <v>40810.0</v>
      </c>
      <c r="R5735" s="17">
        <f t="shared" si="2"/>
        <v>13.13489224</v>
      </c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>
        <f t="shared" si="8"/>
        <v>4</v>
      </c>
      <c r="AF5735" s="19" t="b">
        <f t="shared" si="13"/>
        <v>0</v>
      </c>
      <c r="AG5735" s="9"/>
      <c r="AH5735" s="9"/>
      <c r="AI5735" s="9"/>
    </row>
    <row r="5736" ht="15.0" customHeight="1">
      <c r="A5736" s="11">
        <v>5735.0</v>
      </c>
      <c r="B5736" s="12">
        <f t="shared" ref="B5736:B5742" si="917">DATE(2012,12,31)-465</f>
        <v>40809</v>
      </c>
      <c r="C5736" s="13">
        <v>2011.0</v>
      </c>
      <c r="D5736" s="11" t="s">
        <v>44</v>
      </c>
      <c r="E5736" s="11">
        <v>47.0</v>
      </c>
      <c r="F5736" s="21" t="s">
        <v>290</v>
      </c>
      <c r="G5736" s="15">
        <v>0.0795359628770301</v>
      </c>
      <c r="H5736" s="11" t="s">
        <v>33</v>
      </c>
      <c r="I5736" s="16">
        <v>0.96</v>
      </c>
      <c r="J5736" s="11" t="s">
        <v>1507</v>
      </c>
      <c r="K5736" s="11" t="s">
        <v>61</v>
      </c>
      <c r="L5736" s="11" t="s">
        <v>36</v>
      </c>
      <c r="M5736" s="11" t="s">
        <v>28</v>
      </c>
      <c r="N5736" s="11" t="s">
        <v>62</v>
      </c>
      <c r="O5736" s="11" t="s">
        <v>63</v>
      </c>
      <c r="P5736" s="11" t="s">
        <v>58</v>
      </c>
      <c r="Q5736" s="20">
        <v>40810.0</v>
      </c>
      <c r="R5736" s="17">
        <f t="shared" si="2"/>
        <v>15.7767536</v>
      </c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>
        <f t="shared" si="8"/>
        <v>2</v>
      </c>
      <c r="AF5736" s="19">
        <f t="shared" si="13"/>
        <v>4</v>
      </c>
      <c r="AG5736" s="9"/>
      <c r="AH5736" s="9"/>
      <c r="AI5736" s="9"/>
    </row>
    <row r="5737" ht="15.0" customHeight="1">
      <c r="A5737" s="11">
        <v>5736.0</v>
      </c>
      <c r="B5737" s="12">
        <f t="shared" si="917"/>
        <v>40809</v>
      </c>
      <c r="C5737" s="13">
        <v>2011.0</v>
      </c>
      <c r="D5737" s="11" t="s">
        <v>44</v>
      </c>
      <c r="E5737" s="11">
        <v>17.0</v>
      </c>
      <c r="F5737" s="21" t="s">
        <v>319</v>
      </c>
      <c r="G5737" s="15">
        <v>0.1101470588235295</v>
      </c>
      <c r="H5737" s="11" t="s">
        <v>33</v>
      </c>
      <c r="I5737" s="16">
        <v>0.808</v>
      </c>
      <c r="J5737" s="11" t="s">
        <v>1507</v>
      </c>
      <c r="K5737" s="11" t="s">
        <v>61</v>
      </c>
      <c r="L5737" s="11" t="s">
        <v>36</v>
      </c>
      <c r="M5737" s="11" t="s">
        <v>28</v>
      </c>
      <c r="N5737" s="11" t="s">
        <v>62</v>
      </c>
      <c r="O5737" s="11" t="s">
        <v>568</v>
      </c>
      <c r="P5737" s="11" t="s">
        <v>58</v>
      </c>
      <c r="Q5737" s="20">
        <v>40810.0</v>
      </c>
      <c r="R5737" s="17">
        <f t="shared" si="2"/>
        <v>5.331998824</v>
      </c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>
        <f t="shared" si="8"/>
        <v>2</v>
      </c>
      <c r="AF5737" s="19">
        <f t="shared" si="13"/>
        <v>4</v>
      </c>
      <c r="AG5737" s="9"/>
      <c r="AH5737" s="9"/>
      <c r="AI5737" s="9"/>
    </row>
    <row r="5738" ht="15.0" customHeight="1">
      <c r="A5738" s="11">
        <v>5737.0</v>
      </c>
      <c r="B5738" s="12">
        <f t="shared" si="917"/>
        <v>40809</v>
      </c>
      <c r="C5738" s="13">
        <v>2011.0</v>
      </c>
      <c r="D5738" s="11" t="s">
        <v>23</v>
      </c>
      <c r="E5738" s="11">
        <v>7.0</v>
      </c>
      <c r="F5738" s="21" t="s">
        <v>130</v>
      </c>
      <c r="G5738" s="15">
        <v>0.005437245129134649</v>
      </c>
      <c r="H5738" s="11" t="s">
        <v>33</v>
      </c>
      <c r="I5738" s="16">
        <v>3.2</v>
      </c>
      <c r="J5738" s="11" t="s">
        <v>2514</v>
      </c>
      <c r="K5738" s="11" t="s">
        <v>83</v>
      </c>
      <c r="L5738" s="11" t="s">
        <v>27</v>
      </c>
      <c r="M5738" s="11" t="s">
        <v>66</v>
      </c>
      <c r="N5738" s="11" t="s">
        <v>67</v>
      </c>
      <c r="O5738" s="11" t="s">
        <v>1926</v>
      </c>
      <c r="P5738" s="11" t="s">
        <v>38</v>
      </c>
      <c r="Q5738" s="20">
        <v>40811.0</v>
      </c>
      <c r="R5738" s="17">
        <f t="shared" si="2"/>
        <v>1.193475306</v>
      </c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>
        <f t="shared" si="8"/>
        <v>1</v>
      </c>
      <c r="AF5738" s="19" t="b">
        <f t="shared" si="13"/>
        <v>0</v>
      </c>
      <c r="AG5738" s="9"/>
      <c r="AH5738" s="9"/>
      <c r="AI5738" s="9"/>
    </row>
    <row r="5739" ht="15.0" customHeight="1">
      <c r="A5739" s="11">
        <v>5738.0</v>
      </c>
      <c r="B5739" s="12">
        <f t="shared" si="917"/>
        <v>40809</v>
      </c>
      <c r="C5739" s="13">
        <v>2011.0</v>
      </c>
      <c r="D5739" s="11" t="s">
        <v>23</v>
      </c>
      <c r="E5739" s="11">
        <v>41.0</v>
      </c>
      <c r="F5739" s="21" t="s">
        <v>1071</v>
      </c>
      <c r="G5739" s="15">
        <v>0.006283065175893029</v>
      </c>
      <c r="H5739" s="11" t="s">
        <v>33</v>
      </c>
      <c r="I5739" s="16">
        <v>7.192</v>
      </c>
      <c r="J5739" s="11" t="s">
        <v>2514</v>
      </c>
      <c r="K5739" s="11" t="s">
        <v>83</v>
      </c>
      <c r="L5739" s="11" t="s">
        <v>27</v>
      </c>
      <c r="M5739" s="11" t="s">
        <v>49</v>
      </c>
      <c r="N5739" s="11" t="s">
        <v>73</v>
      </c>
      <c r="O5739" s="11" t="s">
        <v>1073</v>
      </c>
      <c r="P5739" s="11" t="s">
        <v>99</v>
      </c>
      <c r="Q5739" s="20">
        <v>40811.0</v>
      </c>
      <c r="R5739" s="17">
        <f t="shared" si="2"/>
        <v>4.579047636</v>
      </c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>
        <f t="shared" si="8"/>
        <v>1</v>
      </c>
      <c r="AF5739" s="19" t="b">
        <f t="shared" si="13"/>
        <v>0</v>
      </c>
      <c r="AG5739" s="9"/>
      <c r="AH5739" s="9"/>
      <c r="AI5739" s="9"/>
    </row>
    <row r="5740" ht="15.0" customHeight="1">
      <c r="A5740" s="11">
        <v>5739.0</v>
      </c>
      <c r="B5740" s="12">
        <f t="shared" si="917"/>
        <v>40809</v>
      </c>
      <c r="C5740" s="13">
        <v>2011.0</v>
      </c>
      <c r="D5740" s="11" t="s">
        <v>23</v>
      </c>
      <c r="E5740" s="11">
        <v>37.0</v>
      </c>
      <c r="F5740" s="21" t="s">
        <v>336</v>
      </c>
      <c r="G5740" s="15">
        <v>0.07847328244274816</v>
      </c>
      <c r="H5740" s="11" t="s">
        <v>33</v>
      </c>
      <c r="I5740" s="16">
        <v>2.696</v>
      </c>
      <c r="J5740" s="11" t="s">
        <v>2514</v>
      </c>
      <c r="K5740" s="11" t="s">
        <v>83</v>
      </c>
      <c r="L5740" s="11" t="s">
        <v>27</v>
      </c>
      <c r="M5740" s="11" t="s">
        <v>28</v>
      </c>
      <c r="N5740" s="11" t="s">
        <v>216</v>
      </c>
      <c r="O5740" s="11" t="s">
        <v>557</v>
      </c>
      <c r="P5740" s="11" t="s">
        <v>58</v>
      </c>
      <c r="Q5740" s="20">
        <v>40811.0</v>
      </c>
      <c r="R5740" s="17">
        <f t="shared" si="2"/>
        <v>17.05193038</v>
      </c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>
        <f t="shared" si="8"/>
        <v>1</v>
      </c>
      <c r="AF5740" s="19" t="b">
        <f t="shared" si="13"/>
        <v>0</v>
      </c>
      <c r="AG5740" s="9"/>
      <c r="AH5740" s="9"/>
      <c r="AI5740" s="9"/>
    </row>
    <row r="5741" ht="15.0" customHeight="1">
      <c r="A5741" s="11">
        <v>5740.0</v>
      </c>
      <c r="B5741" s="12">
        <f t="shared" si="917"/>
        <v>40809</v>
      </c>
      <c r="C5741" s="13">
        <v>2011.0</v>
      </c>
      <c r="D5741" s="11" t="s">
        <v>23</v>
      </c>
      <c r="E5741" s="11">
        <v>8.0</v>
      </c>
      <c r="F5741" s="21" t="s">
        <v>2274</v>
      </c>
      <c r="G5741" s="15">
        <v>0.01989728265944553</v>
      </c>
      <c r="H5741" s="11" t="s">
        <v>33</v>
      </c>
      <c r="I5741" s="16">
        <v>0.792</v>
      </c>
      <c r="J5741" s="11" t="s">
        <v>973</v>
      </c>
      <c r="K5741" s="11" t="s">
        <v>61</v>
      </c>
      <c r="L5741" s="11" t="s">
        <v>27</v>
      </c>
      <c r="M5741" s="11" t="s">
        <v>28</v>
      </c>
      <c r="N5741" s="11" t="s">
        <v>197</v>
      </c>
      <c r="O5741" s="11" t="s">
        <v>2275</v>
      </c>
      <c r="P5741" s="11" t="s">
        <v>38</v>
      </c>
      <c r="Q5741" s="20">
        <v>40811.0</v>
      </c>
      <c r="R5741" s="17">
        <f t="shared" si="2"/>
        <v>20.8840287</v>
      </c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>
        <f t="shared" si="8"/>
        <v>1</v>
      </c>
      <c r="AF5741" s="19">
        <f t="shared" si="13"/>
        <v>4</v>
      </c>
      <c r="AG5741" s="9"/>
      <c r="AH5741" s="9"/>
      <c r="AI5741" s="9"/>
    </row>
    <row r="5742" ht="15.0" customHeight="1">
      <c r="A5742" s="11">
        <v>5741.0</v>
      </c>
      <c r="B5742" s="12">
        <f t="shared" si="917"/>
        <v>40809</v>
      </c>
      <c r="C5742" s="13">
        <v>2011.0</v>
      </c>
      <c r="D5742" s="11" t="s">
        <v>23</v>
      </c>
      <c r="E5742" s="11">
        <v>14.0</v>
      </c>
      <c r="F5742" s="21" t="s">
        <v>158</v>
      </c>
      <c r="G5742" s="15">
        <v>0.10718808193668529</v>
      </c>
      <c r="H5742" s="11" t="s">
        <v>33</v>
      </c>
      <c r="I5742" s="16">
        <v>6.288</v>
      </c>
      <c r="J5742" s="11" t="s">
        <v>973</v>
      </c>
      <c r="K5742" s="11" t="s">
        <v>61</v>
      </c>
      <c r="L5742" s="11" t="s">
        <v>27</v>
      </c>
      <c r="M5742" s="11" t="s">
        <v>28</v>
      </c>
      <c r="N5742" s="11" t="s">
        <v>56</v>
      </c>
      <c r="O5742" s="11" t="s">
        <v>1285</v>
      </c>
      <c r="P5742" s="11" t="s">
        <v>38</v>
      </c>
      <c r="Q5742" s="20">
        <v>40811.0</v>
      </c>
      <c r="R5742" s="17">
        <f t="shared" si="2"/>
        <v>10.2780508</v>
      </c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>
        <f t="shared" si="8"/>
        <v>1</v>
      </c>
      <c r="AF5742" s="19">
        <f t="shared" si="13"/>
        <v>4</v>
      </c>
      <c r="AG5742" s="9"/>
      <c r="AH5742" s="9"/>
      <c r="AI5742" s="9"/>
    </row>
    <row r="5743" ht="15.0" customHeight="1">
      <c r="A5743" s="11">
        <v>5742.0</v>
      </c>
      <c r="B5743" s="12">
        <f t="shared" ref="B5743:B5750" si="918">DATE(2012,12,31)-464</f>
        <v>40810</v>
      </c>
      <c r="C5743" s="13">
        <v>2011.0</v>
      </c>
      <c r="D5743" s="11" t="s">
        <v>39</v>
      </c>
      <c r="E5743" s="11">
        <v>18.0</v>
      </c>
      <c r="F5743" s="21" t="s">
        <v>277</v>
      </c>
      <c r="G5743" s="15">
        <v>0.0723456790123456</v>
      </c>
      <c r="H5743" s="11" t="s">
        <v>24</v>
      </c>
      <c r="I5743" s="16">
        <v>1.2560000000000002</v>
      </c>
      <c r="J5743" s="11" t="s">
        <v>465</v>
      </c>
      <c r="K5743" s="11" t="s">
        <v>61</v>
      </c>
      <c r="L5743" s="11" t="s">
        <v>41</v>
      </c>
      <c r="M5743" s="11" t="s">
        <v>28</v>
      </c>
      <c r="N5743" s="11" t="s">
        <v>62</v>
      </c>
      <c r="O5743" s="11" t="s">
        <v>355</v>
      </c>
      <c r="P5743" s="11" t="s">
        <v>58</v>
      </c>
      <c r="Q5743" s="20">
        <v>40812.0</v>
      </c>
      <c r="R5743" s="17">
        <f t="shared" si="2"/>
        <v>2.174421728</v>
      </c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>
        <f t="shared" si="8"/>
        <v>3</v>
      </c>
      <c r="AF5743" s="19">
        <f t="shared" si="13"/>
        <v>4</v>
      </c>
      <c r="AG5743" s="9"/>
      <c r="AH5743" s="9"/>
      <c r="AI5743" s="9"/>
    </row>
    <row r="5744" ht="15.0" customHeight="1">
      <c r="A5744" s="11">
        <v>5743.0</v>
      </c>
      <c r="B5744" s="12">
        <f t="shared" si="918"/>
        <v>40810</v>
      </c>
      <c r="C5744" s="13">
        <v>2011.0</v>
      </c>
      <c r="D5744" s="11" t="s">
        <v>39</v>
      </c>
      <c r="E5744" s="11">
        <v>39.0</v>
      </c>
      <c r="F5744" s="21" t="s">
        <v>140</v>
      </c>
      <c r="G5744" s="15">
        <v>0.024761235955056252</v>
      </c>
      <c r="H5744" s="11" t="s">
        <v>33</v>
      </c>
      <c r="I5744" s="16">
        <v>11.192</v>
      </c>
      <c r="J5744" s="11" t="s">
        <v>465</v>
      </c>
      <c r="K5744" s="11" t="s">
        <v>61</v>
      </c>
      <c r="L5744" s="11" t="s">
        <v>41</v>
      </c>
      <c r="M5744" s="11" t="s">
        <v>28</v>
      </c>
      <c r="N5744" s="11" t="s">
        <v>29</v>
      </c>
      <c r="O5744" s="11" t="s">
        <v>141</v>
      </c>
      <c r="P5744" s="11" t="s">
        <v>75</v>
      </c>
      <c r="Q5744" s="20">
        <v>40812.0</v>
      </c>
      <c r="R5744" s="17">
        <f t="shared" si="2"/>
        <v>27.50953506</v>
      </c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>
        <f t="shared" si="8"/>
        <v>3</v>
      </c>
      <c r="AF5744" s="19">
        <f t="shared" si="13"/>
        <v>4</v>
      </c>
      <c r="AG5744" s="9"/>
      <c r="AH5744" s="9"/>
      <c r="AI5744" s="9"/>
    </row>
    <row r="5745" ht="15.0" customHeight="1">
      <c r="A5745" s="11">
        <v>5744.0</v>
      </c>
      <c r="B5745" s="12">
        <f t="shared" si="918"/>
        <v>40810</v>
      </c>
      <c r="C5745" s="13">
        <v>2011.0</v>
      </c>
      <c r="D5745" s="11" t="s">
        <v>44</v>
      </c>
      <c r="E5745" s="11">
        <v>41.0</v>
      </c>
      <c r="F5745" s="21" t="s">
        <v>397</v>
      </c>
      <c r="G5745" s="15">
        <v>0.05921631000578362</v>
      </c>
      <c r="H5745" s="11" t="s">
        <v>33</v>
      </c>
      <c r="I5745" s="16">
        <v>1.592</v>
      </c>
      <c r="J5745" s="11" t="s">
        <v>1108</v>
      </c>
      <c r="K5745" s="11" t="s">
        <v>47</v>
      </c>
      <c r="L5745" s="11" t="s">
        <v>27</v>
      </c>
      <c r="M5745" s="11" t="s">
        <v>66</v>
      </c>
      <c r="N5745" s="11" t="s">
        <v>67</v>
      </c>
      <c r="O5745" s="11" t="s">
        <v>502</v>
      </c>
      <c r="P5745" s="11" t="s">
        <v>99</v>
      </c>
      <c r="Q5745" s="20">
        <v>40812.0</v>
      </c>
      <c r="R5745" s="17">
        <f t="shared" si="2"/>
        <v>77.05771048</v>
      </c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>
        <f t="shared" si="8"/>
        <v>1</v>
      </c>
      <c r="AF5745" s="19">
        <f t="shared" si="13"/>
        <v>3</v>
      </c>
      <c r="AG5745" s="9"/>
      <c r="AH5745" s="9"/>
      <c r="AI5745" s="9"/>
    </row>
    <row r="5746" ht="15.0" customHeight="1">
      <c r="A5746" s="11">
        <v>5745.0</v>
      </c>
      <c r="B5746" s="12">
        <f t="shared" si="918"/>
        <v>40810</v>
      </c>
      <c r="C5746" s="13">
        <v>2011.0</v>
      </c>
      <c r="D5746" s="11" t="s">
        <v>44</v>
      </c>
      <c r="E5746" s="11">
        <v>3.0</v>
      </c>
      <c r="F5746" s="21" t="s">
        <v>126</v>
      </c>
      <c r="G5746" s="15">
        <v>0.11298578199052134</v>
      </c>
      <c r="H5746" s="11" t="s">
        <v>33</v>
      </c>
      <c r="I5746" s="16">
        <v>4.016</v>
      </c>
      <c r="J5746" s="11" t="s">
        <v>1108</v>
      </c>
      <c r="K5746" s="11" t="s">
        <v>47</v>
      </c>
      <c r="L5746" s="11" t="s">
        <v>27</v>
      </c>
      <c r="M5746" s="11" t="s">
        <v>28</v>
      </c>
      <c r="N5746" s="11" t="s">
        <v>56</v>
      </c>
      <c r="O5746" s="11" t="s">
        <v>1766</v>
      </c>
      <c r="P5746" s="11" t="s">
        <v>38</v>
      </c>
      <c r="Q5746" s="20">
        <v>40812.0</v>
      </c>
      <c r="R5746" s="17">
        <f t="shared" si="2"/>
        <v>2.114641896</v>
      </c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>
        <f t="shared" si="8"/>
        <v>1</v>
      </c>
      <c r="AF5746" s="19">
        <f t="shared" si="13"/>
        <v>3</v>
      </c>
      <c r="AG5746" s="9"/>
      <c r="AH5746" s="9"/>
      <c r="AI5746" s="9"/>
    </row>
    <row r="5747" ht="15.0" customHeight="1">
      <c r="A5747" s="11">
        <v>5746.0</v>
      </c>
      <c r="B5747" s="12">
        <f t="shared" si="918"/>
        <v>40810</v>
      </c>
      <c r="C5747" s="13">
        <v>2011.0</v>
      </c>
      <c r="D5747" s="11" t="s">
        <v>44</v>
      </c>
      <c r="E5747" s="11">
        <v>35.0</v>
      </c>
      <c r="F5747" s="21" t="s">
        <v>1265</v>
      </c>
      <c r="G5747" s="15">
        <v>0.06425132854016873</v>
      </c>
      <c r="H5747" s="11" t="s">
        <v>33</v>
      </c>
      <c r="I5747" s="16">
        <v>7.192</v>
      </c>
      <c r="J5747" s="11" t="s">
        <v>1108</v>
      </c>
      <c r="K5747" s="11" t="s">
        <v>47</v>
      </c>
      <c r="L5747" s="11" t="s">
        <v>27</v>
      </c>
      <c r="M5747" s="11" t="s">
        <v>28</v>
      </c>
      <c r="N5747" s="11" t="s">
        <v>62</v>
      </c>
      <c r="O5747" s="11" t="s">
        <v>2317</v>
      </c>
      <c r="P5747" s="11" t="s">
        <v>99</v>
      </c>
      <c r="Q5747" s="20">
        <v>40812.0</v>
      </c>
      <c r="R5747" s="17">
        <f t="shared" si="2"/>
        <v>38.46675639</v>
      </c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>
        <f t="shared" si="8"/>
        <v>1</v>
      </c>
      <c r="AF5747" s="19">
        <f t="shared" si="13"/>
        <v>3</v>
      </c>
      <c r="AG5747" s="9"/>
      <c r="AH5747" s="9"/>
      <c r="AI5747" s="9"/>
    </row>
    <row r="5748" ht="15.0" customHeight="1">
      <c r="A5748" s="11">
        <v>5747.0</v>
      </c>
      <c r="B5748" s="12">
        <f t="shared" si="918"/>
        <v>40810</v>
      </c>
      <c r="C5748" s="13">
        <v>2011.0</v>
      </c>
      <c r="D5748" s="11" t="s">
        <v>44</v>
      </c>
      <c r="E5748" s="11">
        <v>19.0</v>
      </c>
      <c r="F5748" s="21" t="s">
        <v>1726</v>
      </c>
      <c r="G5748" s="15">
        <v>0.027081209846800007</v>
      </c>
      <c r="H5748" s="11" t="s">
        <v>33</v>
      </c>
      <c r="I5748" s="16">
        <v>55.2</v>
      </c>
      <c r="J5748" s="11" t="s">
        <v>1108</v>
      </c>
      <c r="K5748" s="11" t="s">
        <v>47</v>
      </c>
      <c r="L5748" s="11" t="s">
        <v>27</v>
      </c>
      <c r="M5748" s="11" t="s">
        <v>49</v>
      </c>
      <c r="N5748" s="11" t="s">
        <v>85</v>
      </c>
      <c r="O5748" s="11" t="s">
        <v>1727</v>
      </c>
      <c r="P5748" s="11" t="s">
        <v>31</v>
      </c>
      <c r="Q5748" s="20">
        <v>40812.0</v>
      </c>
      <c r="R5748" s="17">
        <f t="shared" si="2"/>
        <v>109.18873</v>
      </c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>
        <f t="shared" si="8"/>
        <v>1</v>
      </c>
      <c r="AF5748" s="19">
        <f t="shared" si="13"/>
        <v>3</v>
      </c>
      <c r="AG5748" s="9"/>
      <c r="AH5748" s="9"/>
      <c r="AI5748" s="9"/>
    </row>
    <row r="5749" ht="15.0" customHeight="1">
      <c r="A5749" s="11">
        <v>5748.0</v>
      </c>
      <c r="B5749" s="12">
        <f t="shared" si="918"/>
        <v>40810</v>
      </c>
      <c r="C5749" s="13">
        <v>2011.0</v>
      </c>
      <c r="D5749" s="11" t="s">
        <v>23</v>
      </c>
      <c r="E5749" s="11">
        <v>7.0</v>
      </c>
      <c r="F5749" s="21" t="s">
        <v>619</v>
      </c>
      <c r="G5749" s="15">
        <v>0.0216477511559479</v>
      </c>
      <c r="H5749" s="11" t="s">
        <v>33</v>
      </c>
      <c r="I5749" s="16">
        <v>39.2</v>
      </c>
      <c r="J5749" s="11" t="s">
        <v>1685</v>
      </c>
      <c r="K5749" s="11" t="s">
        <v>61</v>
      </c>
      <c r="L5749" s="11" t="s">
        <v>41</v>
      </c>
      <c r="M5749" s="11" t="s">
        <v>28</v>
      </c>
      <c r="N5749" s="11" t="s">
        <v>197</v>
      </c>
      <c r="O5749" s="11" t="s">
        <v>620</v>
      </c>
      <c r="P5749" s="11" t="s">
        <v>31</v>
      </c>
      <c r="Q5749" s="20">
        <v>40812.0</v>
      </c>
      <c r="R5749" s="17">
        <f t="shared" si="2"/>
        <v>10.07702816</v>
      </c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>
        <f t="shared" si="8"/>
        <v>3</v>
      </c>
      <c r="AF5749" s="19">
        <f t="shared" si="13"/>
        <v>4</v>
      </c>
      <c r="AG5749" s="9"/>
      <c r="AH5749" s="9"/>
      <c r="AI5749" s="9"/>
    </row>
    <row r="5750" ht="15.0" customHeight="1">
      <c r="A5750" s="11">
        <v>5749.0</v>
      </c>
      <c r="B5750" s="12">
        <f t="shared" si="918"/>
        <v>40810</v>
      </c>
      <c r="C5750" s="13">
        <v>2011.0</v>
      </c>
      <c r="D5750" s="11" t="s">
        <v>39</v>
      </c>
      <c r="E5750" s="11">
        <v>28.0</v>
      </c>
      <c r="F5750" s="21" t="s">
        <v>473</v>
      </c>
      <c r="G5750" s="15">
        <v>0.027326809894680976</v>
      </c>
      <c r="H5750" s="11" t="s">
        <v>33</v>
      </c>
      <c r="I5750" s="16">
        <v>8.200000000000001</v>
      </c>
      <c r="J5750" s="11" t="s">
        <v>2478</v>
      </c>
      <c r="K5750" s="11" t="s">
        <v>65</v>
      </c>
      <c r="L5750" s="11" t="s">
        <v>41</v>
      </c>
      <c r="M5750" s="11" t="s">
        <v>66</v>
      </c>
      <c r="N5750" s="11" t="s">
        <v>67</v>
      </c>
      <c r="O5750" s="11" t="s">
        <v>2008</v>
      </c>
      <c r="P5750" s="11" t="s">
        <v>38</v>
      </c>
      <c r="Q5750" s="20">
        <v>40813.0</v>
      </c>
      <c r="R5750" s="17">
        <f t="shared" si="2"/>
        <v>30.75359186</v>
      </c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>
        <f t="shared" si="8"/>
        <v>3</v>
      </c>
      <c r="AF5750" s="19">
        <f t="shared" si="13"/>
        <v>5</v>
      </c>
      <c r="AG5750" s="9"/>
      <c r="AH5750" s="9"/>
      <c r="AI5750" s="9"/>
    </row>
    <row r="5751" ht="15.0" customHeight="1">
      <c r="A5751" s="11">
        <v>5750.0</v>
      </c>
      <c r="B5751" s="12">
        <f t="shared" ref="B5751:B5754" si="919">DATE(2012,12,31)-463</f>
        <v>40811</v>
      </c>
      <c r="C5751" s="13">
        <v>2011.0</v>
      </c>
      <c r="D5751" s="11" t="s">
        <v>32</v>
      </c>
      <c r="E5751" s="11">
        <v>23.0</v>
      </c>
      <c r="F5751" s="21" t="s">
        <v>654</v>
      </c>
      <c r="G5751" s="15">
        <v>0.010916784550095393</v>
      </c>
      <c r="H5751" s="11" t="s">
        <v>45</v>
      </c>
      <c r="I5751" s="16">
        <v>32.152</v>
      </c>
      <c r="J5751" s="11" t="s">
        <v>2069</v>
      </c>
      <c r="K5751" s="11" t="s">
        <v>35</v>
      </c>
      <c r="L5751" s="11" t="s">
        <v>48</v>
      </c>
      <c r="M5751" s="11" t="s">
        <v>49</v>
      </c>
      <c r="N5751" s="11" t="s">
        <v>85</v>
      </c>
      <c r="O5751" s="11" t="s">
        <v>655</v>
      </c>
      <c r="P5751" s="11" t="s">
        <v>87</v>
      </c>
      <c r="Q5751" s="20">
        <v>40813.0</v>
      </c>
      <c r="R5751" s="17">
        <f t="shared" si="2"/>
        <v>87.7791572</v>
      </c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>
        <f t="shared" si="8"/>
        <v>4</v>
      </c>
      <c r="AF5751" s="19">
        <f t="shared" si="13"/>
        <v>2</v>
      </c>
      <c r="AG5751" s="9"/>
      <c r="AH5751" s="9"/>
      <c r="AI5751" s="9"/>
    </row>
    <row r="5752" ht="15.0" customHeight="1">
      <c r="A5752" s="11">
        <v>5751.0</v>
      </c>
      <c r="B5752" s="12">
        <f t="shared" si="919"/>
        <v>40811</v>
      </c>
      <c r="C5752" s="13">
        <v>2011.0</v>
      </c>
      <c r="D5752" s="11" t="s">
        <v>32</v>
      </c>
      <c r="E5752" s="11">
        <v>33.0</v>
      </c>
      <c r="F5752" s="21" t="s">
        <v>569</v>
      </c>
      <c r="G5752" s="15">
        <v>0.08310392243029084</v>
      </c>
      <c r="H5752" s="11" t="s">
        <v>33</v>
      </c>
      <c r="I5752" s="16">
        <v>3.3600000000000003</v>
      </c>
      <c r="J5752" s="11" t="s">
        <v>2069</v>
      </c>
      <c r="K5752" s="11" t="s">
        <v>35</v>
      </c>
      <c r="L5752" s="11" t="s">
        <v>48</v>
      </c>
      <c r="M5752" s="11" t="s">
        <v>66</v>
      </c>
      <c r="N5752" s="11" t="s">
        <v>80</v>
      </c>
      <c r="O5752" s="11" t="s">
        <v>1226</v>
      </c>
      <c r="P5752" s="11" t="s">
        <v>38</v>
      </c>
      <c r="Q5752" s="20">
        <v>40813.0</v>
      </c>
      <c r="R5752" s="17">
        <f t="shared" si="2"/>
        <v>537.5211565</v>
      </c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>
        <f t="shared" si="8"/>
        <v>4</v>
      </c>
      <c r="AF5752" s="19">
        <f t="shared" si="13"/>
        <v>2</v>
      </c>
      <c r="AG5752" s="9"/>
      <c r="AH5752" s="9"/>
      <c r="AI5752" s="9"/>
    </row>
    <row r="5753" ht="15.0" customHeight="1">
      <c r="A5753" s="11">
        <v>5752.0</v>
      </c>
      <c r="B5753" s="12">
        <f t="shared" si="919"/>
        <v>40811</v>
      </c>
      <c r="C5753" s="13">
        <v>2011.0</v>
      </c>
      <c r="D5753" s="11" t="s">
        <v>39</v>
      </c>
      <c r="E5753" s="11">
        <v>36.0</v>
      </c>
      <c r="F5753" s="21" t="s">
        <v>1191</v>
      </c>
      <c r="G5753" s="15">
        <v>0.012350877192982525</v>
      </c>
      <c r="H5753" s="11" t="s">
        <v>33</v>
      </c>
      <c r="I5753" s="16">
        <v>4.08</v>
      </c>
      <c r="J5753" s="11" t="s">
        <v>403</v>
      </c>
      <c r="K5753" s="11" t="s">
        <v>61</v>
      </c>
      <c r="L5753" s="11" t="s">
        <v>41</v>
      </c>
      <c r="M5753" s="11" t="s">
        <v>28</v>
      </c>
      <c r="N5753" s="11" t="s">
        <v>197</v>
      </c>
      <c r="O5753" s="11" t="s">
        <v>1193</v>
      </c>
      <c r="P5753" s="11" t="s">
        <v>75</v>
      </c>
      <c r="Q5753" s="20">
        <v>40814.0</v>
      </c>
      <c r="R5753" s="17">
        <f t="shared" si="2"/>
        <v>20.85914947</v>
      </c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>
        <f t="shared" si="8"/>
        <v>3</v>
      </c>
      <c r="AF5753" s="19">
        <f t="shared" si="13"/>
        <v>4</v>
      </c>
      <c r="AG5753" s="9"/>
      <c r="AH5753" s="9"/>
      <c r="AI5753" s="9"/>
    </row>
    <row r="5754" ht="15.0" customHeight="1">
      <c r="A5754" s="11">
        <v>5753.0</v>
      </c>
      <c r="B5754" s="12">
        <f t="shared" si="919"/>
        <v>40811</v>
      </c>
      <c r="C5754" s="13">
        <v>2011.0</v>
      </c>
      <c r="D5754" s="11" t="s">
        <v>39</v>
      </c>
      <c r="E5754" s="11">
        <v>2.0</v>
      </c>
      <c r="F5754" s="21" t="s">
        <v>869</v>
      </c>
      <c r="G5754" s="15">
        <v>0.0847457627118644</v>
      </c>
      <c r="H5754" s="11" t="s">
        <v>33</v>
      </c>
      <c r="I5754" s="16">
        <v>1.0</v>
      </c>
      <c r="J5754" s="11" t="s">
        <v>403</v>
      </c>
      <c r="K5754" s="11" t="s">
        <v>61</v>
      </c>
      <c r="L5754" s="11" t="s">
        <v>41</v>
      </c>
      <c r="M5754" s="11" t="s">
        <v>66</v>
      </c>
      <c r="N5754" s="11" t="s">
        <v>80</v>
      </c>
      <c r="O5754" s="11" t="s">
        <v>2349</v>
      </c>
      <c r="P5754" s="11" t="s">
        <v>99</v>
      </c>
      <c r="Q5754" s="20">
        <v>40814.0</v>
      </c>
      <c r="R5754" s="17">
        <f t="shared" si="2"/>
        <v>14.6440678</v>
      </c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>
        <f t="shared" si="8"/>
        <v>3</v>
      </c>
      <c r="AF5754" s="19">
        <f t="shared" si="13"/>
        <v>4</v>
      </c>
      <c r="AG5754" s="9"/>
      <c r="AH5754" s="9"/>
      <c r="AI5754" s="9"/>
    </row>
    <row r="5755" ht="15.0" customHeight="1">
      <c r="A5755" s="11">
        <v>5754.0</v>
      </c>
      <c r="B5755" s="12">
        <f t="shared" ref="B5755:B5758" si="920">DATE(2012,12,31)-462</f>
        <v>40812</v>
      </c>
      <c r="C5755" s="13">
        <v>2011.0</v>
      </c>
      <c r="D5755" s="11" t="s">
        <v>32</v>
      </c>
      <c r="E5755" s="11">
        <v>47.0</v>
      </c>
      <c r="F5755" s="21" t="s">
        <v>306</v>
      </c>
      <c r="G5755" s="15">
        <v>0.005210582010582108</v>
      </c>
      <c r="H5755" s="11" t="s">
        <v>33</v>
      </c>
      <c r="I5755" s="16">
        <v>4.776</v>
      </c>
      <c r="J5755" s="11" t="s">
        <v>1386</v>
      </c>
      <c r="K5755" s="11" t="s">
        <v>83</v>
      </c>
      <c r="L5755" s="11" t="s">
        <v>48</v>
      </c>
      <c r="M5755" s="11" t="s">
        <v>28</v>
      </c>
      <c r="N5755" s="11" t="s">
        <v>56</v>
      </c>
      <c r="O5755" s="11" t="s">
        <v>1866</v>
      </c>
      <c r="P5755" s="11" t="s">
        <v>38</v>
      </c>
      <c r="Q5755" s="20">
        <v>40814.0</v>
      </c>
      <c r="R5755" s="17">
        <f t="shared" si="2"/>
        <v>4.898343094</v>
      </c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>
        <f t="shared" si="8"/>
        <v>4</v>
      </c>
      <c r="AF5755" s="19" t="b">
        <f t="shared" si="13"/>
        <v>0</v>
      </c>
      <c r="AG5755" s="9"/>
      <c r="AH5755" s="9"/>
      <c r="AI5755" s="9"/>
    </row>
    <row r="5756" ht="15.0" customHeight="1">
      <c r="A5756" s="11">
        <v>5755.0</v>
      </c>
      <c r="B5756" s="12">
        <f t="shared" si="920"/>
        <v>40812</v>
      </c>
      <c r="C5756" s="13">
        <v>2011.0</v>
      </c>
      <c r="D5756" s="11" t="s">
        <v>32</v>
      </c>
      <c r="E5756" s="11">
        <v>22.0</v>
      </c>
      <c r="F5756" s="21" t="s">
        <v>413</v>
      </c>
      <c r="G5756" s="15">
        <v>0.08318976545842222</v>
      </c>
      <c r="H5756" s="11" t="s">
        <v>33</v>
      </c>
      <c r="I5756" s="16">
        <v>1.592</v>
      </c>
      <c r="J5756" s="11" t="s">
        <v>1292</v>
      </c>
      <c r="K5756" s="11" t="s">
        <v>61</v>
      </c>
      <c r="L5756" s="11" t="s">
        <v>27</v>
      </c>
      <c r="M5756" s="11" t="s">
        <v>66</v>
      </c>
      <c r="N5756" s="11" t="s">
        <v>67</v>
      </c>
      <c r="O5756" s="11" t="s">
        <v>414</v>
      </c>
      <c r="P5756" s="11" t="s">
        <v>99</v>
      </c>
      <c r="Q5756" s="20">
        <v>40814.0</v>
      </c>
      <c r="R5756" s="17">
        <f t="shared" si="2"/>
        <v>17.88513406</v>
      </c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>
        <f t="shared" si="8"/>
        <v>1</v>
      </c>
      <c r="AF5756" s="19">
        <f t="shared" si="13"/>
        <v>4</v>
      </c>
      <c r="AG5756" s="9"/>
      <c r="AH5756" s="9"/>
      <c r="AI5756" s="9"/>
    </row>
    <row r="5757" ht="15.0" customHeight="1">
      <c r="A5757" s="11">
        <v>5756.0</v>
      </c>
      <c r="B5757" s="12">
        <f t="shared" si="920"/>
        <v>40812</v>
      </c>
      <c r="C5757" s="13">
        <v>2011.0</v>
      </c>
      <c r="D5757" s="11" t="s">
        <v>23</v>
      </c>
      <c r="E5757" s="11">
        <v>48.0</v>
      </c>
      <c r="F5757" s="21" t="s">
        <v>316</v>
      </c>
      <c r="G5757" s="15">
        <v>0.012535787321063386</v>
      </c>
      <c r="H5757" s="11" t="s">
        <v>33</v>
      </c>
      <c r="I5757" s="16">
        <v>2.2960000000000003</v>
      </c>
      <c r="J5757" s="11" t="s">
        <v>2301</v>
      </c>
      <c r="K5757" s="11" t="s">
        <v>83</v>
      </c>
      <c r="L5757" s="11" t="s">
        <v>27</v>
      </c>
      <c r="M5757" s="11" t="s">
        <v>28</v>
      </c>
      <c r="N5757" s="11" t="s">
        <v>56</v>
      </c>
      <c r="O5757" s="11" t="s">
        <v>331</v>
      </c>
      <c r="P5757" s="11" t="s">
        <v>58</v>
      </c>
      <c r="Q5757" s="20">
        <v>40814.0</v>
      </c>
      <c r="R5757" s="17">
        <f t="shared" si="2"/>
        <v>4.842524499</v>
      </c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>
        <f t="shared" si="8"/>
        <v>1</v>
      </c>
      <c r="AF5757" s="19" t="b">
        <f t="shared" si="13"/>
        <v>0</v>
      </c>
      <c r="AG5757" s="9"/>
      <c r="AH5757" s="9"/>
      <c r="AI5757" s="9"/>
    </row>
    <row r="5758" ht="15.0" customHeight="1">
      <c r="A5758" s="11">
        <v>5757.0</v>
      </c>
      <c r="B5758" s="12">
        <f t="shared" si="920"/>
        <v>40812</v>
      </c>
      <c r="C5758" s="13">
        <v>2011.0</v>
      </c>
      <c r="D5758" s="11" t="s">
        <v>23</v>
      </c>
      <c r="E5758" s="11">
        <v>28.0</v>
      </c>
      <c r="F5758" s="21" t="s">
        <v>126</v>
      </c>
      <c r="G5758" s="15">
        <v>0.10282083862770011</v>
      </c>
      <c r="H5758" s="11" t="s">
        <v>33</v>
      </c>
      <c r="I5758" s="16">
        <v>4.016</v>
      </c>
      <c r="J5758" s="11" t="s">
        <v>2301</v>
      </c>
      <c r="K5758" s="11" t="s">
        <v>83</v>
      </c>
      <c r="L5758" s="11" t="s">
        <v>27</v>
      </c>
      <c r="M5758" s="11" t="s">
        <v>28</v>
      </c>
      <c r="N5758" s="11" t="s">
        <v>56</v>
      </c>
      <c r="O5758" s="11" t="s">
        <v>1766</v>
      </c>
      <c r="P5758" s="11" t="s">
        <v>38</v>
      </c>
      <c r="Q5758" s="20">
        <v>40814.0</v>
      </c>
      <c r="R5758" s="17">
        <f t="shared" si="2"/>
        <v>14.51994755</v>
      </c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>
        <f t="shared" si="8"/>
        <v>1</v>
      </c>
      <c r="AF5758" s="19" t="b">
        <f t="shared" si="13"/>
        <v>0</v>
      </c>
      <c r="AG5758" s="9"/>
      <c r="AH5758" s="9"/>
      <c r="AI5758" s="9"/>
    </row>
    <row r="5759" ht="15.0" customHeight="1">
      <c r="A5759" s="11">
        <v>5758.0</v>
      </c>
      <c r="B5759" s="12">
        <f t="shared" ref="B5759:B5761" si="921">DATE(2012,12,31)-461</f>
        <v>40813</v>
      </c>
      <c r="C5759" s="13">
        <v>2011.0</v>
      </c>
      <c r="D5759" s="11" t="s">
        <v>32</v>
      </c>
      <c r="E5759" s="11">
        <v>6.0</v>
      </c>
      <c r="F5759" s="21" t="s">
        <v>498</v>
      </c>
      <c r="G5759" s="15">
        <v>0.05893437296946064</v>
      </c>
      <c r="H5759" s="11" t="s">
        <v>33</v>
      </c>
      <c r="I5759" s="16">
        <v>3.9200000000000004</v>
      </c>
      <c r="J5759" s="11" t="s">
        <v>622</v>
      </c>
      <c r="K5759" s="11" t="s">
        <v>65</v>
      </c>
      <c r="L5759" s="11" t="s">
        <v>48</v>
      </c>
      <c r="M5759" s="11" t="s">
        <v>66</v>
      </c>
      <c r="N5759" s="11" t="s">
        <v>80</v>
      </c>
      <c r="O5759" s="11" t="s">
        <v>500</v>
      </c>
      <c r="P5759" s="11" t="s">
        <v>38</v>
      </c>
      <c r="Q5759" s="20">
        <v>40814.0</v>
      </c>
      <c r="R5759" s="17">
        <f t="shared" si="2"/>
        <v>34.14186095</v>
      </c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>
        <f t="shared" si="8"/>
        <v>4</v>
      </c>
      <c r="AF5759" s="19">
        <f t="shared" si="13"/>
        <v>5</v>
      </c>
      <c r="AG5759" s="9"/>
      <c r="AH5759" s="9"/>
      <c r="AI5759" s="9"/>
    </row>
    <row r="5760" ht="15.0" customHeight="1">
      <c r="A5760" s="11">
        <v>5759.0</v>
      </c>
      <c r="B5760" s="12">
        <f t="shared" si="921"/>
        <v>40813</v>
      </c>
      <c r="C5760" s="13">
        <v>2011.0</v>
      </c>
      <c r="D5760" s="11" t="s">
        <v>32</v>
      </c>
      <c r="E5760" s="11">
        <v>43.0</v>
      </c>
      <c r="F5760" s="21" t="s">
        <v>788</v>
      </c>
      <c r="G5760" s="15">
        <v>0.04832099355146888</v>
      </c>
      <c r="H5760" s="11" t="s">
        <v>33</v>
      </c>
      <c r="I5760" s="16">
        <v>7.192</v>
      </c>
      <c r="J5760" s="11" t="s">
        <v>1214</v>
      </c>
      <c r="K5760" s="11" t="s">
        <v>35</v>
      </c>
      <c r="L5760" s="11" t="s">
        <v>27</v>
      </c>
      <c r="M5760" s="11" t="s">
        <v>66</v>
      </c>
      <c r="N5760" s="11" t="s">
        <v>80</v>
      </c>
      <c r="O5760" s="11" t="s">
        <v>996</v>
      </c>
      <c r="P5760" s="11" t="s">
        <v>38</v>
      </c>
      <c r="Q5760" s="20">
        <v>40815.0</v>
      </c>
      <c r="R5760" s="17">
        <f t="shared" si="2"/>
        <v>365.8330235</v>
      </c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>
        <f t="shared" si="8"/>
        <v>1</v>
      </c>
      <c r="AF5760" s="19">
        <f t="shared" si="13"/>
        <v>2</v>
      </c>
      <c r="AG5760" s="9"/>
      <c r="AH5760" s="9"/>
      <c r="AI5760" s="9"/>
    </row>
    <row r="5761" ht="15.0" customHeight="1">
      <c r="A5761" s="11">
        <v>5760.0</v>
      </c>
      <c r="B5761" s="12">
        <f t="shared" si="921"/>
        <v>40813</v>
      </c>
      <c r="C5761" s="13">
        <v>2011.0</v>
      </c>
      <c r="D5761" s="11" t="s">
        <v>39</v>
      </c>
      <c r="E5761" s="11">
        <v>7.0</v>
      </c>
      <c r="F5761" s="21" t="s">
        <v>256</v>
      </c>
      <c r="G5761" s="15">
        <v>0.0807937877480587</v>
      </c>
      <c r="H5761" s="11" t="s">
        <v>33</v>
      </c>
      <c r="I5761" s="16">
        <v>5.736000000000001</v>
      </c>
      <c r="J5761" s="11" t="s">
        <v>370</v>
      </c>
      <c r="K5761" s="11" t="s">
        <v>65</v>
      </c>
      <c r="L5761" s="11" t="s">
        <v>48</v>
      </c>
      <c r="M5761" s="11" t="s">
        <v>28</v>
      </c>
      <c r="N5761" s="11" t="s">
        <v>42</v>
      </c>
      <c r="O5761" s="11" t="s">
        <v>1946</v>
      </c>
      <c r="P5761" s="11" t="s">
        <v>38</v>
      </c>
      <c r="Q5761" s="20">
        <v>40816.0</v>
      </c>
      <c r="R5761" s="17">
        <f t="shared" si="2"/>
        <v>8.607446972</v>
      </c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>
        <f t="shared" si="8"/>
        <v>4</v>
      </c>
      <c r="AF5761" s="19">
        <f t="shared" si="13"/>
        <v>5</v>
      </c>
      <c r="AG5761" s="9"/>
      <c r="AH5761" s="9"/>
      <c r="AI5761" s="9"/>
    </row>
    <row r="5762" ht="15.0" customHeight="1">
      <c r="A5762" s="11">
        <v>5761.0</v>
      </c>
      <c r="B5762" s="12">
        <f t="shared" ref="B5762:B5766" si="922">DATE(2012,12,31)-460</f>
        <v>40814</v>
      </c>
      <c r="C5762" s="13">
        <v>2011.0</v>
      </c>
      <c r="D5762" s="11" t="s">
        <v>44</v>
      </c>
      <c r="E5762" s="11">
        <v>40.0</v>
      </c>
      <c r="F5762" s="21" t="s">
        <v>1223</v>
      </c>
      <c r="G5762" s="15">
        <v>0.09472686044114614</v>
      </c>
      <c r="H5762" s="11" t="s">
        <v>33</v>
      </c>
      <c r="I5762" s="16">
        <v>2.2960000000000003</v>
      </c>
      <c r="J5762" s="11" t="s">
        <v>1349</v>
      </c>
      <c r="K5762" s="11" t="s">
        <v>61</v>
      </c>
      <c r="L5762" s="11" t="s">
        <v>36</v>
      </c>
      <c r="M5762" s="11" t="s">
        <v>28</v>
      </c>
      <c r="N5762" s="11" t="s">
        <v>62</v>
      </c>
      <c r="O5762" s="11" t="s">
        <v>1225</v>
      </c>
      <c r="P5762" s="11" t="s">
        <v>99</v>
      </c>
      <c r="Q5762" s="20">
        <v>40816.0</v>
      </c>
      <c r="R5762" s="17">
        <f t="shared" si="2"/>
        <v>83.19822262</v>
      </c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>
        <f t="shared" si="8"/>
        <v>2</v>
      </c>
      <c r="AF5762" s="19">
        <f t="shared" si="13"/>
        <v>4</v>
      </c>
      <c r="AG5762" s="9"/>
      <c r="AH5762" s="9"/>
      <c r="AI5762" s="9"/>
    </row>
    <row r="5763" ht="15.0" customHeight="1">
      <c r="A5763" s="11">
        <v>5762.0</v>
      </c>
      <c r="B5763" s="12">
        <f t="shared" si="922"/>
        <v>40814</v>
      </c>
      <c r="C5763" s="13">
        <v>2011.0</v>
      </c>
      <c r="D5763" s="11" t="s">
        <v>44</v>
      </c>
      <c r="E5763" s="11">
        <v>49.0</v>
      </c>
      <c r="F5763" s="21" t="s">
        <v>295</v>
      </c>
      <c r="G5763" s="15">
        <v>0.04929492525822796</v>
      </c>
      <c r="H5763" s="11" t="s">
        <v>33</v>
      </c>
      <c r="I5763" s="16">
        <v>15.991999999999999</v>
      </c>
      <c r="J5763" s="11" t="s">
        <v>1349</v>
      </c>
      <c r="K5763" s="11" t="s">
        <v>61</v>
      </c>
      <c r="L5763" s="11" t="s">
        <v>36</v>
      </c>
      <c r="M5763" s="11" t="s">
        <v>28</v>
      </c>
      <c r="N5763" s="11" t="s">
        <v>236</v>
      </c>
      <c r="O5763" s="11" t="s">
        <v>296</v>
      </c>
      <c r="P5763" s="11" t="s">
        <v>38</v>
      </c>
      <c r="Q5763" s="20">
        <v>40816.0</v>
      </c>
      <c r="R5763" s="17">
        <f t="shared" si="2"/>
        <v>219.1451254</v>
      </c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>
        <f t="shared" si="8"/>
        <v>2</v>
      </c>
      <c r="AF5763" s="19">
        <f t="shared" si="13"/>
        <v>4</v>
      </c>
      <c r="AG5763" s="9"/>
      <c r="AH5763" s="9"/>
      <c r="AI5763" s="9"/>
    </row>
    <row r="5764" ht="15.0" customHeight="1">
      <c r="A5764" s="11">
        <v>5763.0</v>
      </c>
      <c r="B5764" s="12">
        <f t="shared" si="922"/>
        <v>40814</v>
      </c>
      <c r="C5764" s="13">
        <v>2011.0</v>
      </c>
      <c r="D5764" s="11" t="s">
        <v>102</v>
      </c>
      <c r="E5764" s="11">
        <v>34.0</v>
      </c>
      <c r="F5764" s="21" t="s">
        <v>869</v>
      </c>
      <c r="G5764" s="15">
        <v>0.011149448616466945</v>
      </c>
      <c r="H5764" s="11" t="s">
        <v>33</v>
      </c>
      <c r="I5764" s="16">
        <v>2.64</v>
      </c>
      <c r="J5764" s="11" t="s">
        <v>1857</v>
      </c>
      <c r="K5764" s="11" t="s">
        <v>61</v>
      </c>
      <c r="L5764" s="11" t="s">
        <v>27</v>
      </c>
      <c r="M5764" s="11" t="s">
        <v>66</v>
      </c>
      <c r="N5764" s="11" t="s">
        <v>80</v>
      </c>
      <c r="O5764" s="11" t="s">
        <v>1608</v>
      </c>
      <c r="P5764" s="11" t="s">
        <v>99</v>
      </c>
      <c r="Q5764" s="20">
        <v>40816.0</v>
      </c>
      <c r="R5764" s="17">
        <f t="shared" si="2"/>
        <v>32.59251417</v>
      </c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>
        <f t="shared" si="8"/>
        <v>1</v>
      </c>
      <c r="AF5764" s="19">
        <f t="shared" si="13"/>
        <v>4</v>
      </c>
      <c r="AG5764" s="9"/>
      <c r="AH5764" s="9"/>
      <c r="AI5764" s="9"/>
    </row>
    <row r="5765" ht="15.0" customHeight="1">
      <c r="A5765" s="11">
        <v>5764.0</v>
      </c>
      <c r="B5765" s="12">
        <f t="shared" si="922"/>
        <v>40814</v>
      </c>
      <c r="C5765" s="13">
        <v>2011.0</v>
      </c>
      <c r="D5765" s="11" t="s">
        <v>44</v>
      </c>
      <c r="E5765" s="11">
        <v>46.0</v>
      </c>
      <c r="F5765" s="21" t="s">
        <v>147</v>
      </c>
      <c r="G5765" s="15">
        <v>0.07035107587768957</v>
      </c>
      <c r="H5765" s="11" t="s">
        <v>33</v>
      </c>
      <c r="I5765" s="16">
        <v>3.8880000000000003</v>
      </c>
      <c r="J5765" s="11" t="s">
        <v>499</v>
      </c>
      <c r="K5765" s="11" t="s">
        <v>83</v>
      </c>
      <c r="L5765" s="11" t="s">
        <v>41</v>
      </c>
      <c r="M5765" s="11" t="s">
        <v>49</v>
      </c>
      <c r="N5765" s="11" t="s">
        <v>73</v>
      </c>
      <c r="O5765" s="11" t="s">
        <v>1119</v>
      </c>
      <c r="P5765" s="11" t="s">
        <v>38</v>
      </c>
      <c r="Q5765" s="20">
        <v>40816.0</v>
      </c>
      <c r="R5765" s="17">
        <f t="shared" si="2"/>
        <v>5.774979117</v>
      </c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>
        <f t="shared" si="8"/>
        <v>3</v>
      </c>
      <c r="AF5765" s="19" t="b">
        <f t="shared" si="13"/>
        <v>0</v>
      </c>
      <c r="AG5765" s="9"/>
      <c r="AH5765" s="9"/>
      <c r="AI5765" s="9"/>
    </row>
    <row r="5766" ht="15.0" customHeight="1">
      <c r="A5766" s="11">
        <v>5765.0</v>
      </c>
      <c r="B5766" s="12">
        <f t="shared" si="922"/>
        <v>40814</v>
      </c>
      <c r="C5766" s="13">
        <v>2011.0</v>
      </c>
      <c r="D5766" s="11" t="s">
        <v>32</v>
      </c>
      <c r="E5766" s="11">
        <v>20.0</v>
      </c>
      <c r="F5766" s="21" t="s">
        <v>2332</v>
      </c>
      <c r="G5766" s="15">
        <v>0.04305003971405881</v>
      </c>
      <c r="H5766" s="11" t="s">
        <v>24</v>
      </c>
      <c r="I5766" s="16">
        <v>4.4</v>
      </c>
      <c r="J5766" s="11" t="s">
        <v>639</v>
      </c>
      <c r="K5766" s="11" t="s">
        <v>35</v>
      </c>
      <c r="L5766" s="11" t="s">
        <v>48</v>
      </c>
      <c r="M5766" s="11" t="s">
        <v>66</v>
      </c>
      <c r="N5766" s="11" t="s">
        <v>67</v>
      </c>
      <c r="O5766" s="11" t="s">
        <v>2333</v>
      </c>
      <c r="P5766" s="11" t="s">
        <v>38</v>
      </c>
      <c r="Q5766" s="20">
        <v>40817.0</v>
      </c>
      <c r="R5766" s="17">
        <f t="shared" si="2"/>
        <v>25.93334392</v>
      </c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>
        <f t="shared" si="8"/>
        <v>4</v>
      </c>
      <c r="AF5766" s="19">
        <f t="shared" si="13"/>
        <v>2</v>
      </c>
      <c r="AG5766" s="9"/>
      <c r="AH5766" s="9"/>
      <c r="AI5766" s="9"/>
    </row>
    <row r="5767" ht="15.0" customHeight="1">
      <c r="A5767" s="11">
        <v>5766.0</v>
      </c>
      <c r="B5767" s="12">
        <f t="shared" ref="B5767:B5773" si="923">DATE(2012,12,31)-459</f>
        <v>40815</v>
      </c>
      <c r="C5767" s="13">
        <v>2011.0</v>
      </c>
      <c r="D5767" s="11" t="s">
        <v>39</v>
      </c>
      <c r="E5767" s="11">
        <v>19.0</v>
      </c>
      <c r="F5767" s="21" t="s">
        <v>306</v>
      </c>
      <c r="G5767" s="15">
        <v>0.07181575757575763</v>
      </c>
      <c r="H5767" s="11" t="s">
        <v>24</v>
      </c>
      <c r="I5767" s="16">
        <v>4.776</v>
      </c>
      <c r="J5767" s="11" t="s">
        <v>689</v>
      </c>
      <c r="K5767" s="11" t="s">
        <v>117</v>
      </c>
      <c r="L5767" s="11" t="s">
        <v>36</v>
      </c>
      <c r="M5767" s="11" t="s">
        <v>28</v>
      </c>
      <c r="N5767" s="11" t="s">
        <v>56</v>
      </c>
      <c r="O5767" s="11" t="s">
        <v>1866</v>
      </c>
      <c r="P5767" s="11" t="s">
        <v>38</v>
      </c>
      <c r="Q5767" s="20">
        <v>40817.0</v>
      </c>
      <c r="R5767" s="17">
        <f t="shared" si="2"/>
        <v>27.49653</v>
      </c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>
        <f t="shared" si="8"/>
        <v>2</v>
      </c>
      <c r="AF5767" s="19" t="b">
        <f t="shared" si="13"/>
        <v>0</v>
      </c>
      <c r="AG5767" s="9"/>
      <c r="AH5767" s="9"/>
      <c r="AI5767" s="9"/>
    </row>
    <row r="5768" ht="15.0" customHeight="1">
      <c r="A5768" s="11">
        <v>5767.0</v>
      </c>
      <c r="B5768" s="12">
        <f t="shared" si="923"/>
        <v>40815</v>
      </c>
      <c r="C5768" s="13">
        <v>2011.0</v>
      </c>
      <c r="D5768" s="11" t="s">
        <v>39</v>
      </c>
      <c r="E5768" s="11">
        <v>24.0</v>
      </c>
      <c r="F5768" s="21" t="s">
        <v>158</v>
      </c>
      <c r="G5768" s="15">
        <v>0.10948545861297534</v>
      </c>
      <c r="H5768" s="11" t="s">
        <v>33</v>
      </c>
      <c r="I5768" s="16">
        <v>5.6240000000000006</v>
      </c>
      <c r="J5768" s="11" t="s">
        <v>689</v>
      </c>
      <c r="K5768" s="11" t="s">
        <v>117</v>
      </c>
      <c r="L5768" s="11" t="s">
        <v>36</v>
      </c>
      <c r="M5768" s="11" t="s">
        <v>28</v>
      </c>
      <c r="N5768" s="11" t="s">
        <v>56</v>
      </c>
      <c r="O5768" s="11" t="s">
        <v>1534</v>
      </c>
      <c r="P5768" s="11" t="s">
        <v>38</v>
      </c>
      <c r="Q5768" s="20">
        <v>40817.0</v>
      </c>
      <c r="R5768" s="17">
        <f t="shared" si="2"/>
        <v>17.43271266</v>
      </c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>
        <f t="shared" si="8"/>
        <v>2</v>
      </c>
      <c r="AF5768" s="19" t="b">
        <f t="shared" si="13"/>
        <v>0</v>
      </c>
      <c r="AG5768" s="9"/>
      <c r="AH5768" s="9"/>
      <c r="AI5768" s="9"/>
    </row>
    <row r="5769" ht="15.0" customHeight="1">
      <c r="A5769" s="11">
        <v>5768.0</v>
      </c>
      <c r="B5769" s="12">
        <f t="shared" si="923"/>
        <v>40815</v>
      </c>
      <c r="C5769" s="13">
        <v>2011.0</v>
      </c>
      <c r="D5769" s="11" t="s">
        <v>32</v>
      </c>
      <c r="E5769" s="11">
        <v>40.0</v>
      </c>
      <c r="F5769" s="21" t="s">
        <v>415</v>
      </c>
      <c r="G5769" s="15">
        <v>0.1059821428571428</v>
      </c>
      <c r="H5769" s="11" t="s">
        <v>33</v>
      </c>
      <c r="I5769" s="16">
        <v>4.208</v>
      </c>
      <c r="J5769" s="11" t="s">
        <v>2475</v>
      </c>
      <c r="K5769" s="11" t="s">
        <v>35</v>
      </c>
      <c r="L5769" s="11" t="s">
        <v>41</v>
      </c>
      <c r="M5769" s="11" t="s">
        <v>28</v>
      </c>
      <c r="N5769" s="11" t="s">
        <v>42</v>
      </c>
      <c r="O5769" s="11" t="s">
        <v>971</v>
      </c>
      <c r="P5769" s="11" t="s">
        <v>38</v>
      </c>
      <c r="Q5769" s="20">
        <v>40817.0</v>
      </c>
      <c r="R5769" s="17">
        <f t="shared" si="2"/>
        <v>16.97918714</v>
      </c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>
        <f t="shared" si="8"/>
        <v>3</v>
      </c>
      <c r="AF5769" s="19">
        <f t="shared" si="13"/>
        <v>2</v>
      </c>
      <c r="AG5769" s="9"/>
      <c r="AH5769" s="9"/>
      <c r="AI5769" s="9"/>
    </row>
    <row r="5770" ht="15.0" customHeight="1">
      <c r="A5770" s="11">
        <v>5769.0</v>
      </c>
      <c r="B5770" s="12">
        <f t="shared" si="923"/>
        <v>40815</v>
      </c>
      <c r="C5770" s="13">
        <v>2011.0</v>
      </c>
      <c r="D5770" s="11" t="s">
        <v>32</v>
      </c>
      <c r="E5770" s="11">
        <v>23.0</v>
      </c>
      <c r="F5770" s="21" t="s">
        <v>1166</v>
      </c>
      <c r="G5770" s="15">
        <v>0.07359322033898302</v>
      </c>
      <c r="H5770" s="11" t="s">
        <v>33</v>
      </c>
      <c r="I5770" s="16">
        <v>1.2160000000000002</v>
      </c>
      <c r="J5770" s="11" t="s">
        <v>2475</v>
      </c>
      <c r="K5770" s="11" t="s">
        <v>35</v>
      </c>
      <c r="L5770" s="11" t="s">
        <v>41</v>
      </c>
      <c r="M5770" s="11" t="s">
        <v>28</v>
      </c>
      <c r="N5770" s="11" t="s">
        <v>56</v>
      </c>
      <c r="O5770" s="11" t="s">
        <v>2334</v>
      </c>
      <c r="P5770" s="11" t="s">
        <v>58</v>
      </c>
      <c r="Q5770" s="20">
        <v>40818.0</v>
      </c>
      <c r="R5770" s="17">
        <f t="shared" si="2"/>
        <v>8.044916475</v>
      </c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>
        <f t="shared" si="8"/>
        <v>3</v>
      </c>
      <c r="AF5770" s="19">
        <f t="shared" si="13"/>
        <v>2</v>
      </c>
      <c r="AG5770" s="9"/>
      <c r="AH5770" s="9"/>
      <c r="AI5770" s="9"/>
    </row>
    <row r="5771" ht="15.0" customHeight="1">
      <c r="A5771" s="11">
        <v>5770.0</v>
      </c>
      <c r="B5771" s="12">
        <f t="shared" si="923"/>
        <v>40815</v>
      </c>
      <c r="C5771" s="13">
        <v>2011.0</v>
      </c>
      <c r="D5771" s="11" t="s">
        <v>39</v>
      </c>
      <c r="E5771" s="11">
        <v>37.0</v>
      </c>
      <c r="F5771" s="21" t="s">
        <v>1432</v>
      </c>
      <c r="G5771" s="15">
        <v>0.04820824092447772</v>
      </c>
      <c r="H5771" s="11" t="s">
        <v>33</v>
      </c>
      <c r="I5771" s="16">
        <v>2.8000000000000003</v>
      </c>
      <c r="J5771" s="11" t="s">
        <v>268</v>
      </c>
      <c r="K5771" s="11" t="s">
        <v>65</v>
      </c>
      <c r="L5771" s="11" t="s">
        <v>48</v>
      </c>
      <c r="M5771" s="11" t="s">
        <v>28</v>
      </c>
      <c r="N5771" s="11" t="s">
        <v>197</v>
      </c>
      <c r="O5771" s="11" t="s">
        <v>1434</v>
      </c>
      <c r="P5771" s="11" t="s">
        <v>38</v>
      </c>
      <c r="Q5771" s="20">
        <v>40818.0</v>
      </c>
      <c r="R5771" s="17">
        <f t="shared" si="2"/>
        <v>78.6179993</v>
      </c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>
        <f t="shared" si="8"/>
        <v>4</v>
      </c>
      <c r="AF5771" s="19">
        <f t="shared" si="13"/>
        <v>5</v>
      </c>
      <c r="AG5771" s="9"/>
      <c r="AH5771" s="9"/>
      <c r="AI5771" s="9"/>
    </row>
    <row r="5772" ht="15.0" customHeight="1">
      <c r="A5772" s="11">
        <v>5771.0</v>
      </c>
      <c r="B5772" s="12">
        <f t="shared" si="923"/>
        <v>40815</v>
      </c>
      <c r="C5772" s="13">
        <v>2011.0</v>
      </c>
      <c r="D5772" s="11" t="s">
        <v>39</v>
      </c>
      <c r="E5772" s="11">
        <v>12.0</v>
      </c>
      <c r="F5772" s="21" t="s">
        <v>135</v>
      </c>
      <c r="G5772" s="15">
        <v>0.07052023121387294</v>
      </c>
      <c r="H5772" s="11" t="s">
        <v>33</v>
      </c>
      <c r="I5772" s="16">
        <v>1.2000000000000002</v>
      </c>
      <c r="J5772" s="11" t="s">
        <v>268</v>
      </c>
      <c r="K5772" s="11" t="s">
        <v>65</v>
      </c>
      <c r="L5772" s="11" t="s">
        <v>48</v>
      </c>
      <c r="M5772" s="11" t="s">
        <v>28</v>
      </c>
      <c r="N5772" s="11" t="s">
        <v>62</v>
      </c>
      <c r="O5772" s="11" t="s">
        <v>978</v>
      </c>
      <c r="P5772" s="11" t="s">
        <v>58</v>
      </c>
      <c r="Q5772" s="20">
        <v>40818.0</v>
      </c>
      <c r="R5772" s="17">
        <f t="shared" si="2"/>
        <v>5.66982659</v>
      </c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>
        <f t="shared" si="8"/>
        <v>4</v>
      </c>
      <c r="AF5772" s="19">
        <f t="shared" si="13"/>
        <v>5</v>
      </c>
      <c r="AG5772" s="9"/>
      <c r="AH5772" s="9"/>
      <c r="AI5772" s="9"/>
    </row>
    <row r="5773" ht="15.0" customHeight="1">
      <c r="A5773" s="11">
        <v>5772.0</v>
      </c>
      <c r="B5773" s="12">
        <f t="shared" si="923"/>
        <v>40815</v>
      </c>
      <c r="C5773" s="13">
        <v>2011.0</v>
      </c>
      <c r="D5773" s="11" t="s">
        <v>39</v>
      </c>
      <c r="E5773" s="11">
        <v>49.0</v>
      </c>
      <c r="F5773" s="21" t="s">
        <v>726</v>
      </c>
      <c r="G5773" s="15">
        <v>0.1414689838893822</v>
      </c>
      <c r="H5773" s="11" t="s">
        <v>33</v>
      </c>
      <c r="I5773" s="16">
        <v>5.48</v>
      </c>
      <c r="J5773" s="11" t="s">
        <v>514</v>
      </c>
      <c r="K5773" s="11" t="s">
        <v>61</v>
      </c>
      <c r="L5773" s="11" t="s">
        <v>36</v>
      </c>
      <c r="M5773" s="11" t="s">
        <v>49</v>
      </c>
      <c r="N5773" s="11" t="s">
        <v>73</v>
      </c>
      <c r="O5773" s="11" t="s">
        <v>1850</v>
      </c>
      <c r="P5773" s="11" t="s">
        <v>58</v>
      </c>
      <c r="Q5773" s="20">
        <v>40818.0</v>
      </c>
      <c r="R5773" s="17">
        <f t="shared" si="2"/>
        <v>95.74337892</v>
      </c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>
        <f t="shared" si="8"/>
        <v>2</v>
      </c>
      <c r="AF5773" s="19">
        <f t="shared" si="13"/>
        <v>4</v>
      </c>
      <c r="AG5773" s="9"/>
      <c r="AH5773" s="9"/>
      <c r="AI5773" s="9"/>
    </row>
    <row r="5774" ht="15.0" customHeight="1">
      <c r="A5774" s="11">
        <v>5773.0</v>
      </c>
      <c r="B5774" s="12">
        <f t="shared" ref="B5774:B5776" si="924">DATE(2012,12,31)-458</f>
        <v>40816</v>
      </c>
      <c r="C5774" s="13">
        <v>2011.0</v>
      </c>
      <c r="D5774" s="11" t="s">
        <v>32</v>
      </c>
      <c r="E5774" s="11">
        <v>49.0</v>
      </c>
      <c r="F5774" s="21" t="s">
        <v>256</v>
      </c>
      <c r="G5774" s="15">
        <v>0.05329049531459169</v>
      </c>
      <c r="H5774" s="11" t="s">
        <v>33</v>
      </c>
      <c r="I5774" s="16">
        <v>1.592</v>
      </c>
      <c r="J5774" s="11" t="s">
        <v>1264</v>
      </c>
      <c r="K5774" s="11" t="s">
        <v>35</v>
      </c>
      <c r="L5774" s="11" t="s">
        <v>41</v>
      </c>
      <c r="M5774" s="11" t="s">
        <v>66</v>
      </c>
      <c r="N5774" s="11" t="s">
        <v>67</v>
      </c>
      <c r="O5774" s="11" t="s">
        <v>2335</v>
      </c>
      <c r="P5774" s="11" t="s">
        <v>99</v>
      </c>
      <c r="Q5774" s="20">
        <v>40818.0</v>
      </c>
      <c r="R5774" s="17">
        <f t="shared" si="2"/>
        <v>37.68661196</v>
      </c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>
        <f t="shared" si="8"/>
        <v>3</v>
      </c>
      <c r="AF5774" s="19">
        <f t="shared" si="13"/>
        <v>2</v>
      </c>
      <c r="AG5774" s="9"/>
      <c r="AH5774" s="9"/>
      <c r="AI5774" s="9"/>
    </row>
    <row r="5775" ht="15.0" customHeight="1">
      <c r="A5775" s="11">
        <v>5774.0</v>
      </c>
      <c r="B5775" s="12">
        <f t="shared" si="924"/>
        <v>40816</v>
      </c>
      <c r="C5775" s="13">
        <v>2011.0</v>
      </c>
      <c r="D5775" s="11" t="s">
        <v>102</v>
      </c>
      <c r="E5775" s="11">
        <v>26.0</v>
      </c>
      <c r="F5775" s="21" t="s">
        <v>2556</v>
      </c>
      <c r="G5775" s="15">
        <v>0.07513106906769998</v>
      </c>
      <c r="H5775" s="11" t="s">
        <v>33</v>
      </c>
      <c r="I5775" s="16">
        <v>2.8800000000000003</v>
      </c>
      <c r="J5775" s="11" t="s">
        <v>1750</v>
      </c>
      <c r="K5775" s="11" t="s">
        <v>65</v>
      </c>
      <c r="L5775" s="11" t="s">
        <v>36</v>
      </c>
      <c r="M5775" s="11" t="s">
        <v>66</v>
      </c>
      <c r="N5775" s="11" t="s">
        <v>67</v>
      </c>
      <c r="O5775" s="11" t="s">
        <v>2558</v>
      </c>
      <c r="P5775" s="11" t="s">
        <v>99</v>
      </c>
      <c r="Q5775" s="20">
        <v>40818.0</v>
      </c>
      <c r="R5775" s="17">
        <f t="shared" si="2"/>
        <v>60.96735993</v>
      </c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>
        <f t="shared" si="8"/>
        <v>2</v>
      </c>
      <c r="AF5775" s="19">
        <f t="shared" si="13"/>
        <v>5</v>
      </c>
      <c r="AG5775" s="9"/>
      <c r="AH5775" s="9"/>
      <c r="AI5775" s="9"/>
    </row>
    <row r="5776" ht="15.0" customHeight="1">
      <c r="A5776" s="11">
        <v>5775.0</v>
      </c>
      <c r="B5776" s="12">
        <f t="shared" si="924"/>
        <v>40816</v>
      </c>
      <c r="C5776" s="13">
        <v>2011.0</v>
      </c>
      <c r="D5776" s="11" t="s">
        <v>102</v>
      </c>
      <c r="E5776" s="11">
        <v>16.0</v>
      </c>
      <c r="F5776" s="21" t="s">
        <v>128</v>
      </c>
      <c r="G5776" s="15">
        <v>0.06679104132994688</v>
      </c>
      <c r="H5776" s="11" t="s">
        <v>33</v>
      </c>
      <c r="I5776" s="16">
        <v>6.464</v>
      </c>
      <c r="J5776" s="11" t="s">
        <v>1750</v>
      </c>
      <c r="K5776" s="11" t="s">
        <v>65</v>
      </c>
      <c r="L5776" s="11" t="s">
        <v>36</v>
      </c>
      <c r="M5776" s="11" t="s">
        <v>66</v>
      </c>
      <c r="N5776" s="11" t="s">
        <v>80</v>
      </c>
      <c r="O5776" s="11" t="s">
        <v>2243</v>
      </c>
      <c r="P5776" s="11" t="s">
        <v>38</v>
      </c>
      <c r="Q5776" s="20">
        <v>40818.0</v>
      </c>
      <c r="R5776" s="17">
        <f t="shared" si="2"/>
        <v>134.9756109</v>
      </c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>
        <f t="shared" si="8"/>
        <v>2</v>
      </c>
      <c r="AF5776" s="19">
        <f t="shared" si="13"/>
        <v>5</v>
      </c>
      <c r="AG5776" s="9"/>
      <c r="AH5776" s="9"/>
      <c r="AI5776" s="9"/>
    </row>
    <row r="5777" ht="15.0" customHeight="1">
      <c r="A5777" s="11">
        <v>5776.0</v>
      </c>
      <c r="B5777" s="12">
        <f t="shared" ref="B5777:B5782" si="925">DATE(2012,12,31)-457</f>
        <v>40817</v>
      </c>
      <c r="C5777" s="13">
        <v>2011.0</v>
      </c>
      <c r="D5777" s="11" t="s">
        <v>39</v>
      </c>
      <c r="E5777" s="11">
        <v>26.0</v>
      </c>
      <c r="F5777" s="21" t="s">
        <v>1900</v>
      </c>
      <c r="G5777" s="15">
        <v>0.02074732679753845</v>
      </c>
      <c r="H5777" s="11" t="s">
        <v>45</v>
      </c>
      <c r="I5777" s="16">
        <v>34.856</v>
      </c>
      <c r="J5777" s="11" t="s">
        <v>1901</v>
      </c>
      <c r="K5777" s="11" t="s">
        <v>35</v>
      </c>
      <c r="L5777" s="11" t="s">
        <v>27</v>
      </c>
      <c r="M5777" s="11" t="s">
        <v>49</v>
      </c>
      <c r="N5777" s="11" t="s">
        <v>85</v>
      </c>
      <c r="O5777" s="11" t="s">
        <v>1902</v>
      </c>
      <c r="P5777" s="11" t="s">
        <v>87</v>
      </c>
      <c r="Q5777" s="20">
        <v>40818.0</v>
      </c>
      <c r="R5777" s="17">
        <f t="shared" si="2"/>
        <v>173.6645861</v>
      </c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>
        <f t="shared" si="8"/>
        <v>1</v>
      </c>
      <c r="AF5777" s="19">
        <f t="shared" si="13"/>
        <v>2</v>
      </c>
      <c r="AG5777" s="9"/>
      <c r="AH5777" s="9"/>
      <c r="AI5777" s="9"/>
    </row>
    <row r="5778" ht="15.0" customHeight="1">
      <c r="A5778" s="11">
        <v>5777.0</v>
      </c>
      <c r="B5778" s="12">
        <f t="shared" si="925"/>
        <v>40817</v>
      </c>
      <c r="C5778" s="13">
        <v>2011.0</v>
      </c>
      <c r="D5778" s="11" t="s">
        <v>102</v>
      </c>
      <c r="E5778" s="11">
        <v>3.0</v>
      </c>
      <c r="F5778" s="21" t="s">
        <v>641</v>
      </c>
      <c r="G5778" s="15">
        <v>0.10268199233716487</v>
      </c>
      <c r="H5778" s="11" t="s">
        <v>33</v>
      </c>
      <c r="I5778" s="16">
        <v>4.24</v>
      </c>
      <c r="J5778" s="11" t="s">
        <v>781</v>
      </c>
      <c r="K5778" s="11" t="s">
        <v>65</v>
      </c>
      <c r="L5778" s="11" t="s">
        <v>27</v>
      </c>
      <c r="M5778" s="11" t="s">
        <v>49</v>
      </c>
      <c r="N5778" s="11" t="s">
        <v>73</v>
      </c>
      <c r="O5778" s="11" t="s">
        <v>880</v>
      </c>
      <c r="P5778" s="11" t="s">
        <v>58</v>
      </c>
      <c r="Q5778" s="20">
        <v>40818.0</v>
      </c>
      <c r="R5778" s="17">
        <f t="shared" si="2"/>
        <v>4.809624521</v>
      </c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>
        <f t="shared" si="8"/>
        <v>1</v>
      </c>
      <c r="AF5778" s="19">
        <f t="shared" si="13"/>
        <v>5</v>
      </c>
      <c r="AG5778" s="9"/>
      <c r="AH5778" s="9"/>
      <c r="AI5778" s="9"/>
    </row>
    <row r="5779" ht="15.0" customHeight="1">
      <c r="A5779" s="11">
        <v>5778.0</v>
      </c>
      <c r="B5779" s="12">
        <f t="shared" si="925"/>
        <v>40817</v>
      </c>
      <c r="C5779" s="13">
        <v>2011.0</v>
      </c>
      <c r="D5779" s="11" t="s">
        <v>102</v>
      </c>
      <c r="E5779" s="11">
        <v>13.0</v>
      </c>
      <c r="F5779" s="21" t="s">
        <v>287</v>
      </c>
      <c r="G5779" s="15">
        <v>0.021090673575129438</v>
      </c>
      <c r="H5779" s="11" t="s">
        <v>33</v>
      </c>
      <c r="I5779" s="16">
        <v>4.736</v>
      </c>
      <c r="J5779" s="11" t="s">
        <v>781</v>
      </c>
      <c r="K5779" s="11" t="s">
        <v>65</v>
      </c>
      <c r="L5779" s="11" t="s">
        <v>27</v>
      </c>
      <c r="M5779" s="11" t="s">
        <v>66</v>
      </c>
      <c r="N5779" s="11" t="s">
        <v>80</v>
      </c>
      <c r="O5779" s="11" t="s">
        <v>435</v>
      </c>
      <c r="P5779" s="11" t="s">
        <v>38</v>
      </c>
      <c r="Q5779" s="20">
        <v>40819.0</v>
      </c>
      <c r="R5779" s="17">
        <f t="shared" si="2"/>
        <v>31.87720331</v>
      </c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>
        <f t="shared" si="8"/>
        <v>1</v>
      </c>
      <c r="AF5779" s="19">
        <f t="shared" si="13"/>
        <v>5</v>
      </c>
      <c r="AG5779" s="9"/>
      <c r="AH5779" s="9"/>
      <c r="AI5779" s="9"/>
    </row>
    <row r="5780" ht="15.0" customHeight="1">
      <c r="A5780" s="11">
        <v>5779.0</v>
      </c>
      <c r="B5780" s="12">
        <f t="shared" si="925"/>
        <v>40817</v>
      </c>
      <c r="C5780" s="13">
        <v>2011.0</v>
      </c>
      <c r="D5780" s="11" t="s">
        <v>102</v>
      </c>
      <c r="E5780" s="11">
        <v>38.0</v>
      </c>
      <c r="F5780" s="21" t="s">
        <v>304</v>
      </c>
      <c r="G5780" s="15">
        <v>0.08809050911376495</v>
      </c>
      <c r="H5780" s="11" t="s">
        <v>24</v>
      </c>
      <c r="I5780" s="16">
        <v>7.224</v>
      </c>
      <c r="J5780" s="11" t="s">
        <v>781</v>
      </c>
      <c r="K5780" s="11" t="s">
        <v>65</v>
      </c>
      <c r="L5780" s="11" t="s">
        <v>27</v>
      </c>
      <c r="M5780" s="11" t="s">
        <v>28</v>
      </c>
      <c r="N5780" s="11" t="s">
        <v>56</v>
      </c>
      <c r="O5780" s="11" t="s">
        <v>388</v>
      </c>
      <c r="P5780" s="11" t="s">
        <v>38</v>
      </c>
      <c r="Q5780" s="20">
        <v>40819.0</v>
      </c>
      <c r="R5780" s="17">
        <f t="shared" si="2"/>
        <v>63.90296948</v>
      </c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>
        <f t="shared" si="8"/>
        <v>1</v>
      </c>
      <c r="AF5780" s="19">
        <f t="shared" si="13"/>
        <v>5</v>
      </c>
      <c r="AG5780" s="9"/>
      <c r="AH5780" s="9"/>
      <c r="AI5780" s="9"/>
    </row>
    <row r="5781" ht="15.0" customHeight="1">
      <c r="A5781" s="11">
        <v>5780.0</v>
      </c>
      <c r="B5781" s="12">
        <f t="shared" si="925"/>
        <v>40817</v>
      </c>
      <c r="C5781" s="13">
        <v>2011.0</v>
      </c>
      <c r="D5781" s="11" t="s">
        <v>39</v>
      </c>
      <c r="E5781" s="11">
        <v>16.0</v>
      </c>
      <c r="F5781" s="21" t="s">
        <v>158</v>
      </c>
      <c r="G5781" s="15">
        <v>0.11601926163723908</v>
      </c>
      <c r="H5781" s="11" t="s">
        <v>33</v>
      </c>
      <c r="I5781" s="16">
        <v>7.744</v>
      </c>
      <c r="J5781" s="11" t="s">
        <v>1338</v>
      </c>
      <c r="K5781" s="11" t="s">
        <v>61</v>
      </c>
      <c r="L5781" s="11" t="s">
        <v>36</v>
      </c>
      <c r="M5781" s="11" t="s">
        <v>28</v>
      </c>
      <c r="N5781" s="11" t="s">
        <v>56</v>
      </c>
      <c r="O5781" s="11" t="s">
        <v>635</v>
      </c>
      <c r="P5781" s="11" t="s">
        <v>38</v>
      </c>
      <c r="Q5781" s="20">
        <v>40819.0</v>
      </c>
      <c r="R5781" s="17">
        <f t="shared" si="2"/>
        <v>12.77882555</v>
      </c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>
        <f t="shared" si="8"/>
        <v>2</v>
      </c>
      <c r="AF5781" s="19">
        <f t="shared" si="13"/>
        <v>4</v>
      </c>
      <c r="AG5781" s="9"/>
      <c r="AH5781" s="9"/>
      <c r="AI5781" s="9"/>
    </row>
    <row r="5782" ht="15.0" customHeight="1">
      <c r="A5782" s="11">
        <v>5781.0</v>
      </c>
      <c r="B5782" s="12">
        <f t="shared" si="925"/>
        <v>40817</v>
      </c>
      <c r="C5782" s="13">
        <v>2011.0</v>
      </c>
      <c r="D5782" s="11" t="s">
        <v>39</v>
      </c>
      <c r="E5782" s="11">
        <v>20.0</v>
      </c>
      <c r="F5782" s="21" t="s">
        <v>869</v>
      </c>
      <c r="G5782" s="15">
        <v>0.057720769610261444</v>
      </c>
      <c r="H5782" s="11" t="s">
        <v>33</v>
      </c>
      <c r="I5782" s="16">
        <v>1.0</v>
      </c>
      <c r="J5782" s="11" t="s">
        <v>1338</v>
      </c>
      <c r="K5782" s="11" t="s">
        <v>61</v>
      </c>
      <c r="L5782" s="11" t="s">
        <v>36</v>
      </c>
      <c r="M5782" s="11" t="s">
        <v>66</v>
      </c>
      <c r="N5782" s="11" t="s">
        <v>80</v>
      </c>
      <c r="O5782" s="11" t="s">
        <v>2349</v>
      </c>
      <c r="P5782" s="11" t="s">
        <v>99</v>
      </c>
      <c r="Q5782" s="20">
        <v>40819.0</v>
      </c>
      <c r="R5782" s="17">
        <f t="shared" si="2"/>
        <v>99.22200296</v>
      </c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>
        <f t="shared" si="8"/>
        <v>2</v>
      </c>
      <c r="AF5782" s="19">
        <f t="shared" si="13"/>
        <v>4</v>
      </c>
      <c r="AG5782" s="9"/>
      <c r="AH5782" s="9"/>
      <c r="AI5782" s="9"/>
    </row>
    <row r="5783" ht="15.0" customHeight="1">
      <c r="A5783" s="11">
        <v>5782.0</v>
      </c>
      <c r="B5783" s="12">
        <f t="shared" ref="B5783:B5790" si="926">DATE(2012,12,31)-456</f>
        <v>40818</v>
      </c>
      <c r="C5783" s="13">
        <v>2011.0</v>
      </c>
      <c r="D5783" s="11" t="s">
        <v>32</v>
      </c>
      <c r="E5783" s="11">
        <v>27.0</v>
      </c>
      <c r="F5783" s="21" t="s">
        <v>103</v>
      </c>
      <c r="G5783" s="15">
        <v>0.09112597547380147</v>
      </c>
      <c r="H5783" s="11" t="s">
        <v>33</v>
      </c>
      <c r="I5783" s="16">
        <v>3.7520000000000007</v>
      </c>
      <c r="J5783" s="11" t="s">
        <v>1264</v>
      </c>
      <c r="K5783" s="11" t="s">
        <v>35</v>
      </c>
      <c r="L5783" s="11" t="s">
        <v>41</v>
      </c>
      <c r="M5783" s="11" t="s">
        <v>28</v>
      </c>
      <c r="N5783" s="11" t="s">
        <v>29</v>
      </c>
      <c r="O5783" s="11" t="s">
        <v>37</v>
      </c>
      <c r="P5783" s="11" t="s">
        <v>38</v>
      </c>
      <c r="Q5783" s="20">
        <v>40819.0</v>
      </c>
      <c r="R5783" s="17">
        <f t="shared" si="2"/>
        <v>14.85827255</v>
      </c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>
        <f t="shared" si="8"/>
        <v>3</v>
      </c>
      <c r="AF5783" s="19">
        <f t="shared" si="13"/>
        <v>2</v>
      </c>
      <c r="AG5783" s="9"/>
      <c r="AH5783" s="9"/>
      <c r="AI5783" s="9"/>
    </row>
    <row r="5784" ht="15.0" customHeight="1">
      <c r="A5784" s="11">
        <v>5783.0</v>
      </c>
      <c r="B5784" s="12">
        <f t="shared" si="926"/>
        <v>40818</v>
      </c>
      <c r="C5784" s="13">
        <v>2011.0</v>
      </c>
      <c r="D5784" s="11" t="s">
        <v>23</v>
      </c>
      <c r="E5784" s="11">
        <v>40.0</v>
      </c>
      <c r="F5784" s="21" t="s">
        <v>865</v>
      </c>
      <c r="G5784" s="15">
        <v>0.07497697493080993</v>
      </c>
      <c r="H5784" s="11" t="s">
        <v>45</v>
      </c>
      <c r="I5784" s="16">
        <v>19.008000000000003</v>
      </c>
      <c r="J5784" s="11" t="s">
        <v>1245</v>
      </c>
      <c r="K5784" s="11" t="s">
        <v>61</v>
      </c>
      <c r="L5784" s="11" t="s">
        <v>48</v>
      </c>
      <c r="M5784" s="11" t="s">
        <v>49</v>
      </c>
      <c r="N5784" s="11" t="s">
        <v>50</v>
      </c>
      <c r="O5784" s="11" t="s">
        <v>866</v>
      </c>
      <c r="P5784" s="11" t="s">
        <v>52</v>
      </c>
      <c r="Q5784" s="20">
        <v>40819.0</v>
      </c>
      <c r="R5784" s="17">
        <f t="shared" si="2"/>
        <v>603.9401329</v>
      </c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>
        <f t="shared" si="8"/>
        <v>4</v>
      </c>
      <c r="AF5784" s="19">
        <f t="shared" si="13"/>
        <v>4</v>
      </c>
      <c r="AG5784" s="9"/>
      <c r="AH5784" s="9"/>
      <c r="AI5784" s="9"/>
    </row>
    <row r="5785" ht="15.0" customHeight="1">
      <c r="A5785" s="11">
        <v>5784.0</v>
      </c>
      <c r="B5785" s="12">
        <f t="shared" si="926"/>
        <v>40818</v>
      </c>
      <c r="C5785" s="13">
        <v>2011.0</v>
      </c>
      <c r="D5785" s="11" t="s">
        <v>23</v>
      </c>
      <c r="E5785" s="11">
        <v>20.0</v>
      </c>
      <c r="F5785" s="21" t="s">
        <v>2459</v>
      </c>
      <c r="G5785" s="15">
        <v>0.05687792349663275</v>
      </c>
      <c r="H5785" s="11" t="s">
        <v>45</v>
      </c>
      <c r="I5785" s="16">
        <v>12.847999999999999</v>
      </c>
      <c r="J5785" s="11" t="s">
        <v>1245</v>
      </c>
      <c r="K5785" s="11" t="s">
        <v>61</v>
      </c>
      <c r="L5785" s="11" t="s">
        <v>48</v>
      </c>
      <c r="M5785" s="11" t="s">
        <v>66</v>
      </c>
      <c r="N5785" s="11" t="s">
        <v>69</v>
      </c>
      <c r="O5785" s="11" t="s">
        <v>2460</v>
      </c>
      <c r="P5785" s="11" t="s">
        <v>52</v>
      </c>
      <c r="Q5785" s="20">
        <v>40819.0</v>
      </c>
      <c r="R5785" s="17">
        <f t="shared" si="2"/>
        <v>923.1769308</v>
      </c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>
        <f t="shared" si="8"/>
        <v>4</v>
      </c>
      <c r="AF5785" s="19">
        <f t="shared" si="13"/>
        <v>4</v>
      </c>
      <c r="AG5785" s="9"/>
      <c r="AH5785" s="9"/>
      <c r="AI5785" s="9"/>
    </row>
    <row r="5786" ht="15.0" customHeight="1">
      <c r="A5786" s="11">
        <v>5785.0</v>
      </c>
      <c r="B5786" s="12">
        <f t="shared" si="926"/>
        <v>40818</v>
      </c>
      <c r="C5786" s="13">
        <v>2011.0</v>
      </c>
      <c r="D5786" s="11" t="s">
        <v>23</v>
      </c>
      <c r="E5786" s="11">
        <v>31.0</v>
      </c>
      <c r="F5786" s="21" t="s">
        <v>1166</v>
      </c>
      <c r="G5786" s="15">
        <v>0.05942122186495164</v>
      </c>
      <c r="H5786" s="11" t="s">
        <v>33</v>
      </c>
      <c r="I5786" s="16">
        <v>0.5599999999999999</v>
      </c>
      <c r="J5786" s="11" t="s">
        <v>1245</v>
      </c>
      <c r="K5786" s="11" t="s">
        <v>61</v>
      </c>
      <c r="L5786" s="11" t="s">
        <v>48</v>
      </c>
      <c r="M5786" s="11" t="s">
        <v>28</v>
      </c>
      <c r="N5786" s="11" t="s">
        <v>216</v>
      </c>
      <c r="O5786" s="11" t="s">
        <v>2353</v>
      </c>
      <c r="P5786" s="11" t="s">
        <v>58</v>
      </c>
      <c r="Q5786" s="20">
        <v>40820.0</v>
      </c>
      <c r="R5786" s="17">
        <f t="shared" si="2"/>
        <v>8.69094791</v>
      </c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>
        <f t="shared" si="8"/>
        <v>4</v>
      </c>
      <c r="AF5786" s="19">
        <f t="shared" si="13"/>
        <v>4</v>
      </c>
      <c r="AG5786" s="9"/>
      <c r="AH5786" s="9"/>
      <c r="AI5786" s="9"/>
    </row>
    <row r="5787" ht="15.0" customHeight="1">
      <c r="A5787" s="11">
        <v>5786.0</v>
      </c>
      <c r="B5787" s="12">
        <f t="shared" si="926"/>
        <v>40818</v>
      </c>
      <c r="C5787" s="13">
        <v>2011.0</v>
      </c>
      <c r="D5787" s="11" t="s">
        <v>44</v>
      </c>
      <c r="E5787" s="11">
        <v>19.0</v>
      </c>
      <c r="F5787" s="21" t="s">
        <v>1559</v>
      </c>
      <c r="G5787" s="15">
        <v>0.05694444444444459</v>
      </c>
      <c r="H5787" s="11" t="s">
        <v>33</v>
      </c>
      <c r="I5787" s="16">
        <v>0.5599999999999999</v>
      </c>
      <c r="J5787" s="11" t="s">
        <v>1152</v>
      </c>
      <c r="K5787" s="11" t="s">
        <v>65</v>
      </c>
      <c r="L5787" s="11" t="s">
        <v>48</v>
      </c>
      <c r="M5787" s="11" t="s">
        <v>28</v>
      </c>
      <c r="N5787" s="11" t="s">
        <v>216</v>
      </c>
      <c r="O5787" s="11" t="s">
        <v>1561</v>
      </c>
      <c r="P5787" s="11" t="s">
        <v>58</v>
      </c>
      <c r="Q5787" s="20">
        <v>40820.0</v>
      </c>
      <c r="R5787" s="17">
        <f t="shared" si="2"/>
        <v>1.546611111</v>
      </c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>
        <f t="shared" si="8"/>
        <v>4</v>
      </c>
      <c r="AF5787" s="19">
        <f t="shared" si="13"/>
        <v>5</v>
      </c>
      <c r="AG5787" s="9"/>
      <c r="AH5787" s="9"/>
      <c r="AI5787" s="9"/>
    </row>
    <row r="5788" ht="15.0" customHeight="1">
      <c r="A5788" s="11">
        <v>5787.0</v>
      </c>
      <c r="B5788" s="12">
        <f t="shared" si="926"/>
        <v>40818</v>
      </c>
      <c r="C5788" s="13">
        <v>2011.0</v>
      </c>
      <c r="D5788" s="11" t="s">
        <v>44</v>
      </c>
      <c r="E5788" s="11">
        <v>45.0</v>
      </c>
      <c r="F5788" s="21" t="s">
        <v>277</v>
      </c>
      <c r="G5788" s="15">
        <v>0.0941323345817727</v>
      </c>
      <c r="H5788" s="11" t="s">
        <v>33</v>
      </c>
      <c r="I5788" s="16">
        <v>0.5599999999999999</v>
      </c>
      <c r="J5788" s="11" t="s">
        <v>1152</v>
      </c>
      <c r="K5788" s="11" t="s">
        <v>65</v>
      </c>
      <c r="L5788" s="11" t="s">
        <v>48</v>
      </c>
      <c r="M5788" s="11" t="s">
        <v>28</v>
      </c>
      <c r="N5788" s="11" t="s">
        <v>62</v>
      </c>
      <c r="O5788" s="11" t="s">
        <v>1413</v>
      </c>
      <c r="P5788" s="11" t="s">
        <v>58</v>
      </c>
      <c r="Q5788" s="20">
        <v>40820.0</v>
      </c>
      <c r="R5788" s="17">
        <f t="shared" si="2"/>
        <v>6.830242197</v>
      </c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>
        <f t="shared" si="8"/>
        <v>4</v>
      </c>
      <c r="AF5788" s="19">
        <f t="shared" si="13"/>
        <v>5</v>
      </c>
      <c r="AG5788" s="9"/>
      <c r="AH5788" s="9"/>
      <c r="AI5788" s="9"/>
    </row>
    <row r="5789" ht="15.0" customHeight="1">
      <c r="A5789" s="11">
        <v>5788.0</v>
      </c>
      <c r="B5789" s="12">
        <f t="shared" si="926"/>
        <v>40818</v>
      </c>
      <c r="C5789" s="13">
        <v>2011.0</v>
      </c>
      <c r="D5789" s="11" t="s">
        <v>32</v>
      </c>
      <c r="E5789" s="11">
        <v>1.0</v>
      </c>
      <c r="F5789" s="21" t="s">
        <v>242</v>
      </c>
      <c r="G5789" s="15">
        <v>0.03911342894393742</v>
      </c>
      <c r="H5789" s="11" t="s">
        <v>33</v>
      </c>
      <c r="I5789" s="16">
        <v>2.8000000000000003</v>
      </c>
      <c r="J5789" s="11" t="s">
        <v>456</v>
      </c>
      <c r="K5789" s="11" t="s">
        <v>35</v>
      </c>
      <c r="L5789" s="11" t="s">
        <v>27</v>
      </c>
      <c r="M5789" s="11" t="s">
        <v>28</v>
      </c>
      <c r="N5789" s="11" t="s">
        <v>197</v>
      </c>
      <c r="O5789" s="11" t="s">
        <v>1134</v>
      </c>
      <c r="P5789" s="11" t="s">
        <v>38</v>
      </c>
      <c r="Q5789" s="20">
        <v>40820.0</v>
      </c>
      <c r="R5789" s="17">
        <f t="shared" si="2"/>
        <v>2.882659713</v>
      </c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>
        <f t="shared" si="8"/>
        <v>1</v>
      </c>
      <c r="AF5789" s="19">
        <f t="shared" si="13"/>
        <v>2</v>
      </c>
      <c r="AG5789" s="9"/>
      <c r="AH5789" s="9"/>
      <c r="AI5789" s="9"/>
    </row>
    <row r="5790" ht="15.0" customHeight="1">
      <c r="A5790" s="11">
        <v>5789.0</v>
      </c>
      <c r="B5790" s="12">
        <f t="shared" si="926"/>
        <v>40818</v>
      </c>
      <c r="C5790" s="13">
        <v>2011.0</v>
      </c>
      <c r="D5790" s="11" t="s">
        <v>102</v>
      </c>
      <c r="E5790" s="11">
        <v>24.0</v>
      </c>
      <c r="F5790" s="21" t="s">
        <v>1891</v>
      </c>
      <c r="G5790" s="15">
        <v>0.06137704918032775</v>
      </c>
      <c r="H5790" s="11" t="s">
        <v>33</v>
      </c>
      <c r="I5790" s="16">
        <v>5.824000000000001</v>
      </c>
      <c r="J5790" s="11" t="s">
        <v>1773</v>
      </c>
      <c r="K5790" s="11" t="s">
        <v>61</v>
      </c>
      <c r="L5790" s="11" t="s">
        <v>48</v>
      </c>
      <c r="M5790" s="11" t="s">
        <v>28</v>
      </c>
      <c r="N5790" s="11" t="s">
        <v>29</v>
      </c>
      <c r="O5790" s="11" t="s">
        <v>2382</v>
      </c>
      <c r="P5790" s="11" t="s">
        <v>38</v>
      </c>
      <c r="Q5790" s="20">
        <v>40821.0</v>
      </c>
      <c r="R5790" s="17">
        <f t="shared" si="2"/>
        <v>14.05681731</v>
      </c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>
        <f t="shared" si="8"/>
        <v>4</v>
      </c>
      <c r="AF5790" s="19">
        <f t="shared" si="13"/>
        <v>4</v>
      </c>
      <c r="AG5790" s="9"/>
      <c r="AH5790" s="9"/>
      <c r="AI5790" s="9"/>
    </row>
    <row r="5791" ht="15.0" customHeight="1">
      <c r="A5791" s="11">
        <v>5790.0</v>
      </c>
      <c r="B5791" s="12">
        <f t="shared" ref="B5791:B5802" si="927">DATE(2012,12,31)-455</f>
        <v>40819</v>
      </c>
      <c r="C5791" s="13">
        <v>2011.0</v>
      </c>
      <c r="D5791" s="11" t="s">
        <v>23</v>
      </c>
      <c r="E5791" s="11">
        <v>30.0</v>
      </c>
      <c r="F5791" s="21" t="s">
        <v>130</v>
      </c>
      <c r="G5791" s="15">
        <v>0.0802769920998732</v>
      </c>
      <c r="H5791" s="11" t="s">
        <v>33</v>
      </c>
      <c r="I5791" s="16">
        <v>15.991999999999999</v>
      </c>
      <c r="J5791" s="11" t="s">
        <v>1152</v>
      </c>
      <c r="K5791" s="11" t="s">
        <v>65</v>
      </c>
      <c r="L5791" s="11" t="s">
        <v>41</v>
      </c>
      <c r="M5791" s="11" t="s">
        <v>28</v>
      </c>
      <c r="N5791" s="11" t="s">
        <v>56</v>
      </c>
      <c r="O5791" s="11" t="s">
        <v>2537</v>
      </c>
      <c r="P5791" s="11" t="s">
        <v>38</v>
      </c>
      <c r="Q5791" s="20">
        <v>40821.0</v>
      </c>
      <c r="R5791" s="17">
        <f t="shared" si="2"/>
        <v>75.70056133</v>
      </c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>
        <f t="shared" si="8"/>
        <v>3</v>
      </c>
      <c r="AF5791" s="19">
        <f t="shared" si="13"/>
        <v>5</v>
      </c>
      <c r="AG5791" s="9"/>
      <c r="AH5791" s="9"/>
      <c r="AI5791" s="9"/>
    </row>
    <row r="5792" ht="15.0" customHeight="1">
      <c r="A5792" s="11">
        <v>5791.0</v>
      </c>
      <c r="B5792" s="12">
        <f t="shared" si="927"/>
        <v>40819</v>
      </c>
      <c r="C5792" s="13">
        <v>2011.0</v>
      </c>
      <c r="D5792" s="11" t="s">
        <v>23</v>
      </c>
      <c r="E5792" s="11">
        <v>47.0</v>
      </c>
      <c r="F5792" s="21" t="s">
        <v>476</v>
      </c>
      <c r="G5792" s="15">
        <v>0.04861069001873003</v>
      </c>
      <c r="H5792" s="11" t="s">
        <v>45</v>
      </c>
      <c r="I5792" s="16">
        <v>68.504</v>
      </c>
      <c r="J5792" s="11" t="s">
        <v>1152</v>
      </c>
      <c r="K5792" s="11" t="s">
        <v>65</v>
      </c>
      <c r="L5792" s="11" t="s">
        <v>41</v>
      </c>
      <c r="M5792" s="11" t="s">
        <v>49</v>
      </c>
      <c r="N5792" s="11" t="s">
        <v>85</v>
      </c>
      <c r="O5792" s="11" t="s">
        <v>477</v>
      </c>
      <c r="P5792" s="11" t="s">
        <v>87</v>
      </c>
      <c r="Q5792" s="20">
        <v>40821.0</v>
      </c>
      <c r="R5792" s="17">
        <f t="shared" si="2"/>
        <v>862.606611</v>
      </c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>
        <f t="shared" si="8"/>
        <v>3</v>
      </c>
      <c r="AF5792" s="19">
        <f t="shared" si="13"/>
        <v>5</v>
      </c>
      <c r="AG5792" s="9"/>
      <c r="AH5792" s="9"/>
      <c r="AI5792" s="9"/>
    </row>
    <row r="5793" ht="15.0" customHeight="1">
      <c r="A5793" s="11">
        <v>5792.0</v>
      </c>
      <c r="B5793" s="12">
        <f t="shared" si="927"/>
        <v>40819</v>
      </c>
      <c r="C5793" s="13">
        <v>2011.0</v>
      </c>
      <c r="D5793" s="11" t="s">
        <v>39</v>
      </c>
      <c r="E5793" s="11">
        <v>50.0</v>
      </c>
      <c r="F5793" s="21" t="s">
        <v>1791</v>
      </c>
      <c r="G5793" s="15">
        <v>0.04734912829682604</v>
      </c>
      <c r="H5793" s="11" t="s">
        <v>33</v>
      </c>
      <c r="I5793" s="16">
        <v>6.216</v>
      </c>
      <c r="J5793" s="11" t="s">
        <v>1108</v>
      </c>
      <c r="K5793" s="11" t="s">
        <v>47</v>
      </c>
      <c r="L5793" s="11" t="s">
        <v>27</v>
      </c>
      <c r="M5793" s="11" t="s">
        <v>28</v>
      </c>
      <c r="N5793" s="11" t="s">
        <v>442</v>
      </c>
      <c r="O5793" s="11" t="s">
        <v>2254</v>
      </c>
      <c r="P5793" s="11" t="s">
        <v>99</v>
      </c>
      <c r="Q5793" s="20">
        <v>40821.0</v>
      </c>
      <c r="R5793" s="17">
        <f t="shared" si="2"/>
        <v>20.18095607</v>
      </c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>
        <f t="shared" si="8"/>
        <v>1</v>
      </c>
      <c r="AF5793" s="19">
        <f t="shared" si="13"/>
        <v>3</v>
      </c>
      <c r="AG5793" s="9"/>
      <c r="AH5793" s="9"/>
      <c r="AI5793" s="9"/>
    </row>
    <row r="5794" ht="15.0" customHeight="1">
      <c r="A5794" s="11">
        <v>5793.0</v>
      </c>
      <c r="B5794" s="12">
        <f t="shared" si="927"/>
        <v>40819</v>
      </c>
      <c r="C5794" s="13">
        <v>2011.0</v>
      </c>
      <c r="D5794" s="11" t="s">
        <v>39</v>
      </c>
      <c r="E5794" s="11">
        <v>17.0</v>
      </c>
      <c r="F5794" s="21" t="s">
        <v>287</v>
      </c>
      <c r="G5794" s="15">
        <v>0.03961656367086746</v>
      </c>
      <c r="H5794" s="11" t="s">
        <v>33</v>
      </c>
      <c r="I5794" s="16">
        <v>3.3840000000000003</v>
      </c>
      <c r="J5794" s="11" t="s">
        <v>1108</v>
      </c>
      <c r="K5794" s="11" t="s">
        <v>47</v>
      </c>
      <c r="L5794" s="11" t="s">
        <v>27</v>
      </c>
      <c r="M5794" s="11" t="s">
        <v>66</v>
      </c>
      <c r="N5794" s="11" t="s">
        <v>80</v>
      </c>
      <c r="O5794" s="11" t="s">
        <v>1718</v>
      </c>
      <c r="P5794" s="11" t="s">
        <v>38</v>
      </c>
      <c r="Q5794" s="20">
        <v>40821.0</v>
      </c>
      <c r="R5794" s="17">
        <f t="shared" si="2"/>
        <v>78.19057785</v>
      </c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>
        <f t="shared" si="8"/>
        <v>1</v>
      </c>
      <c r="AF5794" s="19">
        <f t="shared" si="13"/>
        <v>3</v>
      </c>
      <c r="AG5794" s="9"/>
      <c r="AH5794" s="9"/>
      <c r="AI5794" s="9"/>
    </row>
    <row r="5795" ht="15.0" customHeight="1">
      <c r="A5795" s="11">
        <v>5794.0</v>
      </c>
      <c r="B5795" s="12">
        <f t="shared" si="927"/>
        <v>40819</v>
      </c>
      <c r="C5795" s="13">
        <v>2011.0</v>
      </c>
      <c r="D5795" s="11" t="s">
        <v>102</v>
      </c>
      <c r="E5795" s="11">
        <v>17.0</v>
      </c>
      <c r="F5795" s="21" t="s">
        <v>1504</v>
      </c>
      <c r="G5795" s="15">
        <v>0.048619945105215105</v>
      </c>
      <c r="H5795" s="11" t="s">
        <v>33</v>
      </c>
      <c r="I5795" s="16">
        <v>15.991999999999999</v>
      </c>
      <c r="J5795" s="11" t="s">
        <v>329</v>
      </c>
      <c r="K5795" s="11" t="s">
        <v>26</v>
      </c>
      <c r="L5795" s="11" t="s">
        <v>41</v>
      </c>
      <c r="M5795" s="11" t="s">
        <v>28</v>
      </c>
      <c r="N5795" s="11" t="s">
        <v>42</v>
      </c>
      <c r="O5795" s="11" t="s">
        <v>1505</v>
      </c>
      <c r="P5795" s="11" t="s">
        <v>38</v>
      </c>
      <c r="Q5795" s="20">
        <v>40821.0</v>
      </c>
      <c r="R5795" s="17">
        <f t="shared" si="2"/>
        <v>252.7892916</v>
      </c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>
        <f t="shared" si="8"/>
        <v>3</v>
      </c>
      <c r="AF5795" s="19">
        <f t="shared" si="13"/>
        <v>1</v>
      </c>
      <c r="AG5795" s="9"/>
      <c r="AH5795" s="9"/>
      <c r="AI5795" s="9"/>
    </row>
    <row r="5796" ht="15.0" customHeight="1">
      <c r="A5796" s="11">
        <v>5795.0</v>
      </c>
      <c r="B5796" s="12">
        <f t="shared" si="927"/>
        <v>40819</v>
      </c>
      <c r="C5796" s="13">
        <v>2011.0</v>
      </c>
      <c r="D5796" s="11" t="s">
        <v>44</v>
      </c>
      <c r="E5796" s="11">
        <v>48.0</v>
      </c>
      <c r="F5796" s="21" t="s">
        <v>306</v>
      </c>
      <c r="G5796" s="15">
        <v>0.034132206459402445</v>
      </c>
      <c r="H5796" s="11" t="s">
        <v>33</v>
      </c>
      <c r="I5796" s="16">
        <v>4.776</v>
      </c>
      <c r="J5796" s="11" t="s">
        <v>1013</v>
      </c>
      <c r="K5796" s="11" t="s">
        <v>35</v>
      </c>
      <c r="L5796" s="11" t="s">
        <v>41</v>
      </c>
      <c r="M5796" s="11" t="s">
        <v>28</v>
      </c>
      <c r="N5796" s="11" t="s">
        <v>56</v>
      </c>
      <c r="O5796" s="11" t="s">
        <v>1866</v>
      </c>
      <c r="P5796" s="11" t="s">
        <v>38</v>
      </c>
      <c r="Q5796" s="20">
        <v>40821.0</v>
      </c>
      <c r="R5796" s="17">
        <f t="shared" si="2"/>
        <v>32.76609903</v>
      </c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>
        <f t="shared" si="8"/>
        <v>3</v>
      </c>
      <c r="AF5796" s="19">
        <f t="shared" si="13"/>
        <v>2</v>
      </c>
      <c r="AG5796" s="9"/>
      <c r="AH5796" s="9"/>
      <c r="AI5796" s="9"/>
    </row>
    <row r="5797" ht="15.0" customHeight="1">
      <c r="A5797" s="11">
        <v>5796.0</v>
      </c>
      <c r="B5797" s="12">
        <f t="shared" si="927"/>
        <v>40819</v>
      </c>
      <c r="C5797" s="13">
        <v>2011.0</v>
      </c>
      <c r="D5797" s="11" t="s">
        <v>32</v>
      </c>
      <c r="E5797" s="11">
        <v>40.0</v>
      </c>
      <c r="F5797" s="21" t="s">
        <v>204</v>
      </c>
      <c r="G5797" s="15">
        <v>0.02965209634255128</v>
      </c>
      <c r="H5797" s="11" t="s">
        <v>33</v>
      </c>
      <c r="I5797" s="16">
        <v>0.776</v>
      </c>
      <c r="J5797" s="11" t="s">
        <v>839</v>
      </c>
      <c r="K5797" s="11" t="s">
        <v>83</v>
      </c>
      <c r="L5797" s="11" t="s">
        <v>27</v>
      </c>
      <c r="M5797" s="11" t="s">
        <v>28</v>
      </c>
      <c r="N5797" s="11" t="s">
        <v>62</v>
      </c>
      <c r="O5797" s="11" t="s">
        <v>206</v>
      </c>
      <c r="P5797" s="11" t="s">
        <v>58</v>
      </c>
      <c r="Q5797" s="20">
        <v>40821.0</v>
      </c>
      <c r="R5797" s="17">
        <f t="shared" si="2"/>
        <v>3.225436432</v>
      </c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>
        <f t="shared" si="8"/>
        <v>1</v>
      </c>
      <c r="AF5797" s="19" t="b">
        <f t="shared" si="13"/>
        <v>0</v>
      </c>
      <c r="AG5797" s="9"/>
      <c r="AH5797" s="9"/>
      <c r="AI5797" s="9"/>
    </row>
    <row r="5798" ht="15.0" customHeight="1">
      <c r="A5798" s="11">
        <v>5797.0</v>
      </c>
      <c r="B5798" s="12">
        <f t="shared" si="927"/>
        <v>40819</v>
      </c>
      <c r="C5798" s="13">
        <v>2011.0</v>
      </c>
      <c r="D5798" s="11" t="s">
        <v>32</v>
      </c>
      <c r="E5798" s="11">
        <v>40.0</v>
      </c>
      <c r="F5798" s="21" t="s">
        <v>210</v>
      </c>
      <c r="G5798" s="15">
        <v>0.03333333333333328</v>
      </c>
      <c r="H5798" s="11" t="s">
        <v>33</v>
      </c>
      <c r="I5798" s="16">
        <v>0.4</v>
      </c>
      <c r="J5798" s="11" t="s">
        <v>839</v>
      </c>
      <c r="K5798" s="11" t="s">
        <v>83</v>
      </c>
      <c r="L5798" s="11" t="s">
        <v>27</v>
      </c>
      <c r="M5798" s="11" t="s">
        <v>28</v>
      </c>
      <c r="N5798" s="11" t="s">
        <v>188</v>
      </c>
      <c r="O5798" s="11" t="s">
        <v>918</v>
      </c>
      <c r="P5798" s="11" t="s">
        <v>38</v>
      </c>
      <c r="Q5798" s="20">
        <v>40821.0</v>
      </c>
      <c r="R5798" s="17">
        <f t="shared" si="2"/>
        <v>3.48</v>
      </c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>
        <f t="shared" si="8"/>
        <v>1</v>
      </c>
      <c r="AF5798" s="19" t="b">
        <f t="shared" si="13"/>
        <v>0</v>
      </c>
      <c r="AG5798" s="9"/>
      <c r="AH5798" s="9"/>
      <c r="AI5798" s="9"/>
    </row>
    <row r="5799" ht="15.0" customHeight="1">
      <c r="A5799" s="11">
        <v>5798.0</v>
      </c>
      <c r="B5799" s="12">
        <f t="shared" si="927"/>
        <v>40819</v>
      </c>
      <c r="C5799" s="13">
        <v>2011.0</v>
      </c>
      <c r="D5799" s="11" t="s">
        <v>32</v>
      </c>
      <c r="E5799" s="11">
        <v>40.0</v>
      </c>
      <c r="F5799" s="21" t="s">
        <v>1486</v>
      </c>
      <c r="G5799" s="15">
        <v>0.03187215460373489</v>
      </c>
      <c r="H5799" s="11" t="s">
        <v>33</v>
      </c>
      <c r="I5799" s="16">
        <v>15.991999999999999</v>
      </c>
      <c r="J5799" s="11" t="s">
        <v>839</v>
      </c>
      <c r="K5799" s="11" t="s">
        <v>83</v>
      </c>
      <c r="L5799" s="11" t="s">
        <v>27</v>
      </c>
      <c r="M5799" s="11" t="s">
        <v>49</v>
      </c>
      <c r="N5799" s="11" t="s">
        <v>73</v>
      </c>
      <c r="O5799" s="11" t="s">
        <v>1487</v>
      </c>
      <c r="P5799" s="11" t="s">
        <v>38</v>
      </c>
      <c r="Q5799" s="20">
        <v>40821.0</v>
      </c>
      <c r="R5799" s="17">
        <f t="shared" si="2"/>
        <v>66.42131522</v>
      </c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>
        <f t="shared" si="8"/>
        <v>1</v>
      </c>
      <c r="AF5799" s="19" t="b">
        <f t="shared" si="13"/>
        <v>0</v>
      </c>
      <c r="AG5799" s="9"/>
      <c r="AH5799" s="9"/>
      <c r="AI5799" s="9"/>
    </row>
    <row r="5800" ht="15.0" customHeight="1">
      <c r="A5800" s="11">
        <v>5799.0</v>
      </c>
      <c r="B5800" s="12">
        <f t="shared" si="927"/>
        <v>40819</v>
      </c>
      <c r="C5800" s="13">
        <v>2011.0</v>
      </c>
      <c r="D5800" s="11" t="s">
        <v>39</v>
      </c>
      <c r="E5800" s="11">
        <v>11.0</v>
      </c>
      <c r="F5800" s="21" t="s">
        <v>766</v>
      </c>
      <c r="G5800" s="15">
        <v>0.061000641436818416</v>
      </c>
      <c r="H5800" s="11" t="s">
        <v>45</v>
      </c>
      <c r="I5800" s="16">
        <v>24.0</v>
      </c>
      <c r="J5800" s="11" t="s">
        <v>593</v>
      </c>
      <c r="K5800" s="11" t="s">
        <v>65</v>
      </c>
      <c r="L5800" s="11" t="s">
        <v>48</v>
      </c>
      <c r="M5800" s="11" t="s">
        <v>49</v>
      </c>
      <c r="N5800" s="11" t="s">
        <v>50</v>
      </c>
      <c r="O5800" s="11" t="s">
        <v>1150</v>
      </c>
      <c r="P5800" s="11" t="s">
        <v>52</v>
      </c>
      <c r="Q5800" s="20">
        <v>40821.0</v>
      </c>
      <c r="R5800" s="17">
        <f t="shared" si="2"/>
        <v>89.298839</v>
      </c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>
        <f t="shared" si="8"/>
        <v>4</v>
      </c>
      <c r="AF5800" s="19">
        <f t="shared" si="13"/>
        <v>5</v>
      </c>
      <c r="AG5800" s="9"/>
      <c r="AH5800" s="9"/>
      <c r="AI5800" s="9"/>
    </row>
    <row r="5801" ht="15.0" customHeight="1">
      <c r="A5801" s="11">
        <v>5800.0</v>
      </c>
      <c r="B5801" s="12">
        <f t="shared" si="927"/>
        <v>40819</v>
      </c>
      <c r="C5801" s="13">
        <v>2011.0</v>
      </c>
      <c r="D5801" s="11" t="s">
        <v>23</v>
      </c>
      <c r="E5801" s="11">
        <v>39.0</v>
      </c>
      <c r="F5801" s="21" t="s">
        <v>471</v>
      </c>
      <c r="G5801" s="15">
        <v>0.027189877231302353</v>
      </c>
      <c r="H5801" s="11" t="s">
        <v>33</v>
      </c>
      <c r="I5801" s="16">
        <v>28.0</v>
      </c>
      <c r="J5801" s="11" t="s">
        <v>831</v>
      </c>
      <c r="K5801" s="11" t="s">
        <v>117</v>
      </c>
      <c r="L5801" s="11" t="s">
        <v>27</v>
      </c>
      <c r="M5801" s="11" t="s">
        <v>28</v>
      </c>
      <c r="N5801" s="11" t="s">
        <v>29</v>
      </c>
      <c r="O5801" s="11" t="s">
        <v>472</v>
      </c>
      <c r="P5801" s="11" t="s">
        <v>31</v>
      </c>
      <c r="Q5801" s="20">
        <v>40822.0</v>
      </c>
      <c r="R5801" s="17">
        <f t="shared" si="2"/>
        <v>35.11844543</v>
      </c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>
        <f t="shared" si="8"/>
        <v>1</v>
      </c>
      <c r="AF5801" s="19" t="b">
        <f t="shared" si="13"/>
        <v>0</v>
      </c>
      <c r="AG5801" s="9"/>
      <c r="AH5801" s="9"/>
      <c r="AI5801" s="9"/>
    </row>
    <row r="5802" ht="15.0" customHeight="1">
      <c r="A5802" s="11">
        <v>5801.0</v>
      </c>
      <c r="B5802" s="12">
        <f t="shared" si="927"/>
        <v>40819</v>
      </c>
      <c r="C5802" s="13">
        <v>2011.0</v>
      </c>
      <c r="D5802" s="11" t="s">
        <v>23</v>
      </c>
      <c r="E5802" s="11">
        <v>22.0</v>
      </c>
      <c r="F5802" s="21" t="s">
        <v>2522</v>
      </c>
      <c r="G5802" s="15">
        <v>0.060043416008498454</v>
      </c>
      <c r="H5802" s="11" t="s">
        <v>33</v>
      </c>
      <c r="I5802" s="16">
        <v>55.2</v>
      </c>
      <c r="J5802" s="11" t="s">
        <v>831</v>
      </c>
      <c r="K5802" s="11" t="s">
        <v>117</v>
      </c>
      <c r="L5802" s="11" t="s">
        <v>27</v>
      </c>
      <c r="M5802" s="11" t="s">
        <v>49</v>
      </c>
      <c r="N5802" s="11" t="s">
        <v>85</v>
      </c>
      <c r="O5802" s="11" t="s">
        <v>2523</v>
      </c>
      <c r="P5802" s="11" t="s">
        <v>31</v>
      </c>
      <c r="Q5802" s="20">
        <v>40822.0</v>
      </c>
      <c r="R5802" s="17">
        <f t="shared" si="2"/>
        <v>244.3887118</v>
      </c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>
        <f t="shared" si="8"/>
        <v>1</v>
      </c>
      <c r="AF5802" s="19" t="b">
        <f t="shared" si="13"/>
        <v>0</v>
      </c>
      <c r="AG5802" s="9"/>
      <c r="AH5802" s="9"/>
      <c r="AI5802" s="9"/>
    </row>
    <row r="5803" ht="15.0" customHeight="1">
      <c r="A5803" s="11">
        <v>5802.0</v>
      </c>
      <c r="B5803" s="12">
        <f t="shared" ref="B5803:B5807" si="928">DATE(2012,12,31)-454</f>
        <v>40820</v>
      </c>
      <c r="C5803" s="13">
        <v>2011.0</v>
      </c>
      <c r="D5803" s="11" t="s">
        <v>102</v>
      </c>
      <c r="E5803" s="11">
        <v>15.0</v>
      </c>
      <c r="F5803" s="21" t="s">
        <v>130</v>
      </c>
      <c r="G5803" s="15">
        <v>0.0258674246472851</v>
      </c>
      <c r="H5803" s="11" t="s">
        <v>33</v>
      </c>
      <c r="I5803" s="16">
        <v>3.136</v>
      </c>
      <c r="J5803" s="11" t="s">
        <v>320</v>
      </c>
      <c r="K5803" s="11" t="s">
        <v>65</v>
      </c>
      <c r="L5803" s="11" t="s">
        <v>36</v>
      </c>
      <c r="M5803" s="11" t="s">
        <v>49</v>
      </c>
      <c r="N5803" s="11" t="s">
        <v>73</v>
      </c>
      <c r="O5803" s="11" t="s">
        <v>877</v>
      </c>
      <c r="P5803" s="11" t="s">
        <v>99</v>
      </c>
      <c r="Q5803" s="20">
        <v>40822.0</v>
      </c>
      <c r="R5803" s="17">
        <f t="shared" si="2"/>
        <v>12.07067157</v>
      </c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>
        <f t="shared" si="8"/>
        <v>2</v>
      </c>
      <c r="AF5803" s="19">
        <f t="shared" si="13"/>
        <v>5</v>
      </c>
      <c r="AG5803" s="9"/>
      <c r="AH5803" s="9"/>
      <c r="AI5803" s="9"/>
    </row>
    <row r="5804" ht="15.0" customHeight="1">
      <c r="A5804" s="11">
        <v>5803.0</v>
      </c>
      <c r="B5804" s="12">
        <f t="shared" si="928"/>
        <v>40820</v>
      </c>
      <c r="C5804" s="13">
        <v>2011.0</v>
      </c>
      <c r="D5804" s="11" t="s">
        <v>102</v>
      </c>
      <c r="E5804" s="11">
        <v>7.0</v>
      </c>
      <c r="F5804" s="21" t="s">
        <v>306</v>
      </c>
      <c r="G5804" s="15">
        <v>0.08462809917355398</v>
      </c>
      <c r="H5804" s="11" t="s">
        <v>24</v>
      </c>
      <c r="I5804" s="16">
        <v>4.688000000000001</v>
      </c>
      <c r="J5804" s="11" t="s">
        <v>320</v>
      </c>
      <c r="K5804" s="11" t="s">
        <v>65</v>
      </c>
      <c r="L5804" s="11" t="s">
        <v>36</v>
      </c>
      <c r="M5804" s="11" t="s">
        <v>28</v>
      </c>
      <c r="N5804" s="11" t="s">
        <v>56</v>
      </c>
      <c r="O5804" s="11" t="s">
        <v>2227</v>
      </c>
      <c r="P5804" s="11" t="s">
        <v>38</v>
      </c>
      <c r="Q5804" s="20">
        <v>40822.0</v>
      </c>
      <c r="R5804" s="17">
        <f t="shared" si="2"/>
        <v>12.18543074</v>
      </c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>
        <f t="shared" si="8"/>
        <v>2</v>
      </c>
      <c r="AF5804" s="19">
        <f t="shared" si="13"/>
        <v>5</v>
      </c>
      <c r="AG5804" s="9"/>
      <c r="AH5804" s="9"/>
      <c r="AI5804" s="9"/>
    </row>
    <row r="5805" ht="15.0" customHeight="1">
      <c r="A5805" s="11">
        <v>5804.0</v>
      </c>
      <c r="B5805" s="12">
        <f t="shared" si="928"/>
        <v>40820</v>
      </c>
      <c r="C5805" s="13">
        <v>2011.0</v>
      </c>
      <c r="D5805" s="11" t="s">
        <v>23</v>
      </c>
      <c r="E5805" s="11">
        <v>46.0</v>
      </c>
      <c r="F5805" s="21" t="s">
        <v>2138</v>
      </c>
      <c r="G5805" s="15">
        <v>0.07844115354637585</v>
      </c>
      <c r="H5805" s="11" t="s">
        <v>33</v>
      </c>
      <c r="I5805" s="16">
        <v>3.7439999999999998</v>
      </c>
      <c r="J5805" s="11" t="s">
        <v>960</v>
      </c>
      <c r="K5805" s="11" t="s">
        <v>65</v>
      </c>
      <c r="L5805" s="11" t="s">
        <v>36</v>
      </c>
      <c r="M5805" s="11" t="s">
        <v>28</v>
      </c>
      <c r="N5805" s="11" t="s">
        <v>442</v>
      </c>
      <c r="O5805" s="11" t="s">
        <v>2139</v>
      </c>
      <c r="P5805" s="11" t="s">
        <v>99</v>
      </c>
      <c r="Q5805" s="20">
        <v>40822.0</v>
      </c>
      <c r="R5805" s="17">
        <f t="shared" si="2"/>
        <v>37.09827292</v>
      </c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>
        <f t="shared" si="8"/>
        <v>2</v>
      </c>
      <c r="AF5805" s="19">
        <f t="shared" si="13"/>
        <v>5</v>
      </c>
      <c r="AG5805" s="9"/>
      <c r="AH5805" s="9"/>
      <c r="AI5805" s="9"/>
    </row>
    <row r="5806" ht="15.0" customHeight="1">
      <c r="A5806" s="11">
        <v>5805.0</v>
      </c>
      <c r="B5806" s="12">
        <f t="shared" si="928"/>
        <v>40820</v>
      </c>
      <c r="C5806" s="13">
        <v>2011.0</v>
      </c>
      <c r="D5806" s="11" t="s">
        <v>39</v>
      </c>
      <c r="E5806" s="11">
        <v>2.0</v>
      </c>
      <c r="F5806" s="21" t="s">
        <v>256</v>
      </c>
      <c r="G5806" s="15">
        <v>0.061975308641975285</v>
      </c>
      <c r="H5806" s="11" t="s">
        <v>33</v>
      </c>
      <c r="I5806" s="16">
        <v>1.592</v>
      </c>
      <c r="J5806" s="11" t="s">
        <v>2392</v>
      </c>
      <c r="K5806" s="11" t="s">
        <v>26</v>
      </c>
      <c r="L5806" s="11" t="s">
        <v>48</v>
      </c>
      <c r="M5806" s="11" t="s">
        <v>66</v>
      </c>
      <c r="N5806" s="11" t="s">
        <v>67</v>
      </c>
      <c r="O5806" s="11" t="s">
        <v>2335</v>
      </c>
      <c r="P5806" s="11" t="s">
        <v>99</v>
      </c>
      <c r="Q5806" s="20">
        <v>40822.0</v>
      </c>
      <c r="R5806" s="17">
        <f t="shared" si="2"/>
        <v>1.88355358</v>
      </c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>
        <f t="shared" si="8"/>
        <v>4</v>
      </c>
      <c r="AF5806" s="19">
        <f t="shared" si="13"/>
        <v>1</v>
      </c>
      <c r="AG5806" s="9"/>
      <c r="AH5806" s="9"/>
      <c r="AI5806" s="9"/>
    </row>
    <row r="5807" ht="15.0" customHeight="1">
      <c r="A5807" s="11">
        <v>5806.0</v>
      </c>
      <c r="B5807" s="12">
        <f t="shared" si="928"/>
        <v>40820</v>
      </c>
      <c r="C5807" s="13">
        <v>2011.0</v>
      </c>
      <c r="D5807" s="11" t="s">
        <v>39</v>
      </c>
      <c r="E5807" s="11">
        <v>3.0</v>
      </c>
      <c r="F5807" s="21" t="s">
        <v>933</v>
      </c>
      <c r="G5807" s="15">
        <v>0.07821835958718092</v>
      </c>
      <c r="H5807" s="11" t="s">
        <v>33</v>
      </c>
      <c r="I5807" s="16">
        <v>2.0</v>
      </c>
      <c r="J5807" s="11" t="s">
        <v>2392</v>
      </c>
      <c r="K5807" s="11" t="s">
        <v>26</v>
      </c>
      <c r="L5807" s="11" t="s">
        <v>48</v>
      </c>
      <c r="M5807" s="11" t="s">
        <v>66</v>
      </c>
      <c r="N5807" s="11" t="s">
        <v>80</v>
      </c>
      <c r="O5807" s="11" t="s">
        <v>1708</v>
      </c>
      <c r="P5807" s="11" t="s">
        <v>99</v>
      </c>
      <c r="Q5807" s="20">
        <v>40822.0</v>
      </c>
      <c r="R5807" s="17">
        <f t="shared" si="2"/>
        <v>13.27365562</v>
      </c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>
        <f t="shared" si="8"/>
        <v>4</v>
      </c>
      <c r="AF5807" s="19">
        <f t="shared" si="13"/>
        <v>1</v>
      </c>
      <c r="AG5807" s="9"/>
      <c r="AH5807" s="9"/>
      <c r="AI5807" s="9"/>
    </row>
    <row r="5808" ht="15.0" customHeight="1">
      <c r="A5808" s="11">
        <v>5807.0</v>
      </c>
      <c r="B5808" s="12">
        <f t="shared" ref="B5808:B5811" si="929">DATE(2012,12,31)-453</f>
        <v>40821</v>
      </c>
      <c r="C5808" s="13">
        <v>2011.0</v>
      </c>
      <c r="D5808" s="11" t="s">
        <v>23</v>
      </c>
      <c r="E5808" s="11">
        <v>9.0</v>
      </c>
      <c r="F5808" s="21" t="s">
        <v>344</v>
      </c>
      <c r="G5808" s="15">
        <v>0.05039755351681956</v>
      </c>
      <c r="H5808" s="11" t="s">
        <v>33</v>
      </c>
      <c r="I5808" s="16">
        <v>3.608</v>
      </c>
      <c r="J5808" s="11" t="s">
        <v>1851</v>
      </c>
      <c r="K5808" s="11" t="s">
        <v>26</v>
      </c>
      <c r="L5808" s="11" t="s">
        <v>48</v>
      </c>
      <c r="M5808" s="11" t="s">
        <v>28</v>
      </c>
      <c r="N5808" s="11" t="s">
        <v>29</v>
      </c>
      <c r="O5808" s="11" t="s">
        <v>929</v>
      </c>
      <c r="P5808" s="11" t="s">
        <v>38</v>
      </c>
      <c r="Q5808" s="20">
        <v>40822.0</v>
      </c>
      <c r="R5808" s="17">
        <f t="shared" si="2"/>
        <v>6.259779327</v>
      </c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>
        <f t="shared" si="8"/>
        <v>4</v>
      </c>
      <c r="AF5808" s="19">
        <f t="shared" si="13"/>
        <v>1</v>
      </c>
      <c r="AG5808" s="9"/>
      <c r="AH5808" s="9"/>
      <c r="AI5808" s="9"/>
    </row>
    <row r="5809" ht="15.0" customHeight="1">
      <c r="A5809" s="11">
        <v>5808.0</v>
      </c>
      <c r="B5809" s="12">
        <f t="shared" si="929"/>
        <v>40821</v>
      </c>
      <c r="C5809" s="13">
        <v>2011.0</v>
      </c>
      <c r="D5809" s="11" t="s">
        <v>44</v>
      </c>
      <c r="E5809" s="11">
        <v>12.0</v>
      </c>
      <c r="F5809" s="21" t="s">
        <v>473</v>
      </c>
      <c r="G5809" s="15">
        <v>0.04393313667649957</v>
      </c>
      <c r="H5809" s="11" t="s">
        <v>33</v>
      </c>
      <c r="I5809" s="16">
        <v>7.359999999999999</v>
      </c>
      <c r="J5809" s="11" t="s">
        <v>988</v>
      </c>
      <c r="K5809" s="11" t="s">
        <v>26</v>
      </c>
      <c r="L5809" s="11" t="s">
        <v>48</v>
      </c>
      <c r="M5809" s="11" t="s">
        <v>49</v>
      </c>
      <c r="N5809" s="11" t="s">
        <v>73</v>
      </c>
      <c r="O5809" s="11" t="s">
        <v>1836</v>
      </c>
      <c r="P5809" s="11" t="s">
        <v>58</v>
      </c>
      <c r="Q5809" s="20">
        <v>40822.0</v>
      </c>
      <c r="R5809" s="17">
        <f t="shared" si="2"/>
        <v>21.35853373</v>
      </c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>
        <f t="shared" si="8"/>
        <v>4</v>
      </c>
      <c r="AF5809" s="19">
        <f t="shared" si="13"/>
        <v>1</v>
      </c>
      <c r="AG5809" s="9"/>
      <c r="AH5809" s="9"/>
      <c r="AI5809" s="9"/>
    </row>
    <row r="5810" ht="15.0" customHeight="1">
      <c r="A5810" s="11">
        <v>5809.0</v>
      </c>
      <c r="B5810" s="12">
        <f t="shared" si="929"/>
        <v>40821</v>
      </c>
      <c r="C5810" s="13">
        <v>2011.0</v>
      </c>
      <c r="D5810" s="11" t="s">
        <v>102</v>
      </c>
      <c r="E5810" s="11">
        <v>6.0</v>
      </c>
      <c r="F5810" s="21" t="s">
        <v>2094</v>
      </c>
      <c r="G5810" s="15">
        <v>0.0721932473236344</v>
      </c>
      <c r="H5810" s="11" t="s">
        <v>33</v>
      </c>
      <c r="I5810" s="16">
        <v>8.6</v>
      </c>
      <c r="J5810" s="11" t="s">
        <v>106</v>
      </c>
      <c r="K5810" s="11" t="s">
        <v>35</v>
      </c>
      <c r="L5810" s="11" t="s">
        <v>48</v>
      </c>
      <c r="M5810" s="11" t="s">
        <v>28</v>
      </c>
      <c r="N5810" s="11" t="s">
        <v>56</v>
      </c>
      <c r="O5810" s="11" t="s">
        <v>2096</v>
      </c>
      <c r="P5810" s="11" t="s">
        <v>38</v>
      </c>
      <c r="Q5810" s="20">
        <v>40823.0</v>
      </c>
      <c r="R5810" s="17">
        <f t="shared" si="2"/>
        <v>24.4013176</v>
      </c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>
        <f t="shared" si="8"/>
        <v>4</v>
      </c>
      <c r="AF5810" s="19">
        <f t="shared" si="13"/>
        <v>2</v>
      </c>
      <c r="AG5810" s="9"/>
      <c r="AH5810" s="9"/>
      <c r="AI5810" s="9"/>
    </row>
    <row r="5811" ht="15.0" customHeight="1">
      <c r="A5811" s="11">
        <v>5810.0</v>
      </c>
      <c r="B5811" s="12">
        <f t="shared" si="929"/>
        <v>40821</v>
      </c>
      <c r="C5811" s="13">
        <v>2011.0</v>
      </c>
      <c r="D5811" s="11" t="s">
        <v>102</v>
      </c>
      <c r="E5811" s="11">
        <v>25.0</v>
      </c>
      <c r="F5811" s="21" t="s">
        <v>950</v>
      </c>
      <c r="G5811" s="15">
        <v>0.07319294809010773</v>
      </c>
      <c r="H5811" s="11" t="s">
        <v>33</v>
      </c>
      <c r="I5811" s="16">
        <v>6.008</v>
      </c>
      <c r="J5811" s="11" t="s">
        <v>106</v>
      </c>
      <c r="K5811" s="11" t="s">
        <v>35</v>
      </c>
      <c r="L5811" s="11" t="s">
        <v>48</v>
      </c>
      <c r="M5811" s="11" t="s">
        <v>28</v>
      </c>
      <c r="N5811" s="11" t="s">
        <v>29</v>
      </c>
      <c r="O5811" s="11" t="s">
        <v>1177</v>
      </c>
      <c r="P5811" s="11" t="s">
        <v>38</v>
      </c>
      <c r="Q5811" s="20">
        <v>40823.0</v>
      </c>
      <c r="R5811" s="17">
        <f t="shared" si="2"/>
        <v>27.7041164</v>
      </c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>
        <f t="shared" si="8"/>
        <v>4</v>
      </c>
      <c r="AF5811" s="19">
        <f t="shared" si="13"/>
        <v>2</v>
      </c>
      <c r="AG5811" s="9"/>
      <c r="AH5811" s="9"/>
      <c r="AI5811" s="9"/>
    </row>
    <row r="5812" ht="15.0" customHeight="1">
      <c r="A5812" s="11">
        <v>5811.0</v>
      </c>
      <c r="B5812" s="12">
        <f t="shared" ref="B5812:B5816" si="930">DATE(2012,12,31)-452</f>
        <v>40822</v>
      </c>
      <c r="C5812" s="13">
        <v>2011.0</v>
      </c>
      <c r="D5812" s="11" t="s">
        <v>23</v>
      </c>
      <c r="E5812" s="11">
        <v>38.0</v>
      </c>
      <c r="F5812" s="21" t="s">
        <v>573</v>
      </c>
      <c r="G5812" s="15">
        <v>0.04949762559360167</v>
      </c>
      <c r="H5812" s="11" t="s">
        <v>33</v>
      </c>
      <c r="I5812" s="16">
        <v>4.096</v>
      </c>
      <c r="J5812" s="11" t="s">
        <v>2422</v>
      </c>
      <c r="K5812" s="11" t="s">
        <v>35</v>
      </c>
      <c r="L5812" s="11" t="s">
        <v>41</v>
      </c>
      <c r="M5812" s="11" t="s">
        <v>28</v>
      </c>
      <c r="N5812" s="11" t="s">
        <v>56</v>
      </c>
      <c r="O5812" s="11" t="s">
        <v>2202</v>
      </c>
      <c r="P5812" s="11" t="s">
        <v>38</v>
      </c>
      <c r="Q5812" s="20">
        <v>40823.0</v>
      </c>
      <c r="R5812" s="17">
        <f t="shared" si="2"/>
        <v>18.82374902</v>
      </c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>
        <f t="shared" si="8"/>
        <v>3</v>
      </c>
      <c r="AF5812" s="19">
        <f t="shared" si="13"/>
        <v>2</v>
      </c>
      <c r="AG5812" s="9"/>
      <c r="AH5812" s="9"/>
      <c r="AI5812" s="9"/>
    </row>
    <row r="5813" ht="15.0" customHeight="1">
      <c r="A5813" s="11">
        <v>5812.0</v>
      </c>
      <c r="B5813" s="12">
        <f t="shared" si="930"/>
        <v>40822</v>
      </c>
      <c r="C5813" s="13">
        <v>2011.0</v>
      </c>
      <c r="D5813" s="11" t="s">
        <v>32</v>
      </c>
      <c r="E5813" s="11">
        <v>43.0</v>
      </c>
      <c r="F5813" s="21" t="s">
        <v>469</v>
      </c>
      <c r="G5813" s="15">
        <v>0.06911240632805987</v>
      </c>
      <c r="H5813" s="11" t="s">
        <v>33</v>
      </c>
      <c r="I5813" s="16">
        <v>4.296</v>
      </c>
      <c r="J5813" s="11" t="s">
        <v>1622</v>
      </c>
      <c r="K5813" s="11" t="s">
        <v>65</v>
      </c>
      <c r="L5813" s="11" t="s">
        <v>41</v>
      </c>
      <c r="M5813" s="11" t="s">
        <v>28</v>
      </c>
      <c r="N5813" s="11" t="s">
        <v>197</v>
      </c>
      <c r="O5813" s="11" t="s">
        <v>1931</v>
      </c>
      <c r="P5813" s="11" t="s">
        <v>75</v>
      </c>
      <c r="Q5813" s="20">
        <v>40823.0</v>
      </c>
      <c r="R5813" s="17">
        <f t="shared" si="2"/>
        <v>77.26739383</v>
      </c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>
        <f t="shared" si="8"/>
        <v>3</v>
      </c>
      <c r="AF5813" s="19">
        <f t="shared" si="13"/>
        <v>5</v>
      </c>
      <c r="AG5813" s="9"/>
      <c r="AH5813" s="9"/>
      <c r="AI5813" s="9"/>
    </row>
    <row r="5814" ht="15.0" customHeight="1">
      <c r="A5814" s="11">
        <v>5813.0</v>
      </c>
      <c r="B5814" s="12">
        <f t="shared" si="930"/>
        <v>40822</v>
      </c>
      <c r="C5814" s="13">
        <v>2011.0</v>
      </c>
      <c r="D5814" s="11" t="s">
        <v>32</v>
      </c>
      <c r="E5814" s="11">
        <v>38.0</v>
      </c>
      <c r="F5814" s="21" t="s">
        <v>2245</v>
      </c>
      <c r="G5814" s="15">
        <v>0.011641324644639982</v>
      </c>
      <c r="H5814" s="11" t="s">
        <v>45</v>
      </c>
      <c r="I5814" s="16">
        <v>22.904</v>
      </c>
      <c r="J5814" s="11" t="s">
        <v>1622</v>
      </c>
      <c r="K5814" s="11" t="s">
        <v>65</v>
      </c>
      <c r="L5814" s="11" t="s">
        <v>41</v>
      </c>
      <c r="M5814" s="11" t="s">
        <v>49</v>
      </c>
      <c r="N5814" s="11" t="s">
        <v>50</v>
      </c>
      <c r="O5814" s="11" t="s">
        <v>2246</v>
      </c>
      <c r="P5814" s="11" t="s">
        <v>52</v>
      </c>
      <c r="Q5814" s="20">
        <v>40824.0</v>
      </c>
      <c r="R5814" s="17">
        <f t="shared" si="2"/>
        <v>60.38476163</v>
      </c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>
        <f t="shared" si="8"/>
        <v>3</v>
      </c>
      <c r="AF5814" s="19">
        <f t="shared" si="13"/>
        <v>5</v>
      </c>
      <c r="AG5814" s="9"/>
      <c r="AH5814" s="9"/>
      <c r="AI5814" s="9"/>
    </row>
    <row r="5815" ht="15.0" customHeight="1">
      <c r="A5815" s="11">
        <v>5814.0</v>
      </c>
      <c r="B5815" s="12">
        <f t="shared" si="930"/>
        <v>40822</v>
      </c>
      <c r="C5815" s="13">
        <v>2011.0</v>
      </c>
      <c r="D5815" s="11" t="s">
        <v>32</v>
      </c>
      <c r="E5815" s="11">
        <v>39.0</v>
      </c>
      <c r="F5815" s="21" t="s">
        <v>137</v>
      </c>
      <c r="G5815" s="15">
        <v>0.06634807530916977</v>
      </c>
      <c r="H5815" s="11" t="s">
        <v>33</v>
      </c>
      <c r="I5815" s="16">
        <v>11.192</v>
      </c>
      <c r="J5815" s="11" t="s">
        <v>1622</v>
      </c>
      <c r="K5815" s="11" t="s">
        <v>65</v>
      </c>
      <c r="L5815" s="11" t="s">
        <v>41</v>
      </c>
      <c r="M5815" s="11" t="s">
        <v>66</v>
      </c>
      <c r="N5815" s="11" t="s">
        <v>69</v>
      </c>
      <c r="O5815" s="11" t="s">
        <v>468</v>
      </c>
      <c r="P5815" s="11" t="s">
        <v>75</v>
      </c>
      <c r="Q5815" s="20">
        <v>40824.0</v>
      </c>
      <c r="R5815" s="17">
        <f t="shared" si="2"/>
        <v>391.2076257</v>
      </c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>
        <f t="shared" si="8"/>
        <v>3</v>
      </c>
      <c r="AF5815" s="19">
        <f t="shared" si="13"/>
        <v>5</v>
      </c>
      <c r="AG5815" s="9"/>
      <c r="AH5815" s="9"/>
      <c r="AI5815" s="9"/>
    </row>
    <row r="5816" ht="15.0" customHeight="1">
      <c r="A5816" s="11">
        <v>5815.0</v>
      </c>
      <c r="B5816" s="12">
        <f t="shared" si="930"/>
        <v>40822</v>
      </c>
      <c r="C5816" s="13">
        <v>2011.0</v>
      </c>
      <c r="D5816" s="11" t="s">
        <v>102</v>
      </c>
      <c r="E5816" s="11">
        <v>7.0</v>
      </c>
      <c r="F5816" s="21" t="s">
        <v>569</v>
      </c>
      <c r="G5816" s="15">
        <v>0.039438194395919265</v>
      </c>
      <c r="H5816" s="11" t="s">
        <v>24</v>
      </c>
      <c r="I5816" s="16">
        <v>3.3600000000000003</v>
      </c>
      <c r="J5816" s="11" t="s">
        <v>679</v>
      </c>
      <c r="K5816" s="11" t="s">
        <v>61</v>
      </c>
      <c r="L5816" s="11" t="s">
        <v>48</v>
      </c>
      <c r="M5816" s="11" t="s">
        <v>66</v>
      </c>
      <c r="N5816" s="11" t="s">
        <v>80</v>
      </c>
      <c r="O5816" s="11" t="s">
        <v>2067</v>
      </c>
      <c r="P5816" s="11" t="s">
        <v>38</v>
      </c>
      <c r="Q5816" s="20">
        <v>40824.0</v>
      </c>
      <c r="R5816" s="17">
        <f t="shared" si="2"/>
        <v>54.21410831</v>
      </c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>
        <f t="shared" si="8"/>
        <v>4</v>
      </c>
      <c r="AF5816" s="19">
        <f t="shared" si="13"/>
        <v>4</v>
      </c>
      <c r="AG5816" s="9"/>
      <c r="AH5816" s="9"/>
      <c r="AI5816" s="9"/>
    </row>
    <row r="5817" ht="15.0" customHeight="1">
      <c r="A5817" s="11">
        <v>5816.0</v>
      </c>
      <c r="B5817" s="12">
        <f t="shared" ref="B5817:B5821" si="931">DATE(2012,12,31)-451</f>
        <v>40823</v>
      </c>
      <c r="C5817" s="13">
        <v>2011.0</v>
      </c>
      <c r="D5817" s="11" t="s">
        <v>23</v>
      </c>
      <c r="E5817" s="11">
        <v>18.0</v>
      </c>
      <c r="F5817" s="21" t="s">
        <v>158</v>
      </c>
      <c r="G5817" s="15">
        <v>0.03935587761674722</v>
      </c>
      <c r="H5817" s="11" t="s">
        <v>33</v>
      </c>
      <c r="I5817" s="16">
        <v>4.112</v>
      </c>
      <c r="J5817" s="11" t="s">
        <v>1332</v>
      </c>
      <c r="K5817" s="11" t="s">
        <v>35</v>
      </c>
      <c r="L5817" s="11" t="s">
        <v>36</v>
      </c>
      <c r="M5817" s="11" t="s">
        <v>28</v>
      </c>
      <c r="N5817" s="11" t="s">
        <v>56</v>
      </c>
      <c r="O5817" s="11" t="s">
        <v>1424</v>
      </c>
      <c r="P5817" s="11" t="s">
        <v>38</v>
      </c>
      <c r="Q5817" s="20">
        <v>40824.0</v>
      </c>
      <c r="R5817" s="17">
        <f t="shared" si="2"/>
        <v>4.69562847</v>
      </c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>
        <f t="shared" si="8"/>
        <v>2</v>
      </c>
      <c r="AF5817" s="19">
        <f t="shared" si="13"/>
        <v>2</v>
      </c>
      <c r="AG5817" s="9"/>
      <c r="AH5817" s="9"/>
      <c r="AI5817" s="9"/>
    </row>
    <row r="5818" ht="15.0" customHeight="1">
      <c r="A5818" s="11">
        <v>5817.0</v>
      </c>
      <c r="B5818" s="12">
        <f t="shared" si="931"/>
        <v>40823</v>
      </c>
      <c r="C5818" s="13">
        <v>2011.0</v>
      </c>
      <c r="D5818" s="11" t="s">
        <v>44</v>
      </c>
      <c r="E5818" s="11">
        <v>41.0</v>
      </c>
      <c r="F5818" s="21" t="s">
        <v>678</v>
      </c>
      <c r="G5818" s="15">
        <v>0.04309358081979905</v>
      </c>
      <c r="H5818" s="11" t="s">
        <v>33</v>
      </c>
      <c r="I5818" s="16">
        <v>1.4560000000000002</v>
      </c>
      <c r="J5818" s="11" t="s">
        <v>786</v>
      </c>
      <c r="K5818" s="11" t="s">
        <v>35</v>
      </c>
      <c r="L5818" s="11" t="s">
        <v>48</v>
      </c>
      <c r="M5818" s="11" t="s">
        <v>28</v>
      </c>
      <c r="N5818" s="11" t="s">
        <v>216</v>
      </c>
      <c r="O5818" s="11" t="s">
        <v>2566</v>
      </c>
      <c r="P5818" s="11" t="s">
        <v>58</v>
      </c>
      <c r="Q5818" s="20">
        <v>40825.0</v>
      </c>
      <c r="R5818" s="17">
        <f t="shared" si="2"/>
        <v>10.66376514</v>
      </c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>
        <f t="shared" si="8"/>
        <v>4</v>
      </c>
      <c r="AF5818" s="19">
        <f t="shared" si="13"/>
        <v>2</v>
      </c>
      <c r="AG5818" s="9"/>
      <c r="AH5818" s="9"/>
      <c r="AI5818" s="9"/>
    </row>
    <row r="5819" ht="15.0" customHeight="1">
      <c r="A5819" s="11">
        <v>5818.0</v>
      </c>
      <c r="B5819" s="12">
        <f t="shared" si="931"/>
        <v>40823</v>
      </c>
      <c r="C5819" s="13">
        <v>2011.0</v>
      </c>
      <c r="D5819" s="11" t="s">
        <v>32</v>
      </c>
      <c r="E5819" s="11">
        <v>29.0</v>
      </c>
      <c r="F5819" s="21" t="s">
        <v>333</v>
      </c>
      <c r="G5819" s="15">
        <v>0.0704490690032859</v>
      </c>
      <c r="H5819" s="11" t="s">
        <v>33</v>
      </c>
      <c r="I5819" s="16">
        <v>0.768</v>
      </c>
      <c r="J5819" s="11" t="s">
        <v>456</v>
      </c>
      <c r="K5819" s="11" t="s">
        <v>35</v>
      </c>
      <c r="L5819" s="11" t="s">
        <v>27</v>
      </c>
      <c r="M5819" s="11" t="s">
        <v>28</v>
      </c>
      <c r="N5819" s="11" t="s">
        <v>62</v>
      </c>
      <c r="O5819" s="11" t="s">
        <v>549</v>
      </c>
      <c r="P5819" s="11" t="s">
        <v>58</v>
      </c>
      <c r="Q5819" s="20">
        <v>40825.0</v>
      </c>
      <c r="R5819" s="17">
        <f t="shared" si="2"/>
        <v>5.978871588</v>
      </c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>
        <f t="shared" si="8"/>
        <v>1</v>
      </c>
      <c r="AF5819" s="19">
        <f t="shared" si="13"/>
        <v>2</v>
      </c>
      <c r="AG5819" s="9"/>
      <c r="AH5819" s="9"/>
      <c r="AI5819" s="9"/>
    </row>
    <row r="5820" ht="15.0" customHeight="1">
      <c r="A5820" s="11">
        <v>5819.0</v>
      </c>
      <c r="B5820" s="12">
        <f t="shared" si="931"/>
        <v>40823</v>
      </c>
      <c r="C5820" s="13">
        <v>2011.0</v>
      </c>
      <c r="D5820" s="11" t="s">
        <v>44</v>
      </c>
      <c r="E5820" s="11">
        <v>21.0</v>
      </c>
      <c r="F5820" s="21" t="s">
        <v>151</v>
      </c>
      <c r="G5820" s="15">
        <v>0.11365239294710328</v>
      </c>
      <c r="H5820" s="11" t="s">
        <v>33</v>
      </c>
      <c r="I5820" s="16">
        <v>3.176</v>
      </c>
      <c r="J5820" s="11" t="s">
        <v>608</v>
      </c>
      <c r="K5820" s="11" t="s">
        <v>35</v>
      </c>
      <c r="L5820" s="11" t="s">
        <v>48</v>
      </c>
      <c r="M5820" s="11" t="s">
        <v>28</v>
      </c>
      <c r="N5820" s="11" t="s">
        <v>62</v>
      </c>
      <c r="O5820" s="11" t="s">
        <v>153</v>
      </c>
      <c r="P5820" s="11" t="s">
        <v>58</v>
      </c>
      <c r="Q5820" s="20">
        <v>40826.0</v>
      </c>
      <c r="R5820" s="17">
        <f t="shared" si="2"/>
        <v>7.998400806</v>
      </c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>
        <f t="shared" si="8"/>
        <v>4</v>
      </c>
      <c r="AF5820" s="19">
        <f t="shared" si="13"/>
        <v>2</v>
      </c>
      <c r="AG5820" s="9"/>
      <c r="AH5820" s="9"/>
      <c r="AI5820" s="9"/>
    </row>
    <row r="5821" ht="15.0" customHeight="1">
      <c r="A5821" s="11">
        <v>5820.0</v>
      </c>
      <c r="B5821" s="12">
        <f t="shared" si="931"/>
        <v>40823</v>
      </c>
      <c r="C5821" s="13">
        <v>2011.0</v>
      </c>
      <c r="D5821" s="11" t="s">
        <v>44</v>
      </c>
      <c r="E5821" s="11">
        <v>39.0</v>
      </c>
      <c r="F5821" s="21" t="s">
        <v>128</v>
      </c>
      <c r="G5821" s="15">
        <v>0.020654849631547425</v>
      </c>
      <c r="H5821" s="11" t="s">
        <v>33</v>
      </c>
      <c r="I5821" s="16">
        <v>7.192</v>
      </c>
      <c r="J5821" s="11" t="s">
        <v>608</v>
      </c>
      <c r="K5821" s="11" t="s">
        <v>35</v>
      </c>
      <c r="L5821" s="11" t="s">
        <v>48</v>
      </c>
      <c r="M5821" s="11" t="s">
        <v>66</v>
      </c>
      <c r="N5821" s="11" t="s">
        <v>80</v>
      </c>
      <c r="O5821" s="11" t="s">
        <v>214</v>
      </c>
      <c r="P5821" s="11" t="s">
        <v>38</v>
      </c>
      <c r="Q5821" s="20">
        <v>40826.0</v>
      </c>
      <c r="R5821" s="17">
        <f t="shared" si="2"/>
        <v>101.5659269</v>
      </c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>
        <f t="shared" si="8"/>
        <v>4</v>
      </c>
      <c r="AF5821" s="19">
        <f t="shared" si="13"/>
        <v>2</v>
      </c>
      <c r="AG5821" s="9"/>
      <c r="AH5821" s="9"/>
      <c r="AI5821" s="9"/>
    </row>
    <row r="5822" ht="15.0" customHeight="1">
      <c r="A5822" s="11">
        <v>5821.0</v>
      </c>
      <c r="B5822" s="12">
        <f t="shared" ref="B5822:B5825" si="932">DATE(2012,12,31)-450</f>
        <v>40824</v>
      </c>
      <c r="C5822" s="13">
        <v>2011.0</v>
      </c>
      <c r="D5822" s="11" t="s">
        <v>39</v>
      </c>
      <c r="E5822" s="11">
        <v>17.0</v>
      </c>
      <c r="F5822" s="21" t="s">
        <v>142</v>
      </c>
      <c r="G5822" s="15">
        <v>0.08627100996578908</v>
      </c>
      <c r="H5822" s="11" t="s">
        <v>33</v>
      </c>
      <c r="I5822" s="16">
        <v>4.0</v>
      </c>
      <c r="J5822" s="11" t="s">
        <v>1972</v>
      </c>
      <c r="K5822" s="11" t="s">
        <v>61</v>
      </c>
      <c r="L5822" s="11" t="s">
        <v>48</v>
      </c>
      <c r="M5822" s="11" t="s">
        <v>66</v>
      </c>
      <c r="N5822" s="11" t="s">
        <v>80</v>
      </c>
      <c r="O5822" s="11" t="s">
        <v>540</v>
      </c>
      <c r="P5822" s="11" t="s">
        <v>38</v>
      </c>
      <c r="Q5822" s="20">
        <v>40826.0</v>
      </c>
      <c r="R5822" s="17">
        <f t="shared" si="2"/>
        <v>52.99628142</v>
      </c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>
        <f t="shared" si="8"/>
        <v>4</v>
      </c>
      <c r="AF5822" s="19">
        <f t="shared" si="13"/>
        <v>4</v>
      </c>
      <c r="AG5822" s="9"/>
      <c r="AH5822" s="9"/>
      <c r="AI5822" s="9"/>
    </row>
    <row r="5823" ht="15.0" customHeight="1">
      <c r="A5823" s="11">
        <v>5822.0</v>
      </c>
      <c r="B5823" s="12">
        <f t="shared" si="932"/>
        <v>40824</v>
      </c>
      <c r="C5823" s="13">
        <v>2011.0</v>
      </c>
      <c r="D5823" s="11" t="s">
        <v>39</v>
      </c>
      <c r="E5823" s="11">
        <v>35.0</v>
      </c>
      <c r="F5823" s="21" t="s">
        <v>1088</v>
      </c>
      <c r="G5823" s="15">
        <v>0.04078766250318642</v>
      </c>
      <c r="H5823" s="11" t="s">
        <v>33</v>
      </c>
      <c r="I5823" s="16">
        <v>3.696</v>
      </c>
      <c r="J5823" s="11" t="s">
        <v>1058</v>
      </c>
      <c r="K5823" s="11" t="s">
        <v>61</v>
      </c>
      <c r="L5823" s="11" t="s">
        <v>41</v>
      </c>
      <c r="M5823" s="11" t="s">
        <v>28</v>
      </c>
      <c r="N5823" s="11" t="s">
        <v>197</v>
      </c>
      <c r="O5823" s="11" t="s">
        <v>1090</v>
      </c>
      <c r="P5823" s="11" t="s">
        <v>38</v>
      </c>
      <c r="Q5823" s="20">
        <v>40826.0</v>
      </c>
      <c r="R5823" s="17">
        <f t="shared" si="2"/>
        <v>61.39342645</v>
      </c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>
        <f t="shared" si="8"/>
        <v>3</v>
      </c>
      <c r="AF5823" s="19">
        <f t="shared" si="13"/>
        <v>4</v>
      </c>
      <c r="AG5823" s="9"/>
      <c r="AH5823" s="9"/>
      <c r="AI5823" s="9"/>
    </row>
    <row r="5824" ht="15.0" customHeight="1">
      <c r="A5824" s="11">
        <v>5823.0</v>
      </c>
      <c r="B5824" s="12">
        <f t="shared" si="932"/>
        <v>40824</v>
      </c>
      <c r="C5824" s="13">
        <v>2011.0</v>
      </c>
      <c r="D5824" s="11" t="s">
        <v>39</v>
      </c>
      <c r="E5824" s="11">
        <v>3.0</v>
      </c>
      <c r="F5824" s="21" t="s">
        <v>314</v>
      </c>
      <c r="G5824" s="15">
        <v>0.010256410256410402</v>
      </c>
      <c r="H5824" s="11" t="s">
        <v>33</v>
      </c>
      <c r="I5824" s="16">
        <v>0.4</v>
      </c>
      <c r="J5824" s="11" t="s">
        <v>1058</v>
      </c>
      <c r="K5824" s="11" t="s">
        <v>61</v>
      </c>
      <c r="L5824" s="11" t="s">
        <v>41</v>
      </c>
      <c r="M5824" s="11" t="s">
        <v>28</v>
      </c>
      <c r="N5824" s="11" t="s">
        <v>188</v>
      </c>
      <c r="O5824" s="11" t="s">
        <v>516</v>
      </c>
      <c r="P5824" s="11" t="s">
        <v>38</v>
      </c>
      <c r="Q5824" s="20">
        <v>40826.0</v>
      </c>
      <c r="R5824" s="17">
        <f t="shared" si="2"/>
        <v>0.1979487179</v>
      </c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>
        <f t="shared" si="8"/>
        <v>3</v>
      </c>
      <c r="AF5824" s="19">
        <f t="shared" si="13"/>
        <v>4</v>
      </c>
      <c r="AG5824" s="9"/>
      <c r="AH5824" s="9"/>
      <c r="AI5824" s="9"/>
    </row>
    <row r="5825" ht="15.0" customHeight="1">
      <c r="A5825" s="11">
        <v>5824.0</v>
      </c>
      <c r="B5825" s="12">
        <f t="shared" si="932"/>
        <v>40824</v>
      </c>
      <c r="C5825" s="13">
        <v>2011.0</v>
      </c>
      <c r="D5825" s="11" t="s">
        <v>39</v>
      </c>
      <c r="E5825" s="11">
        <v>22.0</v>
      </c>
      <c r="F5825" s="21" t="s">
        <v>158</v>
      </c>
      <c r="G5825" s="15">
        <v>0.05039517749497656</v>
      </c>
      <c r="H5825" s="11" t="s">
        <v>33</v>
      </c>
      <c r="I5825" s="16">
        <v>0.976</v>
      </c>
      <c r="J5825" s="11" t="s">
        <v>1058</v>
      </c>
      <c r="K5825" s="11" t="s">
        <v>61</v>
      </c>
      <c r="L5825" s="11" t="s">
        <v>41</v>
      </c>
      <c r="M5825" s="11" t="s">
        <v>28</v>
      </c>
      <c r="N5825" s="11" t="s">
        <v>62</v>
      </c>
      <c r="O5825" s="11" t="s">
        <v>1426</v>
      </c>
      <c r="P5825" s="11" t="s">
        <v>58</v>
      </c>
      <c r="Q5825" s="20">
        <v>40826.0</v>
      </c>
      <c r="R5825" s="17">
        <f t="shared" si="2"/>
        <v>7.144826685</v>
      </c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>
        <f t="shared" si="8"/>
        <v>3</v>
      </c>
      <c r="AF5825" s="19">
        <f t="shared" si="13"/>
        <v>4</v>
      </c>
      <c r="AG5825" s="9"/>
      <c r="AH5825" s="9"/>
      <c r="AI5825" s="9"/>
    </row>
    <row r="5826" ht="15.0" customHeight="1">
      <c r="A5826" s="11">
        <v>5825.0</v>
      </c>
      <c r="B5826" s="12">
        <f t="shared" ref="B5826:B5837" si="933">DATE(2012,12,31)-449</f>
        <v>40825</v>
      </c>
      <c r="C5826" s="13">
        <v>2011.0</v>
      </c>
      <c r="D5826" s="11" t="s">
        <v>32</v>
      </c>
      <c r="E5826" s="11">
        <v>1.0</v>
      </c>
      <c r="F5826" s="21" t="s">
        <v>130</v>
      </c>
      <c r="G5826" s="15">
        <v>0.13353448275862065</v>
      </c>
      <c r="H5826" s="11" t="s">
        <v>33</v>
      </c>
      <c r="I5826" s="16">
        <v>9.304</v>
      </c>
      <c r="J5826" s="11" t="s">
        <v>1884</v>
      </c>
      <c r="K5826" s="11" t="s">
        <v>117</v>
      </c>
      <c r="L5826" s="11" t="s">
        <v>36</v>
      </c>
      <c r="M5826" s="11" t="s">
        <v>28</v>
      </c>
      <c r="N5826" s="11" t="s">
        <v>42</v>
      </c>
      <c r="O5826" s="11" t="s">
        <v>2567</v>
      </c>
      <c r="P5826" s="11" t="s">
        <v>38</v>
      </c>
      <c r="Q5826" s="20">
        <v>40827.0</v>
      </c>
      <c r="R5826" s="17">
        <f t="shared" si="2"/>
        <v>5.368620345</v>
      </c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>
        <f t="shared" si="8"/>
        <v>2</v>
      </c>
      <c r="AF5826" s="19" t="b">
        <f t="shared" si="13"/>
        <v>0</v>
      </c>
      <c r="AG5826" s="9"/>
      <c r="AH5826" s="9"/>
      <c r="AI5826" s="9"/>
    </row>
    <row r="5827" ht="15.0" customHeight="1">
      <c r="A5827" s="11">
        <v>5826.0</v>
      </c>
      <c r="B5827" s="12">
        <f t="shared" si="933"/>
        <v>40825</v>
      </c>
      <c r="C5827" s="13">
        <v>2011.0</v>
      </c>
      <c r="D5827" s="11" t="s">
        <v>32</v>
      </c>
      <c r="E5827" s="11">
        <v>42.0</v>
      </c>
      <c r="F5827" s="21" t="s">
        <v>2004</v>
      </c>
      <c r="G5827" s="15">
        <v>0.08541447533183069</v>
      </c>
      <c r="H5827" s="11" t="s">
        <v>33</v>
      </c>
      <c r="I5827" s="16">
        <v>11.776000000000002</v>
      </c>
      <c r="J5827" s="11" t="s">
        <v>1884</v>
      </c>
      <c r="K5827" s="11" t="s">
        <v>117</v>
      </c>
      <c r="L5827" s="11" t="s">
        <v>36</v>
      </c>
      <c r="M5827" s="11" t="s">
        <v>28</v>
      </c>
      <c r="N5827" s="11" t="s">
        <v>42</v>
      </c>
      <c r="O5827" s="11" t="s">
        <v>2005</v>
      </c>
      <c r="P5827" s="11" t="s">
        <v>38</v>
      </c>
      <c r="Q5827" s="20">
        <v>40827.0</v>
      </c>
      <c r="R5827" s="17">
        <f t="shared" si="2"/>
        <v>124.7714156</v>
      </c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>
        <f t="shared" si="8"/>
        <v>2</v>
      </c>
      <c r="AF5827" s="19" t="b">
        <f t="shared" si="13"/>
        <v>0</v>
      </c>
      <c r="AG5827" s="9"/>
      <c r="AH5827" s="9"/>
      <c r="AI5827" s="9"/>
    </row>
    <row r="5828" ht="15.0" customHeight="1">
      <c r="A5828" s="11">
        <v>5827.0</v>
      </c>
      <c r="B5828" s="12">
        <f t="shared" si="933"/>
        <v>40825</v>
      </c>
      <c r="C5828" s="13">
        <v>2011.0</v>
      </c>
      <c r="D5828" s="11" t="s">
        <v>39</v>
      </c>
      <c r="E5828" s="11">
        <v>40.0</v>
      </c>
      <c r="F5828" s="21" t="s">
        <v>158</v>
      </c>
      <c r="G5828" s="15">
        <v>0.025432746346946252</v>
      </c>
      <c r="H5828" s="11" t="s">
        <v>33</v>
      </c>
      <c r="I5828" s="16">
        <v>4.112</v>
      </c>
      <c r="J5828" s="11" t="s">
        <v>867</v>
      </c>
      <c r="K5828" s="11" t="s">
        <v>65</v>
      </c>
      <c r="L5828" s="11" t="s">
        <v>36</v>
      </c>
      <c r="M5828" s="11" t="s">
        <v>28</v>
      </c>
      <c r="N5828" s="11" t="s">
        <v>56</v>
      </c>
      <c r="O5828" s="11" t="s">
        <v>1424</v>
      </c>
      <c r="P5828" s="11" t="s">
        <v>38</v>
      </c>
      <c r="Q5828" s="20">
        <v>40827.0</v>
      </c>
      <c r="R5828" s="17">
        <f t="shared" si="2"/>
        <v>6.615362518</v>
      </c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>
        <f t="shared" si="8"/>
        <v>2</v>
      </c>
      <c r="AF5828" s="19">
        <f t="shared" si="13"/>
        <v>5</v>
      </c>
      <c r="AG5828" s="9"/>
      <c r="AH5828" s="9"/>
      <c r="AI5828" s="9"/>
    </row>
    <row r="5829" ht="15.0" customHeight="1">
      <c r="A5829" s="11">
        <v>5828.0</v>
      </c>
      <c r="B5829" s="12">
        <f t="shared" si="933"/>
        <v>40825</v>
      </c>
      <c r="C5829" s="13">
        <v>2011.0</v>
      </c>
      <c r="D5829" s="11" t="s">
        <v>39</v>
      </c>
      <c r="E5829" s="11">
        <v>16.0</v>
      </c>
      <c r="F5829" s="21" t="s">
        <v>2138</v>
      </c>
      <c r="G5829" s="15">
        <v>0.027699475829935937</v>
      </c>
      <c r="H5829" s="11" t="s">
        <v>33</v>
      </c>
      <c r="I5829" s="16">
        <v>3.7439999999999998</v>
      </c>
      <c r="J5829" s="11" t="s">
        <v>867</v>
      </c>
      <c r="K5829" s="11" t="s">
        <v>65</v>
      </c>
      <c r="L5829" s="11" t="s">
        <v>36</v>
      </c>
      <c r="M5829" s="11" t="s">
        <v>28</v>
      </c>
      <c r="N5829" s="11" t="s">
        <v>442</v>
      </c>
      <c r="O5829" s="11" t="s">
        <v>2139</v>
      </c>
      <c r="P5829" s="11" t="s">
        <v>99</v>
      </c>
      <c r="Q5829" s="20">
        <v>40827.0</v>
      </c>
      <c r="R5829" s="17">
        <f t="shared" si="2"/>
        <v>4.624261293</v>
      </c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>
        <f t="shared" si="8"/>
        <v>2</v>
      </c>
      <c r="AF5829" s="19">
        <f t="shared" si="13"/>
        <v>5</v>
      </c>
      <c r="AG5829" s="9"/>
      <c r="AH5829" s="9"/>
      <c r="AI5829" s="9"/>
    </row>
    <row r="5830" ht="15.0" customHeight="1">
      <c r="A5830" s="11">
        <v>5829.0</v>
      </c>
      <c r="B5830" s="12">
        <f t="shared" si="933"/>
        <v>40825</v>
      </c>
      <c r="C5830" s="13">
        <v>2011.0</v>
      </c>
      <c r="D5830" s="11" t="s">
        <v>44</v>
      </c>
      <c r="E5830" s="11">
        <v>39.0</v>
      </c>
      <c r="F5830" s="21" t="s">
        <v>452</v>
      </c>
      <c r="G5830" s="15">
        <v>0.09150511781273626</v>
      </c>
      <c r="H5830" s="11" t="s">
        <v>33</v>
      </c>
      <c r="I5830" s="16">
        <v>0.792</v>
      </c>
      <c r="J5830" s="11" t="s">
        <v>1294</v>
      </c>
      <c r="K5830" s="11" t="s">
        <v>47</v>
      </c>
      <c r="L5830" s="11" t="s">
        <v>27</v>
      </c>
      <c r="M5830" s="11" t="s">
        <v>28</v>
      </c>
      <c r="N5830" s="11" t="s">
        <v>197</v>
      </c>
      <c r="O5830" s="11" t="s">
        <v>454</v>
      </c>
      <c r="P5830" s="11" t="s">
        <v>38</v>
      </c>
      <c r="Q5830" s="20">
        <v>40827.0</v>
      </c>
      <c r="R5830" s="17">
        <f t="shared" si="2"/>
        <v>242.0303046</v>
      </c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>
        <f t="shared" si="8"/>
        <v>1</v>
      </c>
      <c r="AF5830" s="19">
        <f t="shared" si="13"/>
        <v>3</v>
      </c>
      <c r="AG5830" s="9"/>
      <c r="AH5830" s="9"/>
      <c r="AI5830" s="9"/>
    </row>
    <row r="5831" ht="15.0" customHeight="1">
      <c r="A5831" s="11">
        <v>5830.0</v>
      </c>
      <c r="B5831" s="12">
        <f t="shared" si="933"/>
        <v>40825</v>
      </c>
      <c r="C5831" s="13">
        <v>2011.0</v>
      </c>
      <c r="D5831" s="11" t="s">
        <v>102</v>
      </c>
      <c r="E5831" s="11">
        <v>9.0</v>
      </c>
      <c r="F5831" s="21" t="s">
        <v>948</v>
      </c>
      <c r="G5831" s="15">
        <v>0.09955375253549699</v>
      </c>
      <c r="H5831" s="11" t="s">
        <v>33</v>
      </c>
      <c r="I5831" s="16">
        <v>1.192</v>
      </c>
      <c r="J5831" s="11" t="s">
        <v>1685</v>
      </c>
      <c r="K5831" s="11" t="s">
        <v>61</v>
      </c>
      <c r="L5831" s="11" t="s">
        <v>41</v>
      </c>
      <c r="M5831" s="11" t="s">
        <v>28</v>
      </c>
      <c r="N5831" s="11" t="s">
        <v>42</v>
      </c>
      <c r="O5831" s="11" t="s">
        <v>2507</v>
      </c>
      <c r="P5831" s="11" t="s">
        <v>38</v>
      </c>
      <c r="Q5831" s="20">
        <v>40827.0</v>
      </c>
      <c r="R5831" s="17">
        <f t="shared" si="2"/>
        <v>4.419390183</v>
      </c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>
        <f t="shared" si="8"/>
        <v>3</v>
      </c>
      <c r="AF5831" s="19">
        <f t="shared" si="13"/>
        <v>4</v>
      </c>
      <c r="AG5831" s="9"/>
      <c r="AH5831" s="9"/>
      <c r="AI5831" s="9"/>
    </row>
    <row r="5832" ht="15.0" customHeight="1">
      <c r="A5832" s="11">
        <v>5831.0</v>
      </c>
      <c r="B5832" s="12">
        <f t="shared" si="933"/>
        <v>40825</v>
      </c>
      <c r="C5832" s="13">
        <v>2011.0</v>
      </c>
      <c r="D5832" s="11" t="s">
        <v>102</v>
      </c>
      <c r="E5832" s="11">
        <v>25.0</v>
      </c>
      <c r="F5832" s="21" t="s">
        <v>158</v>
      </c>
      <c r="G5832" s="15">
        <v>0.03747368421052624</v>
      </c>
      <c r="H5832" s="11" t="s">
        <v>33</v>
      </c>
      <c r="I5832" s="16">
        <v>4.5920000000000005</v>
      </c>
      <c r="J5832" s="11" t="s">
        <v>1685</v>
      </c>
      <c r="K5832" s="11" t="s">
        <v>61</v>
      </c>
      <c r="L5832" s="11" t="s">
        <v>41</v>
      </c>
      <c r="M5832" s="11" t="s">
        <v>28</v>
      </c>
      <c r="N5832" s="11" t="s">
        <v>56</v>
      </c>
      <c r="O5832" s="11" t="s">
        <v>2053</v>
      </c>
      <c r="P5832" s="11" t="s">
        <v>38</v>
      </c>
      <c r="Q5832" s="20">
        <v>40827.0</v>
      </c>
      <c r="R5832" s="17">
        <f t="shared" si="2"/>
        <v>6.167868632</v>
      </c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>
        <f t="shared" si="8"/>
        <v>3</v>
      </c>
      <c r="AF5832" s="19">
        <f t="shared" si="13"/>
        <v>4</v>
      </c>
      <c r="AG5832" s="9"/>
      <c r="AH5832" s="9"/>
      <c r="AI5832" s="9"/>
    </row>
    <row r="5833" ht="15.0" customHeight="1">
      <c r="A5833" s="11">
        <v>5832.0</v>
      </c>
      <c r="B5833" s="12">
        <f t="shared" si="933"/>
        <v>40825</v>
      </c>
      <c r="C5833" s="13">
        <v>2011.0</v>
      </c>
      <c r="D5833" s="11" t="s">
        <v>39</v>
      </c>
      <c r="E5833" s="11">
        <v>4.0</v>
      </c>
      <c r="F5833" s="21" t="s">
        <v>270</v>
      </c>
      <c r="G5833" s="15">
        <v>0.027429205996668506</v>
      </c>
      <c r="H5833" s="11" t="s">
        <v>24</v>
      </c>
      <c r="I5833" s="16">
        <v>11.56</v>
      </c>
      <c r="J5833" s="11" t="s">
        <v>426</v>
      </c>
      <c r="K5833" s="11" t="s">
        <v>61</v>
      </c>
      <c r="L5833" s="11" t="s">
        <v>41</v>
      </c>
      <c r="M5833" s="11" t="s">
        <v>49</v>
      </c>
      <c r="N5833" s="11" t="s">
        <v>73</v>
      </c>
      <c r="O5833" s="11" t="s">
        <v>2259</v>
      </c>
      <c r="P5833" s="11" t="s">
        <v>31</v>
      </c>
      <c r="Q5833" s="20">
        <v>40828.0</v>
      </c>
      <c r="R5833" s="17">
        <f t="shared" si="2"/>
        <v>4.804499722</v>
      </c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>
        <f t="shared" si="8"/>
        <v>3</v>
      </c>
      <c r="AF5833" s="19">
        <f t="shared" si="13"/>
        <v>4</v>
      </c>
      <c r="AG5833" s="9"/>
      <c r="AH5833" s="9"/>
      <c r="AI5833" s="9"/>
    </row>
    <row r="5834" ht="15.0" customHeight="1">
      <c r="A5834" s="11">
        <v>5833.0</v>
      </c>
      <c r="B5834" s="12">
        <f t="shared" si="933"/>
        <v>40825</v>
      </c>
      <c r="C5834" s="13">
        <v>2011.0</v>
      </c>
      <c r="D5834" s="11" t="s">
        <v>44</v>
      </c>
      <c r="E5834" s="11">
        <v>10.0</v>
      </c>
      <c r="F5834" s="21" t="s">
        <v>1479</v>
      </c>
      <c r="G5834" s="15">
        <v>0.10505212510024065</v>
      </c>
      <c r="H5834" s="11" t="s">
        <v>33</v>
      </c>
      <c r="I5834" s="16">
        <v>3.6</v>
      </c>
      <c r="J5834" s="11" t="s">
        <v>2542</v>
      </c>
      <c r="K5834" s="11" t="s">
        <v>61</v>
      </c>
      <c r="L5834" s="11" t="s">
        <v>36</v>
      </c>
      <c r="M5834" s="11" t="s">
        <v>28</v>
      </c>
      <c r="N5834" s="11" t="s">
        <v>197</v>
      </c>
      <c r="O5834" s="11" t="s">
        <v>1480</v>
      </c>
      <c r="P5834" s="11" t="s">
        <v>38</v>
      </c>
      <c r="Q5834" s="20">
        <v>40828.0</v>
      </c>
      <c r="R5834" s="17">
        <f t="shared" si="2"/>
        <v>11.72381716</v>
      </c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>
        <f t="shared" si="8"/>
        <v>2</v>
      </c>
      <c r="AF5834" s="19">
        <f t="shared" si="13"/>
        <v>4</v>
      </c>
      <c r="AG5834" s="9"/>
      <c r="AH5834" s="9"/>
      <c r="AI5834" s="9"/>
    </row>
    <row r="5835" ht="15.0" customHeight="1">
      <c r="A5835" s="11">
        <v>5834.0</v>
      </c>
      <c r="B5835" s="12">
        <f t="shared" si="933"/>
        <v>40825</v>
      </c>
      <c r="C5835" s="13">
        <v>2011.0</v>
      </c>
      <c r="D5835" s="11" t="s">
        <v>44</v>
      </c>
      <c r="E5835" s="11">
        <v>43.0</v>
      </c>
      <c r="F5835" s="21" t="s">
        <v>397</v>
      </c>
      <c r="G5835" s="15">
        <v>0.012666763131240079</v>
      </c>
      <c r="H5835" s="11" t="s">
        <v>33</v>
      </c>
      <c r="I5835" s="16">
        <v>1.592</v>
      </c>
      <c r="J5835" s="11" t="s">
        <v>2542</v>
      </c>
      <c r="K5835" s="11" t="s">
        <v>61</v>
      </c>
      <c r="L5835" s="11" t="s">
        <v>36</v>
      </c>
      <c r="M5835" s="11" t="s">
        <v>66</v>
      </c>
      <c r="N5835" s="11" t="s">
        <v>67</v>
      </c>
      <c r="O5835" s="11" t="s">
        <v>502</v>
      </c>
      <c r="P5835" s="11" t="s">
        <v>99</v>
      </c>
      <c r="Q5835" s="20">
        <v>40828.0</v>
      </c>
      <c r="R5835" s="17">
        <f t="shared" si="2"/>
        <v>17.28623031</v>
      </c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>
        <f t="shared" si="8"/>
        <v>2</v>
      </c>
      <c r="AF5835" s="19">
        <f t="shared" si="13"/>
        <v>4</v>
      </c>
      <c r="AG5835" s="9"/>
      <c r="AH5835" s="9"/>
      <c r="AI5835" s="9"/>
    </row>
    <row r="5836" ht="15.0" customHeight="1">
      <c r="A5836" s="11">
        <v>5835.0</v>
      </c>
      <c r="B5836" s="12">
        <f t="shared" si="933"/>
        <v>40825</v>
      </c>
      <c r="C5836" s="13">
        <v>2011.0</v>
      </c>
      <c r="D5836" s="11" t="s">
        <v>44</v>
      </c>
      <c r="E5836" s="11">
        <v>1.0</v>
      </c>
      <c r="F5836" s="21" t="s">
        <v>126</v>
      </c>
      <c r="G5836" s="15">
        <v>0.10556701030927827</v>
      </c>
      <c r="H5836" s="11" t="s">
        <v>33</v>
      </c>
      <c r="I5836" s="16">
        <v>3.776</v>
      </c>
      <c r="J5836" s="11" t="s">
        <v>2542</v>
      </c>
      <c r="K5836" s="11" t="s">
        <v>61</v>
      </c>
      <c r="L5836" s="11" t="s">
        <v>36</v>
      </c>
      <c r="M5836" s="11" t="s">
        <v>28</v>
      </c>
      <c r="N5836" s="11" t="s">
        <v>56</v>
      </c>
      <c r="O5836" s="11" t="s">
        <v>1299</v>
      </c>
      <c r="P5836" s="11" t="s">
        <v>38</v>
      </c>
      <c r="Q5836" s="20">
        <v>40828.0</v>
      </c>
      <c r="R5836" s="17">
        <f t="shared" si="2"/>
        <v>0.9158993814</v>
      </c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>
        <f t="shared" si="8"/>
        <v>2</v>
      </c>
      <c r="AF5836" s="19">
        <f t="shared" si="13"/>
        <v>4</v>
      </c>
      <c r="AG5836" s="9"/>
      <c r="AH5836" s="9"/>
      <c r="AI5836" s="9"/>
    </row>
    <row r="5837" ht="15.0" customHeight="1">
      <c r="A5837" s="11">
        <v>5836.0</v>
      </c>
      <c r="B5837" s="12">
        <f t="shared" si="933"/>
        <v>40825</v>
      </c>
      <c r="C5837" s="13">
        <v>2011.0</v>
      </c>
      <c r="D5837" s="11" t="s">
        <v>44</v>
      </c>
      <c r="E5837" s="11">
        <v>21.0</v>
      </c>
      <c r="F5837" s="21" t="s">
        <v>2151</v>
      </c>
      <c r="G5837" s="15">
        <v>0.026525546803936286</v>
      </c>
      <c r="H5837" s="11" t="s">
        <v>24</v>
      </c>
      <c r="I5837" s="16">
        <v>10.576</v>
      </c>
      <c r="J5837" s="11" t="s">
        <v>279</v>
      </c>
      <c r="K5837" s="11" t="s">
        <v>47</v>
      </c>
      <c r="L5837" s="11" t="s">
        <v>41</v>
      </c>
      <c r="M5837" s="11" t="s">
        <v>28</v>
      </c>
      <c r="N5837" s="11" t="s">
        <v>197</v>
      </c>
      <c r="O5837" s="11" t="s">
        <v>2152</v>
      </c>
      <c r="P5837" s="11" t="s">
        <v>38</v>
      </c>
      <c r="Q5837" s="20">
        <v>40828.0</v>
      </c>
      <c r="R5837" s="17">
        <f t="shared" si="2"/>
        <v>31.97591006</v>
      </c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>
        <f t="shared" si="8"/>
        <v>3</v>
      </c>
      <c r="AF5837" s="19">
        <f t="shared" si="13"/>
        <v>3</v>
      </c>
      <c r="AG5837" s="9"/>
      <c r="AH5837" s="9"/>
      <c r="AI5837" s="9"/>
    </row>
    <row r="5838" ht="15.0" customHeight="1">
      <c r="A5838" s="11">
        <v>5837.0</v>
      </c>
      <c r="B5838" s="12">
        <f t="shared" ref="B5838:B5844" si="934">DATE(2012,12,31)-448</f>
        <v>40826</v>
      </c>
      <c r="C5838" s="13">
        <v>2011.0</v>
      </c>
      <c r="D5838" s="11" t="s">
        <v>32</v>
      </c>
      <c r="E5838" s="11">
        <v>39.0</v>
      </c>
      <c r="F5838" s="21" t="s">
        <v>629</v>
      </c>
      <c r="G5838" s="15">
        <v>0.030629037742264664</v>
      </c>
      <c r="H5838" s="11" t="s">
        <v>33</v>
      </c>
      <c r="I5838" s="16">
        <v>0.392</v>
      </c>
      <c r="J5838" s="11" t="s">
        <v>248</v>
      </c>
      <c r="K5838" s="11" t="s">
        <v>117</v>
      </c>
      <c r="L5838" s="11" t="s">
        <v>48</v>
      </c>
      <c r="M5838" s="11" t="s">
        <v>28</v>
      </c>
      <c r="N5838" s="11" t="s">
        <v>188</v>
      </c>
      <c r="O5838" s="11" t="s">
        <v>631</v>
      </c>
      <c r="P5838" s="11" t="s">
        <v>38</v>
      </c>
      <c r="Q5838" s="20">
        <v>40828.0</v>
      </c>
      <c r="R5838" s="17">
        <f t="shared" si="2"/>
        <v>8.732093628</v>
      </c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>
        <f t="shared" si="8"/>
        <v>4</v>
      </c>
      <c r="AF5838" s="19" t="b">
        <f t="shared" si="13"/>
        <v>0</v>
      </c>
      <c r="AG5838" s="9"/>
      <c r="AH5838" s="9"/>
      <c r="AI5838" s="9"/>
    </row>
    <row r="5839" ht="15.0" customHeight="1">
      <c r="A5839" s="11">
        <v>5838.0</v>
      </c>
      <c r="B5839" s="12">
        <f t="shared" si="934"/>
        <v>40826</v>
      </c>
      <c r="C5839" s="13">
        <v>2011.0</v>
      </c>
      <c r="D5839" s="11" t="s">
        <v>32</v>
      </c>
      <c r="E5839" s="11">
        <v>24.0</v>
      </c>
      <c r="F5839" s="21" t="s">
        <v>122</v>
      </c>
      <c r="G5839" s="15">
        <v>0.01505965186778808</v>
      </c>
      <c r="H5839" s="11" t="s">
        <v>33</v>
      </c>
      <c r="I5839" s="16">
        <v>2.0</v>
      </c>
      <c r="J5839" s="11" t="s">
        <v>248</v>
      </c>
      <c r="K5839" s="11" t="s">
        <v>117</v>
      </c>
      <c r="L5839" s="11" t="s">
        <v>48</v>
      </c>
      <c r="M5839" s="11" t="s">
        <v>66</v>
      </c>
      <c r="N5839" s="11" t="s">
        <v>80</v>
      </c>
      <c r="O5839" s="11" t="s">
        <v>1381</v>
      </c>
      <c r="P5839" s="11" t="s">
        <v>58</v>
      </c>
      <c r="Q5839" s="20">
        <v>40829.0</v>
      </c>
      <c r="R5839" s="17">
        <f t="shared" si="2"/>
        <v>7.584040681</v>
      </c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>
        <f t="shared" si="8"/>
        <v>4</v>
      </c>
      <c r="AF5839" s="19" t="b">
        <f t="shared" si="13"/>
        <v>0</v>
      </c>
      <c r="AG5839" s="9"/>
      <c r="AH5839" s="9"/>
      <c r="AI5839" s="9"/>
    </row>
    <row r="5840" ht="15.0" customHeight="1">
      <c r="A5840" s="11">
        <v>5839.0</v>
      </c>
      <c r="B5840" s="12">
        <f t="shared" si="934"/>
        <v>40826</v>
      </c>
      <c r="C5840" s="13">
        <v>2011.0</v>
      </c>
      <c r="D5840" s="11" t="s">
        <v>44</v>
      </c>
      <c r="E5840" s="11">
        <v>15.0</v>
      </c>
      <c r="F5840" s="21" t="s">
        <v>962</v>
      </c>
      <c r="G5840" s="15">
        <v>0.02940032414910859</v>
      </c>
      <c r="H5840" s="11" t="s">
        <v>33</v>
      </c>
      <c r="I5840" s="16">
        <v>8.544</v>
      </c>
      <c r="J5840" s="11" t="s">
        <v>1515</v>
      </c>
      <c r="K5840" s="11" t="s">
        <v>47</v>
      </c>
      <c r="L5840" s="11" t="s">
        <v>48</v>
      </c>
      <c r="M5840" s="11" t="s">
        <v>28</v>
      </c>
      <c r="N5840" s="11" t="s">
        <v>29</v>
      </c>
      <c r="O5840" s="11" t="s">
        <v>1180</v>
      </c>
      <c r="P5840" s="11" t="s">
        <v>38</v>
      </c>
      <c r="Q5840" s="20">
        <v>40829.0</v>
      </c>
      <c r="R5840" s="17">
        <f t="shared" si="2"/>
        <v>7.042671248</v>
      </c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>
        <f t="shared" si="8"/>
        <v>4</v>
      </c>
      <c r="AF5840" s="19">
        <f t="shared" si="13"/>
        <v>3</v>
      </c>
      <c r="AG5840" s="9"/>
      <c r="AH5840" s="9"/>
      <c r="AI5840" s="9"/>
    </row>
    <row r="5841" ht="15.0" customHeight="1">
      <c r="A5841" s="11">
        <v>5840.0</v>
      </c>
      <c r="B5841" s="12">
        <f t="shared" si="934"/>
        <v>40826</v>
      </c>
      <c r="C5841" s="13">
        <v>2011.0</v>
      </c>
      <c r="D5841" s="11" t="s">
        <v>44</v>
      </c>
      <c r="E5841" s="11">
        <v>43.0</v>
      </c>
      <c r="F5841" s="21" t="s">
        <v>119</v>
      </c>
      <c r="G5841" s="15">
        <v>0.04605042016806721</v>
      </c>
      <c r="H5841" s="11" t="s">
        <v>33</v>
      </c>
      <c r="I5841" s="16">
        <v>2.064</v>
      </c>
      <c r="J5841" s="11" t="s">
        <v>1515</v>
      </c>
      <c r="K5841" s="11" t="s">
        <v>47</v>
      </c>
      <c r="L5841" s="11" t="s">
        <v>48</v>
      </c>
      <c r="M5841" s="11" t="s">
        <v>28</v>
      </c>
      <c r="N5841" s="11" t="s">
        <v>216</v>
      </c>
      <c r="O5841" s="11" t="s">
        <v>1619</v>
      </c>
      <c r="P5841" s="11" t="s">
        <v>58</v>
      </c>
      <c r="Q5841" s="20">
        <v>40829.0</v>
      </c>
      <c r="R5841" s="17">
        <f t="shared" si="2"/>
        <v>3.659350588</v>
      </c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>
        <f t="shared" si="8"/>
        <v>4</v>
      </c>
      <c r="AF5841" s="19">
        <f t="shared" si="13"/>
        <v>3</v>
      </c>
      <c r="AG5841" s="9"/>
      <c r="AH5841" s="9"/>
      <c r="AI5841" s="9"/>
    </row>
    <row r="5842" ht="15.0" customHeight="1">
      <c r="A5842" s="11">
        <v>5841.0</v>
      </c>
      <c r="B5842" s="12">
        <f t="shared" si="934"/>
        <v>40826</v>
      </c>
      <c r="C5842" s="13">
        <v>2011.0</v>
      </c>
      <c r="D5842" s="11" t="s">
        <v>23</v>
      </c>
      <c r="E5842" s="11">
        <v>7.0</v>
      </c>
      <c r="F5842" s="21" t="s">
        <v>124</v>
      </c>
      <c r="G5842" s="15">
        <v>0.04210526315789487</v>
      </c>
      <c r="H5842" s="11" t="s">
        <v>24</v>
      </c>
      <c r="I5842" s="16">
        <v>28.0</v>
      </c>
      <c r="J5842" s="11" t="s">
        <v>2568</v>
      </c>
      <c r="K5842" s="11" t="s">
        <v>117</v>
      </c>
      <c r="L5842" s="11" t="s">
        <v>48</v>
      </c>
      <c r="M5842" s="11" t="s">
        <v>28</v>
      </c>
      <c r="N5842" s="11" t="s">
        <v>29</v>
      </c>
      <c r="O5842" s="11" t="s">
        <v>1313</v>
      </c>
      <c r="P5842" s="11" t="s">
        <v>31</v>
      </c>
      <c r="Q5842" s="20">
        <v>40830.0</v>
      </c>
      <c r="R5842" s="17">
        <f t="shared" si="2"/>
        <v>83.52842105</v>
      </c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>
        <f t="shared" si="8"/>
        <v>4</v>
      </c>
      <c r="AF5842" s="19" t="b">
        <f t="shared" si="13"/>
        <v>0</v>
      </c>
      <c r="AG5842" s="9"/>
      <c r="AH5842" s="9"/>
      <c r="AI5842" s="9"/>
    </row>
    <row r="5843" ht="15.0" customHeight="1">
      <c r="A5843" s="11">
        <v>5842.0</v>
      </c>
      <c r="B5843" s="12">
        <f t="shared" si="934"/>
        <v>40826</v>
      </c>
      <c r="C5843" s="13">
        <v>2011.0</v>
      </c>
      <c r="D5843" s="11" t="s">
        <v>102</v>
      </c>
      <c r="E5843" s="11">
        <v>4.0</v>
      </c>
      <c r="F5843" s="21" t="s">
        <v>1166</v>
      </c>
      <c r="G5843" s="15">
        <v>0.12237288135593227</v>
      </c>
      <c r="H5843" s="11" t="s">
        <v>33</v>
      </c>
      <c r="I5843" s="16">
        <v>1.9120000000000001</v>
      </c>
      <c r="J5843" s="11" t="s">
        <v>973</v>
      </c>
      <c r="K5843" s="11" t="s">
        <v>61</v>
      </c>
      <c r="L5843" s="11" t="s">
        <v>36</v>
      </c>
      <c r="M5843" s="11" t="s">
        <v>66</v>
      </c>
      <c r="N5843" s="11" t="s">
        <v>67</v>
      </c>
      <c r="O5843" s="11" t="s">
        <v>1167</v>
      </c>
      <c r="P5843" s="11" t="s">
        <v>99</v>
      </c>
      <c r="Q5843" s="20">
        <v>40830.0</v>
      </c>
      <c r="R5843" s="17">
        <f t="shared" si="2"/>
        <v>2.534587119</v>
      </c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>
        <f t="shared" si="8"/>
        <v>2</v>
      </c>
      <c r="AF5843" s="19">
        <f t="shared" si="13"/>
        <v>4</v>
      </c>
      <c r="AG5843" s="9"/>
      <c r="AH5843" s="9"/>
      <c r="AI5843" s="9"/>
    </row>
    <row r="5844" ht="15.0" customHeight="1">
      <c r="A5844" s="11">
        <v>5843.0</v>
      </c>
      <c r="B5844" s="12">
        <f t="shared" si="934"/>
        <v>40826</v>
      </c>
      <c r="C5844" s="13">
        <v>2011.0</v>
      </c>
      <c r="D5844" s="11" t="s">
        <v>102</v>
      </c>
      <c r="E5844" s="11">
        <v>22.0</v>
      </c>
      <c r="F5844" s="21" t="s">
        <v>1227</v>
      </c>
      <c r="G5844" s="15">
        <v>0.018007968127489966</v>
      </c>
      <c r="H5844" s="11" t="s">
        <v>33</v>
      </c>
      <c r="I5844" s="16">
        <v>0.8960000000000001</v>
      </c>
      <c r="J5844" s="11" t="s">
        <v>973</v>
      </c>
      <c r="K5844" s="11" t="s">
        <v>61</v>
      </c>
      <c r="L5844" s="11" t="s">
        <v>36</v>
      </c>
      <c r="M5844" s="11" t="s">
        <v>28</v>
      </c>
      <c r="N5844" s="11" t="s">
        <v>62</v>
      </c>
      <c r="O5844" s="11" t="s">
        <v>2510</v>
      </c>
      <c r="P5844" s="11" t="s">
        <v>58</v>
      </c>
      <c r="Q5844" s="20">
        <v>40830.0</v>
      </c>
      <c r="R5844" s="17">
        <f t="shared" si="2"/>
        <v>0.8877207968</v>
      </c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>
        <f t="shared" si="8"/>
        <v>2</v>
      </c>
      <c r="AF5844" s="19">
        <f t="shared" si="13"/>
        <v>4</v>
      </c>
      <c r="AG5844" s="9"/>
      <c r="AH5844" s="9"/>
      <c r="AI5844" s="9"/>
    </row>
    <row r="5845" ht="15.0" customHeight="1">
      <c r="A5845" s="11">
        <v>5844.0</v>
      </c>
      <c r="B5845" s="12">
        <f t="shared" ref="B5845:B5847" si="935">DATE(2012,12,31)-447</f>
        <v>40827</v>
      </c>
      <c r="C5845" s="13">
        <v>2011.0</v>
      </c>
      <c r="D5845" s="11" t="s">
        <v>44</v>
      </c>
      <c r="E5845" s="11">
        <v>49.0</v>
      </c>
      <c r="F5845" s="21" t="s">
        <v>108</v>
      </c>
      <c r="G5845" s="15">
        <v>0.08311506063789992</v>
      </c>
      <c r="H5845" s="11" t="s">
        <v>33</v>
      </c>
      <c r="I5845" s="16">
        <v>16.968</v>
      </c>
      <c r="J5845" s="11" t="s">
        <v>253</v>
      </c>
      <c r="K5845" s="11" t="s">
        <v>61</v>
      </c>
      <c r="L5845" s="11" t="s">
        <v>36</v>
      </c>
      <c r="M5845" s="11" t="s">
        <v>49</v>
      </c>
      <c r="N5845" s="11" t="s">
        <v>73</v>
      </c>
      <c r="O5845" s="11" t="s">
        <v>109</v>
      </c>
      <c r="P5845" s="11" t="s">
        <v>31</v>
      </c>
      <c r="Q5845" s="20">
        <v>40830.0</v>
      </c>
      <c r="R5845" s="17">
        <f t="shared" si="2"/>
        <v>855.8497427</v>
      </c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>
        <f t="shared" si="8"/>
        <v>2</v>
      </c>
      <c r="AF5845" s="19">
        <f t="shared" si="13"/>
        <v>4</v>
      </c>
      <c r="AG5845" s="9"/>
      <c r="AH5845" s="9"/>
      <c r="AI5845" s="9"/>
    </row>
    <row r="5846" ht="15.0" customHeight="1">
      <c r="A5846" s="11">
        <v>5845.0</v>
      </c>
      <c r="B5846" s="12">
        <f t="shared" si="935"/>
        <v>40827</v>
      </c>
      <c r="C5846" s="13">
        <v>2011.0</v>
      </c>
      <c r="D5846" s="11" t="s">
        <v>32</v>
      </c>
      <c r="E5846" s="11">
        <v>46.0</v>
      </c>
      <c r="F5846" s="21" t="s">
        <v>694</v>
      </c>
      <c r="G5846" s="15">
        <v>0.012094543078096114</v>
      </c>
      <c r="H5846" s="11" t="s">
        <v>33</v>
      </c>
      <c r="I5846" s="16">
        <v>1.592</v>
      </c>
      <c r="J5846" s="11" t="s">
        <v>243</v>
      </c>
      <c r="K5846" s="11" t="s">
        <v>61</v>
      </c>
      <c r="L5846" s="11" t="s">
        <v>41</v>
      </c>
      <c r="M5846" s="11" t="s">
        <v>66</v>
      </c>
      <c r="N5846" s="11" t="s">
        <v>67</v>
      </c>
      <c r="O5846" s="11" t="s">
        <v>695</v>
      </c>
      <c r="P5846" s="11" t="s">
        <v>99</v>
      </c>
      <c r="Q5846" s="20">
        <v>40830.0</v>
      </c>
      <c r="R5846" s="17">
        <f t="shared" si="2"/>
        <v>21.93940439</v>
      </c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>
        <f t="shared" si="8"/>
        <v>3</v>
      </c>
      <c r="AF5846" s="19">
        <f t="shared" si="13"/>
        <v>4</v>
      </c>
      <c r="AG5846" s="9"/>
      <c r="AH5846" s="9"/>
      <c r="AI5846" s="9"/>
    </row>
    <row r="5847" ht="15.0" customHeight="1">
      <c r="A5847" s="11">
        <v>5846.0</v>
      </c>
      <c r="B5847" s="12">
        <f t="shared" si="935"/>
        <v>40827</v>
      </c>
      <c r="C5847" s="13">
        <v>2011.0</v>
      </c>
      <c r="D5847" s="11" t="s">
        <v>102</v>
      </c>
      <c r="E5847" s="11">
        <v>1.0</v>
      </c>
      <c r="F5847" s="21" t="s">
        <v>238</v>
      </c>
      <c r="G5847" s="15">
        <v>0.09260273972602742</v>
      </c>
      <c r="H5847" s="11" t="s">
        <v>33</v>
      </c>
      <c r="I5847" s="16">
        <v>1.6239999999999999</v>
      </c>
      <c r="J5847" s="11" t="s">
        <v>775</v>
      </c>
      <c r="K5847" s="11" t="s">
        <v>65</v>
      </c>
      <c r="L5847" s="11" t="s">
        <v>41</v>
      </c>
      <c r="M5847" s="11" t="s">
        <v>49</v>
      </c>
      <c r="N5847" s="11" t="s">
        <v>73</v>
      </c>
      <c r="O5847" s="11" t="s">
        <v>1583</v>
      </c>
      <c r="P5847" s="11" t="s">
        <v>58</v>
      </c>
      <c r="Q5847" s="20">
        <v>40830.0</v>
      </c>
      <c r="R5847" s="17">
        <f t="shared" si="2"/>
        <v>0.6134005479</v>
      </c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>
        <f t="shared" si="8"/>
        <v>3</v>
      </c>
      <c r="AF5847" s="19">
        <f t="shared" si="13"/>
        <v>5</v>
      </c>
      <c r="AG5847" s="9"/>
      <c r="AH5847" s="9"/>
      <c r="AI5847" s="9"/>
    </row>
    <row r="5848" ht="15.0" customHeight="1">
      <c r="A5848" s="11">
        <v>5847.0</v>
      </c>
      <c r="B5848" s="12">
        <f t="shared" ref="B5848:B5852" si="936">DATE(2012,12,31)-446</f>
        <v>40828</v>
      </c>
      <c r="C5848" s="13">
        <v>2011.0</v>
      </c>
      <c r="D5848" s="11" t="s">
        <v>32</v>
      </c>
      <c r="E5848" s="11">
        <v>8.0</v>
      </c>
      <c r="F5848" s="21" t="s">
        <v>270</v>
      </c>
      <c r="G5848" s="15">
        <v>0.03391431069658998</v>
      </c>
      <c r="H5848" s="11" t="s">
        <v>24</v>
      </c>
      <c r="I5848" s="16">
        <v>4.264</v>
      </c>
      <c r="J5848" s="11" t="s">
        <v>2052</v>
      </c>
      <c r="K5848" s="11" t="s">
        <v>65</v>
      </c>
      <c r="L5848" s="11" t="s">
        <v>27</v>
      </c>
      <c r="M5848" s="11" t="s">
        <v>28</v>
      </c>
      <c r="N5848" s="11" t="s">
        <v>197</v>
      </c>
      <c r="O5848" s="11" t="s">
        <v>2390</v>
      </c>
      <c r="P5848" s="11" t="s">
        <v>38</v>
      </c>
      <c r="Q5848" s="20">
        <v>40831.0</v>
      </c>
      <c r="R5848" s="17">
        <f t="shared" si="2"/>
        <v>11.24137308</v>
      </c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>
        <f t="shared" si="8"/>
        <v>1</v>
      </c>
      <c r="AF5848" s="19">
        <f t="shared" si="13"/>
        <v>5</v>
      </c>
      <c r="AG5848" s="9"/>
      <c r="AH5848" s="9"/>
      <c r="AI5848" s="9"/>
    </row>
    <row r="5849" ht="15.0" customHeight="1">
      <c r="A5849" s="11">
        <v>5848.0</v>
      </c>
      <c r="B5849" s="12">
        <f t="shared" si="936"/>
        <v>40828</v>
      </c>
      <c r="C5849" s="13">
        <v>2011.0</v>
      </c>
      <c r="D5849" s="11" t="s">
        <v>32</v>
      </c>
      <c r="E5849" s="11">
        <v>11.0</v>
      </c>
      <c r="F5849" s="21" t="s">
        <v>523</v>
      </c>
      <c r="G5849" s="15">
        <v>0.11073684210526312</v>
      </c>
      <c r="H5849" s="11" t="s">
        <v>33</v>
      </c>
      <c r="I5849" s="16">
        <v>0.792</v>
      </c>
      <c r="J5849" s="11" t="s">
        <v>2052</v>
      </c>
      <c r="K5849" s="11" t="s">
        <v>65</v>
      </c>
      <c r="L5849" s="11" t="s">
        <v>27</v>
      </c>
      <c r="M5849" s="11" t="s">
        <v>28</v>
      </c>
      <c r="N5849" s="11" t="s">
        <v>188</v>
      </c>
      <c r="O5849" s="11" t="s">
        <v>1495</v>
      </c>
      <c r="P5849" s="11" t="s">
        <v>38</v>
      </c>
      <c r="Q5849" s="20">
        <v>40831.0</v>
      </c>
      <c r="R5849" s="17">
        <f t="shared" si="2"/>
        <v>3.742019368</v>
      </c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>
        <f t="shared" si="8"/>
        <v>1</v>
      </c>
      <c r="AF5849" s="19">
        <f t="shared" si="13"/>
        <v>5</v>
      </c>
      <c r="AG5849" s="9"/>
      <c r="AH5849" s="9"/>
      <c r="AI5849" s="9"/>
    </row>
    <row r="5850" ht="15.0" customHeight="1">
      <c r="A5850" s="11">
        <v>5849.0</v>
      </c>
      <c r="B5850" s="12">
        <f t="shared" si="936"/>
        <v>40828</v>
      </c>
      <c r="C5850" s="13">
        <v>2011.0</v>
      </c>
      <c r="D5850" s="11" t="s">
        <v>23</v>
      </c>
      <c r="E5850" s="11">
        <v>33.0</v>
      </c>
      <c r="F5850" s="21" t="s">
        <v>218</v>
      </c>
      <c r="G5850" s="15">
        <v>0.05124183006535934</v>
      </c>
      <c r="H5850" s="11" t="s">
        <v>24</v>
      </c>
      <c r="I5850" s="16">
        <v>1.904</v>
      </c>
      <c r="J5850" s="11" t="s">
        <v>982</v>
      </c>
      <c r="K5850" s="11" t="s">
        <v>61</v>
      </c>
      <c r="L5850" s="11" t="s">
        <v>27</v>
      </c>
      <c r="M5850" s="11" t="s">
        <v>66</v>
      </c>
      <c r="N5850" s="11" t="s">
        <v>67</v>
      </c>
      <c r="O5850" s="11" t="s">
        <v>773</v>
      </c>
      <c r="P5850" s="11" t="s">
        <v>99</v>
      </c>
      <c r="Q5850" s="20">
        <v>40831.0</v>
      </c>
      <c r="R5850" s="17">
        <f t="shared" si="2"/>
        <v>14.1327017</v>
      </c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>
        <f t="shared" si="8"/>
        <v>1</v>
      </c>
      <c r="AF5850" s="19">
        <f t="shared" si="13"/>
        <v>4</v>
      </c>
      <c r="AG5850" s="9"/>
      <c r="AH5850" s="9"/>
      <c r="AI5850" s="9"/>
    </row>
    <row r="5851" ht="15.0" customHeight="1">
      <c r="A5851" s="11">
        <v>5850.0</v>
      </c>
      <c r="B5851" s="12">
        <f t="shared" si="936"/>
        <v>40828</v>
      </c>
      <c r="C5851" s="13">
        <v>2011.0</v>
      </c>
      <c r="D5851" s="11" t="s">
        <v>23</v>
      </c>
      <c r="E5851" s="11">
        <v>15.0</v>
      </c>
      <c r="F5851" s="21" t="s">
        <v>2363</v>
      </c>
      <c r="G5851" s="15">
        <v>0.09381440404324015</v>
      </c>
      <c r="H5851" s="11" t="s">
        <v>33</v>
      </c>
      <c r="I5851" s="16">
        <v>4.976</v>
      </c>
      <c r="J5851" s="11" t="s">
        <v>1648</v>
      </c>
      <c r="K5851" s="11" t="s">
        <v>35</v>
      </c>
      <c r="L5851" s="11" t="s">
        <v>27</v>
      </c>
      <c r="M5851" s="11" t="s">
        <v>28</v>
      </c>
      <c r="N5851" s="11" t="s">
        <v>29</v>
      </c>
      <c r="O5851" s="11" t="s">
        <v>2364</v>
      </c>
      <c r="P5851" s="11" t="s">
        <v>38</v>
      </c>
      <c r="Q5851" s="20">
        <v>40831.0</v>
      </c>
      <c r="R5851" s="17">
        <f t="shared" si="2"/>
        <v>60.55494626</v>
      </c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>
        <f t="shared" si="8"/>
        <v>1</v>
      </c>
      <c r="AF5851" s="19">
        <f t="shared" si="13"/>
        <v>2</v>
      </c>
      <c r="AG5851" s="9"/>
      <c r="AH5851" s="9"/>
      <c r="AI5851" s="9"/>
    </row>
    <row r="5852" ht="15.0" customHeight="1">
      <c r="A5852" s="11">
        <v>5851.0</v>
      </c>
      <c r="B5852" s="12">
        <f t="shared" si="936"/>
        <v>40828</v>
      </c>
      <c r="C5852" s="13">
        <v>2011.0</v>
      </c>
      <c r="D5852" s="11" t="s">
        <v>23</v>
      </c>
      <c r="E5852" s="11">
        <v>18.0</v>
      </c>
      <c r="F5852" s="21" t="s">
        <v>163</v>
      </c>
      <c r="G5852" s="15">
        <v>0.05890901605599011</v>
      </c>
      <c r="H5852" s="11" t="s">
        <v>45</v>
      </c>
      <c r="I5852" s="16">
        <v>12.528</v>
      </c>
      <c r="J5852" s="11" t="s">
        <v>2569</v>
      </c>
      <c r="K5852" s="11" t="s">
        <v>83</v>
      </c>
      <c r="L5852" s="11" t="s">
        <v>36</v>
      </c>
      <c r="M5852" s="11" t="s">
        <v>28</v>
      </c>
      <c r="N5852" s="11" t="s">
        <v>197</v>
      </c>
      <c r="O5852" s="11" t="s">
        <v>2491</v>
      </c>
      <c r="P5852" s="11" t="s">
        <v>52</v>
      </c>
      <c r="Q5852" s="20">
        <v>40832.0</v>
      </c>
      <c r="R5852" s="17">
        <f t="shared" si="2"/>
        <v>107.7285671</v>
      </c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>
        <f t="shared" si="8"/>
        <v>2</v>
      </c>
      <c r="AF5852" s="19" t="b">
        <f t="shared" si="13"/>
        <v>0</v>
      </c>
      <c r="AG5852" s="9"/>
      <c r="AH5852" s="9"/>
      <c r="AI5852" s="9"/>
    </row>
    <row r="5853" ht="15.0" customHeight="1">
      <c r="A5853" s="11">
        <v>5852.0</v>
      </c>
      <c r="B5853" s="12">
        <f t="shared" ref="B5853:B5854" si="937">DATE(2012,12,31)-445</f>
        <v>40829</v>
      </c>
      <c r="C5853" s="13">
        <v>2011.0</v>
      </c>
      <c r="D5853" s="11" t="s">
        <v>23</v>
      </c>
      <c r="E5853" s="11">
        <v>25.0</v>
      </c>
      <c r="F5853" s="21" t="s">
        <v>641</v>
      </c>
      <c r="G5853" s="15">
        <v>0.018454842219804268</v>
      </c>
      <c r="H5853" s="11" t="s">
        <v>33</v>
      </c>
      <c r="I5853" s="16">
        <v>5.816</v>
      </c>
      <c r="J5853" s="11" t="s">
        <v>1697</v>
      </c>
      <c r="K5853" s="11" t="s">
        <v>61</v>
      </c>
      <c r="L5853" s="11" t="s">
        <v>48</v>
      </c>
      <c r="M5853" s="11" t="s">
        <v>28</v>
      </c>
      <c r="N5853" s="11" t="s">
        <v>42</v>
      </c>
      <c r="O5853" s="11" t="s">
        <v>642</v>
      </c>
      <c r="P5853" s="11" t="s">
        <v>38</v>
      </c>
      <c r="Q5853" s="20">
        <v>40832.0</v>
      </c>
      <c r="R5853" s="17">
        <f t="shared" si="2"/>
        <v>6.65880235</v>
      </c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>
        <f t="shared" si="8"/>
        <v>4</v>
      </c>
      <c r="AF5853" s="19">
        <f t="shared" si="13"/>
        <v>4</v>
      </c>
      <c r="AG5853" s="9"/>
      <c r="AH5853" s="9"/>
      <c r="AI5853" s="9"/>
    </row>
    <row r="5854" ht="15.0" customHeight="1">
      <c r="A5854" s="11">
        <v>5853.0</v>
      </c>
      <c r="B5854" s="12">
        <f t="shared" si="937"/>
        <v>40829</v>
      </c>
      <c r="C5854" s="13">
        <v>2011.0</v>
      </c>
      <c r="D5854" s="11" t="s">
        <v>39</v>
      </c>
      <c r="E5854" s="11">
        <v>26.0</v>
      </c>
      <c r="F5854" s="21" t="s">
        <v>797</v>
      </c>
      <c r="G5854" s="15">
        <v>0.09601367521367542</v>
      </c>
      <c r="H5854" s="11" t="s">
        <v>33</v>
      </c>
      <c r="I5854" s="16">
        <v>1.816</v>
      </c>
      <c r="J5854" s="11" t="s">
        <v>320</v>
      </c>
      <c r="K5854" s="11" t="s">
        <v>65</v>
      </c>
      <c r="L5854" s="11" t="s">
        <v>36</v>
      </c>
      <c r="M5854" s="11" t="s">
        <v>28</v>
      </c>
      <c r="N5854" s="11" t="s">
        <v>56</v>
      </c>
      <c r="O5854" s="11" t="s">
        <v>71</v>
      </c>
      <c r="P5854" s="11" t="s">
        <v>58</v>
      </c>
      <c r="Q5854" s="20">
        <v>40832.0</v>
      </c>
      <c r="R5854" s="17">
        <f t="shared" si="2"/>
        <v>25.38755195</v>
      </c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>
        <f t="shared" si="8"/>
        <v>2</v>
      </c>
      <c r="AF5854" s="19">
        <f t="shared" si="13"/>
        <v>5</v>
      </c>
      <c r="AG5854" s="9"/>
      <c r="AH5854" s="9"/>
      <c r="AI5854" s="9"/>
    </row>
    <row r="5855" ht="15.0" customHeight="1">
      <c r="A5855" s="11">
        <v>5854.0</v>
      </c>
      <c r="B5855" s="12">
        <f t="shared" ref="B5855:B5856" si="938">DATE(2012,12,31)-444</f>
        <v>40830</v>
      </c>
      <c r="C5855" s="13">
        <v>2011.0</v>
      </c>
      <c r="D5855" s="11" t="s">
        <v>102</v>
      </c>
      <c r="E5855" s="11">
        <v>6.0</v>
      </c>
      <c r="F5855" s="21" t="s">
        <v>469</v>
      </c>
      <c r="G5855" s="15">
        <v>0.09928934010152307</v>
      </c>
      <c r="H5855" s="11" t="s">
        <v>33</v>
      </c>
      <c r="I5855" s="16">
        <v>4.296</v>
      </c>
      <c r="J5855" s="11" t="s">
        <v>1118</v>
      </c>
      <c r="K5855" s="11" t="s">
        <v>26</v>
      </c>
      <c r="L5855" s="11" t="s">
        <v>48</v>
      </c>
      <c r="M5855" s="11" t="s">
        <v>28</v>
      </c>
      <c r="N5855" s="11" t="s">
        <v>197</v>
      </c>
      <c r="O5855" s="11" t="s">
        <v>1931</v>
      </c>
      <c r="P5855" s="11" t="s">
        <v>75</v>
      </c>
      <c r="Q5855" s="20">
        <v>40832.0</v>
      </c>
      <c r="R5855" s="17">
        <f t="shared" si="2"/>
        <v>15.85611046</v>
      </c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>
        <f t="shared" si="8"/>
        <v>4</v>
      </c>
      <c r="AF5855" s="19">
        <f t="shared" si="13"/>
        <v>1</v>
      </c>
      <c r="AG5855" s="9"/>
      <c r="AH5855" s="9"/>
      <c r="AI5855" s="9"/>
    </row>
    <row r="5856" ht="15.0" customHeight="1">
      <c r="A5856" s="11">
        <v>5855.0</v>
      </c>
      <c r="B5856" s="12">
        <f t="shared" si="938"/>
        <v>40830</v>
      </c>
      <c r="C5856" s="13">
        <v>2011.0</v>
      </c>
      <c r="D5856" s="11" t="s">
        <v>102</v>
      </c>
      <c r="E5856" s="11">
        <v>21.0</v>
      </c>
      <c r="F5856" s="21" t="s">
        <v>204</v>
      </c>
      <c r="G5856" s="15">
        <v>0.08733017377567127</v>
      </c>
      <c r="H5856" s="11" t="s">
        <v>33</v>
      </c>
      <c r="I5856" s="16">
        <v>1.072</v>
      </c>
      <c r="J5856" s="11" t="s">
        <v>1118</v>
      </c>
      <c r="K5856" s="11" t="s">
        <v>26</v>
      </c>
      <c r="L5856" s="11" t="s">
        <v>48</v>
      </c>
      <c r="M5856" s="11" t="s">
        <v>28</v>
      </c>
      <c r="N5856" s="11" t="s">
        <v>62</v>
      </c>
      <c r="O5856" s="11" t="s">
        <v>1514</v>
      </c>
      <c r="P5856" s="11" t="s">
        <v>58</v>
      </c>
      <c r="Q5856" s="20">
        <v>40832.0</v>
      </c>
      <c r="R5856" s="17">
        <f t="shared" si="2"/>
        <v>5.045238799</v>
      </c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>
        <f t="shared" si="8"/>
        <v>4</v>
      </c>
      <c r="AF5856" s="19">
        <f t="shared" si="13"/>
        <v>1</v>
      </c>
      <c r="AG5856" s="9"/>
      <c r="AH5856" s="9"/>
      <c r="AI5856" s="9"/>
    </row>
    <row r="5857" ht="15.0" customHeight="1">
      <c r="A5857" s="11">
        <v>5856.0</v>
      </c>
      <c r="B5857" s="12">
        <f t="shared" ref="B5857:B5859" si="939">DATE(2012,12,31)-443</f>
        <v>40831</v>
      </c>
      <c r="C5857" s="13">
        <v>2011.0</v>
      </c>
      <c r="D5857" s="11" t="s">
        <v>39</v>
      </c>
      <c r="E5857" s="11">
        <v>12.0</v>
      </c>
      <c r="F5857" s="21" t="s">
        <v>687</v>
      </c>
      <c r="G5857" s="15">
        <v>0.05672526189472328</v>
      </c>
      <c r="H5857" s="11" t="s">
        <v>33</v>
      </c>
      <c r="I5857" s="16">
        <v>11.192</v>
      </c>
      <c r="J5857" s="11" t="s">
        <v>337</v>
      </c>
      <c r="K5857" s="11" t="s">
        <v>117</v>
      </c>
      <c r="L5857" s="11" t="s">
        <v>48</v>
      </c>
      <c r="M5857" s="11" t="s">
        <v>66</v>
      </c>
      <c r="N5857" s="11" t="s">
        <v>69</v>
      </c>
      <c r="O5857" s="11" t="s">
        <v>688</v>
      </c>
      <c r="P5857" s="11" t="s">
        <v>75</v>
      </c>
      <c r="Q5857" s="20">
        <v>40833.0</v>
      </c>
      <c r="R5857" s="17">
        <f t="shared" si="2"/>
        <v>1319.83756</v>
      </c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>
        <f t="shared" si="8"/>
        <v>4</v>
      </c>
      <c r="AF5857" s="19" t="b">
        <f t="shared" si="13"/>
        <v>0</v>
      </c>
      <c r="AG5857" s="9"/>
      <c r="AH5857" s="9"/>
      <c r="AI5857" s="9"/>
    </row>
    <row r="5858" ht="15.0" customHeight="1">
      <c r="A5858" s="11">
        <v>5857.0</v>
      </c>
      <c r="B5858" s="12">
        <f t="shared" si="939"/>
        <v>40831</v>
      </c>
      <c r="C5858" s="13">
        <v>2011.0</v>
      </c>
      <c r="D5858" s="11" t="s">
        <v>102</v>
      </c>
      <c r="E5858" s="11">
        <v>13.0</v>
      </c>
      <c r="F5858" s="21" t="s">
        <v>254</v>
      </c>
      <c r="G5858" s="15">
        <v>0.03600456621004546</v>
      </c>
      <c r="H5858" s="11" t="s">
        <v>24</v>
      </c>
      <c r="I5858" s="16">
        <v>1.192</v>
      </c>
      <c r="J5858" s="11" t="s">
        <v>1360</v>
      </c>
      <c r="K5858" s="11" t="s">
        <v>65</v>
      </c>
      <c r="L5858" s="11" t="s">
        <v>27</v>
      </c>
      <c r="M5858" s="11" t="s">
        <v>28</v>
      </c>
      <c r="N5858" s="11" t="s">
        <v>42</v>
      </c>
      <c r="O5858" s="11" t="s">
        <v>556</v>
      </c>
      <c r="P5858" s="11" t="s">
        <v>38</v>
      </c>
      <c r="Q5858" s="20">
        <v>40833.0</v>
      </c>
      <c r="R5858" s="17">
        <f t="shared" si="2"/>
        <v>6.080883196</v>
      </c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>
        <f t="shared" si="8"/>
        <v>1</v>
      </c>
      <c r="AF5858" s="19">
        <f t="shared" si="13"/>
        <v>5</v>
      </c>
      <c r="AG5858" s="9"/>
      <c r="AH5858" s="9"/>
      <c r="AI5858" s="9"/>
    </row>
    <row r="5859" ht="15.0" customHeight="1">
      <c r="A5859" s="11">
        <v>5858.0</v>
      </c>
      <c r="B5859" s="12">
        <f t="shared" si="939"/>
        <v>40831</v>
      </c>
      <c r="C5859" s="13">
        <v>2011.0</v>
      </c>
      <c r="D5859" s="11" t="s">
        <v>102</v>
      </c>
      <c r="E5859" s="11">
        <v>43.0</v>
      </c>
      <c r="F5859" s="21" t="s">
        <v>218</v>
      </c>
      <c r="G5859" s="15">
        <v>0.0866445859872611</v>
      </c>
      <c r="H5859" s="11" t="s">
        <v>33</v>
      </c>
      <c r="I5859" s="16">
        <v>1.592</v>
      </c>
      <c r="J5859" s="11" t="s">
        <v>2434</v>
      </c>
      <c r="K5859" s="11" t="s">
        <v>65</v>
      </c>
      <c r="L5859" s="11" t="s">
        <v>27</v>
      </c>
      <c r="M5859" s="11" t="s">
        <v>66</v>
      </c>
      <c r="N5859" s="11" t="s">
        <v>67</v>
      </c>
      <c r="O5859" s="11" t="s">
        <v>749</v>
      </c>
      <c r="P5859" s="11" t="s">
        <v>99</v>
      </c>
      <c r="Q5859" s="20">
        <v>40833.0</v>
      </c>
      <c r="R5859" s="17">
        <f t="shared" si="2"/>
        <v>31.06139092</v>
      </c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>
        <f t="shared" si="8"/>
        <v>1</v>
      </c>
      <c r="AF5859" s="19">
        <f t="shared" si="13"/>
        <v>5</v>
      </c>
      <c r="AG5859" s="9"/>
      <c r="AH5859" s="9"/>
      <c r="AI5859" s="9"/>
    </row>
    <row r="5860" ht="15.0" customHeight="1">
      <c r="A5860" s="11">
        <v>5859.0</v>
      </c>
      <c r="B5860" s="12">
        <f t="shared" ref="B5860:B5863" si="940">DATE(2012,12,31)-442</f>
        <v>40832</v>
      </c>
      <c r="C5860" s="13">
        <v>2011.0</v>
      </c>
      <c r="D5860" s="11" t="s">
        <v>32</v>
      </c>
      <c r="E5860" s="11">
        <v>30.0</v>
      </c>
      <c r="F5860" s="21" t="s">
        <v>408</v>
      </c>
      <c r="G5860" s="15">
        <v>0.04817080207732252</v>
      </c>
      <c r="H5860" s="11" t="s">
        <v>45</v>
      </c>
      <c r="I5860" s="16">
        <v>18.552000000000003</v>
      </c>
      <c r="J5860" s="11" t="s">
        <v>1586</v>
      </c>
      <c r="K5860" s="11" t="s">
        <v>65</v>
      </c>
      <c r="L5860" s="11" t="s">
        <v>27</v>
      </c>
      <c r="M5860" s="11" t="s">
        <v>28</v>
      </c>
      <c r="N5860" s="11" t="s">
        <v>197</v>
      </c>
      <c r="O5860" s="11" t="s">
        <v>409</v>
      </c>
      <c r="P5860" s="11" t="s">
        <v>52</v>
      </c>
      <c r="Q5860" s="20">
        <v>40833.0</v>
      </c>
      <c r="R5860" s="17">
        <f t="shared" si="2"/>
        <v>405.2393774</v>
      </c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>
        <f t="shared" si="8"/>
        <v>1</v>
      </c>
      <c r="AF5860" s="19">
        <f t="shared" si="13"/>
        <v>5</v>
      </c>
      <c r="AG5860" s="9"/>
      <c r="AH5860" s="9"/>
      <c r="AI5860" s="9"/>
    </row>
    <row r="5861" ht="15.0" customHeight="1">
      <c r="A5861" s="11">
        <v>5860.0</v>
      </c>
      <c r="B5861" s="12">
        <f t="shared" si="940"/>
        <v>40832</v>
      </c>
      <c r="C5861" s="13">
        <v>2011.0</v>
      </c>
      <c r="D5861" s="11" t="s">
        <v>32</v>
      </c>
      <c r="E5861" s="11">
        <v>37.0</v>
      </c>
      <c r="F5861" s="21" t="s">
        <v>178</v>
      </c>
      <c r="G5861" s="15">
        <v>0.021646663466154473</v>
      </c>
      <c r="H5861" s="11" t="s">
        <v>33</v>
      </c>
      <c r="I5861" s="16">
        <v>7.192</v>
      </c>
      <c r="J5861" s="11" t="s">
        <v>1586</v>
      </c>
      <c r="K5861" s="11" t="s">
        <v>65</v>
      </c>
      <c r="L5861" s="11" t="s">
        <v>27</v>
      </c>
      <c r="M5861" s="11" t="s">
        <v>66</v>
      </c>
      <c r="N5861" s="11" t="s">
        <v>80</v>
      </c>
      <c r="O5861" s="11" t="s">
        <v>1272</v>
      </c>
      <c r="P5861" s="11" t="s">
        <v>38</v>
      </c>
      <c r="Q5861" s="20">
        <v>40834.0</v>
      </c>
      <c r="R5861" s="17">
        <f t="shared" si="2"/>
        <v>52.93674233</v>
      </c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>
        <f t="shared" si="8"/>
        <v>1</v>
      </c>
      <c r="AF5861" s="19">
        <f t="shared" si="13"/>
        <v>5</v>
      </c>
      <c r="AG5861" s="9"/>
      <c r="AH5861" s="9"/>
      <c r="AI5861" s="9"/>
    </row>
    <row r="5862" ht="15.0" customHeight="1">
      <c r="A5862" s="11">
        <v>5861.0</v>
      </c>
      <c r="B5862" s="12">
        <f t="shared" si="940"/>
        <v>40832</v>
      </c>
      <c r="C5862" s="13">
        <v>2011.0</v>
      </c>
      <c r="D5862" s="11" t="s">
        <v>44</v>
      </c>
      <c r="E5862" s="11">
        <v>17.0</v>
      </c>
      <c r="F5862" s="21" t="s">
        <v>943</v>
      </c>
      <c r="G5862" s="15">
        <v>0.03944349885295638</v>
      </c>
      <c r="H5862" s="11" t="s">
        <v>33</v>
      </c>
      <c r="I5862" s="16">
        <v>5.2</v>
      </c>
      <c r="J5862" s="11" t="s">
        <v>1982</v>
      </c>
      <c r="K5862" s="11" t="s">
        <v>65</v>
      </c>
      <c r="L5862" s="11" t="s">
        <v>36</v>
      </c>
      <c r="M5862" s="11" t="s">
        <v>66</v>
      </c>
      <c r="N5862" s="11" t="s">
        <v>67</v>
      </c>
      <c r="O5862" s="11" t="s">
        <v>944</v>
      </c>
      <c r="P5862" s="11" t="s">
        <v>38</v>
      </c>
      <c r="Q5862" s="20">
        <v>40834.0</v>
      </c>
      <c r="R5862" s="17">
        <f t="shared" si="2"/>
        <v>102.395323</v>
      </c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>
        <f t="shared" si="8"/>
        <v>2</v>
      </c>
      <c r="AF5862" s="19">
        <f t="shared" si="13"/>
        <v>5</v>
      </c>
      <c r="AG5862" s="9"/>
      <c r="AH5862" s="9"/>
      <c r="AI5862" s="9"/>
    </row>
    <row r="5863" ht="15.0" customHeight="1">
      <c r="A5863" s="11">
        <v>5862.0</v>
      </c>
      <c r="B5863" s="12">
        <f t="shared" si="940"/>
        <v>40832</v>
      </c>
      <c r="C5863" s="13">
        <v>2011.0</v>
      </c>
      <c r="D5863" s="11" t="s">
        <v>44</v>
      </c>
      <c r="E5863" s="11">
        <v>29.0</v>
      </c>
      <c r="F5863" s="21" t="s">
        <v>126</v>
      </c>
      <c r="G5863" s="15">
        <v>0.03443864229764983</v>
      </c>
      <c r="H5863" s="11" t="s">
        <v>33</v>
      </c>
      <c r="I5863" s="16">
        <v>5.824000000000001</v>
      </c>
      <c r="J5863" s="11" t="s">
        <v>1982</v>
      </c>
      <c r="K5863" s="11" t="s">
        <v>65</v>
      </c>
      <c r="L5863" s="11" t="s">
        <v>36</v>
      </c>
      <c r="M5863" s="11" t="s">
        <v>28</v>
      </c>
      <c r="N5863" s="11" t="s">
        <v>56</v>
      </c>
      <c r="O5863" s="11" t="s">
        <v>2302</v>
      </c>
      <c r="P5863" s="11" t="s">
        <v>38</v>
      </c>
      <c r="Q5863" s="20">
        <v>40834.0</v>
      </c>
      <c r="R5863" s="17">
        <f t="shared" si="2"/>
        <v>5.094301723</v>
      </c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>
        <f t="shared" si="8"/>
        <v>2</v>
      </c>
      <c r="AF5863" s="19">
        <f t="shared" si="13"/>
        <v>5</v>
      </c>
      <c r="AG5863" s="9"/>
      <c r="AH5863" s="9"/>
      <c r="AI5863" s="9"/>
    </row>
    <row r="5864" ht="15.0" customHeight="1">
      <c r="A5864" s="11">
        <v>5863.0</v>
      </c>
      <c r="B5864" s="12">
        <f t="shared" ref="B5864:B5866" si="941">DATE(2012,12,31)-441</f>
        <v>40833</v>
      </c>
      <c r="C5864" s="13">
        <v>2011.0</v>
      </c>
      <c r="D5864" s="11" t="s">
        <v>39</v>
      </c>
      <c r="E5864" s="11">
        <v>19.0</v>
      </c>
      <c r="F5864" s="21" t="s">
        <v>1469</v>
      </c>
      <c r="G5864" s="15">
        <v>0.0834043590173173</v>
      </c>
      <c r="H5864" s="11" t="s">
        <v>24</v>
      </c>
      <c r="I5864" s="16">
        <v>15.991999999999999</v>
      </c>
      <c r="J5864" s="11" t="s">
        <v>2017</v>
      </c>
      <c r="K5864" s="11" t="s">
        <v>65</v>
      </c>
      <c r="L5864" s="11" t="s">
        <v>48</v>
      </c>
      <c r="M5864" s="11" t="s">
        <v>28</v>
      </c>
      <c r="N5864" s="11" t="s">
        <v>42</v>
      </c>
      <c r="O5864" s="11" t="s">
        <v>1471</v>
      </c>
      <c r="P5864" s="11" t="s">
        <v>38</v>
      </c>
      <c r="Q5864" s="20">
        <v>40835.0</v>
      </c>
      <c r="R5864" s="17">
        <f t="shared" si="2"/>
        <v>501.9351058</v>
      </c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>
        <f t="shared" si="8"/>
        <v>4</v>
      </c>
      <c r="AF5864" s="19">
        <f t="shared" si="13"/>
        <v>5</v>
      </c>
      <c r="AG5864" s="9"/>
      <c r="AH5864" s="9"/>
      <c r="AI5864" s="9"/>
    </row>
    <row r="5865" ht="15.0" customHeight="1">
      <c r="A5865" s="11">
        <v>5864.0</v>
      </c>
      <c r="B5865" s="12">
        <f t="shared" si="941"/>
        <v>40833</v>
      </c>
      <c r="C5865" s="13">
        <v>2011.0</v>
      </c>
      <c r="D5865" s="11" t="s">
        <v>23</v>
      </c>
      <c r="E5865" s="11">
        <v>13.0</v>
      </c>
      <c r="F5865" s="21" t="s">
        <v>221</v>
      </c>
      <c r="G5865" s="15">
        <v>0.05117179741807354</v>
      </c>
      <c r="H5865" s="11" t="s">
        <v>33</v>
      </c>
      <c r="I5865" s="16">
        <v>3.8880000000000003</v>
      </c>
      <c r="J5865" s="11" t="s">
        <v>2365</v>
      </c>
      <c r="K5865" s="11" t="s">
        <v>117</v>
      </c>
      <c r="L5865" s="11" t="s">
        <v>48</v>
      </c>
      <c r="M5865" s="11" t="s">
        <v>28</v>
      </c>
      <c r="N5865" s="11" t="s">
        <v>56</v>
      </c>
      <c r="O5865" s="11" t="s">
        <v>2072</v>
      </c>
      <c r="P5865" s="11" t="s">
        <v>58</v>
      </c>
      <c r="Q5865" s="20">
        <v>40835.0</v>
      </c>
      <c r="R5865" s="17">
        <f t="shared" si="2"/>
        <v>19.55724691</v>
      </c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>
        <f t="shared" si="8"/>
        <v>4</v>
      </c>
      <c r="AF5865" s="19" t="b">
        <f t="shared" si="13"/>
        <v>0</v>
      </c>
      <c r="AG5865" s="9"/>
      <c r="AH5865" s="9"/>
      <c r="AI5865" s="9"/>
    </row>
    <row r="5866" ht="15.0" customHeight="1">
      <c r="A5866" s="11">
        <v>5865.0</v>
      </c>
      <c r="B5866" s="12">
        <f t="shared" si="941"/>
        <v>40833</v>
      </c>
      <c r="C5866" s="13">
        <v>2011.0</v>
      </c>
      <c r="D5866" s="11" t="s">
        <v>102</v>
      </c>
      <c r="E5866" s="11">
        <v>42.0</v>
      </c>
      <c r="F5866" s="21" t="s">
        <v>163</v>
      </c>
      <c r="G5866" s="15">
        <v>0.049952792375523386</v>
      </c>
      <c r="H5866" s="11" t="s">
        <v>45</v>
      </c>
      <c r="I5866" s="16">
        <v>28.672000000000004</v>
      </c>
      <c r="J5866" s="11" t="s">
        <v>571</v>
      </c>
      <c r="K5866" s="11" t="s">
        <v>65</v>
      </c>
      <c r="L5866" s="11" t="s">
        <v>27</v>
      </c>
      <c r="M5866" s="11" t="s">
        <v>49</v>
      </c>
      <c r="N5866" s="11" t="s">
        <v>156</v>
      </c>
      <c r="O5866" s="11" t="s">
        <v>165</v>
      </c>
      <c r="P5866" s="11" t="s">
        <v>87</v>
      </c>
      <c r="Q5866" s="20">
        <v>40835.0</v>
      </c>
      <c r="R5866" s="17">
        <f t="shared" si="2"/>
        <v>213.12219</v>
      </c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>
        <f t="shared" si="8"/>
        <v>1</v>
      </c>
      <c r="AF5866" s="19">
        <f t="shared" si="13"/>
        <v>5</v>
      </c>
      <c r="AG5866" s="9"/>
      <c r="AH5866" s="9"/>
      <c r="AI5866" s="9"/>
    </row>
    <row r="5867" ht="15.0" customHeight="1">
      <c r="A5867" s="11">
        <v>5866.0</v>
      </c>
      <c r="B5867" s="12">
        <f t="shared" ref="B5867:B5871" si="942">DATE(2012,12,31)-440</f>
        <v>40834</v>
      </c>
      <c r="C5867" s="13">
        <v>2011.0</v>
      </c>
      <c r="D5867" s="11" t="s">
        <v>32</v>
      </c>
      <c r="E5867" s="11">
        <v>46.0</v>
      </c>
      <c r="F5867" s="21" t="s">
        <v>151</v>
      </c>
      <c r="G5867" s="15">
        <v>0.028578811369509086</v>
      </c>
      <c r="H5867" s="11" t="s">
        <v>33</v>
      </c>
      <c r="I5867" s="16">
        <v>3.176</v>
      </c>
      <c r="J5867" s="11" t="s">
        <v>1385</v>
      </c>
      <c r="K5867" s="11" t="s">
        <v>61</v>
      </c>
      <c r="L5867" s="11" t="s">
        <v>48</v>
      </c>
      <c r="M5867" s="11" t="s">
        <v>28</v>
      </c>
      <c r="N5867" s="11" t="s">
        <v>62</v>
      </c>
      <c r="O5867" s="11" t="s">
        <v>209</v>
      </c>
      <c r="P5867" s="11" t="s">
        <v>58</v>
      </c>
      <c r="Q5867" s="20">
        <v>40835.0</v>
      </c>
      <c r="R5867" s="17">
        <f t="shared" si="2"/>
        <v>4.297567339</v>
      </c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>
        <f t="shared" si="8"/>
        <v>4</v>
      </c>
      <c r="AF5867" s="19">
        <f t="shared" si="13"/>
        <v>4</v>
      </c>
      <c r="AG5867" s="9"/>
      <c r="AH5867" s="9"/>
      <c r="AI5867" s="9"/>
    </row>
    <row r="5868" ht="15.0" customHeight="1">
      <c r="A5868" s="11">
        <v>5867.0</v>
      </c>
      <c r="B5868" s="12">
        <f t="shared" si="942"/>
        <v>40834</v>
      </c>
      <c r="C5868" s="13">
        <v>2011.0</v>
      </c>
      <c r="D5868" s="11" t="s">
        <v>102</v>
      </c>
      <c r="E5868" s="11">
        <v>6.0</v>
      </c>
      <c r="F5868" s="21" t="s">
        <v>1635</v>
      </c>
      <c r="G5868" s="15">
        <v>0.07567175018155398</v>
      </c>
      <c r="H5868" s="11" t="s">
        <v>33</v>
      </c>
      <c r="I5868" s="16">
        <v>28.0</v>
      </c>
      <c r="J5868" s="11" t="s">
        <v>1210</v>
      </c>
      <c r="K5868" s="11" t="s">
        <v>47</v>
      </c>
      <c r="L5868" s="11" t="s">
        <v>36</v>
      </c>
      <c r="M5868" s="11" t="s">
        <v>28</v>
      </c>
      <c r="N5868" s="11" t="s">
        <v>29</v>
      </c>
      <c r="O5868" s="11" t="s">
        <v>1637</v>
      </c>
      <c r="P5868" s="11" t="s">
        <v>31</v>
      </c>
      <c r="Q5868" s="20">
        <v>40835.0</v>
      </c>
      <c r="R5868" s="17">
        <f t="shared" si="2"/>
        <v>48.15750182</v>
      </c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>
        <f t="shared" si="8"/>
        <v>2</v>
      </c>
      <c r="AF5868" s="19">
        <f t="shared" si="13"/>
        <v>3</v>
      </c>
      <c r="AG5868" s="9"/>
      <c r="AH5868" s="9"/>
      <c r="AI5868" s="9"/>
    </row>
    <row r="5869" ht="15.0" customHeight="1">
      <c r="A5869" s="11">
        <v>5868.0</v>
      </c>
      <c r="B5869" s="12">
        <f t="shared" si="942"/>
        <v>40834</v>
      </c>
      <c r="C5869" s="13">
        <v>2011.0</v>
      </c>
      <c r="D5869" s="11" t="s">
        <v>102</v>
      </c>
      <c r="E5869" s="11">
        <v>16.0</v>
      </c>
      <c r="F5869" s="21" t="s">
        <v>425</v>
      </c>
      <c r="G5869" s="15">
        <v>0.06212960319725952</v>
      </c>
      <c r="H5869" s="11" t="s">
        <v>33</v>
      </c>
      <c r="I5869" s="16">
        <v>5.336</v>
      </c>
      <c r="J5869" s="11" t="s">
        <v>1210</v>
      </c>
      <c r="K5869" s="11" t="s">
        <v>47</v>
      </c>
      <c r="L5869" s="11" t="s">
        <v>36</v>
      </c>
      <c r="M5869" s="11" t="s">
        <v>49</v>
      </c>
      <c r="N5869" s="11" t="s">
        <v>73</v>
      </c>
      <c r="O5869" s="11" t="s">
        <v>2268</v>
      </c>
      <c r="P5869" s="11" t="s">
        <v>99</v>
      </c>
      <c r="Q5869" s="20">
        <v>40836.0</v>
      </c>
      <c r="R5869" s="17">
        <f t="shared" si="2"/>
        <v>20.41181132</v>
      </c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>
        <f t="shared" si="8"/>
        <v>2</v>
      </c>
      <c r="AF5869" s="19">
        <f t="shared" si="13"/>
        <v>3</v>
      </c>
      <c r="AG5869" s="9"/>
      <c r="AH5869" s="9"/>
      <c r="AI5869" s="9"/>
    </row>
    <row r="5870" ht="15.0" customHeight="1">
      <c r="A5870" s="11">
        <v>5869.0</v>
      </c>
      <c r="B5870" s="12">
        <f t="shared" si="942"/>
        <v>40834</v>
      </c>
      <c r="C5870" s="13">
        <v>2011.0</v>
      </c>
      <c r="D5870" s="11" t="s">
        <v>32</v>
      </c>
      <c r="E5870" s="11">
        <v>14.0</v>
      </c>
      <c r="F5870" s="21" t="s">
        <v>192</v>
      </c>
      <c r="G5870" s="15">
        <v>0.010312667275417976</v>
      </c>
      <c r="H5870" s="11" t="s">
        <v>33</v>
      </c>
      <c r="I5870" s="16">
        <v>15.991999999999999</v>
      </c>
      <c r="J5870" s="11" t="s">
        <v>2531</v>
      </c>
      <c r="K5870" s="11" t="s">
        <v>35</v>
      </c>
      <c r="L5870" s="11" t="s">
        <v>48</v>
      </c>
      <c r="M5870" s="11" t="s">
        <v>28</v>
      </c>
      <c r="N5870" s="11" t="s">
        <v>42</v>
      </c>
      <c r="O5870" s="11" t="s">
        <v>194</v>
      </c>
      <c r="P5870" s="11" t="s">
        <v>38</v>
      </c>
      <c r="Q5870" s="20">
        <v>40836.0</v>
      </c>
      <c r="R5870" s="17">
        <f t="shared" si="2"/>
        <v>129.6569581</v>
      </c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>
        <f t="shared" si="8"/>
        <v>4</v>
      </c>
      <c r="AF5870" s="19">
        <f t="shared" si="13"/>
        <v>2</v>
      </c>
      <c r="AG5870" s="9"/>
      <c r="AH5870" s="9"/>
      <c r="AI5870" s="9"/>
    </row>
    <row r="5871" ht="15.0" customHeight="1">
      <c r="A5871" s="11">
        <v>5870.0</v>
      </c>
      <c r="B5871" s="12">
        <f t="shared" si="942"/>
        <v>40834</v>
      </c>
      <c r="C5871" s="13">
        <v>2011.0</v>
      </c>
      <c r="D5871" s="11" t="s">
        <v>32</v>
      </c>
      <c r="E5871" s="11">
        <v>49.0</v>
      </c>
      <c r="F5871" s="21" t="s">
        <v>558</v>
      </c>
      <c r="G5871" s="15">
        <v>0.022800989370947218</v>
      </c>
      <c r="H5871" s="11" t="s">
        <v>33</v>
      </c>
      <c r="I5871" s="16">
        <v>1.592</v>
      </c>
      <c r="J5871" s="11" t="s">
        <v>2531</v>
      </c>
      <c r="K5871" s="11" t="s">
        <v>35</v>
      </c>
      <c r="L5871" s="11" t="s">
        <v>48</v>
      </c>
      <c r="M5871" s="11" t="s">
        <v>66</v>
      </c>
      <c r="N5871" s="11" t="s">
        <v>67</v>
      </c>
      <c r="O5871" s="11" t="s">
        <v>559</v>
      </c>
      <c r="P5871" s="11" t="s">
        <v>99</v>
      </c>
      <c r="Q5871" s="20">
        <v>40836.0</v>
      </c>
      <c r="R5871" s="17">
        <f t="shared" si="2"/>
        <v>33.33030385</v>
      </c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>
        <f t="shared" si="8"/>
        <v>4</v>
      </c>
      <c r="AF5871" s="19">
        <f t="shared" si="13"/>
        <v>2</v>
      </c>
      <c r="AG5871" s="9"/>
      <c r="AH5871" s="9"/>
      <c r="AI5871" s="9"/>
    </row>
    <row r="5872" ht="15.0" customHeight="1">
      <c r="A5872" s="11">
        <v>5871.0</v>
      </c>
      <c r="B5872" s="12">
        <f t="shared" ref="B5872:B5876" si="943">DATE(2012,12,31)-439</f>
        <v>40835</v>
      </c>
      <c r="C5872" s="13">
        <v>2011.0</v>
      </c>
      <c r="D5872" s="11" t="s">
        <v>23</v>
      </c>
      <c r="E5872" s="11">
        <v>43.0</v>
      </c>
      <c r="F5872" s="21" t="s">
        <v>952</v>
      </c>
      <c r="G5872" s="15">
        <v>0.06573638248822908</v>
      </c>
      <c r="H5872" s="11" t="s">
        <v>33</v>
      </c>
      <c r="I5872" s="16">
        <v>19.592</v>
      </c>
      <c r="J5872" s="11" t="s">
        <v>819</v>
      </c>
      <c r="K5872" s="11" t="s">
        <v>61</v>
      </c>
      <c r="L5872" s="11" t="s">
        <v>41</v>
      </c>
      <c r="M5872" s="11" t="s">
        <v>66</v>
      </c>
      <c r="N5872" s="11" t="s">
        <v>170</v>
      </c>
      <c r="O5872" s="11" t="s">
        <v>954</v>
      </c>
      <c r="P5872" s="11" t="s">
        <v>31</v>
      </c>
      <c r="Q5872" s="20">
        <v>40836.0</v>
      </c>
      <c r="R5872" s="17">
        <f t="shared" si="2"/>
        <v>1697.003909</v>
      </c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>
        <f t="shared" si="8"/>
        <v>3</v>
      </c>
      <c r="AF5872" s="19">
        <f t="shared" si="13"/>
        <v>4</v>
      </c>
      <c r="AG5872" s="9"/>
      <c r="AH5872" s="9"/>
      <c r="AI5872" s="9"/>
    </row>
    <row r="5873" ht="15.0" customHeight="1">
      <c r="A5873" s="11">
        <v>5872.0</v>
      </c>
      <c r="B5873" s="12">
        <f t="shared" si="943"/>
        <v>40835</v>
      </c>
      <c r="C5873" s="13">
        <v>2011.0</v>
      </c>
      <c r="D5873" s="11" t="s">
        <v>23</v>
      </c>
      <c r="E5873" s="11">
        <v>45.0</v>
      </c>
      <c r="F5873" s="21" t="s">
        <v>2245</v>
      </c>
      <c r="G5873" s="15">
        <v>0.021159924096251042</v>
      </c>
      <c r="H5873" s="11" t="s">
        <v>45</v>
      </c>
      <c r="I5873" s="16">
        <v>22.904</v>
      </c>
      <c r="J5873" s="11" t="s">
        <v>819</v>
      </c>
      <c r="K5873" s="11" t="s">
        <v>61</v>
      </c>
      <c r="L5873" s="11" t="s">
        <v>41</v>
      </c>
      <c r="M5873" s="11" t="s">
        <v>49</v>
      </c>
      <c r="N5873" s="11" t="s">
        <v>50</v>
      </c>
      <c r="O5873" s="11" t="s">
        <v>2246</v>
      </c>
      <c r="P5873" s="11" t="s">
        <v>52</v>
      </c>
      <c r="Q5873" s="20">
        <v>40836.0</v>
      </c>
      <c r="R5873" s="17">
        <f t="shared" si="2"/>
        <v>129.8881627</v>
      </c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>
        <f t="shared" si="8"/>
        <v>3</v>
      </c>
      <c r="AF5873" s="19">
        <f t="shared" si="13"/>
        <v>4</v>
      </c>
      <c r="AG5873" s="9"/>
      <c r="AH5873" s="9"/>
      <c r="AI5873" s="9"/>
    </row>
    <row r="5874" ht="15.0" customHeight="1">
      <c r="A5874" s="11">
        <v>5873.0</v>
      </c>
      <c r="B5874" s="12">
        <f t="shared" si="943"/>
        <v>40835</v>
      </c>
      <c r="C5874" s="13">
        <v>2011.0</v>
      </c>
      <c r="D5874" s="11" t="s">
        <v>23</v>
      </c>
      <c r="E5874" s="11">
        <v>2.0</v>
      </c>
      <c r="F5874" s="21" t="s">
        <v>342</v>
      </c>
      <c r="G5874" s="15">
        <v>0.03472060682680159</v>
      </c>
      <c r="H5874" s="11" t="s">
        <v>45</v>
      </c>
      <c r="I5874" s="16">
        <v>23.368000000000002</v>
      </c>
      <c r="J5874" s="11" t="s">
        <v>819</v>
      </c>
      <c r="K5874" s="11" t="s">
        <v>61</v>
      </c>
      <c r="L5874" s="11" t="s">
        <v>41</v>
      </c>
      <c r="M5874" s="11" t="s">
        <v>49</v>
      </c>
      <c r="N5874" s="11" t="s">
        <v>85</v>
      </c>
      <c r="O5874" s="11" t="s">
        <v>343</v>
      </c>
      <c r="P5874" s="11" t="s">
        <v>87</v>
      </c>
      <c r="Q5874" s="20">
        <v>40837.0</v>
      </c>
      <c r="R5874" s="17">
        <f t="shared" si="2"/>
        <v>13.25521663</v>
      </c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>
        <f t="shared" si="8"/>
        <v>3</v>
      </c>
      <c r="AF5874" s="19">
        <f t="shared" si="13"/>
        <v>4</v>
      </c>
      <c r="AG5874" s="9"/>
      <c r="AH5874" s="9"/>
      <c r="AI5874" s="9"/>
    </row>
    <row r="5875" ht="15.0" customHeight="1">
      <c r="A5875" s="11">
        <v>5874.0</v>
      </c>
      <c r="B5875" s="12">
        <f t="shared" si="943"/>
        <v>40835</v>
      </c>
      <c r="C5875" s="13">
        <v>2011.0</v>
      </c>
      <c r="D5875" s="11" t="s">
        <v>23</v>
      </c>
      <c r="E5875" s="11">
        <v>32.0</v>
      </c>
      <c r="F5875" s="21" t="s">
        <v>865</v>
      </c>
      <c r="G5875" s="15">
        <v>0.06646860385990816</v>
      </c>
      <c r="H5875" s="11" t="s">
        <v>45</v>
      </c>
      <c r="I5875" s="16">
        <v>19.008000000000003</v>
      </c>
      <c r="J5875" s="11" t="s">
        <v>2408</v>
      </c>
      <c r="K5875" s="11" t="s">
        <v>65</v>
      </c>
      <c r="L5875" s="11" t="s">
        <v>36</v>
      </c>
      <c r="M5875" s="11" t="s">
        <v>49</v>
      </c>
      <c r="N5875" s="11" t="s">
        <v>50</v>
      </c>
      <c r="O5875" s="11" t="s">
        <v>866</v>
      </c>
      <c r="P5875" s="11" t="s">
        <v>52</v>
      </c>
      <c r="Q5875" s="20">
        <v>40837.0</v>
      </c>
      <c r="R5875" s="17">
        <f t="shared" si="2"/>
        <v>428.5767957</v>
      </c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>
        <f t="shared" si="8"/>
        <v>2</v>
      </c>
      <c r="AF5875" s="19">
        <f t="shared" si="13"/>
        <v>5</v>
      </c>
      <c r="AG5875" s="9"/>
      <c r="AH5875" s="9"/>
      <c r="AI5875" s="9"/>
    </row>
    <row r="5876" ht="15.0" customHeight="1">
      <c r="A5876" s="11">
        <v>5875.0</v>
      </c>
      <c r="B5876" s="12">
        <f t="shared" si="943"/>
        <v>40835</v>
      </c>
      <c r="C5876" s="13">
        <v>2011.0</v>
      </c>
      <c r="D5876" s="11" t="s">
        <v>23</v>
      </c>
      <c r="E5876" s="11">
        <v>10.0</v>
      </c>
      <c r="F5876" s="21" t="s">
        <v>610</v>
      </c>
      <c r="G5876" s="15">
        <v>0.025471264367816077</v>
      </c>
      <c r="H5876" s="11" t="s">
        <v>33</v>
      </c>
      <c r="I5876" s="16">
        <v>5.176</v>
      </c>
      <c r="J5876" s="11" t="s">
        <v>2408</v>
      </c>
      <c r="K5876" s="11" t="s">
        <v>65</v>
      </c>
      <c r="L5876" s="11" t="s">
        <v>36</v>
      </c>
      <c r="M5876" s="11" t="s">
        <v>28</v>
      </c>
      <c r="N5876" s="11" t="s">
        <v>56</v>
      </c>
      <c r="O5876" s="11" t="s">
        <v>2006</v>
      </c>
      <c r="P5876" s="11" t="s">
        <v>38</v>
      </c>
      <c r="Q5876" s="20">
        <v>40837.0</v>
      </c>
      <c r="R5876" s="17">
        <f t="shared" si="2"/>
        <v>3.239333517</v>
      </c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>
        <f t="shared" si="8"/>
        <v>2</v>
      </c>
      <c r="AF5876" s="19">
        <f t="shared" si="13"/>
        <v>5</v>
      </c>
      <c r="AG5876" s="9"/>
      <c r="AH5876" s="9"/>
      <c r="AI5876" s="9"/>
    </row>
    <row r="5877" ht="15.0" customHeight="1">
      <c r="A5877" s="11">
        <v>5876.0</v>
      </c>
      <c r="B5877" s="12">
        <f t="shared" ref="B5877:B5889" si="944">DATE(2012,12,31)-438</f>
        <v>40836</v>
      </c>
      <c r="C5877" s="13">
        <v>2011.0</v>
      </c>
      <c r="D5877" s="11" t="s">
        <v>23</v>
      </c>
      <c r="E5877" s="11">
        <v>25.0</v>
      </c>
      <c r="F5877" s="21" t="s">
        <v>126</v>
      </c>
      <c r="G5877" s="15">
        <v>0.1030845771144277</v>
      </c>
      <c r="H5877" s="11" t="s">
        <v>33</v>
      </c>
      <c r="I5877" s="16">
        <v>3.696</v>
      </c>
      <c r="J5877" s="11" t="s">
        <v>1578</v>
      </c>
      <c r="K5877" s="11" t="s">
        <v>26</v>
      </c>
      <c r="L5877" s="11" t="s">
        <v>41</v>
      </c>
      <c r="M5877" s="11" t="s">
        <v>66</v>
      </c>
      <c r="N5877" s="11" t="s">
        <v>67</v>
      </c>
      <c r="O5877" s="11" t="s">
        <v>675</v>
      </c>
      <c r="P5877" s="11" t="s">
        <v>99</v>
      </c>
      <c r="Q5877" s="20">
        <v>40837.0</v>
      </c>
      <c r="R5877" s="17">
        <f t="shared" si="2"/>
        <v>13.00886129</v>
      </c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>
        <f t="shared" si="8"/>
        <v>3</v>
      </c>
      <c r="AF5877" s="19">
        <f t="shared" si="13"/>
        <v>1</v>
      </c>
      <c r="AG5877" s="9"/>
      <c r="AH5877" s="9"/>
      <c r="AI5877" s="9"/>
    </row>
    <row r="5878" ht="15.0" customHeight="1">
      <c r="A5878" s="11">
        <v>5877.0</v>
      </c>
      <c r="B5878" s="12">
        <f t="shared" si="944"/>
        <v>40836</v>
      </c>
      <c r="C5878" s="13">
        <v>2011.0</v>
      </c>
      <c r="D5878" s="11" t="s">
        <v>39</v>
      </c>
      <c r="E5878" s="11">
        <v>16.0</v>
      </c>
      <c r="F5878" s="21" t="s">
        <v>158</v>
      </c>
      <c r="G5878" s="15">
        <v>0.021986754966887397</v>
      </c>
      <c r="H5878" s="11" t="s">
        <v>33</v>
      </c>
      <c r="I5878" s="16">
        <v>0.976</v>
      </c>
      <c r="J5878" s="11" t="s">
        <v>823</v>
      </c>
      <c r="K5878" s="11" t="s">
        <v>61</v>
      </c>
      <c r="L5878" s="11" t="s">
        <v>36</v>
      </c>
      <c r="M5878" s="11" t="s">
        <v>28</v>
      </c>
      <c r="N5878" s="11" t="s">
        <v>62</v>
      </c>
      <c r="O5878" s="11" t="s">
        <v>1426</v>
      </c>
      <c r="P5878" s="11" t="s">
        <v>58</v>
      </c>
      <c r="Q5878" s="20">
        <v>40837.0</v>
      </c>
      <c r="R5878" s="17">
        <f t="shared" si="2"/>
        <v>2.272902781</v>
      </c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>
        <f t="shared" si="8"/>
        <v>2</v>
      </c>
      <c r="AF5878" s="19">
        <f t="shared" si="13"/>
        <v>4</v>
      </c>
      <c r="AG5878" s="9"/>
      <c r="AH5878" s="9"/>
      <c r="AI5878" s="9"/>
    </row>
    <row r="5879" ht="15.0" customHeight="1">
      <c r="A5879" s="11">
        <v>5878.0</v>
      </c>
      <c r="B5879" s="12">
        <f t="shared" si="944"/>
        <v>40836</v>
      </c>
      <c r="C5879" s="13">
        <v>2011.0</v>
      </c>
      <c r="D5879" s="11" t="s">
        <v>23</v>
      </c>
      <c r="E5879" s="11">
        <v>17.0</v>
      </c>
      <c r="F5879" s="21" t="s">
        <v>128</v>
      </c>
      <c r="G5879" s="15">
        <v>0.03522577052791792</v>
      </c>
      <c r="H5879" s="11" t="s">
        <v>33</v>
      </c>
      <c r="I5879" s="16">
        <v>6.464</v>
      </c>
      <c r="J5879" s="11" t="s">
        <v>448</v>
      </c>
      <c r="K5879" s="11" t="s">
        <v>83</v>
      </c>
      <c r="L5879" s="11" t="s">
        <v>36</v>
      </c>
      <c r="M5879" s="11" t="s">
        <v>66</v>
      </c>
      <c r="N5879" s="11" t="s">
        <v>80</v>
      </c>
      <c r="O5879" s="11" t="s">
        <v>2243</v>
      </c>
      <c r="P5879" s="11" t="s">
        <v>38</v>
      </c>
      <c r="Q5879" s="20">
        <v>40837.0</v>
      </c>
      <c r="R5879" s="17">
        <f t="shared" si="2"/>
        <v>75.62141604</v>
      </c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>
        <f t="shared" si="8"/>
        <v>2</v>
      </c>
      <c r="AF5879" s="19" t="b">
        <f t="shared" si="13"/>
        <v>0</v>
      </c>
      <c r="AG5879" s="9"/>
      <c r="AH5879" s="9"/>
      <c r="AI5879" s="9"/>
    </row>
    <row r="5880" ht="15.0" customHeight="1">
      <c r="A5880" s="11">
        <v>5879.0</v>
      </c>
      <c r="B5880" s="12">
        <f t="shared" si="944"/>
        <v>40836</v>
      </c>
      <c r="C5880" s="13">
        <v>2011.0</v>
      </c>
      <c r="D5880" s="11" t="s">
        <v>23</v>
      </c>
      <c r="E5880" s="11">
        <v>29.0</v>
      </c>
      <c r="F5880" s="21" t="s">
        <v>1791</v>
      </c>
      <c r="G5880" s="15">
        <v>0.09322686025408337</v>
      </c>
      <c r="H5880" s="11" t="s">
        <v>33</v>
      </c>
      <c r="I5880" s="16">
        <v>6.216</v>
      </c>
      <c r="J5880" s="11" t="s">
        <v>167</v>
      </c>
      <c r="K5880" s="11" t="s">
        <v>26</v>
      </c>
      <c r="L5880" s="11" t="s">
        <v>27</v>
      </c>
      <c r="M5880" s="11" t="s">
        <v>28</v>
      </c>
      <c r="N5880" s="11" t="s">
        <v>442</v>
      </c>
      <c r="O5880" s="11" t="s">
        <v>2254</v>
      </c>
      <c r="P5880" s="11" t="s">
        <v>99</v>
      </c>
      <c r="Q5880" s="20">
        <v>40837.0</v>
      </c>
      <c r="R5880" s="17">
        <f t="shared" si="2"/>
        <v>23.28956132</v>
      </c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>
        <f t="shared" si="8"/>
        <v>1</v>
      </c>
      <c r="AF5880" s="19">
        <f t="shared" si="13"/>
        <v>1</v>
      </c>
      <c r="AG5880" s="9"/>
      <c r="AH5880" s="9"/>
      <c r="AI5880" s="9"/>
    </row>
    <row r="5881" ht="15.0" customHeight="1">
      <c r="A5881" s="11">
        <v>5880.0</v>
      </c>
      <c r="B5881" s="12">
        <f t="shared" si="944"/>
        <v>40836</v>
      </c>
      <c r="C5881" s="13">
        <v>2011.0</v>
      </c>
      <c r="D5881" s="11" t="s">
        <v>23</v>
      </c>
      <c r="E5881" s="11">
        <v>31.0</v>
      </c>
      <c r="F5881" s="21" t="s">
        <v>962</v>
      </c>
      <c r="G5881" s="15">
        <v>0.01531104356636268</v>
      </c>
      <c r="H5881" s="11" t="s">
        <v>33</v>
      </c>
      <c r="I5881" s="16">
        <v>8.544</v>
      </c>
      <c r="J5881" s="11" t="s">
        <v>167</v>
      </c>
      <c r="K5881" s="11" t="s">
        <v>26</v>
      </c>
      <c r="L5881" s="11" t="s">
        <v>27</v>
      </c>
      <c r="M5881" s="11" t="s">
        <v>28</v>
      </c>
      <c r="N5881" s="11" t="s">
        <v>29</v>
      </c>
      <c r="O5881" s="11" t="s">
        <v>1180</v>
      </c>
      <c r="P5881" s="11" t="s">
        <v>38</v>
      </c>
      <c r="Q5881" s="20">
        <v>40837.0</v>
      </c>
      <c r="R5881" s="17">
        <f t="shared" si="2"/>
        <v>7.440309755</v>
      </c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>
        <f t="shared" si="8"/>
        <v>1</v>
      </c>
      <c r="AF5881" s="19">
        <f t="shared" si="13"/>
        <v>1</v>
      </c>
      <c r="AG5881" s="9"/>
      <c r="AH5881" s="9"/>
      <c r="AI5881" s="9"/>
    </row>
    <row r="5882" ht="15.0" customHeight="1">
      <c r="A5882" s="11">
        <v>5881.0</v>
      </c>
      <c r="B5882" s="12">
        <f t="shared" si="944"/>
        <v>40836</v>
      </c>
      <c r="C5882" s="13">
        <v>2011.0</v>
      </c>
      <c r="D5882" s="11" t="s">
        <v>32</v>
      </c>
      <c r="E5882" s="11">
        <v>12.0</v>
      </c>
      <c r="F5882" s="21" t="s">
        <v>865</v>
      </c>
      <c r="G5882" s="15">
        <v>0.06761013046815043</v>
      </c>
      <c r="H5882" s="11" t="s">
        <v>45</v>
      </c>
      <c r="I5882" s="16">
        <v>19.008000000000003</v>
      </c>
      <c r="J5882" s="11" t="s">
        <v>514</v>
      </c>
      <c r="K5882" s="11" t="s">
        <v>61</v>
      </c>
      <c r="L5882" s="11" t="s">
        <v>27</v>
      </c>
      <c r="M5882" s="11" t="s">
        <v>49</v>
      </c>
      <c r="N5882" s="11" t="s">
        <v>50</v>
      </c>
      <c r="O5882" s="11" t="s">
        <v>866</v>
      </c>
      <c r="P5882" s="11" t="s">
        <v>52</v>
      </c>
      <c r="Q5882" s="20">
        <v>40838.0</v>
      </c>
      <c r="R5882" s="17">
        <f t="shared" si="2"/>
        <v>164.2796359</v>
      </c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>
        <f t="shared" si="8"/>
        <v>1</v>
      </c>
      <c r="AF5882" s="19">
        <f t="shared" si="13"/>
        <v>4</v>
      </c>
      <c r="AG5882" s="9"/>
      <c r="AH5882" s="9"/>
      <c r="AI5882" s="9"/>
    </row>
    <row r="5883" ht="15.0" customHeight="1">
      <c r="A5883" s="11">
        <v>5882.0</v>
      </c>
      <c r="B5883" s="12">
        <f t="shared" si="944"/>
        <v>40836</v>
      </c>
      <c r="C5883" s="13">
        <v>2011.0</v>
      </c>
      <c r="D5883" s="11" t="s">
        <v>32</v>
      </c>
      <c r="E5883" s="11">
        <v>24.0</v>
      </c>
      <c r="F5883" s="21" t="s">
        <v>158</v>
      </c>
      <c r="G5883" s="15">
        <v>0.05765124555160125</v>
      </c>
      <c r="H5883" s="11" t="s">
        <v>33</v>
      </c>
      <c r="I5883" s="16">
        <v>5.28</v>
      </c>
      <c r="J5883" s="11" t="s">
        <v>1935</v>
      </c>
      <c r="K5883" s="11" t="s">
        <v>35</v>
      </c>
      <c r="L5883" s="11" t="s">
        <v>36</v>
      </c>
      <c r="M5883" s="11" t="s">
        <v>28</v>
      </c>
      <c r="N5883" s="11" t="s">
        <v>56</v>
      </c>
      <c r="O5883" s="11" t="s">
        <v>543</v>
      </c>
      <c r="P5883" s="11" t="s">
        <v>38</v>
      </c>
      <c r="Q5883" s="20">
        <v>40838.0</v>
      </c>
      <c r="R5883" s="17">
        <f t="shared" si="2"/>
        <v>9.159629893</v>
      </c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>
        <f t="shared" si="8"/>
        <v>2</v>
      </c>
      <c r="AF5883" s="19">
        <f t="shared" si="13"/>
        <v>2</v>
      </c>
      <c r="AG5883" s="9"/>
      <c r="AH5883" s="9"/>
      <c r="AI5883" s="9"/>
    </row>
    <row r="5884" ht="15.0" customHeight="1">
      <c r="A5884" s="11">
        <v>5883.0</v>
      </c>
      <c r="B5884" s="12">
        <f t="shared" si="944"/>
        <v>40836</v>
      </c>
      <c r="C5884" s="13">
        <v>2011.0</v>
      </c>
      <c r="D5884" s="11" t="s">
        <v>32</v>
      </c>
      <c r="E5884" s="11">
        <v>21.0</v>
      </c>
      <c r="F5884" s="21" t="s">
        <v>166</v>
      </c>
      <c r="G5884" s="15">
        <v>0.09687499999999992</v>
      </c>
      <c r="H5884" s="11" t="s">
        <v>24</v>
      </c>
      <c r="I5884" s="16">
        <v>0.5599999999999999</v>
      </c>
      <c r="J5884" s="11" t="s">
        <v>1935</v>
      </c>
      <c r="K5884" s="11" t="s">
        <v>35</v>
      </c>
      <c r="L5884" s="11" t="s">
        <v>36</v>
      </c>
      <c r="M5884" s="11" t="s">
        <v>28</v>
      </c>
      <c r="N5884" s="11" t="s">
        <v>216</v>
      </c>
      <c r="O5884" s="11" t="s">
        <v>266</v>
      </c>
      <c r="P5884" s="11" t="s">
        <v>58</v>
      </c>
      <c r="Q5884" s="20">
        <v>40838.0</v>
      </c>
      <c r="R5884" s="17">
        <f t="shared" si="2"/>
        <v>3.9195625</v>
      </c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>
        <f t="shared" si="8"/>
        <v>2</v>
      </c>
      <c r="AF5884" s="19">
        <f t="shared" si="13"/>
        <v>2</v>
      </c>
      <c r="AG5884" s="9"/>
      <c r="AH5884" s="9"/>
      <c r="AI5884" s="9"/>
    </row>
    <row r="5885" ht="15.0" customHeight="1">
      <c r="A5885" s="11">
        <v>5884.0</v>
      </c>
      <c r="B5885" s="12">
        <f t="shared" si="944"/>
        <v>40836</v>
      </c>
      <c r="C5885" s="13">
        <v>2011.0</v>
      </c>
      <c r="D5885" s="11" t="s">
        <v>32</v>
      </c>
      <c r="E5885" s="11">
        <v>4.0</v>
      </c>
      <c r="F5885" s="21" t="s">
        <v>577</v>
      </c>
      <c r="G5885" s="15">
        <v>0.031450869102518576</v>
      </c>
      <c r="H5885" s="11" t="s">
        <v>45</v>
      </c>
      <c r="I5885" s="16">
        <v>53.336000000000006</v>
      </c>
      <c r="J5885" s="11" t="s">
        <v>1935</v>
      </c>
      <c r="K5885" s="11" t="s">
        <v>35</v>
      </c>
      <c r="L5885" s="11" t="s">
        <v>36</v>
      </c>
      <c r="M5885" s="11" t="s">
        <v>49</v>
      </c>
      <c r="N5885" s="11" t="s">
        <v>85</v>
      </c>
      <c r="O5885" s="11" t="s">
        <v>579</v>
      </c>
      <c r="P5885" s="11" t="s">
        <v>87</v>
      </c>
      <c r="Q5885" s="20">
        <v>40838.0</v>
      </c>
      <c r="R5885" s="17">
        <f t="shared" si="2"/>
        <v>34.34862638</v>
      </c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>
        <f t="shared" si="8"/>
        <v>2</v>
      </c>
      <c r="AF5885" s="19">
        <f t="shared" si="13"/>
        <v>2</v>
      </c>
      <c r="AG5885" s="9"/>
      <c r="AH5885" s="9"/>
      <c r="AI5885" s="9"/>
    </row>
    <row r="5886" ht="15.0" customHeight="1">
      <c r="A5886" s="11">
        <v>5885.0</v>
      </c>
      <c r="B5886" s="12">
        <f t="shared" si="944"/>
        <v>40836</v>
      </c>
      <c r="C5886" s="13">
        <v>2011.0</v>
      </c>
      <c r="D5886" s="11" t="s">
        <v>32</v>
      </c>
      <c r="E5886" s="11">
        <v>33.0</v>
      </c>
      <c r="F5886" s="21" t="s">
        <v>431</v>
      </c>
      <c r="G5886" s="15">
        <v>0.030055771175108444</v>
      </c>
      <c r="H5886" s="11" t="s">
        <v>33</v>
      </c>
      <c r="I5886" s="16">
        <v>11.192</v>
      </c>
      <c r="J5886" s="11" t="s">
        <v>1935</v>
      </c>
      <c r="K5886" s="11" t="s">
        <v>35</v>
      </c>
      <c r="L5886" s="11" t="s">
        <v>36</v>
      </c>
      <c r="M5886" s="11" t="s">
        <v>66</v>
      </c>
      <c r="N5886" s="11" t="s">
        <v>80</v>
      </c>
      <c r="O5886" s="11" t="s">
        <v>1589</v>
      </c>
      <c r="P5886" s="11" t="s">
        <v>75</v>
      </c>
      <c r="Q5886" s="20">
        <v>40838.0</v>
      </c>
      <c r="R5886" s="17">
        <f t="shared" si="2"/>
        <v>178.7684809</v>
      </c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>
        <f t="shared" si="8"/>
        <v>2</v>
      </c>
      <c r="AF5886" s="19">
        <f t="shared" si="13"/>
        <v>2</v>
      </c>
      <c r="AG5886" s="9"/>
      <c r="AH5886" s="9"/>
      <c r="AI5886" s="9"/>
    </row>
    <row r="5887" ht="15.0" customHeight="1">
      <c r="A5887" s="11">
        <v>5886.0</v>
      </c>
      <c r="B5887" s="12">
        <f t="shared" si="944"/>
        <v>40836</v>
      </c>
      <c r="C5887" s="13">
        <v>2011.0</v>
      </c>
      <c r="D5887" s="11" t="s">
        <v>39</v>
      </c>
      <c r="E5887" s="11">
        <v>11.0</v>
      </c>
      <c r="F5887" s="21" t="s">
        <v>415</v>
      </c>
      <c r="G5887" s="15">
        <v>0.09448000000000008</v>
      </c>
      <c r="H5887" s="11" t="s">
        <v>33</v>
      </c>
      <c r="I5887" s="16">
        <v>2.3760000000000003</v>
      </c>
      <c r="J5887" s="11" t="s">
        <v>1636</v>
      </c>
      <c r="K5887" s="11" t="s">
        <v>61</v>
      </c>
      <c r="L5887" s="11" t="s">
        <v>48</v>
      </c>
      <c r="M5887" s="11" t="s">
        <v>28</v>
      </c>
      <c r="N5887" s="11" t="s">
        <v>56</v>
      </c>
      <c r="O5887" s="11" t="s">
        <v>2111</v>
      </c>
      <c r="P5887" s="11" t="s">
        <v>58</v>
      </c>
      <c r="Q5887" s="20">
        <v>40838.0</v>
      </c>
      <c r="R5887" s="17">
        <f t="shared" si="2"/>
        <v>4.27767648</v>
      </c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>
        <f t="shared" si="8"/>
        <v>4</v>
      </c>
      <c r="AF5887" s="19">
        <f t="shared" si="13"/>
        <v>4</v>
      </c>
      <c r="AG5887" s="9"/>
      <c r="AH5887" s="9"/>
      <c r="AI5887" s="9"/>
    </row>
    <row r="5888" ht="15.0" customHeight="1">
      <c r="A5888" s="11">
        <v>5887.0</v>
      </c>
      <c r="B5888" s="12">
        <f t="shared" si="944"/>
        <v>40836</v>
      </c>
      <c r="C5888" s="13">
        <v>2011.0</v>
      </c>
      <c r="D5888" s="11" t="s">
        <v>39</v>
      </c>
      <c r="E5888" s="11">
        <v>23.0</v>
      </c>
      <c r="F5888" s="21" t="s">
        <v>122</v>
      </c>
      <c r="G5888" s="15">
        <v>0.024134576408593466</v>
      </c>
      <c r="H5888" s="11" t="s">
        <v>33</v>
      </c>
      <c r="I5888" s="16">
        <v>0.792</v>
      </c>
      <c r="J5888" s="11" t="s">
        <v>1681</v>
      </c>
      <c r="K5888" s="11" t="s">
        <v>61</v>
      </c>
      <c r="L5888" s="11" t="s">
        <v>41</v>
      </c>
      <c r="M5888" s="11" t="s">
        <v>66</v>
      </c>
      <c r="N5888" s="11" t="s">
        <v>80</v>
      </c>
      <c r="O5888" s="11" t="s">
        <v>1721</v>
      </c>
      <c r="P5888" s="11" t="s">
        <v>99</v>
      </c>
      <c r="Q5888" s="20">
        <v>40838.0</v>
      </c>
      <c r="R5888" s="17">
        <f t="shared" si="2"/>
        <v>11.62060546</v>
      </c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>
        <f t="shared" si="8"/>
        <v>3</v>
      </c>
      <c r="AF5888" s="19">
        <f t="shared" si="13"/>
        <v>4</v>
      </c>
      <c r="AG5888" s="9"/>
      <c r="AH5888" s="9"/>
      <c r="AI5888" s="9"/>
    </row>
    <row r="5889" ht="15.0" customHeight="1">
      <c r="A5889" s="11">
        <v>5888.0</v>
      </c>
      <c r="B5889" s="12">
        <f t="shared" si="944"/>
        <v>40836</v>
      </c>
      <c r="C5889" s="13">
        <v>2011.0</v>
      </c>
      <c r="D5889" s="11" t="s">
        <v>44</v>
      </c>
      <c r="E5889" s="11">
        <v>3.0</v>
      </c>
      <c r="F5889" s="21" t="s">
        <v>1178</v>
      </c>
      <c r="G5889" s="15">
        <v>0.062028985507246455</v>
      </c>
      <c r="H5889" s="11" t="s">
        <v>45</v>
      </c>
      <c r="I5889" s="16">
        <v>41.760000000000005</v>
      </c>
      <c r="J5889" s="11" t="s">
        <v>1439</v>
      </c>
      <c r="K5889" s="11" t="s">
        <v>61</v>
      </c>
      <c r="L5889" s="11" t="s">
        <v>41</v>
      </c>
      <c r="M5889" s="11" t="s">
        <v>49</v>
      </c>
      <c r="N5889" s="11" t="s">
        <v>85</v>
      </c>
      <c r="O5889" s="11" t="s">
        <v>86</v>
      </c>
      <c r="P5889" s="11" t="s">
        <v>87</v>
      </c>
      <c r="Q5889" s="20">
        <v>40838.0</v>
      </c>
      <c r="R5889" s="17">
        <f t="shared" si="2"/>
        <v>42.15241739</v>
      </c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>
        <f t="shared" si="8"/>
        <v>3</v>
      </c>
      <c r="AF5889" s="19">
        <f t="shared" si="13"/>
        <v>4</v>
      </c>
      <c r="AG5889" s="9"/>
      <c r="AH5889" s="9"/>
      <c r="AI5889" s="9"/>
    </row>
    <row r="5890" ht="15.0" customHeight="1">
      <c r="A5890" s="11">
        <v>5889.0</v>
      </c>
      <c r="B5890" s="12">
        <f t="shared" ref="B5890:B5893" si="945">DATE(2012,12,31)-437</f>
        <v>40837</v>
      </c>
      <c r="C5890" s="13">
        <v>2011.0</v>
      </c>
      <c r="D5890" s="11" t="s">
        <v>23</v>
      </c>
      <c r="E5890" s="11">
        <v>25.0</v>
      </c>
      <c r="F5890" s="21" t="s">
        <v>1900</v>
      </c>
      <c r="G5890" s="15">
        <v>0.048421999668536955</v>
      </c>
      <c r="H5890" s="11" t="s">
        <v>45</v>
      </c>
      <c r="I5890" s="16">
        <v>23.36</v>
      </c>
      <c r="J5890" s="11" t="s">
        <v>1697</v>
      </c>
      <c r="K5890" s="11" t="s">
        <v>61</v>
      </c>
      <c r="L5890" s="11" t="s">
        <v>48</v>
      </c>
      <c r="M5890" s="11" t="s">
        <v>49</v>
      </c>
      <c r="N5890" s="11" t="s">
        <v>85</v>
      </c>
      <c r="O5890" s="11" t="s">
        <v>1902</v>
      </c>
      <c r="P5890" s="11" t="s">
        <v>87</v>
      </c>
      <c r="Q5890" s="20">
        <v>40838.0</v>
      </c>
      <c r="R5890" s="17">
        <f t="shared" si="2"/>
        <v>389.2334653</v>
      </c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>
        <f t="shared" si="8"/>
        <v>4</v>
      </c>
      <c r="AF5890" s="19">
        <f t="shared" si="13"/>
        <v>4</v>
      </c>
      <c r="AG5890" s="9"/>
      <c r="AH5890" s="9"/>
      <c r="AI5890" s="9"/>
    </row>
    <row r="5891" ht="15.0" customHeight="1">
      <c r="A5891" s="11">
        <v>5890.0</v>
      </c>
      <c r="B5891" s="12">
        <f t="shared" si="945"/>
        <v>40837</v>
      </c>
      <c r="C5891" s="13">
        <v>2011.0</v>
      </c>
      <c r="D5891" s="11" t="s">
        <v>39</v>
      </c>
      <c r="E5891" s="11">
        <v>31.0</v>
      </c>
      <c r="F5891" s="21" t="s">
        <v>889</v>
      </c>
      <c r="G5891" s="15">
        <v>0.07995589248793925</v>
      </c>
      <c r="H5891" s="11" t="s">
        <v>33</v>
      </c>
      <c r="I5891" s="16">
        <v>7.192</v>
      </c>
      <c r="J5891" s="11" t="s">
        <v>2351</v>
      </c>
      <c r="K5891" s="11" t="s">
        <v>83</v>
      </c>
      <c r="L5891" s="11" t="s">
        <v>48</v>
      </c>
      <c r="M5891" s="11" t="s">
        <v>28</v>
      </c>
      <c r="N5891" s="11" t="s">
        <v>62</v>
      </c>
      <c r="O5891" s="11" t="s">
        <v>890</v>
      </c>
      <c r="P5891" s="11" t="s">
        <v>99</v>
      </c>
      <c r="Q5891" s="20">
        <v>40839.0</v>
      </c>
      <c r="R5891" s="17">
        <f t="shared" si="2"/>
        <v>53.36991859</v>
      </c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>
        <f t="shared" si="8"/>
        <v>4</v>
      </c>
      <c r="AF5891" s="19" t="b">
        <f t="shared" si="13"/>
        <v>0</v>
      </c>
      <c r="AG5891" s="9"/>
      <c r="AH5891" s="9"/>
      <c r="AI5891" s="9"/>
    </row>
    <row r="5892" ht="15.0" customHeight="1">
      <c r="A5892" s="11">
        <v>5891.0</v>
      </c>
      <c r="B5892" s="12">
        <f t="shared" si="945"/>
        <v>40837</v>
      </c>
      <c r="C5892" s="13">
        <v>2011.0</v>
      </c>
      <c r="D5892" s="11" t="s">
        <v>32</v>
      </c>
      <c r="E5892" s="11">
        <v>14.0</v>
      </c>
      <c r="F5892" s="21" t="s">
        <v>1136</v>
      </c>
      <c r="G5892" s="15">
        <v>0.042804515745692426</v>
      </c>
      <c r="H5892" s="11" t="s">
        <v>33</v>
      </c>
      <c r="I5892" s="16">
        <v>1.592</v>
      </c>
      <c r="J5892" s="11" t="s">
        <v>1142</v>
      </c>
      <c r="K5892" s="11" t="s">
        <v>47</v>
      </c>
      <c r="L5892" s="11" t="s">
        <v>36</v>
      </c>
      <c r="M5892" s="11" t="s">
        <v>66</v>
      </c>
      <c r="N5892" s="11" t="s">
        <v>67</v>
      </c>
      <c r="O5892" s="11" t="s">
        <v>1138</v>
      </c>
      <c r="P5892" s="11" t="s">
        <v>99</v>
      </c>
      <c r="Q5892" s="20">
        <v>40839.0</v>
      </c>
      <c r="R5892" s="17">
        <f t="shared" si="2"/>
        <v>13.79127254</v>
      </c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>
        <f t="shared" si="8"/>
        <v>2</v>
      </c>
      <c r="AF5892" s="19">
        <f t="shared" si="13"/>
        <v>3</v>
      </c>
      <c r="AG5892" s="9"/>
      <c r="AH5892" s="9"/>
      <c r="AI5892" s="9"/>
    </row>
    <row r="5893" ht="15.0" customHeight="1">
      <c r="A5893" s="11">
        <v>5892.0</v>
      </c>
      <c r="B5893" s="12">
        <f t="shared" si="945"/>
        <v>40837</v>
      </c>
      <c r="C5893" s="13">
        <v>2011.0</v>
      </c>
      <c r="D5893" s="11" t="s">
        <v>44</v>
      </c>
      <c r="E5893" s="11">
        <v>41.0</v>
      </c>
      <c r="F5893" s="21" t="s">
        <v>419</v>
      </c>
      <c r="G5893" s="15">
        <v>0.09381277621534762</v>
      </c>
      <c r="H5893" s="11" t="s">
        <v>33</v>
      </c>
      <c r="I5893" s="16">
        <v>4.4</v>
      </c>
      <c r="J5893" s="11" t="s">
        <v>2407</v>
      </c>
      <c r="K5893" s="11" t="s">
        <v>65</v>
      </c>
      <c r="L5893" s="11" t="s">
        <v>27</v>
      </c>
      <c r="M5893" s="11" t="s">
        <v>66</v>
      </c>
      <c r="N5893" s="11" t="s">
        <v>67</v>
      </c>
      <c r="O5893" s="11" t="s">
        <v>420</v>
      </c>
      <c r="P5893" s="11" t="s">
        <v>38</v>
      </c>
      <c r="Q5893" s="20">
        <v>40839.0</v>
      </c>
      <c r="R5893" s="17">
        <f t="shared" si="2"/>
        <v>126.9568301</v>
      </c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>
        <f t="shared" si="8"/>
        <v>1</v>
      </c>
      <c r="AF5893" s="19">
        <f t="shared" si="13"/>
        <v>5</v>
      </c>
      <c r="AG5893" s="9"/>
      <c r="AH5893" s="9"/>
      <c r="AI5893" s="9"/>
    </row>
    <row r="5894" ht="15.0" customHeight="1">
      <c r="A5894" s="11">
        <v>5893.0</v>
      </c>
      <c r="B5894" s="12">
        <f t="shared" ref="B5894:B5899" si="946">DATE(2012,12,31)-436</f>
        <v>40838</v>
      </c>
      <c r="C5894" s="13">
        <v>2011.0</v>
      </c>
      <c r="D5894" s="11" t="s">
        <v>23</v>
      </c>
      <c r="E5894" s="11">
        <v>30.0</v>
      </c>
      <c r="F5894" s="21" t="s">
        <v>924</v>
      </c>
      <c r="G5894" s="15">
        <v>0.03171247357293869</v>
      </c>
      <c r="H5894" s="11" t="s">
        <v>33</v>
      </c>
      <c r="I5894" s="16">
        <v>1.8</v>
      </c>
      <c r="J5894" s="11" t="s">
        <v>2255</v>
      </c>
      <c r="K5894" s="11" t="s">
        <v>61</v>
      </c>
      <c r="L5894" s="11" t="s">
        <v>48</v>
      </c>
      <c r="M5894" s="11" t="s">
        <v>28</v>
      </c>
      <c r="N5894" s="11" t="s">
        <v>62</v>
      </c>
      <c r="O5894" s="11" t="s">
        <v>1398</v>
      </c>
      <c r="P5894" s="11" t="s">
        <v>58</v>
      </c>
      <c r="Q5894" s="20">
        <v>40839.0</v>
      </c>
      <c r="R5894" s="17">
        <f t="shared" si="2"/>
        <v>8.714587738</v>
      </c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>
        <f t="shared" si="8"/>
        <v>4</v>
      </c>
      <c r="AF5894" s="19">
        <f t="shared" si="13"/>
        <v>4</v>
      </c>
      <c r="AG5894" s="9"/>
      <c r="AH5894" s="9"/>
      <c r="AI5894" s="9"/>
    </row>
    <row r="5895" ht="15.0" customHeight="1">
      <c r="A5895" s="11">
        <v>5894.0</v>
      </c>
      <c r="B5895" s="12">
        <f t="shared" si="946"/>
        <v>40838</v>
      </c>
      <c r="C5895" s="13">
        <v>2011.0</v>
      </c>
      <c r="D5895" s="11" t="s">
        <v>23</v>
      </c>
      <c r="E5895" s="11">
        <v>14.0</v>
      </c>
      <c r="F5895" s="21" t="s">
        <v>1156</v>
      </c>
      <c r="G5895" s="15">
        <v>0.011246669977875063</v>
      </c>
      <c r="H5895" s="11" t="s">
        <v>33</v>
      </c>
      <c r="I5895" s="16">
        <v>7.192</v>
      </c>
      <c r="J5895" s="11" t="s">
        <v>2255</v>
      </c>
      <c r="K5895" s="11" t="s">
        <v>61</v>
      </c>
      <c r="L5895" s="11" t="s">
        <v>48</v>
      </c>
      <c r="M5895" s="11" t="s">
        <v>66</v>
      </c>
      <c r="N5895" s="11" t="s">
        <v>80</v>
      </c>
      <c r="O5895" s="11" t="s">
        <v>1580</v>
      </c>
      <c r="P5895" s="11" t="s">
        <v>38</v>
      </c>
      <c r="Q5895" s="20">
        <v>40839.0</v>
      </c>
      <c r="R5895" s="17">
        <f t="shared" si="2"/>
        <v>24.62786794</v>
      </c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>
        <f t="shared" si="8"/>
        <v>4</v>
      </c>
      <c r="AF5895" s="19">
        <f t="shared" si="13"/>
        <v>4</v>
      </c>
      <c r="AG5895" s="9"/>
      <c r="AH5895" s="9"/>
      <c r="AI5895" s="9"/>
    </row>
    <row r="5896" ht="15.0" customHeight="1">
      <c r="A5896" s="11">
        <v>5895.0</v>
      </c>
      <c r="B5896" s="12">
        <f t="shared" si="946"/>
        <v>40838</v>
      </c>
      <c r="C5896" s="13">
        <v>2011.0</v>
      </c>
      <c r="D5896" s="11" t="s">
        <v>39</v>
      </c>
      <c r="E5896" s="11">
        <v>4.0</v>
      </c>
      <c r="F5896" s="21" t="s">
        <v>137</v>
      </c>
      <c r="G5896" s="15">
        <v>0.07716901613137628</v>
      </c>
      <c r="H5896" s="11" t="s">
        <v>45</v>
      </c>
      <c r="I5896" s="16">
        <v>31.400000000000002</v>
      </c>
      <c r="J5896" s="11" t="s">
        <v>187</v>
      </c>
      <c r="K5896" s="11" t="s">
        <v>35</v>
      </c>
      <c r="L5896" s="11" t="s">
        <v>48</v>
      </c>
      <c r="M5896" s="11" t="s">
        <v>49</v>
      </c>
      <c r="N5896" s="11" t="s">
        <v>85</v>
      </c>
      <c r="O5896" s="11" t="s">
        <v>127</v>
      </c>
      <c r="P5896" s="11" t="s">
        <v>87</v>
      </c>
      <c r="Q5896" s="20">
        <v>40839.0</v>
      </c>
      <c r="R5896" s="17">
        <f t="shared" si="2"/>
        <v>49.00232524</v>
      </c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>
        <f t="shared" si="8"/>
        <v>4</v>
      </c>
      <c r="AF5896" s="19">
        <f t="shared" si="13"/>
        <v>2</v>
      </c>
      <c r="AG5896" s="9"/>
      <c r="AH5896" s="9"/>
      <c r="AI5896" s="9"/>
    </row>
    <row r="5897" ht="15.0" customHeight="1">
      <c r="A5897" s="11">
        <v>5896.0</v>
      </c>
      <c r="B5897" s="12">
        <f t="shared" si="946"/>
        <v>40838</v>
      </c>
      <c r="C5897" s="13">
        <v>2011.0</v>
      </c>
      <c r="D5897" s="11" t="s">
        <v>39</v>
      </c>
      <c r="E5897" s="11">
        <v>5.0</v>
      </c>
      <c r="F5897" s="21" t="s">
        <v>933</v>
      </c>
      <c r="G5897" s="15">
        <v>0.08695652173913043</v>
      </c>
      <c r="H5897" s="11" t="s">
        <v>33</v>
      </c>
      <c r="I5897" s="16">
        <v>4.0</v>
      </c>
      <c r="J5897" s="11" t="s">
        <v>421</v>
      </c>
      <c r="K5897" s="11" t="s">
        <v>83</v>
      </c>
      <c r="L5897" s="11" t="s">
        <v>27</v>
      </c>
      <c r="M5897" s="11" t="s">
        <v>66</v>
      </c>
      <c r="N5897" s="11" t="s">
        <v>80</v>
      </c>
      <c r="O5897" s="11" t="s">
        <v>1026</v>
      </c>
      <c r="P5897" s="11" t="s">
        <v>99</v>
      </c>
      <c r="Q5897" s="20">
        <v>40839.0</v>
      </c>
      <c r="R5897" s="17">
        <f t="shared" si="2"/>
        <v>24.65217391</v>
      </c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>
        <f t="shared" si="8"/>
        <v>1</v>
      </c>
      <c r="AF5897" s="19" t="b">
        <f t="shared" si="13"/>
        <v>0</v>
      </c>
      <c r="AG5897" s="9"/>
      <c r="AH5897" s="9"/>
      <c r="AI5897" s="9"/>
    </row>
    <row r="5898" ht="15.0" customHeight="1">
      <c r="A5898" s="11">
        <v>5897.0</v>
      </c>
      <c r="B5898" s="12">
        <f t="shared" si="946"/>
        <v>40838</v>
      </c>
      <c r="C5898" s="13">
        <v>2011.0</v>
      </c>
      <c r="D5898" s="11" t="s">
        <v>44</v>
      </c>
      <c r="E5898" s="11">
        <v>42.0</v>
      </c>
      <c r="F5898" s="21" t="s">
        <v>1670</v>
      </c>
      <c r="G5898" s="15">
        <v>0.07554419595314156</v>
      </c>
      <c r="H5898" s="11" t="s">
        <v>24</v>
      </c>
      <c r="I5898" s="16">
        <v>1.4320000000000002</v>
      </c>
      <c r="J5898" s="11" t="s">
        <v>2183</v>
      </c>
      <c r="K5898" s="11" t="s">
        <v>117</v>
      </c>
      <c r="L5898" s="11" t="s">
        <v>36</v>
      </c>
      <c r="M5898" s="11" t="s">
        <v>28</v>
      </c>
      <c r="N5898" s="11" t="s">
        <v>56</v>
      </c>
      <c r="O5898" s="11" t="s">
        <v>1671</v>
      </c>
      <c r="P5898" s="11" t="s">
        <v>58</v>
      </c>
      <c r="Q5898" s="20">
        <v>40840.0</v>
      </c>
      <c r="R5898" s="17">
        <f t="shared" si="2"/>
        <v>32.78859846</v>
      </c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>
        <f t="shared" si="8"/>
        <v>2</v>
      </c>
      <c r="AF5898" s="19" t="b">
        <f t="shared" si="13"/>
        <v>0</v>
      </c>
      <c r="AG5898" s="9"/>
      <c r="AH5898" s="9"/>
      <c r="AI5898" s="9"/>
    </row>
    <row r="5899" ht="15.0" customHeight="1">
      <c r="A5899" s="11">
        <v>5898.0</v>
      </c>
      <c r="B5899" s="12">
        <f t="shared" si="946"/>
        <v>40838</v>
      </c>
      <c r="C5899" s="13">
        <v>2011.0</v>
      </c>
      <c r="D5899" s="11" t="s">
        <v>32</v>
      </c>
      <c r="E5899" s="11">
        <v>27.0</v>
      </c>
      <c r="F5899" s="21" t="s">
        <v>369</v>
      </c>
      <c r="G5899" s="15">
        <v>0.06559609547050763</v>
      </c>
      <c r="H5899" s="11" t="s">
        <v>33</v>
      </c>
      <c r="I5899" s="16">
        <v>1.192</v>
      </c>
      <c r="J5899" s="11" t="s">
        <v>1814</v>
      </c>
      <c r="K5899" s="11" t="s">
        <v>35</v>
      </c>
      <c r="L5899" s="11" t="s">
        <v>48</v>
      </c>
      <c r="M5899" s="11" t="s">
        <v>28</v>
      </c>
      <c r="N5899" s="11" t="s">
        <v>42</v>
      </c>
      <c r="O5899" s="11" t="s">
        <v>371</v>
      </c>
      <c r="P5899" s="11" t="s">
        <v>38</v>
      </c>
      <c r="Q5899" s="20">
        <v>40840.0</v>
      </c>
      <c r="R5899" s="17">
        <f t="shared" si="2"/>
        <v>102.9787855</v>
      </c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>
        <f t="shared" si="8"/>
        <v>4</v>
      </c>
      <c r="AF5899" s="19">
        <f t="shared" si="13"/>
        <v>2</v>
      </c>
      <c r="AG5899" s="9"/>
      <c r="AH5899" s="9"/>
      <c r="AI5899" s="9"/>
    </row>
    <row r="5900" ht="15.0" customHeight="1">
      <c r="A5900" s="11">
        <v>5899.0</v>
      </c>
      <c r="B5900" s="12">
        <f>DATE(2012,12,31)-435</f>
        <v>40839</v>
      </c>
      <c r="C5900" s="13">
        <v>2011.0</v>
      </c>
      <c r="D5900" s="11" t="s">
        <v>23</v>
      </c>
      <c r="E5900" s="11">
        <v>44.0</v>
      </c>
      <c r="F5900" s="21" t="s">
        <v>1254</v>
      </c>
      <c r="G5900" s="15">
        <v>0.03393839685586333</v>
      </c>
      <c r="H5900" s="11" t="s">
        <v>33</v>
      </c>
      <c r="I5900" s="16">
        <v>5.368</v>
      </c>
      <c r="J5900" s="11" t="s">
        <v>1039</v>
      </c>
      <c r="K5900" s="11" t="s">
        <v>35</v>
      </c>
      <c r="L5900" s="11" t="s">
        <v>48</v>
      </c>
      <c r="M5900" s="11" t="s">
        <v>28</v>
      </c>
      <c r="N5900" s="11" t="s">
        <v>236</v>
      </c>
      <c r="O5900" s="11" t="s">
        <v>1565</v>
      </c>
      <c r="P5900" s="11" t="s">
        <v>38</v>
      </c>
      <c r="Q5900" s="20">
        <v>40840.0</v>
      </c>
      <c r="R5900" s="17">
        <f t="shared" si="2"/>
        <v>35.87179945</v>
      </c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>
        <f t="shared" si="8"/>
        <v>4</v>
      </c>
      <c r="AF5900" s="19">
        <f t="shared" si="13"/>
        <v>2</v>
      </c>
      <c r="AG5900" s="9"/>
      <c r="AH5900" s="9"/>
      <c r="AI5900" s="9"/>
    </row>
    <row r="5901" ht="15.0" customHeight="1">
      <c r="A5901" s="11">
        <v>5900.0</v>
      </c>
      <c r="B5901" s="12">
        <f t="shared" ref="B5901:B5902" si="947">DATE(2012,12,31)-434</f>
        <v>40840</v>
      </c>
      <c r="C5901" s="13">
        <v>2011.0</v>
      </c>
      <c r="D5901" s="11" t="s">
        <v>44</v>
      </c>
      <c r="E5901" s="11">
        <v>43.0</v>
      </c>
      <c r="F5901" s="21" t="s">
        <v>1557</v>
      </c>
      <c r="G5901" s="15">
        <v>0.05815528921313176</v>
      </c>
      <c r="H5901" s="11" t="s">
        <v>45</v>
      </c>
      <c r="I5901" s="16">
        <v>35.0</v>
      </c>
      <c r="J5901" s="11" t="s">
        <v>187</v>
      </c>
      <c r="K5901" s="11" t="s">
        <v>35</v>
      </c>
      <c r="L5901" s="11" t="s">
        <v>27</v>
      </c>
      <c r="M5901" s="11" t="s">
        <v>49</v>
      </c>
      <c r="N5901" s="11" t="s">
        <v>85</v>
      </c>
      <c r="O5901" s="11" t="s">
        <v>1558</v>
      </c>
      <c r="P5901" s="11" t="s">
        <v>87</v>
      </c>
      <c r="Q5901" s="20">
        <v>40841.0</v>
      </c>
      <c r="R5901" s="17">
        <f t="shared" si="2"/>
        <v>367.884544</v>
      </c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>
        <f t="shared" si="8"/>
        <v>1</v>
      </c>
      <c r="AF5901" s="19">
        <f t="shared" si="13"/>
        <v>2</v>
      </c>
      <c r="AG5901" s="9"/>
      <c r="AH5901" s="9"/>
      <c r="AI5901" s="9"/>
    </row>
    <row r="5902" ht="15.0" customHeight="1">
      <c r="A5902" s="11">
        <v>5901.0</v>
      </c>
      <c r="B5902" s="12">
        <f t="shared" si="947"/>
        <v>40840</v>
      </c>
      <c r="C5902" s="13">
        <v>2011.0</v>
      </c>
      <c r="D5902" s="11" t="s">
        <v>39</v>
      </c>
      <c r="E5902" s="11">
        <v>30.0</v>
      </c>
      <c r="F5902" s="21" t="s">
        <v>1456</v>
      </c>
      <c r="G5902" s="15">
        <v>0.016931861438903614</v>
      </c>
      <c r="H5902" s="11" t="s">
        <v>24</v>
      </c>
      <c r="I5902" s="16">
        <v>6.504000000000001</v>
      </c>
      <c r="J5902" s="11" t="s">
        <v>1414</v>
      </c>
      <c r="K5902" s="11" t="s">
        <v>35</v>
      </c>
      <c r="L5902" s="11" t="s">
        <v>27</v>
      </c>
      <c r="M5902" s="11" t="s">
        <v>28</v>
      </c>
      <c r="N5902" s="11" t="s">
        <v>236</v>
      </c>
      <c r="O5902" s="11" t="s">
        <v>1457</v>
      </c>
      <c r="P5902" s="11" t="s">
        <v>38</v>
      </c>
      <c r="Q5902" s="20">
        <v>40842.0</v>
      </c>
      <c r="R5902" s="17">
        <f t="shared" si="2"/>
        <v>8.745374161</v>
      </c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>
        <f t="shared" si="8"/>
        <v>1</v>
      </c>
      <c r="AF5902" s="19">
        <f t="shared" si="13"/>
        <v>2</v>
      </c>
      <c r="AG5902" s="9"/>
      <c r="AH5902" s="9"/>
      <c r="AI5902" s="9"/>
    </row>
    <row r="5903" ht="15.0" customHeight="1">
      <c r="A5903" s="11">
        <v>5902.0</v>
      </c>
      <c r="B5903" s="12">
        <f t="shared" ref="B5903:B5908" si="948">DATE(2012,12,31)-433</f>
        <v>40841</v>
      </c>
      <c r="C5903" s="13">
        <v>2011.0</v>
      </c>
      <c r="D5903" s="11" t="s">
        <v>44</v>
      </c>
      <c r="E5903" s="11">
        <v>30.0</v>
      </c>
      <c r="F5903" s="21" t="s">
        <v>2278</v>
      </c>
      <c r="G5903" s="15">
        <v>0.07986224709427472</v>
      </c>
      <c r="H5903" s="11" t="s">
        <v>33</v>
      </c>
      <c r="I5903" s="16">
        <v>7.4959999999999996</v>
      </c>
      <c r="J5903" s="11" t="s">
        <v>1374</v>
      </c>
      <c r="K5903" s="11" t="s">
        <v>26</v>
      </c>
      <c r="L5903" s="11" t="s">
        <v>48</v>
      </c>
      <c r="M5903" s="11" t="s">
        <v>28</v>
      </c>
      <c r="N5903" s="11" t="s">
        <v>29</v>
      </c>
      <c r="O5903" s="11" t="s">
        <v>2279</v>
      </c>
      <c r="P5903" s="11" t="s">
        <v>38</v>
      </c>
      <c r="Q5903" s="20">
        <v>40842.0</v>
      </c>
      <c r="R5903" s="17">
        <f t="shared" si="2"/>
        <v>34.14079118</v>
      </c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>
        <f t="shared" si="8"/>
        <v>4</v>
      </c>
      <c r="AF5903" s="19">
        <f t="shared" si="13"/>
        <v>1</v>
      </c>
      <c r="AG5903" s="9"/>
      <c r="AH5903" s="9"/>
      <c r="AI5903" s="9"/>
    </row>
    <row r="5904" ht="15.0" customHeight="1">
      <c r="A5904" s="11">
        <v>5903.0</v>
      </c>
      <c r="B5904" s="12">
        <f t="shared" si="948"/>
        <v>40841</v>
      </c>
      <c r="C5904" s="13">
        <v>2011.0</v>
      </c>
      <c r="D5904" s="11" t="s">
        <v>44</v>
      </c>
      <c r="E5904" s="11">
        <v>32.0</v>
      </c>
      <c r="F5904" s="21" t="s">
        <v>1178</v>
      </c>
      <c r="G5904" s="15">
        <v>0.04152213521745782</v>
      </c>
      <c r="H5904" s="11" t="s">
        <v>45</v>
      </c>
      <c r="I5904" s="16">
        <v>88.16000000000001</v>
      </c>
      <c r="J5904" s="11" t="s">
        <v>1374</v>
      </c>
      <c r="K5904" s="11" t="s">
        <v>26</v>
      </c>
      <c r="L5904" s="11" t="s">
        <v>48</v>
      </c>
      <c r="M5904" s="11" t="s">
        <v>49</v>
      </c>
      <c r="N5904" s="11" t="s">
        <v>85</v>
      </c>
      <c r="O5904" s="11" t="s">
        <v>86</v>
      </c>
      <c r="P5904" s="11" t="s">
        <v>87</v>
      </c>
      <c r="Q5904" s="20">
        <v>40842.0</v>
      </c>
      <c r="R5904" s="17">
        <f t="shared" si="2"/>
        <v>286.1439818</v>
      </c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>
        <f t="shared" si="8"/>
        <v>4</v>
      </c>
      <c r="AF5904" s="19">
        <f t="shared" si="13"/>
        <v>1</v>
      </c>
      <c r="AG5904" s="9"/>
      <c r="AH5904" s="9"/>
      <c r="AI5904" s="9"/>
    </row>
    <row r="5905" ht="15.0" customHeight="1">
      <c r="A5905" s="11">
        <v>5904.0</v>
      </c>
      <c r="B5905" s="12">
        <f t="shared" si="948"/>
        <v>40841</v>
      </c>
      <c r="C5905" s="13">
        <v>2011.0</v>
      </c>
      <c r="D5905" s="11" t="s">
        <v>32</v>
      </c>
      <c r="E5905" s="11">
        <v>19.0</v>
      </c>
      <c r="F5905" s="21" t="s">
        <v>461</v>
      </c>
      <c r="G5905" s="15">
        <v>0.094758064516129</v>
      </c>
      <c r="H5905" s="11" t="s">
        <v>45</v>
      </c>
      <c r="I5905" s="16">
        <v>24.0</v>
      </c>
      <c r="J5905" s="11" t="s">
        <v>1276</v>
      </c>
      <c r="K5905" s="11" t="s">
        <v>47</v>
      </c>
      <c r="L5905" s="11" t="s">
        <v>36</v>
      </c>
      <c r="M5905" s="11" t="s">
        <v>49</v>
      </c>
      <c r="N5905" s="11" t="s">
        <v>50</v>
      </c>
      <c r="O5905" s="11" t="s">
        <v>2206</v>
      </c>
      <c r="P5905" s="11" t="s">
        <v>52</v>
      </c>
      <c r="Q5905" s="20">
        <v>40843.0</v>
      </c>
      <c r="R5905" s="17">
        <f t="shared" si="2"/>
        <v>165.9308468</v>
      </c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>
        <f t="shared" si="8"/>
        <v>2</v>
      </c>
      <c r="AF5905" s="19">
        <f t="shared" si="13"/>
        <v>3</v>
      </c>
      <c r="AG5905" s="9"/>
      <c r="AH5905" s="9"/>
      <c r="AI5905" s="9"/>
    </row>
    <row r="5906" ht="15.0" customHeight="1">
      <c r="A5906" s="11">
        <v>5905.0</v>
      </c>
      <c r="B5906" s="12">
        <f t="shared" si="948"/>
        <v>40841</v>
      </c>
      <c r="C5906" s="13">
        <v>2011.0</v>
      </c>
      <c r="D5906" s="11" t="s">
        <v>32</v>
      </c>
      <c r="E5906" s="11">
        <v>27.0</v>
      </c>
      <c r="F5906" s="21" t="s">
        <v>178</v>
      </c>
      <c r="G5906" s="15">
        <v>0.0671000157010519</v>
      </c>
      <c r="H5906" s="11" t="s">
        <v>33</v>
      </c>
      <c r="I5906" s="16">
        <v>3.192</v>
      </c>
      <c r="J5906" s="11" t="s">
        <v>1276</v>
      </c>
      <c r="K5906" s="11" t="s">
        <v>47</v>
      </c>
      <c r="L5906" s="11" t="s">
        <v>36</v>
      </c>
      <c r="M5906" s="11" t="s">
        <v>66</v>
      </c>
      <c r="N5906" s="11" t="s">
        <v>80</v>
      </c>
      <c r="O5906" s="11" t="s">
        <v>587</v>
      </c>
      <c r="P5906" s="11" t="s">
        <v>38</v>
      </c>
      <c r="Q5906" s="20">
        <v>40843.0</v>
      </c>
      <c r="R5906" s="17">
        <f t="shared" si="2"/>
        <v>119.6052412</v>
      </c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>
        <f t="shared" si="8"/>
        <v>2</v>
      </c>
      <c r="AF5906" s="19">
        <f t="shared" si="13"/>
        <v>3</v>
      </c>
      <c r="AG5906" s="9"/>
      <c r="AH5906" s="9"/>
      <c r="AI5906" s="9"/>
    </row>
    <row r="5907" ht="15.0" customHeight="1">
      <c r="A5907" s="11">
        <v>5906.0</v>
      </c>
      <c r="B5907" s="12">
        <f t="shared" si="948"/>
        <v>40841</v>
      </c>
      <c r="C5907" s="13">
        <v>2011.0</v>
      </c>
      <c r="D5907" s="11" t="s">
        <v>102</v>
      </c>
      <c r="E5907" s="11">
        <v>37.0</v>
      </c>
      <c r="F5907" s="21" t="s">
        <v>273</v>
      </c>
      <c r="G5907" s="15">
        <v>0.04922378341329693</v>
      </c>
      <c r="H5907" s="11" t="s">
        <v>33</v>
      </c>
      <c r="I5907" s="16">
        <v>3.192</v>
      </c>
      <c r="J5907" s="11" t="s">
        <v>1131</v>
      </c>
      <c r="K5907" s="11" t="s">
        <v>26</v>
      </c>
      <c r="L5907" s="11" t="s">
        <v>27</v>
      </c>
      <c r="M5907" s="11" t="s">
        <v>28</v>
      </c>
      <c r="N5907" s="11" t="s">
        <v>197</v>
      </c>
      <c r="O5907" s="11" t="s">
        <v>275</v>
      </c>
      <c r="P5907" s="11" t="s">
        <v>38</v>
      </c>
      <c r="Q5907" s="20">
        <v>40843.0</v>
      </c>
      <c r="R5907" s="17">
        <f t="shared" si="2"/>
        <v>109.2517935</v>
      </c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>
        <f t="shared" si="8"/>
        <v>1</v>
      </c>
      <c r="AF5907" s="19">
        <f t="shared" si="13"/>
        <v>1</v>
      </c>
      <c r="AG5907" s="9"/>
      <c r="AH5907" s="9"/>
      <c r="AI5907" s="9"/>
    </row>
    <row r="5908" ht="15.0" customHeight="1">
      <c r="A5908" s="11">
        <v>5907.0</v>
      </c>
      <c r="B5908" s="12">
        <f t="shared" si="948"/>
        <v>40841</v>
      </c>
      <c r="C5908" s="13">
        <v>2011.0</v>
      </c>
      <c r="D5908" s="11" t="s">
        <v>102</v>
      </c>
      <c r="E5908" s="11">
        <v>40.0</v>
      </c>
      <c r="F5908" s="21" t="s">
        <v>100</v>
      </c>
      <c r="G5908" s="15">
        <v>0.09143317052733717</v>
      </c>
      <c r="H5908" s="11" t="s">
        <v>33</v>
      </c>
      <c r="I5908" s="16">
        <v>4.792000000000001</v>
      </c>
      <c r="J5908" s="11" t="s">
        <v>1131</v>
      </c>
      <c r="K5908" s="11" t="s">
        <v>26</v>
      </c>
      <c r="L5908" s="11" t="s">
        <v>27</v>
      </c>
      <c r="M5908" s="11" t="s">
        <v>66</v>
      </c>
      <c r="N5908" s="11" t="s">
        <v>80</v>
      </c>
      <c r="O5908" s="11" t="s">
        <v>101</v>
      </c>
      <c r="P5908" s="11" t="s">
        <v>38</v>
      </c>
      <c r="Q5908" s="20">
        <v>40843.0</v>
      </c>
      <c r="R5908" s="17">
        <f t="shared" si="2"/>
        <v>753.4817402</v>
      </c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>
        <f t="shared" si="8"/>
        <v>1</v>
      </c>
      <c r="AF5908" s="19">
        <f t="shared" si="13"/>
        <v>1</v>
      </c>
      <c r="AG5908" s="9"/>
      <c r="AH5908" s="9"/>
      <c r="AI5908" s="9"/>
    </row>
    <row r="5909" ht="15.0" customHeight="1">
      <c r="A5909" s="11">
        <v>5908.0</v>
      </c>
      <c r="B5909" s="12">
        <f t="shared" ref="B5909:B5914" si="949">DATE(2012,12,31)-432</f>
        <v>40842</v>
      </c>
      <c r="C5909" s="13">
        <v>2011.0</v>
      </c>
      <c r="D5909" s="11" t="s">
        <v>39</v>
      </c>
      <c r="E5909" s="11">
        <v>26.0</v>
      </c>
      <c r="F5909" s="21" t="s">
        <v>186</v>
      </c>
      <c r="G5909" s="15">
        <v>0.08936170212765958</v>
      </c>
      <c r="H5909" s="11" t="s">
        <v>33</v>
      </c>
      <c r="I5909" s="16">
        <v>0.4</v>
      </c>
      <c r="J5909" s="11" t="s">
        <v>2405</v>
      </c>
      <c r="K5909" s="11" t="s">
        <v>61</v>
      </c>
      <c r="L5909" s="11" t="s">
        <v>27</v>
      </c>
      <c r="M5909" s="11" t="s">
        <v>28</v>
      </c>
      <c r="N5909" s="11" t="s">
        <v>188</v>
      </c>
      <c r="O5909" s="11" t="s">
        <v>1968</v>
      </c>
      <c r="P5909" s="11" t="s">
        <v>38</v>
      </c>
      <c r="Q5909" s="20">
        <v>40843.0</v>
      </c>
      <c r="R5909" s="17">
        <f t="shared" si="2"/>
        <v>9.561702128</v>
      </c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>
        <f t="shared" si="8"/>
        <v>1</v>
      </c>
      <c r="AF5909" s="19">
        <f t="shared" si="13"/>
        <v>4</v>
      </c>
      <c r="AG5909" s="9"/>
      <c r="AH5909" s="9"/>
      <c r="AI5909" s="9"/>
    </row>
    <row r="5910" ht="15.0" customHeight="1">
      <c r="A5910" s="11">
        <v>5909.0</v>
      </c>
      <c r="B5910" s="12">
        <f t="shared" si="949"/>
        <v>40842</v>
      </c>
      <c r="C5910" s="13">
        <v>2011.0</v>
      </c>
      <c r="D5910" s="11" t="s">
        <v>32</v>
      </c>
      <c r="E5910" s="11">
        <v>28.0</v>
      </c>
      <c r="F5910" s="21" t="s">
        <v>319</v>
      </c>
      <c r="G5910" s="15">
        <v>0.11714604236343377</v>
      </c>
      <c r="H5910" s="11" t="s">
        <v>33</v>
      </c>
      <c r="I5910" s="16">
        <v>0.792</v>
      </c>
      <c r="J5910" s="11" t="s">
        <v>849</v>
      </c>
      <c r="K5910" s="11" t="s">
        <v>65</v>
      </c>
      <c r="L5910" s="11" t="s">
        <v>36</v>
      </c>
      <c r="M5910" s="11" t="s">
        <v>28</v>
      </c>
      <c r="N5910" s="11" t="s">
        <v>188</v>
      </c>
      <c r="O5910" s="11" t="s">
        <v>2320</v>
      </c>
      <c r="P5910" s="11" t="s">
        <v>38</v>
      </c>
      <c r="Q5910" s="20">
        <v>40844.0</v>
      </c>
      <c r="R5910" s="17">
        <f t="shared" si="2"/>
        <v>9.277029387</v>
      </c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>
        <f t="shared" si="8"/>
        <v>2</v>
      </c>
      <c r="AF5910" s="19">
        <f t="shared" si="13"/>
        <v>5</v>
      </c>
      <c r="AG5910" s="9"/>
      <c r="AH5910" s="9"/>
      <c r="AI5910" s="9"/>
    </row>
    <row r="5911" ht="15.0" customHeight="1">
      <c r="A5911" s="11">
        <v>5910.0</v>
      </c>
      <c r="B5911" s="12">
        <f t="shared" si="949"/>
        <v>40842</v>
      </c>
      <c r="C5911" s="13">
        <v>2011.0</v>
      </c>
      <c r="D5911" s="11" t="s">
        <v>39</v>
      </c>
      <c r="E5911" s="11">
        <v>19.0</v>
      </c>
      <c r="F5911" s="21" t="s">
        <v>705</v>
      </c>
      <c r="G5911" s="15">
        <v>0.07627118644067794</v>
      </c>
      <c r="H5911" s="11" t="s">
        <v>33</v>
      </c>
      <c r="I5911" s="16">
        <v>6.0</v>
      </c>
      <c r="J5911" s="11" t="s">
        <v>148</v>
      </c>
      <c r="K5911" s="11" t="s">
        <v>65</v>
      </c>
      <c r="L5911" s="11" t="s">
        <v>48</v>
      </c>
      <c r="M5911" s="11" t="s">
        <v>28</v>
      </c>
      <c r="N5911" s="11" t="s">
        <v>188</v>
      </c>
      <c r="O5911" s="11" t="s">
        <v>2563</v>
      </c>
      <c r="P5911" s="11" t="s">
        <v>38</v>
      </c>
      <c r="Q5911" s="20">
        <v>40845.0</v>
      </c>
      <c r="R5911" s="17">
        <f t="shared" si="2"/>
        <v>5.819491525</v>
      </c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>
        <f t="shared" si="8"/>
        <v>4</v>
      </c>
      <c r="AF5911" s="19">
        <f t="shared" si="13"/>
        <v>5</v>
      </c>
      <c r="AG5911" s="9"/>
      <c r="AH5911" s="9"/>
      <c r="AI5911" s="9"/>
    </row>
    <row r="5912" ht="15.0" customHeight="1">
      <c r="A5912" s="11">
        <v>5911.0</v>
      </c>
      <c r="B5912" s="12">
        <f t="shared" si="949"/>
        <v>40842</v>
      </c>
      <c r="C5912" s="13">
        <v>2011.0</v>
      </c>
      <c r="D5912" s="11" t="s">
        <v>39</v>
      </c>
      <c r="E5912" s="11">
        <v>47.0</v>
      </c>
      <c r="F5912" s="21" t="s">
        <v>316</v>
      </c>
      <c r="G5912" s="15">
        <v>0.014769389332646295</v>
      </c>
      <c r="H5912" s="11" t="s">
        <v>24</v>
      </c>
      <c r="I5912" s="16">
        <v>6.368</v>
      </c>
      <c r="J5912" s="11" t="s">
        <v>491</v>
      </c>
      <c r="K5912" s="11" t="s">
        <v>47</v>
      </c>
      <c r="L5912" s="11" t="s">
        <v>48</v>
      </c>
      <c r="M5912" s="11" t="s">
        <v>49</v>
      </c>
      <c r="N5912" s="11" t="s">
        <v>73</v>
      </c>
      <c r="O5912" s="11" t="s">
        <v>318</v>
      </c>
      <c r="P5912" s="11" t="s">
        <v>38</v>
      </c>
      <c r="Q5912" s="20">
        <v>40845.0</v>
      </c>
      <c r="R5912" s="17">
        <f t="shared" si="2"/>
        <v>5.64734186</v>
      </c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>
        <f t="shared" si="8"/>
        <v>4</v>
      </c>
      <c r="AF5912" s="19">
        <f t="shared" si="13"/>
        <v>3</v>
      </c>
      <c r="AG5912" s="9"/>
      <c r="AH5912" s="9"/>
      <c r="AI5912" s="9"/>
    </row>
    <row r="5913" ht="15.0" customHeight="1">
      <c r="A5913" s="11">
        <v>5912.0</v>
      </c>
      <c r="B5913" s="12">
        <f t="shared" si="949"/>
        <v>40842</v>
      </c>
      <c r="C5913" s="13">
        <v>2011.0</v>
      </c>
      <c r="D5913" s="11" t="s">
        <v>39</v>
      </c>
      <c r="E5913" s="11">
        <v>23.0</v>
      </c>
      <c r="F5913" s="21" t="s">
        <v>641</v>
      </c>
      <c r="G5913" s="15">
        <v>0.05957930642410471</v>
      </c>
      <c r="H5913" s="11" t="s">
        <v>33</v>
      </c>
      <c r="I5913" s="16">
        <v>4.24</v>
      </c>
      <c r="J5913" s="11" t="s">
        <v>491</v>
      </c>
      <c r="K5913" s="11" t="s">
        <v>47</v>
      </c>
      <c r="L5913" s="11" t="s">
        <v>48</v>
      </c>
      <c r="M5913" s="11" t="s">
        <v>49</v>
      </c>
      <c r="N5913" s="11" t="s">
        <v>73</v>
      </c>
      <c r="O5913" s="11" t="s">
        <v>880</v>
      </c>
      <c r="P5913" s="11" t="s">
        <v>58</v>
      </c>
      <c r="Q5913" s="20">
        <v>40845.0</v>
      </c>
      <c r="R5913" s="17">
        <f t="shared" si="2"/>
        <v>19.71121774</v>
      </c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>
        <f t="shared" si="8"/>
        <v>4</v>
      </c>
      <c r="AF5913" s="19">
        <f t="shared" si="13"/>
        <v>3</v>
      </c>
      <c r="AG5913" s="9"/>
      <c r="AH5913" s="9"/>
      <c r="AI5913" s="9"/>
    </row>
    <row r="5914" ht="15.0" customHeight="1">
      <c r="A5914" s="11">
        <v>5913.0</v>
      </c>
      <c r="B5914" s="12">
        <f t="shared" si="949"/>
        <v>40842</v>
      </c>
      <c r="C5914" s="13">
        <v>2011.0</v>
      </c>
      <c r="D5914" s="11" t="s">
        <v>23</v>
      </c>
      <c r="E5914" s="11">
        <v>19.0</v>
      </c>
      <c r="F5914" s="21" t="s">
        <v>256</v>
      </c>
      <c r="G5914" s="15">
        <v>0.09011074918566771</v>
      </c>
      <c r="H5914" s="11" t="s">
        <v>33</v>
      </c>
      <c r="I5914" s="16">
        <v>5.736000000000001</v>
      </c>
      <c r="J5914" s="11" t="s">
        <v>1236</v>
      </c>
      <c r="K5914" s="11" t="s">
        <v>83</v>
      </c>
      <c r="L5914" s="11" t="s">
        <v>36</v>
      </c>
      <c r="M5914" s="11" t="s">
        <v>28</v>
      </c>
      <c r="N5914" s="11" t="s">
        <v>42</v>
      </c>
      <c r="O5914" s="11" t="s">
        <v>1946</v>
      </c>
      <c r="P5914" s="11" t="s">
        <v>38</v>
      </c>
      <c r="Q5914" s="20">
        <v>40845.0</v>
      </c>
      <c r="R5914" s="17">
        <f t="shared" si="2"/>
        <v>25.17117623</v>
      </c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>
        <f t="shared" si="8"/>
        <v>2</v>
      </c>
      <c r="AF5914" s="19" t="b">
        <f t="shared" si="13"/>
        <v>0</v>
      </c>
      <c r="AG5914" s="9"/>
      <c r="AH5914" s="9"/>
      <c r="AI5914" s="9"/>
    </row>
    <row r="5915" ht="15.0" customHeight="1">
      <c r="A5915" s="11">
        <v>5914.0</v>
      </c>
      <c r="B5915" s="12">
        <f>DATE(2012,12,31)-431</f>
        <v>40843</v>
      </c>
      <c r="C5915" s="13">
        <v>2011.0</v>
      </c>
      <c r="D5915" s="11" t="s">
        <v>39</v>
      </c>
      <c r="E5915" s="11">
        <v>26.0</v>
      </c>
      <c r="F5915" s="21" t="s">
        <v>629</v>
      </c>
      <c r="G5915" s="15">
        <v>0.015390862944162491</v>
      </c>
      <c r="H5915" s="11" t="s">
        <v>33</v>
      </c>
      <c r="I5915" s="16">
        <v>4.168</v>
      </c>
      <c r="J5915" s="11" t="s">
        <v>155</v>
      </c>
      <c r="K5915" s="11" t="s">
        <v>117</v>
      </c>
      <c r="L5915" s="11" t="s">
        <v>41</v>
      </c>
      <c r="M5915" s="11" t="s">
        <v>49</v>
      </c>
      <c r="N5915" s="11" t="s">
        <v>73</v>
      </c>
      <c r="O5915" s="11" t="s">
        <v>1477</v>
      </c>
      <c r="P5915" s="11" t="s">
        <v>38</v>
      </c>
      <c r="Q5915" s="20">
        <v>40845.0</v>
      </c>
      <c r="R5915" s="17">
        <f t="shared" si="2"/>
        <v>2.985334904</v>
      </c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>
        <f t="shared" si="8"/>
        <v>3</v>
      </c>
      <c r="AF5915" s="19" t="b">
        <f t="shared" si="13"/>
        <v>0</v>
      </c>
      <c r="AG5915" s="9"/>
      <c r="AH5915" s="9"/>
      <c r="AI5915" s="9"/>
    </row>
    <row r="5916" ht="15.0" customHeight="1">
      <c r="A5916" s="11">
        <v>5915.0</v>
      </c>
      <c r="B5916" s="12">
        <f t="shared" ref="B5916:B5924" si="950">DATE(2012,12,31)-430</f>
        <v>40844</v>
      </c>
      <c r="C5916" s="13">
        <v>2011.0</v>
      </c>
      <c r="D5916" s="11" t="s">
        <v>44</v>
      </c>
      <c r="E5916" s="11">
        <v>39.0</v>
      </c>
      <c r="F5916" s="21" t="s">
        <v>204</v>
      </c>
      <c r="G5916" s="15">
        <v>0.07680278019113805</v>
      </c>
      <c r="H5916" s="11" t="s">
        <v>33</v>
      </c>
      <c r="I5916" s="16">
        <v>0.96</v>
      </c>
      <c r="J5916" s="11" t="s">
        <v>1664</v>
      </c>
      <c r="K5916" s="11" t="s">
        <v>35</v>
      </c>
      <c r="L5916" s="11" t="s">
        <v>48</v>
      </c>
      <c r="M5916" s="11" t="s">
        <v>28</v>
      </c>
      <c r="N5916" s="11" t="s">
        <v>62</v>
      </c>
      <c r="O5916" s="11" t="s">
        <v>1514</v>
      </c>
      <c r="P5916" s="11" t="s">
        <v>58</v>
      </c>
      <c r="Q5916" s="20">
        <v>40845.0</v>
      </c>
      <c r="R5916" s="17">
        <f t="shared" si="2"/>
        <v>8.161063423</v>
      </c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>
        <f t="shared" si="8"/>
        <v>4</v>
      </c>
      <c r="AF5916" s="19">
        <f t="shared" si="13"/>
        <v>2</v>
      </c>
      <c r="AG5916" s="9"/>
      <c r="AH5916" s="9"/>
      <c r="AI5916" s="9"/>
    </row>
    <row r="5917" ht="15.0" customHeight="1">
      <c r="A5917" s="11">
        <v>5916.0</v>
      </c>
      <c r="B5917" s="12">
        <f t="shared" si="950"/>
        <v>40844</v>
      </c>
      <c r="C5917" s="13">
        <v>2011.0</v>
      </c>
      <c r="D5917" s="11" t="s">
        <v>44</v>
      </c>
      <c r="E5917" s="11">
        <v>49.0</v>
      </c>
      <c r="F5917" s="21" t="s">
        <v>397</v>
      </c>
      <c r="G5917" s="15">
        <v>0.07671647079666923</v>
      </c>
      <c r="H5917" s="11" t="s">
        <v>33</v>
      </c>
      <c r="I5917" s="16">
        <v>10.096</v>
      </c>
      <c r="J5917" s="11" t="s">
        <v>2350</v>
      </c>
      <c r="K5917" s="11" t="s">
        <v>61</v>
      </c>
      <c r="L5917" s="11" t="s">
        <v>36</v>
      </c>
      <c r="M5917" s="11" t="s">
        <v>28</v>
      </c>
      <c r="N5917" s="11" t="s">
        <v>42</v>
      </c>
      <c r="O5917" s="11" t="s">
        <v>1333</v>
      </c>
      <c r="P5917" s="11" t="s">
        <v>38</v>
      </c>
      <c r="Q5917" s="20">
        <v>40845.0</v>
      </c>
      <c r="R5917" s="17">
        <f t="shared" si="2"/>
        <v>119.9382236</v>
      </c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>
        <f t="shared" si="8"/>
        <v>2</v>
      </c>
      <c r="AF5917" s="19">
        <f t="shared" si="13"/>
        <v>4</v>
      </c>
      <c r="AG5917" s="9"/>
      <c r="AH5917" s="9"/>
      <c r="AI5917" s="9"/>
    </row>
    <row r="5918" ht="15.0" customHeight="1">
      <c r="A5918" s="11">
        <v>5917.0</v>
      </c>
      <c r="B5918" s="12">
        <f t="shared" si="950"/>
        <v>40844</v>
      </c>
      <c r="C5918" s="13">
        <v>2011.0</v>
      </c>
      <c r="D5918" s="11" t="s">
        <v>44</v>
      </c>
      <c r="E5918" s="11">
        <v>22.0</v>
      </c>
      <c r="F5918" s="21" t="s">
        <v>1782</v>
      </c>
      <c r="G5918" s="15">
        <v>0.06791121229368251</v>
      </c>
      <c r="H5918" s="11" t="s">
        <v>33</v>
      </c>
      <c r="I5918" s="16">
        <v>2.904</v>
      </c>
      <c r="J5918" s="11" t="s">
        <v>2145</v>
      </c>
      <c r="K5918" s="11" t="s">
        <v>26</v>
      </c>
      <c r="L5918" s="11" t="s">
        <v>36</v>
      </c>
      <c r="M5918" s="11" t="s">
        <v>49</v>
      </c>
      <c r="N5918" s="11" t="s">
        <v>73</v>
      </c>
      <c r="O5918" s="11" t="s">
        <v>1783</v>
      </c>
      <c r="P5918" s="11" t="s">
        <v>99</v>
      </c>
      <c r="Q5918" s="20">
        <v>40845.0</v>
      </c>
      <c r="R5918" s="17">
        <f t="shared" si="2"/>
        <v>33.36505024</v>
      </c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>
        <f t="shared" si="8"/>
        <v>2</v>
      </c>
      <c r="AF5918" s="19">
        <f t="shared" si="13"/>
        <v>1</v>
      </c>
      <c r="AG5918" s="9"/>
      <c r="AH5918" s="9"/>
      <c r="AI5918" s="9"/>
    </row>
    <row r="5919" ht="15.0" customHeight="1">
      <c r="A5919" s="11">
        <v>5918.0</v>
      </c>
      <c r="B5919" s="12">
        <f t="shared" si="950"/>
        <v>40844</v>
      </c>
      <c r="C5919" s="13">
        <v>2011.0</v>
      </c>
      <c r="D5919" s="11" t="s">
        <v>44</v>
      </c>
      <c r="E5919" s="11">
        <v>11.0</v>
      </c>
      <c r="F5919" s="21" t="s">
        <v>740</v>
      </c>
      <c r="G5919" s="15">
        <v>0.04865258161495425</v>
      </c>
      <c r="H5919" s="11" t="s">
        <v>33</v>
      </c>
      <c r="I5919" s="16">
        <v>11.192</v>
      </c>
      <c r="J5919" s="11" t="s">
        <v>2145</v>
      </c>
      <c r="K5919" s="11" t="s">
        <v>26</v>
      </c>
      <c r="L5919" s="11" t="s">
        <v>36</v>
      </c>
      <c r="M5919" s="11" t="s">
        <v>66</v>
      </c>
      <c r="N5919" s="11" t="s">
        <v>69</v>
      </c>
      <c r="O5919" s="11" t="s">
        <v>2024</v>
      </c>
      <c r="P5919" s="11" t="s">
        <v>75</v>
      </c>
      <c r="Q5919" s="20">
        <v>40845.0</v>
      </c>
      <c r="R5919" s="17">
        <f t="shared" si="2"/>
        <v>161.5796996</v>
      </c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>
        <f t="shared" si="8"/>
        <v>2</v>
      </c>
      <c r="AF5919" s="19">
        <f t="shared" si="13"/>
        <v>1</v>
      </c>
      <c r="AG5919" s="9"/>
      <c r="AH5919" s="9"/>
      <c r="AI5919" s="9"/>
    </row>
    <row r="5920" ht="15.0" customHeight="1">
      <c r="A5920" s="11">
        <v>5919.0</v>
      </c>
      <c r="B5920" s="12">
        <f t="shared" si="950"/>
        <v>40844</v>
      </c>
      <c r="C5920" s="13">
        <v>2011.0</v>
      </c>
      <c r="D5920" s="11" t="s">
        <v>23</v>
      </c>
      <c r="E5920" s="11">
        <v>19.0</v>
      </c>
      <c r="F5920" s="21" t="s">
        <v>1201</v>
      </c>
      <c r="G5920" s="15">
        <v>0.09259833095056003</v>
      </c>
      <c r="H5920" s="11" t="s">
        <v>33</v>
      </c>
      <c r="I5920" s="16">
        <v>15.991999999999999</v>
      </c>
      <c r="J5920" s="11" t="s">
        <v>1872</v>
      </c>
      <c r="K5920" s="11" t="s">
        <v>35</v>
      </c>
      <c r="L5920" s="11" t="s">
        <v>48</v>
      </c>
      <c r="M5920" s="11" t="s">
        <v>28</v>
      </c>
      <c r="N5920" s="11" t="s">
        <v>29</v>
      </c>
      <c r="O5920" s="11" t="s">
        <v>1202</v>
      </c>
      <c r="P5920" s="11" t="s">
        <v>38</v>
      </c>
      <c r="Q5920" s="20">
        <v>40846.0</v>
      </c>
      <c r="R5920" s="17">
        <f t="shared" si="2"/>
        <v>252.718624</v>
      </c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>
        <f t="shared" si="8"/>
        <v>4</v>
      </c>
      <c r="AF5920" s="19">
        <f t="shared" si="13"/>
        <v>2</v>
      </c>
      <c r="AG5920" s="9"/>
      <c r="AH5920" s="9"/>
      <c r="AI5920" s="9"/>
    </row>
    <row r="5921" ht="15.0" customHeight="1">
      <c r="A5921" s="11">
        <v>5920.0</v>
      </c>
      <c r="B5921" s="12">
        <f t="shared" si="950"/>
        <v>40844</v>
      </c>
      <c r="C5921" s="13">
        <v>2011.0</v>
      </c>
      <c r="D5921" s="11" t="s">
        <v>23</v>
      </c>
      <c r="E5921" s="11">
        <v>20.0</v>
      </c>
      <c r="F5921" s="21" t="s">
        <v>119</v>
      </c>
      <c r="G5921" s="15">
        <v>0.1102392344497607</v>
      </c>
      <c r="H5921" s="11" t="s">
        <v>33</v>
      </c>
      <c r="I5921" s="16">
        <v>1.192</v>
      </c>
      <c r="J5921" s="11" t="s">
        <v>1872</v>
      </c>
      <c r="K5921" s="11" t="s">
        <v>35</v>
      </c>
      <c r="L5921" s="11" t="s">
        <v>48</v>
      </c>
      <c r="M5921" s="11" t="s">
        <v>28</v>
      </c>
      <c r="N5921" s="11" t="s">
        <v>42</v>
      </c>
      <c r="O5921" s="11" t="s">
        <v>1129</v>
      </c>
      <c r="P5921" s="11" t="s">
        <v>38</v>
      </c>
      <c r="Q5921" s="20">
        <v>40846.0</v>
      </c>
      <c r="R5921" s="17">
        <f t="shared" si="2"/>
        <v>4.100017608</v>
      </c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>
        <f t="shared" si="8"/>
        <v>4</v>
      </c>
      <c r="AF5921" s="19">
        <f t="shared" si="13"/>
        <v>2</v>
      </c>
      <c r="AG5921" s="9"/>
      <c r="AH5921" s="9"/>
      <c r="AI5921" s="9"/>
    </row>
    <row r="5922" ht="15.0" customHeight="1">
      <c r="A5922" s="11">
        <v>5921.0</v>
      </c>
      <c r="B5922" s="12">
        <f t="shared" si="950"/>
        <v>40844</v>
      </c>
      <c r="C5922" s="13">
        <v>2011.0</v>
      </c>
      <c r="D5922" s="11" t="s">
        <v>23</v>
      </c>
      <c r="E5922" s="11">
        <v>35.0</v>
      </c>
      <c r="F5922" s="21" t="s">
        <v>889</v>
      </c>
      <c r="G5922" s="15">
        <v>0.025515277058518863</v>
      </c>
      <c r="H5922" s="11" t="s">
        <v>33</v>
      </c>
      <c r="I5922" s="16">
        <v>7.192</v>
      </c>
      <c r="J5922" s="11" t="s">
        <v>1872</v>
      </c>
      <c r="K5922" s="11" t="s">
        <v>35</v>
      </c>
      <c r="L5922" s="11" t="s">
        <v>48</v>
      </c>
      <c r="M5922" s="11" t="s">
        <v>28</v>
      </c>
      <c r="N5922" s="11" t="s">
        <v>62</v>
      </c>
      <c r="O5922" s="11" t="s">
        <v>890</v>
      </c>
      <c r="P5922" s="11" t="s">
        <v>99</v>
      </c>
      <c r="Q5922" s="20">
        <v>40846.0</v>
      </c>
      <c r="R5922" s="17">
        <f t="shared" si="2"/>
        <v>19.20514492</v>
      </c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>
        <f t="shared" si="8"/>
        <v>4</v>
      </c>
      <c r="AF5922" s="19">
        <f t="shared" si="13"/>
        <v>2</v>
      </c>
      <c r="AG5922" s="9"/>
      <c r="AH5922" s="9"/>
      <c r="AI5922" s="9"/>
    </row>
    <row r="5923" ht="15.0" customHeight="1">
      <c r="A5923" s="11">
        <v>5922.0</v>
      </c>
      <c r="B5923" s="12">
        <f t="shared" si="950"/>
        <v>40844</v>
      </c>
      <c r="C5923" s="13">
        <v>2011.0</v>
      </c>
      <c r="D5923" s="11" t="s">
        <v>32</v>
      </c>
      <c r="E5923" s="11">
        <v>2.0</v>
      </c>
      <c r="F5923" s="21" t="s">
        <v>297</v>
      </c>
      <c r="G5923" s="15">
        <v>0.08918287937743183</v>
      </c>
      <c r="H5923" s="11" t="s">
        <v>33</v>
      </c>
      <c r="I5923" s="16">
        <v>4.608</v>
      </c>
      <c r="J5923" s="11" t="s">
        <v>1067</v>
      </c>
      <c r="K5923" s="11" t="s">
        <v>61</v>
      </c>
      <c r="L5923" s="11" t="s">
        <v>27</v>
      </c>
      <c r="M5923" s="11" t="s">
        <v>66</v>
      </c>
      <c r="N5923" s="11" t="s">
        <v>69</v>
      </c>
      <c r="O5923" s="11" t="s">
        <v>2003</v>
      </c>
      <c r="P5923" s="11" t="s">
        <v>75</v>
      </c>
      <c r="Q5923" s="20">
        <v>40846.0</v>
      </c>
      <c r="R5923" s="17">
        <f t="shared" si="2"/>
        <v>2.08759284</v>
      </c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>
        <f t="shared" si="8"/>
        <v>1</v>
      </c>
      <c r="AF5923" s="19">
        <f t="shared" si="13"/>
        <v>4</v>
      </c>
      <c r="AG5923" s="9"/>
      <c r="AH5923" s="9"/>
      <c r="AI5923" s="9"/>
    </row>
    <row r="5924" ht="15.0" customHeight="1">
      <c r="A5924" s="11">
        <v>5923.0</v>
      </c>
      <c r="B5924" s="12">
        <f t="shared" si="950"/>
        <v>40844</v>
      </c>
      <c r="C5924" s="13">
        <v>2011.0</v>
      </c>
      <c r="D5924" s="11" t="s">
        <v>23</v>
      </c>
      <c r="E5924" s="11">
        <v>11.0</v>
      </c>
      <c r="F5924" s="21" t="s">
        <v>270</v>
      </c>
      <c r="G5924" s="15">
        <v>0.03154869154869161</v>
      </c>
      <c r="H5924" s="11" t="s">
        <v>33</v>
      </c>
      <c r="I5924" s="16">
        <v>1.592</v>
      </c>
      <c r="J5924" s="11" t="s">
        <v>360</v>
      </c>
      <c r="K5924" s="11" t="s">
        <v>65</v>
      </c>
      <c r="L5924" s="11" t="s">
        <v>48</v>
      </c>
      <c r="M5924" s="11" t="s">
        <v>66</v>
      </c>
      <c r="N5924" s="11" t="s">
        <v>67</v>
      </c>
      <c r="O5924" s="11" t="s">
        <v>1087</v>
      </c>
      <c r="P5924" s="11" t="s">
        <v>99</v>
      </c>
      <c r="Q5924" s="20">
        <v>40846.0</v>
      </c>
      <c r="R5924" s="17">
        <f t="shared" si="2"/>
        <v>14.24398184</v>
      </c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>
        <f t="shared" si="8"/>
        <v>4</v>
      </c>
      <c r="AF5924" s="19">
        <f t="shared" si="13"/>
        <v>5</v>
      </c>
      <c r="AG5924" s="9"/>
      <c r="AH5924" s="9"/>
      <c r="AI5924" s="9"/>
    </row>
    <row r="5925" ht="15.0" customHeight="1">
      <c r="A5925" s="11">
        <v>5924.0</v>
      </c>
      <c r="B5925" s="12">
        <f t="shared" ref="B5925:B5930" si="951">DATE(2012,12,31)-429</f>
        <v>40845</v>
      </c>
      <c r="C5925" s="13">
        <v>2011.0</v>
      </c>
      <c r="D5925" s="11" t="s">
        <v>44</v>
      </c>
      <c r="E5925" s="11">
        <v>3.0</v>
      </c>
      <c r="F5925" s="21" t="s">
        <v>902</v>
      </c>
      <c r="G5925" s="15">
        <v>0.10729976258902907</v>
      </c>
      <c r="H5925" s="11" t="s">
        <v>45</v>
      </c>
      <c r="I5925" s="16">
        <v>51.728</v>
      </c>
      <c r="J5925" s="11" t="s">
        <v>1621</v>
      </c>
      <c r="K5925" s="11" t="s">
        <v>35</v>
      </c>
      <c r="L5925" s="11" t="s">
        <v>41</v>
      </c>
      <c r="M5925" s="11" t="s">
        <v>49</v>
      </c>
      <c r="N5925" s="11" t="s">
        <v>156</v>
      </c>
      <c r="O5925" s="11" t="s">
        <v>903</v>
      </c>
      <c r="P5925" s="11" t="s">
        <v>87</v>
      </c>
      <c r="Q5925" s="20">
        <v>40846.0</v>
      </c>
      <c r="R5925" s="17">
        <f t="shared" si="2"/>
        <v>76.65795479</v>
      </c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>
        <f t="shared" si="8"/>
        <v>3</v>
      </c>
      <c r="AF5925" s="19">
        <f t="shared" si="13"/>
        <v>2</v>
      </c>
      <c r="AG5925" s="9"/>
      <c r="AH5925" s="9"/>
      <c r="AI5925" s="9"/>
    </row>
    <row r="5926" ht="15.0" customHeight="1">
      <c r="A5926" s="11">
        <v>5925.0</v>
      </c>
      <c r="B5926" s="12">
        <f t="shared" si="951"/>
        <v>40845</v>
      </c>
      <c r="C5926" s="13">
        <v>2011.0</v>
      </c>
      <c r="D5926" s="11" t="s">
        <v>44</v>
      </c>
      <c r="E5926" s="11">
        <v>25.0</v>
      </c>
      <c r="F5926" s="21" t="s">
        <v>2065</v>
      </c>
      <c r="G5926" s="15">
        <v>0.060505234847757036</v>
      </c>
      <c r="H5926" s="11" t="s">
        <v>33</v>
      </c>
      <c r="I5926" s="16">
        <v>10.608</v>
      </c>
      <c r="J5926" s="11" t="s">
        <v>1621</v>
      </c>
      <c r="K5926" s="11" t="s">
        <v>35</v>
      </c>
      <c r="L5926" s="11" t="s">
        <v>41</v>
      </c>
      <c r="M5926" s="11" t="s">
        <v>28</v>
      </c>
      <c r="N5926" s="11" t="s">
        <v>56</v>
      </c>
      <c r="O5926" s="11" t="s">
        <v>2066</v>
      </c>
      <c r="P5926" s="11" t="s">
        <v>38</v>
      </c>
      <c r="Q5926" s="20">
        <v>40846.0</v>
      </c>
      <c r="R5926" s="17">
        <f t="shared" si="2"/>
        <v>59.18065425</v>
      </c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>
        <f t="shared" si="8"/>
        <v>3</v>
      </c>
      <c r="AF5926" s="19">
        <f t="shared" si="13"/>
        <v>2</v>
      </c>
      <c r="AG5926" s="9"/>
      <c r="AH5926" s="9"/>
      <c r="AI5926" s="9"/>
    </row>
    <row r="5927" ht="15.0" customHeight="1">
      <c r="A5927" s="11">
        <v>5926.0</v>
      </c>
      <c r="B5927" s="12">
        <f t="shared" si="951"/>
        <v>40845</v>
      </c>
      <c r="C5927" s="13">
        <v>2011.0</v>
      </c>
      <c r="D5927" s="11" t="s">
        <v>32</v>
      </c>
      <c r="E5927" s="11">
        <v>36.0</v>
      </c>
      <c r="F5927" s="21" t="s">
        <v>1351</v>
      </c>
      <c r="G5927" s="15">
        <v>0.06058297706956856</v>
      </c>
      <c r="H5927" s="11" t="s">
        <v>24</v>
      </c>
      <c r="I5927" s="16">
        <v>9.0</v>
      </c>
      <c r="J5927" s="11" t="s">
        <v>1496</v>
      </c>
      <c r="K5927" s="11" t="s">
        <v>61</v>
      </c>
      <c r="L5927" s="11" t="s">
        <v>48</v>
      </c>
      <c r="M5927" s="11" t="s">
        <v>66</v>
      </c>
      <c r="N5927" s="11" t="s">
        <v>67</v>
      </c>
      <c r="O5927" s="11" t="s">
        <v>1352</v>
      </c>
      <c r="P5927" s="11" t="s">
        <v>38</v>
      </c>
      <c r="Q5927" s="20">
        <v>40847.0</v>
      </c>
      <c r="R5927" s="17">
        <f t="shared" si="2"/>
        <v>560.8408519</v>
      </c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>
        <f t="shared" si="8"/>
        <v>4</v>
      </c>
      <c r="AF5927" s="19">
        <f t="shared" si="13"/>
        <v>4</v>
      </c>
      <c r="AG5927" s="9"/>
      <c r="AH5927" s="9"/>
      <c r="AI5927" s="9"/>
    </row>
    <row r="5928" ht="15.0" customHeight="1">
      <c r="A5928" s="11">
        <v>5927.0</v>
      </c>
      <c r="B5928" s="12">
        <f t="shared" si="951"/>
        <v>40845</v>
      </c>
      <c r="C5928" s="13">
        <v>2011.0</v>
      </c>
      <c r="D5928" s="11" t="s">
        <v>32</v>
      </c>
      <c r="E5928" s="11">
        <v>8.0</v>
      </c>
      <c r="F5928" s="21" t="s">
        <v>415</v>
      </c>
      <c r="G5928" s="15">
        <v>0.06818181818181834</v>
      </c>
      <c r="H5928" s="11" t="s">
        <v>33</v>
      </c>
      <c r="I5928" s="16">
        <v>1.6</v>
      </c>
      <c r="J5928" s="11" t="s">
        <v>1496</v>
      </c>
      <c r="K5928" s="11" t="s">
        <v>61</v>
      </c>
      <c r="L5928" s="11" t="s">
        <v>48</v>
      </c>
      <c r="M5928" s="11" t="s">
        <v>28</v>
      </c>
      <c r="N5928" s="11" t="s">
        <v>216</v>
      </c>
      <c r="O5928" s="11" t="s">
        <v>1856</v>
      </c>
      <c r="P5928" s="11" t="s">
        <v>58</v>
      </c>
      <c r="Q5928" s="20">
        <v>40847.0</v>
      </c>
      <c r="R5928" s="17">
        <f t="shared" si="2"/>
        <v>2.236363636</v>
      </c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>
        <f t="shared" si="8"/>
        <v>4</v>
      </c>
      <c r="AF5928" s="19">
        <f t="shared" si="13"/>
        <v>4</v>
      </c>
      <c r="AG5928" s="9"/>
      <c r="AH5928" s="9"/>
      <c r="AI5928" s="9"/>
    </row>
    <row r="5929" ht="15.0" customHeight="1">
      <c r="A5929" s="11">
        <v>5928.0</v>
      </c>
      <c r="B5929" s="12">
        <f t="shared" si="951"/>
        <v>40845</v>
      </c>
      <c r="C5929" s="13">
        <v>2011.0</v>
      </c>
      <c r="D5929" s="11" t="s">
        <v>44</v>
      </c>
      <c r="E5929" s="11">
        <v>23.0</v>
      </c>
      <c r="F5929" s="21" t="s">
        <v>142</v>
      </c>
      <c r="G5929" s="15">
        <v>0.0591783316262662</v>
      </c>
      <c r="H5929" s="11" t="s">
        <v>33</v>
      </c>
      <c r="I5929" s="16">
        <v>1.0</v>
      </c>
      <c r="J5929" s="11" t="s">
        <v>839</v>
      </c>
      <c r="K5929" s="11" t="s">
        <v>83</v>
      </c>
      <c r="L5929" s="11" t="s">
        <v>36</v>
      </c>
      <c r="M5929" s="11" t="s">
        <v>66</v>
      </c>
      <c r="N5929" s="11" t="s">
        <v>80</v>
      </c>
      <c r="O5929" s="11" t="s">
        <v>1661</v>
      </c>
      <c r="P5929" s="11" t="s">
        <v>99</v>
      </c>
      <c r="Q5929" s="20">
        <v>40847.0</v>
      </c>
      <c r="R5929" s="17">
        <f t="shared" si="2"/>
        <v>48.92272676</v>
      </c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>
        <f t="shared" si="8"/>
        <v>2</v>
      </c>
      <c r="AF5929" s="19" t="b">
        <f t="shared" si="13"/>
        <v>0</v>
      </c>
      <c r="AG5929" s="9"/>
      <c r="AH5929" s="9"/>
      <c r="AI5929" s="9"/>
    </row>
    <row r="5930" ht="15.0" customHeight="1">
      <c r="A5930" s="11">
        <v>5929.0</v>
      </c>
      <c r="B5930" s="12">
        <f t="shared" si="951"/>
        <v>40845</v>
      </c>
      <c r="C5930" s="13">
        <v>2011.0</v>
      </c>
      <c r="D5930" s="11" t="s">
        <v>32</v>
      </c>
      <c r="E5930" s="11">
        <v>33.0</v>
      </c>
      <c r="F5930" s="21" t="s">
        <v>319</v>
      </c>
      <c r="G5930" s="15">
        <v>0.09218750000000012</v>
      </c>
      <c r="H5930" s="11" t="s">
        <v>33</v>
      </c>
      <c r="I5930" s="16">
        <v>0.5599999999999999</v>
      </c>
      <c r="J5930" s="11" t="s">
        <v>561</v>
      </c>
      <c r="K5930" s="11" t="s">
        <v>65</v>
      </c>
      <c r="L5930" s="11" t="s">
        <v>36</v>
      </c>
      <c r="M5930" s="11" t="s">
        <v>28</v>
      </c>
      <c r="N5930" s="11" t="s">
        <v>62</v>
      </c>
      <c r="O5930" s="11" t="s">
        <v>383</v>
      </c>
      <c r="P5930" s="11" t="s">
        <v>58</v>
      </c>
      <c r="Q5930" s="20">
        <v>40847.0</v>
      </c>
      <c r="R5930" s="17">
        <f t="shared" si="2"/>
        <v>8.56975</v>
      </c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>
        <f t="shared" si="8"/>
        <v>2</v>
      </c>
      <c r="AF5930" s="19">
        <f t="shared" si="13"/>
        <v>5</v>
      </c>
      <c r="AG5930" s="9"/>
      <c r="AH5930" s="9"/>
      <c r="AI5930" s="9"/>
    </row>
    <row r="5931" ht="15.0" customHeight="1">
      <c r="A5931" s="11">
        <v>5930.0</v>
      </c>
      <c r="B5931" s="12">
        <f t="shared" ref="B5931:B5936" si="952">DATE(2012,12,31)-428</f>
        <v>40846</v>
      </c>
      <c r="C5931" s="13">
        <v>2011.0</v>
      </c>
      <c r="D5931" s="11" t="s">
        <v>23</v>
      </c>
      <c r="E5931" s="11">
        <v>8.0</v>
      </c>
      <c r="F5931" s="21" t="s">
        <v>126</v>
      </c>
      <c r="G5931" s="15">
        <v>0.11523613963039017</v>
      </c>
      <c r="H5931" s="11" t="s">
        <v>33</v>
      </c>
      <c r="I5931" s="16">
        <v>3.8880000000000003</v>
      </c>
      <c r="J5931" s="11" t="s">
        <v>928</v>
      </c>
      <c r="K5931" s="11" t="s">
        <v>61</v>
      </c>
      <c r="L5931" s="11" t="s">
        <v>36</v>
      </c>
      <c r="M5931" s="11" t="s">
        <v>28</v>
      </c>
      <c r="N5931" s="11" t="s">
        <v>56</v>
      </c>
      <c r="O5931" s="11" t="s">
        <v>1732</v>
      </c>
      <c r="P5931" s="11" t="s">
        <v>38</v>
      </c>
      <c r="Q5931" s="20">
        <v>40848.0</v>
      </c>
      <c r="R5931" s="17">
        <f t="shared" si="2"/>
        <v>4.965294784</v>
      </c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>
        <f t="shared" si="8"/>
        <v>2</v>
      </c>
      <c r="AF5931" s="19">
        <f t="shared" si="13"/>
        <v>4</v>
      </c>
      <c r="AG5931" s="9"/>
      <c r="AH5931" s="9"/>
      <c r="AI5931" s="9"/>
    </row>
    <row r="5932" ht="15.0" customHeight="1">
      <c r="A5932" s="11">
        <v>5931.0</v>
      </c>
      <c r="B5932" s="12">
        <f t="shared" si="952"/>
        <v>40846</v>
      </c>
      <c r="C5932" s="13">
        <v>2011.0</v>
      </c>
      <c r="D5932" s="11" t="s">
        <v>23</v>
      </c>
      <c r="E5932" s="11">
        <v>6.0</v>
      </c>
      <c r="F5932" s="21" t="s">
        <v>1015</v>
      </c>
      <c r="G5932" s="15">
        <v>0.06563106796116507</v>
      </c>
      <c r="H5932" s="11" t="s">
        <v>33</v>
      </c>
      <c r="I5932" s="16">
        <v>4.296</v>
      </c>
      <c r="J5932" s="11" t="s">
        <v>928</v>
      </c>
      <c r="K5932" s="11" t="s">
        <v>61</v>
      </c>
      <c r="L5932" s="11" t="s">
        <v>36</v>
      </c>
      <c r="M5932" s="11" t="s">
        <v>28</v>
      </c>
      <c r="N5932" s="11" t="s">
        <v>56</v>
      </c>
      <c r="O5932" s="11" t="s">
        <v>1803</v>
      </c>
      <c r="P5932" s="11" t="s">
        <v>38</v>
      </c>
      <c r="Q5932" s="20">
        <v>40848.0</v>
      </c>
      <c r="R5932" s="17">
        <f t="shared" si="2"/>
        <v>2.526533592</v>
      </c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>
        <f t="shared" si="8"/>
        <v>2</v>
      </c>
      <c r="AF5932" s="19">
        <f t="shared" si="13"/>
        <v>4</v>
      </c>
      <c r="AG5932" s="9"/>
      <c r="AH5932" s="9"/>
      <c r="AI5932" s="9"/>
    </row>
    <row r="5933" ht="15.0" customHeight="1">
      <c r="A5933" s="11">
        <v>5932.0</v>
      </c>
      <c r="B5933" s="12">
        <f t="shared" si="952"/>
        <v>40846</v>
      </c>
      <c r="C5933" s="13">
        <v>2011.0</v>
      </c>
      <c r="D5933" s="11" t="s">
        <v>44</v>
      </c>
      <c r="E5933" s="11">
        <v>26.0</v>
      </c>
      <c r="F5933" s="21" t="s">
        <v>210</v>
      </c>
      <c r="G5933" s="15">
        <v>0.08279569892473113</v>
      </c>
      <c r="H5933" s="11" t="s">
        <v>33</v>
      </c>
      <c r="I5933" s="16">
        <v>0.6400000000000001</v>
      </c>
      <c r="J5933" s="11" t="s">
        <v>104</v>
      </c>
      <c r="K5933" s="11" t="s">
        <v>65</v>
      </c>
      <c r="L5933" s="11" t="s">
        <v>48</v>
      </c>
      <c r="M5933" s="11" t="s">
        <v>28</v>
      </c>
      <c r="N5933" s="11" t="s">
        <v>216</v>
      </c>
      <c r="O5933" s="11" t="s">
        <v>1290</v>
      </c>
      <c r="P5933" s="11" t="s">
        <v>58</v>
      </c>
      <c r="Q5933" s="20">
        <v>40848.0</v>
      </c>
      <c r="R5933" s="17">
        <f t="shared" si="2"/>
        <v>5.649978495</v>
      </c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>
        <f t="shared" si="8"/>
        <v>4</v>
      </c>
      <c r="AF5933" s="19">
        <f t="shared" si="13"/>
        <v>5</v>
      </c>
      <c r="AG5933" s="9"/>
      <c r="AH5933" s="9"/>
      <c r="AI5933" s="9"/>
    </row>
    <row r="5934" ht="15.0" customHeight="1">
      <c r="A5934" s="11">
        <v>5933.0</v>
      </c>
      <c r="B5934" s="12">
        <f t="shared" si="952"/>
        <v>40846</v>
      </c>
      <c r="C5934" s="13">
        <v>2011.0</v>
      </c>
      <c r="D5934" s="11" t="s">
        <v>44</v>
      </c>
      <c r="E5934" s="11">
        <v>9.0</v>
      </c>
      <c r="F5934" s="21" t="s">
        <v>1488</v>
      </c>
      <c r="G5934" s="15">
        <v>0.053194103194103344</v>
      </c>
      <c r="H5934" s="11" t="s">
        <v>33</v>
      </c>
      <c r="I5934" s="16">
        <v>4.08</v>
      </c>
      <c r="J5934" s="11" t="s">
        <v>104</v>
      </c>
      <c r="K5934" s="11" t="s">
        <v>65</v>
      </c>
      <c r="L5934" s="11" t="s">
        <v>48</v>
      </c>
      <c r="M5934" s="11" t="s">
        <v>28</v>
      </c>
      <c r="N5934" s="11" t="s">
        <v>29</v>
      </c>
      <c r="O5934" s="11" t="s">
        <v>1489</v>
      </c>
      <c r="P5934" s="11" t="s">
        <v>38</v>
      </c>
      <c r="Q5934" s="20">
        <v>40848.0</v>
      </c>
      <c r="R5934" s="17">
        <f t="shared" si="2"/>
        <v>16.39867813</v>
      </c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>
        <f t="shared" si="8"/>
        <v>4</v>
      </c>
      <c r="AF5934" s="19">
        <f t="shared" si="13"/>
        <v>5</v>
      </c>
      <c r="AG5934" s="9"/>
      <c r="AH5934" s="9"/>
      <c r="AI5934" s="9"/>
    </row>
    <row r="5935" ht="15.0" customHeight="1">
      <c r="A5935" s="11">
        <v>5934.0</v>
      </c>
      <c r="B5935" s="12">
        <f t="shared" si="952"/>
        <v>40846</v>
      </c>
      <c r="C5935" s="13">
        <v>2011.0</v>
      </c>
      <c r="D5935" s="11" t="s">
        <v>102</v>
      </c>
      <c r="E5935" s="11">
        <v>33.0</v>
      </c>
      <c r="F5935" s="21" t="s">
        <v>178</v>
      </c>
      <c r="G5935" s="15">
        <v>0.08425263688700242</v>
      </c>
      <c r="H5935" s="11" t="s">
        <v>33</v>
      </c>
      <c r="I5935" s="16">
        <v>4.5040000000000004</v>
      </c>
      <c r="J5935" s="11" t="s">
        <v>992</v>
      </c>
      <c r="K5935" s="11" t="s">
        <v>61</v>
      </c>
      <c r="L5935" s="11" t="s">
        <v>41</v>
      </c>
      <c r="M5935" s="11" t="s">
        <v>66</v>
      </c>
      <c r="N5935" s="11" t="s">
        <v>80</v>
      </c>
      <c r="O5935" s="11" t="s">
        <v>1250</v>
      </c>
      <c r="P5935" s="11" t="s">
        <v>38</v>
      </c>
      <c r="Q5935" s="20">
        <v>40848.0</v>
      </c>
      <c r="R5935" s="17">
        <f t="shared" si="2"/>
        <v>183.6036833</v>
      </c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>
        <f t="shared" si="8"/>
        <v>3</v>
      </c>
      <c r="AF5935" s="19">
        <f t="shared" si="13"/>
        <v>4</v>
      </c>
      <c r="AG5935" s="9"/>
      <c r="AH5935" s="9"/>
      <c r="AI5935" s="9"/>
    </row>
    <row r="5936" ht="15.0" customHeight="1">
      <c r="A5936" s="11">
        <v>5935.0</v>
      </c>
      <c r="B5936" s="12">
        <f t="shared" si="952"/>
        <v>40846</v>
      </c>
      <c r="C5936" s="13">
        <v>2011.0</v>
      </c>
      <c r="D5936" s="11" t="s">
        <v>32</v>
      </c>
      <c r="E5936" s="11">
        <v>38.0</v>
      </c>
      <c r="F5936" s="21" t="s">
        <v>610</v>
      </c>
      <c r="G5936" s="15">
        <v>0.0555797979797981</v>
      </c>
      <c r="H5936" s="11" t="s">
        <v>33</v>
      </c>
      <c r="I5936" s="16">
        <v>3.8880000000000003</v>
      </c>
      <c r="J5936" s="11" t="s">
        <v>1722</v>
      </c>
      <c r="K5936" s="11" t="s">
        <v>26</v>
      </c>
      <c r="L5936" s="11" t="s">
        <v>27</v>
      </c>
      <c r="M5936" s="11" t="s">
        <v>28</v>
      </c>
      <c r="N5936" s="11" t="s">
        <v>56</v>
      </c>
      <c r="O5936" s="11" t="s">
        <v>976</v>
      </c>
      <c r="P5936" s="11" t="s">
        <v>38</v>
      </c>
      <c r="Q5936" s="20">
        <v>40848.0</v>
      </c>
      <c r="R5936" s="17">
        <f t="shared" si="2"/>
        <v>25.9828886</v>
      </c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>
        <f t="shared" si="8"/>
        <v>1</v>
      </c>
      <c r="AF5936" s="19">
        <f t="shared" si="13"/>
        <v>1</v>
      </c>
      <c r="AG5936" s="9"/>
      <c r="AH5936" s="9"/>
      <c r="AI5936" s="9"/>
    </row>
    <row r="5937" ht="15.0" customHeight="1">
      <c r="A5937" s="11">
        <v>5936.0</v>
      </c>
      <c r="B5937" s="12">
        <f t="shared" ref="B5937:B5944" si="953">DATE(2012,12,31)-427</f>
        <v>40847</v>
      </c>
      <c r="C5937" s="13">
        <v>2011.0</v>
      </c>
      <c r="D5937" s="11" t="s">
        <v>39</v>
      </c>
      <c r="E5937" s="11">
        <v>30.0</v>
      </c>
      <c r="F5937" s="21" t="s">
        <v>158</v>
      </c>
      <c r="G5937" s="15">
        <v>0.01762237762237758</v>
      </c>
      <c r="H5937" s="11" t="s">
        <v>33</v>
      </c>
      <c r="I5937" s="16">
        <v>4.672</v>
      </c>
      <c r="J5937" s="11" t="s">
        <v>1020</v>
      </c>
      <c r="K5937" s="11" t="s">
        <v>47</v>
      </c>
      <c r="L5937" s="11" t="s">
        <v>27</v>
      </c>
      <c r="M5937" s="11" t="s">
        <v>28</v>
      </c>
      <c r="N5937" s="11" t="s">
        <v>56</v>
      </c>
      <c r="O5937" s="11" t="s">
        <v>2050</v>
      </c>
      <c r="P5937" s="11" t="s">
        <v>38</v>
      </c>
      <c r="Q5937" s="20">
        <v>40849.0</v>
      </c>
      <c r="R5937" s="17">
        <f t="shared" si="2"/>
        <v>3.465828252</v>
      </c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>
        <f t="shared" si="8"/>
        <v>1</v>
      </c>
      <c r="AF5937" s="19">
        <f t="shared" si="13"/>
        <v>3</v>
      </c>
      <c r="AG5937" s="9"/>
      <c r="AH5937" s="9"/>
      <c r="AI5937" s="9"/>
    </row>
    <row r="5938" ht="15.0" customHeight="1">
      <c r="A5938" s="11">
        <v>5937.0</v>
      </c>
      <c r="B5938" s="12">
        <f t="shared" si="953"/>
        <v>40847</v>
      </c>
      <c r="C5938" s="13">
        <v>2011.0</v>
      </c>
      <c r="D5938" s="11" t="s">
        <v>44</v>
      </c>
      <c r="E5938" s="11">
        <v>45.0</v>
      </c>
      <c r="F5938" s="21" t="s">
        <v>865</v>
      </c>
      <c r="G5938" s="15">
        <v>0.04848994715996642</v>
      </c>
      <c r="H5938" s="11" t="s">
        <v>45</v>
      </c>
      <c r="I5938" s="16">
        <v>19.008000000000003</v>
      </c>
      <c r="J5938" s="11" t="s">
        <v>193</v>
      </c>
      <c r="K5938" s="11" t="s">
        <v>61</v>
      </c>
      <c r="L5938" s="11" t="s">
        <v>48</v>
      </c>
      <c r="M5938" s="11" t="s">
        <v>49</v>
      </c>
      <c r="N5938" s="11" t="s">
        <v>50</v>
      </c>
      <c r="O5938" s="11" t="s">
        <v>866</v>
      </c>
      <c r="P5938" s="11" t="s">
        <v>52</v>
      </c>
      <c r="Q5938" s="20">
        <v>40849.0</v>
      </c>
      <c r="R5938" s="17">
        <f t="shared" si="2"/>
        <v>439.2950642</v>
      </c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>
        <f t="shared" si="8"/>
        <v>4</v>
      </c>
      <c r="AF5938" s="19">
        <f t="shared" si="13"/>
        <v>4</v>
      </c>
      <c r="AG5938" s="9"/>
      <c r="AH5938" s="9"/>
      <c r="AI5938" s="9"/>
    </row>
    <row r="5939" ht="15.0" customHeight="1">
      <c r="A5939" s="11">
        <v>5938.0</v>
      </c>
      <c r="B5939" s="12">
        <f t="shared" si="953"/>
        <v>40847</v>
      </c>
      <c r="C5939" s="13">
        <v>2011.0</v>
      </c>
      <c r="D5939" s="11" t="s">
        <v>44</v>
      </c>
      <c r="E5939" s="11">
        <v>21.0</v>
      </c>
      <c r="F5939" s="21" t="s">
        <v>186</v>
      </c>
      <c r="G5939" s="15">
        <v>0.07364605543710023</v>
      </c>
      <c r="H5939" s="11" t="s">
        <v>24</v>
      </c>
      <c r="I5939" s="16">
        <v>0.792</v>
      </c>
      <c r="J5939" s="11" t="s">
        <v>193</v>
      </c>
      <c r="K5939" s="11" t="s">
        <v>61</v>
      </c>
      <c r="L5939" s="11" t="s">
        <v>48</v>
      </c>
      <c r="M5939" s="11" t="s">
        <v>28</v>
      </c>
      <c r="N5939" s="11" t="s">
        <v>188</v>
      </c>
      <c r="O5939" s="11" t="s">
        <v>189</v>
      </c>
      <c r="P5939" s="11" t="s">
        <v>38</v>
      </c>
      <c r="Q5939" s="20">
        <v>40849.0</v>
      </c>
      <c r="R5939" s="17">
        <f t="shared" si="2"/>
        <v>6.399253049</v>
      </c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>
        <f t="shared" si="8"/>
        <v>4</v>
      </c>
      <c r="AF5939" s="19">
        <f t="shared" si="13"/>
        <v>4</v>
      </c>
      <c r="AG5939" s="9"/>
      <c r="AH5939" s="9"/>
      <c r="AI5939" s="9"/>
    </row>
    <row r="5940" ht="15.0" customHeight="1">
      <c r="A5940" s="11">
        <v>5939.0</v>
      </c>
      <c r="B5940" s="12">
        <f t="shared" si="953"/>
        <v>40847</v>
      </c>
      <c r="C5940" s="13">
        <v>2011.0</v>
      </c>
      <c r="D5940" s="11" t="s">
        <v>32</v>
      </c>
      <c r="E5940" s="11">
        <v>36.0</v>
      </c>
      <c r="F5940" s="21" t="s">
        <v>280</v>
      </c>
      <c r="G5940" s="15">
        <v>0.039880305884960575</v>
      </c>
      <c r="H5940" s="11" t="s">
        <v>33</v>
      </c>
      <c r="I5940" s="16">
        <v>4.632000000000001</v>
      </c>
      <c r="J5940" s="11" t="s">
        <v>843</v>
      </c>
      <c r="K5940" s="11" t="s">
        <v>61</v>
      </c>
      <c r="L5940" s="11" t="s">
        <v>48</v>
      </c>
      <c r="M5940" s="11" t="s">
        <v>28</v>
      </c>
      <c r="N5940" s="11" t="s">
        <v>56</v>
      </c>
      <c r="O5940" s="11" t="s">
        <v>1430</v>
      </c>
      <c r="P5940" s="11" t="s">
        <v>38</v>
      </c>
      <c r="Q5940" s="20">
        <v>40849.0</v>
      </c>
      <c r="R5940" s="17">
        <f t="shared" si="2"/>
        <v>69.09789415</v>
      </c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>
        <f t="shared" si="8"/>
        <v>4</v>
      </c>
      <c r="AF5940" s="19">
        <f t="shared" si="13"/>
        <v>4</v>
      </c>
      <c r="AG5940" s="9"/>
      <c r="AH5940" s="9"/>
      <c r="AI5940" s="9"/>
    </row>
    <row r="5941" ht="15.0" customHeight="1">
      <c r="A5941" s="11">
        <v>5940.0</v>
      </c>
      <c r="B5941" s="12">
        <f t="shared" si="953"/>
        <v>40847</v>
      </c>
      <c r="C5941" s="13">
        <v>2011.0</v>
      </c>
      <c r="D5941" s="11" t="s">
        <v>32</v>
      </c>
      <c r="E5941" s="11">
        <v>14.0</v>
      </c>
      <c r="F5941" s="21" t="s">
        <v>210</v>
      </c>
      <c r="G5941" s="15">
        <v>0.08544152744630068</v>
      </c>
      <c r="H5941" s="11" t="s">
        <v>33</v>
      </c>
      <c r="I5941" s="16">
        <v>1.92</v>
      </c>
      <c r="J5941" s="11" t="s">
        <v>843</v>
      </c>
      <c r="K5941" s="11" t="s">
        <v>61</v>
      </c>
      <c r="L5941" s="11" t="s">
        <v>48</v>
      </c>
      <c r="M5941" s="11" t="s">
        <v>28</v>
      </c>
      <c r="N5941" s="11" t="s">
        <v>62</v>
      </c>
      <c r="O5941" s="11" t="s">
        <v>212</v>
      </c>
      <c r="P5941" s="11" t="s">
        <v>58</v>
      </c>
      <c r="Q5941" s="20">
        <v>40849.0</v>
      </c>
      <c r="R5941" s="17">
        <f t="shared" si="2"/>
        <v>3.274119332</v>
      </c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>
        <f t="shared" si="8"/>
        <v>4</v>
      </c>
      <c r="AF5941" s="19">
        <f t="shared" si="13"/>
        <v>4</v>
      </c>
      <c r="AG5941" s="9"/>
      <c r="AH5941" s="9"/>
      <c r="AI5941" s="9"/>
    </row>
    <row r="5942" ht="15.0" customHeight="1">
      <c r="A5942" s="11">
        <v>5941.0</v>
      </c>
      <c r="B5942" s="12">
        <f t="shared" si="953"/>
        <v>40847</v>
      </c>
      <c r="C5942" s="13">
        <v>2011.0</v>
      </c>
      <c r="D5942" s="11" t="s">
        <v>102</v>
      </c>
      <c r="E5942" s="11">
        <v>6.0</v>
      </c>
      <c r="F5942" s="21" t="s">
        <v>277</v>
      </c>
      <c r="G5942" s="15">
        <v>0.10206896551724116</v>
      </c>
      <c r="H5942" s="11" t="s">
        <v>24</v>
      </c>
      <c r="I5942" s="16">
        <v>0.8160000000000001</v>
      </c>
      <c r="J5942" s="11" t="s">
        <v>639</v>
      </c>
      <c r="K5942" s="11" t="s">
        <v>35</v>
      </c>
      <c r="L5942" s="11" t="s">
        <v>27</v>
      </c>
      <c r="M5942" s="11" t="s">
        <v>28</v>
      </c>
      <c r="N5942" s="11" t="s">
        <v>216</v>
      </c>
      <c r="O5942" s="11" t="s">
        <v>2570</v>
      </c>
      <c r="P5942" s="11" t="s">
        <v>58</v>
      </c>
      <c r="Q5942" s="20">
        <v>40849.0</v>
      </c>
      <c r="R5942" s="17">
        <f t="shared" si="2"/>
        <v>1.063150345</v>
      </c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>
        <f t="shared" si="8"/>
        <v>1</v>
      </c>
      <c r="AF5942" s="19">
        <f t="shared" si="13"/>
        <v>2</v>
      </c>
      <c r="AG5942" s="9"/>
      <c r="AH5942" s="9"/>
      <c r="AI5942" s="9"/>
    </row>
    <row r="5943" ht="15.0" customHeight="1">
      <c r="A5943" s="11">
        <v>5942.0</v>
      </c>
      <c r="B5943" s="12">
        <f t="shared" si="953"/>
        <v>40847</v>
      </c>
      <c r="C5943" s="13">
        <v>2011.0</v>
      </c>
      <c r="D5943" s="11" t="s">
        <v>39</v>
      </c>
      <c r="E5943" s="11">
        <v>11.0</v>
      </c>
      <c r="F5943" s="21" t="s">
        <v>186</v>
      </c>
      <c r="G5943" s="15">
        <v>0.03227533460803064</v>
      </c>
      <c r="H5943" s="11" t="s">
        <v>33</v>
      </c>
      <c r="I5943" s="16">
        <v>5.5120000000000005</v>
      </c>
      <c r="J5943" s="11" t="s">
        <v>1209</v>
      </c>
      <c r="K5943" s="11" t="s">
        <v>65</v>
      </c>
      <c r="L5943" s="11" t="s">
        <v>27</v>
      </c>
      <c r="M5943" s="11" t="s">
        <v>28</v>
      </c>
      <c r="N5943" s="11" t="s">
        <v>188</v>
      </c>
      <c r="O5943" s="11" t="s">
        <v>203</v>
      </c>
      <c r="P5943" s="11" t="s">
        <v>38</v>
      </c>
      <c r="Q5943" s="20">
        <v>40849.0</v>
      </c>
      <c r="R5943" s="17">
        <f t="shared" si="2"/>
        <v>1.633519235</v>
      </c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>
        <f t="shared" si="8"/>
        <v>1</v>
      </c>
      <c r="AF5943" s="19">
        <f t="shared" si="13"/>
        <v>5</v>
      </c>
      <c r="AG5943" s="9"/>
      <c r="AH5943" s="9"/>
      <c r="AI5943" s="9"/>
    </row>
    <row r="5944" ht="15.0" customHeight="1">
      <c r="A5944" s="11">
        <v>5943.0</v>
      </c>
      <c r="B5944" s="12">
        <f t="shared" si="953"/>
        <v>40847</v>
      </c>
      <c r="C5944" s="13">
        <v>2011.0</v>
      </c>
      <c r="D5944" s="11" t="s">
        <v>39</v>
      </c>
      <c r="E5944" s="11">
        <v>35.0</v>
      </c>
      <c r="F5944" s="21" t="s">
        <v>1646</v>
      </c>
      <c r="G5944" s="15">
        <v>0.05199678714859446</v>
      </c>
      <c r="H5944" s="11" t="s">
        <v>33</v>
      </c>
      <c r="I5944" s="16">
        <v>5.632000000000001</v>
      </c>
      <c r="J5944" s="11" t="s">
        <v>1209</v>
      </c>
      <c r="K5944" s="11" t="s">
        <v>65</v>
      </c>
      <c r="L5944" s="11" t="s">
        <v>27</v>
      </c>
      <c r="M5944" s="11" t="s">
        <v>28</v>
      </c>
      <c r="N5944" s="11" t="s">
        <v>29</v>
      </c>
      <c r="O5944" s="11" t="s">
        <v>1647</v>
      </c>
      <c r="P5944" s="11" t="s">
        <v>38</v>
      </c>
      <c r="Q5944" s="20">
        <v>40849.0</v>
      </c>
      <c r="R5944" s="17">
        <f t="shared" si="2"/>
        <v>30.68496799</v>
      </c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>
        <f t="shared" si="8"/>
        <v>1</v>
      </c>
      <c r="AF5944" s="19">
        <f t="shared" si="13"/>
        <v>5</v>
      </c>
      <c r="AG5944" s="9"/>
      <c r="AH5944" s="9"/>
      <c r="AI5944" s="9"/>
    </row>
    <row r="5945" ht="15.0" customHeight="1">
      <c r="A5945" s="11">
        <v>5944.0</v>
      </c>
      <c r="B5945" s="12">
        <f t="shared" ref="B5945:B5954" si="954">DATE(2012,12,31)-426</f>
        <v>40848</v>
      </c>
      <c r="C5945" s="13">
        <v>2011.0</v>
      </c>
      <c r="D5945" s="11" t="s">
        <v>32</v>
      </c>
      <c r="E5945" s="11">
        <v>36.0</v>
      </c>
      <c r="F5945" s="21" t="s">
        <v>115</v>
      </c>
      <c r="G5945" s="15">
        <v>0.035755313987628844</v>
      </c>
      <c r="H5945" s="11" t="s">
        <v>45</v>
      </c>
      <c r="I5945" s="16">
        <v>24.0</v>
      </c>
      <c r="J5945" s="11" t="s">
        <v>1618</v>
      </c>
      <c r="K5945" s="11" t="s">
        <v>65</v>
      </c>
      <c r="L5945" s="11" t="s">
        <v>41</v>
      </c>
      <c r="M5945" s="11" t="s">
        <v>49</v>
      </c>
      <c r="N5945" s="11" t="s">
        <v>50</v>
      </c>
      <c r="O5945" s="11" t="s">
        <v>1402</v>
      </c>
      <c r="P5945" s="11" t="s">
        <v>52</v>
      </c>
      <c r="Q5945" s="20">
        <v>40849.0</v>
      </c>
      <c r="R5945" s="17">
        <f t="shared" si="2"/>
        <v>156.4795561</v>
      </c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>
        <f t="shared" si="8"/>
        <v>3</v>
      </c>
      <c r="AF5945" s="19">
        <f t="shared" si="13"/>
        <v>5</v>
      </c>
      <c r="AG5945" s="9"/>
      <c r="AH5945" s="9"/>
      <c r="AI5945" s="9"/>
    </row>
    <row r="5946" ht="15.0" customHeight="1">
      <c r="A5946" s="11">
        <v>5945.0</v>
      </c>
      <c r="B5946" s="12">
        <f t="shared" si="954"/>
        <v>40848</v>
      </c>
      <c r="C5946" s="13">
        <v>2011.0</v>
      </c>
      <c r="D5946" s="11" t="s">
        <v>32</v>
      </c>
      <c r="E5946" s="11">
        <v>14.0</v>
      </c>
      <c r="F5946" s="21" t="s">
        <v>108</v>
      </c>
      <c r="G5946" s="15">
        <v>0.09236573675801894</v>
      </c>
      <c r="H5946" s="11" t="s">
        <v>33</v>
      </c>
      <c r="I5946" s="16">
        <v>16.968</v>
      </c>
      <c r="J5946" s="11" t="s">
        <v>1618</v>
      </c>
      <c r="K5946" s="11" t="s">
        <v>65</v>
      </c>
      <c r="L5946" s="11" t="s">
        <v>41</v>
      </c>
      <c r="M5946" s="11" t="s">
        <v>49</v>
      </c>
      <c r="N5946" s="11" t="s">
        <v>73</v>
      </c>
      <c r="O5946" s="11" t="s">
        <v>109</v>
      </c>
      <c r="P5946" s="11" t="s">
        <v>31</v>
      </c>
      <c r="Q5946" s="20">
        <v>40849.0</v>
      </c>
      <c r="R5946" s="17">
        <f t="shared" si="2"/>
        <v>272.8639038</v>
      </c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>
        <f t="shared" si="8"/>
        <v>3</v>
      </c>
      <c r="AF5946" s="19">
        <f t="shared" si="13"/>
        <v>5</v>
      </c>
      <c r="AG5946" s="9"/>
      <c r="AH5946" s="9"/>
      <c r="AI5946" s="9"/>
    </row>
    <row r="5947" ht="15.0" customHeight="1">
      <c r="A5947" s="11">
        <v>5946.0</v>
      </c>
      <c r="B5947" s="12">
        <f t="shared" si="954"/>
        <v>40848</v>
      </c>
      <c r="C5947" s="13">
        <v>2011.0</v>
      </c>
      <c r="D5947" s="11" t="s">
        <v>23</v>
      </c>
      <c r="E5947" s="11">
        <v>39.0</v>
      </c>
      <c r="F5947" s="21" t="s">
        <v>158</v>
      </c>
      <c r="G5947" s="15">
        <v>0.08320627003918753</v>
      </c>
      <c r="H5947" s="11" t="s">
        <v>33</v>
      </c>
      <c r="I5947" s="16">
        <v>7.744</v>
      </c>
      <c r="J5947" s="11" t="s">
        <v>120</v>
      </c>
      <c r="K5947" s="11" t="s">
        <v>35</v>
      </c>
      <c r="L5947" s="11" t="s">
        <v>27</v>
      </c>
      <c r="M5947" s="11" t="s">
        <v>49</v>
      </c>
      <c r="N5947" s="11" t="s">
        <v>156</v>
      </c>
      <c r="O5947" s="11" t="s">
        <v>244</v>
      </c>
      <c r="P5947" s="11" t="s">
        <v>87</v>
      </c>
      <c r="Q5947" s="20">
        <v>40849.0</v>
      </c>
      <c r="R5947" s="17">
        <f t="shared" si="2"/>
        <v>21.41263436</v>
      </c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>
        <f t="shared" si="8"/>
        <v>1</v>
      </c>
      <c r="AF5947" s="19">
        <f t="shared" si="13"/>
        <v>2</v>
      </c>
      <c r="AG5947" s="9"/>
      <c r="AH5947" s="9"/>
      <c r="AI5947" s="9"/>
    </row>
    <row r="5948" ht="15.0" customHeight="1">
      <c r="A5948" s="11">
        <v>5947.0</v>
      </c>
      <c r="B5948" s="12">
        <f t="shared" si="954"/>
        <v>40848</v>
      </c>
      <c r="C5948" s="13">
        <v>2011.0</v>
      </c>
      <c r="D5948" s="11" t="s">
        <v>23</v>
      </c>
      <c r="E5948" s="11">
        <v>47.0</v>
      </c>
      <c r="F5948" s="21" t="s">
        <v>151</v>
      </c>
      <c r="G5948" s="15">
        <v>0.09184652278177453</v>
      </c>
      <c r="H5948" s="11" t="s">
        <v>33</v>
      </c>
      <c r="I5948" s="16">
        <v>1.08</v>
      </c>
      <c r="J5948" s="11" t="s">
        <v>120</v>
      </c>
      <c r="K5948" s="11" t="s">
        <v>35</v>
      </c>
      <c r="L5948" s="11" t="s">
        <v>27</v>
      </c>
      <c r="M5948" s="11" t="s">
        <v>49</v>
      </c>
      <c r="N5948" s="11" t="s">
        <v>50</v>
      </c>
      <c r="O5948" s="11" t="s">
        <v>2457</v>
      </c>
      <c r="P5948" s="11" t="s">
        <v>52</v>
      </c>
      <c r="Q5948" s="20">
        <v>40849.0</v>
      </c>
      <c r="R5948" s="17">
        <f t="shared" si="2"/>
        <v>13.91291127</v>
      </c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>
        <f t="shared" si="8"/>
        <v>1</v>
      </c>
      <c r="AF5948" s="19">
        <f t="shared" si="13"/>
        <v>2</v>
      </c>
      <c r="AG5948" s="9"/>
      <c r="AH5948" s="9"/>
      <c r="AI5948" s="9"/>
    </row>
    <row r="5949" ht="15.0" customHeight="1">
      <c r="A5949" s="11">
        <v>5948.0</v>
      </c>
      <c r="B5949" s="12">
        <f t="shared" si="954"/>
        <v>40848</v>
      </c>
      <c r="C5949" s="13">
        <v>2011.0</v>
      </c>
      <c r="D5949" s="11" t="s">
        <v>23</v>
      </c>
      <c r="E5949" s="11">
        <v>31.0</v>
      </c>
      <c r="F5949" s="21" t="s">
        <v>93</v>
      </c>
      <c r="G5949" s="15">
        <v>0.04770511296076112</v>
      </c>
      <c r="H5949" s="11" t="s">
        <v>33</v>
      </c>
      <c r="I5949" s="16">
        <v>4.664000000000001</v>
      </c>
      <c r="J5949" s="11" t="s">
        <v>904</v>
      </c>
      <c r="K5949" s="11" t="s">
        <v>61</v>
      </c>
      <c r="L5949" s="11" t="s">
        <v>36</v>
      </c>
      <c r="M5949" s="11" t="s">
        <v>28</v>
      </c>
      <c r="N5949" s="11" t="s">
        <v>56</v>
      </c>
      <c r="O5949" s="11" t="s">
        <v>95</v>
      </c>
      <c r="P5949" s="11" t="s">
        <v>58</v>
      </c>
      <c r="Q5949" s="20">
        <v>40849.0</v>
      </c>
      <c r="R5949" s="17">
        <f t="shared" si="2"/>
        <v>11.46182126</v>
      </c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>
        <f t="shared" si="8"/>
        <v>2</v>
      </c>
      <c r="AF5949" s="19">
        <f t="shared" si="13"/>
        <v>4</v>
      </c>
      <c r="AG5949" s="9"/>
      <c r="AH5949" s="9"/>
      <c r="AI5949" s="9"/>
    </row>
    <row r="5950" ht="15.0" customHeight="1">
      <c r="A5950" s="11">
        <v>5949.0</v>
      </c>
      <c r="B5950" s="12">
        <f t="shared" si="954"/>
        <v>40848</v>
      </c>
      <c r="C5950" s="13">
        <v>2011.0</v>
      </c>
      <c r="D5950" s="11" t="s">
        <v>23</v>
      </c>
      <c r="E5950" s="11">
        <v>16.0</v>
      </c>
      <c r="F5950" s="21" t="s">
        <v>126</v>
      </c>
      <c r="G5950" s="15">
        <v>0.09910772578890102</v>
      </c>
      <c r="H5950" s="11" t="s">
        <v>33</v>
      </c>
      <c r="I5950" s="16">
        <v>4.392</v>
      </c>
      <c r="J5950" s="11" t="s">
        <v>904</v>
      </c>
      <c r="K5950" s="11" t="s">
        <v>61</v>
      </c>
      <c r="L5950" s="11" t="s">
        <v>36</v>
      </c>
      <c r="M5950" s="11" t="s">
        <v>28</v>
      </c>
      <c r="N5950" s="11" t="s">
        <v>56</v>
      </c>
      <c r="O5950" s="11" t="s">
        <v>1297</v>
      </c>
      <c r="P5950" s="11" t="s">
        <v>38</v>
      </c>
      <c r="Q5950" s="20">
        <v>40850.0</v>
      </c>
      <c r="R5950" s="17">
        <f t="shared" si="2"/>
        <v>8.205326834</v>
      </c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>
        <f t="shared" si="8"/>
        <v>2</v>
      </c>
      <c r="AF5950" s="19">
        <f t="shared" si="13"/>
        <v>4</v>
      </c>
      <c r="AG5950" s="9"/>
      <c r="AH5950" s="9"/>
      <c r="AI5950" s="9"/>
    </row>
    <row r="5951" ht="15.0" customHeight="1">
      <c r="A5951" s="11">
        <v>5950.0</v>
      </c>
      <c r="B5951" s="12">
        <f t="shared" si="954"/>
        <v>40848</v>
      </c>
      <c r="C5951" s="13">
        <v>2011.0</v>
      </c>
      <c r="D5951" s="11" t="s">
        <v>23</v>
      </c>
      <c r="E5951" s="11">
        <v>43.0</v>
      </c>
      <c r="F5951" s="21" t="s">
        <v>782</v>
      </c>
      <c r="G5951" s="15">
        <v>0.049917371252882356</v>
      </c>
      <c r="H5951" s="11" t="s">
        <v>33</v>
      </c>
      <c r="I5951" s="16">
        <v>3.9920000000000004</v>
      </c>
      <c r="J5951" s="11" t="s">
        <v>904</v>
      </c>
      <c r="K5951" s="11" t="s">
        <v>61</v>
      </c>
      <c r="L5951" s="11" t="s">
        <v>36</v>
      </c>
      <c r="M5951" s="11" t="s">
        <v>66</v>
      </c>
      <c r="N5951" s="11" t="s">
        <v>80</v>
      </c>
      <c r="O5951" s="11" t="s">
        <v>783</v>
      </c>
      <c r="P5951" s="11" t="s">
        <v>38</v>
      </c>
      <c r="Q5951" s="20">
        <v>40850.0</v>
      </c>
      <c r="R5951" s="17">
        <f t="shared" si="2"/>
        <v>98.72118579</v>
      </c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>
        <f t="shared" si="8"/>
        <v>2</v>
      </c>
      <c r="AF5951" s="19">
        <f t="shared" si="13"/>
        <v>4</v>
      </c>
      <c r="AG5951" s="9"/>
      <c r="AH5951" s="9"/>
      <c r="AI5951" s="9"/>
    </row>
    <row r="5952" ht="15.0" customHeight="1">
      <c r="A5952" s="11">
        <v>5951.0</v>
      </c>
      <c r="B5952" s="12">
        <f t="shared" si="954"/>
        <v>40848</v>
      </c>
      <c r="C5952" s="13">
        <v>2011.0</v>
      </c>
      <c r="D5952" s="11" t="s">
        <v>39</v>
      </c>
      <c r="E5952" s="11">
        <v>7.0</v>
      </c>
      <c r="F5952" s="21" t="s">
        <v>413</v>
      </c>
      <c r="G5952" s="15">
        <v>0.09736842105263159</v>
      </c>
      <c r="H5952" s="11" t="s">
        <v>33</v>
      </c>
      <c r="I5952" s="16">
        <v>7.56</v>
      </c>
      <c r="J5952" s="11" t="s">
        <v>1851</v>
      </c>
      <c r="K5952" s="11" t="s">
        <v>26</v>
      </c>
      <c r="L5952" s="11" t="s">
        <v>48</v>
      </c>
      <c r="M5952" s="11" t="s">
        <v>28</v>
      </c>
      <c r="N5952" s="11" t="s">
        <v>29</v>
      </c>
      <c r="O5952" s="11" t="s">
        <v>660</v>
      </c>
      <c r="P5952" s="11" t="s">
        <v>38</v>
      </c>
      <c r="Q5952" s="20">
        <v>40850.0</v>
      </c>
      <c r="R5952" s="17">
        <f t="shared" si="2"/>
        <v>7.347421053</v>
      </c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>
        <f t="shared" si="8"/>
        <v>4</v>
      </c>
      <c r="AF5952" s="19">
        <f t="shared" si="13"/>
        <v>1</v>
      </c>
      <c r="AG5952" s="9"/>
      <c r="AH5952" s="9"/>
      <c r="AI5952" s="9"/>
    </row>
    <row r="5953" ht="15.0" customHeight="1">
      <c r="A5953" s="11">
        <v>5952.0</v>
      </c>
      <c r="B5953" s="12">
        <f t="shared" si="954"/>
        <v>40848</v>
      </c>
      <c r="C5953" s="13">
        <v>2011.0</v>
      </c>
      <c r="D5953" s="11" t="s">
        <v>39</v>
      </c>
      <c r="E5953" s="11">
        <v>42.0</v>
      </c>
      <c r="F5953" s="21" t="s">
        <v>128</v>
      </c>
      <c r="G5953" s="15">
        <v>0.03941936420380309</v>
      </c>
      <c r="H5953" s="11" t="s">
        <v>24</v>
      </c>
      <c r="I5953" s="16">
        <v>6.152000000000001</v>
      </c>
      <c r="J5953" s="11" t="s">
        <v>1851</v>
      </c>
      <c r="K5953" s="11" t="s">
        <v>26</v>
      </c>
      <c r="L5953" s="11" t="s">
        <v>48</v>
      </c>
      <c r="M5953" s="11" t="s">
        <v>66</v>
      </c>
      <c r="N5953" s="11" t="s">
        <v>80</v>
      </c>
      <c r="O5953" s="11" t="s">
        <v>1100</v>
      </c>
      <c r="P5953" s="11" t="s">
        <v>38</v>
      </c>
      <c r="Q5953" s="20">
        <v>40850.0</v>
      </c>
      <c r="R5953" s="17">
        <f t="shared" si="2"/>
        <v>208.684222</v>
      </c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>
        <f t="shared" si="8"/>
        <v>4</v>
      </c>
      <c r="AF5953" s="19">
        <f t="shared" si="13"/>
        <v>1</v>
      </c>
      <c r="AG5953" s="9"/>
      <c r="AH5953" s="9"/>
      <c r="AI5953" s="9"/>
    </row>
    <row r="5954" ht="15.0" customHeight="1">
      <c r="A5954" s="11">
        <v>5953.0</v>
      </c>
      <c r="B5954" s="12">
        <f t="shared" si="954"/>
        <v>40848</v>
      </c>
      <c r="C5954" s="13">
        <v>2011.0</v>
      </c>
      <c r="D5954" s="11" t="s">
        <v>39</v>
      </c>
      <c r="E5954" s="11">
        <v>8.0</v>
      </c>
      <c r="F5954" s="21" t="s">
        <v>740</v>
      </c>
      <c r="G5954" s="15">
        <v>0.04837356049850132</v>
      </c>
      <c r="H5954" s="11" t="s">
        <v>24</v>
      </c>
      <c r="I5954" s="16">
        <v>5.744</v>
      </c>
      <c r="J5954" s="11" t="s">
        <v>1851</v>
      </c>
      <c r="K5954" s="11" t="s">
        <v>26</v>
      </c>
      <c r="L5954" s="11" t="s">
        <v>48</v>
      </c>
      <c r="M5954" s="11" t="s">
        <v>66</v>
      </c>
      <c r="N5954" s="11" t="s">
        <v>67</v>
      </c>
      <c r="O5954" s="11" t="s">
        <v>1147</v>
      </c>
      <c r="P5954" s="11" t="s">
        <v>38</v>
      </c>
      <c r="Q5954" s="20">
        <v>40850.0</v>
      </c>
      <c r="R5954" s="17">
        <f t="shared" si="2"/>
        <v>116.7226926</v>
      </c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>
        <f t="shared" si="8"/>
        <v>4</v>
      </c>
      <c r="AF5954" s="19">
        <f t="shared" si="13"/>
        <v>1</v>
      </c>
      <c r="AG5954" s="9"/>
      <c r="AH5954" s="9"/>
      <c r="AI5954" s="9"/>
    </row>
    <row r="5955" ht="15.0" customHeight="1">
      <c r="A5955" s="11">
        <v>5954.0</v>
      </c>
      <c r="B5955" s="12">
        <f t="shared" ref="B5955:B5959" si="955">DATE(2012,12,31)-425</f>
        <v>40849</v>
      </c>
      <c r="C5955" s="13">
        <v>2011.0</v>
      </c>
      <c r="D5955" s="11" t="s">
        <v>39</v>
      </c>
      <c r="E5955" s="11">
        <v>46.0</v>
      </c>
      <c r="F5955" s="21" t="s">
        <v>178</v>
      </c>
      <c r="G5955" s="15">
        <v>0.0923946526303196</v>
      </c>
      <c r="H5955" s="11" t="s">
        <v>33</v>
      </c>
      <c r="I5955" s="16">
        <v>3.3600000000000003</v>
      </c>
      <c r="J5955" s="11" t="s">
        <v>2571</v>
      </c>
      <c r="K5955" s="11" t="s">
        <v>61</v>
      </c>
      <c r="L5955" s="11" t="s">
        <v>27</v>
      </c>
      <c r="M5955" s="11" t="s">
        <v>66</v>
      </c>
      <c r="N5955" s="11" t="s">
        <v>80</v>
      </c>
      <c r="O5955" s="11" t="s">
        <v>2572</v>
      </c>
      <c r="P5955" s="11" t="s">
        <v>38</v>
      </c>
      <c r="Q5955" s="20">
        <v>40850.0</v>
      </c>
      <c r="R5955" s="17">
        <f t="shared" si="2"/>
        <v>280.395596</v>
      </c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>
        <f t="shared" si="8"/>
        <v>1</v>
      </c>
      <c r="AF5955" s="19">
        <f t="shared" si="13"/>
        <v>4</v>
      </c>
      <c r="AG5955" s="9"/>
      <c r="AH5955" s="9"/>
      <c r="AI5955" s="9"/>
    </row>
    <row r="5956" ht="15.0" customHeight="1">
      <c r="A5956" s="11">
        <v>5955.0</v>
      </c>
      <c r="B5956" s="12">
        <f t="shared" si="955"/>
        <v>40849</v>
      </c>
      <c r="C5956" s="13">
        <v>2011.0</v>
      </c>
      <c r="D5956" s="11" t="s">
        <v>23</v>
      </c>
      <c r="E5956" s="11">
        <v>21.0</v>
      </c>
      <c r="F5956" s="21" t="s">
        <v>256</v>
      </c>
      <c r="G5956" s="15">
        <v>0.07149664019547941</v>
      </c>
      <c r="H5956" s="11" t="s">
        <v>33</v>
      </c>
      <c r="I5956" s="16">
        <v>1.592</v>
      </c>
      <c r="J5956" s="11" t="s">
        <v>2528</v>
      </c>
      <c r="K5956" s="11" t="s">
        <v>61</v>
      </c>
      <c r="L5956" s="11" t="s">
        <v>48</v>
      </c>
      <c r="M5956" s="11" t="s">
        <v>66</v>
      </c>
      <c r="N5956" s="11" t="s">
        <v>67</v>
      </c>
      <c r="O5956" s="11" t="s">
        <v>2335</v>
      </c>
      <c r="P5956" s="11" t="s">
        <v>99</v>
      </c>
      <c r="Q5956" s="20">
        <v>40850.0</v>
      </c>
      <c r="R5956" s="17">
        <f t="shared" si="2"/>
        <v>21.73440665</v>
      </c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>
        <f t="shared" si="8"/>
        <v>4</v>
      </c>
      <c r="AF5956" s="19">
        <f t="shared" si="13"/>
        <v>4</v>
      </c>
      <c r="AG5956" s="9"/>
      <c r="AH5956" s="9"/>
      <c r="AI5956" s="9"/>
    </row>
    <row r="5957" ht="15.0" customHeight="1">
      <c r="A5957" s="11">
        <v>5956.0</v>
      </c>
      <c r="B5957" s="12">
        <f t="shared" si="955"/>
        <v>40849</v>
      </c>
      <c r="C5957" s="13">
        <v>2011.0</v>
      </c>
      <c r="D5957" s="11" t="s">
        <v>102</v>
      </c>
      <c r="E5957" s="11">
        <v>20.0</v>
      </c>
      <c r="F5957" s="21" t="s">
        <v>119</v>
      </c>
      <c r="G5957" s="15">
        <v>0.0516190476190476</v>
      </c>
      <c r="H5957" s="11" t="s">
        <v>24</v>
      </c>
      <c r="I5957" s="16">
        <v>3.8320000000000003</v>
      </c>
      <c r="J5957" s="11" t="s">
        <v>904</v>
      </c>
      <c r="K5957" s="11" t="s">
        <v>61</v>
      </c>
      <c r="L5957" s="11" t="s">
        <v>27</v>
      </c>
      <c r="M5957" s="11" t="s">
        <v>28</v>
      </c>
      <c r="N5957" s="11" t="s">
        <v>42</v>
      </c>
      <c r="O5957" s="11" t="s">
        <v>2257</v>
      </c>
      <c r="P5957" s="11" t="s">
        <v>38</v>
      </c>
      <c r="Q5957" s="20">
        <v>40851.0</v>
      </c>
      <c r="R5957" s="17">
        <f t="shared" si="2"/>
        <v>2.056089905</v>
      </c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>
        <f t="shared" si="8"/>
        <v>1</v>
      </c>
      <c r="AF5957" s="19">
        <f t="shared" si="13"/>
        <v>4</v>
      </c>
      <c r="AG5957" s="9"/>
      <c r="AH5957" s="9"/>
      <c r="AI5957" s="9"/>
    </row>
    <row r="5958" ht="15.0" customHeight="1">
      <c r="A5958" s="11">
        <v>5957.0</v>
      </c>
      <c r="B5958" s="12">
        <f t="shared" si="955"/>
        <v>40849</v>
      </c>
      <c r="C5958" s="13">
        <v>2011.0</v>
      </c>
      <c r="D5958" s="11" t="s">
        <v>39</v>
      </c>
      <c r="E5958" s="11">
        <v>30.0</v>
      </c>
      <c r="F5958" s="21" t="s">
        <v>805</v>
      </c>
      <c r="G5958" s="15">
        <v>0.021056995273241615</v>
      </c>
      <c r="H5958" s="11" t="s">
        <v>45</v>
      </c>
      <c r="I5958" s="16">
        <v>43.296</v>
      </c>
      <c r="J5958" s="11" t="s">
        <v>803</v>
      </c>
      <c r="K5958" s="11" t="s">
        <v>61</v>
      </c>
      <c r="L5958" s="11" t="s">
        <v>36</v>
      </c>
      <c r="M5958" s="11" t="s">
        <v>49</v>
      </c>
      <c r="N5958" s="11" t="s">
        <v>85</v>
      </c>
      <c r="O5958" s="11" t="s">
        <v>807</v>
      </c>
      <c r="P5958" s="11" t="s">
        <v>87</v>
      </c>
      <c r="Q5958" s="20">
        <v>40851.0</v>
      </c>
      <c r="R5958" s="17">
        <f t="shared" si="2"/>
        <v>187.9609727</v>
      </c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>
        <f t="shared" si="8"/>
        <v>2</v>
      </c>
      <c r="AF5958" s="19">
        <f t="shared" si="13"/>
        <v>4</v>
      </c>
      <c r="AG5958" s="9"/>
      <c r="AH5958" s="9"/>
      <c r="AI5958" s="9"/>
    </row>
    <row r="5959" ht="15.0" customHeight="1">
      <c r="A5959" s="11">
        <v>5958.0</v>
      </c>
      <c r="B5959" s="12">
        <f t="shared" si="955"/>
        <v>40849</v>
      </c>
      <c r="C5959" s="13">
        <v>2011.0</v>
      </c>
      <c r="D5959" s="11" t="s">
        <v>39</v>
      </c>
      <c r="E5959" s="11">
        <v>19.0</v>
      </c>
      <c r="F5959" s="21" t="s">
        <v>369</v>
      </c>
      <c r="G5959" s="15">
        <v>0.08057768762677477</v>
      </c>
      <c r="H5959" s="11" t="s">
        <v>45</v>
      </c>
      <c r="I5959" s="16">
        <v>29.288</v>
      </c>
      <c r="J5959" s="11" t="s">
        <v>803</v>
      </c>
      <c r="K5959" s="11" t="s">
        <v>61</v>
      </c>
      <c r="L5959" s="11" t="s">
        <v>36</v>
      </c>
      <c r="M5959" s="11" t="s">
        <v>49</v>
      </c>
      <c r="N5959" s="11" t="s">
        <v>156</v>
      </c>
      <c r="O5959" s="11" t="s">
        <v>1885</v>
      </c>
      <c r="P5959" s="11" t="s">
        <v>87</v>
      </c>
      <c r="Q5959" s="20">
        <v>40851.0</v>
      </c>
      <c r="R5959" s="17">
        <f t="shared" si="2"/>
        <v>91.30966869</v>
      </c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>
        <f t="shared" si="8"/>
        <v>2</v>
      </c>
      <c r="AF5959" s="19">
        <f t="shared" si="13"/>
        <v>4</v>
      </c>
      <c r="AG5959" s="9"/>
      <c r="AH5959" s="9"/>
      <c r="AI5959" s="9"/>
    </row>
    <row r="5960" ht="15.0" customHeight="1">
      <c r="A5960" s="11">
        <v>5959.0</v>
      </c>
      <c r="B5960" s="12">
        <f t="shared" ref="B5960:B5962" si="956">DATE(2012,12,31)-424</f>
        <v>40850</v>
      </c>
      <c r="C5960" s="13">
        <v>2011.0</v>
      </c>
      <c r="D5960" s="11" t="s">
        <v>23</v>
      </c>
      <c r="E5960" s="11">
        <v>11.0</v>
      </c>
      <c r="F5960" s="21" t="s">
        <v>473</v>
      </c>
      <c r="G5960" s="15">
        <v>0.015747684164093487</v>
      </c>
      <c r="H5960" s="11" t="s">
        <v>33</v>
      </c>
      <c r="I5960" s="16">
        <v>7.359999999999999</v>
      </c>
      <c r="J5960" s="11" t="s">
        <v>763</v>
      </c>
      <c r="K5960" s="11" t="s">
        <v>65</v>
      </c>
      <c r="L5960" s="11" t="s">
        <v>27</v>
      </c>
      <c r="M5960" s="11" t="s">
        <v>49</v>
      </c>
      <c r="N5960" s="11" t="s">
        <v>73</v>
      </c>
      <c r="O5960" s="11" t="s">
        <v>1836</v>
      </c>
      <c r="P5960" s="11" t="s">
        <v>58</v>
      </c>
      <c r="Q5960" s="20">
        <v>40851.0</v>
      </c>
      <c r="R5960" s="17">
        <f t="shared" si="2"/>
        <v>7.027561535</v>
      </c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>
        <f t="shared" si="8"/>
        <v>1</v>
      </c>
      <c r="AF5960" s="19">
        <f t="shared" si="13"/>
        <v>5</v>
      </c>
      <c r="AG5960" s="9"/>
      <c r="AH5960" s="9"/>
      <c r="AI5960" s="9"/>
    </row>
    <row r="5961" ht="15.0" customHeight="1">
      <c r="A5961" s="11">
        <v>5960.0</v>
      </c>
      <c r="B5961" s="12">
        <f t="shared" si="956"/>
        <v>40850</v>
      </c>
      <c r="C5961" s="13">
        <v>2011.0</v>
      </c>
      <c r="D5961" s="11" t="s">
        <v>39</v>
      </c>
      <c r="E5961" s="11">
        <v>13.0</v>
      </c>
      <c r="F5961" s="21" t="s">
        <v>270</v>
      </c>
      <c r="G5961" s="15">
        <v>0.07042263239606704</v>
      </c>
      <c r="H5961" s="11" t="s">
        <v>33</v>
      </c>
      <c r="I5961" s="16">
        <v>7.176000000000001</v>
      </c>
      <c r="J5961" s="11" t="s">
        <v>2079</v>
      </c>
      <c r="K5961" s="11" t="s">
        <v>61</v>
      </c>
      <c r="L5961" s="11" t="s">
        <v>48</v>
      </c>
      <c r="M5961" s="11" t="s">
        <v>66</v>
      </c>
      <c r="N5961" s="11" t="s">
        <v>69</v>
      </c>
      <c r="O5961" s="11" t="s">
        <v>2339</v>
      </c>
      <c r="P5961" s="11" t="s">
        <v>38</v>
      </c>
      <c r="Q5961" s="20">
        <v>40851.0</v>
      </c>
      <c r="R5961" s="17">
        <f t="shared" si="2"/>
        <v>37.94906646</v>
      </c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>
        <f t="shared" si="8"/>
        <v>4</v>
      </c>
      <c r="AF5961" s="19">
        <f t="shared" si="13"/>
        <v>4</v>
      </c>
      <c r="AG5961" s="9"/>
      <c r="AH5961" s="9"/>
      <c r="AI5961" s="9"/>
    </row>
    <row r="5962" ht="15.0" customHeight="1">
      <c r="A5962" s="11">
        <v>5961.0</v>
      </c>
      <c r="B5962" s="12">
        <f t="shared" si="956"/>
        <v>40850</v>
      </c>
      <c r="C5962" s="13">
        <v>2011.0</v>
      </c>
      <c r="D5962" s="11" t="s">
        <v>39</v>
      </c>
      <c r="E5962" s="11">
        <v>22.0</v>
      </c>
      <c r="F5962" s="21" t="s">
        <v>137</v>
      </c>
      <c r="G5962" s="15">
        <v>0.04902180116425063</v>
      </c>
      <c r="H5962" s="11" t="s">
        <v>45</v>
      </c>
      <c r="I5962" s="16">
        <v>12.808000000000002</v>
      </c>
      <c r="J5962" s="11" t="s">
        <v>2490</v>
      </c>
      <c r="K5962" s="11" t="s">
        <v>65</v>
      </c>
      <c r="L5962" s="11" t="s">
        <v>36</v>
      </c>
      <c r="M5962" s="11" t="s">
        <v>49</v>
      </c>
      <c r="N5962" s="11" t="s">
        <v>85</v>
      </c>
      <c r="O5962" s="11" t="s">
        <v>127</v>
      </c>
      <c r="P5962" s="11" t="s">
        <v>87</v>
      </c>
      <c r="Q5962" s="20">
        <v>40852.0</v>
      </c>
      <c r="R5962" s="17">
        <f t="shared" si="2"/>
        <v>163.3704467</v>
      </c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>
        <f t="shared" si="8"/>
        <v>2</v>
      </c>
      <c r="AF5962" s="19">
        <f t="shared" si="13"/>
        <v>5</v>
      </c>
      <c r="AG5962" s="9"/>
      <c r="AH5962" s="9"/>
      <c r="AI5962" s="9"/>
    </row>
    <row r="5963" ht="15.0" customHeight="1">
      <c r="A5963" s="11">
        <v>5962.0</v>
      </c>
      <c r="B5963" s="12">
        <f t="shared" ref="B5963:B5967" si="957">DATE(2012,12,31)-422</f>
        <v>40852</v>
      </c>
      <c r="C5963" s="13">
        <v>2011.0</v>
      </c>
      <c r="D5963" s="11" t="s">
        <v>23</v>
      </c>
      <c r="E5963" s="11">
        <v>9.0</v>
      </c>
      <c r="F5963" s="21" t="s">
        <v>782</v>
      </c>
      <c r="G5963" s="15">
        <v>0.08652650021901015</v>
      </c>
      <c r="H5963" s="11" t="s">
        <v>33</v>
      </c>
      <c r="I5963" s="16">
        <v>3.9920000000000004</v>
      </c>
      <c r="J5963" s="11" t="s">
        <v>1984</v>
      </c>
      <c r="K5963" s="11" t="s">
        <v>61</v>
      </c>
      <c r="L5963" s="11" t="s">
        <v>41</v>
      </c>
      <c r="M5963" s="11" t="s">
        <v>66</v>
      </c>
      <c r="N5963" s="11" t="s">
        <v>80</v>
      </c>
      <c r="O5963" s="11" t="s">
        <v>783</v>
      </c>
      <c r="P5963" s="11" t="s">
        <v>38</v>
      </c>
      <c r="Q5963" s="20">
        <v>40852.0</v>
      </c>
      <c r="R5963" s="17">
        <f t="shared" si="2"/>
        <v>36.08951103</v>
      </c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>
        <f t="shared" si="8"/>
        <v>3</v>
      </c>
      <c r="AF5963" s="19">
        <f t="shared" si="13"/>
        <v>4</v>
      </c>
      <c r="AG5963" s="9"/>
      <c r="AH5963" s="9"/>
      <c r="AI5963" s="9"/>
    </row>
    <row r="5964" ht="15.0" customHeight="1">
      <c r="A5964" s="11">
        <v>5963.0</v>
      </c>
      <c r="B5964" s="12">
        <f t="shared" si="957"/>
        <v>40852</v>
      </c>
      <c r="C5964" s="13">
        <v>2011.0</v>
      </c>
      <c r="D5964" s="11" t="s">
        <v>23</v>
      </c>
      <c r="E5964" s="11">
        <v>10.0</v>
      </c>
      <c r="F5964" s="21" t="s">
        <v>186</v>
      </c>
      <c r="G5964" s="15">
        <v>0.12361581920903955</v>
      </c>
      <c r="H5964" s="11" t="s">
        <v>33</v>
      </c>
      <c r="I5964" s="16">
        <v>5.5360000000000005</v>
      </c>
      <c r="J5964" s="11" t="s">
        <v>1048</v>
      </c>
      <c r="K5964" s="11" t="s">
        <v>65</v>
      </c>
      <c r="L5964" s="11" t="s">
        <v>48</v>
      </c>
      <c r="M5964" s="11" t="s">
        <v>49</v>
      </c>
      <c r="N5964" s="11" t="s">
        <v>73</v>
      </c>
      <c r="O5964" s="11" t="s">
        <v>2344</v>
      </c>
      <c r="P5964" s="11" t="s">
        <v>38</v>
      </c>
      <c r="Q5964" s="20">
        <v>40853.0</v>
      </c>
      <c r="R5964" s="17">
        <f t="shared" si="2"/>
        <v>5.752585763</v>
      </c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>
        <f t="shared" si="8"/>
        <v>4</v>
      </c>
      <c r="AF5964" s="19">
        <f t="shared" si="13"/>
        <v>5</v>
      </c>
      <c r="AG5964" s="9"/>
      <c r="AH5964" s="9"/>
      <c r="AI5964" s="9"/>
    </row>
    <row r="5965" ht="15.0" customHeight="1">
      <c r="A5965" s="11">
        <v>5964.0</v>
      </c>
      <c r="B5965" s="12">
        <f t="shared" si="957"/>
        <v>40852</v>
      </c>
      <c r="C5965" s="13">
        <v>2011.0</v>
      </c>
      <c r="D5965" s="11" t="s">
        <v>32</v>
      </c>
      <c r="E5965" s="11">
        <v>48.0</v>
      </c>
      <c r="F5965" s="21" t="s">
        <v>610</v>
      </c>
      <c r="G5965" s="15">
        <v>0.04649765864685944</v>
      </c>
      <c r="H5965" s="11" t="s">
        <v>33</v>
      </c>
      <c r="I5965" s="16">
        <v>4.904</v>
      </c>
      <c r="J5965" s="11" t="s">
        <v>1884</v>
      </c>
      <c r="K5965" s="11" t="s">
        <v>117</v>
      </c>
      <c r="L5965" s="11" t="s">
        <v>36</v>
      </c>
      <c r="M5965" s="11" t="s">
        <v>28</v>
      </c>
      <c r="N5965" s="11" t="s">
        <v>29</v>
      </c>
      <c r="O5965" s="11" t="s">
        <v>1969</v>
      </c>
      <c r="P5965" s="11" t="s">
        <v>38</v>
      </c>
      <c r="Q5965" s="20">
        <v>40853.0</v>
      </c>
      <c r="R5965" s="17">
        <f t="shared" si="2"/>
        <v>27.45705342</v>
      </c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>
        <f t="shared" si="8"/>
        <v>2</v>
      </c>
      <c r="AF5965" s="19" t="b">
        <f t="shared" si="13"/>
        <v>0</v>
      </c>
      <c r="AG5965" s="9"/>
      <c r="AH5965" s="9"/>
      <c r="AI5965" s="9"/>
    </row>
    <row r="5966" ht="15.0" customHeight="1">
      <c r="A5966" s="11">
        <v>5965.0</v>
      </c>
      <c r="B5966" s="12">
        <f t="shared" si="957"/>
        <v>40852</v>
      </c>
      <c r="C5966" s="13">
        <v>2011.0</v>
      </c>
      <c r="D5966" s="11" t="s">
        <v>32</v>
      </c>
      <c r="E5966" s="11">
        <v>45.0</v>
      </c>
      <c r="F5966" s="21" t="s">
        <v>1097</v>
      </c>
      <c r="G5966" s="15">
        <v>0.03000221418554882</v>
      </c>
      <c r="H5966" s="11" t="s">
        <v>45</v>
      </c>
      <c r="I5966" s="16">
        <v>48.0</v>
      </c>
      <c r="J5966" s="11" t="s">
        <v>1884</v>
      </c>
      <c r="K5966" s="11" t="s">
        <v>117</v>
      </c>
      <c r="L5966" s="11" t="s">
        <v>36</v>
      </c>
      <c r="M5966" s="11" t="s">
        <v>49</v>
      </c>
      <c r="N5966" s="11" t="s">
        <v>85</v>
      </c>
      <c r="O5966" s="11" t="s">
        <v>1098</v>
      </c>
      <c r="P5966" s="11" t="s">
        <v>52</v>
      </c>
      <c r="Q5966" s="20">
        <v>40854.0</v>
      </c>
      <c r="R5966" s="17">
        <f t="shared" si="2"/>
        <v>473.1649199</v>
      </c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>
        <f t="shared" si="8"/>
        <v>2</v>
      </c>
      <c r="AF5966" s="19" t="b">
        <f t="shared" si="13"/>
        <v>0</v>
      </c>
      <c r="AG5966" s="9"/>
      <c r="AH5966" s="9"/>
      <c r="AI5966" s="9"/>
    </row>
    <row r="5967" ht="15.0" customHeight="1">
      <c r="A5967" s="11">
        <v>5966.0</v>
      </c>
      <c r="B5967" s="12">
        <f t="shared" si="957"/>
        <v>40852</v>
      </c>
      <c r="C5967" s="13">
        <v>2011.0</v>
      </c>
      <c r="D5967" s="11" t="s">
        <v>32</v>
      </c>
      <c r="E5967" s="11">
        <v>14.0</v>
      </c>
      <c r="F5967" s="21" t="s">
        <v>521</v>
      </c>
      <c r="G5967" s="15">
        <v>0.08684475688342129</v>
      </c>
      <c r="H5967" s="11" t="s">
        <v>45</v>
      </c>
      <c r="I5967" s="16">
        <v>55.712</v>
      </c>
      <c r="J5967" s="11" t="s">
        <v>375</v>
      </c>
      <c r="K5967" s="11" t="s">
        <v>65</v>
      </c>
      <c r="L5967" s="11" t="s">
        <v>36</v>
      </c>
      <c r="M5967" s="11" t="s">
        <v>49</v>
      </c>
      <c r="N5967" s="11" t="s">
        <v>85</v>
      </c>
      <c r="O5967" s="11" t="s">
        <v>522</v>
      </c>
      <c r="P5967" s="11" t="s">
        <v>87</v>
      </c>
      <c r="Q5967" s="20">
        <v>40854.0</v>
      </c>
      <c r="R5967" s="17">
        <f t="shared" si="2"/>
        <v>270.7395717</v>
      </c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>
        <f t="shared" si="8"/>
        <v>2</v>
      </c>
      <c r="AF5967" s="19">
        <f t="shared" si="13"/>
        <v>5</v>
      </c>
      <c r="AG5967" s="9"/>
      <c r="AH5967" s="9"/>
      <c r="AI5967" s="9"/>
    </row>
    <row r="5968" ht="15.0" customHeight="1">
      <c r="A5968" s="11">
        <v>5967.0</v>
      </c>
      <c r="B5968" s="12">
        <f t="shared" ref="B5968:B5970" si="958">DATE(2012,12,31)-421</f>
        <v>40853</v>
      </c>
      <c r="C5968" s="13">
        <v>2011.0</v>
      </c>
      <c r="D5968" s="11" t="s">
        <v>102</v>
      </c>
      <c r="E5968" s="11">
        <v>35.0</v>
      </c>
      <c r="F5968" s="21" t="s">
        <v>1746</v>
      </c>
      <c r="G5968" s="15">
        <v>0.07716129032258065</v>
      </c>
      <c r="H5968" s="11" t="s">
        <v>45</v>
      </c>
      <c r="I5968" s="16">
        <v>48.0</v>
      </c>
      <c r="J5968" s="11" t="s">
        <v>1472</v>
      </c>
      <c r="K5968" s="11" t="s">
        <v>83</v>
      </c>
      <c r="L5968" s="11" t="s">
        <v>27</v>
      </c>
      <c r="M5968" s="11" t="s">
        <v>49</v>
      </c>
      <c r="N5968" s="11" t="s">
        <v>85</v>
      </c>
      <c r="O5968" s="11" t="s">
        <v>2337</v>
      </c>
      <c r="P5968" s="11" t="s">
        <v>52</v>
      </c>
      <c r="Q5968" s="20">
        <v>40854.0</v>
      </c>
      <c r="R5968" s="17">
        <f t="shared" si="2"/>
        <v>275.9287742</v>
      </c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>
        <f t="shared" si="8"/>
        <v>1</v>
      </c>
      <c r="AF5968" s="19" t="b">
        <f t="shared" si="13"/>
        <v>0</v>
      </c>
      <c r="AG5968" s="9"/>
      <c r="AH5968" s="9"/>
      <c r="AI5968" s="9"/>
    </row>
    <row r="5969" ht="15.0" customHeight="1">
      <c r="A5969" s="11">
        <v>5968.0</v>
      </c>
      <c r="B5969" s="12">
        <f t="shared" si="958"/>
        <v>40853</v>
      </c>
      <c r="C5969" s="13">
        <v>2011.0</v>
      </c>
      <c r="D5969" s="11" t="s">
        <v>39</v>
      </c>
      <c r="E5969" s="11">
        <v>20.0</v>
      </c>
      <c r="F5969" s="21" t="s">
        <v>299</v>
      </c>
      <c r="G5969" s="15">
        <v>0.07788484136310224</v>
      </c>
      <c r="H5969" s="11" t="s">
        <v>33</v>
      </c>
      <c r="I5969" s="16">
        <v>2.9440000000000004</v>
      </c>
      <c r="J5969" s="11" t="s">
        <v>1657</v>
      </c>
      <c r="K5969" s="11" t="s">
        <v>61</v>
      </c>
      <c r="L5969" s="11" t="s">
        <v>48</v>
      </c>
      <c r="M5969" s="11" t="s">
        <v>49</v>
      </c>
      <c r="N5969" s="11" t="s">
        <v>73</v>
      </c>
      <c r="O5969" s="11" t="s">
        <v>1949</v>
      </c>
      <c r="P5969" s="11" t="s">
        <v>58</v>
      </c>
      <c r="Q5969" s="20">
        <v>40854.0</v>
      </c>
      <c r="R5969" s="17">
        <f t="shared" si="2"/>
        <v>12.22355854</v>
      </c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>
        <f t="shared" si="8"/>
        <v>4</v>
      </c>
      <c r="AF5969" s="19">
        <f t="shared" si="13"/>
        <v>4</v>
      </c>
      <c r="AG5969" s="9"/>
      <c r="AH5969" s="9"/>
      <c r="AI5969" s="9"/>
    </row>
    <row r="5970" ht="15.0" customHeight="1">
      <c r="A5970" s="11">
        <v>5969.0</v>
      </c>
      <c r="B5970" s="12">
        <f t="shared" si="958"/>
        <v>40853</v>
      </c>
      <c r="C5970" s="13">
        <v>2011.0</v>
      </c>
      <c r="D5970" s="11" t="s">
        <v>23</v>
      </c>
      <c r="E5970" s="11">
        <v>26.0</v>
      </c>
      <c r="F5970" s="21" t="s">
        <v>933</v>
      </c>
      <c r="G5970" s="15">
        <v>0.0670344473667331</v>
      </c>
      <c r="H5970" s="11" t="s">
        <v>33</v>
      </c>
      <c r="I5970" s="16">
        <v>1.0</v>
      </c>
      <c r="J5970" s="11" t="s">
        <v>1384</v>
      </c>
      <c r="K5970" s="11" t="s">
        <v>35</v>
      </c>
      <c r="L5970" s="11" t="s">
        <v>36</v>
      </c>
      <c r="M5970" s="11" t="s">
        <v>66</v>
      </c>
      <c r="N5970" s="11" t="s">
        <v>80</v>
      </c>
      <c r="O5970" s="11" t="s">
        <v>1275</v>
      </c>
      <c r="P5970" s="11" t="s">
        <v>99</v>
      </c>
      <c r="Q5970" s="20">
        <v>40855.0</v>
      </c>
      <c r="R5970" s="17">
        <f t="shared" si="2"/>
        <v>97.49490025</v>
      </c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>
        <f t="shared" si="8"/>
        <v>2</v>
      </c>
      <c r="AF5970" s="19">
        <f t="shared" si="13"/>
        <v>2</v>
      </c>
      <c r="AG5970" s="9"/>
      <c r="AH5970" s="9"/>
      <c r="AI5970" s="9"/>
    </row>
    <row r="5971" ht="15.0" customHeight="1">
      <c r="A5971" s="11">
        <v>5970.0</v>
      </c>
      <c r="B5971" s="12">
        <f t="shared" ref="B5971:B5976" si="959">DATE(2012,12,31)-420</f>
        <v>40854</v>
      </c>
      <c r="C5971" s="13">
        <v>2011.0</v>
      </c>
      <c r="D5971" s="11" t="s">
        <v>102</v>
      </c>
      <c r="E5971" s="11">
        <v>41.0</v>
      </c>
      <c r="F5971" s="21" t="s">
        <v>234</v>
      </c>
      <c r="G5971" s="15">
        <v>0.010670449675636481</v>
      </c>
      <c r="H5971" s="11" t="s">
        <v>33</v>
      </c>
      <c r="I5971" s="16">
        <v>15.991999999999999</v>
      </c>
      <c r="J5971" s="11" t="s">
        <v>657</v>
      </c>
      <c r="K5971" s="11" t="s">
        <v>47</v>
      </c>
      <c r="L5971" s="11" t="s">
        <v>41</v>
      </c>
      <c r="M5971" s="11" t="s">
        <v>28</v>
      </c>
      <c r="N5971" s="11" t="s">
        <v>236</v>
      </c>
      <c r="O5971" s="11" t="s">
        <v>237</v>
      </c>
      <c r="P5971" s="11" t="s">
        <v>38</v>
      </c>
      <c r="Q5971" s="20">
        <v>40855.0</v>
      </c>
      <c r="R5971" s="17">
        <f t="shared" si="2"/>
        <v>71.43750817</v>
      </c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>
        <f t="shared" si="8"/>
        <v>3</v>
      </c>
      <c r="AF5971" s="19">
        <f t="shared" si="13"/>
        <v>3</v>
      </c>
      <c r="AG5971" s="9"/>
      <c r="AH5971" s="9"/>
      <c r="AI5971" s="9"/>
    </row>
    <row r="5972" ht="15.0" customHeight="1">
      <c r="A5972" s="11">
        <v>5971.0</v>
      </c>
      <c r="B5972" s="12">
        <f t="shared" si="959"/>
        <v>40854</v>
      </c>
      <c r="C5972" s="13">
        <v>2011.0</v>
      </c>
      <c r="D5972" s="11" t="s">
        <v>44</v>
      </c>
      <c r="E5972" s="11">
        <v>9.0</v>
      </c>
      <c r="F5972" s="21" t="s">
        <v>1646</v>
      </c>
      <c r="G5972" s="15">
        <v>0.05587767584097874</v>
      </c>
      <c r="H5972" s="11" t="s">
        <v>33</v>
      </c>
      <c r="I5972" s="16">
        <v>4.064</v>
      </c>
      <c r="J5972" s="11" t="s">
        <v>1716</v>
      </c>
      <c r="K5972" s="11" t="s">
        <v>65</v>
      </c>
      <c r="L5972" s="11" t="s">
        <v>27</v>
      </c>
      <c r="M5972" s="11" t="s">
        <v>28</v>
      </c>
      <c r="N5972" s="11" t="s">
        <v>42</v>
      </c>
      <c r="O5972" s="11" t="s">
        <v>2503</v>
      </c>
      <c r="P5972" s="11" t="s">
        <v>38</v>
      </c>
      <c r="Q5972" s="20">
        <v>40855.0</v>
      </c>
      <c r="R5972" s="17">
        <f t="shared" si="2"/>
        <v>8.625501554</v>
      </c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>
        <f t="shared" si="8"/>
        <v>1</v>
      </c>
      <c r="AF5972" s="19">
        <f t="shared" si="13"/>
        <v>5</v>
      </c>
      <c r="AG5972" s="9"/>
      <c r="AH5972" s="9"/>
      <c r="AI5972" s="9"/>
    </row>
    <row r="5973" ht="15.0" customHeight="1">
      <c r="A5973" s="11">
        <v>5972.0</v>
      </c>
      <c r="B5973" s="12">
        <f t="shared" si="959"/>
        <v>40854</v>
      </c>
      <c r="C5973" s="13">
        <v>2011.0</v>
      </c>
      <c r="D5973" s="11" t="s">
        <v>32</v>
      </c>
      <c r="E5973" s="11">
        <v>32.0</v>
      </c>
      <c r="F5973" s="21" t="s">
        <v>983</v>
      </c>
      <c r="G5973" s="15">
        <v>0.08703886152162008</v>
      </c>
      <c r="H5973" s="11" t="s">
        <v>33</v>
      </c>
      <c r="I5973" s="16">
        <v>1.592</v>
      </c>
      <c r="J5973" s="11" t="s">
        <v>2528</v>
      </c>
      <c r="K5973" s="11" t="s">
        <v>61</v>
      </c>
      <c r="L5973" s="11" t="s">
        <v>48</v>
      </c>
      <c r="M5973" s="11" t="s">
        <v>66</v>
      </c>
      <c r="N5973" s="11" t="s">
        <v>67</v>
      </c>
      <c r="O5973" s="11" t="s">
        <v>2051</v>
      </c>
      <c r="P5973" s="11" t="s">
        <v>99</v>
      </c>
      <c r="Q5973" s="20">
        <v>40855.0</v>
      </c>
      <c r="R5973" s="17">
        <f t="shared" si="2"/>
        <v>58.0716321</v>
      </c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>
        <f t="shared" si="8"/>
        <v>4</v>
      </c>
      <c r="AF5973" s="19">
        <f t="shared" si="13"/>
        <v>4</v>
      </c>
      <c r="AG5973" s="9"/>
      <c r="AH5973" s="9"/>
      <c r="AI5973" s="9"/>
    </row>
    <row r="5974" ht="15.0" customHeight="1">
      <c r="A5974" s="11">
        <v>5973.0</v>
      </c>
      <c r="B5974" s="12">
        <f t="shared" si="959"/>
        <v>40854</v>
      </c>
      <c r="C5974" s="13">
        <v>2011.0</v>
      </c>
      <c r="D5974" s="11" t="s">
        <v>39</v>
      </c>
      <c r="E5974" s="11">
        <v>26.0</v>
      </c>
      <c r="F5974" s="21" t="s">
        <v>503</v>
      </c>
      <c r="G5974" s="15">
        <v>0.04799587683967391</v>
      </c>
      <c r="H5974" s="11" t="s">
        <v>33</v>
      </c>
      <c r="I5974" s="16">
        <v>19.592</v>
      </c>
      <c r="J5974" s="11" t="s">
        <v>588</v>
      </c>
      <c r="K5974" s="11" t="s">
        <v>47</v>
      </c>
      <c r="L5974" s="11" t="s">
        <v>41</v>
      </c>
      <c r="M5974" s="11" t="s">
        <v>66</v>
      </c>
      <c r="N5974" s="11" t="s">
        <v>69</v>
      </c>
      <c r="O5974" s="11" t="s">
        <v>70</v>
      </c>
      <c r="P5974" s="11" t="s">
        <v>31</v>
      </c>
      <c r="Q5974" s="20">
        <v>40856.0</v>
      </c>
      <c r="R5974" s="17">
        <f t="shared" si="2"/>
        <v>718.1043261</v>
      </c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>
        <f t="shared" si="8"/>
        <v>3</v>
      </c>
      <c r="AF5974" s="19">
        <f t="shared" si="13"/>
        <v>3</v>
      </c>
      <c r="AG5974" s="9"/>
      <c r="AH5974" s="9"/>
      <c r="AI5974" s="9"/>
    </row>
    <row r="5975" ht="15.0" customHeight="1">
      <c r="A5975" s="11">
        <v>5974.0</v>
      </c>
      <c r="B5975" s="12">
        <f t="shared" si="959"/>
        <v>40854</v>
      </c>
      <c r="C5975" s="13">
        <v>2011.0</v>
      </c>
      <c r="D5975" s="11" t="s">
        <v>39</v>
      </c>
      <c r="E5975" s="11">
        <v>18.0</v>
      </c>
      <c r="F5975" s="21" t="s">
        <v>306</v>
      </c>
      <c r="G5975" s="15">
        <v>0.04416820946839472</v>
      </c>
      <c r="H5975" s="11" t="s">
        <v>24</v>
      </c>
      <c r="I5975" s="16">
        <v>3.2</v>
      </c>
      <c r="J5975" s="11" t="s">
        <v>2058</v>
      </c>
      <c r="K5975" s="11" t="s">
        <v>83</v>
      </c>
      <c r="L5975" s="11" t="s">
        <v>27</v>
      </c>
      <c r="M5975" s="11" t="s">
        <v>66</v>
      </c>
      <c r="N5975" s="11" t="s">
        <v>67</v>
      </c>
      <c r="O5975" s="11" t="s">
        <v>920</v>
      </c>
      <c r="P5975" s="11" t="s">
        <v>38</v>
      </c>
      <c r="Q5975" s="20">
        <v>40856.0</v>
      </c>
      <c r="R5975" s="17">
        <f t="shared" si="2"/>
        <v>15.9623909</v>
      </c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>
        <f t="shared" si="8"/>
        <v>1</v>
      </c>
      <c r="AF5975" s="19" t="b">
        <f t="shared" si="13"/>
        <v>0</v>
      </c>
      <c r="AG5975" s="9"/>
      <c r="AH5975" s="9"/>
      <c r="AI5975" s="9"/>
    </row>
    <row r="5976" ht="15.0" customHeight="1">
      <c r="A5976" s="11">
        <v>5975.0</v>
      </c>
      <c r="B5976" s="12">
        <f t="shared" si="959"/>
        <v>40854</v>
      </c>
      <c r="C5976" s="13">
        <v>2011.0</v>
      </c>
      <c r="D5976" s="11" t="s">
        <v>39</v>
      </c>
      <c r="E5976" s="11">
        <v>46.0</v>
      </c>
      <c r="F5976" s="21" t="s">
        <v>1219</v>
      </c>
      <c r="G5976" s="15">
        <v>0.08506907181185061</v>
      </c>
      <c r="H5976" s="11" t="s">
        <v>33</v>
      </c>
      <c r="I5976" s="16">
        <v>6.5760000000000005</v>
      </c>
      <c r="J5976" s="11" t="s">
        <v>2058</v>
      </c>
      <c r="K5976" s="11" t="s">
        <v>83</v>
      </c>
      <c r="L5976" s="11" t="s">
        <v>27</v>
      </c>
      <c r="M5976" s="11" t="s">
        <v>28</v>
      </c>
      <c r="N5976" s="11" t="s">
        <v>29</v>
      </c>
      <c r="O5976" s="11" t="s">
        <v>1735</v>
      </c>
      <c r="P5976" s="11" t="s">
        <v>38</v>
      </c>
      <c r="Q5976" s="20">
        <v>40856.0</v>
      </c>
      <c r="R5976" s="17">
        <f t="shared" si="2"/>
        <v>136.3466666</v>
      </c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>
        <f t="shared" si="8"/>
        <v>1</v>
      </c>
      <c r="AF5976" s="19" t="b">
        <f t="shared" si="13"/>
        <v>0</v>
      </c>
      <c r="AG5976" s="9"/>
      <c r="AH5976" s="9"/>
      <c r="AI5976" s="9"/>
    </row>
    <row r="5977" ht="15.0" customHeight="1">
      <c r="A5977" s="11">
        <v>5976.0</v>
      </c>
      <c r="B5977" s="12">
        <f t="shared" ref="B5977:B5982" si="960">DATE(2012,12,31)-419</f>
        <v>40855</v>
      </c>
      <c r="C5977" s="13">
        <v>2011.0</v>
      </c>
      <c r="D5977" s="11" t="s">
        <v>39</v>
      </c>
      <c r="E5977" s="11">
        <v>33.0</v>
      </c>
      <c r="F5977" s="21" t="s">
        <v>629</v>
      </c>
      <c r="G5977" s="15">
        <v>0.08351777207768404</v>
      </c>
      <c r="H5977" s="11" t="s">
        <v>33</v>
      </c>
      <c r="I5977" s="16">
        <v>9.208</v>
      </c>
      <c r="J5977" s="11" t="s">
        <v>855</v>
      </c>
      <c r="K5977" s="11" t="s">
        <v>26</v>
      </c>
      <c r="L5977" s="11" t="s">
        <v>36</v>
      </c>
      <c r="M5977" s="11" t="s">
        <v>28</v>
      </c>
      <c r="N5977" s="11" t="s">
        <v>42</v>
      </c>
      <c r="O5977" s="11" t="s">
        <v>1041</v>
      </c>
      <c r="P5977" s="11" t="s">
        <v>38</v>
      </c>
      <c r="Q5977" s="20">
        <v>40856.0</v>
      </c>
      <c r="R5977" s="17">
        <f t="shared" si="2"/>
        <v>20.88846294</v>
      </c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>
        <f t="shared" si="8"/>
        <v>2</v>
      </c>
      <c r="AF5977" s="19">
        <f t="shared" si="13"/>
        <v>1</v>
      </c>
      <c r="AG5977" s="9"/>
      <c r="AH5977" s="9"/>
      <c r="AI5977" s="9"/>
    </row>
    <row r="5978" ht="15.0" customHeight="1">
      <c r="A5978" s="11">
        <v>5977.0</v>
      </c>
      <c r="B5978" s="12">
        <f t="shared" si="960"/>
        <v>40855</v>
      </c>
      <c r="C5978" s="13">
        <v>2011.0</v>
      </c>
      <c r="D5978" s="11" t="s">
        <v>39</v>
      </c>
      <c r="E5978" s="11">
        <v>24.0</v>
      </c>
      <c r="F5978" s="21" t="s">
        <v>1437</v>
      </c>
      <c r="G5978" s="15">
        <v>0.07618371148665855</v>
      </c>
      <c r="H5978" s="11" t="s">
        <v>45</v>
      </c>
      <c r="I5978" s="16">
        <v>55.64</v>
      </c>
      <c r="J5978" s="11" t="s">
        <v>855</v>
      </c>
      <c r="K5978" s="11" t="s">
        <v>26</v>
      </c>
      <c r="L5978" s="11" t="s">
        <v>36</v>
      </c>
      <c r="M5978" s="11" t="s">
        <v>49</v>
      </c>
      <c r="N5978" s="11" t="s">
        <v>50</v>
      </c>
      <c r="O5978" s="11" t="s">
        <v>1438</v>
      </c>
      <c r="P5978" s="11" t="s">
        <v>52</v>
      </c>
      <c r="Q5978" s="20">
        <v>40856.0</v>
      </c>
      <c r="R5978" s="17">
        <f t="shared" si="2"/>
        <v>525.1526074</v>
      </c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>
        <f t="shared" si="8"/>
        <v>2</v>
      </c>
      <c r="AF5978" s="19">
        <f t="shared" si="13"/>
        <v>1</v>
      </c>
      <c r="AG5978" s="9"/>
      <c r="AH5978" s="9"/>
      <c r="AI5978" s="9"/>
    </row>
    <row r="5979" ht="15.0" customHeight="1">
      <c r="A5979" s="11">
        <v>5978.0</v>
      </c>
      <c r="B5979" s="12">
        <f t="shared" si="960"/>
        <v>40855</v>
      </c>
      <c r="C5979" s="13">
        <v>2011.0</v>
      </c>
      <c r="D5979" s="11" t="s">
        <v>44</v>
      </c>
      <c r="E5979" s="11">
        <v>16.0</v>
      </c>
      <c r="F5979" s="21" t="s">
        <v>264</v>
      </c>
      <c r="G5979" s="15">
        <v>0.04419618528610373</v>
      </c>
      <c r="H5979" s="11" t="s">
        <v>33</v>
      </c>
      <c r="I5979" s="16">
        <v>1.1119999999999999</v>
      </c>
      <c r="J5979" s="11" t="s">
        <v>1725</v>
      </c>
      <c r="K5979" s="11" t="s">
        <v>61</v>
      </c>
      <c r="L5979" s="11" t="s">
        <v>48</v>
      </c>
      <c r="M5979" s="11" t="s">
        <v>28</v>
      </c>
      <c r="N5979" s="11" t="s">
        <v>236</v>
      </c>
      <c r="O5979" s="11" t="s">
        <v>265</v>
      </c>
      <c r="P5979" s="11" t="s">
        <v>38</v>
      </c>
      <c r="Q5979" s="20">
        <v>40857.0</v>
      </c>
      <c r="R5979" s="17">
        <f t="shared" si="2"/>
        <v>6.20125515</v>
      </c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>
        <f t="shared" si="8"/>
        <v>4</v>
      </c>
      <c r="AF5979" s="19">
        <f t="shared" si="13"/>
        <v>4</v>
      </c>
      <c r="AG5979" s="9"/>
      <c r="AH5979" s="9"/>
      <c r="AI5979" s="9"/>
    </row>
    <row r="5980" ht="15.0" customHeight="1">
      <c r="A5980" s="11">
        <v>5979.0</v>
      </c>
      <c r="B5980" s="12">
        <f t="shared" si="960"/>
        <v>40855</v>
      </c>
      <c r="C5980" s="13">
        <v>2011.0</v>
      </c>
      <c r="D5980" s="11" t="s">
        <v>44</v>
      </c>
      <c r="E5980" s="11">
        <v>39.0</v>
      </c>
      <c r="F5980" s="21" t="s">
        <v>1015</v>
      </c>
      <c r="G5980" s="15">
        <v>0.10914330218068533</v>
      </c>
      <c r="H5980" s="11" t="s">
        <v>33</v>
      </c>
      <c r="I5980" s="16">
        <v>6.472</v>
      </c>
      <c r="J5980" s="11" t="s">
        <v>1725</v>
      </c>
      <c r="K5980" s="11" t="s">
        <v>61</v>
      </c>
      <c r="L5980" s="11" t="s">
        <v>48</v>
      </c>
      <c r="M5980" s="11" t="s">
        <v>28</v>
      </c>
      <c r="N5980" s="11" t="s">
        <v>56</v>
      </c>
      <c r="O5980" s="11" t="s">
        <v>2137</v>
      </c>
      <c r="P5980" s="11" t="s">
        <v>38</v>
      </c>
      <c r="Q5980" s="20">
        <v>40858.0</v>
      </c>
      <c r="R5980" s="17">
        <f t="shared" si="2"/>
        <v>24.96893153</v>
      </c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>
        <f t="shared" si="8"/>
        <v>4</v>
      </c>
      <c r="AF5980" s="19">
        <f t="shared" si="13"/>
        <v>4</v>
      </c>
      <c r="AG5980" s="9"/>
      <c r="AH5980" s="9"/>
      <c r="AI5980" s="9"/>
    </row>
    <row r="5981" ht="15.0" customHeight="1">
      <c r="A5981" s="11">
        <v>5980.0</v>
      </c>
      <c r="B5981" s="12">
        <f t="shared" si="960"/>
        <v>40855</v>
      </c>
      <c r="C5981" s="13">
        <v>2011.0</v>
      </c>
      <c r="D5981" s="11" t="s">
        <v>44</v>
      </c>
      <c r="E5981" s="11">
        <v>24.0</v>
      </c>
      <c r="F5981" s="21" t="s">
        <v>933</v>
      </c>
      <c r="G5981" s="15">
        <v>0.08442991418062937</v>
      </c>
      <c r="H5981" s="11" t="s">
        <v>33</v>
      </c>
      <c r="I5981" s="16">
        <v>2.64</v>
      </c>
      <c r="J5981" s="11" t="s">
        <v>1725</v>
      </c>
      <c r="K5981" s="11" t="s">
        <v>61</v>
      </c>
      <c r="L5981" s="11" t="s">
        <v>48</v>
      </c>
      <c r="M5981" s="11" t="s">
        <v>66</v>
      </c>
      <c r="N5981" s="11" t="s">
        <v>80</v>
      </c>
      <c r="O5981" s="11" t="s">
        <v>1695</v>
      </c>
      <c r="P5981" s="11" t="s">
        <v>99</v>
      </c>
      <c r="Q5981" s="20">
        <v>40858.0</v>
      </c>
      <c r="R5981" s="17">
        <f t="shared" si="2"/>
        <v>113.4940678</v>
      </c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>
        <f t="shared" si="8"/>
        <v>4</v>
      </c>
      <c r="AF5981" s="19">
        <f t="shared" si="13"/>
        <v>4</v>
      </c>
      <c r="AG5981" s="9"/>
      <c r="AH5981" s="9"/>
      <c r="AI5981" s="9"/>
    </row>
    <row r="5982" ht="15.0" customHeight="1">
      <c r="A5982" s="11">
        <v>5981.0</v>
      </c>
      <c r="B5982" s="12">
        <f t="shared" si="960"/>
        <v>40855</v>
      </c>
      <c r="C5982" s="13">
        <v>2011.0</v>
      </c>
      <c r="D5982" s="11" t="s">
        <v>44</v>
      </c>
      <c r="E5982" s="11">
        <v>40.0</v>
      </c>
      <c r="F5982" s="21" t="s">
        <v>933</v>
      </c>
      <c r="G5982" s="15">
        <v>0.02126356317815887</v>
      </c>
      <c r="H5982" s="11" t="s">
        <v>33</v>
      </c>
      <c r="I5982" s="16">
        <v>1.0</v>
      </c>
      <c r="J5982" s="11" t="s">
        <v>1725</v>
      </c>
      <c r="K5982" s="11" t="s">
        <v>61</v>
      </c>
      <c r="L5982" s="11" t="s">
        <v>48</v>
      </c>
      <c r="M5982" s="11" t="s">
        <v>66</v>
      </c>
      <c r="N5982" s="11" t="s">
        <v>80</v>
      </c>
      <c r="O5982" s="11" t="s">
        <v>1407</v>
      </c>
      <c r="P5982" s="11" t="s">
        <v>99</v>
      </c>
      <c r="Q5982" s="20">
        <v>40858.0</v>
      </c>
      <c r="R5982" s="17">
        <f t="shared" si="2"/>
        <v>47.56659083</v>
      </c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>
        <f t="shared" si="8"/>
        <v>4</v>
      </c>
      <c r="AF5982" s="19">
        <f t="shared" si="13"/>
        <v>4</v>
      </c>
      <c r="AG5982" s="9"/>
      <c r="AH5982" s="9"/>
      <c r="AI5982" s="9"/>
    </row>
    <row r="5983" ht="15.0" customHeight="1">
      <c r="A5983" s="11">
        <v>5982.0</v>
      </c>
      <c r="B5983" s="12">
        <f t="shared" ref="B5983:B5986" si="961">DATE(2012,12,31)-418</f>
        <v>40856</v>
      </c>
      <c r="C5983" s="13">
        <v>2011.0</v>
      </c>
      <c r="D5983" s="11" t="s">
        <v>39</v>
      </c>
      <c r="E5983" s="11">
        <v>30.0</v>
      </c>
      <c r="F5983" s="21" t="s">
        <v>2287</v>
      </c>
      <c r="G5983" s="15">
        <v>0.07940201494962632</v>
      </c>
      <c r="H5983" s="11" t="s">
        <v>33</v>
      </c>
      <c r="I5983" s="16">
        <v>2.536</v>
      </c>
      <c r="J5983" s="11" t="s">
        <v>25</v>
      </c>
      <c r="K5983" s="11" t="s">
        <v>26</v>
      </c>
      <c r="L5983" s="11" t="s">
        <v>27</v>
      </c>
      <c r="M5983" s="11" t="s">
        <v>66</v>
      </c>
      <c r="N5983" s="11" t="s">
        <v>67</v>
      </c>
      <c r="O5983" s="11" t="s">
        <v>2573</v>
      </c>
      <c r="P5983" s="11" t="s">
        <v>99</v>
      </c>
      <c r="Q5983" s="20">
        <v>40858.0</v>
      </c>
      <c r="R5983" s="17">
        <f t="shared" si="2"/>
        <v>44.98409994</v>
      </c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>
        <f t="shared" si="8"/>
        <v>1</v>
      </c>
      <c r="AF5983" s="19">
        <f t="shared" si="13"/>
        <v>1</v>
      </c>
      <c r="AG5983" s="9"/>
      <c r="AH5983" s="9"/>
      <c r="AI5983" s="9"/>
    </row>
    <row r="5984" ht="15.0" customHeight="1">
      <c r="A5984" s="11">
        <v>5983.0</v>
      </c>
      <c r="B5984" s="12">
        <f t="shared" si="961"/>
        <v>40856</v>
      </c>
      <c r="C5984" s="13">
        <v>2011.0</v>
      </c>
      <c r="D5984" s="11" t="s">
        <v>44</v>
      </c>
      <c r="E5984" s="11">
        <v>4.0</v>
      </c>
      <c r="F5984" s="21" t="s">
        <v>1015</v>
      </c>
      <c r="G5984" s="15">
        <v>0.09872053872053868</v>
      </c>
      <c r="H5984" s="11" t="s">
        <v>33</v>
      </c>
      <c r="I5984" s="16">
        <v>3.968</v>
      </c>
      <c r="J5984" s="11" t="s">
        <v>904</v>
      </c>
      <c r="K5984" s="11" t="s">
        <v>61</v>
      </c>
      <c r="L5984" s="11" t="s">
        <v>27</v>
      </c>
      <c r="M5984" s="11" t="s">
        <v>28</v>
      </c>
      <c r="N5984" s="11" t="s">
        <v>56</v>
      </c>
      <c r="O5984" s="11" t="s">
        <v>2173</v>
      </c>
      <c r="P5984" s="11" t="s">
        <v>38</v>
      </c>
      <c r="Q5984" s="20">
        <v>40858.0</v>
      </c>
      <c r="R5984" s="17">
        <f t="shared" si="2"/>
        <v>2.64255138</v>
      </c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>
        <f t="shared" si="8"/>
        <v>1</v>
      </c>
      <c r="AF5984" s="19">
        <f t="shared" si="13"/>
        <v>4</v>
      </c>
      <c r="AG5984" s="9"/>
      <c r="AH5984" s="9"/>
      <c r="AI5984" s="9"/>
    </row>
    <row r="5985" ht="15.0" customHeight="1">
      <c r="A5985" s="11">
        <v>5984.0</v>
      </c>
      <c r="B5985" s="12">
        <f t="shared" si="961"/>
        <v>40856</v>
      </c>
      <c r="C5985" s="13">
        <v>2011.0</v>
      </c>
      <c r="D5985" s="11" t="s">
        <v>44</v>
      </c>
      <c r="E5985" s="11">
        <v>23.0</v>
      </c>
      <c r="F5985" s="21" t="s">
        <v>96</v>
      </c>
      <c r="G5985" s="15">
        <v>0.005433734939759128</v>
      </c>
      <c r="H5985" s="11" t="s">
        <v>33</v>
      </c>
      <c r="I5985" s="16">
        <v>7.192</v>
      </c>
      <c r="J5985" s="11" t="s">
        <v>904</v>
      </c>
      <c r="K5985" s="11" t="s">
        <v>61</v>
      </c>
      <c r="L5985" s="11" t="s">
        <v>27</v>
      </c>
      <c r="M5985" s="11" t="s">
        <v>66</v>
      </c>
      <c r="N5985" s="11" t="s">
        <v>67</v>
      </c>
      <c r="O5985" s="11" t="s">
        <v>2424</v>
      </c>
      <c r="P5985" s="11" t="s">
        <v>99</v>
      </c>
      <c r="Q5985" s="20">
        <v>40858.0</v>
      </c>
      <c r="R5985" s="17">
        <f t="shared" si="2"/>
        <v>3.588395084</v>
      </c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>
        <f t="shared" si="8"/>
        <v>1</v>
      </c>
      <c r="AF5985" s="19">
        <f t="shared" si="13"/>
        <v>4</v>
      </c>
      <c r="AG5985" s="9"/>
      <c r="AH5985" s="9"/>
      <c r="AI5985" s="9"/>
    </row>
    <row r="5986" ht="15.0" customHeight="1">
      <c r="A5986" s="11">
        <v>5985.0</v>
      </c>
      <c r="B5986" s="12">
        <f t="shared" si="961"/>
        <v>40856</v>
      </c>
      <c r="C5986" s="13">
        <v>2011.0</v>
      </c>
      <c r="D5986" s="11" t="s">
        <v>102</v>
      </c>
      <c r="E5986" s="11">
        <v>31.0</v>
      </c>
      <c r="F5986" s="21" t="s">
        <v>629</v>
      </c>
      <c r="G5986" s="15">
        <v>0.033009220452640424</v>
      </c>
      <c r="H5986" s="11" t="s">
        <v>33</v>
      </c>
      <c r="I5986" s="16">
        <v>4.424</v>
      </c>
      <c r="J5986" s="11" t="s">
        <v>1634</v>
      </c>
      <c r="K5986" s="11" t="s">
        <v>65</v>
      </c>
      <c r="L5986" s="11" t="s">
        <v>41</v>
      </c>
      <c r="M5986" s="11" t="s">
        <v>66</v>
      </c>
      <c r="N5986" s="11" t="s">
        <v>67</v>
      </c>
      <c r="O5986" s="11" t="s">
        <v>1610</v>
      </c>
      <c r="P5986" s="11" t="s">
        <v>99</v>
      </c>
      <c r="Q5986" s="20">
        <v>40858.0</v>
      </c>
      <c r="R5986" s="17">
        <f t="shared" si="2"/>
        <v>7.61601938</v>
      </c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>
        <f t="shared" si="8"/>
        <v>3</v>
      </c>
      <c r="AF5986" s="19">
        <f t="shared" si="13"/>
        <v>5</v>
      </c>
      <c r="AG5986" s="9"/>
      <c r="AH5986" s="9"/>
      <c r="AI5986" s="9"/>
    </row>
    <row r="5987" ht="15.0" customHeight="1">
      <c r="A5987" s="11">
        <v>5986.0</v>
      </c>
      <c r="B5987" s="12">
        <f t="shared" ref="B5987:B5998" si="962">DATE(2012,12,31)-417</f>
        <v>40857</v>
      </c>
      <c r="C5987" s="13">
        <v>2011.0</v>
      </c>
      <c r="D5987" s="11" t="s">
        <v>39</v>
      </c>
      <c r="E5987" s="11">
        <v>30.0</v>
      </c>
      <c r="F5987" s="21" t="s">
        <v>1479</v>
      </c>
      <c r="G5987" s="15">
        <v>0.08389261744966442</v>
      </c>
      <c r="H5987" s="11" t="s">
        <v>33</v>
      </c>
      <c r="I5987" s="16">
        <v>3.6</v>
      </c>
      <c r="J5987" s="11" t="s">
        <v>648</v>
      </c>
      <c r="K5987" s="11" t="s">
        <v>35</v>
      </c>
      <c r="L5987" s="11" t="s">
        <v>48</v>
      </c>
      <c r="M5987" s="11" t="s">
        <v>28</v>
      </c>
      <c r="N5987" s="11" t="s">
        <v>197</v>
      </c>
      <c r="O5987" s="11" t="s">
        <v>1480</v>
      </c>
      <c r="P5987" s="11" t="s">
        <v>38</v>
      </c>
      <c r="Q5987" s="20">
        <v>40858.0</v>
      </c>
      <c r="R5987" s="17">
        <f t="shared" si="2"/>
        <v>27.48322148</v>
      </c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>
        <f t="shared" si="8"/>
        <v>4</v>
      </c>
      <c r="AF5987" s="19">
        <f t="shared" si="13"/>
        <v>2</v>
      </c>
      <c r="AG5987" s="9"/>
      <c r="AH5987" s="9"/>
      <c r="AI5987" s="9"/>
    </row>
    <row r="5988" ht="15.0" customHeight="1">
      <c r="A5988" s="11">
        <v>5987.0</v>
      </c>
      <c r="B5988" s="12">
        <f t="shared" si="962"/>
        <v>40857</v>
      </c>
      <c r="C5988" s="13">
        <v>2011.0</v>
      </c>
      <c r="D5988" s="11" t="s">
        <v>23</v>
      </c>
      <c r="E5988" s="11">
        <v>35.0</v>
      </c>
      <c r="F5988" s="21" t="s">
        <v>419</v>
      </c>
      <c r="G5988" s="15">
        <v>0.06849867031992908</v>
      </c>
      <c r="H5988" s="11" t="s">
        <v>33</v>
      </c>
      <c r="I5988" s="16">
        <v>4.4</v>
      </c>
      <c r="J5988" s="11" t="s">
        <v>211</v>
      </c>
      <c r="K5988" s="11" t="s">
        <v>35</v>
      </c>
      <c r="L5988" s="11" t="s">
        <v>27</v>
      </c>
      <c r="M5988" s="11" t="s">
        <v>66</v>
      </c>
      <c r="N5988" s="11" t="s">
        <v>67</v>
      </c>
      <c r="O5988" s="11" t="s">
        <v>420</v>
      </c>
      <c r="P5988" s="11" t="s">
        <v>38</v>
      </c>
      <c r="Q5988" s="20">
        <v>40859.0</v>
      </c>
      <c r="R5988" s="17">
        <f t="shared" si="2"/>
        <v>79.17761302</v>
      </c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>
        <f t="shared" si="8"/>
        <v>1</v>
      </c>
      <c r="AF5988" s="19">
        <f t="shared" si="13"/>
        <v>2</v>
      </c>
      <c r="AG5988" s="9"/>
      <c r="AH5988" s="9"/>
      <c r="AI5988" s="9"/>
    </row>
    <row r="5989" ht="15.0" customHeight="1">
      <c r="A5989" s="11">
        <v>5988.0</v>
      </c>
      <c r="B5989" s="12">
        <f t="shared" si="962"/>
        <v>40857</v>
      </c>
      <c r="C5989" s="13">
        <v>2011.0</v>
      </c>
      <c r="D5989" s="11" t="s">
        <v>23</v>
      </c>
      <c r="E5989" s="11">
        <v>37.0</v>
      </c>
      <c r="F5989" s="21" t="s">
        <v>103</v>
      </c>
      <c r="G5989" s="15">
        <v>0.10217115689381927</v>
      </c>
      <c r="H5989" s="11" t="s">
        <v>33</v>
      </c>
      <c r="I5989" s="16">
        <v>8.312000000000001</v>
      </c>
      <c r="J5989" s="11" t="s">
        <v>211</v>
      </c>
      <c r="K5989" s="11" t="s">
        <v>35</v>
      </c>
      <c r="L5989" s="11" t="s">
        <v>27</v>
      </c>
      <c r="M5989" s="11" t="s">
        <v>28</v>
      </c>
      <c r="N5989" s="11" t="s">
        <v>56</v>
      </c>
      <c r="O5989" s="11" t="s">
        <v>2400</v>
      </c>
      <c r="P5989" s="11" t="s">
        <v>38</v>
      </c>
      <c r="Q5989" s="20">
        <v>40859.0</v>
      </c>
      <c r="R5989" s="17">
        <f t="shared" si="2"/>
        <v>23.15321021</v>
      </c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>
        <f t="shared" si="8"/>
        <v>1</v>
      </c>
      <c r="AF5989" s="19">
        <f t="shared" si="13"/>
        <v>2</v>
      </c>
      <c r="AG5989" s="9"/>
      <c r="AH5989" s="9"/>
      <c r="AI5989" s="9"/>
    </row>
    <row r="5990" ht="15.0" customHeight="1">
      <c r="A5990" s="11">
        <v>5989.0</v>
      </c>
      <c r="B5990" s="12">
        <f t="shared" si="962"/>
        <v>40857</v>
      </c>
      <c r="C5990" s="13">
        <v>2011.0</v>
      </c>
      <c r="D5990" s="11" t="s">
        <v>23</v>
      </c>
      <c r="E5990" s="11">
        <v>1.0</v>
      </c>
      <c r="F5990" s="21" t="s">
        <v>178</v>
      </c>
      <c r="G5990" s="15">
        <v>0.07125794155019047</v>
      </c>
      <c r="H5990" s="11" t="s">
        <v>33</v>
      </c>
      <c r="I5990" s="16">
        <v>7.192</v>
      </c>
      <c r="J5990" s="11" t="s">
        <v>211</v>
      </c>
      <c r="K5990" s="11" t="s">
        <v>35</v>
      </c>
      <c r="L5990" s="11" t="s">
        <v>27</v>
      </c>
      <c r="M5990" s="11" t="s">
        <v>66</v>
      </c>
      <c r="N5990" s="11" t="s">
        <v>80</v>
      </c>
      <c r="O5990" s="11" t="s">
        <v>1263</v>
      </c>
      <c r="P5990" s="11" t="s">
        <v>38</v>
      </c>
      <c r="Q5990" s="20">
        <v>40859.0</v>
      </c>
      <c r="R5990" s="17">
        <f t="shared" si="2"/>
        <v>5.208385464</v>
      </c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>
        <f t="shared" si="8"/>
        <v>1</v>
      </c>
      <c r="AF5990" s="19">
        <f t="shared" si="13"/>
        <v>2</v>
      </c>
      <c r="AG5990" s="9"/>
      <c r="AH5990" s="9"/>
      <c r="AI5990" s="9"/>
    </row>
    <row r="5991" ht="15.0" customHeight="1">
      <c r="A5991" s="11">
        <v>5990.0</v>
      </c>
      <c r="B5991" s="12">
        <f t="shared" si="962"/>
        <v>40857</v>
      </c>
      <c r="C5991" s="13">
        <v>2011.0</v>
      </c>
      <c r="D5991" s="11" t="s">
        <v>23</v>
      </c>
      <c r="E5991" s="11">
        <v>25.0</v>
      </c>
      <c r="F5991" s="21" t="s">
        <v>486</v>
      </c>
      <c r="G5991" s="15">
        <v>0.1069709543568466</v>
      </c>
      <c r="H5991" s="11" t="s">
        <v>33</v>
      </c>
      <c r="I5991" s="16">
        <v>1.6320000000000001</v>
      </c>
      <c r="J5991" s="11" t="s">
        <v>211</v>
      </c>
      <c r="K5991" s="11" t="s">
        <v>35</v>
      </c>
      <c r="L5991" s="11" t="s">
        <v>27</v>
      </c>
      <c r="M5991" s="11" t="s">
        <v>28</v>
      </c>
      <c r="N5991" s="11" t="s">
        <v>56</v>
      </c>
      <c r="O5991" s="11" t="s">
        <v>1340</v>
      </c>
      <c r="P5991" s="11" t="s">
        <v>58</v>
      </c>
      <c r="Q5991" s="20">
        <v>40859.0</v>
      </c>
      <c r="R5991" s="17">
        <f t="shared" si="2"/>
        <v>13.81337328</v>
      </c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>
        <f t="shared" si="8"/>
        <v>1</v>
      </c>
      <c r="AF5991" s="19">
        <f t="shared" si="13"/>
        <v>2</v>
      </c>
      <c r="AG5991" s="9"/>
      <c r="AH5991" s="9"/>
      <c r="AI5991" s="9"/>
    </row>
    <row r="5992" ht="15.0" customHeight="1">
      <c r="A5992" s="11">
        <v>5991.0</v>
      </c>
      <c r="B5992" s="12">
        <f t="shared" si="962"/>
        <v>40857</v>
      </c>
      <c r="C5992" s="13">
        <v>2011.0</v>
      </c>
      <c r="D5992" s="11" t="s">
        <v>39</v>
      </c>
      <c r="E5992" s="11">
        <v>37.0</v>
      </c>
      <c r="F5992" s="21" t="s">
        <v>1396</v>
      </c>
      <c r="G5992" s="15">
        <v>0.023139594341230647</v>
      </c>
      <c r="H5992" s="11" t="s">
        <v>33</v>
      </c>
      <c r="I5992" s="16">
        <v>7.024</v>
      </c>
      <c r="J5992" s="11" t="s">
        <v>1221</v>
      </c>
      <c r="K5992" s="11" t="s">
        <v>61</v>
      </c>
      <c r="L5992" s="11" t="s">
        <v>41</v>
      </c>
      <c r="M5992" s="11" t="s">
        <v>28</v>
      </c>
      <c r="N5992" s="11" t="s">
        <v>29</v>
      </c>
      <c r="O5992" s="11" t="s">
        <v>1397</v>
      </c>
      <c r="P5992" s="11" t="s">
        <v>38</v>
      </c>
      <c r="Q5992" s="20">
        <v>40859.0</v>
      </c>
      <c r="R5992" s="17">
        <f t="shared" si="2"/>
        <v>13.26185687</v>
      </c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>
        <f t="shared" si="8"/>
        <v>3</v>
      </c>
      <c r="AF5992" s="19">
        <f t="shared" si="13"/>
        <v>4</v>
      </c>
      <c r="AG5992" s="9"/>
      <c r="AH5992" s="9"/>
      <c r="AI5992" s="9"/>
    </row>
    <row r="5993" ht="15.0" customHeight="1">
      <c r="A5993" s="11">
        <v>5992.0</v>
      </c>
      <c r="B5993" s="12">
        <f t="shared" si="962"/>
        <v>40857</v>
      </c>
      <c r="C5993" s="13">
        <v>2011.0</v>
      </c>
      <c r="D5993" s="11" t="s">
        <v>32</v>
      </c>
      <c r="E5993" s="11">
        <v>27.0</v>
      </c>
      <c r="F5993" s="21" t="s">
        <v>270</v>
      </c>
      <c r="G5993" s="15">
        <v>0.03210328884236235</v>
      </c>
      <c r="H5993" s="11" t="s">
        <v>33</v>
      </c>
      <c r="I5993" s="16">
        <v>5.2</v>
      </c>
      <c r="J5993" s="11" t="s">
        <v>268</v>
      </c>
      <c r="K5993" s="11" t="s">
        <v>65</v>
      </c>
      <c r="L5993" s="11" t="s">
        <v>48</v>
      </c>
      <c r="M5993" s="11" t="s">
        <v>66</v>
      </c>
      <c r="N5993" s="11" t="s">
        <v>67</v>
      </c>
      <c r="O5993" s="11" t="s">
        <v>2574</v>
      </c>
      <c r="P5993" s="11" t="s">
        <v>38</v>
      </c>
      <c r="Q5993" s="20">
        <v>40859.0</v>
      </c>
      <c r="R5993" s="17">
        <f t="shared" si="2"/>
        <v>35.61859897</v>
      </c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>
        <f t="shared" si="8"/>
        <v>4</v>
      </c>
      <c r="AF5993" s="19">
        <f t="shared" si="13"/>
        <v>5</v>
      </c>
      <c r="AG5993" s="9"/>
      <c r="AH5993" s="9"/>
      <c r="AI5993" s="9"/>
    </row>
    <row r="5994" ht="15.0" customHeight="1">
      <c r="A5994" s="11">
        <v>5993.0</v>
      </c>
      <c r="B5994" s="12">
        <f t="shared" si="962"/>
        <v>40857</v>
      </c>
      <c r="C5994" s="13">
        <v>2011.0</v>
      </c>
      <c r="D5994" s="11" t="s">
        <v>32</v>
      </c>
      <c r="E5994" s="11">
        <v>35.0</v>
      </c>
      <c r="F5994" s="21" t="s">
        <v>287</v>
      </c>
      <c r="G5994" s="15">
        <v>0.04846197130263524</v>
      </c>
      <c r="H5994" s="11" t="s">
        <v>33</v>
      </c>
      <c r="I5994" s="16">
        <v>2.0</v>
      </c>
      <c r="J5994" s="11" t="s">
        <v>268</v>
      </c>
      <c r="K5994" s="11" t="s">
        <v>65</v>
      </c>
      <c r="L5994" s="11" t="s">
        <v>48</v>
      </c>
      <c r="M5994" s="11" t="s">
        <v>66</v>
      </c>
      <c r="N5994" s="11" t="s">
        <v>80</v>
      </c>
      <c r="O5994" s="11" t="s">
        <v>1812</v>
      </c>
      <c r="P5994" s="11" t="s">
        <v>38</v>
      </c>
      <c r="Q5994" s="20">
        <v>40860.0</v>
      </c>
      <c r="R5994" s="17">
        <f t="shared" si="2"/>
        <v>196.6829105</v>
      </c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>
        <f t="shared" si="8"/>
        <v>4</v>
      </c>
      <c r="AF5994" s="19">
        <f t="shared" si="13"/>
        <v>5</v>
      </c>
      <c r="AG5994" s="9"/>
      <c r="AH5994" s="9"/>
      <c r="AI5994" s="9"/>
    </row>
    <row r="5995" ht="15.0" customHeight="1">
      <c r="A5995" s="11">
        <v>5994.0</v>
      </c>
      <c r="B5995" s="12">
        <f t="shared" si="962"/>
        <v>40857</v>
      </c>
      <c r="C5995" s="13">
        <v>2011.0</v>
      </c>
      <c r="D5995" s="11" t="s">
        <v>39</v>
      </c>
      <c r="E5995" s="11">
        <v>43.0</v>
      </c>
      <c r="F5995" s="21" t="s">
        <v>948</v>
      </c>
      <c r="G5995" s="15">
        <v>0.03795713634290931</v>
      </c>
      <c r="H5995" s="11" t="s">
        <v>33</v>
      </c>
      <c r="I5995" s="16">
        <v>4.576</v>
      </c>
      <c r="J5995" s="11" t="s">
        <v>2314</v>
      </c>
      <c r="K5995" s="11" t="s">
        <v>61</v>
      </c>
      <c r="L5995" s="11" t="s">
        <v>41</v>
      </c>
      <c r="M5995" s="11" t="s">
        <v>49</v>
      </c>
      <c r="N5995" s="11" t="s">
        <v>73</v>
      </c>
      <c r="O5995" s="11" t="s">
        <v>1873</v>
      </c>
      <c r="P5995" s="11" t="s">
        <v>99</v>
      </c>
      <c r="Q5995" s="20">
        <v>40860.0</v>
      </c>
      <c r="R5995" s="17">
        <f t="shared" si="2"/>
        <v>8.008044797</v>
      </c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>
        <f t="shared" si="8"/>
        <v>3</v>
      </c>
      <c r="AF5995" s="19">
        <f t="shared" si="13"/>
        <v>4</v>
      </c>
      <c r="AG5995" s="9"/>
      <c r="AH5995" s="9"/>
      <c r="AI5995" s="9"/>
    </row>
    <row r="5996" ht="15.0" customHeight="1">
      <c r="A5996" s="11">
        <v>5995.0</v>
      </c>
      <c r="B5996" s="12">
        <f t="shared" si="962"/>
        <v>40857</v>
      </c>
      <c r="C5996" s="13">
        <v>2011.0</v>
      </c>
      <c r="D5996" s="11" t="s">
        <v>44</v>
      </c>
      <c r="E5996" s="11">
        <v>21.0</v>
      </c>
      <c r="F5996" s="21" t="s">
        <v>1156</v>
      </c>
      <c r="G5996" s="15">
        <v>0.06646598571713083</v>
      </c>
      <c r="H5996" s="11" t="s">
        <v>24</v>
      </c>
      <c r="I5996" s="16">
        <v>7.192</v>
      </c>
      <c r="J5996" s="11" t="s">
        <v>925</v>
      </c>
      <c r="K5996" s="11" t="s">
        <v>35</v>
      </c>
      <c r="L5996" s="11" t="s">
        <v>27</v>
      </c>
      <c r="M5996" s="11" t="s">
        <v>66</v>
      </c>
      <c r="N5996" s="11" t="s">
        <v>80</v>
      </c>
      <c r="O5996" s="11" t="s">
        <v>2237</v>
      </c>
      <c r="P5996" s="11" t="s">
        <v>38</v>
      </c>
      <c r="Q5996" s="20">
        <v>40860.0</v>
      </c>
      <c r="R5996" s="17">
        <f t="shared" si="2"/>
        <v>218.081014</v>
      </c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>
        <f t="shared" si="8"/>
        <v>1</v>
      </c>
      <c r="AF5996" s="19">
        <f t="shared" si="13"/>
        <v>2</v>
      </c>
      <c r="AG5996" s="9"/>
      <c r="AH5996" s="9"/>
      <c r="AI5996" s="9"/>
    </row>
    <row r="5997" ht="15.0" customHeight="1">
      <c r="A5997" s="11">
        <v>5996.0</v>
      </c>
      <c r="B5997" s="12">
        <f t="shared" si="962"/>
        <v>40857</v>
      </c>
      <c r="C5997" s="13">
        <v>2011.0</v>
      </c>
      <c r="D5997" s="11" t="s">
        <v>44</v>
      </c>
      <c r="E5997" s="11">
        <v>40.0</v>
      </c>
      <c r="F5997" s="21" t="s">
        <v>591</v>
      </c>
      <c r="G5997" s="15">
        <v>0.0849411764705882</v>
      </c>
      <c r="H5997" s="11" t="s">
        <v>33</v>
      </c>
      <c r="I5997" s="16">
        <v>7.5760000000000005</v>
      </c>
      <c r="J5997" s="11" t="s">
        <v>925</v>
      </c>
      <c r="K5997" s="11" t="s">
        <v>35</v>
      </c>
      <c r="L5997" s="11" t="s">
        <v>27</v>
      </c>
      <c r="M5997" s="11" t="s">
        <v>28</v>
      </c>
      <c r="N5997" s="11" t="s">
        <v>29</v>
      </c>
      <c r="O5997" s="11" t="s">
        <v>592</v>
      </c>
      <c r="P5997" s="11" t="s">
        <v>38</v>
      </c>
      <c r="Q5997" s="20">
        <v>40860.0</v>
      </c>
      <c r="R5997" s="17">
        <f t="shared" si="2"/>
        <v>60.78186729</v>
      </c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>
        <f t="shared" si="8"/>
        <v>1</v>
      </c>
      <c r="AF5997" s="19">
        <f t="shared" si="13"/>
        <v>2</v>
      </c>
      <c r="AG5997" s="9"/>
      <c r="AH5997" s="9"/>
      <c r="AI5997" s="9"/>
    </row>
    <row r="5998" ht="15.0" customHeight="1">
      <c r="A5998" s="11">
        <v>5997.0</v>
      </c>
      <c r="B5998" s="12">
        <f t="shared" si="962"/>
        <v>40857</v>
      </c>
      <c r="C5998" s="13">
        <v>2011.0</v>
      </c>
      <c r="D5998" s="11" t="s">
        <v>44</v>
      </c>
      <c r="E5998" s="11">
        <v>38.0</v>
      </c>
      <c r="F5998" s="21" t="s">
        <v>2575</v>
      </c>
      <c r="G5998" s="15">
        <v>0.011303433107009554</v>
      </c>
      <c r="H5998" s="11" t="s">
        <v>33</v>
      </c>
      <c r="I5998" s="16">
        <v>28.0</v>
      </c>
      <c r="J5998" s="11" t="s">
        <v>925</v>
      </c>
      <c r="K5998" s="11" t="s">
        <v>35</v>
      </c>
      <c r="L5998" s="11" t="s">
        <v>27</v>
      </c>
      <c r="M5998" s="11" t="s">
        <v>28</v>
      </c>
      <c r="N5998" s="11" t="s">
        <v>29</v>
      </c>
      <c r="O5998" s="11" t="s">
        <v>2576</v>
      </c>
      <c r="P5998" s="11" t="s">
        <v>31</v>
      </c>
      <c r="Q5998" s="20">
        <v>40860.0</v>
      </c>
      <c r="R5998" s="17">
        <f t="shared" si="2"/>
        <v>58.4319671</v>
      </c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>
        <f t="shared" si="8"/>
        <v>1</v>
      </c>
      <c r="AF5998" s="19">
        <f t="shared" si="13"/>
        <v>2</v>
      </c>
      <c r="AG5998" s="9"/>
      <c r="AH5998" s="9"/>
      <c r="AI5998" s="9"/>
    </row>
    <row r="5999" ht="15.0" customHeight="1">
      <c r="A5999" s="11">
        <v>5998.0</v>
      </c>
      <c r="B5999" s="12">
        <f t="shared" ref="B5999:B6001" si="963">DATE(2012,12,31)-416</f>
        <v>40858</v>
      </c>
      <c r="C5999" s="13">
        <v>2011.0</v>
      </c>
      <c r="D5999" s="11" t="s">
        <v>102</v>
      </c>
      <c r="E5999" s="11">
        <v>13.0</v>
      </c>
      <c r="F5999" s="21" t="s">
        <v>280</v>
      </c>
      <c r="G5999" s="15">
        <v>0.05011786038077971</v>
      </c>
      <c r="H5999" s="11" t="s">
        <v>33</v>
      </c>
      <c r="I5999" s="16">
        <v>4.632000000000001</v>
      </c>
      <c r="J5999" s="11" t="s">
        <v>279</v>
      </c>
      <c r="K5999" s="11" t="s">
        <v>47</v>
      </c>
      <c r="L5999" s="11" t="s">
        <v>41</v>
      </c>
      <c r="M5999" s="11" t="s">
        <v>28</v>
      </c>
      <c r="N5999" s="11" t="s">
        <v>56</v>
      </c>
      <c r="O5999" s="11" t="s">
        <v>1430</v>
      </c>
      <c r="P5999" s="11" t="s">
        <v>38</v>
      </c>
      <c r="Q5999" s="20">
        <v>40860.0</v>
      </c>
      <c r="R5999" s="17">
        <f t="shared" si="2"/>
        <v>31.50569081</v>
      </c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>
        <f t="shared" si="8"/>
        <v>3</v>
      </c>
      <c r="AF5999" s="19">
        <f t="shared" si="13"/>
        <v>3</v>
      </c>
      <c r="AG5999" s="9"/>
      <c r="AH5999" s="9"/>
      <c r="AI5999" s="9"/>
    </row>
    <row r="6000" ht="15.0" customHeight="1">
      <c r="A6000" s="11">
        <v>5999.0</v>
      </c>
      <c r="B6000" s="12">
        <f t="shared" si="963"/>
        <v>40858</v>
      </c>
      <c r="C6000" s="13">
        <v>2011.0</v>
      </c>
      <c r="D6000" s="11" t="s">
        <v>102</v>
      </c>
      <c r="E6000" s="11">
        <v>10.0</v>
      </c>
      <c r="F6000" s="21" t="s">
        <v>342</v>
      </c>
      <c r="G6000" s="15">
        <v>0.013547791121012887</v>
      </c>
      <c r="H6000" s="11" t="s">
        <v>45</v>
      </c>
      <c r="I6000" s="16">
        <v>23.368000000000002</v>
      </c>
      <c r="J6000" s="11" t="s">
        <v>279</v>
      </c>
      <c r="K6000" s="11" t="s">
        <v>47</v>
      </c>
      <c r="L6000" s="11" t="s">
        <v>41</v>
      </c>
      <c r="M6000" s="11" t="s">
        <v>49</v>
      </c>
      <c r="N6000" s="11" t="s">
        <v>85</v>
      </c>
      <c r="O6000" s="11" t="s">
        <v>343</v>
      </c>
      <c r="P6000" s="11" t="s">
        <v>87</v>
      </c>
      <c r="Q6000" s="20">
        <v>40860.0</v>
      </c>
      <c r="R6000" s="17">
        <f t="shared" si="2"/>
        <v>24.59422647</v>
      </c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>
        <f t="shared" si="8"/>
        <v>3</v>
      </c>
      <c r="AF6000" s="19">
        <f t="shared" si="13"/>
        <v>3</v>
      </c>
      <c r="AG6000" s="9"/>
      <c r="AH6000" s="9"/>
      <c r="AI6000" s="9"/>
    </row>
    <row r="6001" ht="15.0" customHeight="1">
      <c r="A6001" s="11">
        <v>6000.0</v>
      </c>
      <c r="B6001" s="12">
        <f t="shared" si="963"/>
        <v>40858</v>
      </c>
      <c r="C6001" s="13">
        <v>2011.0</v>
      </c>
      <c r="D6001" s="11" t="s">
        <v>102</v>
      </c>
      <c r="E6001" s="11">
        <v>47.0</v>
      </c>
      <c r="F6001" s="21" t="s">
        <v>1521</v>
      </c>
      <c r="G6001" s="15">
        <v>0.006448218409283548</v>
      </c>
      <c r="H6001" s="11" t="s">
        <v>45</v>
      </c>
      <c r="I6001" s="16">
        <v>71.44</v>
      </c>
      <c r="J6001" s="11" t="s">
        <v>279</v>
      </c>
      <c r="K6001" s="11" t="s">
        <v>47</v>
      </c>
      <c r="L6001" s="11" t="s">
        <v>41</v>
      </c>
      <c r="M6001" s="11" t="s">
        <v>49</v>
      </c>
      <c r="N6001" s="11" t="s">
        <v>85</v>
      </c>
      <c r="O6001" s="11" t="s">
        <v>1522</v>
      </c>
      <c r="P6001" s="11" t="s">
        <v>87</v>
      </c>
      <c r="Q6001" s="20">
        <v>40861.0</v>
      </c>
      <c r="R6001" s="17">
        <f t="shared" si="2"/>
        <v>21.9177523</v>
      </c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>
        <f t="shared" si="8"/>
        <v>3</v>
      </c>
      <c r="AF6001" s="19">
        <f t="shared" si="13"/>
        <v>3</v>
      </c>
      <c r="AG6001" s="9"/>
      <c r="AH6001" s="9"/>
      <c r="AI6001" s="9"/>
    </row>
    <row r="6002" ht="15.0" customHeight="1">
      <c r="A6002" s="11">
        <v>6001.0</v>
      </c>
      <c r="B6002" s="12">
        <f t="shared" ref="B6002:B6009" si="964">DATE(2012,12,31)-415</f>
        <v>40859</v>
      </c>
      <c r="C6002" s="13">
        <v>2011.0</v>
      </c>
      <c r="D6002" s="11" t="s">
        <v>44</v>
      </c>
      <c r="E6002" s="11">
        <v>44.0</v>
      </c>
      <c r="F6002" s="21" t="s">
        <v>433</v>
      </c>
      <c r="G6002" s="15">
        <v>0.07615229917523438</v>
      </c>
      <c r="H6002" s="11" t="s">
        <v>33</v>
      </c>
      <c r="I6002" s="16">
        <v>31.688000000000002</v>
      </c>
      <c r="J6002" s="11" t="s">
        <v>821</v>
      </c>
      <c r="K6002" s="11" t="s">
        <v>117</v>
      </c>
      <c r="L6002" s="11" t="s">
        <v>27</v>
      </c>
      <c r="M6002" s="11" t="s">
        <v>49</v>
      </c>
      <c r="N6002" s="11" t="s">
        <v>73</v>
      </c>
      <c r="O6002" s="11" t="s">
        <v>434</v>
      </c>
      <c r="P6002" s="11" t="s">
        <v>75</v>
      </c>
      <c r="Q6002" s="20">
        <v>40861.0</v>
      </c>
      <c r="R6002" s="17">
        <f t="shared" si="2"/>
        <v>311.3477614</v>
      </c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>
        <f t="shared" si="8"/>
        <v>1</v>
      </c>
      <c r="AF6002" s="19" t="b">
        <f t="shared" si="13"/>
        <v>0</v>
      </c>
      <c r="AG6002" s="9"/>
      <c r="AH6002" s="9"/>
      <c r="AI6002" s="9"/>
    </row>
    <row r="6003" ht="15.0" customHeight="1">
      <c r="A6003" s="11">
        <v>6002.0</v>
      </c>
      <c r="B6003" s="12">
        <f t="shared" si="964"/>
        <v>40859</v>
      </c>
      <c r="C6003" s="13">
        <v>2011.0</v>
      </c>
      <c r="D6003" s="11" t="s">
        <v>44</v>
      </c>
      <c r="E6003" s="11">
        <v>25.0</v>
      </c>
      <c r="F6003" s="21" t="s">
        <v>869</v>
      </c>
      <c r="G6003" s="15">
        <v>0.06644707109334257</v>
      </c>
      <c r="H6003" s="11" t="s">
        <v>33</v>
      </c>
      <c r="I6003" s="16">
        <v>0.792</v>
      </c>
      <c r="J6003" s="11" t="s">
        <v>821</v>
      </c>
      <c r="K6003" s="11" t="s">
        <v>117</v>
      </c>
      <c r="L6003" s="11" t="s">
        <v>27</v>
      </c>
      <c r="M6003" s="11" t="s">
        <v>66</v>
      </c>
      <c r="N6003" s="11" t="s">
        <v>80</v>
      </c>
      <c r="O6003" s="11" t="s">
        <v>870</v>
      </c>
      <c r="P6003" s="11" t="s">
        <v>58</v>
      </c>
      <c r="Q6003" s="20">
        <v>40861.0</v>
      </c>
      <c r="R6003" s="17">
        <f t="shared" si="2"/>
        <v>142.7477113</v>
      </c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>
        <f t="shared" si="8"/>
        <v>1</v>
      </c>
      <c r="AF6003" s="19" t="b">
        <f t="shared" si="13"/>
        <v>0</v>
      </c>
      <c r="AG6003" s="9"/>
      <c r="AH6003" s="9"/>
      <c r="AI6003" s="9"/>
    </row>
    <row r="6004" ht="15.0" customHeight="1">
      <c r="A6004" s="11">
        <v>6003.0</v>
      </c>
      <c r="B6004" s="12">
        <f t="shared" si="964"/>
        <v>40859</v>
      </c>
      <c r="C6004" s="13">
        <v>2011.0</v>
      </c>
      <c r="D6004" s="11" t="s">
        <v>32</v>
      </c>
      <c r="E6004" s="11">
        <v>9.0</v>
      </c>
      <c r="F6004" s="21" t="s">
        <v>872</v>
      </c>
      <c r="G6004" s="15">
        <v>0.014045801526717699</v>
      </c>
      <c r="H6004" s="11" t="s">
        <v>33</v>
      </c>
      <c r="I6004" s="16">
        <v>6.808</v>
      </c>
      <c r="J6004" s="11" t="s">
        <v>1205</v>
      </c>
      <c r="K6004" s="11" t="s">
        <v>61</v>
      </c>
      <c r="L6004" s="11" t="s">
        <v>36</v>
      </c>
      <c r="M6004" s="11" t="s">
        <v>66</v>
      </c>
      <c r="N6004" s="11" t="s">
        <v>69</v>
      </c>
      <c r="O6004" s="11" t="s">
        <v>1000</v>
      </c>
      <c r="P6004" s="11" t="s">
        <v>75</v>
      </c>
      <c r="Q6004" s="20">
        <v>40861.0</v>
      </c>
      <c r="R6004" s="17">
        <f t="shared" si="2"/>
        <v>2.358402443</v>
      </c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>
        <f t="shared" si="8"/>
        <v>2</v>
      </c>
      <c r="AF6004" s="19">
        <f t="shared" si="13"/>
        <v>4</v>
      </c>
      <c r="AG6004" s="9"/>
      <c r="AH6004" s="9"/>
      <c r="AI6004" s="9"/>
    </row>
    <row r="6005" ht="15.0" customHeight="1">
      <c r="A6005" s="11">
        <v>6004.0</v>
      </c>
      <c r="B6005" s="12">
        <f t="shared" si="964"/>
        <v>40859</v>
      </c>
      <c r="C6005" s="13">
        <v>2011.0</v>
      </c>
      <c r="D6005" s="11" t="s">
        <v>39</v>
      </c>
      <c r="E6005" s="11">
        <v>46.0</v>
      </c>
      <c r="F6005" s="21" t="s">
        <v>1282</v>
      </c>
      <c r="G6005" s="15">
        <v>0.010631741140215796</v>
      </c>
      <c r="H6005" s="11" t="s">
        <v>24</v>
      </c>
      <c r="I6005" s="16">
        <v>10.120000000000001</v>
      </c>
      <c r="J6005" s="11" t="s">
        <v>1210</v>
      </c>
      <c r="K6005" s="11" t="s">
        <v>47</v>
      </c>
      <c r="L6005" s="11" t="s">
        <v>36</v>
      </c>
      <c r="M6005" s="11" t="s">
        <v>49</v>
      </c>
      <c r="N6005" s="11" t="s">
        <v>50</v>
      </c>
      <c r="O6005" s="11" t="s">
        <v>1283</v>
      </c>
      <c r="P6005" s="11" t="s">
        <v>75</v>
      </c>
      <c r="Q6005" s="20">
        <v>40861.0</v>
      </c>
      <c r="R6005" s="17">
        <f t="shared" si="2"/>
        <v>62.80509707</v>
      </c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>
        <f t="shared" si="8"/>
        <v>2</v>
      </c>
      <c r="AF6005" s="19">
        <f t="shared" si="13"/>
        <v>3</v>
      </c>
      <c r="AG6005" s="9"/>
      <c r="AH6005" s="9"/>
      <c r="AI6005" s="9"/>
    </row>
    <row r="6006" ht="15.0" customHeight="1">
      <c r="A6006" s="11">
        <v>6005.0</v>
      </c>
      <c r="B6006" s="12">
        <f t="shared" si="964"/>
        <v>40859</v>
      </c>
      <c r="C6006" s="13">
        <v>2011.0</v>
      </c>
      <c r="D6006" s="11" t="s">
        <v>39</v>
      </c>
      <c r="E6006" s="11">
        <v>28.0</v>
      </c>
      <c r="F6006" s="21" t="s">
        <v>314</v>
      </c>
      <c r="G6006" s="15">
        <v>0.057066666666666606</v>
      </c>
      <c r="H6006" s="11" t="s">
        <v>33</v>
      </c>
      <c r="I6006" s="16">
        <v>0.4</v>
      </c>
      <c r="J6006" s="11" t="s">
        <v>1210</v>
      </c>
      <c r="K6006" s="11" t="s">
        <v>47</v>
      </c>
      <c r="L6006" s="11" t="s">
        <v>36</v>
      </c>
      <c r="M6006" s="11" t="s">
        <v>28</v>
      </c>
      <c r="N6006" s="11" t="s">
        <v>188</v>
      </c>
      <c r="O6006" s="11" t="s">
        <v>516</v>
      </c>
      <c r="P6006" s="11" t="s">
        <v>38</v>
      </c>
      <c r="Q6006" s="20">
        <v>40861.0</v>
      </c>
      <c r="R6006" s="17">
        <f t="shared" si="2"/>
        <v>10.08938667</v>
      </c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>
        <f t="shared" si="8"/>
        <v>2</v>
      </c>
      <c r="AF6006" s="19">
        <f t="shared" si="13"/>
        <v>3</v>
      </c>
      <c r="AG6006" s="9"/>
      <c r="AH6006" s="9"/>
      <c r="AI6006" s="9"/>
    </row>
    <row r="6007" ht="15.0" customHeight="1">
      <c r="A6007" s="11">
        <v>6006.0</v>
      </c>
      <c r="B6007" s="12">
        <f t="shared" si="964"/>
        <v>40859</v>
      </c>
      <c r="C6007" s="13">
        <v>2011.0</v>
      </c>
      <c r="D6007" s="11" t="s">
        <v>39</v>
      </c>
      <c r="E6007" s="11">
        <v>21.0</v>
      </c>
      <c r="F6007" s="21" t="s">
        <v>1195</v>
      </c>
      <c r="G6007" s="15">
        <v>0.09716996047430831</v>
      </c>
      <c r="H6007" s="11" t="s">
        <v>33</v>
      </c>
      <c r="I6007" s="16">
        <v>5.008</v>
      </c>
      <c r="J6007" s="11" t="s">
        <v>1862</v>
      </c>
      <c r="K6007" s="11" t="s">
        <v>61</v>
      </c>
      <c r="L6007" s="11" t="s">
        <v>36</v>
      </c>
      <c r="M6007" s="11" t="s">
        <v>28</v>
      </c>
      <c r="N6007" s="11" t="s">
        <v>56</v>
      </c>
      <c r="O6007" s="11" t="s">
        <v>1449</v>
      </c>
      <c r="P6007" s="11" t="s">
        <v>38</v>
      </c>
      <c r="Q6007" s="20">
        <v>40861.0</v>
      </c>
      <c r="R6007" s="17">
        <f t="shared" si="2"/>
        <v>11.09758685</v>
      </c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>
        <f t="shared" si="8"/>
        <v>2</v>
      </c>
      <c r="AF6007" s="19">
        <f t="shared" si="13"/>
        <v>4</v>
      </c>
      <c r="AG6007" s="9"/>
      <c r="AH6007" s="9"/>
      <c r="AI6007" s="9"/>
    </row>
    <row r="6008" ht="15.0" customHeight="1">
      <c r="A6008" s="11">
        <v>6007.0</v>
      </c>
      <c r="B6008" s="12">
        <f t="shared" si="964"/>
        <v>40859</v>
      </c>
      <c r="C6008" s="13">
        <v>2011.0</v>
      </c>
      <c r="D6008" s="11" t="s">
        <v>39</v>
      </c>
      <c r="E6008" s="11">
        <v>38.0</v>
      </c>
      <c r="F6008" s="21" t="s">
        <v>1043</v>
      </c>
      <c r="G6008" s="15">
        <v>0.011692788607649999</v>
      </c>
      <c r="H6008" s="11" t="s">
        <v>33</v>
      </c>
      <c r="I6008" s="16">
        <v>7.768000000000001</v>
      </c>
      <c r="J6008" s="11" t="s">
        <v>1862</v>
      </c>
      <c r="K6008" s="11" t="s">
        <v>61</v>
      </c>
      <c r="L6008" s="11" t="s">
        <v>36</v>
      </c>
      <c r="M6008" s="11" t="s">
        <v>28</v>
      </c>
      <c r="N6008" s="11" t="s">
        <v>29</v>
      </c>
      <c r="O6008" s="11" t="s">
        <v>1044</v>
      </c>
      <c r="P6008" s="11" t="s">
        <v>38</v>
      </c>
      <c r="Q6008" s="20">
        <v>40861.0</v>
      </c>
      <c r="R6008" s="17">
        <f t="shared" si="2"/>
        <v>26.61708982</v>
      </c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>
        <f t="shared" si="8"/>
        <v>2</v>
      </c>
      <c r="AF6008" s="19">
        <f t="shared" si="13"/>
        <v>4</v>
      </c>
      <c r="AG6008" s="9"/>
      <c r="AH6008" s="9"/>
      <c r="AI6008" s="9"/>
    </row>
    <row r="6009" ht="15.0" customHeight="1">
      <c r="A6009" s="11">
        <v>6008.0</v>
      </c>
      <c r="B6009" s="12">
        <f t="shared" si="964"/>
        <v>40859</v>
      </c>
      <c r="C6009" s="13">
        <v>2011.0</v>
      </c>
      <c r="D6009" s="11" t="s">
        <v>102</v>
      </c>
      <c r="E6009" s="11">
        <v>38.0</v>
      </c>
      <c r="F6009" s="21" t="s">
        <v>853</v>
      </c>
      <c r="G6009" s="15">
        <v>0.040429496289278444</v>
      </c>
      <c r="H6009" s="11" t="s">
        <v>33</v>
      </c>
      <c r="I6009" s="16">
        <v>2.888</v>
      </c>
      <c r="J6009" s="11" t="s">
        <v>1814</v>
      </c>
      <c r="K6009" s="11" t="s">
        <v>35</v>
      </c>
      <c r="L6009" s="11" t="s">
        <v>48</v>
      </c>
      <c r="M6009" s="11" t="s">
        <v>66</v>
      </c>
      <c r="N6009" s="11" t="s">
        <v>67</v>
      </c>
      <c r="O6009" s="11" t="s">
        <v>854</v>
      </c>
      <c r="P6009" s="11" t="s">
        <v>99</v>
      </c>
      <c r="Q6009" s="20">
        <v>40862.0</v>
      </c>
      <c r="R6009" s="17">
        <f t="shared" si="2"/>
        <v>73.70652953</v>
      </c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>
        <f t="shared" si="8"/>
        <v>4</v>
      </c>
      <c r="AF6009" s="19">
        <f t="shared" si="13"/>
        <v>2</v>
      </c>
      <c r="AG6009" s="9"/>
      <c r="AH6009" s="9"/>
      <c r="AI6009" s="9"/>
    </row>
    <row r="6010" ht="15.0" customHeight="1">
      <c r="A6010" s="11">
        <v>6009.0</v>
      </c>
      <c r="B6010" s="12">
        <f t="shared" ref="B6010:B6012" si="965">DATE(2012,12,31)-414</f>
        <v>40860</v>
      </c>
      <c r="C6010" s="13">
        <v>2011.0</v>
      </c>
      <c r="D6010" s="11" t="s">
        <v>32</v>
      </c>
      <c r="E6010" s="11">
        <v>47.0</v>
      </c>
      <c r="F6010" s="21" t="s">
        <v>834</v>
      </c>
      <c r="G6010" s="15">
        <v>0.01054043003763629</v>
      </c>
      <c r="H6010" s="11" t="s">
        <v>45</v>
      </c>
      <c r="I6010" s="16">
        <v>34.016000000000005</v>
      </c>
      <c r="J6010" s="11" t="s">
        <v>1623</v>
      </c>
      <c r="K6010" s="11" t="s">
        <v>35</v>
      </c>
      <c r="L6010" s="11" t="s">
        <v>48</v>
      </c>
      <c r="M6010" s="11" t="s">
        <v>49</v>
      </c>
      <c r="N6010" s="11" t="s">
        <v>85</v>
      </c>
      <c r="O6010" s="11" t="s">
        <v>1115</v>
      </c>
      <c r="P6010" s="11" t="s">
        <v>87</v>
      </c>
      <c r="Q6010" s="20">
        <v>40862.0</v>
      </c>
      <c r="R6010" s="17">
        <f t="shared" si="2"/>
        <v>198.9644882</v>
      </c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>
        <f t="shared" si="8"/>
        <v>4</v>
      </c>
      <c r="AF6010" s="19">
        <f t="shared" si="13"/>
        <v>2</v>
      </c>
      <c r="AG6010" s="9"/>
      <c r="AH6010" s="9"/>
      <c r="AI6010" s="9"/>
    </row>
    <row r="6011" ht="15.0" customHeight="1">
      <c r="A6011" s="11">
        <v>6010.0</v>
      </c>
      <c r="B6011" s="12">
        <f t="shared" si="965"/>
        <v>40860</v>
      </c>
      <c r="C6011" s="13">
        <v>2011.0</v>
      </c>
      <c r="D6011" s="11" t="s">
        <v>23</v>
      </c>
      <c r="E6011" s="11">
        <v>28.0</v>
      </c>
      <c r="F6011" s="21" t="s">
        <v>147</v>
      </c>
      <c r="G6011" s="15">
        <v>0.04444444444444434</v>
      </c>
      <c r="H6011" s="11" t="s">
        <v>33</v>
      </c>
      <c r="I6011" s="16">
        <v>0.5599999999999999</v>
      </c>
      <c r="J6011" s="11" t="s">
        <v>871</v>
      </c>
      <c r="K6011" s="11" t="s">
        <v>26</v>
      </c>
      <c r="L6011" s="11" t="s">
        <v>27</v>
      </c>
      <c r="M6011" s="11" t="s">
        <v>28</v>
      </c>
      <c r="N6011" s="11" t="s">
        <v>62</v>
      </c>
      <c r="O6011" s="11" t="s">
        <v>1107</v>
      </c>
      <c r="P6011" s="11" t="s">
        <v>58</v>
      </c>
      <c r="Q6011" s="20">
        <v>40862.0</v>
      </c>
      <c r="R6011" s="17">
        <f t="shared" si="2"/>
        <v>2.140444444</v>
      </c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>
        <f t="shared" si="8"/>
        <v>1</v>
      </c>
      <c r="AF6011" s="19">
        <f t="shared" si="13"/>
        <v>1</v>
      </c>
      <c r="AG6011" s="9"/>
      <c r="AH6011" s="9"/>
      <c r="AI6011" s="9"/>
    </row>
    <row r="6012" ht="15.0" customHeight="1">
      <c r="A6012" s="11">
        <v>6011.0</v>
      </c>
      <c r="B6012" s="12">
        <f t="shared" si="965"/>
        <v>40860</v>
      </c>
      <c r="C6012" s="13">
        <v>2011.0</v>
      </c>
      <c r="D6012" s="11" t="s">
        <v>23</v>
      </c>
      <c r="E6012" s="11">
        <v>11.0</v>
      </c>
      <c r="F6012" s="21" t="s">
        <v>782</v>
      </c>
      <c r="G6012" s="15">
        <v>0.06898646176362976</v>
      </c>
      <c r="H6012" s="11" t="s">
        <v>33</v>
      </c>
      <c r="I6012" s="16">
        <v>3.9920000000000004</v>
      </c>
      <c r="J6012" s="11" t="s">
        <v>871</v>
      </c>
      <c r="K6012" s="11" t="s">
        <v>26</v>
      </c>
      <c r="L6012" s="11" t="s">
        <v>27</v>
      </c>
      <c r="M6012" s="11" t="s">
        <v>66</v>
      </c>
      <c r="N6012" s="11" t="s">
        <v>80</v>
      </c>
      <c r="O6012" s="11" t="s">
        <v>1060</v>
      </c>
      <c r="P6012" s="11" t="s">
        <v>38</v>
      </c>
      <c r="Q6012" s="20">
        <v>40863.0</v>
      </c>
      <c r="R6012" s="17">
        <f t="shared" si="2"/>
        <v>35.1066585</v>
      </c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>
        <f t="shared" si="8"/>
        <v>1</v>
      </c>
      <c r="AF6012" s="19">
        <f t="shared" si="13"/>
        <v>1</v>
      </c>
      <c r="AG6012" s="9"/>
      <c r="AH6012" s="9"/>
      <c r="AI6012" s="9"/>
    </row>
    <row r="6013" ht="15.0" customHeight="1">
      <c r="A6013" s="11">
        <v>6012.0</v>
      </c>
      <c r="B6013" s="12">
        <f t="shared" ref="B6013:B6014" si="966">DATE(2012,12,31)-413</f>
        <v>40861</v>
      </c>
      <c r="C6013" s="13">
        <v>2011.0</v>
      </c>
      <c r="D6013" s="11" t="s">
        <v>44</v>
      </c>
      <c r="E6013" s="11">
        <v>17.0</v>
      </c>
      <c r="F6013" s="21" t="s">
        <v>1247</v>
      </c>
      <c r="G6013" s="15">
        <v>0.07060220525869379</v>
      </c>
      <c r="H6013" s="11" t="s">
        <v>33</v>
      </c>
      <c r="I6013" s="16">
        <v>4.176</v>
      </c>
      <c r="J6013" s="11" t="s">
        <v>1114</v>
      </c>
      <c r="K6013" s="11" t="s">
        <v>47</v>
      </c>
      <c r="L6013" s="11" t="s">
        <v>27</v>
      </c>
      <c r="M6013" s="11" t="s">
        <v>49</v>
      </c>
      <c r="N6013" s="11" t="s">
        <v>73</v>
      </c>
      <c r="O6013" s="11" t="s">
        <v>1591</v>
      </c>
      <c r="P6013" s="11" t="s">
        <v>38</v>
      </c>
      <c r="Q6013" s="20">
        <v>40863.0</v>
      </c>
      <c r="R6013" s="17">
        <f t="shared" si="2"/>
        <v>7.736307243</v>
      </c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>
        <f t="shared" si="8"/>
        <v>1</v>
      </c>
      <c r="AF6013" s="19">
        <f t="shared" si="13"/>
        <v>3</v>
      </c>
      <c r="AG6013" s="9"/>
      <c r="AH6013" s="9"/>
      <c r="AI6013" s="9"/>
    </row>
    <row r="6014" ht="15.0" customHeight="1">
      <c r="A6014" s="11">
        <v>6013.0</v>
      </c>
      <c r="B6014" s="12">
        <f t="shared" si="966"/>
        <v>40861</v>
      </c>
      <c r="C6014" s="13">
        <v>2011.0</v>
      </c>
      <c r="D6014" s="11" t="s">
        <v>44</v>
      </c>
      <c r="E6014" s="11">
        <v>31.0</v>
      </c>
      <c r="F6014" s="21" t="s">
        <v>1166</v>
      </c>
      <c r="G6014" s="15">
        <v>0.0932424054556726</v>
      </c>
      <c r="H6014" s="11" t="s">
        <v>24</v>
      </c>
      <c r="I6014" s="16">
        <v>0.5599999999999999</v>
      </c>
      <c r="J6014" s="11" t="s">
        <v>769</v>
      </c>
      <c r="K6014" s="11" t="s">
        <v>35</v>
      </c>
      <c r="L6014" s="11" t="s">
        <v>48</v>
      </c>
      <c r="M6014" s="11" t="s">
        <v>28</v>
      </c>
      <c r="N6014" s="11" t="s">
        <v>216</v>
      </c>
      <c r="O6014" s="11" t="s">
        <v>2353</v>
      </c>
      <c r="P6014" s="11" t="s">
        <v>58</v>
      </c>
      <c r="Q6014" s="20">
        <v>40863.0</v>
      </c>
      <c r="R6014" s="17">
        <f t="shared" si="2"/>
        <v>13.63763422</v>
      </c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>
        <f t="shared" si="8"/>
        <v>4</v>
      </c>
      <c r="AF6014" s="19">
        <f t="shared" si="13"/>
        <v>2</v>
      </c>
      <c r="AG6014" s="9"/>
      <c r="AH6014" s="9"/>
      <c r="AI6014" s="9"/>
    </row>
    <row r="6015" ht="15.0" customHeight="1">
      <c r="A6015" s="11">
        <v>6014.0</v>
      </c>
      <c r="B6015" s="12">
        <f t="shared" ref="B6015:B6018" si="967">DATE(2012,12,31)-412</f>
        <v>40862</v>
      </c>
      <c r="C6015" s="13">
        <v>2011.0</v>
      </c>
      <c r="D6015" s="11" t="s">
        <v>39</v>
      </c>
      <c r="E6015" s="11">
        <v>39.0</v>
      </c>
      <c r="F6015" s="21" t="s">
        <v>119</v>
      </c>
      <c r="G6015" s="15">
        <v>0.10760000000000006</v>
      </c>
      <c r="H6015" s="11" t="s">
        <v>33</v>
      </c>
      <c r="I6015" s="16">
        <v>1.192</v>
      </c>
      <c r="J6015" s="11" t="s">
        <v>1725</v>
      </c>
      <c r="K6015" s="11" t="s">
        <v>61</v>
      </c>
      <c r="L6015" s="11" t="s">
        <v>48</v>
      </c>
      <c r="M6015" s="11" t="s">
        <v>28</v>
      </c>
      <c r="N6015" s="11" t="s">
        <v>42</v>
      </c>
      <c r="O6015" s="11" t="s">
        <v>1129</v>
      </c>
      <c r="P6015" s="11" t="s">
        <v>38</v>
      </c>
      <c r="Q6015" s="20">
        <v>40864.0</v>
      </c>
      <c r="R6015" s="17">
        <f t="shared" si="2"/>
        <v>7.6817792</v>
      </c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>
        <f t="shared" si="8"/>
        <v>4</v>
      </c>
      <c r="AF6015" s="19">
        <f t="shared" si="13"/>
        <v>4</v>
      </c>
      <c r="AG6015" s="9"/>
      <c r="AH6015" s="9"/>
      <c r="AI6015" s="9"/>
    </row>
    <row r="6016" ht="15.0" customHeight="1">
      <c r="A6016" s="11">
        <v>6015.0</v>
      </c>
      <c r="B6016" s="12">
        <f t="shared" si="967"/>
        <v>40862</v>
      </c>
      <c r="C6016" s="13">
        <v>2011.0</v>
      </c>
      <c r="D6016" s="11" t="s">
        <v>39</v>
      </c>
      <c r="E6016" s="11">
        <v>40.0</v>
      </c>
      <c r="F6016" s="21" t="s">
        <v>872</v>
      </c>
      <c r="G6016" s="15">
        <v>0.07912932138284245</v>
      </c>
      <c r="H6016" s="11" t="s">
        <v>33</v>
      </c>
      <c r="I6016" s="16">
        <v>3.2</v>
      </c>
      <c r="J6016" s="11" t="s">
        <v>2168</v>
      </c>
      <c r="K6016" s="11" t="s">
        <v>35</v>
      </c>
      <c r="L6016" s="11" t="s">
        <v>41</v>
      </c>
      <c r="M6016" s="11" t="s">
        <v>66</v>
      </c>
      <c r="N6016" s="11" t="s">
        <v>67</v>
      </c>
      <c r="O6016" s="11" t="s">
        <v>874</v>
      </c>
      <c r="P6016" s="11" t="s">
        <v>38</v>
      </c>
      <c r="Q6016" s="20">
        <v>40864.0</v>
      </c>
      <c r="R6016" s="17">
        <f t="shared" si="2"/>
        <v>56.90980794</v>
      </c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>
        <f t="shared" si="8"/>
        <v>3</v>
      </c>
      <c r="AF6016" s="19">
        <f t="shared" si="13"/>
        <v>2</v>
      </c>
      <c r="AG6016" s="9"/>
      <c r="AH6016" s="9"/>
      <c r="AI6016" s="9"/>
    </row>
    <row r="6017" ht="15.0" customHeight="1">
      <c r="A6017" s="11">
        <v>6016.0</v>
      </c>
      <c r="B6017" s="12">
        <f t="shared" si="967"/>
        <v>40862</v>
      </c>
      <c r="C6017" s="13">
        <v>2011.0</v>
      </c>
      <c r="D6017" s="11" t="s">
        <v>44</v>
      </c>
      <c r="E6017" s="11">
        <v>29.0</v>
      </c>
      <c r="F6017" s="21" t="s">
        <v>834</v>
      </c>
      <c r="G6017" s="15">
        <v>0.05699885749475343</v>
      </c>
      <c r="H6017" s="11" t="s">
        <v>45</v>
      </c>
      <c r="I6017" s="16">
        <v>11.76</v>
      </c>
      <c r="J6017" s="11" t="s">
        <v>2101</v>
      </c>
      <c r="K6017" s="11" t="s">
        <v>65</v>
      </c>
      <c r="L6017" s="11" t="s">
        <v>36</v>
      </c>
      <c r="M6017" s="11" t="s">
        <v>66</v>
      </c>
      <c r="N6017" s="11" t="s">
        <v>69</v>
      </c>
      <c r="O6017" s="11" t="s">
        <v>2512</v>
      </c>
      <c r="P6017" s="11" t="s">
        <v>52</v>
      </c>
      <c r="Q6017" s="20">
        <v>40864.0</v>
      </c>
      <c r="R6017" s="17">
        <f t="shared" si="2"/>
        <v>663.3447237</v>
      </c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>
        <f t="shared" si="8"/>
        <v>2</v>
      </c>
      <c r="AF6017" s="19">
        <f t="shared" si="13"/>
        <v>5</v>
      </c>
      <c r="AG6017" s="9"/>
      <c r="AH6017" s="9"/>
      <c r="AI6017" s="9"/>
    </row>
    <row r="6018" ht="15.0" customHeight="1">
      <c r="A6018" s="11">
        <v>6017.0</v>
      </c>
      <c r="B6018" s="12">
        <f t="shared" si="967"/>
        <v>40862</v>
      </c>
      <c r="C6018" s="13">
        <v>2011.0</v>
      </c>
      <c r="D6018" s="11" t="s">
        <v>44</v>
      </c>
      <c r="E6018" s="11">
        <v>30.0</v>
      </c>
      <c r="F6018" s="21" t="s">
        <v>438</v>
      </c>
      <c r="G6018" s="15">
        <v>0.06645975996924881</v>
      </c>
      <c r="H6018" s="11" t="s">
        <v>45</v>
      </c>
      <c r="I6018" s="16">
        <v>23.28</v>
      </c>
      <c r="J6018" s="11" t="s">
        <v>2101</v>
      </c>
      <c r="K6018" s="11" t="s">
        <v>65</v>
      </c>
      <c r="L6018" s="11" t="s">
        <v>36</v>
      </c>
      <c r="M6018" s="11" t="s">
        <v>49</v>
      </c>
      <c r="N6018" s="11" t="s">
        <v>85</v>
      </c>
      <c r="O6018" s="11" t="s">
        <v>439</v>
      </c>
      <c r="P6018" s="11" t="s">
        <v>87</v>
      </c>
      <c r="Q6018" s="20">
        <v>40864.0</v>
      </c>
      <c r="R6018" s="17">
        <f t="shared" si="2"/>
        <v>435.7952549</v>
      </c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>
        <f t="shared" si="8"/>
        <v>2</v>
      </c>
      <c r="AF6018" s="19">
        <f t="shared" si="13"/>
        <v>5</v>
      </c>
      <c r="AG6018" s="9"/>
      <c r="AH6018" s="9"/>
      <c r="AI6018" s="9"/>
    </row>
    <row r="6019" ht="15.0" customHeight="1">
      <c r="A6019" s="11">
        <v>6018.0</v>
      </c>
      <c r="B6019" s="12">
        <f t="shared" ref="B6019:B6030" si="968">DATE(2012,12,31)-411</f>
        <v>40863</v>
      </c>
      <c r="C6019" s="13">
        <v>2011.0</v>
      </c>
      <c r="D6019" s="11" t="s">
        <v>23</v>
      </c>
      <c r="E6019" s="11">
        <v>32.0</v>
      </c>
      <c r="F6019" s="21" t="s">
        <v>694</v>
      </c>
      <c r="G6019" s="15">
        <v>0.03603697505813852</v>
      </c>
      <c r="H6019" s="11" t="s">
        <v>24</v>
      </c>
      <c r="I6019" s="16">
        <v>1.592</v>
      </c>
      <c r="J6019" s="11" t="s">
        <v>1025</v>
      </c>
      <c r="K6019" s="11" t="s">
        <v>117</v>
      </c>
      <c r="L6019" s="11" t="s">
        <v>48</v>
      </c>
      <c r="M6019" s="11" t="s">
        <v>66</v>
      </c>
      <c r="N6019" s="11" t="s">
        <v>67</v>
      </c>
      <c r="O6019" s="11" t="s">
        <v>695</v>
      </c>
      <c r="P6019" s="11" t="s">
        <v>99</v>
      </c>
      <c r="Q6019" s="20">
        <v>40864.0</v>
      </c>
      <c r="R6019" s="17">
        <f t="shared" si="2"/>
        <v>45.49278902</v>
      </c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>
        <f t="shared" si="8"/>
        <v>4</v>
      </c>
      <c r="AF6019" s="19" t="b">
        <f t="shared" si="13"/>
        <v>0</v>
      </c>
      <c r="AG6019" s="9"/>
      <c r="AH6019" s="9"/>
      <c r="AI6019" s="9"/>
    </row>
    <row r="6020" ht="15.0" customHeight="1">
      <c r="A6020" s="11">
        <v>6019.0</v>
      </c>
      <c r="B6020" s="12">
        <f t="shared" si="968"/>
        <v>40863</v>
      </c>
      <c r="C6020" s="13">
        <v>2011.0</v>
      </c>
      <c r="D6020" s="11" t="s">
        <v>23</v>
      </c>
      <c r="E6020" s="11">
        <v>5.0</v>
      </c>
      <c r="F6020" s="21" t="s">
        <v>163</v>
      </c>
      <c r="G6020" s="15">
        <v>0.10182114882506521</v>
      </c>
      <c r="H6020" s="11" t="s">
        <v>45</v>
      </c>
      <c r="I6020" s="16">
        <v>45.904</v>
      </c>
      <c r="J6020" s="11" t="s">
        <v>1025</v>
      </c>
      <c r="K6020" s="11" t="s">
        <v>117</v>
      </c>
      <c r="L6020" s="11" t="s">
        <v>48</v>
      </c>
      <c r="M6020" s="11" t="s">
        <v>49</v>
      </c>
      <c r="N6020" s="11" t="s">
        <v>156</v>
      </c>
      <c r="O6020" s="11" t="s">
        <v>852</v>
      </c>
      <c r="P6020" s="11" t="s">
        <v>87</v>
      </c>
      <c r="Q6020" s="20">
        <v>40864.0</v>
      </c>
      <c r="R6020" s="17">
        <f t="shared" si="2"/>
        <v>56.0427676</v>
      </c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>
        <f t="shared" si="8"/>
        <v>4</v>
      </c>
      <c r="AF6020" s="19" t="b">
        <f t="shared" si="13"/>
        <v>0</v>
      </c>
      <c r="AG6020" s="9"/>
      <c r="AH6020" s="9"/>
      <c r="AI6020" s="9"/>
    </row>
    <row r="6021" ht="15.0" customHeight="1">
      <c r="A6021" s="11">
        <v>6020.0</v>
      </c>
      <c r="B6021" s="12">
        <f t="shared" si="968"/>
        <v>40863</v>
      </c>
      <c r="C6021" s="13">
        <v>2011.0</v>
      </c>
      <c r="D6021" s="11" t="s">
        <v>23</v>
      </c>
      <c r="E6021" s="11">
        <v>41.0</v>
      </c>
      <c r="F6021" s="21" t="s">
        <v>306</v>
      </c>
      <c r="G6021" s="15">
        <v>0.044631432545201584</v>
      </c>
      <c r="H6021" s="11" t="s">
        <v>33</v>
      </c>
      <c r="I6021" s="16">
        <v>8.392000000000001</v>
      </c>
      <c r="J6021" s="11" t="s">
        <v>1025</v>
      </c>
      <c r="K6021" s="11" t="s">
        <v>117</v>
      </c>
      <c r="L6021" s="11" t="s">
        <v>48</v>
      </c>
      <c r="M6021" s="11" t="s">
        <v>49</v>
      </c>
      <c r="N6021" s="11" t="s">
        <v>73</v>
      </c>
      <c r="O6021" s="11" t="s">
        <v>1135</v>
      </c>
      <c r="P6021" s="11" t="s">
        <v>38</v>
      </c>
      <c r="Q6021" s="20">
        <v>40865.0</v>
      </c>
      <c r="R6021" s="17">
        <f t="shared" si="2"/>
        <v>36.7893328</v>
      </c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>
        <f t="shared" si="8"/>
        <v>4</v>
      </c>
      <c r="AF6021" s="19" t="b">
        <f t="shared" si="13"/>
        <v>0</v>
      </c>
      <c r="AG6021" s="9"/>
      <c r="AH6021" s="9"/>
      <c r="AI6021" s="9"/>
    </row>
    <row r="6022" ht="15.0" customHeight="1">
      <c r="A6022" s="11">
        <v>6021.0</v>
      </c>
      <c r="B6022" s="12">
        <f t="shared" si="968"/>
        <v>40863</v>
      </c>
      <c r="C6022" s="13">
        <v>2011.0</v>
      </c>
      <c r="D6022" s="11" t="s">
        <v>32</v>
      </c>
      <c r="E6022" s="11">
        <v>48.0</v>
      </c>
      <c r="F6022" s="21" t="s">
        <v>126</v>
      </c>
      <c r="G6022" s="15">
        <v>0.0386162510056314</v>
      </c>
      <c r="H6022" s="11" t="s">
        <v>33</v>
      </c>
      <c r="I6022" s="16">
        <v>3.8000000000000003</v>
      </c>
      <c r="J6022" s="11" t="s">
        <v>1472</v>
      </c>
      <c r="K6022" s="11" t="s">
        <v>83</v>
      </c>
      <c r="L6022" s="11" t="s">
        <v>48</v>
      </c>
      <c r="M6022" s="11" t="s">
        <v>28</v>
      </c>
      <c r="N6022" s="11" t="s">
        <v>56</v>
      </c>
      <c r="O6022" s="11" t="s">
        <v>313</v>
      </c>
      <c r="P6022" s="11" t="s">
        <v>38</v>
      </c>
      <c r="Q6022" s="20">
        <v>40865.0</v>
      </c>
      <c r="R6022" s="17">
        <f t="shared" si="2"/>
        <v>9.22928399</v>
      </c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>
        <f t="shared" si="8"/>
        <v>4</v>
      </c>
      <c r="AF6022" s="19" t="b">
        <f t="shared" si="13"/>
        <v>0</v>
      </c>
      <c r="AG6022" s="9"/>
      <c r="AH6022" s="9"/>
      <c r="AI6022" s="9"/>
    </row>
    <row r="6023" ht="15.0" customHeight="1">
      <c r="A6023" s="11">
        <v>6022.0</v>
      </c>
      <c r="B6023" s="12">
        <f t="shared" si="968"/>
        <v>40863</v>
      </c>
      <c r="C6023" s="13">
        <v>2011.0</v>
      </c>
      <c r="D6023" s="11" t="s">
        <v>32</v>
      </c>
      <c r="E6023" s="11">
        <v>24.0</v>
      </c>
      <c r="F6023" s="21" t="s">
        <v>277</v>
      </c>
      <c r="G6023" s="15">
        <v>0.0946882217090068</v>
      </c>
      <c r="H6023" s="11" t="s">
        <v>33</v>
      </c>
      <c r="I6023" s="16">
        <v>0.8</v>
      </c>
      <c r="J6023" s="11" t="s">
        <v>1472</v>
      </c>
      <c r="K6023" s="11" t="s">
        <v>83</v>
      </c>
      <c r="L6023" s="11" t="s">
        <v>48</v>
      </c>
      <c r="M6023" s="11" t="s">
        <v>28</v>
      </c>
      <c r="N6023" s="11" t="s">
        <v>62</v>
      </c>
      <c r="O6023" s="11" t="s">
        <v>278</v>
      </c>
      <c r="P6023" s="11" t="s">
        <v>58</v>
      </c>
      <c r="Q6023" s="20">
        <v>40865.0</v>
      </c>
      <c r="R6023" s="17">
        <f t="shared" si="2"/>
        <v>3.711778291</v>
      </c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>
        <f t="shared" si="8"/>
        <v>4</v>
      </c>
      <c r="AF6023" s="19" t="b">
        <f t="shared" si="13"/>
        <v>0</v>
      </c>
      <c r="AG6023" s="9"/>
      <c r="AH6023" s="9"/>
      <c r="AI6023" s="9"/>
    </row>
    <row r="6024" ht="15.0" customHeight="1">
      <c r="A6024" s="11">
        <v>6023.0</v>
      </c>
      <c r="B6024" s="12">
        <f t="shared" si="968"/>
        <v>40863</v>
      </c>
      <c r="C6024" s="13">
        <v>2011.0</v>
      </c>
      <c r="D6024" s="11" t="s">
        <v>32</v>
      </c>
      <c r="E6024" s="11">
        <v>48.0</v>
      </c>
      <c r="F6024" s="21" t="s">
        <v>128</v>
      </c>
      <c r="G6024" s="15">
        <v>0.010888997874775097</v>
      </c>
      <c r="H6024" s="11" t="s">
        <v>33</v>
      </c>
      <c r="I6024" s="16">
        <v>7.192</v>
      </c>
      <c r="J6024" s="11" t="s">
        <v>1472</v>
      </c>
      <c r="K6024" s="11" t="s">
        <v>83</v>
      </c>
      <c r="L6024" s="11" t="s">
        <v>48</v>
      </c>
      <c r="M6024" s="11" t="s">
        <v>66</v>
      </c>
      <c r="N6024" s="11" t="s">
        <v>80</v>
      </c>
      <c r="O6024" s="11" t="s">
        <v>214</v>
      </c>
      <c r="P6024" s="11" t="s">
        <v>38</v>
      </c>
      <c r="Q6024" s="20">
        <v>40865.0</v>
      </c>
      <c r="R6024" s="17">
        <f t="shared" si="2"/>
        <v>65.88270563</v>
      </c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>
        <f t="shared" si="8"/>
        <v>4</v>
      </c>
      <c r="AF6024" s="19" t="b">
        <f t="shared" si="13"/>
        <v>0</v>
      </c>
      <c r="AG6024" s="9"/>
      <c r="AH6024" s="9"/>
      <c r="AI6024" s="9"/>
    </row>
    <row r="6025" ht="15.0" customHeight="1">
      <c r="A6025" s="11">
        <v>6024.0</v>
      </c>
      <c r="B6025" s="12">
        <f t="shared" si="968"/>
        <v>40863</v>
      </c>
      <c r="C6025" s="13">
        <v>2011.0</v>
      </c>
      <c r="D6025" s="11" t="s">
        <v>102</v>
      </c>
      <c r="E6025" s="11">
        <v>8.0</v>
      </c>
      <c r="F6025" s="21" t="s">
        <v>100</v>
      </c>
      <c r="G6025" s="15">
        <v>0.04830053667262972</v>
      </c>
      <c r="H6025" s="11" t="s">
        <v>33</v>
      </c>
      <c r="I6025" s="16">
        <v>2.0</v>
      </c>
      <c r="J6025" s="11" t="s">
        <v>1829</v>
      </c>
      <c r="K6025" s="11" t="s">
        <v>83</v>
      </c>
      <c r="L6025" s="11" t="s">
        <v>36</v>
      </c>
      <c r="M6025" s="11" t="s">
        <v>66</v>
      </c>
      <c r="N6025" s="11" t="s">
        <v>80</v>
      </c>
      <c r="O6025" s="11" t="s">
        <v>478</v>
      </c>
      <c r="P6025" s="11" t="s">
        <v>38</v>
      </c>
      <c r="Q6025" s="20">
        <v>40865.0</v>
      </c>
      <c r="R6025" s="17">
        <f t="shared" si="2"/>
        <v>79.65724508</v>
      </c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>
        <f t="shared" si="8"/>
        <v>2</v>
      </c>
      <c r="AF6025" s="19" t="b">
        <f t="shared" si="13"/>
        <v>0</v>
      </c>
      <c r="AG6025" s="9"/>
      <c r="AH6025" s="9"/>
      <c r="AI6025" s="9"/>
    </row>
    <row r="6026" ht="15.0" customHeight="1">
      <c r="A6026" s="11">
        <v>6025.0</v>
      </c>
      <c r="B6026" s="12">
        <f t="shared" si="968"/>
        <v>40863</v>
      </c>
      <c r="C6026" s="13">
        <v>2011.0</v>
      </c>
      <c r="D6026" s="11" t="s">
        <v>44</v>
      </c>
      <c r="E6026" s="11">
        <v>17.0</v>
      </c>
      <c r="F6026" s="21" t="s">
        <v>952</v>
      </c>
      <c r="G6026" s="15">
        <v>0.07465070366412498</v>
      </c>
      <c r="H6026" s="11" t="s">
        <v>33</v>
      </c>
      <c r="I6026" s="16">
        <v>19.592</v>
      </c>
      <c r="J6026" s="11" t="s">
        <v>1979</v>
      </c>
      <c r="K6026" s="11" t="s">
        <v>61</v>
      </c>
      <c r="L6026" s="11" t="s">
        <v>48</v>
      </c>
      <c r="M6026" s="11" t="s">
        <v>66</v>
      </c>
      <c r="N6026" s="11" t="s">
        <v>170</v>
      </c>
      <c r="O6026" s="11" t="s">
        <v>2110</v>
      </c>
      <c r="P6026" s="11" t="s">
        <v>31</v>
      </c>
      <c r="Q6026" s="20">
        <v>40865.0</v>
      </c>
      <c r="R6026" s="17">
        <f t="shared" si="2"/>
        <v>762.7728278</v>
      </c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>
        <f t="shared" si="8"/>
        <v>4</v>
      </c>
      <c r="AF6026" s="19">
        <f t="shared" si="13"/>
        <v>4</v>
      </c>
      <c r="AG6026" s="9"/>
      <c r="AH6026" s="9"/>
      <c r="AI6026" s="9"/>
    </row>
    <row r="6027" ht="15.0" customHeight="1">
      <c r="A6027" s="11">
        <v>6026.0</v>
      </c>
      <c r="B6027" s="12">
        <f t="shared" si="968"/>
        <v>40863</v>
      </c>
      <c r="C6027" s="13">
        <v>2011.0</v>
      </c>
      <c r="D6027" s="11" t="s">
        <v>44</v>
      </c>
      <c r="E6027" s="11">
        <v>46.0</v>
      </c>
      <c r="F6027" s="21" t="s">
        <v>270</v>
      </c>
      <c r="G6027" s="15">
        <v>0.07701009312984557</v>
      </c>
      <c r="H6027" s="11" t="s">
        <v>33</v>
      </c>
      <c r="I6027" s="16">
        <v>11.56</v>
      </c>
      <c r="J6027" s="11" t="s">
        <v>1979</v>
      </c>
      <c r="K6027" s="11" t="s">
        <v>61</v>
      </c>
      <c r="L6027" s="11" t="s">
        <v>48</v>
      </c>
      <c r="M6027" s="11" t="s">
        <v>49</v>
      </c>
      <c r="N6027" s="11" t="s">
        <v>73</v>
      </c>
      <c r="O6027" s="11" t="s">
        <v>2259</v>
      </c>
      <c r="P6027" s="11" t="s">
        <v>31</v>
      </c>
      <c r="Q6027" s="20">
        <v>40865.0</v>
      </c>
      <c r="R6027" s="17">
        <f t="shared" si="2"/>
        <v>145.7770259</v>
      </c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>
        <f t="shared" si="8"/>
        <v>4</v>
      </c>
      <c r="AF6027" s="19">
        <f t="shared" si="13"/>
        <v>4</v>
      </c>
      <c r="AG6027" s="9"/>
      <c r="AH6027" s="9"/>
      <c r="AI6027" s="9"/>
    </row>
    <row r="6028" ht="15.0" customHeight="1">
      <c r="A6028" s="11">
        <v>6027.0</v>
      </c>
      <c r="B6028" s="12">
        <f t="shared" si="968"/>
        <v>40863</v>
      </c>
      <c r="C6028" s="13">
        <v>2011.0</v>
      </c>
      <c r="D6028" s="11" t="s">
        <v>44</v>
      </c>
      <c r="E6028" s="11">
        <v>23.0</v>
      </c>
      <c r="F6028" s="21" t="s">
        <v>158</v>
      </c>
      <c r="G6028" s="15">
        <v>0.02875399361022346</v>
      </c>
      <c r="H6028" s="11" t="s">
        <v>33</v>
      </c>
      <c r="I6028" s="16">
        <v>4.800000000000001</v>
      </c>
      <c r="J6028" s="11" t="s">
        <v>1979</v>
      </c>
      <c r="K6028" s="11" t="s">
        <v>61</v>
      </c>
      <c r="L6028" s="11" t="s">
        <v>48</v>
      </c>
      <c r="M6028" s="11" t="s">
        <v>28</v>
      </c>
      <c r="N6028" s="11" t="s">
        <v>56</v>
      </c>
      <c r="O6028" s="11" t="s">
        <v>2577</v>
      </c>
      <c r="P6028" s="11" t="s">
        <v>38</v>
      </c>
      <c r="Q6028" s="20">
        <v>40866.0</v>
      </c>
      <c r="R6028" s="17">
        <f t="shared" si="2"/>
        <v>4.370607029</v>
      </c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>
        <f t="shared" si="8"/>
        <v>4</v>
      </c>
      <c r="AF6028" s="19">
        <f t="shared" si="13"/>
        <v>4</v>
      </c>
      <c r="AG6028" s="9"/>
      <c r="AH6028" s="9"/>
      <c r="AI6028" s="9"/>
    </row>
    <row r="6029" ht="15.0" customHeight="1">
      <c r="A6029" s="11">
        <v>6028.0</v>
      </c>
      <c r="B6029" s="12">
        <f t="shared" si="968"/>
        <v>40863</v>
      </c>
      <c r="C6029" s="13">
        <v>2011.0</v>
      </c>
      <c r="D6029" s="11" t="s">
        <v>23</v>
      </c>
      <c r="E6029" s="11">
        <v>42.0</v>
      </c>
      <c r="F6029" s="21" t="s">
        <v>126</v>
      </c>
      <c r="G6029" s="15">
        <v>0.08402097902097896</v>
      </c>
      <c r="H6029" s="11" t="s">
        <v>33</v>
      </c>
      <c r="I6029" s="16">
        <v>3.776</v>
      </c>
      <c r="J6029" s="11" t="s">
        <v>1419</v>
      </c>
      <c r="K6029" s="11" t="s">
        <v>61</v>
      </c>
      <c r="L6029" s="11" t="s">
        <v>41</v>
      </c>
      <c r="M6029" s="11" t="s">
        <v>28</v>
      </c>
      <c r="N6029" s="11" t="s">
        <v>56</v>
      </c>
      <c r="O6029" s="11" t="s">
        <v>1299</v>
      </c>
      <c r="P6029" s="11" t="s">
        <v>38</v>
      </c>
      <c r="Q6029" s="20">
        <v>40866.0</v>
      </c>
      <c r="R6029" s="17">
        <f t="shared" si="2"/>
        <v>17.6087807</v>
      </c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>
        <f t="shared" si="8"/>
        <v>3</v>
      </c>
      <c r="AF6029" s="19">
        <f t="shared" si="13"/>
        <v>4</v>
      </c>
      <c r="AG6029" s="9"/>
      <c r="AH6029" s="9"/>
      <c r="AI6029" s="9"/>
    </row>
    <row r="6030" ht="15.0" customHeight="1">
      <c r="A6030" s="11">
        <v>6029.0</v>
      </c>
      <c r="B6030" s="12">
        <f t="shared" si="968"/>
        <v>40863</v>
      </c>
      <c r="C6030" s="13">
        <v>2011.0</v>
      </c>
      <c r="D6030" s="11" t="s">
        <v>23</v>
      </c>
      <c r="E6030" s="11">
        <v>3.0</v>
      </c>
      <c r="F6030" s="21" t="s">
        <v>569</v>
      </c>
      <c r="G6030" s="15">
        <v>0.011605351170568464</v>
      </c>
      <c r="H6030" s="11" t="s">
        <v>33</v>
      </c>
      <c r="I6030" s="16">
        <v>3.3600000000000003</v>
      </c>
      <c r="J6030" s="11" t="s">
        <v>1419</v>
      </c>
      <c r="K6030" s="11" t="s">
        <v>61</v>
      </c>
      <c r="L6030" s="11" t="s">
        <v>41</v>
      </c>
      <c r="M6030" s="11" t="s">
        <v>66</v>
      </c>
      <c r="N6030" s="11" t="s">
        <v>80</v>
      </c>
      <c r="O6030" s="11" t="s">
        <v>2067</v>
      </c>
      <c r="P6030" s="11" t="s">
        <v>38</v>
      </c>
      <c r="Q6030" s="20">
        <v>40866.0</v>
      </c>
      <c r="R6030" s="17">
        <f t="shared" si="2"/>
        <v>6.859458863</v>
      </c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>
        <f t="shared" si="8"/>
        <v>3</v>
      </c>
      <c r="AF6030" s="19">
        <f t="shared" si="13"/>
        <v>4</v>
      </c>
      <c r="AG6030" s="9"/>
      <c r="AH6030" s="9"/>
      <c r="AI6030" s="9"/>
    </row>
    <row r="6031" ht="15.0" customHeight="1">
      <c r="A6031" s="11">
        <v>6030.0</v>
      </c>
      <c r="B6031" s="12">
        <f t="shared" ref="B6031:B6034" si="969">DATE(2012,12,31)-410</f>
        <v>40864</v>
      </c>
      <c r="C6031" s="13">
        <v>2011.0</v>
      </c>
      <c r="D6031" s="11" t="s">
        <v>102</v>
      </c>
      <c r="E6031" s="11">
        <v>3.0</v>
      </c>
      <c r="F6031" s="21" t="s">
        <v>1428</v>
      </c>
      <c r="G6031" s="15">
        <v>0.0664459182678239</v>
      </c>
      <c r="H6031" s="11" t="s">
        <v>33</v>
      </c>
      <c r="I6031" s="16">
        <v>15.991999999999999</v>
      </c>
      <c r="J6031" s="11" t="s">
        <v>1440</v>
      </c>
      <c r="K6031" s="11" t="s">
        <v>26</v>
      </c>
      <c r="L6031" s="11" t="s">
        <v>27</v>
      </c>
      <c r="M6031" s="11" t="s">
        <v>28</v>
      </c>
      <c r="N6031" s="11" t="s">
        <v>42</v>
      </c>
      <c r="O6031" s="11" t="s">
        <v>1429</v>
      </c>
      <c r="P6031" s="11" t="s">
        <v>38</v>
      </c>
      <c r="Q6031" s="20">
        <v>40866.0</v>
      </c>
      <c r="R6031" s="17">
        <f t="shared" si="2"/>
        <v>254.4009557</v>
      </c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>
        <f t="shared" si="8"/>
        <v>1</v>
      </c>
      <c r="AF6031" s="19">
        <f t="shared" si="13"/>
        <v>1</v>
      </c>
      <c r="AG6031" s="9"/>
      <c r="AH6031" s="9"/>
      <c r="AI6031" s="9"/>
    </row>
    <row r="6032" ht="15.0" customHeight="1">
      <c r="A6032" s="11">
        <v>6031.0</v>
      </c>
      <c r="B6032" s="12">
        <f t="shared" si="969"/>
        <v>40864</v>
      </c>
      <c r="C6032" s="13">
        <v>2011.0</v>
      </c>
      <c r="D6032" s="11" t="s">
        <v>102</v>
      </c>
      <c r="E6032" s="11">
        <v>13.0</v>
      </c>
      <c r="F6032" s="21" t="s">
        <v>629</v>
      </c>
      <c r="G6032" s="15">
        <v>0.06759295499021542</v>
      </c>
      <c r="H6032" s="11" t="s">
        <v>33</v>
      </c>
      <c r="I6032" s="16">
        <v>0.392</v>
      </c>
      <c r="J6032" s="11" t="s">
        <v>1440</v>
      </c>
      <c r="K6032" s="11" t="s">
        <v>26</v>
      </c>
      <c r="L6032" s="11" t="s">
        <v>27</v>
      </c>
      <c r="M6032" s="11" t="s">
        <v>28</v>
      </c>
      <c r="N6032" s="11" t="s">
        <v>188</v>
      </c>
      <c r="O6032" s="11" t="s">
        <v>631</v>
      </c>
      <c r="P6032" s="11" t="s">
        <v>38</v>
      </c>
      <c r="Q6032" s="20">
        <v>40866.0</v>
      </c>
      <c r="R6032" s="17">
        <f t="shared" si="2"/>
        <v>6.441067867</v>
      </c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>
        <f t="shared" si="8"/>
        <v>1</v>
      </c>
      <c r="AF6032" s="19">
        <f t="shared" si="13"/>
        <v>1</v>
      </c>
      <c r="AG6032" s="9"/>
      <c r="AH6032" s="9"/>
      <c r="AI6032" s="9"/>
    </row>
    <row r="6033" ht="15.0" customHeight="1">
      <c r="A6033" s="11">
        <v>6032.0</v>
      </c>
      <c r="B6033" s="12">
        <f t="shared" si="969"/>
        <v>40864</v>
      </c>
      <c r="C6033" s="13">
        <v>2011.0</v>
      </c>
      <c r="D6033" s="11" t="s">
        <v>44</v>
      </c>
      <c r="E6033" s="11">
        <v>38.0</v>
      </c>
      <c r="F6033" s="21" t="s">
        <v>207</v>
      </c>
      <c r="G6033" s="15">
        <v>0.0918360071301248</v>
      </c>
      <c r="H6033" s="11" t="s">
        <v>33</v>
      </c>
      <c r="I6033" s="16">
        <v>2.3920000000000003</v>
      </c>
      <c r="J6033" s="11" t="s">
        <v>2496</v>
      </c>
      <c r="K6033" s="11" t="s">
        <v>47</v>
      </c>
      <c r="L6033" s="11" t="s">
        <v>27</v>
      </c>
      <c r="M6033" s="11" t="s">
        <v>28</v>
      </c>
      <c r="N6033" s="11" t="s">
        <v>42</v>
      </c>
      <c r="O6033" s="11" t="s">
        <v>682</v>
      </c>
      <c r="P6033" s="11" t="s">
        <v>38</v>
      </c>
      <c r="Q6033" s="20">
        <v>40866.0</v>
      </c>
      <c r="R6033" s="17">
        <f t="shared" si="2"/>
        <v>18.71544357</v>
      </c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>
        <f t="shared" si="8"/>
        <v>1</v>
      </c>
      <c r="AF6033" s="19">
        <f t="shared" si="13"/>
        <v>3</v>
      </c>
      <c r="AG6033" s="9"/>
      <c r="AH6033" s="9"/>
      <c r="AI6033" s="9"/>
    </row>
    <row r="6034" ht="15.0" customHeight="1">
      <c r="A6034" s="11">
        <v>6033.0</v>
      </c>
      <c r="B6034" s="12">
        <f t="shared" si="969"/>
        <v>40864</v>
      </c>
      <c r="C6034" s="13">
        <v>2011.0</v>
      </c>
      <c r="D6034" s="11" t="s">
        <v>39</v>
      </c>
      <c r="E6034" s="11">
        <v>26.0</v>
      </c>
      <c r="F6034" s="21" t="s">
        <v>287</v>
      </c>
      <c r="G6034" s="15">
        <v>0.08363614282244351</v>
      </c>
      <c r="H6034" s="11" t="s">
        <v>33</v>
      </c>
      <c r="I6034" s="16">
        <v>4.736</v>
      </c>
      <c r="J6034" s="11" t="s">
        <v>349</v>
      </c>
      <c r="K6034" s="11" t="s">
        <v>61</v>
      </c>
      <c r="L6034" s="11" t="s">
        <v>48</v>
      </c>
      <c r="M6034" s="11" t="s">
        <v>66</v>
      </c>
      <c r="N6034" s="11" t="s">
        <v>80</v>
      </c>
      <c r="O6034" s="11" t="s">
        <v>435</v>
      </c>
      <c r="P6034" s="11" t="s">
        <v>38</v>
      </c>
      <c r="Q6034" s="20">
        <v>40866.0</v>
      </c>
      <c r="R6034" s="17">
        <f t="shared" si="2"/>
        <v>252.4252536</v>
      </c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>
        <f t="shared" si="8"/>
        <v>4</v>
      </c>
      <c r="AF6034" s="19">
        <f t="shared" si="13"/>
        <v>4</v>
      </c>
      <c r="AG6034" s="9"/>
      <c r="AH6034" s="9"/>
      <c r="AI6034" s="9"/>
    </row>
    <row r="6035" ht="15.0" customHeight="1">
      <c r="A6035" s="11">
        <v>6034.0</v>
      </c>
      <c r="B6035" s="12">
        <f t="shared" ref="B6035:B6046" si="970">DATE(2012,12,31)-409</f>
        <v>40865</v>
      </c>
      <c r="C6035" s="13">
        <v>2011.0</v>
      </c>
      <c r="D6035" s="11" t="s">
        <v>44</v>
      </c>
      <c r="E6035" s="11">
        <v>19.0</v>
      </c>
      <c r="F6035" s="21" t="s">
        <v>810</v>
      </c>
      <c r="G6035" s="15">
        <v>0.10194585448392564</v>
      </c>
      <c r="H6035" s="11" t="s">
        <v>33</v>
      </c>
      <c r="I6035" s="16">
        <v>5.2</v>
      </c>
      <c r="J6035" s="11" t="s">
        <v>323</v>
      </c>
      <c r="K6035" s="11" t="s">
        <v>61</v>
      </c>
      <c r="L6035" s="11" t="s">
        <v>48</v>
      </c>
      <c r="M6035" s="11" t="s">
        <v>66</v>
      </c>
      <c r="N6035" s="11" t="s">
        <v>67</v>
      </c>
      <c r="O6035" s="11" t="s">
        <v>1974</v>
      </c>
      <c r="P6035" s="11" t="s">
        <v>38</v>
      </c>
      <c r="Q6035" s="20">
        <v>40866.0</v>
      </c>
      <c r="R6035" s="17">
        <f t="shared" si="2"/>
        <v>21.64310491</v>
      </c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>
        <f t="shared" si="8"/>
        <v>4</v>
      </c>
      <c r="AF6035" s="19">
        <f t="shared" si="13"/>
        <v>4</v>
      </c>
      <c r="AG6035" s="9"/>
      <c r="AH6035" s="9"/>
      <c r="AI6035" s="9"/>
    </row>
    <row r="6036" ht="15.0" customHeight="1">
      <c r="A6036" s="11">
        <v>6035.0</v>
      </c>
      <c r="B6036" s="12">
        <f t="shared" si="970"/>
        <v>40865</v>
      </c>
      <c r="C6036" s="13">
        <v>2011.0</v>
      </c>
      <c r="D6036" s="11" t="s">
        <v>32</v>
      </c>
      <c r="E6036" s="11">
        <v>42.0</v>
      </c>
      <c r="F6036" s="21" t="s">
        <v>413</v>
      </c>
      <c r="G6036" s="15">
        <v>0.0717260027039208</v>
      </c>
      <c r="H6036" s="11" t="s">
        <v>33</v>
      </c>
      <c r="I6036" s="16">
        <v>4.5680000000000005</v>
      </c>
      <c r="J6036" s="11" t="s">
        <v>2486</v>
      </c>
      <c r="K6036" s="11" t="s">
        <v>35</v>
      </c>
      <c r="L6036" s="11" t="s">
        <v>48</v>
      </c>
      <c r="M6036" s="11" t="s">
        <v>49</v>
      </c>
      <c r="N6036" s="11" t="s">
        <v>73</v>
      </c>
      <c r="O6036" s="11" t="s">
        <v>2564</v>
      </c>
      <c r="P6036" s="11" t="s">
        <v>38</v>
      </c>
      <c r="Q6036" s="20">
        <v>40866.0</v>
      </c>
      <c r="R6036" s="17">
        <f t="shared" si="2"/>
        <v>29.54881788</v>
      </c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>
        <f t="shared" si="8"/>
        <v>4</v>
      </c>
      <c r="AF6036" s="19">
        <f t="shared" si="13"/>
        <v>2</v>
      </c>
      <c r="AG6036" s="9"/>
      <c r="AH6036" s="9"/>
      <c r="AI6036" s="9"/>
    </row>
    <row r="6037" ht="15.0" customHeight="1">
      <c r="A6037" s="11">
        <v>6036.0</v>
      </c>
      <c r="B6037" s="12">
        <f t="shared" si="970"/>
        <v>40865</v>
      </c>
      <c r="C6037" s="13">
        <v>2011.0</v>
      </c>
      <c r="D6037" s="11" t="s">
        <v>102</v>
      </c>
      <c r="E6037" s="11">
        <v>20.0</v>
      </c>
      <c r="F6037" s="21" t="s">
        <v>218</v>
      </c>
      <c r="G6037" s="15">
        <v>0.06978393351800556</v>
      </c>
      <c r="H6037" s="11" t="s">
        <v>33</v>
      </c>
      <c r="I6037" s="16">
        <v>1.904</v>
      </c>
      <c r="J6037" s="11" t="s">
        <v>1731</v>
      </c>
      <c r="K6037" s="11" t="s">
        <v>35</v>
      </c>
      <c r="L6037" s="11" t="s">
        <v>48</v>
      </c>
      <c r="M6037" s="11" t="s">
        <v>66</v>
      </c>
      <c r="N6037" s="11" t="s">
        <v>67</v>
      </c>
      <c r="O6037" s="11" t="s">
        <v>773</v>
      </c>
      <c r="P6037" s="11" t="s">
        <v>99</v>
      </c>
      <c r="Q6037" s="20">
        <v>40867.0</v>
      </c>
      <c r="R6037" s="17">
        <f t="shared" si="2"/>
        <v>11.71700157</v>
      </c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>
        <f t="shared" si="8"/>
        <v>4</v>
      </c>
      <c r="AF6037" s="19">
        <f t="shared" si="13"/>
        <v>2</v>
      </c>
      <c r="AG6037" s="9"/>
      <c r="AH6037" s="9"/>
      <c r="AI6037" s="9"/>
    </row>
    <row r="6038" ht="15.0" customHeight="1">
      <c r="A6038" s="11">
        <v>6037.0</v>
      </c>
      <c r="B6038" s="12">
        <f t="shared" si="970"/>
        <v>40865</v>
      </c>
      <c r="C6038" s="13">
        <v>2011.0</v>
      </c>
      <c r="D6038" s="11" t="s">
        <v>102</v>
      </c>
      <c r="E6038" s="11">
        <v>28.0</v>
      </c>
      <c r="F6038" s="21" t="s">
        <v>158</v>
      </c>
      <c r="G6038" s="15">
        <v>0.058249873545776244</v>
      </c>
      <c r="H6038" s="11" t="s">
        <v>33</v>
      </c>
      <c r="I6038" s="16">
        <v>6.984000000000001</v>
      </c>
      <c r="J6038" s="11" t="s">
        <v>1731</v>
      </c>
      <c r="K6038" s="11" t="s">
        <v>35</v>
      </c>
      <c r="L6038" s="11" t="s">
        <v>48</v>
      </c>
      <c r="M6038" s="11" t="s">
        <v>28</v>
      </c>
      <c r="N6038" s="11" t="s">
        <v>56</v>
      </c>
      <c r="O6038" s="11" t="s">
        <v>160</v>
      </c>
      <c r="P6038" s="11" t="s">
        <v>38</v>
      </c>
      <c r="Q6038" s="20">
        <v>40867.0</v>
      </c>
      <c r="R6038" s="17">
        <f t="shared" si="2"/>
        <v>10.84519446</v>
      </c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>
        <f t="shared" si="8"/>
        <v>4</v>
      </c>
      <c r="AF6038" s="19">
        <f t="shared" si="13"/>
        <v>2</v>
      </c>
      <c r="AG6038" s="9"/>
      <c r="AH6038" s="9"/>
      <c r="AI6038" s="9"/>
    </row>
    <row r="6039" ht="15.0" customHeight="1">
      <c r="A6039" s="11">
        <v>6038.0</v>
      </c>
      <c r="B6039" s="12">
        <f t="shared" si="970"/>
        <v>40865</v>
      </c>
      <c r="C6039" s="13">
        <v>2011.0</v>
      </c>
      <c r="D6039" s="11" t="s">
        <v>102</v>
      </c>
      <c r="E6039" s="11">
        <v>29.0</v>
      </c>
      <c r="F6039" s="21" t="s">
        <v>287</v>
      </c>
      <c r="G6039" s="15">
        <v>0.06627241934588256</v>
      </c>
      <c r="H6039" s="11" t="s">
        <v>33</v>
      </c>
      <c r="I6039" s="16">
        <v>2.0</v>
      </c>
      <c r="J6039" s="11" t="s">
        <v>1731</v>
      </c>
      <c r="K6039" s="11" t="s">
        <v>35</v>
      </c>
      <c r="L6039" s="11" t="s">
        <v>48</v>
      </c>
      <c r="M6039" s="11" t="s">
        <v>66</v>
      </c>
      <c r="N6039" s="11" t="s">
        <v>80</v>
      </c>
      <c r="O6039" s="11" t="s">
        <v>2088</v>
      </c>
      <c r="P6039" s="11" t="s">
        <v>38</v>
      </c>
      <c r="Q6039" s="20">
        <v>40867.0</v>
      </c>
      <c r="R6039" s="17">
        <f t="shared" si="2"/>
        <v>222.8807735</v>
      </c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>
        <f t="shared" si="8"/>
        <v>4</v>
      </c>
      <c r="AF6039" s="19">
        <f t="shared" si="13"/>
        <v>2</v>
      </c>
      <c r="AG6039" s="9"/>
      <c r="AH6039" s="9"/>
      <c r="AI6039" s="9"/>
    </row>
    <row r="6040" ht="15.0" customHeight="1">
      <c r="A6040" s="11">
        <v>6039.0</v>
      </c>
      <c r="B6040" s="12">
        <f t="shared" si="970"/>
        <v>40865</v>
      </c>
      <c r="C6040" s="13">
        <v>2011.0</v>
      </c>
      <c r="D6040" s="11" t="s">
        <v>102</v>
      </c>
      <c r="E6040" s="11">
        <v>30.0</v>
      </c>
      <c r="F6040" s="21" t="s">
        <v>881</v>
      </c>
      <c r="G6040" s="15">
        <v>0.09623762376237628</v>
      </c>
      <c r="H6040" s="11" t="s">
        <v>33</v>
      </c>
      <c r="I6040" s="16">
        <v>3.2</v>
      </c>
      <c r="J6040" s="11" t="s">
        <v>1731</v>
      </c>
      <c r="K6040" s="11" t="s">
        <v>35</v>
      </c>
      <c r="L6040" s="11" t="s">
        <v>48</v>
      </c>
      <c r="M6040" s="11" t="s">
        <v>49</v>
      </c>
      <c r="N6040" s="11" t="s">
        <v>73</v>
      </c>
      <c r="O6040" s="11" t="s">
        <v>883</v>
      </c>
      <c r="P6040" s="11" t="s">
        <v>58</v>
      </c>
      <c r="Q6040" s="20">
        <v>40867.0</v>
      </c>
      <c r="R6040" s="17">
        <f t="shared" si="2"/>
        <v>21.96142574</v>
      </c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>
        <f t="shared" si="8"/>
        <v>4</v>
      </c>
      <c r="AF6040" s="19">
        <f t="shared" si="13"/>
        <v>2</v>
      </c>
      <c r="AG6040" s="9"/>
      <c r="AH6040" s="9"/>
      <c r="AI6040" s="9"/>
    </row>
    <row r="6041" ht="15.0" customHeight="1">
      <c r="A6041" s="11">
        <v>6040.0</v>
      </c>
      <c r="B6041" s="12">
        <f t="shared" si="970"/>
        <v>40865</v>
      </c>
      <c r="C6041" s="13">
        <v>2011.0</v>
      </c>
      <c r="D6041" s="11" t="s">
        <v>32</v>
      </c>
      <c r="E6041" s="11">
        <v>32.0</v>
      </c>
      <c r="F6041" s="21" t="s">
        <v>122</v>
      </c>
      <c r="G6041" s="15">
        <v>0.06950983107172534</v>
      </c>
      <c r="H6041" s="11" t="s">
        <v>33</v>
      </c>
      <c r="I6041" s="16">
        <v>3.2</v>
      </c>
      <c r="J6041" s="11" t="s">
        <v>2478</v>
      </c>
      <c r="K6041" s="11" t="s">
        <v>65</v>
      </c>
      <c r="L6041" s="11" t="s">
        <v>41</v>
      </c>
      <c r="M6041" s="11" t="s">
        <v>66</v>
      </c>
      <c r="N6041" s="11" t="s">
        <v>67</v>
      </c>
      <c r="O6041" s="11" t="s">
        <v>2130</v>
      </c>
      <c r="P6041" s="11" t="s">
        <v>38</v>
      </c>
      <c r="Q6041" s="20">
        <v>40867.0</v>
      </c>
      <c r="R6041" s="17">
        <f t="shared" si="2"/>
        <v>46.71060648</v>
      </c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>
        <f t="shared" si="8"/>
        <v>3</v>
      </c>
      <c r="AF6041" s="19">
        <f t="shared" si="13"/>
        <v>5</v>
      </c>
      <c r="AG6041" s="9"/>
      <c r="AH6041" s="9"/>
      <c r="AI6041" s="9"/>
    </row>
    <row r="6042" ht="15.0" customHeight="1">
      <c r="A6042" s="11">
        <v>6041.0</v>
      </c>
      <c r="B6042" s="12">
        <f t="shared" si="970"/>
        <v>40865</v>
      </c>
      <c r="C6042" s="13">
        <v>2011.0</v>
      </c>
      <c r="D6042" s="11" t="s">
        <v>32</v>
      </c>
      <c r="E6042" s="11">
        <v>27.0</v>
      </c>
      <c r="F6042" s="21" t="s">
        <v>654</v>
      </c>
      <c r="G6042" s="15">
        <v>0.0583179689131539</v>
      </c>
      <c r="H6042" s="11" t="s">
        <v>45</v>
      </c>
      <c r="I6042" s="16">
        <v>67.872</v>
      </c>
      <c r="J6042" s="11" t="s">
        <v>2478</v>
      </c>
      <c r="K6042" s="11" t="s">
        <v>65</v>
      </c>
      <c r="L6042" s="11" t="s">
        <v>41</v>
      </c>
      <c r="M6042" s="11" t="s">
        <v>49</v>
      </c>
      <c r="N6042" s="11" t="s">
        <v>85</v>
      </c>
      <c r="O6042" s="11" t="s">
        <v>655</v>
      </c>
      <c r="P6042" s="11" t="s">
        <v>87</v>
      </c>
      <c r="Q6042" s="20">
        <v>40867.0</v>
      </c>
      <c r="R6042" s="17">
        <f t="shared" si="2"/>
        <v>552.2287101</v>
      </c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>
        <f t="shared" si="8"/>
        <v>3</v>
      </c>
      <c r="AF6042" s="19">
        <f t="shared" si="13"/>
        <v>5</v>
      </c>
      <c r="AG6042" s="9"/>
      <c r="AH6042" s="9"/>
      <c r="AI6042" s="9"/>
    </row>
    <row r="6043" ht="15.0" customHeight="1">
      <c r="A6043" s="11">
        <v>6042.0</v>
      </c>
      <c r="B6043" s="12">
        <f t="shared" si="970"/>
        <v>40865</v>
      </c>
      <c r="C6043" s="13">
        <v>2011.0</v>
      </c>
      <c r="D6043" s="11" t="s">
        <v>23</v>
      </c>
      <c r="E6043" s="11">
        <v>48.0</v>
      </c>
      <c r="F6043" s="21" t="s">
        <v>926</v>
      </c>
      <c r="G6043" s="15">
        <v>0.061098087600246744</v>
      </c>
      <c r="H6043" s="11" t="s">
        <v>24</v>
      </c>
      <c r="I6043" s="16">
        <v>3.9840000000000004</v>
      </c>
      <c r="J6043" s="11" t="s">
        <v>1961</v>
      </c>
      <c r="K6043" s="11" t="s">
        <v>65</v>
      </c>
      <c r="L6043" s="11" t="s">
        <v>27</v>
      </c>
      <c r="M6043" s="11" t="s">
        <v>49</v>
      </c>
      <c r="N6043" s="11" t="s">
        <v>73</v>
      </c>
      <c r="O6043" s="11" t="s">
        <v>927</v>
      </c>
      <c r="P6043" s="11" t="s">
        <v>99</v>
      </c>
      <c r="Q6043" s="20">
        <v>40867.0</v>
      </c>
      <c r="R6043" s="17">
        <f t="shared" si="2"/>
        <v>37.19553816</v>
      </c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>
        <f t="shared" si="8"/>
        <v>1</v>
      </c>
      <c r="AF6043" s="19">
        <f t="shared" si="13"/>
        <v>5</v>
      </c>
      <c r="AG6043" s="9"/>
      <c r="AH6043" s="9"/>
      <c r="AI6043" s="9"/>
    </row>
    <row r="6044" ht="15.0" customHeight="1">
      <c r="A6044" s="11">
        <v>6043.0</v>
      </c>
      <c r="B6044" s="12">
        <f t="shared" si="970"/>
        <v>40865</v>
      </c>
      <c r="C6044" s="13">
        <v>2011.0</v>
      </c>
      <c r="D6044" s="11" t="s">
        <v>23</v>
      </c>
      <c r="E6044" s="11">
        <v>18.0</v>
      </c>
      <c r="F6044" s="21" t="s">
        <v>1782</v>
      </c>
      <c r="G6044" s="15">
        <v>0.0591181988742965</v>
      </c>
      <c r="H6044" s="11" t="s">
        <v>24</v>
      </c>
      <c r="I6044" s="16">
        <v>1.592</v>
      </c>
      <c r="J6044" s="11" t="s">
        <v>213</v>
      </c>
      <c r="K6044" s="11" t="s">
        <v>47</v>
      </c>
      <c r="L6044" s="11" t="s">
        <v>48</v>
      </c>
      <c r="M6044" s="11" t="s">
        <v>66</v>
      </c>
      <c r="N6044" s="11" t="s">
        <v>67</v>
      </c>
      <c r="O6044" s="11" t="s">
        <v>2103</v>
      </c>
      <c r="P6044" s="11" t="s">
        <v>99</v>
      </c>
      <c r="Q6044" s="20">
        <v>40867.0</v>
      </c>
      <c r="R6044" s="17">
        <f t="shared" si="2"/>
        <v>23.71774844</v>
      </c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>
        <f t="shared" si="8"/>
        <v>4</v>
      </c>
      <c r="AF6044" s="19">
        <f t="shared" si="13"/>
        <v>3</v>
      </c>
      <c r="AG6044" s="9"/>
      <c r="AH6044" s="9"/>
      <c r="AI6044" s="9"/>
    </row>
    <row r="6045" ht="15.0" customHeight="1">
      <c r="A6045" s="11">
        <v>6044.0</v>
      </c>
      <c r="B6045" s="12">
        <f t="shared" si="970"/>
        <v>40865</v>
      </c>
      <c r="C6045" s="13">
        <v>2011.0</v>
      </c>
      <c r="D6045" s="11" t="s">
        <v>102</v>
      </c>
      <c r="E6045" s="11">
        <v>29.0</v>
      </c>
      <c r="F6045" s="21" t="s">
        <v>1764</v>
      </c>
      <c r="G6045" s="15">
        <v>0.03590759843198903</v>
      </c>
      <c r="H6045" s="11" t="s">
        <v>33</v>
      </c>
      <c r="I6045" s="16">
        <v>4.4</v>
      </c>
      <c r="J6045" s="11" t="s">
        <v>1444</v>
      </c>
      <c r="K6045" s="11" t="s">
        <v>61</v>
      </c>
      <c r="L6045" s="11" t="s">
        <v>36</v>
      </c>
      <c r="M6045" s="11" t="s">
        <v>66</v>
      </c>
      <c r="N6045" s="11" t="s">
        <v>67</v>
      </c>
      <c r="O6045" s="11" t="s">
        <v>1765</v>
      </c>
      <c r="P6045" s="11" t="s">
        <v>38</v>
      </c>
      <c r="Q6045" s="20">
        <v>40867.0</v>
      </c>
      <c r="R6045" s="17">
        <f t="shared" si="2"/>
        <v>56.28516054</v>
      </c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>
        <f t="shared" si="8"/>
        <v>2</v>
      </c>
      <c r="AF6045" s="19">
        <f t="shared" si="13"/>
        <v>4</v>
      </c>
      <c r="AG6045" s="9"/>
      <c r="AH6045" s="9"/>
      <c r="AI6045" s="9"/>
    </row>
    <row r="6046" ht="15.0" customHeight="1">
      <c r="A6046" s="11">
        <v>6045.0</v>
      </c>
      <c r="B6046" s="12">
        <f t="shared" si="970"/>
        <v>40865</v>
      </c>
      <c r="C6046" s="13">
        <v>2011.0</v>
      </c>
      <c r="D6046" s="11" t="s">
        <v>39</v>
      </c>
      <c r="E6046" s="11">
        <v>19.0</v>
      </c>
      <c r="F6046" s="21" t="s">
        <v>130</v>
      </c>
      <c r="G6046" s="15">
        <v>0.02757526707672377</v>
      </c>
      <c r="H6046" s="11" t="s">
        <v>24</v>
      </c>
      <c r="I6046" s="16">
        <v>13.664</v>
      </c>
      <c r="J6046" s="11" t="s">
        <v>703</v>
      </c>
      <c r="K6046" s="11" t="s">
        <v>35</v>
      </c>
      <c r="L6046" s="11" t="s">
        <v>41</v>
      </c>
      <c r="M6046" s="11" t="s">
        <v>28</v>
      </c>
      <c r="N6046" s="11" t="s">
        <v>56</v>
      </c>
      <c r="O6046" s="11" t="s">
        <v>2106</v>
      </c>
      <c r="P6046" s="11" t="s">
        <v>38</v>
      </c>
      <c r="Q6046" s="20">
        <v>40868.0</v>
      </c>
      <c r="R6046" s="17">
        <f t="shared" si="2"/>
        <v>16.56622775</v>
      </c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>
        <f t="shared" si="8"/>
        <v>3</v>
      </c>
      <c r="AF6046" s="19">
        <f t="shared" si="13"/>
        <v>2</v>
      </c>
      <c r="AG6046" s="9"/>
      <c r="AH6046" s="9"/>
      <c r="AI6046" s="9"/>
    </row>
    <row r="6047" ht="15.0" customHeight="1">
      <c r="A6047" s="11">
        <v>6046.0</v>
      </c>
      <c r="B6047" s="12">
        <f t="shared" ref="B6047:B6063" si="971">DATE(2012,12,31)-408</f>
        <v>40866</v>
      </c>
      <c r="C6047" s="13">
        <v>2011.0</v>
      </c>
      <c r="D6047" s="11" t="s">
        <v>39</v>
      </c>
      <c r="E6047" s="11">
        <v>22.0</v>
      </c>
      <c r="F6047" s="21" t="s">
        <v>306</v>
      </c>
      <c r="G6047" s="15">
        <v>0.055678306878306986</v>
      </c>
      <c r="H6047" s="11" t="s">
        <v>24</v>
      </c>
      <c r="I6047" s="16">
        <v>8.392000000000001</v>
      </c>
      <c r="J6047" s="11" t="s">
        <v>155</v>
      </c>
      <c r="K6047" s="11" t="s">
        <v>117</v>
      </c>
      <c r="L6047" s="11" t="s">
        <v>36</v>
      </c>
      <c r="M6047" s="11" t="s">
        <v>49</v>
      </c>
      <c r="N6047" s="11" t="s">
        <v>73</v>
      </c>
      <c r="O6047" s="11" t="s">
        <v>1135</v>
      </c>
      <c r="P6047" s="11" t="s">
        <v>38</v>
      </c>
      <c r="Q6047" s="20">
        <v>40868.0</v>
      </c>
      <c r="R6047" s="17">
        <f t="shared" si="2"/>
        <v>24.8432151</v>
      </c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>
        <f t="shared" si="8"/>
        <v>2</v>
      </c>
      <c r="AF6047" s="19" t="b">
        <f t="shared" si="13"/>
        <v>0</v>
      </c>
      <c r="AG6047" s="9"/>
      <c r="AH6047" s="9"/>
      <c r="AI6047" s="9"/>
    </row>
    <row r="6048" ht="15.0" customHeight="1">
      <c r="A6048" s="11">
        <v>6047.0</v>
      </c>
      <c r="B6048" s="12">
        <f t="shared" si="971"/>
        <v>40866</v>
      </c>
      <c r="C6048" s="13">
        <v>2011.0</v>
      </c>
      <c r="D6048" s="11" t="s">
        <v>39</v>
      </c>
      <c r="E6048" s="11">
        <v>1.0</v>
      </c>
      <c r="F6048" s="21" t="s">
        <v>119</v>
      </c>
      <c r="G6048" s="15">
        <v>0.16888888888888892</v>
      </c>
      <c r="H6048" s="11" t="s">
        <v>33</v>
      </c>
      <c r="I6048" s="16">
        <v>1.192</v>
      </c>
      <c r="J6048" s="11" t="s">
        <v>1581</v>
      </c>
      <c r="K6048" s="11" t="s">
        <v>61</v>
      </c>
      <c r="L6048" s="11" t="s">
        <v>36</v>
      </c>
      <c r="M6048" s="11" t="s">
        <v>28</v>
      </c>
      <c r="N6048" s="11" t="s">
        <v>42</v>
      </c>
      <c r="O6048" s="11" t="s">
        <v>1129</v>
      </c>
      <c r="P6048" s="11" t="s">
        <v>38</v>
      </c>
      <c r="Q6048" s="20">
        <v>40868.0</v>
      </c>
      <c r="R6048" s="17">
        <f t="shared" si="2"/>
        <v>0.5053155556</v>
      </c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>
        <f t="shared" si="8"/>
        <v>2</v>
      </c>
      <c r="AF6048" s="19">
        <f t="shared" si="13"/>
        <v>4</v>
      </c>
      <c r="AG6048" s="9"/>
      <c r="AH6048" s="9"/>
      <c r="AI6048" s="9"/>
    </row>
    <row r="6049" ht="15.0" customHeight="1">
      <c r="A6049" s="11">
        <v>6048.0</v>
      </c>
      <c r="B6049" s="12">
        <f t="shared" si="971"/>
        <v>40866</v>
      </c>
      <c r="C6049" s="13">
        <v>2011.0</v>
      </c>
      <c r="D6049" s="11" t="s">
        <v>32</v>
      </c>
      <c r="E6049" s="11">
        <v>14.0</v>
      </c>
      <c r="F6049" s="21" t="s">
        <v>158</v>
      </c>
      <c r="G6049" s="15">
        <v>0.08251908396946547</v>
      </c>
      <c r="H6049" s="11" t="s">
        <v>33</v>
      </c>
      <c r="I6049" s="16">
        <v>6.552</v>
      </c>
      <c r="J6049" s="11" t="s">
        <v>1650</v>
      </c>
      <c r="K6049" s="11" t="s">
        <v>65</v>
      </c>
      <c r="L6049" s="11" t="s">
        <v>27</v>
      </c>
      <c r="M6049" s="11" t="s">
        <v>28</v>
      </c>
      <c r="N6049" s="11" t="s">
        <v>56</v>
      </c>
      <c r="O6049" s="11" t="s">
        <v>637</v>
      </c>
      <c r="P6049" s="11" t="s">
        <v>38</v>
      </c>
      <c r="Q6049" s="20">
        <v>40868.0</v>
      </c>
      <c r="R6049" s="17">
        <f t="shared" si="2"/>
        <v>7.934374962</v>
      </c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>
        <f t="shared" si="8"/>
        <v>1</v>
      </c>
      <c r="AF6049" s="19">
        <f t="shared" si="13"/>
        <v>5</v>
      </c>
      <c r="AG6049" s="9"/>
      <c r="AH6049" s="9"/>
      <c r="AI6049" s="9"/>
    </row>
    <row r="6050" ht="15.0" customHeight="1">
      <c r="A6050" s="11">
        <v>6049.0</v>
      </c>
      <c r="B6050" s="12">
        <f t="shared" si="971"/>
        <v>40866</v>
      </c>
      <c r="C6050" s="13">
        <v>2011.0</v>
      </c>
      <c r="D6050" s="11" t="s">
        <v>32</v>
      </c>
      <c r="E6050" s="11">
        <v>30.0</v>
      </c>
      <c r="F6050" s="21" t="s">
        <v>122</v>
      </c>
      <c r="G6050" s="15">
        <v>0.03466258607498094</v>
      </c>
      <c r="H6050" s="11" t="s">
        <v>33</v>
      </c>
      <c r="I6050" s="16">
        <v>3.848</v>
      </c>
      <c r="J6050" s="11" t="s">
        <v>1650</v>
      </c>
      <c r="K6050" s="11" t="s">
        <v>65</v>
      </c>
      <c r="L6050" s="11" t="s">
        <v>27</v>
      </c>
      <c r="M6050" s="11" t="s">
        <v>66</v>
      </c>
      <c r="N6050" s="11" t="s">
        <v>80</v>
      </c>
      <c r="O6050" s="11" t="s">
        <v>899</v>
      </c>
      <c r="P6050" s="11" t="s">
        <v>75</v>
      </c>
      <c r="Q6050" s="20">
        <v>40868.0</v>
      </c>
      <c r="R6050" s="17">
        <f t="shared" si="2"/>
        <v>21.8668231</v>
      </c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>
        <f t="shared" si="8"/>
        <v>1</v>
      </c>
      <c r="AF6050" s="19">
        <f t="shared" si="13"/>
        <v>5</v>
      </c>
      <c r="AG6050" s="9"/>
      <c r="AH6050" s="9"/>
      <c r="AI6050" s="9"/>
    </row>
    <row r="6051" ht="15.0" customHeight="1">
      <c r="A6051" s="11">
        <v>6050.0</v>
      </c>
      <c r="B6051" s="12">
        <f t="shared" si="971"/>
        <v>40866</v>
      </c>
      <c r="C6051" s="13">
        <v>2011.0</v>
      </c>
      <c r="D6051" s="11" t="s">
        <v>44</v>
      </c>
      <c r="E6051" s="11">
        <v>40.0</v>
      </c>
      <c r="F6051" s="21" t="s">
        <v>450</v>
      </c>
      <c r="G6051" s="15">
        <v>0.08353433491116154</v>
      </c>
      <c r="H6051" s="11" t="s">
        <v>33</v>
      </c>
      <c r="I6051" s="16">
        <v>19.592</v>
      </c>
      <c r="J6051" s="11" t="s">
        <v>2546</v>
      </c>
      <c r="K6051" s="11" t="s">
        <v>61</v>
      </c>
      <c r="L6051" s="11" t="s">
        <v>36</v>
      </c>
      <c r="M6051" s="11" t="s">
        <v>66</v>
      </c>
      <c r="N6051" s="11" t="s">
        <v>170</v>
      </c>
      <c r="O6051" s="11" t="s">
        <v>451</v>
      </c>
      <c r="P6051" s="11" t="s">
        <v>31</v>
      </c>
      <c r="Q6051" s="20">
        <v>40868.0</v>
      </c>
      <c r="R6051" s="17">
        <f t="shared" si="2"/>
        <v>669.5771466</v>
      </c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>
        <f t="shared" si="8"/>
        <v>2</v>
      </c>
      <c r="AF6051" s="19">
        <f t="shared" si="13"/>
        <v>4</v>
      </c>
      <c r="AG6051" s="9"/>
      <c r="AH6051" s="9"/>
      <c r="AI6051" s="9"/>
    </row>
    <row r="6052" ht="15.0" customHeight="1">
      <c r="A6052" s="11">
        <v>6051.0</v>
      </c>
      <c r="B6052" s="12">
        <f t="shared" si="971"/>
        <v>40866</v>
      </c>
      <c r="C6052" s="13">
        <v>2011.0</v>
      </c>
      <c r="D6052" s="11" t="s">
        <v>44</v>
      </c>
      <c r="E6052" s="11">
        <v>31.0</v>
      </c>
      <c r="F6052" s="21" t="s">
        <v>126</v>
      </c>
      <c r="G6052" s="15">
        <v>0.0592512077294685</v>
      </c>
      <c r="H6052" s="11" t="s">
        <v>33</v>
      </c>
      <c r="I6052" s="16">
        <v>3.8880000000000003</v>
      </c>
      <c r="J6052" s="11" t="s">
        <v>2546</v>
      </c>
      <c r="K6052" s="11" t="s">
        <v>61</v>
      </c>
      <c r="L6052" s="11" t="s">
        <v>36</v>
      </c>
      <c r="M6052" s="11" t="s">
        <v>28</v>
      </c>
      <c r="N6052" s="11" t="s">
        <v>56</v>
      </c>
      <c r="O6052" s="11" t="s">
        <v>1732</v>
      </c>
      <c r="P6052" s="11" t="s">
        <v>38</v>
      </c>
      <c r="Q6052" s="20">
        <v>40868.0</v>
      </c>
      <c r="R6052" s="17">
        <f t="shared" si="2"/>
        <v>9.23062715</v>
      </c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>
        <f t="shared" si="8"/>
        <v>2</v>
      </c>
      <c r="AF6052" s="19">
        <f t="shared" si="13"/>
        <v>4</v>
      </c>
      <c r="AG6052" s="9"/>
      <c r="AH6052" s="9"/>
      <c r="AI6052" s="9"/>
    </row>
    <row r="6053" ht="15.0" customHeight="1">
      <c r="A6053" s="11">
        <v>6052.0</v>
      </c>
      <c r="B6053" s="12">
        <f t="shared" si="971"/>
        <v>40866</v>
      </c>
      <c r="C6053" s="13">
        <v>2011.0</v>
      </c>
      <c r="D6053" s="11" t="s">
        <v>23</v>
      </c>
      <c r="E6053" s="11">
        <v>8.0</v>
      </c>
      <c r="F6053" s="21" t="s">
        <v>110</v>
      </c>
      <c r="G6053" s="15">
        <v>0.06852305988450273</v>
      </c>
      <c r="H6053" s="11" t="s">
        <v>45</v>
      </c>
      <c r="I6053" s="16">
        <v>14.280000000000001</v>
      </c>
      <c r="J6053" s="11" t="s">
        <v>555</v>
      </c>
      <c r="K6053" s="11" t="s">
        <v>65</v>
      </c>
      <c r="L6053" s="11" t="s">
        <v>41</v>
      </c>
      <c r="M6053" s="11" t="s">
        <v>66</v>
      </c>
      <c r="N6053" s="11" t="s">
        <v>69</v>
      </c>
      <c r="O6053" s="11" t="s">
        <v>111</v>
      </c>
      <c r="P6053" s="11" t="s">
        <v>52</v>
      </c>
      <c r="Q6053" s="20">
        <v>40868.0</v>
      </c>
      <c r="R6053" s="17">
        <f t="shared" si="2"/>
        <v>80.68453255</v>
      </c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>
        <f t="shared" si="8"/>
        <v>3</v>
      </c>
      <c r="AF6053" s="19">
        <f t="shared" si="13"/>
        <v>5</v>
      </c>
      <c r="AG6053" s="9"/>
      <c r="AH6053" s="9"/>
      <c r="AI6053" s="9"/>
    </row>
    <row r="6054" ht="15.0" customHeight="1">
      <c r="A6054" s="11">
        <v>6053.0</v>
      </c>
      <c r="B6054" s="12">
        <f t="shared" si="971"/>
        <v>40866</v>
      </c>
      <c r="C6054" s="13">
        <v>2011.0</v>
      </c>
      <c r="D6054" s="11" t="s">
        <v>23</v>
      </c>
      <c r="E6054" s="11">
        <v>17.0</v>
      </c>
      <c r="F6054" s="21" t="s">
        <v>158</v>
      </c>
      <c r="G6054" s="15">
        <v>0.107626339969372</v>
      </c>
      <c r="H6054" s="11" t="s">
        <v>33</v>
      </c>
      <c r="I6054" s="16">
        <v>7.744</v>
      </c>
      <c r="J6054" s="11" t="s">
        <v>555</v>
      </c>
      <c r="K6054" s="11" t="s">
        <v>65</v>
      </c>
      <c r="L6054" s="11" t="s">
        <v>41</v>
      </c>
      <c r="M6054" s="11" t="s">
        <v>28</v>
      </c>
      <c r="N6054" s="11" t="s">
        <v>56</v>
      </c>
      <c r="O6054" s="11" t="s">
        <v>635</v>
      </c>
      <c r="P6054" s="11" t="s">
        <v>38</v>
      </c>
      <c r="Q6054" s="20">
        <v>40868.0</v>
      </c>
      <c r="R6054" s="17">
        <f t="shared" si="2"/>
        <v>12.54320417</v>
      </c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>
        <f t="shared" si="8"/>
        <v>3</v>
      </c>
      <c r="AF6054" s="19">
        <f t="shared" si="13"/>
        <v>5</v>
      </c>
      <c r="AG6054" s="9"/>
      <c r="AH6054" s="9"/>
      <c r="AI6054" s="9"/>
    </row>
    <row r="6055" ht="15.0" customHeight="1">
      <c r="A6055" s="11">
        <v>6054.0</v>
      </c>
      <c r="B6055" s="12">
        <f t="shared" si="971"/>
        <v>40866</v>
      </c>
      <c r="C6055" s="13">
        <v>2011.0</v>
      </c>
      <c r="D6055" s="11" t="s">
        <v>44</v>
      </c>
      <c r="E6055" s="11">
        <v>21.0</v>
      </c>
      <c r="F6055" s="21" t="s">
        <v>242</v>
      </c>
      <c r="G6055" s="15">
        <v>0.03048225659690619</v>
      </c>
      <c r="H6055" s="11" t="s">
        <v>33</v>
      </c>
      <c r="I6055" s="16">
        <v>2.8000000000000003</v>
      </c>
      <c r="J6055" s="11" t="s">
        <v>1772</v>
      </c>
      <c r="K6055" s="11" t="s">
        <v>65</v>
      </c>
      <c r="L6055" s="11" t="s">
        <v>48</v>
      </c>
      <c r="M6055" s="11" t="s">
        <v>28</v>
      </c>
      <c r="N6055" s="11" t="s">
        <v>197</v>
      </c>
      <c r="O6055" s="11" t="s">
        <v>1134</v>
      </c>
      <c r="P6055" s="11" t="s">
        <v>38</v>
      </c>
      <c r="Q6055" s="20">
        <v>40868.0</v>
      </c>
      <c r="R6055" s="17">
        <f t="shared" si="2"/>
        <v>45.47038217</v>
      </c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>
        <f t="shared" si="8"/>
        <v>4</v>
      </c>
      <c r="AF6055" s="19">
        <f t="shared" si="13"/>
        <v>5</v>
      </c>
      <c r="AG6055" s="9"/>
      <c r="AH6055" s="9"/>
      <c r="AI6055" s="9"/>
    </row>
    <row r="6056" ht="15.0" customHeight="1">
      <c r="A6056" s="11">
        <v>6055.0</v>
      </c>
      <c r="B6056" s="12">
        <f t="shared" si="971"/>
        <v>40866</v>
      </c>
      <c r="C6056" s="13">
        <v>2011.0</v>
      </c>
      <c r="D6056" s="11" t="s">
        <v>44</v>
      </c>
      <c r="E6056" s="11">
        <v>1.0</v>
      </c>
      <c r="F6056" s="21" t="s">
        <v>218</v>
      </c>
      <c r="G6056" s="15">
        <v>0.06385321100917428</v>
      </c>
      <c r="H6056" s="11" t="s">
        <v>33</v>
      </c>
      <c r="I6056" s="16">
        <v>1.904</v>
      </c>
      <c r="J6056" s="11" t="s">
        <v>1772</v>
      </c>
      <c r="K6056" s="11" t="s">
        <v>65</v>
      </c>
      <c r="L6056" s="11" t="s">
        <v>48</v>
      </c>
      <c r="M6056" s="11" t="s">
        <v>66</v>
      </c>
      <c r="N6056" s="11" t="s">
        <v>67</v>
      </c>
      <c r="O6056" s="11" t="s">
        <v>773</v>
      </c>
      <c r="P6056" s="11" t="s">
        <v>99</v>
      </c>
      <c r="Q6056" s="20">
        <v>40869.0</v>
      </c>
      <c r="R6056" s="17">
        <f t="shared" si="2"/>
        <v>0.6515581651</v>
      </c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>
        <f t="shared" si="8"/>
        <v>4</v>
      </c>
      <c r="AF6056" s="19">
        <f t="shared" si="13"/>
        <v>5</v>
      </c>
      <c r="AG6056" s="9"/>
      <c r="AH6056" s="9"/>
      <c r="AI6056" s="9"/>
    </row>
    <row r="6057" ht="15.0" customHeight="1">
      <c r="A6057" s="11">
        <v>6056.0</v>
      </c>
      <c r="B6057" s="12">
        <f t="shared" si="971"/>
        <v>40866</v>
      </c>
      <c r="C6057" s="13">
        <v>2011.0</v>
      </c>
      <c r="D6057" s="11" t="s">
        <v>44</v>
      </c>
      <c r="E6057" s="11">
        <v>50.0</v>
      </c>
      <c r="F6057" s="21" t="s">
        <v>518</v>
      </c>
      <c r="G6057" s="15">
        <v>0.09396261817132132</v>
      </c>
      <c r="H6057" s="11" t="s">
        <v>33</v>
      </c>
      <c r="I6057" s="16">
        <v>15.991999999999999</v>
      </c>
      <c r="J6057" s="11" t="s">
        <v>1772</v>
      </c>
      <c r="K6057" s="11" t="s">
        <v>65</v>
      </c>
      <c r="L6057" s="11" t="s">
        <v>48</v>
      </c>
      <c r="M6057" s="11" t="s">
        <v>66</v>
      </c>
      <c r="N6057" s="11" t="s">
        <v>67</v>
      </c>
      <c r="O6057" s="11" t="s">
        <v>519</v>
      </c>
      <c r="P6057" s="11" t="s">
        <v>38</v>
      </c>
      <c r="Q6057" s="20">
        <v>40869.0</v>
      </c>
      <c r="R6057" s="17">
        <f t="shared" si="2"/>
        <v>235.9393825</v>
      </c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>
        <f t="shared" si="8"/>
        <v>4</v>
      </c>
      <c r="AF6057" s="19">
        <f t="shared" si="13"/>
        <v>5</v>
      </c>
      <c r="AG6057" s="9"/>
      <c r="AH6057" s="9"/>
      <c r="AI6057" s="9"/>
    </row>
    <row r="6058" ht="15.0" customHeight="1">
      <c r="A6058" s="11">
        <v>6057.0</v>
      </c>
      <c r="B6058" s="12">
        <f t="shared" si="971"/>
        <v>40866</v>
      </c>
      <c r="C6058" s="13">
        <v>2011.0</v>
      </c>
      <c r="D6058" s="11" t="s">
        <v>44</v>
      </c>
      <c r="E6058" s="11">
        <v>34.0</v>
      </c>
      <c r="F6058" s="21" t="s">
        <v>154</v>
      </c>
      <c r="G6058" s="15">
        <v>0.029502424120811232</v>
      </c>
      <c r="H6058" s="11" t="s">
        <v>45</v>
      </c>
      <c r="I6058" s="16">
        <v>35.64</v>
      </c>
      <c r="J6058" s="11" t="s">
        <v>1772</v>
      </c>
      <c r="K6058" s="11" t="s">
        <v>65</v>
      </c>
      <c r="L6058" s="11" t="s">
        <v>48</v>
      </c>
      <c r="M6058" s="11" t="s">
        <v>49</v>
      </c>
      <c r="N6058" s="11" t="s">
        <v>156</v>
      </c>
      <c r="O6058" s="11" t="s">
        <v>157</v>
      </c>
      <c r="P6058" s="11" t="s">
        <v>87</v>
      </c>
      <c r="Q6058" s="20">
        <v>40870.0</v>
      </c>
      <c r="R6058" s="17">
        <f t="shared" si="2"/>
        <v>884.6667703</v>
      </c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>
        <f t="shared" si="8"/>
        <v>4</v>
      </c>
      <c r="AF6058" s="19">
        <f t="shared" si="13"/>
        <v>5</v>
      </c>
      <c r="AG6058" s="9"/>
      <c r="AH6058" s="9"/>
      <c r="AI6058" s="9"/>
    </row>
    <row r="6059" ht="15.0" customHeight="1">
      <c r="A6059" s="11">
        <v>6058.0</v>
      </c>
      <c r="B6059" s="12">
        <f t="shared" si="971"/>
        <v>40866</v>
      </c>
      <c r="C6059" s="13">
        <v>2011.0</v>
      </c>
      <c r="D6059" s="11" t="s">
        <v>44</v>
      </c>
      <c r="E6059" s="11">
        <v>39.0</v>
      </c>
      <c r="F6059" s="21" t="s">
        <v>316</v>
      </c>
      <c r="G6059" s="15">
        <v>0.08528521536670555</v>
      </c>
      <c r="H6059" s="11" t="s">
        <v>33</v>
      </c>
      <c r="I6059" s="16">
        <v>2.2960000000000003</v>
      </c>
      <c r="J6059" s="11" t="s">
        <v>1221</v>
      </c>
      <c r="K6059" s="11" t="s">
        <v>61</v>
      </c>
      <c r="L6059" s="11" t="s">
        <v>48</v>
      </c>
      <c r="M6059" s="11" t="s">
        <v>28</v>
      </c>
      <c r="N6059" s="11" t="s">
        <v>56</v>
      </c>
      <c r="O6059" s="11" t="s">
        <v>331</v>
      </c>
      <c r="P6059" s="11" t="s">
        <v>58</v>
      </c>
      <c r="Q6059" s="20">
        <v>40870.0</v>
      </c>
      <c r="R6059" s="17">
        <f t="shared" si="2"/>
        <v>26.80480205</v>
      </c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>
        <f t="shared" si="8"/>
        <v>4</v>
      </c>
      <c r="AF6059" s="19">
        <f t="shared" si="13"/>
        <v>4</v>
      </c>
      <c r="AG6059" s="9"/>
      <c r="AH6059" s="9"/>
      <c r="AI6059" s="9"/>
    </row>
    <row r="6060" ht="15.0" customHeight="1">
      <c r="A6060" s="11">
        <v>6059.0</v>
      </c>
      <c r="B6060" s="12">
        <f t="shared" si="971"/>
        <v>40866</v>
      </c>
      <c r="C6060" s="13">
        <v>2011.0</v>
      </c>
      <c r="D6060" s="11" t="s">
        <v>44</v>
      </c>
      <c r="E6060" s="11">
        <v>17.0</v>
      </c>
      <c r="F6060" s="21" t="s">
        <v>158</v>
      </c>
      <c r="G6060" s="15">
        <v>0.09367412140575075</v>
      </c>
      <c r="H6060" s="11" t="s">
        <v>33</v>
      </c>
      <c r="I6060" s="16">
        <v>4.672</v>
      </c>
      <c r="J6060" s="11" t="s">
        <v>1221</v>
      </c>
      <c r="K6060" s="11" t="s">
        <v>61</v>
      </c>
      <c r="L6060" s="11" t="s">
        <v>48</v>
      </c>
      <c r="M6060" s="11" t="s">
        <v>28</v>
      </c>
      <c r="N6060" s="11" t="s">
        <v>56</v>
      </c>
      <c r="O6060" s="11" t="s">
        <v>2050</v>
      </c>
      <c r="P6060" s="11" t="s">
        <v>38</v>
      </c>
      <c r="Q6060" s="20">
        <v>40870.0</v>
      </c>
      <c r="R6060" s="17">
        <f t="shared" si="2"/>
        <v>10.6293899</v>
      </c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>
        <f t="shared" si="8"/>
        <v>4</v>
      </c>
      <c r="AF6060" s="19">
        <f t="shared" si="13"/>
        <v>4</v>
      </c>
      <c r="AG6060" s="9"/>
      <c r="AH6060" s="9"/>
      <c r="AI6060" s="9"/>
    </row>
    <row r="6061" ht="15.0" customHeight="1">
      <c r="A6061" s="11">
        <v>6060.0</v>
      </c>
      <c r="B6061" s="12">
        <f t="shared" si="971"/>
        <v>40866</v>
      </c>
      <c r="C6061" s="13">
        <v>2011.0</v>
      </c>
      <c r="D6061" s="11" t="s">
        <v>44</v>
      </c>
      <c r="E6061" s="11">
        <v>49.0</v>
      </c>
      <c r="F6061" s="21" t="s">
        <v>270</v>
      </c>
      <c r="G6061" s="15">
        <v>0.09323655380731256</v>
      </c>
      <c r="H6061" s="11" t="s">
        <v>24</v>
      </c>
      <c r="I6061" s="16">
        <v>7.192</v>
      </c>
      <c r="J6061" s="11" t="s">
        <v>1221</v>
      </c>
      <c r="K6061" s="11" t="s">
        <v>61</v>
      </c>
      <c r="L6061" s="11" t="s">
        <v>48</v>
      </c>
      <c r="M6061" s="11" t="s">
        <v>28</v>
      </c>
      <c r="N6061" s="11" t="s">
        <v>62</v>
      </c>
      <c r="O6061" s="11" t="s">
        <v>1847</v>
      </c>
      <c r="P6061" s="11" t="s">
        <v>99</v>
      </c>
      <c r="Q6061" s="20">
        <v>40870.0</v>
      </c>
      <c r="R6061" s="17">
        <f t="shared" si="2"/>
        <v>187.5259348</v>
      </c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>
        <f t="shared" si="8"/>
        <v>4</v>
      </c>
      <c r="AF6061" s="19">
        <f t="shared" si="13"/>
        <v>4</v>
      </c>
      <c r="AG6061" s="9"/>
      <c r="AH6061" s="9"/>
      <c r="AI6061" s="9"/>
    </row>
    <row r="6062" ht="15.0" customHeight="1">
      <c r="A6062" s="11">
        <v>6061.0</v>
      </c>
      <c r="B6062" s="12">
        <f t="shared" si="971"/>
        <v>40866</v>
      </c>
      <c r="C6062" s="13">
        <v>2011.0</v>
      </c>
      <c r="D6062" s="11" t="s">
        <v>32</v>
      </c>
      <c r="E6062" s="11">
        <v>12.0</v>
      </c>
      <c r="F6062" s="21" t="s">
        <v>802</v>
      </c>
      <c r="G6062" s="15">
        <v>0.03957863501483686</v>
      </c>
      <c r="H6062" s="11" t="s">
        <v>24</v>
      </c>
      <c r="I6062" s="16">
        <v>4.648</v>
      </c>
      <c r="J6062" s="11" t="s">
        <v>910</v>
      </c>
      <c r="K6062" s="11" t="s">
        <v>117</v>
      </c>
      <c r="L6062" s="11" t="s">
        <v>48</v>
      </c>
      <c r="M6062" s="11" t="s">
        <v>49</v>
      </c>
      <c r="N6062" s="11" t="s">
        <v>73</v>
      </c>
      <c r="O6062" s="11" t="s">
        <v>804</v>
      </c>
      <c r="P6062" s="11" t="s">
        <v>75</v>
      </c>
      <c r="Q6062" s="20">
        <v>40870.0</v>
      </c>
      <c r="R6062" s="17">
        <f t="shared" si="2"/>
        <v>51.24040066</v>
      </c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>
        <f t="shared" si="8"/>
        <v>4</v>
      </c>
      <c r="AF6062" s="19" t="b">
        <f t="shared" si="13"/>
        <v>0</v>
      </c>
      <c r="AG6062" s="9"/>
      <c r="AH6062" s="9"/>
      <c r="AI6062" s="9"/>
    </row>
    <row r="6063" ht="15.0" customHeight="1">
      <c r="A6063" s="11">
        <v>6062.0</v>
      </c>
      <c r="B6063" s="12">
        <f t="shared" si="971"/>
        <v>40866</v>
      </c>
      <c r="C6063" s="13">
        <v>2011.0</v>
      </c>
      <c r="D6063" s="11" t="s">
        <v>44</v>
      </c>
      <c r="E6063" s="11">
        <v>48.0</v>
      </c>
      <c r="F6063" s="21" t="s">
        <v>302</v>
      </c>
      <c r="G6063" s="15">
        <v>0.060487460261391755</v>
      </c>
      <c r="H6063" s="11" t="s">
        <v>45</v>
      </c>
      <c r="I6063" s="16">
        <v>21.224000000000004</v>
      </c>
      <c r="J6063" s="11" t="s">
        <v>2402</v>
      </c>
      <c r="K6063" s="11" t="s">
        <v>65</v>
      </c>
      <c r="L6063" s="11" t="s">
        <v>48</v>
      </c>
      <c r="M6063" s="11" t="s">
        <v>66</v>
      </c>
      <c r="N6063" s="11" t="s">
        <v>69</v>
      </c>
      <c r="O6063" s="11" t="s">
        <v>303</v>
      </c>
      <c r="P6063" s="11" t="s">
        <v>52</v>
      </c>
      <c r="Q6063" s="20">
        <v>40870.0</v>
      </c>
      <c r="R6063" s="17">
        <f t="shared" si="2"/>
        <v>890.013942</v>
      </c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>
        <f t="shared" si="8"/>
        <v>4</v>
      </c>
      <c r="AF6063" s="19">
        <f t="shared" si="13"/>
        <v>5</v>
      </c>
      <c r="AG6063" s="9"/>
      <c r="AH6063" s="9"/>
      <c r="AI6063" s="9"/>
    </row>
    <row r="6064" ht="15.0" customHeight="1">
      <c r="A6064" s="11">
        <v>6063.0</v>
      </c>
      <c r="B6064" s="12">
        <f t="shared" ref="B6064:B6065" si="972">DATE(2012,12,31)-407</f>
        <v>40867</v>
      </c>
      <c r="C6064" s="13">
        <v>2011.0</v>
      </c>
      <c r="D6064" s="11" t="s">
        <v>102</v>
      </c>
      <c r="E6064" s="11">
        <v>19.0</v>
      </c>
      <c r="F6064" s="21" t="s">
        <v>372</v>
      </c>
      <c r="G6064" s="15">
        <v>0.0937893462469732</v>
      </c>
      <c r="H6064" s="11" t="s">
        <v>24</v>
      </c>
      <c r="I6064" s="16">
        <v>1.1119999999999999</v>
      </c>
      <c r="J6064" s="11" t="s">
        <v>867</v>
      </c>
      <c r="K6064" s="11" t="s">
        <v>65</v>
      </c>
      <c r="L6064" s="11" t="s">
        <v>36</v>
      </c>
      <c r="M6064" s="11" t="s">
        <v>28</v>
      </c>
      <c r="N6064" s="11" t="s">
        <v>236</v>
      </c>
      <c r="O6064" s="11" t="s">
        <v>374</v>
      </c>
      <c r="P6064" s="11" t="s">
        <v>38</v>
      </c>
      <c r="Q6064" s="20">
        <v>40870.0</v>
      </c>
      <c r="R6064" s="17">
        <f t="shared" si="2"/>
        <v>28.08165574</v>
      </c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>
        <f t="shared" si="8"/>
        <v>2</v>
      </c>
      <c r="AF6064" s="19">
        <f t="shared" si="13"/>
        <v>5</v>
      </c>
      <c r="AG6064" s="9"/>
      <c r="AH6064" s="9"/>
      <c r="AI6064" s="9"/>
    </row>
    <row r="6065" ht="15.0" customHeight="1">
      <c r="A6065" s="11">
        <v>6064.0</v>
      </c>
      <c r="B6065" s="12">
        <f t="shared" si="972"/>
        <v>40867</v>
      </c>
      <c r="C6065" s="13">
        <v>2011.0</v>
      </c>
      <c r="D6065" s="11" t="s">
        <v>102</v>
      </c>
      <c r="E6065" s="11">
        <v>41.0</v>
      </c>
      <c r="F6065" s="21" t="s">
        <v>1662</v>
      </c>
      <c r="G6065" s="15">
        <v>0.07550292453734796</v>
      </c>
      <c r="H6065" s="11" t="s">
        <v>33</v>
      </c>
      <c r="I6065" s="16">
        <v>5.416</v>
      </c>
      <c r="J6065" s="11" t="s">
        <v>867</v>
      </c>
      <c r="K6065" s="11" t="s">
        <v>65</v>
      </c>
      <c r="L6065" s="11" t="s">
        <v>36</v>
      </c>
      <c r="M6065" s="11" t="s">
        <v>49</v>
      </c>
      <c r="N6065" s="11" t="s">
        <v>73</v>
      </c>
      <c r="O6065" s="11" t="s">
        <v>1663</v>
      </c>
      <c r="P6065" s="11" t="s">
        <v>38</v>
      </c>
      <c r="Q6065" s="20">
        <v>40870.0</v>
      </c>
      <c r="R6065" s="17">
        <f t="shared" si="2"/>
        <v>145.5934974</v>
      </c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>
        <f t="shared" si="8"/>
        <v>2</v>
      </c>
      <c r="AF6065" s="19">
        <f t="shared" si="13"/>
        <v>5</v>
      </c>
      <c r="AG6065" s="9"/>
      <c r="AH6065" s="9"/>
      <c r="AI6065" s="9"/>
    </row>
    <row r="6066" ht="15.0" customHeight="1">
      <c r="A6066" s="11">
        <v>6065.0</v>
      </c>
      <c r="B6066" s="12">
        <f t="shared" ref="B6066:B6069" si="973">DATE(2012,12,31)-406</f>
        <v>40868</v>
      </c>
      <c r="C6066" s="13">
        <v>2011.0</v>
      </c>
      <c r="D6066" s="11" t="s">
        <v>32</v>
      </c>
      <c r="E6066" s="11">
        <v>33.0</v>
      </c>
      <c r="F6066" s="21" t="s">
        <v>666</v>
      </c>
      <c r="G6066" s="15">
        <v>0.07404011461318061</v>
      </c>
      <c r="H6066" s="11" t="s">
        <v>33</v>
      </c>
      <c r="I6066" s="16">
        <v>3.8640000000000003</v>
      </c>
      <c r="J6066" s="11" t="s">
        <v>2136</v>
      </c>
      <c r="K6066" s="11" t="s">
        <v>61</v>
      </c>
      <c r="L6066" s="11" t="s">
        <v>27</v>
      </c>
      <c r="M6066" s="11" t="s">
        <v>28</v>
      </c>
      <c r="N6066" s="11" t="s">
        <v>42</v>
      </c>
      <c r="O6066" s="11" t="s">
        <v>2578</v>
      </c>
      <c r="P6066" s="11" t="s">
        <v>38</v>
      </c>
      <c r="Q6066" s="20">
        <v>40870.0</v>
      </c>
      <c r="R6066" s="17">
        <f t="shared" si="2"/>
        <v>9.570721375</v>
      </c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>
        <f t="shared" si="8"/>
        <v>1</v>
      </c>
      <c r="AF6066" s="19">
        <f t="shared" si="13"/>
        <v>4</v>
      </c>
      <c r="AG6066" s="9"/>
      <c r="AH6066" s="9"/>
      <c r="AI6066" s="9"/>
    </row>
    <row r="6067" ht="15.0" customHeight="1">
      <c r="A6067" s="11">
        <v>6066.0</v>
      </c>
      <c r="B6067" s="12">
        <f t="shared" si="973"/>
        <v>40868</v>
      </c>
      <c r="C6067" s="13">
        <v>2011.0</v>
      </c>
      <c r="D6067" s="11" t="s">
        <v>32</v>
      </c>
      <c r="E6067" s="11">
        <v>40.0</v>
      </c>
      <c r="F6067" s="21" t="s">
        <v>284</v>
      </c>
      <c r="G6067" s="15">
        <v>0.07503841931942919</v>
      </c>
      <c r="H6067" s="11" t="s">
        <v>24</v>
      </c>
      <c r="I6067" s="16">
        <v>4.264</v>
      </c>
      <c r="J6067" s="11" t="s">
        <v>1752</v>
      </c>
      <c r="K6067" s="11" t="s">
        <v>83</v>
      </c>
      <c r="L6067" s="11" t="s">
        <v>41</v>
      </c>
      <c r="M6067" s="11" t="s">
        <v>49</v>
      </c>
      <c r="N6067" s="11" t="s">
        <v>73</v>
      </c>
      <c r="O6067" s="11" t="s">
        <v>286</v>
      </c>
      <c r="P6067" s="11" t="s">
        <v>38</v>
      </c>
      <c r="Q6067" s="20">
        <v>40870.0</v>
      </c>
      <c r="R6067" s="17">
        <f t="shared" si="2"/>
        <v>6.323037366</v>
      </c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>
        <f t="shared" si="8"/>
        <v>3</v>
      </c>
      <c r="AF6067" s="19" t="b">
        <f t="shared" si="13"/>
        <v>0</v>
      </c>
      <c r="AG6067" s="9"/>
      <c r="AH6067" s="9"/>
      <c r="AI6067" s="9"/>
    </row>
    <row r="6068" ht="15.0" customHeight="1">
      <c r="A6068" s="11">
        <v>6067.0</v>
      </c>
      <c r="B6068" s="12">
        <f t="shared" si="973"/>
        <v>40868</v>
      </c>
      <c r="C6068" s="13">
        <v>2011.0</v>
      </c>
      <c r="D6068" s="11" t="s">
        <v>23</v>
      </c>
      <c r="E6068" s="11">
        <v>6.0</v>
      </c>
      <c r="F6068" s="21" t="s">
        <v>352</v>
      </c>
      <c r="G6068" s="15">
        <v>0.09520741825280629</v>
      </c>
      <c r="H6068" s="11" t="s">
        <v>33</v>
      </c>
      <c r="I6068" s="16">
        <v>2.3920000000000003</v>
      </c>
      <c r="J6068" s="11" t="s">
        <v>1507</v>
      </c>
      <c r="K6068" s="11" t="s">
        <v>61</v>
      </c>
      <c r="L6068" s="11" t="s">
        <v>36</v>
      </c>
      <c r="M6068" s="11" t="s">
        <v>28</v>
      </c>
      <c r="N6068" s="11" t="s">
        <v>42</v>
      </c>
      <c r="O6068" s="11" t="s">
        <v>594</v>
      </c>
      <c r="P6068" s="11" t="s">
        <v>38</v>
      </c>
      <c r="Q6068" s="20">
        <v>40871.0</v>
      </c>
      <c r="R6068" s="17">
        <f t="shared" si="2"/>
        <v>17.65069368</v>
      </c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>
        <f t="shared" si="8"/>
        <v>2</v>
      </c>
      <c r="AF6068" s="19">
        <f t="shared" si="13"/>
        <v>4</v>
      </c>
      <c r="AG6068" s="9"/>
      <c r="AH6068" s="9"/>
      <c r="AI6068" s="9"/>
    </row>
    <row r="6069" ht="15.0" customHeight="1">
      <c r="A6069" s="11">
        <v>6068.0</v>
      </c>
      <c r="B6069" s="12">
        <f t="shared" si="973"/>
        <v>40868</v>
      </c>
      <c r="C6069" s="13">
        <v>2011.0</v>
      </c>
      <c r="D6069" s="11" t="s">
        <v>23</v>
      </c>
      <c r="E6069" s="11">
        <v>15.0</v>
      </c>
      <c r="F6069" s="21" t="s">
        <v>176</v>
      </c>
      <c r="G6069" s="15">
        <v>0.026560967864146835</v>
      </c>
      <c r="H6069" s="11" t="s">
        <v>33</v>
      </c>
      <c r="I6069" s="16">
        <v>9.712000000000002</v>
      </c>
      <c r="J6069" s="11" t="s">
        <v>1507</v>
      </c>
      <c r="K6069" s="11" t="s">
        <v>61</v>
      </c>
      <c r="L6069" s="11" t="s">
        <v>36</v>
      </c>
      <c r="M6069" s="11" t="s">
        <v>66</v>
      </c>
      <c r="N6069" s="11" t="s">
        <v>67</v>
      </c>
      <c r="O6069" s="11" t="s">
        <v>445</v>
      </c>
      <c r="P6069" s="11" t="s">
        <v>38</v>
      </c>
      <c r="Q6069" s="20">
        <v>40871.0</v>
      </c>
      <c r="R6069" s="17">
        <f t="shared" si="2"/>
        <v>29.700793</v>
      </c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>
        <f t="shared" si="8"/>
        <v>2</v>
      </c>
      <c r="AF6069" s="19">
        <f t="shared" si="13"/>
        <v>4</v>
      </c>
      <c r="AG6069" s="9"/>
      <c r="AH6069" s="9"/>
      <c r="AI6069" s="9"/>
    </row>
    <row r="6070" ht="15.0" customHeight="1">
      <c r="A6070" s="11">
        <v>6069.0</v>
      </c>
      <c r="B6070" s="12">
        <f t="shared" ref="B6070:B6077" si="974">DATE(2012,12,31)-405</f>
        <v>40869</v>
      </c>
      <c r="C6070" s="13">
        <v>2011.0</v>
      </c>
      <c r="D6070" s="11" t="s">
        <v>102</v>
      </c>
      <c r="E6070" s="11">
        <v>41.0</v>
      </c>
      <c r="F6070" s="21" t="s">
        <v>758</v>
      </c>
      <c r="G6070" s="15">
        <v>0.034572733202870264</v>
      </c>
      <c r="H6070" s="11" t="s">
        <v>33</v>
      </c>
      <c r="I6070" s="16">
        <v>0.4</v>
      </c>
      <c r="J6070" s="11" t="s">
        <v>25</v>
      </c>
      <c r="K6070" s="11" t="s">
        <v>26</v>
      </c>
      <c r="L6070" s="11" t="s">
        <v>27</v>
      </c>
      <c r="M6070" s="11" t="s">
        <v>28</v>
      </c>
      <c r="N6070" s="11" t="s">
        <v>188</v>
      </c>
      <c r="O6070" s="11" t="s">
        <v>1867</v>
      </c>
      <c r="P6070" s="11" t="s">
        <v>38</v>
      </c>
      <c r="Q6070" s="20">
        <v>40871.0</v>
      </c>
      <c r="R6070" s="17">
        <f t="shared" si="2"/>
        <v>5.116764514</v>
      </c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>
        <f t="shared" si="8"/>
        <v>1</v>
      </c>
      <c r="AF6070" s="19">
        <f t="shared" si="13"/>
        <v>1</v>
      </c>
      <c r="AG6070" s="9"/>
      <c r="AH6070" s="9"/>
      <c r="AI6070" s="9"/>
    </row>
    <row r="6071" ht="15.0" customHeight="1">
      <c r="A6071" s="11">
        <v>6070.0</v>
      </c>
      <c r="B6071" s="12">
        <f t="shared" si="974"/>
        <v>40869</v>
      </c>
      <c r="C6071" s="13">
        <v>2011.0</v>
      </c>
      <c r="D6071" s="11" t="s">
        <v>102</v>
      </c>
      <c r="E6071" s="11">
        <v>45.0</v>
      </c>
      <c r="F6071" s="21" t="s">
        <v>2195</v>
      </c>
      <c r="G6071" s="15">
        <v>0.012795216741405215</v>
      </c>
      <c r="H6071" s="11" t="s">
        <v>45</v>
      </c>
      <c r="I6071" s="16">
        <v>46.976</v>
      </c>
      <c r="J6071" s="11" t="s">
        <v>1068</v>
      </c>
      <c r="K6071" s="11" t="s">
        <v>35</v>
      </c>
      <c r="L6071" s="11" t="s">
        <v>41</v>
      </c>
      <c r="M6071" s="11" t="s">
        <v>49</v>
      </c>
      <c r="N6071" s="11" t="s">
        <v>156</v>
      </c>
      <c r="O6071" s="11" t="s">
        <v>2504</v>
      </c>
      <c r="P6071" s="11" t="s">
        <v>87</v>
      </c>
      <c r="Q6071" s="20">
        <v>40871.0</v>
      </c>
      <c r="R6071" s="17">
        <f t="shared" si="2"/>
        <v>66.75873626</v>
      </c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>
        <f t="shared" si="8"/>
        <v>3</v>
      </c>
      <c r="AF6071" s="19">
        <f t="shared" si="13"/>
        <v>2</v>
      </c>
      <c r="AG6071" s="9"/>
      <c r="AH6071" s="9"/>
      <c r="AI6071" s="9"/>
    </row>
    <row r="6072" ht="15.0" customHeight="1">
      <c r="A6072" s="11">
        <v>6071.0</v>
      </c>
      <c r="B6072" s="12">
        <f t="shared" si="974"/>
        <v>40869</v>
      </c>
      <c r="C6072" s="13">
        <v>2011.0</v>
      </c>
      <c r="D6072" s="11" t="s">
        <v>102</v>
      </c>
      <c r="E6072" s="11">
        <v>38.0</v>
      </c>
      <c r="F6072" s="21" t="s">
        <v>1843</v>
      </c>
      <c r="G6072" s="15">
        <v>0.09136078646941202</v>
      </c>
      <c r="H6072" s="11" t="s">
        <v>33</v>
      </c>
      <c r="I6072" s="16">
        <v>9.312000000000001</v>
      </c>
      <c r="J6072" s="11" t="s">
        <v>1068</v>
      </c>
      <c r="K6072" s="11" t="s">
        <v>35</v>
      </c>
      <c r="L6072" s="11" t="s">
        <v>41</v>
      </c>
      <c r="M6072" s="11" t="s">
        <v>66</v>
      </c>
      <c r="N6072" s="11" t="s">
        <v>170</v>
      </c>
      <c r="O6072" s="11" t="s">
        <v>1844</v>
      </c>
      <c r="P6072" s="11" t="s">
        <v>31</v>
      </c>
      <c r="Q6072" s="20">
        <v>40871.0</v>
      </c>
      <c r="R6072" s="17">
        <f t="shared" si="2"/>
        <v>1042.016546</v>
      </c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>
        <f t="shared" si="8"/>
        <v>3</v>
      </c>
      <c r="AF6072" s="19">
        <f t="shared" si="13"/>
        <v>2</v>
      </c>
      <c r="AG6072" s="9"/>
      <c r="AH6072" s="9"/>
      <c r="AI6072" s="9"/>
    </row>
    <row r="6073" ht="15.0" customHeight="1">
      <c r="A6073" s="11">
        <v>6072.0</v>
      </c>
      <c r="B6073" s="12">
        <f t="shared" si="974"/>
        <v>40869</v>
      </c>
      <c r="C6073" s="13">
        <v>2011.0</v>
      </c>
      <c r="D6073" s="11" t="s">
        <v>102</v>
      </c>
      <c r="E6073" s="11">
        <v>38.0</v>
      </c>
      <c r="F6073" s="21" t="s">
        <v>270</v>
      </c>
      <c r="G6073" s="15">
        <v>0.013383742911153124</v>
      </c>
      <c r="H6073" s="11" t="s">
        <v>33</v>
      </c>
      <c r="I6073" s="16">
        <v>11.56</v>
      </c>
      <c r="J6073" s="11" t="s">
        <v>1068</v>
      </c>
      <c r="K6073" s="11" t="s">
        <v>35</v>
      </c>
      <c r="L6073" s="11" t="s">
        <v>41</v>
      </c>
      <c r="M6073" s="11" t="s">
        <v>49</v>
      </c>
      <c r="N6073" s="11" t="s">
        <v>73</v>
      </c>
      <c r="O6073" s="11" t="s">
        <v>2259</v>
      </c>
      <c r="P6073" s="11" t="s">
        <v>31</v>
      </c>
      <c r="Q6073" s="20">
        <v>40871.0</v>
      </c>
      <c r="R6073" s="17">
        <f t="shared" si="2"/>
        <v>20.9557293</v>
      </c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>
        <f t="shared" si="8"/>
        <v>3</v>
      </c>
      <c r="AF6073" s="19">
        <f t="shared" si="13"/>
        <v>2</v>
      </c>
      <c r="AG6073" s="9"/>
      <c r="AH6073" s="9"/>
      <c r="AI6073" s="9"/>
    </row>
    <row r="6074" ht="15.0" customHeight="1">
      <c r="A6074" s="11">
        <v>6073.0</v>
      </c>
      <c r="B6074" s="12">
        <f t="shared" si="974"/>
        <v>40869</v>
      </c>
      <c r="C6074" s="13">
        <v>2011.0</v>
      </c>
      <c r="D6074" s="11" t="s">
        <v>102</v>
      </c>
      <c r="E6074" s="11">
        <v>2.0</v>
      </c>
      <c r="F6074" s="21" t="s">
        <v>580</v>
      </c>
      <c r="G6074" s="15">
        <v>0.04899650052019292</v>
      </c>
      <c r="H6074" s="11" t="s">
        <v>24</v>
      </c>
      <c r="I6074" s="16">
        <v>11.192</v>
      </c>
      <c r="J6074" s="11" t="s">
        <v>1068</v>
      </c>
      <c r="K6074" s="11" t="s">
        <v>35</v>
      </c>
      <c r="L6074" s="11" t="s">
        <v>41</v>
      </c>
      <c r="M6074" s="11" t="s">
        <v>66</v>
      </c>
      <c r="N6074" s="11" t="s">
        <v>69</v>
      </c>
      <c r="O6074" s="11" t="s">
        <v>582</v>
      </c>
      <c r="P6074" s="11" t="s">
        <v>75</v>
      </c>
      <c r="Q6074" s="20">
        <v>40871.0</v>
      </c>
      <c r="R6074" s="17">
        <f t="shared" si="2"/>
        <v>98.53157057</v>
      </c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>
        <f t="shared" si="8"/>
        <v>3</v>
      </c>
      <c r="AF6074" s="19">
        <f t="shared" si="13"/>
        <v>2</v>
      </c>
      <c r="AG6074" s="9"/>
      <c r="AH6074" s="9"/>
      <c r="AI6074" s="9"/>
    </row>
    <row r="6075" ht="15.0" customHeight="1">
      <c r="A6075" s="11">
        <v>6074.0</v>
      </c>
      <c r="B6075" s="12">
        <f t="shared" si="974"/>
        <v>40869</v>
      </c>
      <c r="C6075" s="13">
        <v>2011.0</v>
      </c>
      <c r="D6075" s="11" t="s">
        <v>32</v>
      </c>
      <c r="E6075" s="11">
        <v>21.0</v>
      </c>
      <c r="F6075" s="21" t="s">
        <v>924</v>
      </c>
      <c r="G6075" s="15">
        <v>0.03211239337681889</v>
      </c>
      <c r="H6075" s="11" t="s">
        <v>24</v>
      </c>
      <c r="I6075" s="16">
        <v>1.8</v>
      </c>
      <c r="J6075" s="11" t="s">
        <v>25</v>
      </c>
      <c r="K6075" s="11" t="s">
        <v>26</v>
      </c>
      <c r="L6075" s="11" t="s">
        <v>27</v>
      </c>
      <c r="M6075" s="11" t="s">
        <v>28</v>
      </c>
      <c r="N6075" s="11" t="s">
        <v>62</v>
      </c>
      <c r="O6075" s="11" t="s">
        <v>1398</v>
      </c>
      <c r="P6075" s="11" t="s">
        <v>58</v>
      </c>
      <c r="Q6075" s="20">
        <v>40871.0</v>
      </c>
      <c r="R6075" s="17">
        <f t="shared" si="2"/>
        <v>6.194480682</v>
      </c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>
        <f t="shared" si="8"/>
        <v>1</v>
      </c>
      <c r="AF6075" s="19">
        <f t="shared" si="13"/>
        <v>1</v>
      </c>
      <c r="AG6075" s="9"/>
      <c r="AH6075" s="9"/>
      <c r="AI6075" s="9"/>
    </row>
    <row r="6076" ht="15.0" customHeight="1">
      <c r="A6076" s="11">
        <v>6075.0</v>
      </c>
      <c r="B6076" s="12">
        <f t="shared" si="974"/>
        <v>40869</v>
      </c>
      <c r="C6076" s="13">
        <v>2011.0</v>
      </c>
      <c r="D6076" s="11" t="s">
        <v>32</v>
      </c>
      <c r="E6076" s="11">
        <v>38.0</v>
      </c>
      <c r="F6076" s="21" t="s">
        <v>629</v>
      </c>
      <c r="G6076" s="15">
        <v>0.05253591713999347</v>
      </c>
      <c r="H6076" s="11" t="s">
        <v>33</v>
      </c>
      <c r="I6076" s="16">
        <v>6.176</v>
      </c>
      <c r="J6076" s="11" t="s">
        <v>25</v>
      </c>
      <c r="K6076" s="11" t="s">
        <v>26</v>
      </c>
      <c r="L6076" s="11" t="s">
        <v>27</v>
      </c>
      <c r="M6076" s="11" t="s">
        <v>28</v>
      </c>
      <c r="N6076" s="11" t="s">
        <v>42</v>
      </c>
      <c r="O6076" s="11" t="s">
        <v>1822</v>
      </c>
      <c r="P6076" s="11" t="s">
        <v>38</v>
      </c>
      <c r="Q6076" s="20">
        <v>40872.0</v>
      </c>
      <c r="R6076" s="17">
        <f t="shared" si="2"/>
        <v>14.89792524</v>
      </c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>
        <f t="shared" si="8"/>
        <v>1</v>
      </c>
      <c r="AF6076" s="19">
        <f t="shared" si="13"/>
        <v>1</v>
      </c>
      <c r="AG6076" s="9"/>
      <c r="AH6076" s="9"/>
      <c r="AI6076" s="9"/>
    </row>
    <row r="6077" ht="15.0" customHeight="1">
      <c r="A6077" s="11">
        <v>6076.0</v>
      </c>
      <c r="B6077" s="12">
        <f t="shared" si="974"/>
        <v>40869</v>
      </c>
      <c r="C6077" s="13">
        <v>2011.0</v>
      </c>
      <c r="D6077" s="11" t="s">
        <v>102</v>
      </c>
      <c r="E6077" s="11">
        <v>15.0</v>
      </c>
      <c r="F6077" s="21" t="s">
        <v>440</v>
      </c>
      <c r="G6077" s="15">
        <v>0.011301115241635632</v>
      </c>
      <c r="H6077" s="11" t="s">
        <v>33</v>
      </c>
      <c r="I6077" s="16">
        <v>4.384</v>
      </c>
      <c r="J6077" s="11" t="s">
        <v>953</v>
      </c>
      <c r="K6077" s="11" t="s">
        <v>65</v>
      </c>
      <c r="L6077" s="11" t="s">
        <v>27</v>
      </c>
      <c r="M6077" s="11" t="s">
        <v>28</v>
      </c>
      <c r="N6077" s="11" t="s">
        <v>42</v>
      </c>
      <c r="O6077" s="11" t="s">
        <v>2379</v>
      </c>
      <c r="P6077" s="11" t="s">
        <v>38</v>
      </c>
      <c r="Q6077" s="20">
        <v>40872.0</v>
      </c>
      <c r="R6077" s="17">
        <f t="shared" si="2"/>
        <v>1.202257844</v>
      </c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>
        <f t="shared" si="8"/>
        <v>1</v>
      </c>
      <c r="AF6077" s="19">
        <f t="shared" si="13"/>
        <v>5</v>
      </c>
      <c r="AG6077" s="9"/>
      <c r="AH6077" s="9"/>
      <c r="AI6077" s="9"/>
    </row>
    <row r="6078" ht="15.0" customHeight="1">
      <c r="A6078" s="11">
        <v>6077.0</v>
      </c>
      <c r="B6078" s="12">
        <f>DATE(2012,12,31)-404</f>
        <v>40870</v>
      </c>
      <c r="C6078" s="13">
        <v>2011.0</v>
      </c>
      <c r="D6078" s="11" t="s">
        <v>32</v>
      </c>
      <c r="E6078" s="11">
        <v>2.0</v>
      </c>
      <c r="F6078" s="21" t="s">
        <v>130</v>
      </c>
      <c r="G6078" s="15">
        <v>0.07380753138075316</v>
      </c>
      <c r="H6078" s="11" t="s">
        <v>33</v>
      </c>
      <c r="I6078" s="16">
        <v>4.608</v>
      </c>
      <c r="J6078" s="11" t="s">
        <v>2513</v>
      </c>
      <c r="K6078" s="11" t="s">
        <v>65</v>
      </c>
      <c r="L6078" s="11" t="s">
        <v>48</v>
      </c>
      <c r="M6078" s="11" t="s">
        <v>28</v>
      </c>
      <c r="N6078" s="11" t="s">
        <v>56</v>
      </c>
      <c r="O6078" s="11" t="s">
        <v>132</v>
      </c>
      <c r="P6078" s="11" t="s">
        <v>38</v>
      </c>
      <c r="Q6078" s="20">
        <v>40873.0</v>
      </c>
      <c r="R6078" s="17">
        <f t="shared" si="2"/>
        <v>4.901410544</v>
      </c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>
        <f t="shared" si="8"/>
        <v>4</v>
      </c>
      <c r="AF6078" s="19">
        <f t="shared" si="13"/>
        <v>5</v>
      </c>
      <c r="AG6078" s="9"/>
      <c r="AH6078" s="9"/>
      <c r="AI6078" s="9"/>
    </row>
    <row r="6079" ht="15.0" customHeight="1">
      <c r="A6079" s="11">
        <v>6078.0</v>
      </c>
      <c r="B6079" s="12">
        <f t="shared" ref="B6079:B6080" si="975">DATE(2012,12,31)-403</f>
        <v>40871</v>
      </c>
      <c r="C6079" s="13">
        <v>2011.0</v>
      </c>
      <c r="D6079" s="11" t="s">
        <v>32</v>
      </c>
      <c r="E6079" s="11">
        <v>49.0</v>
      </c>
      <c r="F6079" s="21" t="s">
        <v>1136</v>
      </c>
      <c r="G6079" s="15">
        <v>0.06058582992572823</v>
      </c>
      <c r="H6079" s="11" t="s">
        <v>33</v>
      </c>
      <c r="I6079" s="16">
        <v>3.6</v>
      </c>
      <c r="J6079" s="11" t="s">
        <v>1080</v>
      </c>
      <c r="K6079" s="11" t="s">
        <v>47</v>
      </c>
      <c r="L6079" s="11" t="s">
        <v>48</v>
      </c>
      <c r="M6079" s="11" t="s">
        <v>28</v>
      </c>
      <c r="N6079" s="11" t="s">
        <v>197</v>
      </c>
      <c r="O6079" s="11" t="s">
        <v>2555</v>
      </c>
      <c r="P6079" s="11" t="s">
        <v>38</v>
      </c>
      <c r="Q6079" s="20">
        <v>40873.0</v>
      </c>
      <c r="R6079" s="17">
        <f t="shared" si="2"/>
        <v>68.20146875</v>
      </c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>
        <f t="shared" si="8"/>
        <v>4</v>
      </c>
      <c r="AF6079" s="19">
        <f t="shared" si="13"/>
        <v>3</v>
      </c>
      <c r="AG6079" s="9"/>
      <c r="AH6079" s="9"/>
      <c r="AI6079" s="9"/>
    </row>
    <row r="6080" ht="15.0" customHeight="1">
      <c r="A6080" s="11">
        <v>6079.0</v>
      </c>
      <c r="B6080" s="12">
        <f t="shared" si="975"/>
        <v>40871</v>
      </c>
      <c r="C6080" s="13">
        <v>2011.0</v>
      </c>
      <c r="D6080" s="11" t="s">
        <v>23</v>
      </c>
      <c r="E6080" s="11">
        <v>14.0</v>
      </c>
      <c r="F6080" s="21" t="s">
        <v>2332</v>
      </c>
      <c r="G6080" s="15">
        <v>0.043635541487678196</v>
      </c>
      <c r="H6080" s="11" t="s">
        <v>33</v>
      </c>
      <c r="I6080" s="16">
        <v>4.4</v>
      </c>
      <c r="J6080" s="11" t="s">
        <v>1298</v>
      </c>
      <c r="K6080" s="11" t="s">
        <v>47</v>
      </c>
      <c r="L6080" s="11" t="s">
        <v>48</v>
      </c>
      <c r="M6080" s="11" t="s">
        <v>66</v>
      </c>
      <c r="N6080" s="11" t="s">
        <v>67</v>
      </c>
      <c r="O6080" s="11" t="s">
        <v>2333</v>
      </c>
      <c r="P6080" s="11" t="s">
        <v>38</v>
      </c>
      <c r="Q6080" s="20">
        <v>40873.0</v>
      </c>
      <c r="R6080" s="17">
        <f t="shared" si="2"/>
        <v>18.45783405</v>
      </c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>
        <f t="shared" si="8"/>
        <v>4</v>
      </c>
      <c r="AF6080" s="19">
        <f t="shared" si="13"/>
        <v>3</v>
      </c>
      <c r="AG6080" s="9"/>
      <c r="AH6080" s="9"/>
      <c r="AI6080" s="9"/>
    </row>
    <row r="6081" ht="15.0" customHeight="1">
      <c r="A6081" s="11">
        <v>6080.0</v>
      </c>
      <c r="B6081" s="12">
        <f t="shared" ref="B6081:B6084" si="976">DATE(2012,12,31)-402</f>
        <v>40872</v>
      </c>
      <c r="C6081" s="13">
        <v>2011.0</v>
      </c>
      <c r="D6081" s="11" t="s">
        <v>44</v>
      </c>
      <c r="E6081" s="11">
        <v>24.0</v>
      </c>
      <c r="F6081" s="21" t="s">
        <v>147</v>
      </c>
      <c r="G6081" s="15">
        <v>0.1237288135593221</v>
      </c>
      <c r="H6081" s="11" t="s">
        <v>33</v>
      </c>
      <c r="I6081" s="16">
        <v>0.5599999999999999</v>
      </c>
      <c r="J6081" s="11" t="s">
        <v>1634</v>
      </c>
      <c r="K6081" s="11" t="s">
        <v>65</v>
      </c>
      <c r="L6081" s="11" t="s">
        <v>41</v>
      </c>
      <c r="M6081" s="11" t="s">
        <v>28</v>
      </c>
      <c r="N6081" s="11" t="s">
        <v>62</v>
      </c>
      <c r="O6081" s="11" t="s">
        <v>182</v>
      </c>
      <c r="P6081" s="11" t="s">
        <v>58</v>
      </c>
      <c r="Q6081" s="20">
        <v>40873.0</v>
      </c>
      <c r="R6081" s="17">
        <f t="shared" si="2"/>
        <v>5.117423729</v>
      </c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>
        <f t="shared" si="8"/>
        <v>3</v>
      </c>
      <c r="AF6081" s="19">
        <f t="shared" si="13"/>
        <v>5</v>
      </c>
      <c r="AG6081" s="9"/>
      <c r="AH6081" s="9"/>
      <c r="AI6081" s="9"/>
    </row>
    <row r="6082" ht="15.0" customHeight="1">
      <c r="A6082" s="11">
        <v>6081.0</v>
      </c>
      <c r="B6082" s="12">
        <f t="shared" si="976"/>
        <v>40872</v>
      </c>
      <c r="C6082" s="13">
        <v>2011.0</v>
      </c>
      <c r="D6082" s="11" t="s">
        <v>32</v>
      </c>
      <c r="E6082" s="11">
        <v>49.0</v>
      </c>
      <c r="F6082" s="21" t="s">
        <v>1828</v>
      </c>
      <c r="G6082" s="15">
        <v>0.0480362307961769</v>
      </c>
      <c r="H6082" s="11" t="s">
        <v>33</v>
      </c>
      <c r="I6082" s="16">
        <v>15.991999999999999</v>
      </c>
      <c r="J6082" s="11" t="s">
        <v>1017</v>
      </c>
      <c r="K6082" s="11" t="s">
        <v>117</v>
      </c>
      <c r="L6082" s="11" t="s">
        <v>36</v>
      </c>
      <c r="M6082" s="11" t="s">
        <v>28</v>
      </c>
      <c r="N6082" s="11" t="s">
        <v>42</v>
      </c>
      <c r="O6082" s="11" t="s">
        <v>1830</v>
      </c>
      <c r="P6082" s="11" t="s">
        <v>38</v>
      </c>
      <c r="Q6082" s="20">
        <v>40873.0</v>
      </c>
      <c r="R6082" s="17">
        <f t="shared" si="2"/>
        <v>913.7976378</v>
      </c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>
        <f t="shared" si="8"/>
        <v>2</v>
      </c>
      <c r="AF6082" s="19" t="b">
        <f t="shared" si="13"/>
        <v>0</v>
      </c>
      <c r="AG6082" s="9"/>
      <c r="AH6082" s="9"/>
      <c r="AI6082" s="9"/>
    </row>
    <row r="6083" ht="15.0" customHeight="1">
      <c r="A6083" s="11">
        <v>6082.0</v>
      </c>
      <c r="B6083" s="12">
        <f t="shared" si="976"/>
        <v>40872</v>
      </c>
      <c r="C6083" s="13">
        <v>2011.0</v>
      </c>
      <c r="D6083" s="11" t="s">
        <v>32</v>
      </c>
      <c r="E6083" s="11">
        <v>48.0</v>
      </c>
      <c r="F6083" s="21" t="s">
        <v>513</v>
      </c>
      <c r="G6083" s="15">
        <v>0.03515877550359908</v>
      </c>
      <c r="H6083" s="11" t="s">
        <v>45</v>
      </c>
      <c r="I6083" s="16">
        <v>28.016000000000005</v>
      </c>
      <c r="J6083" s="11" t="s">
        <v>1017</v>
      </c>
      <c r="K6083" s="11" t="s">
        <v>117</v>
      </c>
      <c r="L6083" s="11" t="s">
        <v>36</v>
      </c>
      <c r="M6083" s="11" t="s">
        <v>49</v>
      </c>
      <c r="N6083" s="11" t="s">
        <v>156</v>
      </c>
      <c r="O6083" s="11" t="s">
        <v>923</v>
      </c>
      <c r="P6083" s="11" t="s">
        <v>87</v>
      </c>
      <c r="Q6083" s="20">
        <v>40874.0</v>
      </c>
      <c r="R6083" s="17">
        <f t="shared" si="2"/>
        <v>272.5232632</v>
      </c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>
        <f t="shared" si="8"/>
        <v>2</v>
      </c>
      <c r="AF6083" s="19" t="b">
        <f t="shared" si="13"/>
        <v>0</v>
      </c>
      <c r="AG6083" s="9"/>
      <c r="AH6083" s="9"/>
      <c r="AI6083" s="9"/>
    </row>
    <row r="6084" ht="15.0" customHeight="1">
      <c r="A6084" s="11">
        <v>6083.0</v>
      </c>
      <c r="B6084" s="12">
        <f t="shared" si="976"/>
        <v>40872</v>
      </c>
      <c r="C6084" s="13">
        <v>2011.0</v>
      </c>
      <c r="D6084" s="11" t="s">
        <v>44</v>
      </c>
      <c r="E6084" s="11">
        <v>23.0</v>
      </c>
      <c r="F6084" s="21" t="s">
        <v>135</v>
      </c>
      <c r="G6084" s="15">
        <v>0.08204826368452045</v>
      </c>
      <c r="H6084" s="11" t="s">
        <v>33</v>
      </c>
      <c r="I6084" s="16">
        <v>4.16</v>
      </c>
      <c r="J6084" s="11" t="s">
        <v>674</v>
      </c>
      <c r="K6084" s="11" t="s">
        <v>61</v>
      </c>
      <c r="L6084" s="11" t="s">
        <v>36</v>
      </c>
      <c r="M6084" s="11" t="s">
        <v>28</v>
      </c>
      <c r="N6084" s="11" t="s">
        <v>56</v>
      </c>
      <c r="O6084" s="11" t="s">
        <v>1237</v>
      </c>
      <c r="P6084" s="11" t="s">
        <v>38</v>
      </c>
      <c r="Q6084" s="20">
        <v>40874.0</v>
      </c>
      <c r="R6084" s="17">
        <f t="shared" si="2"/>
        <v>12.7962472</v>
      </c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>
        <f t="shared" si="8"/>
        <v>2</v>
      </c>
      <c r="AF6084" s="19">
        <f t="shared" si="13"/>
        <v>4</v>
      </c>
      <c r="AG6084" s="9"/>
      <c r="AH6084" s="9"/>
      <c r="AI6084" s="9"/>
    </row>
    <row r="6085" ht="15.0" customHeight="1">
      <c r="A6085" s="11">
        <v>6084.0</v>
      </c>
      <c r="B6085" s="12">
        <f t="shared" ref="B6085:B6092" si="977">DATE(2012,12,31)-401</f>
        <v>40873</v>
      </c>
      <c r="C6085" s="13">
        <v>2011.0</v>
      </c>
      <c r="D6085" s="11" t="s">
        <v>44</v>
      </c>
      <c r="E6085" s="11">
        <v>16.0</v>
      </c>
      <c r="F6085" s="21" t="s">
        <v>290</v>
      </c>
      <c r="G6085" s="15">
        <v>0.03209742895805142</v>
      </c>
      <c r="H6085" s="11" t="s">
        <v>33</v>
      </c>
      <c r="I6085" s="16">
        <v>4.328</v>
      </c>
      <c r="J6085" s="11" t="s">
        <v>775</v>
      </c>
      <c r="K6085" s="11" t="s">
        <v>65</v>
      </c>
      <c r="L6085" s="11" t="s">
        <v>41</v>
      </c>
      <c r="M6085" s="11" t="s">
        <v>28</v>
      </c>
      <c r="N6085" s="11" t="s">
        <v>42</v>
      </c>
      <c r="O6085" s="11" t="s">
        <v>1475</v>
      </c>
      <c r="P6085" s="11" t="s">
        <v>38</v>
      </c>
      <c r="Q6085" s="20">
        <v>40875.0</v>
      </c>
      <c r="R6085" s="17">
        <f t="shared" si="2"/>
        <v>2.295864899</v>
      </c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>
        <f t="shared" si="8"/>
        <v>3</v>
      </c>
      <c r="AF6085" s="19">
        <f t="shared" si="13"/>
        <v>5</v>
      </c>
      <c r="AG6085" s="9"/>
      <c r="AH6085" s="9"/>
      <c r="AI6085" s="9"/>
    </row>
    <row r="6086" ht="15.0" customHeight="1">
      <c r="A6086" s="11">
        <v>6085.0</v>
      </c>
      <c r="B6086" s="12">
        <f t="shared" si="977"/>
        <v>40873</v>
      </c>
      <c r="C6086" s="13">
        <v>2011.0</v>
      </c>
      <c r="D6086" s="11" t="s">
        <v>44</v>
      </c>
      <c r="E6086" s="11">
        <v>13.0</v>
      </c>
      <c r="F6086" s="21" t="s">
        <v>715</v>
      </c>
      <c r="G6086" s="15">
        <v>0.07462681770707795</v>
      </c>
      <c r="H6086" s="11" t="s">
        <v>45</v>
      </c>
      <c r="I6086" s="16">
        <v>11.76</v>
      </c>
      <c r="J6086" s="11" t="s">
        <v>2016</v>
      </c>
      <c r="K6086" s="11" t="s">
        <v>35</v>
      </c>
      <c r="L6086" s="11" t="s">
        <v>36</v>
      </c>
      <c r="M6086" s="11" t="s">
        <v>66</v>
      </c>
      <c r="N6086" s="11" t="s">
        <v>69</v>
      </c>
      <c r="O6086" s="11" t="s">
        <v>717</v>
      </c>
      <c r="P6086" s="11" t="s">
        <v>52</v>
      </c>
      <c r="Q6086" s="20">
        <v>40875.0</v>
      </c>
      <c r="R6086" s="17">
        <f t="shared" si="2"/>
        <v>429.7803208</v>
      </c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>
        <f t="shared" si="8"/>
        <v>2</v>
      </c>
      <c r="AF6086" s="19">
        <f t="shared" si="13"/>
        <v>2</v>
      </c>
      <c r="AG6086" s="9"/>
      <c r="AH6086" s="9"/>
      <c r="AI6086" s="9"/>
    </row>
    <row r="6087" ht="15.0" customHeight="1">
      <c r="A6087" s="11">
        <v>6086.0</v>
      </c>
      <c r="B6087" s="12">
        <f t="shared" si="977"/>
        <v>40873</v>
      </c>
      <c r="C6087" s="13">
        <v>2011.0</v>
      </c>
      <c r="D6087" s="11" t="s">
        <v>44</v>
      </c>
      <c r="E6087" s="11">
        <v>26.0</v>
      </c>
      <c r="F6087" s="21" t="s">
        <v>619</v>
      </c>
      <c r="G6087" s="15">
        <v>0.08078404713346937</v>
      </c>
      <c r="H6087" s="11" t="s">
        <v>33</v>
      </c>
      <c r="I6087" s="16">
        <v>39.2</v>
      </c>
      <c r="J6087" s="11" t="s">
        <v>494</v>
      </c>
      <c r="K6087" s="11" t="s">
        <v>83</v>
      </c>
      <c r="L6087" s="11" t="s">
        <v>48</v>
      </c>
      <c r="M6087" s="11" t="s">
        <v>28</v>
      </c>
      <c r="N6087" s="11" t="s">
        <v>197</v>
      </c>
      <c r="O6087" s="11" t="s">
        <v>620</v>
      </c>
      <c r="P6087" s="11" t="s">
        <v>31</v>
      </c>
      <c r="Q6087" s="20">
        <v>40875.0</v>
      </c>
      <c r="R6087" s="17">
        <f t="shared" si="2"/>
        <v>131.0801949</v>
      </c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>
        <f t="shared" si="8"/>
        <v>4</v>
      </c>
      <c r="AF6087" s="19" t="b">
        <f t="shared" si="13"/>
        <v>0</v>
      </c>
      <c r="AG6087" s="9"/>
      <c r="AH6087" s="9"/>
      <c r="AI6087" s="9"/>
    </row>
    <row r="6088" ht="15.0" customHeight="1">
      <c r="A6088" s="11">
        <v>6087.0</v>
      </c>
      <c r="B6088" s="12">
        <f t="shared" si="977"/>
        <v>40873</v>
      </c>
      <c r="C6088" s="13">
        <v>2011.0</v>
      </c>
      <c r="D6088" s="11" t="s">
        <v>32</v>
      </c>
      <c r="E6088" s="11">
        <v>28.0</v>
      </c>
      <c r="F6088" s="21" t="s">
        <v>428</v>
      </c>
      <c r="G6088" s="15">
        <v>0.03456449097794614</v>
      </c>
      <c r="H6088" s="11" t="s">
        <v>33</v>
      </c>
      <c r="I6088" s="16">
        <v>7.784000000000001</v>
      </c>
      <c r="J6088" s="11" t="s">
        <v>925</v>
      </c>
      <c r="K6088" s="11" t="s">
        <v>35</v>
      </c>
      <c r="L6088" s="11" t="s">
        <v>27</v>
      </c>
      <c r="M6088" s="11" t="s">
        <v>28</v>
      </c>
      <c r="N6088" s="11" t="s">
        <v>42</v>
      </c>
      <c r="O6088" s="11" t="s">
        <v>430</v>
      </c>
      <c r="P6088" s="11" t="s">
        <v>38</v>
      </c>
      <c r="Q6088" s="20">
        <v>40875.0</v>
      </c>
      <c r="R6088" s="17">
        <f t="shared" si="2"/>
        <v>14.97969736</v>
      </c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>
        <f t="shared" si="8"/>
        <v>1</v>
      </c>
      <c r="AF6088" s="19">
        <f t="shared" si="13"/>
        <v>2</v>
      </c>
      <c r="AG6088" s="9"/>
      <c r="AH6088" s="9"/>
      <c r="AI6088" s="9"/>
    </row>
    <row r="6089" ht="15.0" customHeight="1">
      <c r="A6089" s="11">
        <v>6088.0</v>
      </c>
      <c r="B6089" s="12">
        <f t="shared" si="977"/>
        <v>40873</v>
      </c>
      <c r="C6089" s="13">
        <v>2011.0</v>
      </c>
      <c r="D6089" s="11" t="s">
        <v>32</v>
      </c>
      <c r="E6089" s="11">
        <v>23.0</v>
      </c>
      <c r="F6089" s="21" t="s">
        <v>2306</v>
      </c>
      <c r="G6089" s="15">
        <v>0.049870705578130774</v>
      </c>
      <c r="H6089" s="11" t="s">
        <v>24</v>
      </c>
      <c r="I6089" s="16">
        <v>4.2</v>
      </c>
      <c r="J6089" s="11" t="s">
        <v>925</v>
      </c>
      <c r="K6089" s="11" t="s">
        <v>35</v>
      </c>
      <c r="L6089" s="11" t="s">
        <v>27</v>
      </c>
      <c r="M6089" s="11" t="s">
        <v>28</v>
      </c>
      <c r="N6089" s="11" t="s">
        <v>236</v>
      </c>
      <c r="O6089" s="11" t="s">
        <v>2307</v>
      </c>
      <c r="P6089" s="11" t="s">
        <v>38</v>
      </c>
      <c r="Q6089" s="20">
        <v>40875.0</v>
      </c>
      <c r="R6089" s="17">
        <f t="shared" si="2"/>
        <v>12.82674547</v>
      </c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>
        <f t="shared" si="8"/>
        <v>1</v>
      </c>
      <c r="AF6089" s="19">
        <f t="shared" si="13"/>
        <v>2</v>
      </c>
      <c r="AG6089" s="9"/>
      <c r="AH6089" s="9"/>
      <c r="AI6089" s="9"/>
    </row>
    <row r="6090" ht="15.0" customHeight="1">
      <c r="A6090" s="11">
        <v>6089.0</v>
      </c>
      <c r="B6090" s="12">
        <f t="shared" si="977"/>
        <v>40873</v>
      </c>
      <c r="C6090" s="13">
        <v>2011.0</v>
      </c>
      <c r="D6090" s="11" t="s">
        <v>32</v>
      </c>
      <c r="E6090" s="11">
        <v>45.0</v>
      </c>
      <c r="F6090" s="21" t="s">
        <v>259</v>
      </c>
      <c r="G6090" s="15">
        <v>0.05266543438077627</v>
      </c>
      <c r="H6090" s="11" t="s">
        <v>33</v>
      </c>
      <c r="I6090" s="16">
        <v>4.008</v>
      </c>
      <c r="J6090" s="11" t="s">
        <v>925</v>
      </c>
      <c r="K6090" s="11" t="s">
        <v>35</v>
      </c>
      <c r="L6090" s="11" t="s">
        <v>27</v>
      </c>
      <c r="M6090" s="11" t="s">
        <v>28</v>
      </c>
      <c r="N6090" s="11" t="s">
        <v>56</v>
      </c>
      <c r="O6090" s="11" t="s">
        <v>260</v>
      </c>
      <c r="P6090" s="11" t="s">
        <v>38</v>
      </c>
      <c r="Q6090" s="20">
        <v>40876.0</v>
      </c>
      <c r="R6090" s="17">
        <f t="shared" si="2"/>
        <v>26.99145644</v>
      </c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>
        <f t="shared" si="8"/>
        <v>1</v>
      </c>
      <c r="AF6090" s="19">
        <f t="shared" si="13"/>
        <v>2</v>
      </c>
      <c r="AG6090" s="9"/>
      <c r="AH6090" s="9"/>
      <c r="AI6090" s="9"/>
    </row>
    <row r="6091" ht="15.0" customHeight="1">
      <c r="A6091" s="11">
        <v>6090.0</v>
      </c>
      <c r="B6091" s="12">
        <f t="shared" si="977"/>
        <v>40873</v>
      </c>
      <c r="C6091" s="13">
        <v>2011.0</v>
      </c>
      <c r="D6091" s="11" t="s">
        <v>32</v>
      </c>
      <c r="E6091" s="11">
        <v>9.0</v>
      </c>
      <c r="F6091" s="21" t="s">
        <v>1207</v>
      </c>
      <c r="G6091" s="15">
        <v>0.04157122905027928</v>
      </c>
      <c r="H6091" s="11" t="s">
        <v>45</v>
      </c>
      <c r="I6091" s="16">
        <v>18.864</v>
      </c>
      <c r="J6091" s="11" t="s">
        <v>925</v>
      </c>
      <c r="K6091" s="11" t="s">
        <v>35</v>
      </c>
      <c r="L6091" s="11" t="s">
        <v>27</v>
      </c>
      <c r="M6091" s="11" t="s">
        <v>49</v>
      </c>
      <c r="N6091" s="11" t="s">
        <v>156</v>
      </c>
      <c r="O6091" s="11" t="s">
        <v>2444</v>
      </c>
      <c r="P6091" s="11" t="s">
        <v>87</v>
      </c>
      <c r="Q6091" s="20">
        <v>40876.0</v>
      </c>
      <c r="R6091" s="17">
        <f t="shared" si="2"/>
        <v>68.46631768</v>
      </c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>
        <f t="shared" si="8"/>
        <v>1</v>
      </c>
      <c r="AF6091" s="19">
        <f t="shared" si="13"/>
        <v>2</v>
      </c>
      <c r="AG6091" s="9"/>
      <c r="AH6091" s="9"/>
      <c r="AI6091" s="9"/>
    </row>
    <row r="6092" ht="15.0" customHeight="1">
      <c r="A6092" s="11">
        <v>6091.0</v>
      </c>
      <c r="B6092" s="12">
        <f t="shared" si="977"/>
        <v>40873</v>
      </c>
      <c r="C6092" s="13">
        <v>2011.0</v>
      </c>
      <c r="D6092" s="11" t="s">
        <v>23</v>
      </c>
      <c r="E6092" s="11">
        <v>16.0</v>
      </c>
      <c r="F6092" s="21" t="s">
        <v>2210</v>
      </c>
      <c r="G6092" s="15">
        <v>0.0870431893687708</v>
      </c>
      <c r="H6092" s="11" t="s">
        <v>33</v>
      </c>
      <c r="I6092" s="16">
        <v>0.5599999999999999</v>
      </c>
      <c r="J6092" s="11" t="s">
        <v>2343</v>
      </c>
      <c r="K6092" s="11" t="s">
        <v>83</v>
      </c>
      <c r="L6092" s="11" t="s">
        <v>36</v>
      </c>
      <c r="M6092" s="11" t="s">
        <v>28</v>
      </c>
      <c r="N6092" s="11" t="s">
        <v>216</v>
      </c>
      <c r="O6092" s="11" t="s">
        <v>2562</v>
      </c>
      <c r="P6092" s="11" t="s">
        <v>58</v>
      </c>
      <c r="Q6092" s="20">
        <v>40876.0</v>
      </c>
      <c r="R6092" s="17">
        <f t="shared" si="2"/>
        <v>4.783893688</v>
      </c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>
        <f t="shared" si="8"/>
        <v>2</v>
      </c>
      <c r="AF6092" s="19" t="b">
        <f t="shared" si="13"/>
        <v>0</v>
      </c>
      <c r="AG6092" s="9"/>
      <c r="AH6092" s="9"/>
      <c r="AI6092" s="9"/>
    </row>
    <row r="6093" ht="15.0" customHeight="1">
      <c r="A6093" s="11">
        <v>6092.0</v>
      </c>
      <c r="B6093" s="12">
        <f t="shared" ref="B6093:B6098" si="978">DATE(2012,12,31)-400</f>
        <v>40874</v>
      </c>
      <c r="C6093" s="13">
        <v>2011.0</v>
      </c>
      <c r="D6093" s="11" t="s">
        <v>23</v>
      </c>
      <c r="E6093" s="11">
        <v>3.0</v>
      </c>
      <c r="F6093" s="21" t="s">
        <v>172</v>
      </c>
      <c r="G6093" s="15">
        <v>0.060240901170638295</v>
      </c>
      <c r="H6093" s="11" t="s">
        <v>33</v>
      </c>
      <c r="I6093" s="16">
        <v>19.592</v>
      </c>
      <c r="J6093" s="11" t="s">
        <v>2579</v>
      </c>
      <c r="K6093" s="11" t="s">
        <v>61</v>
      </c>
      <c r="L6093" s="11" t="s">
        <v>36</v>
      </c>
      <c r="M6093" s="11" t="s">
        <v>66</v>
      </c>
      <c r="N6093" s="11" t="s">
        <v>69</v>
      </c>
      <c r="O6093" s="11" t="s">
        <v>173</v>
      </c>
      <c r="P6093" s="11" t="s">
        <v>31</v>
      </c>
      <c r="Q6093" s="20">
        <v>40876.0</v>
      </c>
      <c r="R6093" s="17">
        <f t="shared" si="2"/>
        <v>1227.022338</v>
      </c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>
        <f t="shared" si="8"/>
        <v>2</v>
      </c>
      <c r="AF6093" s="19">
        <f t="shared" si="13"/>
        <v>4</v>
      </c>
      <c r="AG6093" s="9"/>
      <c r="AH6093" s="9"/>
      <c r="AI6093" s="9"/>
    </row>
    <row r="6094" ht="15.0" customHeight="1">
      <c r="A6094" s="11">
        <v>6093.0</v>
      </c>
      <c r="B6094" s="12">
        <f t="shared" si="978"/>
        <v>40874</v>
      </c>
      <c r="C6094" s="13">
        <v>2011.0</v>
      </c>
      <c r="D6094" s="11" t="s">
        <v>23</v>
      </c>
      <c r="E6094" s="11">
        <v>34.0</v>
      </c>
      <c r="F6094" s="21" t="s">
        <v>1280</v>
      </c>
      <c r="G6094" s="15">
        <v>0.029420067505369817</v>
      </c>
      <c r="H6094" s="11" t="s">
        <v>24</v>
      </c>
      <c r="I6094" s="16">
        <v>3.512</v>
      </c>
      <c r="J6094" s="11" t="s">
        <v>2579</v>
      </c>
      <c r="K6094" s="11" t="s">
        <v>61</v>
      </c>
      <c r="L6094" s="11" t="s">
        <v>36</v>
      </c>
      <c r="M6094" s="11" t="s">
        <v>28</v>
      </c>
      <c r="N6094" s="11" t="s">
        <v>56</v>
      </c>
      <c r="O6094" s="11" t="s">
        <v>1281</v>
      </c>
      <c r="P6094" s="11" t="s">
        <v>58</v>
      </c>
      <c r="Q6094" s="20">
        <v>40876.0</v>
      </c>
      <c r="R6094" s="17">
        <f t="shared" si="2"/>
        <v>9.305920393</v>
      </c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>
        <f t="shared" si="8"/>
        <v>2</v>
      </c>
      <c r="AF6094" s="19">
        <f t="shared" si="13"/>
        <v>4</v>
      </c>
      <c r="AG6094" s="9"/>
      <c r="AH6094" s="9"/>
      <c r="AI6094" s="9"/>
    </row>
    <row r="6095" ht="15.0" customHeight="1">
      <c r="A6095" s="11">
        <v>6094.0</v>
      </c>
      <c r="B6095" s="12">
        <f t="shared" si="978"/>
        <v>40874</v>
      </c>
      <c r="C6095" s="13">
        <v>2011.0</v>
      </c>
      <c r="D6095" s="11" t="s">
        <v>23</v>
      </c>
      <c r="E6095" s="11">
        <v>12.0</v>
      </c>
      <c r="F6095" s="21" t="s">
        <v>135</v>
      </c>
      <c r="G6095" s="15">
        <v>0.05270270270270278</v>
      </c>
      <c r="H6095" s="11" t="s">
        <v>33</v>
      </c>
      <c r="I6095" s="16">
        <v>4.920000000000001</v>
      </c>
      <c r="J6095" s="11" t="s">
        <v>2579</v>
      </c>
      <c r="K6095" s="11" t="s">
        <v>61</v>
      </c>
      <c r="L6095" s="11" t="s">
        <v>36</v>
      </c>
      <c r="M6095" s="11" t="s">
        <v>28</v>
      </c>
      <c r="N6095" s="11" t="s">
        <v>56</v>
      </c>
      <c r="O6095" s="11" t="s">
        <v>2393</v>
      </c>
      <c r="P6095" s="11" t="s">
        <v>38</v>
      </c>
      <c r="Q6095" s="20">
        <v>40876.0</v>
      </c>
      <c r="R6095" s="17">
        <f t="shared" si="2"/>
        <v>4.433351351</v>
      </c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>
        <f t="shared" si="8"/>
        <v>2</v>
      </c>
      <c r="AF6095" s="19">
        <f t="shared" si="13"/>
        <v>4</v>
      </c>
      <c r="AG6095" s="9"/>
      <c r="AH6095" s="9"/>
      <c r="AI6095" s="9"/>
    </row>
    <row r="6096" ht="15.0" customHeight="1">
      <c r="A6096" s="11">
        <v>6095.0</v>
      </c>
      <c r="B6096" s="12">
        <f t="shared" si="978"/>
        <v>40874</v>
      </c>
      <c r="C6096" s="13">
        <v>2011.0</v>
      </c>
      <c r="D6096" s="11" t="s">
        <v>23</v>
      </c>
      <c r="E6096" s="11">
        <v>13.0</v>
      </c>
      <c r="F6096" s="21" t="s">
        <v>1015</v>
      </c>
      <c r="G6096" s="15">
        <v>0.11445945945945932</v>
      </c>
      <c r="H6096" s="11" t="s">
        <v>33</v>
      </c>
      <c r="I6096" s="16">
        <v>4.5360000000000005</v>
      </c>
      <c r="J6096" s="11" t="s">
        <v>2579</v>
      </c>
      <c r="K6096" s="11" t="s">
        <v>61</v>
      </c>
      <c r="L6096" s="11" t="s">
        <v>36</v>
      </c>
      <c r="M6096" s="11" t="s">
        <v>28</v>
      </c>
      <c r="N6096" s="11" t="s">
        <v>56</v>
      </c>
      <c r="O6096" s="11" t="s">
        <v>1617</v>
      </c>
      <c r="P6096" s="11" t="s">
        <v>38</v>
      </c>
      <c r="Q6096" s="20">
        <v>40876.0</v>
      </c>
      <c r="R6096" s="17">
        <f t="shared" si="2"/>
        <v>9.000634054</v>
      </c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>
        <f t="shared" si="8"/>
        <v>2</v>
      </c>
      <c r="AF6096" s="19">
        <f t="shared" si="13"/>
        <v>4</v>
      </c>
      <c r="AG6096" s="9"/>
      <c r="AH6096" s="9"/>
      <c r="AI6096" s="9"/>
    </row>
    <row r="6097" ht="15.0" customHeight="1">
      <c r="A6097" s="11">
        <v>6096.0</v>
      </c>
      <c r="B6097" s="12">
        <f t="shared" si="978"/>
        <v>40874</v>
      </c>
      <c r="C6097" s="13">
        <v>2011.0</v>
      </c>
      <c r="D6097" s="11" t="s">
        <v>23</v>
      </c>
      <c r="E6097" s="11">
        <v>14.0</v>
      </c>
      <c r="F6097" s="21" t="s">
        <v>1441</v>
      </c>
      <c r="G6097" s="15">
        <v>0.023106350420810773</v>
      </c>
      <c r="H6097" s="11" t="s">
        <v>33</v>
      </c>
      <c r="I6097" s="16">
        <v>4.4799999999999995</v>
      </c>
      <c r="J6097" s="11" t="s">
        <v>2064</v>
      </c>
      <c r="K6097" s="11" t="s">
        <v>61</v>
      </c>
      <c r="L6097" s="11" t="s">
        <v>41</v>
      </c>
      <c r="M6097" s="11" t="s">
        <v>28</v>
      </c>
      <c r="N6097" s="11" t="s">
        <v>42</v>
      </c>
      <c r="O6097" s="11" t="s">
        <v>1443</v>
      </c>
      <c r="P6097" s="11" t="s">
        <v>38</v>
      </c>
      <c r="Q6097" s="20">
        <v>40876.0</v>
      </c>
      <c r="R6097" s="17">
        <f t="shared" si="2"/>
        <v>2.950218822</v>
      </c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>
        <f t="shared" si="8"/>
        <v>3</v>
      </c>
      <c r="AF6097" s="19">
        <f t="shared" si="13"/>
        <v>4</v>
      </c>
      <c r="AG6097" s="9"/>
      <c r="AH6097" s="9"/>
      <c r="AI6097" s="9"/>
    </row>
    <row r="6098" ht="15.0" customHeight="1">
      <c r="A6098" s="11">
        <v>6097.0</v>
      </c>
      <c r="B6098" s="12">
        <f t="shared" si="978"/>
        <v>40874</v>
      </c>
      <c r="C6098" s="13">
        <v>2011.0</v>
      </c>
      <c r="D6098" s="11" t="s">
        <v>23</v>
      </c>
      <c r="E6098" s="11">
        <v>1.0</v>
      </c>
      <c r="F6098" s="21" t="s">
        <v>668</v>
      </c>
      <c r="G6098" s="15">
        <v>0.1214814814814814</v>
      </c>
      <c r="H6098" s="11" t="s">
        <v>33</v>
      </c>
      <c r="I6098" s="16">
        <v>3.9600000000000004</v>
      </c>
      <c r="J6098" s="11" t="s">
        <v>2064</v>
      </c>
      <c r="K6098" s="11" t="s">
        <v>61</v>
      </c>
      <c r="L6098" s="11" t="s">
        <v>41</v>
      </c>
      <c r="M6098" s="11" t="s">
        <v>49</v>
      </c>
      <c r="N6098" s="11" t="s">
        <v>73</v>
      </c>
      <c r="O6098" s="11" t="s">
        <v>1481</v>
      </c>
      <c r="P6098" s="11" t="s">
        <v>38</v>
      </c>
      <c r="Q6098" s="20">
        <v>40877.0</v>
      </c>
      <c r="R6098" s="17">
        <f t="shared" si="2"/>
        <v>1.44077037</v>
      </c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>
        <f t="shared" si="8"/>
        <v>3</v>
      </c>
      <c r="AF6098" s="19">
        <f t="shared" si="13"/>
        <v>4</v>
      </c>
      <c r="AG6098" s="9"/>
      <c r="AH6098" s="9"/>
      <c r="AI6098" s="9"/>
    </row>
    <row r="6099" ht="15.0" customHeight="1">
      <c r="A6099" s="11">
        <v>6098.0</v>
      </c>
      <c r="B6099" s="12">
        <f t="shared" ref="B6099:B6103" si="979">DATE(2012,12,31)-399</f>
        <v>40875</v>
      </c>
      <c r="C6099" s="13">
        <v>2011.0</v>
      </c>
      <c r="D6099" s="11" t="s">
        <v>39</v>
      </c>
      <c r="E6099" s="11">
        <v>4.0</v>
      </c>
      <c r="F6099" s="21" t="s">
        <v>700</v>
      </c>
      <c r="G6099" s="15">
        <v>0.05908893709327557</v>
      </c>
      <c r="H6099" s="11" t="s">
        <v>24</v>
      </c>
      <c r="I6099" s="16">
        <v>4.976</v>
      </c>
      <c r="J6099" s="11" t="s">
        <v>1276</v>
      </c>
      <c r="K6099" s="11" t="s">
        <v>47</v>
      </c>
      <c r="L6099" s="11" t="s">
        <v>48</v>
      </c>
      <c r="M6099" s="11" t="s">
        <v>49</v>
      </c>
      <c r="N6099" s="11" t="s">
        <v>73</v>
      </c>
      <c r="O6099" s="11" t="s">
        <v>701</v>
      </c>
      <c r="P6099" s="11" t="s">
        <v>38</v>
      </c>
      <c r="Q6099" s="20">
        <v>40877.0</v>
      </c>
      <c r="R6099" s="17">
        <f t="shared" si="2"/>
        <v>2.563041735</v>
      </c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>
        <f t="shared" si="8"/>
        <v>4</v>
      </c>
      <c r="AF6099" s="19">
        <f t="shared" si="13"/>
        <v>3</v>
      </c>
      <c r="AG6099" s="9"/>
      <c r="AH6099" s="9"/>
      <c r="AI6099" s="9"/>
    </row>
    <row r="6100" ht="15.0" customHeight="1">
      <c r="A6100" s="11">
        <v>6099.0</v>
      </c>
      <c r="B6100" s="12">
        <f t="shared" si="979"/>
        <v>40875</v>
      </c>
      <c r="C6100" s="13">
        <v>2011.0</v>
      </c>
      <c r="D6100" s="11" t="s">
        <v>39</v>
      </c>
      <c r="E6100" s="11">
        <v>48.0</v>
      </c>
      <c r="F6100" s="21" t="s">
        <v>1074</v>
      </c>
      <c r="G6100" s="15">
        <v>0.08772413793103448</v>
      </c>
      <c r="H6100" s="11" t="s">
        <v>33</v>
      </c>
      <c r="I6100" s="16">
        <v>0.5599999999999999</v>
      </c>
      <c r="J6100" s="11" t="s">
        <v>1276</v>
      </c>
      <c r="K6100" s="11" t="s">
        <v>47</v>
      </c>
      <c r="L6100" s="11" t="s">
        <v>48</v>
      </c>
      <c r="M6100" s="11" t="s">
        <v>28</v>
      </c>
      <c r="N6100" s="11" t="s">
        <v>62</v>
      </c>
      <c r="O6100" s="11" t="s">
        <v>2445</v>
      </c>
      <c r="P6100" s="11" t="s">
        <v>58</v>
      </c>
      <c r="Q6100" s="20">
        <v>40877.0</v>
      </c>
      <c r="R6100" s="17">
        <f t="shared" si="2"/>
        <v>23.20829793</v>
      </c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>
        <f t="shared" si="8"/>
        <v>4</v>
      </c>
      <c r="AF6100" s="19">
        <f t="shared" si="13"/>
        <v>3</v>
      </c>
      <c r="AG6100" s="9"/>
      <c r="AH6100" s="9"/>
      <c r="AI6100" s="9"/>
    </row>
    <row r="6101" ht="15.0" customHeight="1">
      <c r="A6101" s="11">
        <v>6100.0</v>
      </c>
      <c r="B6101" s="12">
        <f t="shared" si="979"/>
        <v>40875</v>
      </c>
      <c r="C6101" s="13">
        <v>2011.0</v>
      </c>
      <c r="D6101" s="11" t="s">
        <v>32</v>
      </c>
      <c r="E6101" s="11">
        <v>23.0</v>
      </c>
      <c r="F6101" s="21" t="s">
        <v>336</v>
      </c>
      <c r="G6101" s="15">
        <v>0.10308392973324655</v>
      </c>
      <c r="H6101" s="11" t="s">
        <v>33</v>
      </c>
      <c r="I6101" s="16">
        <v>4.456</v>
      </c>
      <c r="J6101" s="11" t="s">
        <v>851</v>
      </c>
      <c r="K6101" s="11" t="s">
        <v>65</v>
      </c>
      <c r="L6101" s="11" t="s">
        <v>41</v>
      </c>
      <c r="M6101" s="11" t="s">
        <v>49</v>
      </c>
      <c r="N6101" s="11" t="s">
        <v>73</v>
      </c>
      <c r="O6101" s="11" t="s">
        <v>2479</v>
      </c>
      <c r="P6101" s="11" t="s">
        <v>38</v>
      </c>
      <c r="Q6101" s="20">
        <v>40877.0</v>
      </c>
      <c r="R6101" s="17">
        <f t="shared" si="2"/>
        <v>14.21073822</v>
      </c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>
        <f t="shared" si="8"/>
        <v>3</v>
      </c>
      <c r="AF6101" s="19">
        <f t="shared" si="13"/>
        <v>5</v>
      </c>
      <c r="AG6101" s="9"/>
      <c r="AH6101" s="9"/>
      <c r="AI6101" s="9"/>
    </row>
    <row r="6102" ht="15.0" customHeight="1">
      <c r="A6102" s="11">
        <v>6101.0</v>
      </c>
      <c r="B6102" s="12">
        <f t="shared" si="979"/>
        <v>40875</v>
      </c>
      <c r="C6102" s="13">
        <v>2011.0</v>
      </c>
      <c r="D6102" s="11" t="s">
        <v>44</v>
      </c>
      <c r="E6102" s="11">
        <v>1.0</v>
      </c>
      <c r="F6102" s="21" t="s">
        <v>377</v>
      </c>
      <c r="G6102" s="15">
        <v>0.040358422939068016</v>
      </c>
      <c r="H6102" s="11" t="s">
        <v>33</v>
      </c>
      <c r="I6102" s="16">
        <v>4.648</v>
      </c>
      <c r="J6102" s="11" t="s">
        <v>307</v>
      </c>
      <c r="K6102" s="11" t="s">
        <v>61</v>
      </c>
      <c r="L6102" s="11" t="s">
        <v>48</v>
      </c>
      <c r="M6102" s="11" t="s">
        <v>28</v>
      </c>
      <c r="N6102" s="11" t="s">
        <v>56</v>
      </c>
      <c r="O6102" s="11" t="s">
        <v>378</v>
      </c>
      <c r="P6102" s="11" t="s">
        <v>38</v>
      </c>
      <c r="Q6102" s="20">
        <v>40878.0</v>
      </c>
      <c r="R6102" s="17">
        <f t="shared" si="2"/>
        <v>2.161112832</v>
      </c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>
        <f t="shared" si="8"/>
        <v>4</v>
      </c>
      <c r="AF6102" s="19">
        <f t="shared" si="13"/>
        <v>4</v>
      </c>
      <c r="AG6102" s="9"/>
      <c r="AH6102" s="9"/>
      <c r="AI6102" s="9"/>
    </row>
    <row r="6103" ht="15.0" customHeight="1">
      <c r="A6103" s="11">
        <v>6102.0</v>
      </c>
      <c r="B6103" s="12">
        <f t="shared" si="979"/>
        <v>40875</v>
      </c>
      <c r="C6103" s="13">
        <v>2011.0</v>
      </c>
      <c r="D6103" s="11" t="s">
        <v>44</v>
      </c>
      <c r="E6103" s="11">
        <v>4.0</v>
      </c>
      <c r="F6103" s="21" t="s">
        <v>1635</v>
      </c>
      <c r="G6103" s="15">
        <v>0.08018667798048357</v>
      </c>
      <c r="H6103" s="11" t="s">
        <v>33</v>
      </c>
      <c r="I6103" s="16">
        <v>28.0</v>
      </c>
      <c r="J6103" s="11" t="s">
        <v>307</v>
      </c>
      <c r="K6103" s="11" t="s">
        <v>61</v>
      </c>
      <c r="L6103" s="11" t="s">
        <v>48</v>
      </c>
      <c r="M6103" s="11" t="s">
        <v>28</v>
      </c>
      <c r="N6103" s="11" t="s">
        <v>29</v>
      </c>
      <c r="O6103" s="11" t="s">
        <v>1637</v>
      </c>
      <c r="P6103" s="11" t="s">
        <v>31</v>
      </c>
      <c r="Q6103" s="20">
        <v>40878.0</v>
      </c>
      <c r="R6103" s="17">
        <f t="shared" si="2"/>
        <v>34.76894357</v>
      </c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>
        <f t="shared" si="8"/>
        <v>4</v>
      </c>
      <c r="AF6103" s="19">
        <f t="shared" si="13"/>
        <v>4</v>
      </c>
      <c r="AG6103" s="9"/>
      <c r="AH6103" s="9"/>
      <c r="AI6103" s="9"/>
    </row>
    <row r="6104" ht="15.0" customHeight="1">
      <c r="A6104" s="11">
        <v>6103.0</v>
      </c>
      <c r="B6104" s="12">
        <f t="shared" ref="B6104:B6108" si="980">DATE(2012,12,31)-398</f>
        <v>40876</v>
      </c>
      <c r="C6104" s="13">
        <v>2011.0</v>
      </c>
      <c r="D6104" s="11" t="s">
        <v>32</v>
      </c>
      <c r="E6104" s="11">
        <v>24.0</v>
      </c>
      <c r="F6104" s="21" t="s">
        <v>493</v>
      </c>
      <c r="G6104" s="15">
        <v>0.029692343102654783</v>
      </c>
      <c r="H6104" s="11" t="s">
        <v>33</v>
      </c>
      <c r="I6104" s="16">
        <v>15.991999999999999</v>
      </c>
      <c r="J6104" s="11" t="s">
        <v>2350</v>
      </c>
      <c r="K6104" s="11" t="s">
        <v>61</v>
      </c>
      <c r="L6104" s="11" t="s">
        <v>36</v>
      </c>
      <c r="M6104" s="11" t="s">
        <v>28</v>
      </c>
      <c r="N6104" s="11" t="s">
        <v>42</v>
      </c>
      <c r="O6104" s="11" t="s">
        <v>495</v>
      </c>
      <c r="P6104" s="11" t="s">
        <v>38</v>
      </c>
      <c r="Q6104" s="20">
        <v>40878.0</v>
      </c>
      <c r="R6104" s="17">
        <f t="shared" si="2"/>
        <v>300.415013</v>
      </c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>
        <f t="shared" si="8"/>
        <v>2</v>
      </c>
      <c r="AF6104" s="19">
        <f t="shared" si="13"/>
        <v>4</v>
      </c>
      <c r="AG6104" s="9"/>
      <c r="AH6104" s="9"/>
      <c r="AI6104" s="9"/>
    </row>
    <row r="6105" ht="15.0" customHeight="1">
      <c r="A6105" s="11">
        <v>6104.0</v>
      </c>
      <c r="B6105" s="12">
        <f t="shared" si="980"/>
        <v>40876</v>
      </c>
      <c r="C6105" s="13">
        <v>2011.0</v>
      </c>
      <c r="D6105" s="11" t="s">
        <v>102</v>
      </c>
      <c r="E6105" s="11">
        <v>9.0</v>
      </c>
      <c r="F6105" s="21" t="s">
        <v>93</v>
      </c>
      <c r="G6105" s="15">
        <v>0.029694555112881865</v>
      </c>
      <c r="H6105" s="11" t="s">
        <v>33</v>
      </c>
      <c r="I6105" s="16">
        <v>4.664000000000001</v>
      </c>
      <c r="J6105" s="11" t="s">
        <v>1017</v>
      </c>
      <c r="K6105" s="11" t="s">
        <v>117</v>
      </c>
      <c r="L6105" s="11" t="s">
        <v>48</v>
      </c>
      <c r="M6105" s="11" t="s">
        <v>28</v>
      </c>
      <c r="N6105" s="11" t="s">
        <v>56</v>
      </c>
      <c r="O6105" s="11" t="s">
        <v>95</v>
      </c>
      <c r="P6105" s="11" t="s">
        <v>58</v>
      </c>
      <c r="Q6105" s="20">
        <v>40878.0</v>
      </c>
      <c r="R6105" s="17">
        <f t="shared" si="2"/>
        <v>2.169602975</v>
      </c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>
        <f t="shared" si="8"/>
        <v>4</v>
      </c>
      <c r="AF6105" s="19" t="b">
        <f t="shared" si="13"/>
        <v>0</v>
      </c>
      <c r="AG6105" s="9"/>
      <c r="AH6105" s="9"/>
      <c r="AI6105" s="9"/>
    </row>
    <row r="6106" ht="15.0" customHeight="1">
      <c r="A6106" s="11">
        <v>6105.0</v>
      </c>
      <c r="B6106" s="12">
        <f t="shared" si="980"/>
        <v>40876</v>
      </c>
      <c r="C6106" s="13">
        <v>2011.0</v>
      </c>
      <c r="D6106" s="11" t="s">
        <v>39</v>
      </c>
      <c r="E6106" s="11">
        <v>25.0</v>
      </c>
      <c r="F6106" s="21" t="s">
        <v>1261</v>
      </c>
      <c r="G6106" s="15">
        <v>0.0777271508978826</v>
      </c>
      <c r="H6106" s="11" t="s">
        <v>33</v>
      </c>
      <c r="I6106" s="16">
        <v>3.2</v>
      </c>
      <c r="J6106" s="11" t="s">
        <v>2185</v>
      </c>
      <c r="K6106" s="11" t="s">
        <v>26</v>
      </c>
      <c r="L6106" s="11" t="s">
        <v>36</v>
      </c>
      <c r="M6106" s="11" t="s">
        <v>66</v>
      </c>
      <c r="N6106" s="11" t="s">
        <v>67</v>
      </c>
      <c r="O6106" s="11" t="s">
        <v>1262</v>
      </c>
      <c r="P6106" s="11" t="s">
        <v>38</v>
      </c>
      <c r="Q6106" s="20">
        <v>40878.0</v>
      </c>
      <c r="R6106" s="17">
        <f t="shared" si="2"/>
        <v>53.49182525</v>
      </c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>
        <f t="shared" si="8"/>
        <v>2</v>
      </c>
      <c r="AF6106" s="19">
        <f t="shared" si="13"/>
        <v>1</v>
      </c>
      <c r="AG6106" s="9"/>
      <c r="AH6106" s="9"/>
      <c r="AI6106" s="9"/>
    </row>
    <row r="6107" ht="15.0" customHeight="1">
      <c r="A6107" s="11">
        <v>6106.0</v>
      </c>
      <c r="B6107" s="12">
        <f t="shared" si="980"/>
        <v>40876</v>
      </c>
      <c r="C6107" s="13">
        <v>2011.0</v>
      </c>
      <c r="D6107" s="11" t="s">
        <v>102</v>
      </c>
      <c r="E6107" s="11">
        <v>13.0</v>
      </c>
      <c r="F6107" s="21" t="s">
        <v>985</v>
      </c>
      <c r="G6107" s="15">
        <v>0.08048493754592208</v>
      </c>
      <c r="H6107" s="11" t="s">
        <v>33</v>
      </c>
      <c r="I6107" s="16">
        <v>7.192</v>
      </c>
      <c r="J6107" s="11" t="s">
        <v>679</v>
      </c>
      <c r="K6107" s="11" t="s">
        <v>61</v>
      </c>
      <c r="L6107" s="11" t="s">
        <v>48</v>
      </c>
      <c r="M6107" s="11" t="s">
        <v>49</v>
      </c>
      <c r="N6107" s="11" t="s">
        <v>73</v>
      </c>
      <c r="O6107" s="11" t="s">
        <v>986</v>
      </c>
      <c r="P6107" s="11" t="s">
        <v>99</v>
      </c>
      <c r="Q6107" s="20">
        <v>40878.0</v>
      </c>
      <c r="R6107" s="17">
        <f t="shared" si="2"/>
        <v>20.14473599</v>
      </c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>
        <f t="shared" si="8"/>
        <v>4</v>
      </c>
      <c r="AF6107" s="19">
        <f t="shared" si="13"/>
        <v>4</v>
      </c>
      <c r="AG6107" s="9"/>
      <c r="AH6107" s="9"/>
      <c r="AI6107" s="9"/>
    </row>
    <row r="6108" ht="15.0" customHeight="1">
      <c r="A6108" s="11">
        <v>6107.0</v>
      </c>
      <c r="B6108" s="12">
        <f t="shared" si="980"/>
        <v>40876</v>
      </c>
      <c r="C6108" s="13">
        <v>2011.0</v>
      </c>
      <c r="D6108" s="11" t="s">
        <v>102</v>
      </c>
      <c r="E6108" s="11">
        <v>25.0</v>
      </c>
      <c r="F6108" s="21" t="s">
        <v>277</v>
      </c>
      <c r="G6108" s="15">
        <v>0.09724288840262588</v>
      </c>
      <c r="H6108" s="11" t="s">
        <v>33</v>
      </c>
      <c r="I6108" s="16">
        <v>1.2560000000000002</v>
      </c>
      <c r="J6108" s="11" t="s">
        <v>679</v>
      </c>
      <c r="K6108" s="11" t="s">
        <v>61</v>
      </c>
      <c r="L6108" s="11" t="s">
        <v>48</v>
      </c>
      <c r="M6108" s="11" t="s">
        <v>28</v>
      </c>
      <c r="N6108" s="11" t="s">
        <v>62</v>
      </c>
      <c r="O6108" s="11" t="s">
        <v>355</v>
      </c>
      <c r="P6108" s="11" t="s">
        <v>58</v>
      </c>
      <c r="Q6108" s="20">
        <v>40878.0</v>
      </c>
      <c r="R6108" s="17">
        <f t="shared" si="2"/>
        <v>4.011852604</v>
      </c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>
        <f t="shared" si="8"/>
        <v>4</v>
      </c>
      <c r="AF6108" s="19">
        <f t="shared" si="13"/>
        <v>4</v>
      </c>
      <c r="AG6108" s="9"/>
      <c r="AH6108" s="9"/>
      <c r="AI6108" s="9"/>
    </row>
    <row r="6109" ht="15.0" customHeight="1">
      <c r="A6109" s="11">
        <v>6108.0</v>
      </c>
      <c r="B6109" s="12">
        <f t="shared" ref="B6109:B6112" si="981">DATE(2012,12,31)-397</f>
        <v>40877</v>
      </c>
      <c r="C6109" s="13">
        <v>2011.0</v>
      </c>
      <c r="D6109" s="11" t="s">
        <v>32</v>
      </c>
      <c r="E6109" s="11">
        <v>40.0</v>
      </c>
      <c r="F6109" s="21" t="s">
        <v>2517</v>
      </c>
      <c r="G6109" s="15">
        <v>0.04813447954881449</v>
      </c>
      <c r="H6109" s="11" t="s">
        <v>33</v>
      </c>
      <c r="I6109" s="16">
        <v>2.3920000000000003</v>
      </c>
      <c r="J6109" s="11" t="s">
        <v>823</v>
      </c>
      <c r="K6109" s="11" t="s">
        <v>61</v>
      </c>
      <c r="L6109" s="11" t="s">
        <v>36</v>
      </c>
      <c r="M6109" s="11" t="s">
        <v>28</v>
      </c>
      <c r="N6109" s="11" t="s">
        <v>42</v>
      </c>
      <c r="O6109" s="11" t="s">
        <v>2518</v>
      </c>
      <c r="P6109" s="11" t="s">
        <v>38</v>
      </c>
      <c r="Q6109" s="20">
        <v>40879.0</v>
      </c>
      <c r="R6109" s="17">
        <f t="shared" si="2"/>
        <v>83.67659417</v>
      </c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>
        <f t="shared" si="8"/>
        <v>2</v>
      </c>
      <c r="AF6109" s="19">
        <f t="shared" si="13"/>
        <v>4</v>
      </c>
      <c r="AG6109" s="9"/>
      <c r="AH6109" s="9"/>
      <c r="AI6109" s="9"/>
    </row>
    <row r="6110" ht="15.0" customHeight="1">
      <c r="A6110" s="11">
        <v>6109.0</v>
      </c>
      <c r="B6110" s="12">
        <f t="shared" si="981"/>
        <v>40877</v>
      </c>
      <c r="C6110" s="13">
        <v>2011.0</v>
      </c>
      <c r="D6110" s="11" t="s">
        <v>32</v>
      </c>
      <c r="E6110" s="11">
        <v>44.0</v>
      </c>
      <c r="F6110" s="21" t="s">
        <v>758</v>
      </c>
      <c r="G6110" s="15">
        <v>0.04095808383233535</v>
      </c>
      <c r="H6110" s="11" t="s">
        <v>33</v>
      </c>
      <c r="I6110" s="16">
        <v>1.7600000000000002</v>
      </c>
      <c r="J6110" s="11" t="s">
        <v>1643</v>
      </c>
      <c r="K6110" s="11" t="s">
        <v>83</v>
      </c>
      <c r="L6110" s="11" t="s">
        <v>48</v>
      </c>
      <c r="M6110" s="11" t="s">
        <v>28</v>
      </c>
      <c r="N6110" s="11" t="s">
        <v>56</v>
      </c>
      <c r="O6110" s="11" t="s">
        <v>760</v>
      </c>
      <c r="P6110" s="11" t="s">
        <v>58</v>
      </c>
      <c r="Q6110" s="20">
        <v>40879.0</v>
      </c>
      <c r="R6110" s="17">
        <f t="shared" si="2"/>
        <v>6.559846707</v>
      </c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>
        <f t="shared" si="8"/>
        <v>4</v>
      </c>
      <c r="AF6110" s="19" t="b">
        <f t="shared" si="13"/>
        <v>0</v>
      </c>
      <c r="AG6110" s="9"/>
      <c r="AH6110" s="9"/>
      <c r="AI6110" s="9"/>
    </row>
    <row r="6111" ht="15.0" customHeight="1">
      <c r="A6111" s="11">
        <v>6110.0</v>
      </c>
      <c r="B6111" s="12">
        <f t="shared" si="981"/>
        <v>40877</v>
      </c>
      <c r="C6111" s="13">
        <v>2011.0</v>
      </c>
      <c r="D6111" s="11" t="s">
        <v>23</v>
      </c>
      <c r="E6111" s="11">
        <v>6.0</v>
      </c>
      <c r="F6111" s="21" t="s">
        <v>186</v>
      </c>
      <c r="G6111" s="15">
        <v>0.08800000000000008</v>
      </c>
      <c r="H6111" s="11" t="s">
        <v>33</v>
      </c>
      <c r="I6111" s="16">
        <v>0.9359999999999999</v>
      </c>
      <c r="J6111" s="11" t="s">
        <v>1780</v>
      </c>
      <c r="K6111" s="11" t="s">
        <v>26</v>
      </c>
      <c r="L6111" s="11" t="s">
        <v>27</v>
      </c>
      <c r="M6111" s="11" t="s">
        <v>28</v>
      </c>
      <c r="N6111" s="11" t="s">
        <v>62</v>
      </c>
      <c r="O6111" s="11" t="s">
        <v>1358</v>
      </c>
      <c r="P6111" s="11" t="s">
        <v>58</v>
      </c>
      <c r="Q6111" s="20">
        <v>40879.0</v>
      </c>
      <c r="R6111" s="17">
        <f t="shared" si="2"/>
        <v>2.247168</v>
      </c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>
        <f t="shared" si="8"/>
        <v>1</v>
      </c>
      <c r="AF6111" s="19">
        <f t="shared" si="13"/>
        <v>1</v>
      </c>
      <c r="AG6111" s="9"/>
      <c r="AH6111" s="9"/>
      <c r="AI6111" s="9"/>
    </row>
    <row r="6112" ht="15.0" customHeight="1">
      <c r="A6112" s="11">
        <v>6111.0</v>
      </c>
      <c r="B6112" s="12">
        <f t="shared" si="981"/>
        <v>40877</v>
      </c>
      <c r="C6112" s="13">
        <v>2011.0</v>
      </c>
      <c r="D6112" s="11" t="s">
        <v>23</v>
      </c>
      <c r="E6112" s="11">
        <v>17.0</v>
      </c>
      <c r="F6112" s="21" t="s">
        <v>142</v>
      </c>
      <c r="G6112" s="15">
        <v>0.04183210880100063</v>
      </c>
      <c r="H6112" s="11" t="s">
        <v>33</v>
      </c>
      <c r="I6112" s="16">
        <v>2.64</v>
      </c>
      <c r="J6112" s="11" t="s">
        <v>1780</v>
      </c>
      <c r="K6112" s="11" t="s">
        <v>26</v>
      </c>
      <c r="L6112" s="11" t="s">
        <v>27</v>
      </c>
      <c r="M6112" s="11" t="s">
        <v>66</v>
      </c>
      <c r="N6112" s="11" t="s">
        <v>80</v>
      </c>
      <c r="O6112" s="11" t="s">
        <v>837</v>
      </c>
      <c r="P6112" s="11" t="s">
        <v>99</v>
      </c>
      <c r="Q6112" s="20">
        <v>40879.0</v>
      </c>
      <c r="R6112" s="17">
        <f t="shared" si="2"/>
        <v>25.64057277</v>
      </c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>
        <f t="shared" si="8"/>
        <v>1</v>
      </c>
      <c r="AF6112" s="19">
        <f t="shared" si="13"/>
        <v>1</v>
      </c>
      <c r="AG6112" s="9"/>
      <c r="AH6112" s="9"/>
      <c r="AI6112" s="9"/>
    </row>
    <row r="6113" ht="15.0" customHeight="1">
      <c r="A6113" s="11">
        <v>6112.0</v>
      </c>
      <c r="B6113" s="12">
        <f t="shared" ref="B6113:B6119" si="982">DATE(2012,12,31)-396</f>
        <v>40878</v>
      </c>
      <c r="C6113" s="13">
        <v>2011.0</v>
      </c>
      <c r="D6113" s="11" t="s">
        <v>102</v>
      </c>
      <c r="E6113" s="11">
        <v>33.0</v>
      </c>
      <c r="F6113" s="21" t="s">
        <v>218</v>
      </c>
      <c r="G6113" s="15">
        <v>0.05231510147918807</v>
      </c>
      <c r="H6113" s="11" t="s">
        <v>24</v>
      </c>
      <c r="I6113" s="16">
        <v>1.592</v>
      </c>
      <c r="J6113" s="11" t="s">
        <v>567</v>
      </c>
      <c r="K6113" s="11" t="s">
        <v>61</v>
      </c>
      <c r="L6113" s="11" t="s">
        <v>36</v>
      </c>
      <c r="M6113" s="11" t="s">
        <v>66</v>
      </c>
      <c r="N6113" s="11" t="s">
        <v>67</v>
      </c>
      <c r="O6113" s="11" t="s">
        <v>749</v>
      </c>
      <c r="P6113" s="11" t="s">
        <v>99</v>
      </c>
      <c r="Q6113" s="20">
        <v>40879.0</v>
      </c>
      <c r="R6113" s="17">
        <f t="shared" si="2"/>
        <v>14.41239194</v>
      </c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>
        <f t="shared" si="8"/>
        <v>2</v>
      </c>
      <c r="AF6113" s="19">
        <f t="shared" si="13"/>
        <v>4</v>
      </c>
      <c r="AG6113" s="9"/>
      <c r="AH6113" s="9"/>
      <c r="AI6113" s="9"/>
    </row>
    <row r="6114" ht="15.0" customHeight="1">
      <c r="A6114" s="11">
        <v>6113.0</v>
      </c>
      <c r="B6114" s="12">
        <f t="shared" si="982"/>
        <v>40878</v>
      </c>
      <c r="C6114" s="13">
        <v>2011.0</v>
      </c>
      <c r="D6114" s="11" t="s">
        <v>102</v>
      </c>
      <c r="E6114" s="11">
        <v>26.0</v>
      </c>
      <c r="F6114" s="21" t="s">
        <v>377</v>
      </c>
      <c r="G6114" s="15">
        <v>0.0919100483916882</v>
      </c>
      <c r="H6114" s="11" t="s">
        <v>33</v>
      </c>
      <c r="I6114" s="16">
        <v>4.648</v>
      </c>
      <c r="J6114" s="11" t="s">
        <v>567</v>
      </c>
      <c r="K6114" s="11" t="s">
        <v>35</v>
      </c>
      <c r="L6114" s="11" t="s">
        <v>36</v>
      </c>
      <c r="M6114" s="11" t="s">
        <v>28</v>
      </c>
      <c r="N6114" s="11" t="s">
        <v>56</v>
      </c>
      <c r="O6114" s="11" t="s">
        <v>378</v>
      </c>
      <c r="P6114" s="11" t="s">
        <v>38</v>
      </c>
      <c r="Q6114" s="20">
        <v>40880.0</v>
      </c>
      <c r="R6114" s="17">
        <f t="shared" si="2"/>
        <v>117.2816334</v>
      </c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>
        <f t="shared" si="8"/>
        <v>2</v>
      </c>
      <c r="AF6114" s="19">
        <f t="shared" si="13"/>
        <v>2</v>
      </c>
      <c r="AG6114" s="9"/>
      <c r="AH6114" s="9"/>
      <c r="AI6114" s="9"/>
    </row>
    <row r="6115" ht="15.0" customHeight="1">
      <c r="A6115" s="11">
        <v>6114.0</v>
      </c>
      <c r="B6115" s="12">
        <f t="shared" si="982"/>
        <v>40878</v>
      </c>
      <c r="C6115" s="13">
        <v>2011.0</v>
      </c>
      <c r="D6115" s="11" t="s">
        <v>32</v>
      </c>
      <c r="E6115" s="11">
        <v>1.0</v>
      </c>
      <c r="F6115" s="21" t="s">
        <v>810</v>
      </c>
      <c r="G6115" s="15">
        <v>0.09578231292516992</v>
      </c>
      <c r="H6115" s="11" t="s">
        <v>33</v>
      </c>
      <c r="I6115" s="16">
        <v>2.3920000000000003</v>
      </c>
      <c r="J6115" s="11" t="s">
        <v>648</v>
      </c>
      <c r="K6115" s="11" t="s">
        <v>35</v>
      </c>
      <c r="L6115" s="11" t="s">
        <v>27</v>
      </c>
      <c r="M6115" s="11" t="s">
        <v>28</v>
      </c>
      <c r="N6115" s="11" t="s">
        <v>42</v>
      </c>
      <c r="O6115" s="11" t="s">
        <v>811</v>
      </c>
      <c r="P6115" s="11" t="s">
        <v>38</v>
      </c>
      <c r="Q6115" s="20">
        <v>40880.0</v>
      </c>
      <c r="R6115" s="17">
        <f t="shared" si="2"/>
        <v>1.273138503</v>
      </c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>
        <f t="shared" si="8"/>
        <v>1</v>
      </c>
      <c r="AF6115" s="19">
        <f t="shared" si="13"/>
        <v>2</v>
      </c>
      <c r="AG6115" s="9"/>
      <c r="AH6115" s="9"/>
      <c r="AI6115" s="9"/>
    </row>
    <row r="6116" ht="15.0" customHeight="1">
      <c r="A6116" s="11">
        <v>6115.0</v>
      </c>
      <c r="B6116" s="12">
        <f t="shared" si="982"/>
        <v>40878</v>
      </c>
      <c r="C6116" s="13">
        <v>2011.0</v>
      </c>
      <c r="D6116" s="11" t="s">
        <v>32</v>
      </c>
      <c r="E6116" s="11">
        <v>50.0</v>
      </c>
      <c r="F6116" s="21" t="s">
        <v>707</v>
      </c>
      <c r="G6116" s="15">
        <v>0.08048476454293638</v>
      </c>
      <c r="H6116" s="11" t="s">
        <v>33</v>
      </c>
      <c r="I6116" s="16">
        <v>1.1119999999999999</v>
      </c>
      <c r="J6116" s="11" t="s">
        <v>648</v>
      </c>
      <c r="K6116" s="11" t="s">
        <v>35</v>
      </c>
      <c r="L6116" s="11" t="s">
        <v>27</v>
      </c>
      <c r="M6116" s="11" t="s">
        <v>28</v>
      </c>
      <c r="N6116" s="11" t="s">
        <v>236</v>
      </c>
      <c r="O6116" s="11" t="s">
        <v>2326</v>
      </c>
      <c r="P6116" s="11" t="s">
        <v>38</v>
      </c>
      <c r="Q6116" s="20">
        <v>40880.0</v>
      </c>
      <c r="R6116" s="17">
        <f t="shared" si="2"/>
        <v>42.74642427</v>
      </c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>
        <f t="shared" si="8"/>
        <v>1</v>
      </c>
      <c r="AF6116" s="19">
        <f t="shared" si="13"/>
        <v>2</v>
      </c>
      <c r="AG6116" s="9"/>
      <c r="AH6116" s="9"/>
      <c r="AI6116" s="9"/>
    </row>
    <row r="6117" ht="15.0" customHeight="1">
      <c r="A6117" s="11">
        <v>6116.0</v>
      </c>
      <c r="B6117" s="12">
        <f t="shared" si="982"/>
        <v>40878</v>
      </c>
      <c r="C6117" s="13">
        <v>2011.0</v>
      </c>
      <c r="D6117" s="11" t="s">
        <v>32</v>
      </c>
      <c r="E6117" s="11">
        <v>29.0</v>
      </c>
      <c r="F6117" s="21" t="s">
        <v>766</v>
      </c>
      <c r="G6117" s="15">
        <v>0.07606539931311372</v>
      </c>
      <c r="H6117" s="11" t="s">
        <v>45</v>
      </c>
      <c r="I6117" s="16">
        <v>24.0</v>
      </c>
      <c r="J6117" s="11" t="s">
        <v>648</v>
      </c>
      <c r="K6117" s="11" t="s">
        <v>35</v>
      </c>
      <c r="L6117" s="11" t="s">
        <v>27</v>
      </c>
      <c r="M6117" s="11" t="s">
        <v>49</v>
      </c>
      <c r="N6117" s="11" t="s">
        <v>50</v>
      </c>
      <c r="O6117" s="11" t="s">
        <v>1150</v>
      </c>
      <c r="P6117" s="11" t="s">
        <v>52</v>
      </c>
      <c r="Q6117" s="20">
        <v>40880.0</v>
      </c>
      <c r="R6117" s="17">
        <f t="shared" si="2"/>
        <v>290.5774319</v>
      </c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>
        <f t="shared" si="8"/>
        <v>1</v>
      </c>
      <c r="AF6117" s="19">
        <f t="shared" si="13"/>
        <v>2</v>
      </c>
      <c r="AG6117" s="9"/>
      <c r="AH6117" s="9"/>
      <c r="AI6117" s="9"/>
    </row>
    <row r="6118" ht="15.0" customHeight="1">
      <c r="A6118" s="11">
        <v>6117.0</v>
      </c>
      <c r="B6118" s="12">
        <f t="shared" si="982"/>
        <v>40878</v>
      </c>
      <c r="C6118" s="13">
        <v>2011.0</v>
      </c>
      <c r="D6118" s="11" t="s">
        <v>32</v>
      </c>
      <c r="E6118" s="11">
        <v>42.0</v>
      </c>
      <c r="F6118" s="21" t="s">
        <v>1782</v>
      </c>
      <c r="G6118" s="15">
        <v>0.04958439183009861</v>
      </c>
      <c r="H6118" s="11" t="s">
        <v>33</v>
      </c>
      <c r="I6118" s="16">
        <v>2.904</v>
      </c>
      <c r="J6118" s="11" t="s">
        <v>648</v>
      </c>
      <c r="K6118" s="11" t="s">
        <v>35</v>
      </c>
      <c r="L6118" s="11" t="s">
        <v>27</v>
      </c>
      <c r="M6118" s="11" t="s">
        <v>49</v>
      </c>
      <c r="N6118" s="11" t="s">
        <v>73</v>
      </c>
      <c r="O6118" s="11" t="s">
        <v>1783</v>
      </c>
      <c r="P6118" s="11" t="s">
        <v>99</v>
      </c>
      <c r="Q6118" s="20">
        <v>40880.0</v>
      </c>
      <c r="R6118" s="17">
        <f t="shared" si="2"/>
        <v>46.37648002</v>
      </c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>
        <f t="shared" si="8"/>
        <v>1</v>
      </c>
      <c r="AF6118" s="19">
        <f t="shared" si="13"/>
        <v>2</v>
      </c>
      <c r="AG6118" s="9"/>
      <c r="AH6118" s="9"/>
      <c r="AI6118" s="9"/>
    </row>
    <row r="6119" ht="15.0" customHeight="1">
      <c r="A6119" s="11">
        <v>6118.0</v>
      </c>
      <c r="B6119" s="12">
        <f t="shared" si="982"/>
        <v>40878</v>
      </c>
      <c r="C6119" s="13">
        <v>2011.0</v>
      </c>
      <c r="D6119" s="11" t="s">
        <v>32</v>
      </c>
      <c r="E6119" s="11">
        <v>10.0</v>
      </c>
      <c r="F6119" s="21" t="s">
        <v>135</v>
      </c>
      <c r="G6119" s="15">
        <v>0.08819538670284939</v>
      </c>
      <c r="H6119" s="11" t="s">
        <v>33</v>
      </c>
      <c r="I6119" s="16">
        <v>1.2000000000000002</v>
      </c>
      <c r="J6119" s="11" t="s">
        <v>648</v>
      </c>
      <c r="K6119" s="11" t="s">
        <v>35</v>
      </c>
      <c r="L6119" s="11" t="s">
        <v>27</v>
      </c>
      <c r="M6119" s="11" t="s">
        <v>28</v>
      </c>
      <c r="N6119" s="11" t="s">
        <v>62</v>
      </c>
      <c r="O6119" s="11" t="s">
        <v>978</v>
      </c>
      <c r="P6119" s="11" t="s">
        <v>58</v>
      </c>
      <c r="Q6119" s="20">
        <v>40880.0</v>
      </c>
      <c r="R6119" s="17">
        <f t="shared" si="2"/>
        <v>5.926729986</v>
      </c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>
        <f t="shared" si="8"/>
        <v>1</v>
      </c>
      <c r="AF6119" s="19">
        <f t="shared" si="13"/>
        <v>2</v>
      </c>
      <c r="AG6119" s="9"/>
      <c r="AH6119" s="9"/>
      <c r="AI6119" s="9"/>
    </row>
    <row r="6120" ht="15.0" customHeight="1">
      <c r="A6120" s="11">
        <v>6119.0</v>
      </c>
      <c r="B6120" s="12">
        <f t="shared" ref="B6120:B6125" si="983">DATE(2012,12,31)-395</f>
        <v>40879</v>
      </c>
      <c r="C6120" s="13">
        <v>2011.0</v>
      </c>
      <c r="D6120" s="11" t="s">
        <v>39</v>
      </c>
      <c r="E6120" s="11">
        <v>31.0</v>
      </c>
      <c r="F6120" s="21" t="s">
        <v>142</v>
      </c>
      <c r="G6120" s="15">
        <v>0.02308189843545156</v>
      </c>
      <c r="H6120" s="11" t="s">
        <v>33</v>
      </c>
      <c r="I6120" s="16">
        <v>4.792000000000001</v>
      </c>
      <c r="J6120" s="11" t="s">
        <v>1245</v>
      </c>
      <c r="K6120" s="11" t="s">
        <v>61</v>
      </c>
      <c r="L6120" s="11" t="s">
        <v>48</v>
      </c>
      <c r="M6120" s="11" t="s">
        <v>66</v>
      </c>
      <c r="N6120" s="11" t="s">
        <v>80</v>
      </c>
      <c r="O6120" s="11" t="s">
        <v>757</v>
      </c>
      <c r="P6120" s="11" t="s">
        <v>58</v>
      </c>
      <c r="Q6120" s="20">
        <v>40880.0</v>
      </c>
      <c r="R6120" s="17">
        <f t="shared" si="2"/>
        <v>25.79845323</v>
      </c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>
        <f t="shared" si="8"/>
        <v>4</v>
      </c>
      <c r="AF6120" s="19">
        <f t="shared" si="13"/>
        <v>4</v>
      </c>
      <c r="AG6120" s="9"/>
      <c r="AH6120" s="9"/>
      <c r="AI6120" s="9"/>
    </row>
    <row r="6121" ht="15.0" customHeight="1">
      <c r="A6121" s="11">
        <v>6120.0</v>
      </c>
      <c r="B6121" s="12">
        <f t="shared" si="983"/>
        <v>40879</v>
      </c>
      <c r="C6121" s="13">
        <v>2011.0</v>
      </c>
      <c r="D6121" s="11" t="s">
        <v>102</v>
      </c>
      <c r="E6121" s="11">
        <v>25.0</v>
      </c>
      <c r="F6121" s="21" t="s">
        <v>872</v>
      </c>
      <c r="G6121" s="15">
        <v>0.08992788461538473</v>
      </c>
      <c r="H6121" s="11" t="s">
        <v>33</v>
      </c>
      <c r="I6121" s="16">
        <v>6.808</v>
      </c>
      <c r="J6121" s="11" t="s">
        <v>2043</v>
      </c>
      <c r="K6121" s="11" t="s">
        <v>83</v>
      </c>
      <c r="L6121" s="11" t="s">
        <v>48</v>
      </c>
      <c r="M6121" s="11" t="s">
        <v>66</v>
      </c>
      <c r="N6121" s="11" t="s">
        <v>69</v>
      </c>
      <c r="O6121" s="11" t="s">
        <v>1000</v>
      </c>
      <c r="P6121" s="11" t="s">
        <v>75</v>
      </c>
      <c r="Q6121" s="20">
        <v>40880.0</v>
      </c>
      <c r="R6121" s="17">
        <f t="shared" si="2"/>
        <v>40.8549574</v>
      </c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>
        <f t="shared" si="8"/>
        <v>4</v>
      </c>
      <c r="AF6121" s="19" t="b">
        <f t="shared" si="13"/>
        <v>0</v>
      </c>
      <c r="AG6121" s="9"/>
      <c r="AH6121" s="9"/>
      <c r="AI6121" s="9"/>
    </row>
    <row r="6122" ht="15.0" customHeight="1">
      <c r="A6122" s="11">
        <v>6121.0</v>
      </c>
      <c r="B6122" s="12">
        <f t="shared" si="983"/>
        <v>40879</v>
      </c>
      <c r="C6122" s="13">
        <v>2011.0</v>
      </c>
      <c r="D6122" s="11" t="s">
        <v>32</v>
      </c>
      <c r="E6122" s="11">
        <v>42.0</v>
      </c>
      <c r="F6122" s="21" t="s">
        <v>1247</v>
      </c>
      <c r="G6122" s="15">
        <v>0.03895386850708314</v>
      </c>
      <c r="H6122" s="11" t="s">
        <v>33</v>
      </c>
      <c r="I6122" s="16">
        <v>4.176</v>
      </c>
      <c r="J6122" s="11" t="s">
        <v>639</v>
      </c>
      <c r="K6122" s="11" t="s">
        <v>35</v>
      </c>
      <c r="L6122" s="11" t="s">
        <v>48</v>
      </c>
      <c r="M6122" s="11" t="s">
        <v>49</v>
      </c>
      <c r="N6122" s="11" t="s">
        <v>73</v>
      </c>
      <c r="O6122" s="11" t="s">
        <v>1591</v>
      </c>
      <c r="P6122" s="11" t="s">
        <v>38</v>
      </c>
      <c r="Q6122" s="20">
        <v>40880.0</v>
      </c>
      <c r="R6122" s="17">
        <f t="shared" si="2"/>
        <v>10.30625871</v>
      </c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>
        <f t="shared" si="8"/>
        <v>4</v>
      </c>
      <c r="AF6122" s="19">
        <f t="shared" si="13"/>
        <v>2</v>
      </c>
      <c r="AG6122" s="9"/>
      <c r="AH6122" s="9"/>
      <c r="AI6122" s="9"/>
    </row>
    <row r="6123" ht="15.0" customHeight="1">
      <c r="A6123" s="11">
        <v>6122.0</v>
      </c>
      <c r="B6123" s="12">
        <f t="shared" si="983"/>
        <v>40879</v>
      </c>
      <c r="C6123" s="13">
        <v>2011.0</v>
      </c>
      <c r="D6123" s="11" t="s">
        <v>32</v>
      </c>
      <c r="E6123" s="11">
        <v>11.0</v>
      </c>
      <c r="F6123" s="21" t="s">
        <v>270</v>
      </c>
      <c r="G6123" s="15">
        <v>0.06550362610797748</v>
      </c>
      <c r="H6123" s="11" t="s">
        <v>33</v>
      </c>
      <c r="I6123" s="16">
        <v>13.984000000000002</v>
      </c>
      <c r="J6123" s="11" t="s">
        <v>639</v>
      </c>
      <c r="K6123" s="11" t="s">
        <v>35</v>
      </c>
      <c r="L6123" s="11" t="s">
        <v>48</v>
      </c>
      <c r="M6123" s="11" t="s">
        <v>28</v>
      </c>
      <c r="N6123" s="11" t="s">
        <v>56</v>
      </c>
      <c r="O6123" s="11" t="s">
        <v>1172</v>
      </c>
      <c r="P6123" s="11" t="s">
        <v>38</v>
      </c>
      <c r="Q6123" s="20">
        <v>40880.0</v>
      </c>
      <c r="R6123" s="17">
        <f t="shared" si="2"/>
        <v>30.38608409</v>
      </c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>
        <f t="shared" si="8"/>
        <v>4</v>
      </c>
      <c r="AF6123" s="19">
        <f t="shared" si="13"/>
        <v>2</v>
      </c>
      <c r="AG6123" s="9"/>
      <c r="AH6123" s="9"/>
      <c r="AI6123" s="9"/>
    </row>
    <row r="6124" ht="15.0" customHeight="1">
      <c r="A6124" s="11">
        <v>6123.0</v>
      </c>
      <c r="B6124" s="12">
        <f t="shared" si="983"/>
        <v>40879</v>
      </c>
      <c r="C6124" s="13">
        <v>2011.0</v>
      </c>
      <c r="D6124" s="11" t="s">
        <v>32</v>
      </c>
      <c r="E6124" s="11">
        <v>31.0</v>
      </c>
      <c r="F6124" s="21" t="s">
        <v>256</v>
      </c>
      <c r="G6124" s="15">
        <v>0.037168443496801616</v>
      </c>
      <c r="H6124" s="11" t="s">
        <v>33</v>
      </c>
      <c r="I6124" s="16">
        <v>5.168</v>
      </c>
      <c r="J6124" s="11" t="s">
        <v>1152</v>
      </c>
      <c r="K6124" s="11" t="s">
        <v>65</v>
      </c>
      <c r="L6124" s="11" t="s">
        <v>41</v>
      </c>
      <c r="M6124" s="11" t="s">
        <v>28</v>
      </c>
      <c r="N6124" s="11" t="s">
        <v>42</v>
      </c>
      <c r="O6124" s="11" t="s">
        <v>547</v>
      </c>
      <c r="P6124" s="11" t="s">
        <v>38</v>
      </c>
      <c r="Q6124" s="20">
        <v>40880.0</v>
      </c>
      <c r="R6124" s="17">
        <f t="shared" si="2"/>
        <v>16.78407969</v>
      </c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>
        <f t="shared" si="8"/>
        <v>3</v>
      </c>
      <c r="AF6124" s="19">
        <f t="shared" si="13"/>
        <v>5</v>
      </c>
      <c r="AG6124" s="9"/>
      <c r="AH6124" s="9"/>
      <c r="AI6124" s="9"/>
    </row>
    <row r="6125" ht="15.0" customHeight="1">
      <c r="A6125" s="11">
        <v>6124.0</v>
      </c>
      <c r="B6125" s="12">
        <f t="shared" si="983"/>
        <v>40879</v>
      </c>
      <c r="C6125" s="13">
        <v>2011.0</v>
      </c>
      <c r="D6125" s="11" t="s">
        <v>39</v>
      </c>
      <c r="E6125" s="11">
        <v>19.0</v>
      </c>
      <c r="F6125" s="21" t="s">
        <v>1897</v>
      </c>
      <c r="G6125" s="15">
        <v>0.07683239630023064</v>
      </c>
      <c r="H6125" s="11" t="s">
        <v>45</v>
      </c>
      <c r="I6125" s="16">
        <v>79.2</v>
      </c>
      <c r="J6125" s="11" t="s">
        <v>2295</v>
      </c>
      <c r="K6125" s="11" t="s">
        <v>26</v>
      </c>
      <c r="L6125" s="11" t="s">
        <v>41</v>
      </c>
      <c r="M6125" s="11" t="s">
        <v>28</v>
      </c>
      <c r="N6125" s="11" t="s">
        <v>29</v>
      </c>
      <c r="O6125" s="11" t="s">
        <v>1898</v>
      </c>
      <c r="P6125" s="11" t="s">
        <v>52</v>
      </c>
      <c r="Q6125" s="20">
        <v>40880.0</v>
      </c>
      <c r="R6125" s="17">
        <f t="shared" si="2"/>
        <v>547.5307058</v>
      </c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>
        <f t="shared" si="8"/>
        <v>3</v>
      </c>
      <c r="AF6125" s="19">
        <f t="shared" si="13"/>
        <v>1</v>
      </c>
      <c r="AG6125" s="9"/>
      <c r="AH6125" s="9"/>
      <c r="AI6125" s="9"/>
    </row>
    <row r="6126" ht="15.0" customHeight="1">
      <c r="A6126" s="11">
        <v>6125.0</v>
      </c>
      <c r="B6126" s="12">
        <f t="shared" ref="B6126:B6130" si="984">DATE(2012,12,31)-394</f>
        <v>40880</v>
      </c>
      <c r="C6126" s="13">
        <v>2011.0</v>
      </c>
      <c r="D6126" s="11" t="s">
        <v>39</v>
      </c>
      <c r="E6126" s="11">
        <v>17.0</v>
      </c>
      <c r="F6126" s="21" t="s">
        <v>1084</v>
      </c>
      <c r="G6126" s="15">
        <v>0.11559348332040334</v>
      </c>
      <c r="H6126" s="11" t="s">
        <v>33</v>
      </c>
      <c r="I6126" s="16">
        <v>39.2</v>
      </c>
      <c r="J6126" s="11" t="s">
        <v>2105</v>
      </c>
      <c r="K6126" s="11" t="s">
        <v>61</v>
      </c>
      <c r="L6126" s="11" t="s">
        <v>36</v>
      </c>
      <c r="M6126" s="11" t="s">
        <v>28</v>
      </c>
      <c r="N6126" s="11" t="s">
        <v>197</v>
      </c>
      <c r="O6126" s="11" t="s">
        <v>1096</v>
      </c>
      <c r="P6126" s="11" t="s">
        <v>31</v>
      </c>
      <c r="Q6126" s="20">
        <v>40881.0</v>
      </c>
      <c r="R6126" s="17">
        <f t="shared" si="2"/>
        <v>13.1776571</v>
      </c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>
        <f t="shared" si="8"/>
        <v>2</v>
      </c>
      <c r="AF6126" s="19">
        <f t="shared" si="13"/>
        <v>4</v>
      </c>
      <c r="AG6126" s="9"/>
      <c r="AH6126" s="9"/>
      <c r="AI6126" s="9"/>
    </row>
    <row r="6127" ht="15.0" customHeight="1">
      <c r="A6127" s="11">
        <v>6126.0</v>
      </c>
      <c r="B6127" s="12">
        <f t="shared" si="984"/>
        <v>40880</v>
      </c>
      <c r="C6127" s="13">
        <v>2011.0</v>
      </c>
      <c r="D6127" s="11" t="s">
        <v>44</v>
      </c>
      <c r="E6127" s="11">
        <v>11.0</v>
      </c>
      <c r="F6127" s="21" t="s">
        <v>178</v>
      </c>
      <c r="G6127" s="15">
        <v>0.0327757960100408</v>
      </c>
      <c r="H6127" s="11" t="s">
        <v>24</v>
      </c>
      <c r="I6127" s="16">
        <v>7.192</v>
      </c>
      <c r="J6127" s="11" t="s">
        <v>703</v>
      </c>
      <c r="K6127" s="11" t="s">
        <v>35</v>
      </c>
      <c r="L6127" s="11" t="s">
        <v>41</v>
      </c>
      <c r="M6127" s="11" t="s">
        <v>66</v>
      </c>
      <c r="N6127" s="11" t="s">
        <v>80</v>
      </c>
      <c r="O6127" s="11" t="s">
        <v>1213</v>
      </c>
      <c r="P6127" s="11" t="s">
        <v>38</v>
      </c>
      <c r="Q6127" s="20">
        <v>40882.0</v>
      </c>
      <c r="R6127" s="17">
        <f t="shared" si="2"/>
        <v>23.99489805</v>
      </c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>
        <f t="shared" si="8"/>
        <v>3</v>
      </c>
      <c r="AF6127" s="19">
        <f t="shared" si="13"/>
        <v>2</v>
      </c>
      <c r="AG6127" s="9"/>
      <c r="AH6127" s="9"/>
      <c r="AI6127" s="9"/>
    </row>
    <row r="6128" ht="15.0" customHeight="1">
      <c r="A6128" s="11">
        <v>6127.0</v>
      </c>
      <c r="B6128" s="12">
        <f t="shared" si="984"/>
        <v>40880</v>
      </c>
      <c r="C6128" s="13">
        <v>2011.0</v>
      </c>
      <c r="D6128" s="11" t="s">
        <v>44</v>
      </c>
      <c r="E6128" s="11">
        <v>34.0</v>
      </c>
      <c r="F6128" s="21" t="s">
        <v>178</v>
      </c>
      <c r="G6128" s="15">
        <v>0.030929650410012843</v>
      </c>
      <c r="H6128" s="11" t="s">
        <v>33</v>
      </c>
      <c r="I6128" s="16">
        <v>4.736</v>
      </c>
      <c r="J6128" s="11" t="s">
        <v>1507</v>
      </c>
      <c r="K6128" s="11" t="s">
        <v>61</v>
      </c>
      <c r="L6128" s="11" t="s">
        <v>48</v>
      </c>
      <c r="M6128" s="11" t="s">
        <v>66</v>
      </c>
      <c r="N6128" s="11" t="s">
        <v>80</v>
      </c>
      <c r="O6128" s="11" t="s">
        <v>1579</v>
      </c>
      <c r="P6128" s="11" t="s">
        <v>38</v>
      </c>
      <c r="Q6128" s="20">
        <v>40882.0</v>
      </c>
      <c r="R6128" s="17">
        <f t="shared" si="2"/>
        <v>69.44745753</v>
      </c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>
        <f t="shared" si="8"/>
        <v>4</v>
      </c>
      <c r="AF6128" s="19">
        <f t="shared" si="13"/>
        <v>4</v>
      </c>
      <c r="AG6128" s="9"/>
      <c r="AH6128" s="9"/>
      <c r="AI6128" s="9"/>
    </row>
    <row r="6129" ht="15.0" customHeight="1">
      <c r="A6129" s="11">
        <v>6128.0</v>
      </c>
      <c r="B6129" s="12">
        <f t="shared" si="984"/>
        <v>40880</v>
      </c>
      <c r="C6129" s="13">
        <v>2011.0</v>
      </c>
      <c r="D6129" s="11" t="s">
        <v>44</v>
      </c>
      <c r="E6129" s="11">
        <v>7.0</v>
      </c>
      <c r="F6129" s="21" t="s">
        <v>284</v>
      </c>
      <c r="G6129" s="15">
        <v>0.07927272727272726</v>
      </c>
      <c r="H6129" s="11" t="s">
        <v>33</v>
      </c>
      <c r="I6129" s="16">
        <v>1.192</v>
      </c>
      <c r="J6129" s="11" t="s">
        <v>781</v>
      </c>
      <c r="K6129" s="11" t="s">
        <v>65</v>
      </c>
      <c r="L6129" s="11" t="s">
        <v>27</v>
      </c>
      <c r="M6129" s="11" t="s">
        <v>28</v>
      </c>
      <c r="N6129" s="11" t="s">
        <v>42</v>
      </c>
      <c r="O6129" s="11" t="s">
        <v>2299</v>
      </c>
      <c r="P6129" s="11" t="s">
        <v>38</v>
      </c>
      <c r="Q6129" s="20">
        <v>40883.0</v>
      </c>
      <c r="R6129" s="17">
        <f t="shared" si="2"/>
        <v>1.204311273</v>
      </c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>
        <f t="shared" si="8"/>
        <v>1</v>
      </c>
      <c r="AF6129" s="19">
        <f t="shared" si="13"/>
        <v>5</v>
      </c>
      <c r="AG6129" s="9"/>
      <c r="AH6129" s="9"/>
      <c r="AI6129" s="9"/>
    </row>
    <row r="6130" ht="15.0" customHeight="1">
      <c r="A6130" s="11">
        <v>6129.0</v>
      </c>
      <c r="B6130" s="12">
        <f t="shared" si="984"/>
        <v>40880</v>
      </c>
      <c r="C6130" s="13">
        <v>2011.0</v>
      </c>
      <c r="D6130" s="11" t="s">
        <v>44</v>
      </c>
      <c r="E6130" s="11">
        <v>18.0</v>
      </c>
      <c r="F6130" s="21" t="s">
        <v>144</v>
      </c>
      <c r="G6130" s="15">
        <v>0.06107991360691121</v>
      </c>
      <c r="H6130" s="11" t="s">
        <v>33</v>
      </c>
      <c r="I6130" s="16">
        <v>5.672000000000001</v>
      </c>
      <c r="J6130" s="11" t="s">
        <v>781</v>
      </c>
      <c r="K6130" s="11" t="s">
        <v>65</v>
      </c>
      <c r="L6130" s="11" t="s">
        <v>27</v>
      </c>
      <c r="M6130" s="11" t="s">
        <v>28</v>
      </c>
      <c r="N6130" s="11" t="s">
        <v>56</v>
      </c>
      <c r="O6130" s="11" t="s">
        <v>2166</v>
      </c>
      <c r="P6130" s="11" t="s">
        <v>58</v>
      </c>
      <c r="Q6130" s="20">
        <v>40883.0</v>
      </c>
      <c r="R6130" s="17">
        <f t="shared" si="2"/>
        <v>2.655266004</v>
      </c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>
        <f t="shared" si="8"/>
        <v>1</v>
      </c>
      <c r="AF6130" s="19">
        <f t="shared" si="13"/>
        <v>5</v>
      </c>
      <c r="AG6130" s="9"/>
      <c r="AH6130" s="9"/>
      <c r="AI6130" s="9"/>
    </row>
    <row r="6131" ht="15.0" customHeight="1">
      <c r="A6131" s="11">
        <v>6130.0</v>
      </c>
      <c r="B6131" s="12">
        <f t="shared" ref="B6131:B6135" si="985">DATE(2012,12,31)-393</f>
        <v>40881</v>
      </c>
      <c r="C6131" s="13">
        <v>2011.0</v>
      </c>
      <c r="D6131" s="11" t="s">
        <v>32</v>
      </c>
      <c r="E6131" s="11">
        <v>44.0</v>
      </c>
      <c r="F6131" s="21" t="s">
        <v>96</v>
      </c>
      <c r="G6131" s="15">
        <v>0.0937331594958713</v>
      </c>
      <c r="H6131" s="11" t="s">
        <v>33</v>
      </c>
      <c r="I6131" s="16">
        <v>1.592</v>
      </c>
      <c r="J6131" s="11" t="s">
        <v>528</v>
      </c>
      <c r="K6131" s="11" t="s">
        <v>83</v>
      </c>
      <c r="L6131" s="11" t="s">
        <v>48</v>
      </c>
      <c r="M6131" s="11" t="s">
        <v>66</v>
      </c>
      <c r="N6131" s="11" t="s">
        <v>67</v>
      </c>
      <c r="O6131" s="11" t="s">
        <v>98</v>
      </c>
      <c r="P6131" s="11" t="s">
        <v>99</v>
      </c>
      <c r="Q6131" s="20">
        <v>40883.0</v>
      </c>
      <c r="R6131" s="17">
        <f t="shared" si="2"/>
        <v>117.2781793</v>
      </c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>
        <f t="shared" si="8"/>
        <v>4</v>
      </c>
      <c r="AF6131" s="19" t="b">
        <f t="shared" si="13"/>
        <v>0</v>
      </c>
      <c r="AG6131" s="9"/>
      <c r="AH6131" s="9"/>
      <c r="AI6131" s="9"/>
    </row>
    <row r="6132" ht="15.0" customHeight="1">
      <c r="A6132" s="11">
        <v>6131.0</v>
      </c>
      <c r="B6132" s="12">
        <f t="shared" si="985"/>
        <v>40881</v>
      </c>
      <c r="C6132" s="13">
        <v>2011.0</v>
      </c>
      <c r="D6132" s="11" t="s">
        <v>23</v>
      </c>
      <c r="E6132" s="11">
        <v>37.0</v>
      </c>
      <c r="F6132" s="21" t="s">
        <v>100</v>
      </c>
      <c r="G6132" s="15">
        <v>0.08302949352008943</v>
      </c>
      <c r="H6132" s="11" t="s">
        <v>33</v>
      </c>
      <c r="I6132" s="16">
        <v>2.0</v>
      </c>
      <c r="J6132" s="11" t="s">
        <v>363</v>
      </c>
      <c r="K6132" s="11" t="s">
        <v>65</v>
      </c>
      <c r="L6132" s="11" t="s">
        <v>27</v>
      </c>
      <c r="M6132" s="11" t="s">
        <v>66</v>
      </c>
      <c r="N6132" s="11" t="s">
        <v>80</v>
      </c>
      <c r="O6132" s="11" t="s">
        <v>478</v>
      </c>
      <c r="P6132" s="11" t="s">
        <v>38</v>
      </c>
      <c r="Q6132" s="20">
        <v>40883.0</v>
      </c>
      <c r="R6132" s="17">
        <f t="shared" si="2"/>
        <v>632.7096495</v>
      </c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>
        <f t="shared" si="8"/>
        <v>1</v>
      </c>
      <c r="AF6132" s="19">
        <f t="shared" si="13"/>
        <v>5</v>
      </c>
      <c r="AG6132" s="9"/>
      <c r="AH6132" s="9"/>
      <c r="AI6132" s="9"/>
    </row>
    <row r="6133" ht="15.0" customHeight="1">
      <c r="A6133" s="11">
        <v>6132.0</v>
      </c>
      <c r="B6133" s="12">
        <f t="shared" si="985"/>
        <v>40881</v>
      </c>
      <c r="C6133" s="13">
        <v>2011.0</v>
      </c>
      <c r="D6133" s="11" t="s">
        <v>39</v>
      </c>
      <c r="E6133" s="11">
        <v>5.0</v>
      </c>
      <c r="F6133" s="21" t="s">
        <v>413</v>
      </c>
      <c r="G6133" s="15">
        <v>0.013937007874015717</v>
      </c>
      <c r="H6133" s="11" t="s">
        <v>33</v>
      </c>
      <c r="I6133" s="16">
        <v>1.592</v>
      </c>
      <c r="J6133" s="11" t="s">
        <v>2538</v>
      </c>
      <c r="K6133" s="11" t="s">
        <v>35</v>
      </c>
      <c r="L6133" s="11" t="s">
        <v>48</v>
      </c>
      <c r="M6133" s="11" t="s">
        <v>66</v>
      </c>
      <c r="N6133" s="11" t="s">
        <v>67</v>
      </c>
      <c r="O6133" s="11" t="s">
        <v>414</v>
      </c>
      <c r="P6133" s="11" t="s">
        <v>99</v>
      </c>
      <c r="Q6133" s="20">
        <v>40883.0</v>
      </c>
      <c r="R6133" s="17">
        <f t="shared" si="2"/>
        <v>0.6981325984</v>
      </c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>
        <f t="shared" si="8"/>
        <v>4</v>
      </c>
      <c r="AF6133" s="19">
        <f t="shared" si="13"/>
        <v>2</v>
      </c>
      <c r="AG6133" s="9"/>
      <c r="AH6133" s="9"/>
      <c r="AI6133" s="9"/>
    </row>
    <row r="6134" ht="15.0" customHeight="1">
      <c r="A6134" s="11">
        <v>6133.0</v>
      </c>
      <c r="B6134" s="12">
        <f t="shared" si="985"/>
        <v>40881</v>
      </c>
      <c r="C6134" s="13">
        <v>2011.0</v>
      </c>
      <c r="D6134" s="11" t="s">
        <v>39</v>
      </c>
      <c r="E6134" s="11">
        <v>40.0</v>
      </c>
      <c r="F6134" s="21" t="s">
        <v>469</v>
      </c>
      <c r="G6134" s="15">
        <v>0.06901012272686559</v>
      </c>
      <c r="H6134" s="11" t="s">
        <v>33</v>
      </c>
      <c r="I6134" s="16">
        <v>3.2640000000000002</v>
      </c>
      <c r="J6134" s="11" t="s">
        <v>2538</v>
      </c>
      <c r="K6134" s="11" t="s">
        <v>35</v>
      </c>
      <c r="L6134" s="11" t="s">
        <v>48</v>
      </c>
      <c r="M6134" s="11" t="s">
        <v>28</v>
      </c>
      <c r="N6134" s="11" t="s">
        <v>62</v>
      </c>
      <c r="O6134" s="11" t="s">
        <v>1354</v>
      </c>
      <c r="P6134" s="11" t="s">
        <v>99</v>
      </c>
      <c r="Q6134" s="20">
        <v>40883.0</v>
      </c>
      <c r="R6134" s="17">
        <f t="shared" si="2"/>
        <v>71.71973619</v>
      </c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>
        <f t="shared" si="8"/>
        <v>4</v>
      </c>
      <c r="AF6134" s="19">
        <f t="shared" si="13"/>
        <v>2</v>
      </c>
      <c r="AG6134" s="9"/>
      <c r="AH6134" s="9"/>
      <c r="AI6134" s="9"/>
    </row>
    <row r="6135" ht="15.0" customHeight="1">
      <c r="A6135" s="11">
        <v>6134.0</v>
      </c>
      <c r="B6135" s="12">
        <f t="shared" si="985"/>
        <v>40881</v>
      </c>
      <c r="C6135" s="13">
        <v>2011.0</v>
      </c>
      <c r="D6135" s="11" t="s">
        <v>32</v>
      </c>
      <c r="E6135" s="11">
        <v>34.0</v>
      </c>
      <c r="F6135" s="21" t="s">
        <v>122</v>
      </c>
      <c r="G6135" s="15">
        <v>0.06930962343096239</v>
      </c>
      <c r="H6135" s="11" t="s">
        <v>33</v>
      </c>
      <c r="I6135" s="16">
        <v>1.192</v>
      </c>
      <c r="J6135" s="11" t="s">
        <v>91</v>
      </c>
      <c r="K6135" s="11" t="s">
        <v>35</v>
      </c>
      <c r="L6135" s="11" t="s">
        <v>27</v>
      </c>
      <c r="M6135" s="11" t="s">
        <v>28</v>
      </c>
      <c r="N6135" s="11" t="s">
        <v>42</v>
      </c>
      <c r="O6135" s="11" t="s">
        <v>1121</v>
      </c>
      <c r="P6135" s="11" t="s">
        <v>38</v>
      </c>
      <c r="Q6135" s="20">
        <v>40883.0</v>
      </c>
      <c r="R6135" s="17">
        <f t="shared" si="2"/>
        <v>49.33403548</v>
      </c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>
        <f t="shared" si="8"/>
        <v>1</v>
      </c>
      <c r="AF6135" s="19">
        <f t="shared" si="13"/>
        <v>2</v>
      </c>
      <c r="AG6135" s="9"/>
      <c r="AH6135" s="9"/>
      <c r="AI6135" s="9"/>
    </row>
    <row r="6136" ht="15.0" customHeight="1">
      <c r="A6136" s="11">
        <v>6135.0</v>
      </c>
      <c r="B6136" s="12">
        <f t="shared" ref="B6136:B6140" si="986">DATE(2012,12,31)-392</f>
        <v>40882</v>
      </c>
      <c r="C6136" s="13">
        <v>2011.0</v>
      </c>
      <c r="D6136" s="11" t="s">
        <v>44</v>
      </c>
      <c r="E6136" s="11">
        <v>26.0</v>
      </c>
      <c r="F6136" s="21" t="s">
        <v>290</v>
      </c>
      <c r="G6136" s="15">
        <v>0.02281690140845057</v>
      </c>
      <c r="H6136" s="11" t="s">
        <v>24</v>
      </c>
      <c r="I6136" s="16">
        <v>1.8079999999999998</v>
      </c>
      <c r="J6136" s="11" t="s">
        <v>604</v>
      </c>
      <c r="K6136" s="11" t="s">
        <v>83</v>
      </c>
      <c r="L6136" s="11" t="s">
        <v>27</v>
      </c>
      <c r="M6136" s="11" t="s">
        <v>28</v>
      </c>
      <c r="N6136" s="11" t="s">
        <v>56</v>
      </c>
      <c r="O6136" s="11" t="s">
        <v>365</v>
      </c>
      <c r="P6136" s="11" t="s">
        <v>58</v>
      </c>
      <c r="Q6136" s="20">
        <v>40883.0</v>
      </c>
      <c r="R6136" s="17">
        <f t="shared" si="2"/>
        <v>2.532858592</v>
      </c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>
        <f t="shared" si="8"/>
        <v>1</v>
      </c>
      <c r="AF6136" s="19" t="b">
        <f t="shared" si="13"/>
        <v>0</v>
      </c>
      <c r="AG6136" s="9"/>
      <c r="AH6136" s="9"/>
      <c r="AI6136" s="9"/>
    </row>
    <row r="6137" ht="15.0" customHeight="1">
      <c r="A6137" s="11">
        <v>6136.0</v>
      </c>
      <c r="B6137" s="12">
        <f t="shared" si="986"/>
        <v>40882</v>
      </c>
      <c r="C6137" s="13">
        <v>2011.0</v>
      </c>
      <c r="D6137" s="11" t="s">
        <v>102</v>
      </c>
      <c r="E6137" s="11">
        <v>47.0</v>
      </c>
      <c r="F6137" s="21" t="s">
        <v>130</v>
      </c>
      <c r="G6137" s="15">
        <v>0.0946456888007929</v>
      </c>
      <c r="H6137" s="11" t="s">
        <v>33</v>
      </c>
      <c r="I6137" s="16">
        <v>9.304</v>
      </c>
      <c r="J6137" s="11" t="s">
        <v>334</v>
      </c>
      <c r="K6137" s="11" t="s">
        <v>35</v>
      </c>
      <c r="L6137" s="11" t="s">
        <v>48</v>
      </c>
      <c r="M6137" s="11" t="s">
        <v>28</v>
      </c>
      <c r="N6137" s="11" t="s">
        <v>42</v>
      </c>
      <c r="O6137" s="11" t="s">
        <v>2567</v>
      </c>
      <c r="P6137" s="11" t="s">
        <v>38</v>
      </c>
      <c r="Q6137" s="20">
        <v>40884.0</v>
      </c>
      <c r="R6137" s="17">
        <f t="shared" si="2"/>
        <v>138.3345173</v>
      </c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>
        <f t="shared" si="8"/>
        <v>4</v>
      </c>
      <c r="AF6137" s="19">
        <f t="shared" si="13"/>
        <v>2</v>
      </c>
      <c r="AG6137" s="9"/>
      <c r="AH6137" s="9"/>
      <c r="AI6137" s="9"/>
    </row>
    <row r="6138" ht="15.0" customHeight="1">
      <c r="A6138" s="11">
        <v>6137.0</v>
      </c>
      <c r="B6138" s="12">
        <f t="shared" si="986"/>
        <v>40882</v>
      </c>
      <c r="C6138" s="13">
        <v>2011.0</v>
      </c>
      <c r="D6138" s="11" t="s">
        <v>102</v>
      </c>
      <c r="E6138" s="11">
        <v>7.0</v>
      </c>
      <c r="F6138" s="21" t="s">
        <v>93</v>
      </c>
      <c r="G6138" s="15">
        <v>0.0387256637168142</v>
      </c>
      <c r="H6138" s="11" t="s">
        <v>33</v>
      </c>
      <c r="I6138" s="16">
        <v>1.1119999999999999</v>
      </c>
      <c r="J6138" s="11" t="s">
        <v>334</v>
      </c>
      <c r="K6138" s="11" t="s">
        <v>35</v>
      </c>
      <c r="L6138" s="11" t="s">
        <v>48</v>
      </c>
      <c r="M6138" s="11" t="s">
        <v>28</v>
      </c>
      <c r="N6138" s="11" t="s">
        <v>236</v>
      </c>
      <c r="O6138" s="11" t="s">
        <v>833</v>
      </c>
      <c r="P6138" s="11" t="s">
        <v>38</v>
      </c>
      <c r="Q6138" s="20">
        <v>40884.0</v>
      </c>
      <c r="R6138" s="17">
        <f t="shared" si="2"/>
        <v>2.103268248</v>
      </c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>
        <f t="shared" si="8"/>
        <v>4</v>
      </c>
      <c r="AF6138" s="19">
        <f t="shared" si="13"/>
        <v>2</v>
      </c>
      <c r="AG6138" s="9"/>
      <c r="AH6138" s="9"/>
      <c r="AI6138" s="9"/>
    </row>
    <row r="6139" ht="15.0" customHeight="1">
      <c r="A6139" s="11">
        <v>6138.0</v>
      </c>
      <c r="B6139" s="12">
        <f t="shared" si="986"/>
        <v>40882</v>
      </c>
      <c r="C6139" s="13">
        <v>2011.0</v>
      </c>
      <c r="D6139" s="11" t="s">
        <v>102</v>
      </c>
      <c r="E6139" s="11">
        <v>45.0</v>
      </c>
      <c r="F6139" s="21" t="s">
        <v>158</v>
      </c>
      <c r="G6139" s="15">
        <v>0.05469282727565122</v>
      </c>
      <c r="H6139" s="11" t="s">
        <v>24</v>
      </c>
      <c r="I6139" s="16">
        <v>5.896000000000001</v>
      </c>
      <c r="J6139" s="11" t="s">
        <v>334</v>
      </c>
      <c r="K6139" s="11" t="s">
        <v>35</v>
      </c>
      <c r="L6139" s="11" t="s">
        <v>48</v>
      </c>
      <c r="M6139" s="11" t="s">
        <v>28</v>
      </c>
      <c r="N6139" s="11" t="s">
        <v>56</v>
      </c>
      <c r="O6139" s="11" t="s">
        <v>860</v>
      </c>
      <c r="P6139" s="11" t="s">
        <v>38</v>
      </c>
      <c r="Q6139" s="20">
        <v>40884.0</v>
      </c>
      <c r="R6139" s="17">
        <f t="shared" si="2"/>
        <v>16.07400317</v>
      </c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>
        <f t="shared" si="8"/>
        <v>4</v>
      </c>
      <c r="AF6139" s="19">
        <f t="shared" si="13"/>
        <v>2</v>
      </c>
      <c r="AG6139" s="9"/>
      <c r="AH6139" s="9"/>
      <c r="AI6139" s="9"/>
    </row>
    <row r="6140" ht="15.0" customHeight="1">
      <c r="A6140" s="11">
        <v>6139.0</v>
      </c>
      <c r="B6140" s="12">
        <f t="shared" si="986"/>
        <v>40882</v>
      </c>
      <c r="C6140" s="13">
        <v>2011.0</v>
      </c>
      <c r="D6140" s="11" t="s">
        <v>32</v>
      </c>
      <c r="E6140" s="11">
        <v>13.0</v>
      </c>
      <c r="F6140" s="21" t="s">
        <v>126</v>
      </c>
      <c r="G6140" s="15">
        <v>0.017709923664122086</v>
      </c>
      <c r="H6140" s="11" t="s">
        <v>33</v>
      </c>
      <c r="I6140" s="16">
        <v>0.6400000000000001</v>
      </c>
      <c r="J6140" s="11" t="s">
        <v>180</v>
      </c>
      <c r="K6140" s="11" t="s">
        <v>35</v>
      </c>
      <c r="L6140" s="11" t="s">
        <v>36</v>
      </c>
      <c r="M6140" s="11" t="s">
        <v>28</v>
      </c>
      <c r="N6140" s="11" t="s">
        <v>56</v>
      </c>
      <c r="O6140" s="11" t="s">
        <v>517</v>
      </c>
      <c r="P6140" s="11" t="s">
        <v>58</v>
      </c>
      <c r="Q6140" s="20">
        <v>40884.0</v>
      </c>
      <c r="R6140" s="17">
        <f t="shared" si="2"/>
        <v>1.139456489</v>
      </c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>
        <f t="shared" si="8"/>
        <v>2</v>
      </c>
      <c r="AF6140" s="19">
        <f t="shared" si="13"/>
        <v>2</v>
      </c>
      <c r="AG6140" s="9"/>
      <c r="AH6140" s="9"/>
      <c r="AI6140" s="9"/>
    </row>
    <row r="6141" ht="15.0" customHeight="1">
      <c r="A6141" s="11">
        <v>6140.0</v>
      </c>
      <c r="B6141" s="12">
        <f t="shared" ref="B6141:B6144" si="987">DATE(2012,12,31)-391</f>
        <v>40883</v>
      </c>
      <c r="C6141" s="13">
        <v>2011.0</v>
      </c>
      <c r="D6141" s="11" t="s">
        <v>44</v>
      </c>
      <c r="E6141" s="11">
        <v>18.0</v>
      </c>
      <c r="F6141" s="21" t="s">
        <v>498</v>
      </c>
      <c r="G6141" s="15">
        <v>0.08701988133652547</v>
      </c>
      <c r="H6141" s="11" t="s">
        <v>33</v>
      </c>
      <c r="I6141" s="16">
        <v>28.0</v>
      </c>
      <c r="J6141" s="11" t="s">
        <v>1196</v>
      </c>
      <c r="K6141" s="11" t="s">
        <v>61</v>
      </c>
      <c r="L6141" s="11" t="s">
        <v>41</v>
      </c>
      <c r="M6141" s="11" t="s">
        <v>28</v>
      </c>
      <c r="N6141" s="11" t="s">
        <v>29</v>
      </c>
      <c r="O6141" s="11" t="s">
        <v>30</v>
      </c>
      <c r="P6141" s="11" t="s">
        <v>31</v>
      </c>
      <c r="Q6141" s="20">
        <v>40884.0</v>
      </c>
      <c r="R6141" s="17">
        <f t="shared" si="2"/>
        <v>152.6502758</v>
      </c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>
        <f t="shared" si="8"/>
        <v>3</v>
      </c>
      <c r="AF6141" s="19">
        <f t="shared" si="13"/>
        <v>4</v>
      </c>
      <c r="AG6141" s="9"/>
      <c r="AH6141" s="9"/>
      <c r="AI6141" s="9"/>
    </row>
    <row r="6142" ht="15.0" customHeight="1">
      <c r="A6142" s="11">
        <v>6141.0</v>
      </c>
      <c r="B6142" s="12">
        <f t="shared" si="987"/>
        <v>40883</v>
      </c>
      <c r="C6142" s="13">
        <v>2011.0</v>
      </c>
      <c r="D6142" s="11" t="s">
        <v>44</v>
      </c>
      <c r="E6142" s="11">
        <v>31.0</v>
      </c>
      <c r="F6142" s="21" t="s">
        <v>128</v>
      </c>
      <c r="G6142" s="15">
        <v>0.020738811390217635</v>
      </c>
      <c r="H6142" s="11" t="s">
        <v>33</v>
      </c>
      <c r="I6142" s="16">
        <v>7.192</v>
      </c>
      <c r="J6142" s="11" t="s">
        <v>1196</v>
      </c>
      <c r="K6142" s="11" t="s">
        <v>61</v>
      </c>
      <c r="L6142" s="11" t="s">
        <v>41</v>
      </c>
      <c r="M6142" s="11" t="s">
        <v>66</v>
      </c>
      <c r="N6142" s="11" t="s">
        <v>80</v>
      </c>
      <c r="O6142" s="11" t="s">
        <v>875</v>
      </c>
      <c r="P6142" s="11" t="s">
        <v>38</v>
      </c>
      <c r="Q6142" s="20">
        <v>40884.0</v>
      </c>
      <c r="R6142" s="17">
        <f t="shared" si="2"/>
        <v>81.09066051</v>
      </c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>
        <f t="shared" si="8"/>
        <v>3</v>
      </c>
      <c r="AF6142" s="19">
        <f t="shared" si="13"/>
        <v>4</v>
      </c>
      <c r="AG6142" s="9"/>
      <c r="AH6142" s="9"/>
      <c r="AI6142" s="9"/>
    </row>
    <row r="6143" ht="15.0" customHeight="1">
      <c r="A6143" s="11">
        <v>6142.0</v>
      </c>
      <c r="B6143" s="12">
        <f t="shared" si="987"/>
        <v>40883</v>
      </c>
      <c r="C6143" s="13">
        <v>2011.0</v>
      </c>
      <c r="D6143" s="11" t="s">
        <v>23</v>
      </c>
      <c r="E6143" s="11">
        <v>29.0</v>
      </c>
      <c r="F6143" s="21" t="s">
        <v>122</v>
      </c>
      <c r="G6143" s="15">
        <v>0.05108238592119618</v>
      </c>
      <c r="H6143" s="11" t="s">
        <v>33</v>
      </c>
      <c r="I6143" s="16">
        <v>3.2</v>
      </c>
      <c r="J6143" s="11" t="s">
        <v>1387</v>
      </c>
      <c r="K6143" s="11" t="s">
        <v>26</v>
      </c>
      <c r="L6143" s="11" t="s">
        <v>41</v>
      </c>
      <c r="M6143" s="11" t="s">
        <v>66</v>
      </c>
      <c r="N6143" s="11" t="s">
        <v>67</v>
      </c>
      <c r="O6143" s="11" t="s">
        <v>1485</v>
      </c>
      <c r="P6143" s="11" t="s">
        <v>38</v>
      </c>
      <c r="Q6143" s="20">
        <v>40885.0</v>
      </c>
      <c r="R6143" s="17">
        <f t="shared" si="2"/>
        <v>31.12449774</v>
      </c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>
        <f t="shared" si="8"/>
        <v>3</v>
      </c>
      <c r="AF6143" s="19">
        <f t="shared" si="13"/>
        <v>1</v>
      </c>
      <c r="AG6143" s="9"/>
      <c r="AH6143" s="9"/>
      <c r="AI6143" s="9"/>
    </row>
    <row r="6144" ht="15.0" customHeight="1">
      <c r="A6144" s="11">
        <v>6143.0</v>
      </c>
      <c r="B6144" s="12">
        <f t="shared" si="987"/>
        <v>40883</v>
      </c>
      <c r="C6144" s="13">
        <v>2011.0</v>
      </c>
      <c r="D6144" s="11" t="s">
        <v>32</v>
      </c>
      <c r="E6144" s="11">
        <v>19.0</v>
      </c>
      <c r="F6144" s="21" t="s">
        <v>344</v>
      </c>
      <c r="G6144" s="15">
        <v>0.060123591421301414</v>
      </c>
      <c r="H6144" s="11" t="s">
        <v>33</v>
      </c>
      <c r="I6144" s="16">
        <v>3.9600000000000004</v>
      </c>
      <c r="J6144" s="11" t="s">
        <v>1377</v>
      </c>
      <c r="K6144" s="11" t="s">
        <v>47</v>
      </c>
      <c r="L6144" s="11" t="s">
        <v>48</v>
      </c>
      <c r="M6144" s="11" t="s">
        <v>49</v>
      </c>
      <c r="N6144" s="11" t="s">
        <v>73</v>
      </c>
      <c r="O6144" s="11" t="s">
        <v>1724</v>
      </c>
      <c r="P6144" s="11" t="s">
        <v>99</v>
      </c>
      <c r="Q6144" s="20">
        <v>40885.0</v>
      </c>
      <c r="R6144" s="17">
        <f t="shared" si="2"/>
        <v>15.5455558</v>
      </c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>
        <f t="shared" si="8"/>
        <v>4</v>
      </c>
      <c r="AF6144" s="19">
        <f t="shared" si="13"/>
        <v>3</v>
      </c>
      <c r="AG6144" s="9"/>
      <c r="AH6144" s="9"/>
      <c r="AI6144" s="9"/>
    </row>
    <row r="6145" ht="15.0" customHeight="1">
      <c r="A6145" s="11">
        <v>6144.0</v>
      </c>
      <c r="B6145" s="12">
        <f t="shared" ref="B6145:B6157" si="988">DATE(2012,12,31)-390</f>
        <v>40884</v>
      </c>
      <c r="C6145" s="13">
        <v>2011.0</v>
      </c>
      <c r="D6145" s="11" t="s">
        <v>102</v>
      </c>
      <c r="E6145" s="11">
        <v>1.0</v>
      </c>
      <c r="F6145" s="21" t="s">
        <v>914</v>
      </c>
      <c r="G6145" s="15">
        <v>0.12009975062344146</v>
      </c>
      <c r="H6145" s="11" t="s">
        <v>33</v>
      </c>
      <c r="I6145" s="16">
        <v>10.384</v>
      </c>
      <c r="J6145" s="11" t="s">
        <v>871</v>
      </c>
      <c r="K6145" s="11" t="s">
        <v>26</v>
      </c>
      <c r="L6145" s="11" t="s">
        <v>27</v>
      </c>
      <c r="M6145" s="11" t="s">
        <v>28</v>
      </c>
      <c r="N6145" s="11" t="s">
        <v>42</v>
      </c>
      <c r="O6145" s="11" t="s">
        <v>915</v>
      </c>
      <c r="P6145" s="11" t="s">
        <v>38</v>
      </c>
      <c r="Q6145" s="20">
        <v>40885.0</v>
      </c>
      <c r="R6145" s="17">
        <f t="shared" si="2"/>
        <v>4.237599601</v>
      </c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>
        <f t="shared" si="8"/>
        <v>1</v>
      </c>
      <c r="AF6145" s="19">
        <f t="shared" si="13"/>
        <v>1</v>
      </c>
      <c r="AG6145" s="9"/>
      <c r="AH6145" s="9"/>
      <c r="AI6145" s="9"/>
    </row>
    <row r="6146" ht="15.0" customHeight="1">
      <c r="A6146" s="11">
        <v>6145.0</v>
      </c>
      <c r="B6146" s="12">
        <f t="shared" si="988"/>
        <v>40884</v>
      </c>
      <c r="C6146" s="13">
        <v>2011.0</v>
      </c>
      <c r="D6146" s="11" t="s">
        <v>102</v>
      </c>
      <c r="E6146" s="11">
        <v>36.0</v>
      </c>
      <c r="F6146" s="21" t="s">
        <v>126</v>
      </c>
      <c r="G6146" s="15">
        <v>0.05427350427350426</v>
      </c>
      <c r="H6146" s="11" t="s">
        <v>33</v>
      </c>
      <c r="I6146" s="16">
        <v>0.6400000000000001</v>
      </c>
      <c r="J6146" s="11" t="s">
        <v>871</v>
      </c>
      <c r="K6146" s="11" t="s">
        <v>26</v>
      </c>
      <c r="L6146" s="11" t="s">
        <v>27</v>
      </c>
      <c r="M6146" s="11" t="s">
        <v>28</v>
      </c>
      <c r="N6146" s="11" t="s">
        <v>56</v>
      </c>
      <c r="O6146" s="11" t="s">
        <v>517</v>
      </c>
      <c r="P6146" s="11" t="s">
        <v>58</v>
      </c>
      <c r="Q6146" s="20">
        <v>40885.0</v>
      </c>
      <c r="R6146" s="17">
        <f t="shared" si="2"/>
        <v>9.608581197</v>
      </c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>
        <f t="shared" si="8"/>
        <v>1</v>
      </c>
      <c r="AF6146" s="19">
        <f t="shared" si="13"/>
        <v>1</v>
      </c>
      <c r="AG6146" s="9"/>
      <c r="AH6146" s="9"/>
      <c r="AI6146" s="9"/>
    </row>
    <row r="6147" ht="15.0" customHeight="1">
      <c r="A6147" s="11">
        <v>6146.0</v>
      </c>
      <c r="B6147" s="12">
        <f t="shared" si="988"/>
        <v>40884</v>
      </c>
      <c r="C6147" s="13">
        <v>2011.0</v>
      </c>
      <c r="D6147" s="11" t="s">
        <v>39</v>
      </c>
      <c r="E6147" s="11">
        <v>25.0</v>
      </c>
      <c r="F6147" s="21" t="s">
        <v>619</v>
      </c>
      <c r="G6147" s="15">
        <v>0.09247145575642246</v>
      </c>
      <c r="H6147" s="11" t="s">
        <v>33</v>
      </c>
      <c r="I6147" s="16">
        <v>3.6</v>
      </c>
      <c r="J6147" s="11" t="s">
        <v>1118</v>
      </c>
      <c r="K6147" s="11" t="s">
        <v>26</v>
      </c>
      <c r="L6147" s="11" t="s">
        <v>48</v>
      </c>
      <c r="M6147" s="11" t="s">
        <v>28</v>
      </c>
      <c r="N6147" s="11" t="s">
        <v>197</v>
      </c>
      <c r="O6147" s="11" t="s">
        <v>1388</v>
      </c>
      <c r="P6147" s="11" t="s">
        <v>38</v>
      </c>
      <c r="Q6147" s="20">
        <v>40885.0</v>
      </c>
      <c r="R6147" s="17">
        <f t="shared" si="2"/>
        <v>141.1206886</v>
      </c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>
        <f t="shared" si="8"/>
        <v>4</v>
      </c>
      <c r="AF6147" s="19">
        <f t="shared" si="13"/>
        <v>1</v>
      </c>
      <c r="AG6147" s="9"/>
      <c r="AH6147" s="9"/>
      <c r="AI6147" s="9"/>
    </row>
    <row r="6148" ht="15.0" customHeight="1">
      <c r="A6148" s="11">
        <v>6147.0</v>
      </c>
      <c r="B6148" s="12">
        <f t="shared" si="988"/>
        <v>40884</v>
      </c>
      <c r="C6148" s="13">
        <v>2011.0</v>
      </c>
      <c r="D6148" s="11" t="s">
        <v>39</v>
      </c>
      <c r="E6148" s="11">
        <v>39.0</v>
      </c>
      <c r="F6148" s="21" t="s">
        <v>822</v>
      </c>
      <c r="G6148" s="15">
        <v>0.05690259782720395</v>
      </c>
      <c r="H6148" s="11" t="s">
        <v>45</v>
      </c>
      <c r="I6148" s="16">
        <v>13.304</v>
      </c>
      <c r="J6148" s="11" t="s">
        <v>1118</v>
      </c>
      <c r="K6148" s="11" t="s">
        <v>26</v>
      </c>
      <c r="L6148" s="11" t="s">
        <v>48</v>
      </c>
      <c r="M6148" s="11" t="s">
        <v>66</v>
      </c>
      <c r="N6148" s="11" t="s">
        <v>69</v>
      </c>
      <c r="O6148" s="11" t="s">
        <v>824</v>
      </c>
      <c r="P6148" s="11" t="s">
        <v>87</v>
      </c>
      <c r="Q6148" s="20">
        <v>40886.0</v>
      </c>
      <c r="R6148" s="17">
        <f t="shared" si="2"/>
        <v>1148.971793</v>
      </c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>
        <f t="shared" si="8"/>
        <v>4</v>
      </c>
      <c r="AF6148" s="19">
        <f t="shared" si="13"/>
        <v>1</v>
      </c>
      <c r="AG6148" s="9"/>
      <c r="AH6148" s="9"/>
      <c r="AI6148" s="9"/>
    </row>
    <row r="6149" ht="15.0" customHeight="1">
      <c r="A6149" s="11">
        <v>6148.0</v>
      </c>
      <c r="B6149" s="12">
        <f t="shared" si="988"/>
        <v>40884</v>
      </c>
      <c r="C6149" s="13">
        <v>2011.0</v>
      </c>
      <c r="D6149" s="11" t="s">
        <v>44</v>
      </c>
      <c r="E6149" s="11">
        <v>41.0</v>
      </c>
      <c r="F6149" s="21" t="s">
        <v>306</v>
      </c>
      <c r="G6149" s="15">
        <v>0.07920355951056737</v>
      </c>
      <c r="H6149" s="11" t="s">
        <v>33</v>
      </c>
      <c r="I6149" s="16">
        <v>11.896</v>
      </c>
      <c r="J6149" s="11" t="s">
        <v>2142</v>
      </c>
      <c r="K6149" s="11" t="s">
        <v>35</v>
      </c>
      <c r="L6149" s="11" t="s">
        <v>36</v>
      </c>
      <c r="M6149" s="11" t="s">
        <v>49</v>
      </c>
      <c r="N6149" s="11" t="s">
        <v>73</v>
      </c>
      <c r="O6149" s="11" t="s">
        <v>2149</v>
      </c>
      <c r="P6149" s="11" t="s">
        <v>31</v>
      </c>
      <c r="Q6149" s="20">
        <v>40886.0</v>
      </c>
      <c r="R6149" s="17">
        <f t="shared" si="2"/>
        <v>65.56438975</v>
      </c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>
        <f t="shared" si="8"/>
        <v>2</v>
      </c>
      <c r="AF6149" s="19">
        <f t="shared" si="13"/>
        <v>2</v>
      </c>
      <c r="AG6149" s="9"/>
      <c r="AH6149" s="9"/>
      <c r="AI6149" s="9"/>
    </row>
    <row r="6150" ht="15.0" customHeight="1">
      <c r="A6150" s="11">
        <v>6149.0</v>
      </c>
      <c r="B6150" s="12">
        <f t="shared" si="988"/>
        <v>40884</v>
      </c>
      <c r="C6150" s="13">
        <v>2011.0</v>
      </c>
      <c r="D6150" s="11" t="s">
        <v>44</v>
      </c>
      <c r="E6150" s="11">
        <v>45.0</v>
      </c>
      <c r="F6150" s="21" t="s">
        <v>93</v>
      </c>
      <c r="G6150" s="15">
        <v>0.042428926304167856</v>
      </c>
      <c r="H6150" s="11" t="s">
        <v>33</v>
      </c>
      <c r="I6150" s="16">
        <v>4.928000000000001</v>
      </c>
      <c r="J6150" s="11" t="s">
        <v>2142</v>
      </c>
      <c r="K6150" s="11" t="s">
        <v>35</v>
      </c>
      <c r="L6150" s="11" t="s">
        <v>36</v>
      </c>
      <c r="M6150" s="11" t="s">
        <v>28</v>
      </c>
      <c r="N6150" s="11" t="s">
        <v>42</v>
      </c>
      <c r="O6150" s="11" t="s">
        <v>134</v>
      </c>
      <c r="P6150" s="11" t="s">
        <v>38</v>
      </c>
      <c r="Q6150" s="20">
        <v>40886.0</v>
      </c>
      <c r="R6150" s="17">
        <f t="shared" si="2"/>
        <v>14.71978254</v>
      </c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>
        <f t="shared" si="8"/>
        <v>2</v>
      </c>
      <c r="AF6150" s="19">
        <f t="shared" si="13"/>
        <v>2</v>
      </c>
      <c r="AG6150" s="9"/>
      <c r="AH6150" s="9"/>
      <c r="AI6150" s="9"/>
    </row>
    <row r="6151" ht="15.0" customHeight="1">
      <c r="A6151" s="11">
        <v>6150.0</v>
      </c>
      <c r="B6151" s="12">
        <f t="shared" si="988"/>
        <v>40884</v>
      </c>
      <c r="C6151" s="13">
        <v>2011.0</v>
      </c>
      <c r="D6151" s="11" t="s">
        <v>39</v>
      </c>
      <c r="E6151" s="11">
        <v>19.0</v>
      </c>
      <c r="F6151" s="21" t="s">
        <v>493</v>
      </c>
      <c r="G6151" s="15">
        <v>0.057250020588962086</v>
      </c>
      <c r="H6151" s="11" t="s">
        <v>24</v>
      </c>
      <c r="I6151" s="16">
        <v>15.991999999999999</v>
      </c>
      <c r="J6151" s="11" t="s">
        <v>2039</v>
      </c>
      <c r="K6151" s="11" t="s">
        <v>83</v>
      </c>
      <c r="L6151" s="11" t="s">
        <v>27</v>
      </c>
      <c r="M6151" s="11" t="s">
        <v>28</v>
      </c>
      <c r="N6151" s="11" t="s">
        <v>42</v>
      </c>
      <c r="O6151" s="11" t="s">
        <v>495</v>
      </c>
      <c r="P6151" s="11" t="s">
        <v>38</v>
      </c>
      <c r="Q6151" s="20">
        <v>40886.0</v>
      </c>
      <c r="R6151" s="17">
        <f t="shared" si="2"/>
        <v>458.749682</v>
      </c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>
        <f t="shared" si="8"/>
        <v>1</v>
      </c>
      <c r="AF6151" s="19" t="b">
        <f t="shared" si="13"/>
        <v>0</v>
      </c>
      <c r="AG6151" s="9"/>
      <c r="AH6151" s="9"/>
      <c r="AI6151" s="9"/>
    </row>
    <row r="6152" ht="15.0" customHeight="1">
      <c r="A6152" s="11">
        <v>6151.0</v>
      </c>
      <c r="B6152" s="12">
        <f t="shared" si="988"/>
        <v>40884</v>
      </c>
      <c r="C6152" s="13">
        <v>2011.0</v>
      </c>
      <c r="D6152" s="11" t="s">
        <v>39</v>
      </c>
      <c r="E6152" s="11">
        <v>50.0</v>
      </c>
      <c r="F6152" s="21" t="s">
        <v>1307</v>
      </c>
      <c r="G6152" s="15">
        <v>0.09457377049180321</v>
      </c>
      <c r="H6152" s="11" t="s">
        <v>33</v>
      </c>
      <c r="I6152" s="16">
        <v>5.5440000000000005</v>
      </c>
      <c r="J6152" s="11" t="s">
        <v>2039</v>
      </c>
      <c r="K6152" s="11" t="s">
        <v>83</v>
      </c>
      <c r="L6152" s="11" t="s">
        <v>27</v>
      </c>
      <c r="M6152" s="11" t="s">
        <v>49</v>
      </c>
      <c r="N6152" s="11" t="s">
        <v>73</v>
      </c>
      <c r="O6152" s="11" t="s">
        <v>1309</v>
      </c>
      <c r="P6152" s="11" t="s">
        <v>38</v>
      </c>
      <c r="Q6152" s="20">
        <v>40886.0</v>
      </c>
      <c r="R6152" s="17">
        <f t="shared" si="2"/>
        <v>125.361694</v>
      </c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>
        <f t="shared" si="8"/>
        <v>1</v>
      </c>
      <c r="AF6152" s="19" t="b">
        <f t="shared" si="13"/>
        <v>0</v>
      </c>
      <c r="AG6152" s="9"/>
      <c r="AH6152" s="9"/>
      <c r="AI6152" s="9"/>
    </row>
    <row r="6153" ht="15.0" customHeight="1">
      <c r="A6153" s="11">
        <v>6152.0</v>
      </c>
      <c r="B6153" s="12">
        <f t="shared" si="988"/>
        <v>40884</v>
      </c>
      <c r="C6153" s="13">
        <v>2011.0</v>
      </c>
      <c r="D6153" s="11" t="s">
        <v>39</v>
      </c>
      <c r="E6153" s="11">
        <v>24.0</v>
      </c>
      <c r="F6153" s="21" t="s">
        <v>256</v>
      </c>
      <c r="G6153" s="15">
        <v>0.03412217941662074</v>
      </c>
      <c r="H6153" s="11" t="s">
        <v>24</v>
      </c>
      <c r="I6153" s="16">
        <v>5.4</v>
      </c>
      <c r="J6153" s="11" t="s">
        <v>1253</v>
      </c>
      <c r="K6153" s="11" t="s">
        <v>35</v>
      </c>
      <c r="L6153" s="11" t="s">
        <v>48</v>
      </c>
      <c r="M6153" s="11" t="s">
        <v>28</v>
      </c>
      <c r="N6153" s="11" t="s">
        <v>197</v>
      </c>
      <c r="O6153" s="11" t="s">
        <v>257</v>
      </c>
      <c r="P6153" s="11" t="s">
        <v>75</v>
      </c>
      <c r="Q6153" s="20">
        <v>40886.0</v>
      </c>
      <c r="R6153" s="17">
        <f t="shared" si="2"/>
        <v>11.97688498</v>
      </c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>
        <f t="shared" si="8"/>
        <v>4</v>
      </c>
      <c r="AF6153" s="19">
        <f t="shared" si="13"/>
        <v>2</v>
      </c>
      <c r="AG6153" s="9"/>
      <c r="AH6153" s="9"/>
      <c r="AI6153" s="9"/>
    </row>
    <row r="6154" ht="15.0" customHeight="1">
      <c r="A6154" s="11">
        <v>6153.0</v>
      </c>
      <c r="B6154" s="12">
        <f t="shared" si="988"/>
        <v>40884</v>
      </c>
      <c r="C6154" s="13">
        <v>2011.0</v>
      </c>
      <c r="D6154" s="11" t="s">
        <v>39</v>
      </c>
      <c r="E6154" s="11">
        <v>17.0</v>
      </c>
      <c r="F6154" s="21" t="s">
        <v>137</v>
      </c>
      <c r="G6154" s="15">
        <v>0.07576965517241378</v>
      </c>
      <c r="H6154" s="11" t="s">
        <v>45</v>
      </c>
      <c r="I6154" s="16">
        <v>114.96800000000002</v>
      </c>
      <c r="J6154" s="11" t="s">
        <v>1253</v>
      </c>
      <c r="K6154" s="11" t="s">
        <v>35</v>
      </c>
      <c r="L6154" s="11" t="s">
        <v>48</v>
      </c>
      <c r="M6154" s="11" t="s">
        <v>49</v>
      </c>
      <c r="N6154" s="11" t="s">
        <v>50</v>
      </c>
      <c r="O6154" s="11" t="s">
        <v>1365</v>
      </c>
      <c r="P6154" s="11" t="s">
        <v>52</v>
      </c>
      <c r="Q6154" s="20">
        <v>40886.0</v>
      </c>
      <c r="R6154" s="17">
        <f t="shared" si="2"/>
        <v>203.0829821</v>
      </c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>
        <f t="shared" si="8"/>
        <v>4</v>
      </c>
      <c r="AF6154" s="19">
        <f t="shared" si="13"/>
        <v>2</v>
      </c>
      <c r="AG6154" s="9"/>
      <c r="AH6154" s="9"/>
      <c r="AI6154" s="9"/>
    </row>
    <row r="6155" ht="15.0" customHeight="1">
      <c r="A6155" s="11">
        <v>6154.0</v>
      </c>
      <c r="B6155" s="12">
        <f t="shared" si="988"/>
        <v>40884</v>
      </c>
      <c r="C6155" s="13">
        <v>2011.0</v>
      </c>
      <c r="D6155" s="11" t="s">
        <v>39</v>
      </c>
      <c r="E6155" s="11">
        <v>40.0</v>
      </c>
      <c r="F6155" s="21" t="s">
        <v>872</v>
      </c>
      <c r="G6155" s="15">
        <v>0.016453939311470926</v>
      </c>
      <c r="H6155" s="11" t="s">
        <v>33</v>
      </c>
      <c r="I6155" s="16">
        <v>6.808</v>
      </c>
      <c r="J6155" s="11" t="s">
        <v>1253</v>
      </c>
      <c r="K6155" s="11" t="s">
        <v>35</v>
      </c>
      <c r="L6155" s="11" t="s">
        <v>48</v>
      </c>
      <c r="M6155" s="11" t="s">
        <v>66</v>
      </c>
      <c r="N6155" s="11" t="s">
        <v>69</v>
      </c>
      <c r="O6155" s="11" t="s">
        <v>1000</v>
      </c>
      <c r="P6155" s="11" t="s">
        <v>75</v>
      </c>
      <c r="Q6155" s="20">
        <v>40886.0</v>
      </c>
      <c r="R6155" s="17">
        <f t="shared" si="2"/>
        <v>11.89303897</v>
      </c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>
        <f t="shared" si="8"/>
        <v>4</v>
      </c>
      <c r="AF6155" s="19">
        <f t="shared" si="13"/>
        <v>2</v>
      </c>
      <c r="AG6155" s="9"/>
      <c r="AH6155" s="9"/>
      <c r="AI6155" s="9"/>
    </row>
    <row r="6156" ht="15.0" customHeight="1">
      <c r="A6156" s="11">
        <v>6155.0</v>
      </c>
      <c r="B6156" s="12">
        <f t="shared" si="988"/>
        <v>40884</v>
      </c>
      <c r="C6156" s="13">
        <v>2011.0</v>
      </c>
      <c r="D6156" s="11" t="s">
        <v>39</v>
      </c>
      <c r="E6156" s="11">
        <v>16.0</v>
      </c>
      <c r="F6156" s="21" t="s">
        <v>569</v>
      </c>
      <c r="G6156" s="15">
        <v>0.020609159210649288</v>
      </c>
      <c r="H6156" s="11" t="s">
        <v>33</v>
      </c>
      <c r="I6156" s="16">
        <v>7.192</v>
      </c>
      <c r="J6156" s="11" t="s">
        <v>1253</v>
      </c>
      <c r="K6156" s="11" t="s">
        <v>35</v>
      </c>
      <c r="L6156" s="11" t="s">
        <v>48</v>
      </c>
      <c r="M6156" s="11" t="s">
        <v>66</v>
      </c>
      <c r="N6156" s="11" t="s">
        <v>80</v>
      </c>
      <c r="O6156" s="11" t="s">
        <v>1645</v>
      </c>
      <c r="P6156" s="11" t="s">
        <v>38</v>
      </c>
      <c r="Q6156" s="20">
        <v>40886.0</v>
      </c>
      <c r="R6156" s="17">
        <f t="shared" si="2"/>
        <v>64.7455697</v>
      </c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>
        <f t="shared" si="8"/>
        <v>4</v>
      </c>
      <c r="AF6156" s="19">
        <f t="shared" si="13"/>
        <v>2</v>
      </c>
      <c r="AG6156" s="9"/>
      <c r="AH6156" s="9"/>
      <c r="AI6156" s="9"/>
    </row>
    <row r="6157" ht="15.0" customHeight="1">
      <c r="A6157" s="11">
        <v>6156.0</v>
      </c>
      <c r="B6157" s="12">
        <f t="shared" si="988"/>
        <v>40884</v>
      </c>
      <c r="C6157" s="13">
        <v>2011.0</v>
      </c>
      <c r="D6157" s="11" t="s">
        <v>39</v>
      </c>
      <c r="E6157" s="11">
        <v>25.0</v>
      </c>
      <c r="F6157" s="21" t="s">
        <v>128</v>
      </c>
      <c r="G6157" s="15">
        <v>0.06652498224011368</v>
      </c>
      <c r="H6157" s="11" t="s">
        <v>33</v>
      </c>
      <c r="I6157" s="16">
        <v>6.152000000000001</v>
      </c>
      <c r="J6157" s="11" t="s">
        <v>1253</v>
      </c>
      <c r="K6157" s="11" t="s">
        <v>35</v>
      </c>
      <c r="L6157" s="11" t="s">
        <v>48</v>
      </c>
      <c r="M6157" s="11" t="s">
        <v>66</v>
      </c>
      <c r="N6157" s="11" t="s">
        <v>80</v>
      </c>
      <c r="O6157" s="11" t="s">
        <v>589</v>
      </c>
      <c r="P6157" s="11" t="s">
        <v>38</v>
      </c>
      <c r="Q6157" s="20">
        <v>40886.0</v>
      </c>
      <c r="R6157" s="17">
        <f t="shared" si="2"/>
        <v>209.7966433</v>
      </c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>
        <f t="shared" si="8"/>
        <v>4</v>
      </c>
      <c r="AF6157" s="19">
        <f t="shared" si="13"/>
        <v>2</v>
      </c>
      <c r="AG6157" s="9"/>
      <c r="AH6157" s="9"/>
      <c r="AI6157" s="9"/>
    </row>
    <row r="6158" ht="15.0" customHeight="1">
      <c r="A6158" s="11">
        <v>6157.0</v>
      </c>
      <c r="B6158" s="12">
        <f t="shared" ref="B6158:B6163" si="989">DATE(2012,12,31)-389</f>
        <v>40885</v>
      </c>
      <c r="C6158" s="13">
        <v>2011.0</v>
      </c>
      <c r="D6158" s="11" t="s">
        <v>39</v>
      </c>
      <c r="E6158" s="11">
        <v>23.0</v>
      </c>
      <c r="F6158" s="21" t="s">
        <v>130</v>
      </c>
      <c r="G6158" s="15">
        <v>0.04394635506572848</v>
      </c>
      <c r="H6158" s="11" t="s">
        <v>33</v>
      </c>
      <c r="I6158" s="16">
        <v>9.304</v>
      </c>
      <c r="J6158" s="11" t="s">
        <v>1259</v>
      </c>
      <c r="K6158" s="11" t="s">
        <v>65</v>
      </c>
      <c r="L6158" s="11" t="s">
        <v>41</v>
      </c>
      <c r="M6158" s="11" t="s">
        <v>28</v>
      </c>
      <c r="N6158" s="11" t="s">
        <v>42</v>
      </c>
      <c r="O6158" s="11" t="s">
        <v>2567</v>
      </c>
      <c r="P6158" s="11" t="s">
        <v>38</v>
      </c>
      <c r="Q6158" s="20">
        <v>40887.0</v>
      </c>
      <c r="R6158" s="17">
        <f t="shared" si="2"/>
        <v>31.64155143</v>
      </c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>
        <f t="shared" si="8"/>
        <v>3</v>
      </c>
      <c r="AF6158" s="19">
        <f t="shared" si="13"/>
        <v>5</v>
      </c>
      <c r="AG6158" s="9"/>
      <c r="AH6158" s="9"/>
      <c r="AI6158" s="9"/>
    </row>
    <row r="6159" ht="15.0" customHeight="1">
      <c r="A6159" s="11">
        <v>6158.0</v>
      </c>
      <c r="B6159" s="12">
        <f t="shared" si="989"/>
        <v>40885</v>
      </c>
      <c r="C6159" s="13">
        <v>2011.0</v>
      </c>
      <c r="D6159" s="11" t="s">
        <v>39</v>
      </c>
      <c r="E6159" s="11">
        <v>4.0</v>
      </c>
      <c r="F6159" s="21" t="s">
        <v>126</v>
      </c>
      <c r="G6159" s="15">
        <v>0.06103286384976529</v>
      </c>
      <c r="H6159" s="11" t="s">
        <v>33</v>
      </c>
      <c r="I6159" s="16">
        <v>0.4</v>
      </c>
      <c r="J6159" s="11" t="s">
        <v>1259</v>
      </c>
      <c r="K6159" s="11" t="s">
        <v>65</v>
      </c>
      <c r="L6159" s="11" t="s">
        <v>41</v>
      </c>
      <c r="M6159" s="11" t="s">
        <v>28</v>
      </c>
      <c r="N6159" s="11" t="s">
        <v>188</v>
      </c>
      <c r="O6159" s="11" t="s">
        <v>410</v>
      </c>
      <c r="P6159" s="11" t="s">
        <v>38</v>
      </c>
      <c r="Q6159" s="20">
        <v>40887.0</v>
      </c>
      <c r="R6159" s="17">
        <f t="shared" si="2"/>
        <v>1.220657277</v>
      </c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>
        <f t="shared" si="8"/>
        <v>3</v>
      </c>
      <c r="AF6159" s="19">
        <f t="shared" si="13"/>
        <v>5</v>
      </c>
      <c r="AG6159" s="9"/>
      <c r="AH6159" s="9"/>
      <c r="AI6159" s="9"/>
    </row>
    <row r="6160" ht="15.0" customHeight="1">
      <c r="A6160" s="11">
        <v>6159.0</v>
      </c>
      <c r="B6160" s="12">
        <f t="shared" si="989"/>
        <v>40885</v>
      </c>
      <c r="C6160" s="13">
        <v>2011.0</v>
      </c>
      <c r="D6160" s="11" t="s">
        <v>102</v>
      </c>
      <c r="E6160" s="11">
        <v>11.0</v>
      </c>
      <c r="F6160" s="21" t="s">
        <v>183</v>
      </c>
      <c r="G6160" s="15">
        <v>0.0533471717695899</v>
      </c>
      <c r="H6160" s="11" t="s">
        <v>33</v>
      </c>
      <c r="I6160" s="16">
        <v>7.5200000000000005</v>
      </c>
      <c r="J6160" s="11" t="s">
        <v>873</v>
      </c>
      <c r="K6160" s="11" t="s">
        <v>83</v>
      </c>
      <c r="L6160" s="11" t="s">
        <v>41</v>
      </c>
      <c r="M6160" s="11" t="s">
        <v>66</v>
      </c>
      <c r="N6160" s="11" t="s">
        <v>69</v>
      </c>
      <c r="O6160" s="11" t="s">
        <v>381</v>
      </c>
      <c r="P6160" s="11" t="s">
        <v>38</v>
      </c>
      <c r="Q6160" s="20">
        <v>40887.0</v>
      </c>
      <c r="R6160" s="17">
        <f t="shared" si="2"/>
        <v>9.731591074</v>
      </c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>
        <f t="shared" si="8"/>
        <v>3</v>
      </c>
      <c r="AF6160" s="19" t="b">
        <f t="shared" si="13"/>
        <v>0</v>
      </c>
      <c r="AG6160" s="9"/>
      <c r="AH6160" s="9"/>
      <c r="AI6160" s="9"/>
    </row>
    <row r="6161" ht="15.0" customHeight="1">
      <c r="A6161" s="11">
        <v>6160.0</v>
      </c>
      <c r="B6161" s="12">
        <f t="shared" si="989"/>
        <v>40885</v>
      </c>
      <c r="C6161" s="13">
        <v>2011.0</v>
      </c>
      <c r="D6161" s="11" t="s">
        <v>102</v>
      </c>
      <c r="E6161" s="11">
        <v>8.0</v>
      </c>
      <c r="F6161" s="21" t="s">
        <v>190</v>
      </c>
      <c r="G6161" s="15">
        <v>0.038737270875763764</v>
      </c>
      <c r="H6161" s="11" t="s">
        <v>33</v>
      </c>
      <c r="I6161" s="16">
        <v>7.192</v>
      </c>
      <c r="J6161" s="11" t="s">
        <v>873</v>
      </c>
      <c r="K6161" s="11" t="s">
        <v>83</v>
      </c>
      <c r="L6161" s="11" t="s">
        <v>41</v>
      </c>
      <c r="M6161" s="11" t="s">
        <v>49</v>
      </c>
      <c r="N6161" s="11" t="s">
        <v>73</v>
      </c>
      <c r="O6161" s="11" t="s">
        <v>191</v>
      </c>
      <c r="P6161" s="11" t="s">
        <v>99</v>
      </c>
      <c r="Q6161" s="20">
        <v>40887.0</v>
      </c>
      <c r="R6161" s="17">
        <f t="shared" si="2"/>
        <v>7.313286843</v>
      </c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>
        <f t="shared" si="8"/>
        <v>3</v>
      </c>
      <c r="AF6161" s="19" t="b">
        <f t="shared" si="13"/>
        <v>0</v>
      </c>
      <c r="AG6161" s="9"/>
      <c r="AH6161" s="9"/>
      <c r="AI6161" s="9"/>
    </row>
    <row r="6162" ht="15.0" customHeight="1">
      <c r="A6162" s="11">
        <v>6161.0</v>
      </c>
      <c r="B6162" s="12">
        <f t="shared" si="989"/>
        <v>40885</v>
      </c>
      <c r="C6162" s="13">
        <v>2011.0</v>
      </c>
      <c r="D6162" s="11" t="s">
        <v>32</v>
      </c>
      <c r="E6162" s="11">
        <v>28.0</v>
      </c>
      <c r="F6162" s="21" t="s">
        <v>619</v>
      </c>
      <c r="G6162" s="15">
        <v>0.04918762519474743</v>
      </c>
      <c r="H6162" s="11" t="s">
        <v>24</v>
      </c>
      <c r="I6162" s="16">
        <v>3.6</v>
      </c>
      <c r="J6162" s="11" t="s">
        <v>436</v>
      </c>
      <c r="K6162" s="11" t="s">
        <v>65</v>
      </c>
      <c r="L6162" s="11" t="s">
        <v>27</v>
      </c>
      <c r="M6162" s="11" t="s">
        <v>28</v>
      </c>
      <c r="N6162" s="11" t="s">
        <v>197</v>
      </c>
      <c r="O6162" s="11" t="s">
        <v>1388</v>
      </c>
      <c r="P6162" s="11" t="s">
        <v>38</v>
      </c>
      <c r="Q6162" s="20">
        <v>40887.0</v>
      </c>
      <c r="R6162" s="17">
        <f t="shared" si="2"/>
        <v>84.05181393</v>
      </c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>
        <f t="shared" si="8"/>
        <v>1</v>
      </c>
      <c r="AF6162" s="19">
        <f t="shared" si="13"/>
        <v>5</v>
      </c>
      <c r="AG6162" s="9"/>
      <c r="AH6162" s="9"/>
      <c r="AI6162" s="9"/>
    </row>
    <row r="6163" ht="15.0" customHeight="1">
      <c r="A6163" s="11">
        <v>6162.0</v>
      </c>
      <c r="B6163" s="12">
        <f t="shared" si="989"/>
        <v>40885</v>
      </c>
      <c r="C6163" s="13">
        <v>2011.0</v>
      </c>
      <c r="D6163" s="11" t="s">
        <v>32</v>
      </c>
      <c r="E6163" s="11">
        <v>38.0</v>
      </c>
      <c r="F6163" s="21" t="s">
        <v>178</v>
      </c>
      <c r="G6163" s="15">
        <v>0.08399122807017534</v>
      </c>
      <c r="H6163" s="11" t="s">
        <v>33</v>
      </c>
      <c r="I6163" s="16">
        <v>2.0</v>
      </c>
      <c r="J6163" s="11" t="s">
        <v>436</v>
      </c>
      <c r="K6163" s="11" t="s">
        <v>65</v>
      </c>
      <c r="L6163" s="11" t="s">
        <v>27</v>
      </c>
      <c r="M6163" s="11" t="s">
        <v>66</v>
      </c>
      <c r="N6163" s="11" t="s">
        <v>80</v>
      </c>
      <c r="O6163" s="11" t="s">
        <v>2356</v>
      </c>
      <c r="P6163" s="11" t="s">
        <v>38</v>
      </c>
      <c r="Q6163" s="20">
        <v>40887.0</v>
      </c>
      <c r="R6163" s="17">
        <f t="shared" si="2"/>
        <v>210.4988158</v>
      </c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>
        <f t="shared" si="8"/>
        <v>1</v>
      </c>
      <c r="AF6163" s="19">
        <f t="shared" si="13"/>
        <v>5</v>
      </c>
      <c r="AG6163" s="9"/>
      <c r="AH6163" s="9"/>
      <c r="AI6163" s="9"/>
    </row>
    <row r="6164" ht="15.0" customHeight="1">
      <c r="A6164" s="11">
        <v>6163.0</v>
      </c>
      <c r="B6164" s="12">
        <f t="shared" ref="B6164:B6169" si="990">DATE(2012,12,31)-388</f>
        <v>40886</v>
      </c>
      <c r="C6164" s="13">
        <v>2011.0</v>
      </c>
      <c r="D6164" s="11" t="s">
        <v>102</v>
      </c>
      <c r="E6164" s="11">
        <v>36.0</v>
      </c>
      <c r="F6164" s="21" t="s">
        <v>891</v>
      </c>
      <c r="G6164" s="15">
        <v>0.09468884781269268</v>
      </c>
      <c r="H6164" s="11" t="s">
        <v>33</v>
      </c>
      <c r="I6164" s="16">
        <v>2.2640000000000002</v>
      </c>
      <c r="J6164" s="11" t="s">
        <v>2401</v>
      </c>
      <c r="K6164" s="11" t="s">
        <v>61</v>
      </c>
      <c r="L6164" s="11" t="s">
        <v>41</v>
      </c>
      <c r="M6164" s="11" t="s">
        <v>66</v>
      </c>
      <c r="N6164" s="11" t="s">
        <v>67</v>
      </c>
      <c r="O6164" s="11" t="s">
        <v>893</v>
      </c>
      <c r="P6164" s="11" t="s">
        <v>99</v>
      </c>
      <c r="Q6164" s="20">
        <v>40888.0</v>
      </c>
      <c r="R6164" s="17">
        <f t="shared" si="2"/>
        <v>27.82564357</v>
      </c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>
        <f t="shared" si="8"/>
        <v>3</v>
      </c>
      <c r="AF6164" s="19">
        <f t="shared" si="13"/>
        <v>4</v>
      </c>
      <c r="AG6164" s="9"/>
      <c r="AH6164" s="9"/>
      <c r="AI6164" s="9"/>
    </row>
    <row r="6165" ht="15.0" customHeight="1">
      <c r="A6165" s="11">
        <v>6164.0</v>
      </c>
      <c r="B6165" s="12">
        <f t="shared" si="990"/>
        <v>40886</v>
      </c>
      <c r="C6165" s="13">
        <v>2011.0</v>
      </c>
      <c r="D6165" s="11" t="s">
        <v>23</v>
      </c>
      <c r="E6165" s="11">
        <v>37.0</v>
      </c>
      <c r="F6165" s="21" t="s">
        <v>2287</v>
      </c>
      <c r="G6165" s="15">
        <v>0.04144915603128868</v>
      </c>
      <c r="H6165" s="11" t="s">
        <v>33</v>
      </c>
      <c r="I6165" s="16">
        <v>2.8960000000000004</v>
      </c>
      <c r="J6165" s="11" t="s">
        <v>1419</v>
      </c>
      <c r="K6165" s="11" t="s">
        <v>61</v>
      </c>
      <c r="L6165" s="11" t="s">
        <v>41</v>
      </c>
      <c r="M6165" s="11" t="s">
        <v>49</v>
      </c>
      <c r="N6165" s="11" t="s">
        <v>73</v>
      </c>
      <c r="O6165" s="11" t="s">
        <v>2288</v>
      </c>
      <c r="P6165" s="11" t="s">
        <v>58</v>
      </c>
      <c r="Q6165" s="20">
        <v>40888.0</v>
      </c>
      <c r="R6165" s="17">
        <f t="shared" si="2"/>
        <v>28.95206969</v>
      </c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>
        <f t="shared" si="8"/>
        <v>3</v>
      </c>
      <c r="AF6165" s="19">
        <f t="shared" si="13"/>
        <v>4</v>
      </c>
      <c r="AG6165" s="9"/>
      <c r="AH6165" s="9"/>
      <c r="AI6165" s="9"/>
    </row>
    <row r="6166" ht="15.0" customHeight="1">
      <c r="A6166" s="11">
        <v>6165.0</v>
      </c>
      <c r="B6166" s="12">
        <f t="shared" si="990"/>
        <v>40886</v>
      </c>
      <c r="C6166" s="13">
        <v>2011.0</v>
      </c>
      <c r="D6166" s="11" t="s">
        <v>23</v>
      </c>
      <c r="E6166" s="11">
        <v>42.0</v>
      </c>
      <c r="F6166" s="21" t="s">
        <v>142</v>
      </c>
      <c r="G6166" s="15">
        <v>0.050714196058742445</v>
      </c>
      <c r="H6166" s="11" t="s">
        <v>33</v>
      </c>
      <c r="I6166" s="16">
        <v>4.792000000000001</v>
      </c>
      <c r="J6166" s="11" t="s">
        <v>1419</v>
      </c>
      <c r="K6166" s="11" t="s">
        <v>61</v>
      </c>
      <c r="L6166" s="11" t="s">
        <v>41</v>
      </c>
      <c r="M6166" s="11" t="s">
        <v>66</v>
      </c>
      <c r="N6166" s="11" t="s">
        <v>80</v>
      </c>
      <c r="O6166" s="11" t="s">
        <v>757</v>
      </c>
      <c r="P6166" s="11" t="s">
        <v>58</v>
      </c>
      <c r="Q6166" s="20">
        <v>40888.0</v>
      </c>
      <c r="R6166" s="17">
        <f t="shared" si="2"/>
        <v>76.70988724</v>
      </c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>
        <f t="shared" si="8"/>
        <v>3</v>
      </c>
      <c r="AF6166" s="19">
        <f t="shared" si="13"/>
        <v>4</v>
      </c>
      <c r="AG6166" s="9"/>
      <c r="AH6166" s="9"/>
      <c r="AI6166" s="9"/>
    </row>
    <row r="6167" ht="15.0" customHeight="1">
      <c r="A6167" s="11">
        <v>6166.0</v>
      </c>
      <c r="B6167" s="12">
        <f t="shared" si="990"/>
        <v>40886</v>
      </c>
      <c r="C6167" s="13">
        <v>2011.0</v>
      </c>
      <c r="D6167" s="11" t="s">
        <v>23</v>
      </c>
      <c r="E6167" s="11">
        <v>50.0</v>
      </c>
      <c r="F6167" s="21" t="s">
        <v>158</v>
      </c>
      <c r="G6167" s="15">
        <v>0.08087887323943659</v>
      </c>
      <c r="H6167" s="11" t="s">
        <v>33</v>
      </c>
      <c r="I6167" s="16">
        <v>6.288</v>
      </c>
      <c r="J6167" s="11" t="s">
        <v>1470</v>
      </c>
      <c r="K6167" s="11" t="s">
        <v>65</v>
      </c>
      <c r="L6167" s="11" t="s">
        <v>27</v>
      </c>
      <c r="M6167" s="11" t="s">
        <v>28</v>
      </c>
      <c r="N6167" s="11" t="s">
        <v>56</v>
      </c>
      <c r="O6167" s="11" t="s">
        <v>1285</v>
      </c>
      <c r="P6167" s="11" t="s">
        <v>38</v>
      </c>
      <c r="Q6167" s="20">
        <v>40888.0</v>
      </c>
      <c r="R6167" s="17">
        <f t="shared" si="2"/>
        <v>26.38980579</v>
      </c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>
        <f t="shared" si="8"/>
        <v>1</v>
      </c>
      <c r="AF6167" s="19">
        <f t="shared" si="13"/>
        <v>5</v>
      </c>
      <c r="AG6167" s="9"/>
      <c r="AH6167" s="9"/>
      <c r="AI6167" s="9"/>
    </row>
    <row r="6168" ht="15.0" customHeight="1">
      <c r="A6168" s="11">
        <v>6167.0</v>
      </c>
      <c r="B6168" s="12">
        <f t="shared" si="990"/>
        <v>40886</v>
      </c>
      <c r="C6168" s="13">
        <v>2011.0</v>
      </c>
      <c r="D6168" s="11" t="s">
        <v>102</v>
      </c>
      <c r="E6168" s="11">
        <v>4.0</v>
      </c>
      <c r="F6168" s="21" t="s">
        <v>1088</v>
      </c>
      <c r="G6168" s="15">
        <v>0.08889812889812897</v>
      </c>
      <c r="H6168" s="11" t="s">
        <v>33</v>
      </c>
      <c r="I6168" s="16">
        <v>3.696</v>
      </c>
      <c r="J6168" s="11" t="s">
        <v>227</v>
      </c>
      <c r="K6168" s="11" t="s">
        <v>35</v>
      </c>
      <c r="L6168" s="11" t="s">
        <v>27</v>
      </c>
      <c r="M6168" s="11" t="s">
        <v>28</v>
      </c>
      <c r="N6168" s="11" t="s">
        <v>197</v>
      </c>
      <c r="O6168" s="11" t="s">
        <v>1090</v>
      </c>
      <c r="P6168" s="11" t="s">
        <v>38</v>
      </c>
      <c r="Q6168" s="20">
        <v>40888.0</v>
      </c>
      <c r="R6168" s="17">
        <f t="shared" si="2"/>
        <v>15.5834864</v>
      </c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>
        <f t="shared" si="8"/>
        <v>1</v>
      </c>
      <c r="AF6168" s="19">
        <f t="shared" si="13"/>
        <v>2</v>
      </c>
      <c r="AG6168" s="9"/>
      <c r="AH6168" s="9"/>
      <c r="AI6168" s="9"/>
    </row>
    <row r="6169" ht="15.0" customHeight="1">
      <c r="A6169" s="11">
        <v>6168.0</v>
      </c>
      <c r="B6169" s="12">
        <f t="shared" si="990"/>
        <v>40886</v>
      </c>
      <c r="C6169" s="13">
        <v>2011.0</v>
      </c>
      <c r="D6169" s="11" t="s">
        <v>102</v>
      </c>
      <c r="E6169" s="11">
        <v>28.0</v>
      </c>
      <c r="F6169" s="21" t="s">
        <v>762</v>
      </c>
      <c r="G6169" s="15">
        <v>0.03774423241241814</v>
      </c>
      <c r="H6169" s="11" t="s">
        <v>33</v>
      </c>
      <c r="I6169" s="16">
        <v>4.648</v>
      </c>
      <c r="J6169" s="11" t="s">
        <v>227</v>
      </c>
      <c r="K6169" s="11" t="s">
        <v>35</v>
      </c>
      <c r="L6169" s="11" t="s">
        <v>27</v>
      </c>
      <c r="M6169" s="11" t="s">
        <v>28</v>
      </c>
      <c r="N6169" s="11" t="s">
        <v>62</v>
      </c>
      <c r="O6169" s="11" t="s">
        <v>955</v>
      </c>
      <c r="P6169" s="11" t="s">
        <v>99</v>
      </c>
      <c r="Q6169" s="20">
        <v>40888.0</v>
      </c>
      <c r="R6169" s="17">
        <f t="shared" si="2"/>
        <v>12.75181343</v>
      </c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>
        <f t="shared" si="8"/>
        <v>1</v>
      </c>
      <c r="AF6169" s="19">
        <f t="shared" si="13"/>
        <v>2</v>
      </c>
      <c r="AG6169" s="9"/>
      <c r="AH6169" s="9"/>
      <c r="AI6169" s="9"/>
    </row>
    <row r="6170" ht="15.0" customHeight="1">
      <c r="A6170" s="11">
        <v>6169.0</v>
      </c>
      <c r="B6170" s="12">
        <f t="shared" ref="B6170:B6179" si="991">DATE(2012,12,31)-387</f>
        <v>40887</v>
      </c>
      <c r="C6170" s="13">
        <v>2011.0</v>
      </c>
      <c r="D6170" s="11" t="s">
        <v>23</v>
      </c>
      <c r="E6170" s="11">
        <v>14.0</v>
      </c>
      <c r="F6170" s="21" t="s">
        <v>1573</v>
      </c>
      <c r="G6170" s="15">
        <v>0.08927981109799288</v>
      </c>
      <c r="H6170" s="11" t="s">
        <v>33</v>
      </c>
      <c r="I6170" s="16">
        <v>4.752000000000001</v>
      </c>
      <c r="J6170" s="11" t="s">
        <v>2529</v>
      </c>
      <c r="K6170" s="11" t="s">
        <v>26</v>
      </c>
      <c r="L6170" s="11" t="s">
        <v>36</v>
      </c>
      <c r="M6170" s="11" t="s">
        <v>28</v>
      </c>
      <c r="N6170" s="11" t="s">
        <v>197</v>
      </c>
      <c r="O6170" s="11" t="s">
        <v>1574</v>
      </c>
      <c r="P6170" s="11" t="s">
        <v>75</v>
      </c>
      <c r="Q6170" s="20">
        <v>40888.0</v>
      </c>
      <c r="R6170" s="17">
        <f t="shared" si="2"/>
        <v>27.54746427</v>
      </c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>
        <f t="shared" si="8"/>
        <v>2</v>
      </c>
      <c r="AF6170" s="19">
        <f t="shared" si="13"/>
        <v>1</v>
      </c>
      <c r="AG6170" s="9"/>
      <c r="AH6170" s="9"/>
      <c r="AI6170" s="9"/>
    </row>
    <row r="6171" ht="15.0" customHeight="1">
      <c r="A6171" s="11">
        <v>6170.0</v>
      </c>
      <c r="B6171" s="12">
        <f t="shared" si="991"/>
        <v>40887</v>
      </c>
      <c r="C6171" s="13">
        <v>2011.0</v>
      </c>
      <c r="D6171" s="11" t="s">
        <v>44</v>
      </c>
      <c r="E6171" s="11">
        <v>45.0</v>
      </c>
      <c r="F6171" s="21" t="s">
        <v>397</v>
      </c>
      <c r="G6171" s="15">
        <v>0.02745113681691274</v>
      </c>
      <c r="H6171" s="11" t="s">
        <v>45</v>
      </c>
      <c r="I6171" s="16">
        <v>36.408</v>
      </c>
      <c r="J6171" s="11" t="s">
        <v>152</v>
      </c>
      <c r="K6171" s="11" t="s">
        <v>61</v>
      </c>
      <c r="L6171" s="11" t="s">
        <v>27</v>
      </c>
      <c r="M6171" s="11" t="s">
        <v>49</v>
      </c>
      <c r="N6171" s="11" t="s">
        <v>85</v>
      </c>
      <c r="O6171" s="11" t="s">
        <v>399</v>
      </c>
      <c r="P6171" s="11" t="s">
        <v>87</v>
      </c>
      <c r="Q6171" s="20">
        <v>40888.0</v>
      </c>
      <c r="R6171" s="17">
        <f t="shared" si="2"/>
        <v>40.15848766</v>
      </c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>
        <f t="shared" si="8"/>
        <v>1</v>
      </c>
      <c r="AF6171" s="19">
        <f t="shared" si="13"/>
        <v>4</v>
      </c>
      <c r="AG6171" s="9"/>
      <c r="AH6171" s="9"/>
      <c r="AI6171" s="9"/>
    </row>
    <row r="6172" ht="15.0" customHeight="1">
      <c r="A6172" s="11">
        <v>6171.0</v>
      </c>
      <c r="B6172" s="12">
        <f t="shared" si="991"/>
        <v>40887</v>
      </c>
      <c r="C6172" s="13">
        <v>2011.0</v>
      </c>
      <c r="D6172" s="11" t="s">
        <v>23</v>
      </c>
      <c r="E6172" s="11">
        <v>15.0</v>
      </c>
      <c r="F6172" s="21" t="s">
        <v>369</v>
      </c>
      <c r="G6172" s="15">
        <v>0.028066465256797523</v>
      </c>
      <c r="H6172" s="11" t="s">
        <v>45</v>
      </c>
      <c r="I6172" s="16">
        <v>29.288</v>
      </c>
      <c r="J6172" s="11" t="s">
        <v>1877</v>
      </c>
      <c r="K6172" s="11" t="s">
        <v>26</v>
      </c>
      <c r="L6172" s="11" t="s">
        <v>41</v>
      </c>
      <c r="M6172" s="11" t="s">
        <v>49</v>
      </c>
      <c r="N6172" s="11" t="s">
        <v>156</v>
      </c>
      <c r="O6172" s="11" t="s">
        <v>1885</v>
      </c>
      <c r="P6172" s="11" t="s">
        <v>87</v>
      </c>
      <c r="Q6172" s="20">
        <v>40888.0</v>
      </c>
      <c r="R6172" s="17">
        <f t="shared" si="2"/>
        <v>25.28193511</v>
      </c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>
        <f t="shared" si="8"/>
        <v>3</v>
      </c>
      <c r="AF6172" s="19">
        <f t="shared" si="13"/>
        <v>1</v>
      </c>
      <c r="AG6172" s="9"/>
      <c r="AH6172" s="9"/>
      <c r="AI6172" s="9"/>
    </row>
    <row r="6173" ht="15.0" customHeight="1">
      <c r="A6173" s="11">
        <v>6172.0</v>
      </c>
      <c r="B6173" s="12">
        <f t="shared" si="991"/>
        <v>40887</v>
      </c>
      <c r="C6173" s="13">
        <v>2011.0</v>
      </c>
      <c r="D6173" s="11" t="s">
        <v>32</v>
      </c>
      <c r="E6173" s="11">
        <v>23.0</v>
      </c>
      <c r="F6173" s="21" t="s">
        <v>261</v>
      </c>
      <c r="G6173" s="15">
        <v>0.05750646205435118</v>
      </c>
      <c r="H6173" s="11" t="s">
        <v>45</v>
      </c>
      <c r="I6173" s="16">
        <v>24.0</v>
      </c>
      <c r="J6173" s="11" t="s">
        <v>1876</v>
      </c>
      <c r="K6173" s="11" t="s">
        <v>61</v>
      </c>
      <c r="L6173" s="11" t="s">
        <v>27</v>
      </c>
      <c r="M6173" s="11" t="s">
        <v>49</v>
      </c>
      <c r="N6173" s="11" t="s">
        <v>50</v>
      </c>
      <c r="O6173" s="11" t="s">
        <v>92</v>
      </c>
      <c r="P6173" s="11" t="s">
        <v>52</v>
      </c>
      <c r="Q6173" s="20">
        <v>40888.0</v>
      </c>
      <c r="R6173" s="17">
        <f t="shared" si="2"/>
        <v>465.4975584</v>
      </c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>
        <f t="shared" si="8"/>
        <v>1</v>
      </c>
      <c r="AF6173" s="19">
        <f t="shared" si="13"/>
        <v>4</v>
      </c>
      <c r="AG6173" s="9"/>
      <c r="AH6173" s="9"/>
      <c r="AI6173" s="9"/>
    </row>
    <row r="6174" ht="15.0" customHeight="1">
      <c r="A6174" s="11">
        <v>6173.0</v>
      </c>
      <c r="B6174" s="12">
        <f t="shared" si="991"/>
        <v>40887</v>
      </c>
      <c r="C6174" s="13">
        <v>2011.0</v>
      </c>
      <c r="D6174" s="11" t="s">
        <v>23</v>
      </c>
      <c r="E6174" s="11">
        <v>20.0</v>
      </c>
      <c r="F6174" s="21" t="s">
        <v>1084</v>
      </c>
      <c r="G6174" s="15">
        <v>0.09077912794853468</v>
      </c>
      <c r="H6174" s="11" t="s">
        <v>33</v>
      </c>
      <c r="I6174" s="16">
        <v>39.2</v>
      </c>
      <c r="J6174" s="11" t="s">
        <v>617</v>
      </c>
      <c r="K6174" s="11" t="s">
        <v>61</v>
      </c>
      <c r="L6174" s="11" t="s">
        <v>27</v>
      </c>
      <c r="M6174" s="11" t="s">
        <v>28</v>
      </c>
      <c r="N6174" s="11" t="s">
        <v>197</v>
      </c>
      <c r="O6174" s="11" t="s">
        <v>1096</v>
      </c>
      <c r="P6174" s="11" t="s">
        <v>31</v>
      </c>
      <c r="Q6174" s="20">
        <v>40889.0</v>
      </c>
      <c r="R6174" s="17">
        <f t="shared" si="2"/>
        <v>11.54710508</v>
      </c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>
        <f t="shared" si="8"/>
        <v>1</v>
      </c>
      <c r="AF6174" s="19">
        <f t="shared" si="13"/>
        <v>4</v>
      </c>
      <c r="AG6174" s="9"/>
      <c r="AH6174" s="9"/>
      <c r="AI6174" s="9"/>
    </row>
    <row r="6175" ht="15.0" customHeight="1">
      <c r="A6175" s="11">
        <v>6174.0</v>
      </c>
      <c r="B6175" s="12">
        <f t="shared" si="991"/>
        <v>40887</v>
      </c>
      <c r="C6175" s="13">
        <v>2011.0</v>
      </c>
      <c r="D6175" s="11" t="s">
        <v>23</v>
      </c>
      <c r="E6175" s="11">
        <v>45.0</v>
      </c>
      <c r="F6175" s="21" t="s">
        <v>766</v>
      </c>
      <c r="G6175" s="15">
        <v>0.021183285064129087</v>
      </c>
      <c r="H6175" s="11" t="s">
        <v>45</v>
      </c>
      <c r="I6175" s="16">
        <v>24.0</v>
      </c>
      <c r="J6175" s="11" t="s">
        <v>617</v>
      </c>
      <c r="K6175" s="11" t="s">
        <v>61</v>
      </c>
      <c r="L6175" s="11" t="s">
        <v>27</v>
      </c>
      <c r="M6175" s="11" t="s">
        <v>49</v>
      </c>
      <c r="N6175" s="11" t="s">
        <v>50</v>
      </c>
      <c r="O6175" s="11" t="s">
        <v>1150</v>
      </c>
      <c r="P6175" s="11" t="s">
        <v>52</v>
      </c>
      <c r="Q6175" s="20">
        <v>40889.0</v>
      </c>
      <c r="R6175" s="17">
        <f t="shared" si="2"/>
        <v>125.2885395</v>
      </c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>
        <f t="shared" si="8"/>
        <v>1</v>
      </c>
      <c r="AF6175" s="19">
        <f t="shared" si="13"/>
        <v>4</v>
      </c>
      <c r="AG6175" s="9"/>
      <c r="AH6175" s="9"/>
      <c r="AI6175" s="9"/>
    </row>
    <row r="6176" ht="15.0" customHeight="1">
      <c r="A6176" s="11">
        <v>6175.0</v>
      </c>
      <c r="B6176" s="12">
        <f t="shared" si="991"/>
        <v>40887</v>
      </c>
      <c r="C6176" s="13">
        <v>2011.0</v>
      </c>
      <c r="D6176" s="11" t="s">
        <v>23</v>
      </c>
      <c r="E6176" s="11">
        <v>4.0</v>
      </c>
      <c r="F6176" s="21" t="s">
        <v>183</v>
      </c>
      <c r="G6176" s="15">
        <v>0.10299869621903528</v>
      </c>
      <c r="H6176" s="11" t="s">
        <v>33</v>
      </c>
      <c r="I6176" s="16">
        <v>5.2</v>
      </c>
      <c r="J6176" s="11" t="s">
        <v>617</v>
      </c>
      <c r="K6176" s="11" t="s">
        <v>61</v>
      </c>
      <c r="L6176" s="11" t="s">
        <v>27</v>
      </c>
      <c r="M6176" s="11" t="s">
        <v>66</v>
      </c>
      <c r="N6176" s="11" t="s">
        <v>67</v>
      </c>
      <c r="O6176" s="11" t="s">
        <v>941</v>
      </c>
      <c r="P6176" s="11" t="s">
        <v>38</v>
      </c>
      <c r="Q6176" s="20">
        <v>40889.0</v>
      </c>
      <c r="R6176" s="17">
        <f t="shared" si="2"/>
        <v>7.0863103</v>
      </c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>
        <f t="shared" si="8"/>
        <v>1</v>
      </c>
      <c r="AF6176" s="19">
        <f t="shared" si="13"/>
        <v>4</v>
      </c>
      <c r="AG6176" s="9"/>
      <c r="AH6176" s="9"/>
      <c r="AI6176" s="9"/>
    </row>
    <row r="6177" ht="15.0" customHeight="1">
      <c r="A6177" s="11">
        <v>6176.0</v>
      </c>
      <c r="B6177" s="12">
        <f t="shared" si="991"/>
        <v>40887</v>
      </c>
      <c r="C6177" s="13">
        <v>2011.0</v>
      </c>
      <c r="D6177" s="11" t="s">
        <v>32</v>
      </c>
      <c r="E6177" s="11">
        <v>32.0</v>
      </c>
      <c r="F6177" s="21" t="s">
        <v>2425</v>
      </c>
      <c r="G6177" s="15">
        <v>0.03558984724123047</v>
      </c>
      <c r="H6177" s="11" t="s">
        <v>45</v>
      </c>
      <c r="I6177" s="16">
        <v>51.36000000000001</v>
      </c>
      <c r="J6177" s="11" t="s">
        <v>1332</v>
      </c>
      <c r="K6177" s="11" t="s">
        <v>35</v>
      </c>
      <c r="L6177" s="11" t="s">
        <v>41</v>
      </c>
      <c r="M6177" s="11" t="s">
        <v>49</v>
      </c>
      <c r="N6177" s="11" t="s">
        <v>50</v>
      </c>
      <c r="O6177" s="11" t="s">
        <v>2426</v>
      </c>
      <c r="P6177" s="11" t="s">
        <v>52</v>
      </c>
      <c r="Q6177" s="20">
        <v>40889.0</v>
      </c>
      <c r="R6177" s="17">
        <f t="shared" si="2"/>
        <v>248.5082438</v>
      </c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>
        <f t="shared" si="8"/>
        <v>3</v>
      </c>
      <c r="AF6177" s="19">
        <f t="shared" si="13"/>
        <v>2</v>
      </c>
      <c r="AG6177" s="9"/>
      <c r="AH6177" s="9"/>
      <c r="AI6177" s="9"/>
    </row>
    <row r="6178" ht="15.0" customHeight="1">
      <c r="A6178" s="11">
        <v>6177.0</v>
      </c>
      <c r="B6178" s="12">
        <f t="shared" si="991"/>
        <v>40887</v>
      </c>
      <c r="C6178" s="13">
        <v>2011.0</v>
      </c>
      <c r="D6178" s="11" t="s">
        <v>39</v>
      </c>
      <c r="E6178" s="11">
        <v>31.0</v>
      </c>
      <c r="F6178" s="21" t="s">
        <v>103</v>
      </c>
      <c r="G6178" s="15">
        <v>0.03767728674203491</v>
      </c>
      <c r="H6178" s="11" t="s">
        <v>33</v>
      </c>
      <c r="I6178" s="16">
        <v>4.368</v>
      </c>
      <c r="J6178" s="11" t="s">
        <v>1440</v>
      </c>
      <c r="K6178" s="11" t="s">
        <v>26</v>
      </c>
      <c r="L6178" s="11" t="s">
        <v>27</v>
      </c>
      <c r="M6178" s="11" t="s">
        <v>28</v>
      </c>
      <c r="N6178" s="11" t="s">
        <v>56</v>
      </c>
      <c r="O6178" s="11" t="s">
        <v>693</v>
      </c>
      <c r="P6178" s="11" t="s">
        <v>38</v>
      </c>
      <c r="Q6178" s="20">
        <v>40889.0</v>
      </c>
      <c r="R6178" s="17">
        <f t="shared" si="2"/>
        <v>7.055750134</v>
      </c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>
        <f t="shared" si="8"/>
        <v>1</v>
      </c>
      <c r="AF6178" s="19">
        <f t="shared" si="13"/>
        <v>1</v>
      </c>
      <c r="AG6178" s="9"/>
      <c r="AH6178" s="9"/>
      <c r="AI6178" s="9"/>
    </row>
    <row r="6179" ht="15.0" customHeight="1">
      <c r="A6179" s="11">
        <v>6178.0</v>
      </c>
      <c r="B6179" s="12">
        <f t="shared" si="991"/>
        <v>40887</v>
      </c>
      <c r="C6179" s="13">
        <v>2011.0</v>
      </c>
      <c r="D6179" s="11" t="s">
        <v>23</v>
      </c>
      <c r="E6179" s="11">
        <v>6.0</v>
      </c>
      <c r="F6179" s="21" t="s">
        <v>135</v>
      </c>
      <c r="G6179" s="15">
        <v>0.042450765864332864</v>
      </c>
      <c r="H6179" s="11" t="s">
        <v>33</v>
      </c>
      <c r="I6179" s="16">
        <v>4.16</v>
      </c>
      <c r="J6179" s="11" t="s">
        <v>1620</v>
      </c>
      <c r="K6179" s="11" t="s">
        <v>65</v>
      </c>
      <c r="L6179" s="11" t="s">
        <v>48</v>
      </c>
      <c r="M6179" s="11" t="s">
        <v>28</v>
      </c>
      <c r="N6179" s="11" t="s">
        <v>56</v>
      </c>
      <c r="O6179" s="11" t="s">
        <v>1237</v>
      </c>
      <c r="P6179" s="11" t="s">
        <v>38</v>
      </c>
      <c r="Q6179" s="20">
        <v>40889.0</v>
      </c>
      <c r="R6179" s="17">
        <f t="shared" si="2"/>
        <v>1.857645514</v>
      </c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>
        <f t="shared" si="8"/>
        <v>4</v>
      </c>
      <c r="AF6179" s="19">
        <f t="shared" si="13"/>
        <v>5</v>
      </c>
      <c r="AG6179" s="9"/>
      <c r="AH6179" s="9"/>
      <c r="AI6179" s="9"/>
    </row>
    <row r="6180" ht="15.0" customHeight="1">
      <c r="A6180" s="11">
        <v>6179.0</v>
      </c>
      <c r="B6180" s="12">
        <f t="shared" ref="B6180:B6186" si="992">DATE(2012,12,31)-386</f>
        <v>40888</v>
      </c>
      <c r="C6180" s="13">
        <v>2011.0</v>
      </c>
      <c r="D6180" s="11" t="s">
        <v>32</v>
      </c>
      <c r="E6180" s="11">
        <v>25.0</v>
      </c>
      <c r="F6180" s="21" t="s">
        <v>1479</v>
      </c>
      <c r="G6180" s="15">
        <v>0.03999999999999992</v>
      </c>
      <c r="H6180" s="11" t="s">
        <v>33</v>
      </c>
      <c r="I6180" s="16">
        <v>3.6</v>
      </c>
      <c r="J6180" s="11" t="s">
        <v>1417</v>
      </c>
      <c r="K6180" s="11" t="s">
        <v>47</v>
      </c>
      <c r="L6180" s="11" t="s">
        <v>48</v>
      </c>
      <c r="M6180" s="11" t="s">
        <v>28</v>
      </c>
      <c r="N6180" s="11" t="s">
        <v>197</v>
      </c>
      <c r="O6180" s="11" t="s">
        <v>1480</v>
      </c>
      <c r="P6180" s="11" t="s">
        <v>38</v>
      </c>
      <c r="Q6180" s="20">
        <v>40889.0</v>
      </c>
      <c r="R6180" s="17">
        <f t="shared" si="2"/>
        <v>10.944</v>
      </c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>
        <f t="shared" si="8"/>
        <v>4</v>
      </c>
      <c r="AF6180" s="19">
        <f t="shared" si="13"/>
        <v>3</v>
      </c>
      <c r="AG6180" s="9"/>
      <c r="AH6180" s="9"/>
      <c r="AI6180" s="9"/>
    </row>
    <row r="6181" ht="15.0" customHeight="1">
      <c r="A6181" s="11">
        <v>6180.0</v>
      </c>
      <c r="B6181" s="12">
        <f t="shared" si="992"/>
        <v>40888</v>
      </c>
      <c r="C6181" s="13">
        <v>2011.0</v>
      </c>
      <c r="D6181" s="11" t="s">
        <v>32</v>
      </c>
      <c r="E6181" s="11">
        <v>26.0</v>
      </c>
      <c r="F6181" s="21" t="s">
        <v>743</v>
      </c>
      <c r="G6181" s="15">
        <v>0.06111865593279679</v>
      </c>
      <c r="H6181" s="11" t="s">
        <v>33</v>
      </c>
      <c r="I6181" s="16">
        <v>17.791999999999998</v>
      </c>
      <c r="J6181" s="11" t="s">
        <v>1417</v>
      </c>
      <c r="K6181" s="11" t="s">
        <v>47</v>
      </c>
      <c r="L6181" s="11" t="s">
        <v>48</v>
      </c>
      <c r="M6181" s="11" t="s">
        <v>49</v>
      </c>
      <c r="N6181" s="11" t="s">
        <v>73</v>
      </c>
      <c r="O6181" s="11" t="s">
        <v>745</v>
      </c>
      <c r="P6181" s="11" t="s">
        <v>31</v>
      </c>
      <c r="Q6181" s="20">
        <v>40889.0</v>
      </c>
      <c r="R6181" s="17">
        <f t="shared" si="2"/>
        <v>81.97185239</v>
      </c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>
        <f t="shared" si="8"/>
        <v>4</v>
      </c>
      <c r="AF6181" s="19">
        <f t="shared" si="13"/>
        <v>3</v>
      </c>
      <c r="AG6181" s="9"/>
      <c r="AH6181" s="9"/>
      <c r="AI6181" s="9"/>
    </row>
    <row r="6182" ht="15.0" customHeight="1">
      <c r="A6182" s="11">
        <v>6181.0</v>
      </c>
      <c r="B6182" s="12">
        <f t="shared" si="992"/>
        <v>40888</v>
      </c>
      <c r="C6182" s="13">
        <v>2011.0</v>
      </c>
      <c r="D6182" s="11" t="s">
        <v>39</v>
      </c>
      <c r="E6182" s="11">
        <v>43.0</v>
      </c>
      <c r="F6182" s="21" t="s">
        <v>740</v>
      </c>
      <c r="G6182" s="15">
        <v>0.0743919112178937</v>
      </c>
      <c r="H6182" s="11" t="s">
        <v>33</v>
      </c>
      <c r="I6182" s="16">
        <v>5.744</v>
      </c>
      <c r="J6182" s="11" t="s">
        <v>2131</v>
      </c>
      <c r="K6182" s="11" t="s">
        <v>26</v>
      </c>
      <c r="L6182" s="11" t="s">
        <v>48</v>
      </c>
      <c r="M6182" s="11" t="s">
        <v>66</v>
      </c>
      <c r="N6182" s="11" t="s">
        <v>67</v>
      </c>
      <c r="O6182" s="11" t="s">
        <v>1147</v>
      </c>
      <c r="P6182" s="11" t="s">
        <v>38</v>
      </c>
      <c r="Q6182" s="20">
        <v>40889.0</v>
      </c>
      <c r="R6182" s="17">
        <f t="shared" si="2"/>
        <v>962.9619288</v>
      </c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>
        <f t="shared" si="8"/>
        <v>4</v>
      </c>
      <c r="AF6182" s="19">
        <f t="shared" si="13"/>
        <v>1</v>
      </c>
      <c r="AG6182" s="9"/>
      <c r="AH6182" s="9"/>
      <c r="AI6182" s="9"/>
    </row>
    <row r="6183" ht="15.0" customHeight="1">
      <c r="A6183" s="11">
        <v>6182.0</v>
      </c>
      <c r="B6183" s="12">
        <f t="shared" si="992"/>
        <v>40888</v>
      </c>
      <c r="C6183" s="13">
        <v>2011.0</v>
      </c>
      <c r="D6183" s="11" t="s">
        <v>39</v>
      </c>
      <c r="E6183" s="11">
        <v>28.0</v>
      </c>
      <c r="F6183" s="21" t="s">
        <v>126</v>
      </c>
      <c r="G6183" s="15">
        <v>0.0169840166782487</v>
      </c>
      <c r="H6183" s="11" t="s">
        <v>33</v>
      </c>
      <c r="I6183" s="16">
        <v>4.256</v>
      </c>
      <c r="J6183" s="11" t="s">
        <v>2131</v>
      </c>
      <c r="K6183" s="11" t="s">
        <v>26</v>
      </c>
      <c r="L6183" s="11" t="s">
        <v>48</v>
      </c>
      <c r="M6183" s="11" t="s">
        <v>49</v>
      </c>
      <c r="N6183" s="11" t="s">
        <v>73</v>
      </c>
      <c r="O6183" s="11" t="s">
        <v>2580</v>
      </c>
      <c r="P6183" s="11" t="s">
        <v>38</v>
      </c>
      <c r="Q6183" s="20">
        <v>40890.0</v>
      </c>
      <c r="R6183" s="17">
        <f t="shared" si="2"/>
        <v>2.402491063</v>
      </c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>
        <f t="shared" si="8"/>
        <v>4</v>
      </c>
      <c r="AF6183" s="19">
        <f t="shared" si="13"/>
        <v>1</v>
      </c>
      <c r="AG6183" s="9"/>
      <c r="AH6183" s="9"/>
      <c r="AI6183" s="9"/>
    </row>
    <row r="6184" ht="15.0" customHeight="1">
      <c r="A6184" s="11">
        <v>6183.0</v>
      </c>
      <c r="B6184" s="12">
        <f t="shared" si="992"/>
        <v>40888</v>
      </c>
      <c r="C6184" s="13">
        <v>2011.0</v>
      </c>
      <c r="D6184" s="11" t="s">
        <v>39</v>
      </c>
      <c r="E6184" s="11">
        <v>38.0</v>
      </c>
      <c r="F6184" s="21" t="s">
        <v>1904</v>
      </c>
      <c r="G6184" s="15">
        <v>0.030074595863812843</v>
      </c>
      <c r="H6184" s="11" t="s">
        <v>33</v>
      </c>
      <c r="I6184" s="16">
        <v>19.592</v>
      </c>
      <c r="J6184" s="11" t="s">
        <v>1858</v>
      </c>
      <c r="K6184" s="11" t="s">
        <v>61</v>
      </c>
      <c r="L6184" s="11" t="s">
        <v>41</v>
      </c>
      <c r="M6184" s="11" t="s">
        <v>49</v>
      </c>
      <c r="N6184" s="11" t="s">
        <v>50</v>
      </c>
      <c r="O6184" s="11" t="s">
        <v>2054</v>
      </c>
      <c r="P6184" s="11" t="s">
        <v>31</v>
      </c>
      <c r="Q6184" s="20">
        <v>40890.0</v>
      </c>
      <c r="R6184" s="17">
        <f t="shared" si="2"/>
        <v>161.5003392</v>
      </c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>
        <f t="shared" si="8"/>
        <v>3</v>
      </c>
      <c r="AF6184" s="19">
        <f t="shared" si="13"/>
        <v>4</v>
      </c>
      <c r="AG6184" s="9"/>
      <c r="AH6184" s="9"/>
      <c r="AI6184" s="9"/>
    </row>
    <row r="6185" ht="15.0" customHeight="1">
      <c r="A6185" s="11">
        <v>6184.0</v>
      </c>
      <c r="B6185" s="12">
        <f t="shared" si="992"/>
        <v>40888</v>
      </c>
      <c r="C6185" s="13">
        <v>2011.0</v>
      </c>
      <c r="D6185" s="11" t="s">
        <v>39</v>
      </c>
      <c r="E6185" s="11">
        <v>36.0</v>
      </c>
      <c r="F6185" s="21" t="s">
        <v>158</v>
      </c>
      <c r="G6185" s="15">
        <v>0.054714859437750986</v>
      </c>
      <c r="H6185" s="11" t="s">
        <v>33</v>
      </c>
      <c r="I6185" s="16">
        <v>4.976</v>
      </c>
      <c r="J6185" s="11" t="s">
        <v>1858</v>
      </c>
      <c r="K6185" s="11" t="s">
        <v>61</v>
      </c>
      <c r="L6185" s="11" t="s">
        <v>41</v>
      </c>
      <c r="M6185" s="11" t="s">
        <v>28</v>
      </c>
      <c r="N6185" s="11" t="s">
        <v>56</v>
      </c>
      <c r="O6185" s="11" t="s">
        <v>1216</v>
      </c>
      <c r="P6185" s="11" t="s">
        <v>38</v>
      </c>
      <c r="Q6185" s="20">
        <v>40890.0</v>
      </c>
      <c r="R6185" s="17">
        <f t="shared" si="2"/>
        <v>12.87856476</v>
      </c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>
        <f t="shared" si="8"/>
        <v>3</v>
      </c>
      <c r="AF6185" s="19">
        <f t="shared" si="13"/>
        <v>4</v>
      </c>
      <c r="AG6185" s="9"/>
      <c r="AH6185" s="9"/>
      <c r="AI6185" s="9"/>
    </row>
    <row r="6186" ht="15.0" customHeight="1">
      <c r="A6186" s="11">
        <v>6185.0</v>
      </c>
      <c r="B6186" s="12">
        <f t="shared" si="992"/>
        <v>40888</v>
      </c>
      <c r="C6186" s="13">
        <v>2011.0</v>
      </c>
      <c r="D6186" s="11" t="s">
        <v>39</v>
      </c>
      <c r="E6186" s="11">
        <v>33.0</v>
      </c>
      <c r="F6186" s="21" t="s">
        <v>284</v>
      </c>
      <c r="G6186" s="15">
        <v>0.08904953145917002</v>
      </c>
      <c r="H6186" s="11" t="s">
        <v>33</v>
      </c>
      <c r="I6186" s="16">
        <v>2.048</v>
      </c>
      <c r="J6186" s="11" t="s">
        <v>1858</v>
      </c>
      <c r="K6186" s="11" t="s">
        <v>61</v>
      </c>
      <c r="L6186" s="11" t="s">
        <v>41</v>
      </c>
      <c r="M6186" s="11" t="s">
        <v>28</v>
      </c>
      <c r="N6186" s="11" t="s">
        <v>442</v>
      </c>
      <c r="O6186" s="11" t="s">
        <v>692</v>
      </c>
      <c r="P6186" s="11" t="s">
        <v>99</v>
      </c>
      <c r="Q6186" s="20">
        <v>40890.0</v>
      </c>
      <c r="R6186" s="17">
        <f t="shared" si="2"/>
        <v>6.059642517</v>
      </c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>
        <f t="shared" si="8"/>
        <v>3</v>
      </c>
      <c r="AF6186" s="19">
        <f t="shared" si="13"/>
        <v>4</v>
      </c>
      <c r="AG6186" s="9"/>
      <c r="AH6186" s="9"/>
      <c r="AI6186" s="9"/>
    </row>
    <row r="6187" ht="15.0" customHeight="1">
      <c r="A6187" s="11">
        <v>6186.0</v>
      </c>
      <c r="B6187" s="12">
        <f t="shared" ref="B6187:B6188" si="993">DATE(2012,12,31)-385</f>
        <v>40889</v>
      </c>
      <c r="C6187" s="13">
        <v>2011.0</v>
      </c>
      <c r="D6187" s="11" t="s">
        <v>102</v>
      </c>
      <c r="E6187" s="11">
        <v>22.0</v>
      </c>
      <c r="F6187" s="21" t="s">
        <v>1265</v>
      </c>
      <c r="G6187" s="15">
        <v>0.06011474183088058</v>
      </c>
      <c r="H6187" s="11" t="s">
        <v>24</v>
      </c>
      <c r="I6187" s="16">
        <v>5.0</v>
      </c>
      <c r="J6187" s="11" t="s">
        <v>2581</v>
      </c>
      <c r="K6187" s="11" t="s">
        <v>65</v>
      </c>
      <c r="L6187" s="11" t="s">
        <v>27</v>
      </c>
      <c r="M6187" s="11" t="s">
        <v>28</v>
      </c>
      <c r="N6187" s="11" t="s">
        <v>29</v>
      </c>
      <c r="O6187" s="11" t="s">
        <v>2019</v>
      </c>
      <c r="P6187" s="11" t="s">
        <v>38</v>
      </c>
      <c r="Q6187" s="20">
        <v>40891.0</v>
      </c>
      <c r="R6187" s="17">
        <f t="shared" si="2"/>
        <v>22.65123472</v>
      </c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>
        <f t="shared" si="8"/>
        <v>1</v>
      </c>
      <c r="AF6187" s="19">
        <f t="shared" si="13"/>
        <v>5</v>
      </c>
      <c r="AG6187" s="9"/>
      <c r="AH6187" s="9"/>
      <c r="AI6187" s="9"/>
    </row>
    <row r="6188" ht="15.0" customHeight="1">
      <c r="A6188" s="11">
        <v>6187.0</v>
      </c>
      <c r="B6188" s="12">
        <f t="shared" si="993"/>
        <v>40889</v>
      </c>
      <c r="C6188" s="13">
        <v>2011.0</v>
      </c>
      <c r="D6188" s="11" t="s">
        <v>102</v>
      </c>
      <c r="E6188" s="11">
        <v>16.0</v>
      </c>
      <c r="F6188" s="21" t="s">
        <v>948</v>
      </c>
      <c r="G6188" s="15">
        <v>0.028351383874849517</v>
      </c>
      <c r="H6188" s="11" t="s">
        <v>33</v>
      </c>
      <c r="I6188" s="16">
        <v>3.944</v>
      </c>
      <c r="J6188" s="11" t="s">
        <v>2581</v>
      </c>
      <c r="K6188" s="11" t="s">
        <v>65</v>
      </c>
      <c r="L6188" s="11" t="s">
        <v>27</v>
      </c>
      <c r="M6188" s="11" t="s">
        <v>66</v>
      </c>
      <c r="N6188" s="11" t="s">
        <v>67</v>
      </c>
      <c r="O6188" s="11" t="s">
        <v>1295</v>
      </c>
      <c r="P6188" s="11" t="s">
        <v>99</v>
      </c>
      <c r="Q6188" s="20">
        <v>40891.0</v>
      </c>
      <c r="R6188" s="17">
        <f t="shared" si="2"/>
        <v>2.28920414</v>
      </c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>
        <f t="shared" si="8"/>
        <v>1</v>
      </c>
      <c r="AF6188" s="19">
        <f t="shared" si="13"/>
        <v>5</v>
      </c>
      <c r="AG6188" s="9"/>
      <c r="AH6188" s="9"/>
      <c r="AI6188" s="9"/>
    </row>
    <row r="6189" ht="15.0" customHeight="1">
      <c r="A6189" s="11">
        <v>6188.0</v>
      </c>
      <c r="B6189" s="12">
        <f t="shared" ref="B6189:B6191" si="994">DATE(2012,12,31)-384</f>
        <v>40890</v>
      </c>
      <c r="C6189" s="13">
        <v>2011.0</v>
      </c>
      <c r="D6189" s="11" t="s">
        <v>23</v>
      </c>
      <c r="E6189" s="11">
        <v>13.0</v>
      </c>
      <c r="F6189" s="21" t="s">
        <v>154</v>
      </c>
      <c r="G6189" s="15">
        <v>0.039287118113924116</v>
      </c>
      <c r="H6189" s="11" t="s">
        <v>45</v>
      </c>
      <c r="I6189" s="16">
        <v>35.64</v>
      </c>
      <c r="J6189" s="11" t="s">
        <v>1979</v>
      </c>
      <c r="K6189" s="11" t="s">
        <v>61</v>
      </c>
      <c r="L6189" s="11" t="s">
        <v>48</v>
      </c>
      <c r="M6189" s="11" t="s">
        <v>49</v>
      </c>
      <c r="N6189" s="11" t="s">
        <v>156</v>
      </c>
      <c r="O6189" s="11" t="s">
        <v>157</v>
      </c>
      <c r="P6189" s="11" t="s">
        <v>87</v>
      </c>
      <c r="Q6189" s="20">
        <v>40892.0</v>
      </c>
      <c r="R6189" s="17">
        <f t="shared" si="2"/>
        <v>451.3044834</v>
      </c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>
        <f t="shared" si="8"/>
        <v>4</v>
      </c>
      <c r="AF6189" s="19">
        <f t="shared" si="13"/>
        <v>4</v>
      </c>
      <c r="AG6189" s="9"/>
      <c r="AH6189" s="9"/>
      <c r="AI6189" s="9"/>
    </row>
    <row r="6190" ht="15.0" customHeight="1">
      <c r="A6190" s="11">
        <v>6189.0</v>
      </c>
      <c r="B6190" s="12">
        <f t="shared" si="994"/>
        <v>40890</v>
      </c>
      <c r="C6190" s="13">
        <v>2011.0</v>
      </c>
      <c r="D6190" s="11" t="s">
        <v>23</v>
      </c>
      <c r="E6190" s="11">
        <v>4.0</v>
      </c>
      <c r="F6190" s="21" t="s">
        <v>1182</v>
      </c>
      <c r="G6190" s="15">
        <v>0.12515254237288137</v>
      </c>
      <c r="H6190" s="11" t="s">
        <v>33</v>
      </c>
      <c r="I6190" s="16">
        <v>4.208</v>
      </c>
      <c r="J6190" s="11" t="s">
        <v>1979</v>
      </c>
      <c r="K6190" s="11" t="s">
        <v>61</v>
      </c>
      <c r="L6190" s="11" t="s">
        <v>48</v>
      </c>
      <c r="M6190" s="11" t="s">
        <v>49</v>
      </c>
      <c r="N6190" s="11" t="s">
        <v>73</v>
      </c>
      <c r="O6190" s="11" t="s">
        <v>2582</v>
      </c>
      <c r="P6190" s="11" t="s">
        <v>99</v>
      </c>
      <c r="Q6190" s="20">
        <v>40892.0</v>
      </c>
      <c r="R6190" s="17">
        <f t="shared" si="2"/>
        <v>3.229936814</v>
      </c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>
        <f t="shared" si="8"/>
        <v>4</v>
      </c>
      <c r="AF6190" s="19">
        <f t="shared" si="13"/>
        <v>4</v>
      </c>
      <c r="AG6190" s="9"/>
      <c r="AH6190" s="9"/>
      <c r="AI6190" s="9"/>
    </row>
    <row r="6191" ht="15.0" customHeight="1">
      <c r="A6191" s="11">
        <v>6190.0</v>
      </c>
      <c r="B6191" s="12">
        <f t="shared" si="994"/>
        <v>40890</v>
      </c>
      <c r="C6191" s="13">
        <v>2011.0</v>
      </c>
      <c r="D6191" s="11" t="s">
        <v>23</v>
      </c>
      <c r="E6191" s="11">
        <v>29.0</v>
      </c>
      <c r="F6191" s="21" t="s">
        <v>158</v>
      </c>
      <c r="G6191" s="15">
        <v>0.030251762336354387</v>
      </c>
      <c r="H6191" s="11" t="s">
        <v>24</v>
      </c>
      <c r="I6191" s="16">
        <v>6.992000000000001</v>
      </c>
      <c r="J6191" s="11" t="s">
        <v>1979</v>
      </c>
      <c r="K6191" s="11" t="s">
        <v>61</v>
      </c>
      <c r="L6191" s="11" t="s">
        <v>48</v>
      </c>
      <c r="M6191" s="11" t="s">
        <v>28</v>
      </c>
      <c r="N6191" s="11" t="s">
        <v>56</v>
      </c>
      <c r="O6191" s="11" t="s">
        <v>2047</v>
      </c>
      <c r="P6191" s="11" t="s">
        <v>38</v>
      </c>
      <c r="Q6191" s="20">
        <v>40892.0</v>
      </c>
      <c r="R6191" s="17">
        <f t="shared" si="2"/>
        <v>5.826247412</v>
      </c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>
        <f t="shared" si="8"/>
        <v>4</v>
      </c>
      <c r="AF6191" s="19">
        <f t="shared" si="13"/>
        <v>4</v>
      </c>
      <c r="AG6191" s="9"/>
      <c r="AH6191" s="9"/>
      <c r="AI6191" s="9"/>
    </row>
    <row r="6192" ht="15.0" customHeight="1">
      <c r="A6192" s="11">
        <v>6191.0</v>
      </c>
      <c r="B6192" s="12">
        <f t="shared" ref="B6192:B6194" si="995">DATE(2012,12,31)-383</f>
        <v>40891</v>
      </c>
      <c r="C6192" s="13">
        <v>2011.0</v>
      </c>
      <c r="D6192" s="11" t="s">
        <v>44</v>
      </c>
      <c r="E6192" s="11">
        <v>2.0</v>
      </c>
      <c r="F6192" s="21" t="s">
        <v>1878</v>
      </c>
      <c r="G6192" s="15">
        <v>0.06940540540540535</v>
      </c>
      <c r="H6192" s="11" t="s">
        <v>33</v>
      </c>
      <c r="I6192" s="16">
        <v>4.216</v>
      </c>
      <c r="J6192" s="11" t="s">
        <v>690</v>
      </c>
      <c r="K6192" s="11" t="s">
        <v>61</v>
      </c>
      <c r="L6192" s="11" t="s">
        <v>48</v>
      </c>
      <c r="M6192" s="11" t="s">
        <v>28</v>
      </c>
      <c r="N6192" s="11" t="s">
        <v>42</v>
      </c>
      <c r="O6192" s="11" t="s">
        <v>1879</v>
      </c>
      <c r="P6192" s="11" t="s">
        <v>38</v>
      </c>
      <c r="Q6192" s="20">
        <v>40893.0</v>
      </c>
      <c r="R6192" s="17">
        <f t="shared" si="2"/>
        <v>1.194883459</v>
      </c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>
        <f t="shared" si="8"/>
        <v>4</v>
      </c>
      <c r="AF6192" s="19">
        <f t="shared" si="13"/>
        <v>4</v>
      </c>
      <c r="AG6192" s="9"/>
      <c r="AH6192" s="9"/>
      <c r="AI6192" s="9"/>
    </row>
    <row r="6193" ht="15.0" customHeight="1">
      <c r="A6193" s="11">
        <v>6192.0</v>
      </c>
      <c r="B6193" s="12">
        <f t="shared" si="995"/>
        <v>40891</v>
      </c>
      <c r="C6193" s="13">
        <v>2011.0</v>
      </c>
      <c r="D6193" s="11" t="s">
        <v>44</v>
      </c>
      <c r="E6193" s="11">
        <v>50.0</v>
      </c>
      <c r="F6193" s="21" t="s">
        <v>2011</v>
      </c>
      <c r="G6193" s="15">
        <v>0.010455241400428755</v>
      </c>
      <c r="H6193" s="11" t="s">
        <v>33</v>
      </c>
      <c r="I6193" s="16">
        <v>5.656000000000001</v>
      </c>
      <c r="J6193" s="11" t="s">
        <v>690</v>
      </c>
      <c r="K6193" s="11" t="s">
        <v>61</v>
      </c>
      <c r="L6193" s="11" t="s">
        <v>48</v>
      </c>
      <c r="M6193" s="11" t="s">
        <v>28</v>
      </c>
      <c r="N6193" s="11" t="s">
        <v>29</v>
      </c>
      <c r="O6193" s="11" t="s">
        <v>54</v>
      </c>
      <c r="P6193" s="11" t="s">
        <v>38</v>
      </c>
      <c r="Q6193" s="20">
        <v>40893.0</v>
      </c>
      <c r="R6193" s="17">
        <f t="shared" si="2"/>
        <v>81.0872557</v>
      </c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>
        <f t="shared" si="8"/>
        <v>4</v>
      </c>
      <c r="AF6193" s="19">
        <f t="shared" si="13"/>
        <v>4</v>
      </c>
      <c r="AG6193" s="9"/>
      <c r="AH6193" s="9"/>
      <c r="AI6193" s="9"/>
    </row>
    <row r="6194" ht="15.0" customHeight="1">
      <c r="A6194" s="11">
        <v>6193.0</v>
      </c>
      <c r="B6194" s="12">
        <f t="shared" si="995"/>
        <v>40891</v>
      </c>
      <c r="C6194" s="13">
        <v>2011.0</v>
      </c>
      <c r="D6194" s="11" t="s">
        <v>23</v>
      </c>
      <c r="E6194" s="11">
        <v>34.0</v>
      </c>
      <c r="F6194" s="21" t="s">
        <v>2195</v>
      </c>
      <c r="G6194" s="15">
        <v>0.09421370967741928</v>
      </c>
      <c r="H6194" s="11" t="s">
        <v>45</v>
      </c>
      <c r="I6194" s="16">
        <v>46.976</v>
      </c>
      <c r="J6194" s="11" t="s">
        <v>1929</v>
      </c>
      <c r="K6194" s="11" t="s">
        <v>83</v>
      </c>
      <c r="L6194" s="11" t="s">
        <v>48</v>
      </c>
      <c r="M6194" s="11" t="s">
        <v>49</v>
      </c>
      <c r="N6194" s="11" t="s">
        <v>156</v>
      </c>
      <c r="O6194" s="11" t="s">
        <v>2504</v>
      </c>
      <c r="P6194" s="11" t="s">
        <v>87</v>
      </c>
      <c r="Q6194" s="20">
        <v>40893.0</v>
      </c>
      <c r="R6194" s="17">
        <f t="shared" si="2"/>
        <v>372.4810615</v>
      </c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>
        <f t="shared" si="8"/>
        <v>4</v>
      </c>
      <c r="AF6194" s="19" t="b">
        <f t="shared" si="13"/>
        <v>0</v>
      </c>
      <c r="AG6194" s="9"/>
      <c r="AH6194" s="9"/>
      <c r="AI6194" s="9"/>
    </row>
    <row r="6195" ht="15.0" customHeight="1">
      <c r="A6195" s="11">
        <v>6194.0</v>
      </c>
      <c r="B6195" s="12">
        <f t="shared" ref="B6195:B6196" si="996">DATE(2012,12,31)-382</f>
        <v>40892</v>
      </c>
      <c r="C6195" s="13">
        <v>2011.0</v>
      </c>
      <c r="D6195" s="11" t="s">
        <v>32</v>
      </c>
      <c r="E6195" s="11">
        <v>39.0</v>
      </c>
      <c r="F6195" s="21" t="s">
        <v>1195</v>
      </c>
      <c r="G6195" s="15">
        <v>0.021831775700934565</v>
      </c>
      <c r="H6195" s="11" t="s">
        <v>24</v>
      </c>
      <c r="I6195" s="16">
        <v>6.5280000000000005</v>
      </c>
      <c r="J6195" s="11" t="s">
        <v>2012</v>
      </c>
      <c r="K6195" s="11" t="s">
        <v>61</v>
      </c>
      <c r="L6195" s="11" t="s">
        <v>41</v>
      </c>
      <c r="M6195" s="11" t="s">
        <v>28</v>
      </c>
      <c r="N6195" s="11" t="s">
        <v>56</v>
      </c>
      <c r="O6195" s="11" t="s">
        <v>2418</v>
      </c>
      <c r="P6195" s="11" t="s">
        <v>38</v>
      </c>
      <c r="Q6195" s="20">
        <v>40894.0</v>
      </c>
      <c r="R6195" s="17">
        <f t="shared" si="2"/>
        <v>4.570001944</v>
      </c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>
        <f t="shared" si="8"/>
        <v>3</v>
      </c>
      <c r="AF6195" s="19">
        <f t="shared" si="13"/>
        <v>4</v>
      </c>
      <c r="AG6195" s="9"/>
      <c r="AH6195" s="9"/>
      <c r="AI6195" s="9"/>
    </row>
    <row r="6196" ht="15.0" customHeight="1">
      <c r="A6196" s="11">
        <v>6195.0</v>
      </c>
      <c r="B6196" s="12">
        <f t="shared" si="996"/>
        <v>40892</v>
      </c>
      <c r="C6196" s="13">
        <v>2011.0</v>
      </c>
      <c r="D6196" s="11" t="s">
        <v>102</v>
      </c>
      <c r="E6196" s="11">
        <v>21.0</v>
      </c>
      <c r="F6196" s="21" t="s">
        <v>498</v>
      </c>
      <c r="G6196" s="15">
        <v>0.08111150505229568</v>
      </c>
      <c r="H6196" s="11" t="s">
        <v>45</v>
      </c>
      <c r="I6196" s="16">
        <v>59.48</v>
      </c>
      <c r="J6196" s="11" t="s">
        <v>1989</v>
      </c>
      <c r="K6196" s="11" t="s">
        <v>65</v>
      </c>
      <c r="L6196" s="11" t="s">
        <v>36</v>
      </c>
      <c r="M6196" s="11" t="s">
        <v>49</v>
      </c>
      <c r="N6196" s="11" t="s">
        <v>50</v>
      </c>
      <c r="O6196" s="11" t="s">
        <v>1959</v>
      </c>
      <c r="P6196" s="11" t="s">
        <v>52</v>
      </c>
      <c r="Q6196" s="20">
        <v>40894.0</v>
      </c>
      <c r="R6196" s="17">
        <f t="shared" si="2"/>
        <v>168.1749723</v>
      </c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>
        <f t="shared" si="8"/>
        <v>2</v>
      </c>
      <c r="AF6196" s="19">
        <f t="shared" si="13"/>
        <v>5</v>
      </c>
      <c r="AG6196" s="9"/>
      <c r="AH6196" s="9"/>
      <c r="AI6196" s="9"/>
    </row>
    <row r="6197" ht="15.0" customHeight="1">
      <c r="A6197" s="11">
        <v>6196.0</v>
      </c>
      <c r="B6197" s="12">
        <f t="shared" ref="B6197:B6204" si="997">DATE(2012,12,31)-381</f>
        <v>40893</v>
      </c>
      <c r="C6197" s="13">
        <v>2011.0</v>
      </c>
      <c r="D6197" s="11" t="s">
        <v>44</v>
      </c>
      <c r="E6197" s="11">
        <v>31.0</v>
      </c>
      <c r="F6197" s="21" t="s">
        <v>481</v>
      </c>
      <c r="G6197" s="15">
        <v>0.012920634920635013</v>
      </c>
      <c r="H6197" s="11" t="s">
        <v>24</v>
      </c>
      <c r="I6197" s="16">
        <v>7.192</v>
      </c>
      <c r="J6197" s="11" t="s">
        <v>2112</v>
      </c>
      <c r="K6197" s="11" t="s">
        <v>26</v>
      </c>
      <c r="L6197" s="11" t="s">
        <v>41</v>
      </c>
      <c r="M6197" s="11" t="s">
        <v>28</v>
      </c>
      <c r="N6197" s="11" t="s">
        <v>62</v>
      </c>
      <c r="O6197" s="11" t="s">
        <v>482</v>
      </c>
      <c r="P6197" s="11" t="s">
        <v>99</v>
      </c>
      <c r="Q6197" s="20">
        <v>40894.0</v>
      </c>
      <c r="R6197" s="17">
        <f t="shared" si="2"/>
        <v>17.67661727</v>
      </c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>
        <f t="shared" si="8"/>
        <v>3</v>
      </c>
      <c r="AF6197" s="19">
        <f t="shared" si="13"/>
        <v>1</v>
      </c>
      <c r="AG6197" s="9"/>
      <c r="AH6197" s="9"/>
      <c r="AI6197" s="9"/>
    </row>
    <row r="6198" ht="15.0" customHeight="1">
      <c r="A6198" s="11">
        <v>6197.0</v>
      </c>
      <c r="B6198" s="12">
        <f t="shared" si="997"/>
        <v>40893</v>
      </c>
      <c r="C6198" s="13">
        <v>2011.0</v>
      </c>
      <c r="D6198" s="11" t="s">
        <v>44</v>
      </c>
      <c r="E6198" s="11">
        <v>38.0</v>
      </c>
      <c r="F6198" s="21" t="s">
        <v>2575</v>
      </c>
      <c r="G6198" s="15">
        <v>0.03517890316597879</v>
      </c>
      <c r="H6198" s="11" t="s">
        <v>33</v>
      </c>
      <c r="I6198" s="16">
        <v>28.0</v>
      </c>
      <c r="J6198" s="11" t="s">
        <v>2112</v>
      </c>
      <c r="K6198" s="11" t="s">
        <v>26</v>
      </c>
      <c r="L6198" s="11" t="s">
        <v>41</v>
      </c>
      <c r="M6198" s="11" t="s">
        <v>28</v>
      </c>
      <c r="N6198" s="11" t="s">
        <v>29</v>
      </c>
      <c r="O6198" s="11" t="s">
        <v>2576</v>
      </c>
      <c r="P6198" s="11" t="s">
        <v>31</v>
      </c>
      <c r="Q6198" s="20">
        <v>40894.0</v>
      </c>
      <c r="R6198" s="17">
        <f t="shared" si="2"/>
        <v>181.853822</v>
      </c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>
        <f t="shared" si="8"/>
        <v>3</v>
      </c>
      <c r="AF6198" s="19">
        <f t="shared" si="13"/>
        <v>1</v>
      </c>
      <c r="AG6198" s="9"/>
      <c r="AH6198" s="9"/>
      <c r="AI6198" s="9"/>
    </row>
    <row r="6199" ht="15.0" customHeight="1">
      <c r="A6199" s="11">
        <v>6198.0</v>
      </c>
      <c r="B6199" s="12">
        <f t="shared" si="997"/>
        <v>40893</v>
      </c>
      <c r="C6199" s="13">
        <v>2011.0</v>
      </c>
      <c r="D6199" s="11" t="s">
        <v>44</v>
      </c>
      <c r="E6199" s="11">
        <v>41.0</v>
      </c>
      <c r="F6199" s="21" t="s">
        <v>569</v>
      </c>
      <c r="G6199" s="15">
        <v>0.02014658000317046</v>
      </c>
      <c r="H6199" s="11" t="s">
        <v>24</v>
      </c>
      <c r="I6199" s="16">
        <v>3.192</v>
      </c>
      <c r="J6199" s="11" t="s">
        <v>2112</v>
      </c>
      <c r="K6199" s="11" t="s">
        <v>26</v>
      </c>
      <c r="L6199" s="11" t="s">
        <v>41</v>
      </c>
      <c r="M6199" s="11" t="s">
        <v>66</v>
      </c>
      <c r="N6199" s="11" t="s">
        <v>80</v>
      </c>
      <c r="O6199" s="11" t="s">
        <v>570</v>
      </c>
      <c r="P6199" s="11" t="s">
        <v>38</v>
      </c>
      <c r="Q6199" s="20">
        <v>40894.0</v>
      </c>
      <c r="R6199" s="17">
        <f t="shared" si="2"/>
        <v>161.8796238</v>
      </c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>
        <f t="shared" si="8"/>
        <v>3</v>
      </c>
      <c r="AF6199" s="19">
        <f t="shared" si="13"/>
        <v>1</v>
      </c>
      <c r="AG6199" s="9"/>
      <c r="AH6199" s="9"/>
      <c r="AI6199" s="9"/>
    </row>
    <row r="6200" ht="15.0" customHeight="1">
      <c r="A6200" s="11">
        <v>6199.0</v>
      </c>
      <c r="B6200" s="12">
        <f t="shared" si="997"/>
        <v>40893</v>
      </c>
      <c r="C6200" s="13">
        <v>2011.0</v>
      </c>
      <c r="D6200" s="11" t="s">
        <v>102</v>
      </c>
      <c r="E6200" s="11">
        <v>49.0</v>
      </c>
      <c r="F6200" s="21" t="s">
        <v>402</v>
      </c>
      <c r="G6200" s="15">
        <v>0.08080971659919033</v>
      </c>
      <c r="H6200" s="11" t="s">
        <v>24</v>
      </c>
      <c r="I6200" s="16">
        <v>3.7680000000000002</v>
      </c>
      <c r="J6200" s="11" t="s">
        <v>769</v>
      </c>
      <c r="K6200" s="11" t="s">
        <v>35</v>
      </c>
      <c r="L6200" s="11" t="s">
        <v>48</v>
      </c>
      <c r="M6200" s="11" t="s">
        <v>28</v>
      </c>
      <c r="N6200" s="11" t="s">
        <v>42</v>
      </c>
      <c r="O6200" s="11" t="s">
        <v>404</v>
      </c>
      <c r="P6200" s="11" t="s">
        <v>38</v>
      </c>
      <c r="Q6200" s="20">
        <v>40894.0</v>
      </c>
      <c r="R6200" s="17">
        <f t="shared" si="2"/>
        <v>31.1899647</v>
      </c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>
        <f t="shared" si="8"/>
        <v>4</v>
      </c>
      <c r="AF6200" s="19">
        <f t="shared" si="13"/>
        <v>2</v>
      </c>
      <c r="AG6200" s="9"/>
      <c r="AH6200" s="9"/>
      <c r="AI6200" s="9"/>
    </row>
    <row r="6201" ht="15.0" customHeight="1">
      <c r="A6201" s="11">
        <v>6200.0</v>
      </c>
      <c r="B6201" s="12">
        <f t="shared" si="997"/>
        <v>40893</v>
      </c>
      <c r="C6201" s="13">
        <v>2011.0</v>
      </c>
      <c r="D6201" s="11" t="s">
        <v>102</v>
      </c>
      <c r="E6201" s="11">
        <v>22.0</v>
      </c>
      <c r="F6201" s="21" t="s">
        <v>1084</v>
      </c>
      <c r="G6201" s="15">
        <v>0.0774976657329597</v>
      </c>
      <c r="H6201" s="11" t="s">
        <v>33</v>
      </c>
      <c r="I6201" s="16">
        <v>2.0</v>
      </c>
      <c r="J6201" s="11" t="s">
        <v>769</v>
      </c>
      <c r="K6201" s="11" t="s">
        <v>35</v>
      </c>
      <c r="L6201" s="11" t="s">
        <v>48</v>
      </c>
      <c r="M6201" s="11" t="s">
        <v>28</v>
      </c>
      <c r="N6201" s="11" t="s">
        <v>236</v>
      </c>
      <c r="O6201" s="11" t="s">
        <v>1510</v>
      </c>
      <c r="P6201" s="11" t="s">
        <v>38</v>
      </c>
      <c r="Q6201" s="20">
        <v>40895.0</v>
      </c>
      <c r="R6201" s="17">
        <f t="shared" si="2"/>
        <v>7.656769374</v>
      </c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>
        <f t="shared" si="8"/>
        <v>4</v>
      </c>
      <c r="AF6201" s="19">
        <f t="shared" si="13"/>
        <v>2</v>
      </c>
      <c r="AG6201" s="9"/>
      <c r="AH6201" s="9"/>
      <c r="AI6201" s="9"/>
    </row>
    <row r="6202" ht="15.0" customHeight="1">
      <c r="A6202" s="11">
        <v>6201.0</v>
      </c>
      <c r="B6202" s="12">
        <f t="shared" si="997"/>
        <v>40893</v>
      </c>
      <c r="C6202" s="13">
        <v>2011.0</v>
      </c>
      <c r="D6202" s="11" t="s">
        <v>39</v>
      </c>
      <c r="E6202" s="11">
        <v>34.0</v>
      </c>
      <c r="F6202" s="21" t="s">
        <v>397</v>
      </c>
      <c r="G6202" s="15">
        <v>0.07465492899260864</v>
      </c>
      <c r="H6202" s="11" t="s">
        <v>45</v>
      </c>
      <c r="I6202" s="16">
        <v>36.408</v>
      </c>
      <c r="J6202" s="11" t="s">
        <v>588</v>
      </c>
      <c r="K6202" s="11" t="s">
        <v>47</v>
      </c>
      <c r="L6202" s="11" t="s">
        <v>27</v>
      </c>
      <c r="M6202" s="11" t="s">
        <v>49</v>
      </c>
      <c r="N6202" s="11" t="s">
        <v>85</v>
      </c>
      <c r="O6202" s="11" t="s">
        <v>399</v>
      </c>
      <c r="P6202" s="11" t="s">
        <v>87</v>
      </c>
      <c r="Q6202" s="20">
        <v>40895.0</v>
      </c>
      <c r="R6202" s="17">
        <f t="shared" si="2"/>
        <v>83.18111912</v>
      </c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>
        <f t="shared" si="8"/>
        <v>1</v>
      </c>
      <c r="AF6202" s="19">
        <f t="shared" si="13"/>
        <v>3</v>
      </c>
      <c r="AG6202" s="9"/>
      <c r="AH6202" s="9"/>
      <c r="AI6202" s="9"/>
    </row>
    <row r="6203" ht="15.0" customHeight="1">
      <c r="A6203" s="11">
        <v>6202.0</v>
      </c>
      <c r="B6203" s="12">
        <f t="shared" si="997"/>
        <v>40893</v>
      </c>
      <c r="C6203" s="13">
        <v>2011.0</v>
      </c>
      <c r="D6203" s="11" t="s">
        <v>39</v>
      </c>
      <c r="E6203" s="11">
        <v>50.0</v>
      </c>
      <c r="F6203" s="21" t="s">
        <v>254</v>
      </c>
      <c r="G6203" s="15">
        <v>0.08063041317620334</v>
      </c>
      <c r="H6203" s="11" t="s">
        <v>33</v>
      </c>
      <c r="I6203" s="16">
        <v>2.5120000000000005</v>
      </c>
      <c r="J6203" s="11" t="s">
        <v>821</v>
      </c>
      <c r="K6203" s="11" t="s">
        <v>117</v>
      </c>
      <c r="L6203" s="11" t="s">
        <v>27</v>
      </c>
      <c r="M6203" s="11" t="s">
        <v>28</v>
      </c>
      <c r="N6203" s="11" t="s">
        <v>442</v>
      </c>
      <c r="O6203" s="11" t="s">
        <v>1613</v>
      </c>
      <c r="P6203" s="11" t="s">
        <v>99</v>
      </c>
      <c r="Q6203" s="20">
        <v>40895.0</v>
      </c>
      <c r="R6203" s="17">
        <f t="shared" si="2"/>
        <v>52.2091601</v>
      </c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>
        <f t="shared" si="8"/>
        <v>1</v>
      </c>
      <c r="AF6203" s="19" t="b">
        <f t="shared" si="13"/>
        <v>0</v>
      </c>
      <c r="AG6203" s="9"/>
      <c r="AH6203" s="9"/>
      <c r="AI6203" s="9"/>
    </row>
    <row r="6204" ht="15.0" customHeight="1">
      <c r="A6204" s="11">
        <v>6203.0</v>
      </c>
      <c r="B6204" s="12">
        <f t="shared" si="997"/>
        <v>40893</v>
      </c>
      <c r="C6204" s="13">
        <v>2011.0</v>
      </c>
      <c r="D6204" s="11" t="s">
        <v>32</v>
      </c>
      <c r="E6204" s="11">
        <v>42.0</v>
      </c>
      <c r="F6204" s="21" t="s">
        <v>629</v>
      </c>
      <c r="G6204" s="15">
        <v>0.05531558480406826</v>
      </c>
      <c r="H6204" s="11" t="s">
        <v>33</v>
      </c>
      <c r="I6204" s="16">
        <v>9.208</v>
      </c>
      <c r="J6204" s="11" t="s">
        <v>1008</v>
      </c>
      <c r="K6204" s="11" t="s">
        <v>65</v>
      </c>
      <c r="L6204" s="11" t="s">
        <v>48</v>
      </c>
      <c r="M6204" s="11" t="s">
        <v>28</v>
      </c>
      <c r="N6204" s="11" t="s">
        <v>42</v>
      </c>
      <c r="O6204" s="11" t="s">
        <v>1041</v>
      </c>
      <c r="P6204" s="11" t="s">
        <v>38</v>
      </c>
      <c r="Q6204" s="20">
        <v>40895.0</v>
      </c>
      <c r="R6204" s="17">
        <f t="shared" si="2"/>
        <v>17.46910421</v>
      </c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>
        <f t="shared" si="8"/>
        <v>4</v>
      </c>
      <c r="AF6204" s="19">
        <f t="shared" si="13"/>
        <v>5</v>
      </c>
      <c r="AG6204" s="9"/>
      <c r="AH6204" s="9"/>
      <c r="AI6204" s="9"/>
    </row>
    <row r="6205" ht="15.0" customHeight="1">
      <c r="A6205" s="11">
        <v>6204.0</v>
      </c>
      <c r="B6205" s="12">
        <f t="shared" ref="B6205:B6217" si="998">DATE(2012,12,31)-380</f>
        <v>40894</v>
      </c>
      <c r="C6205" s="13">
        <v>2011.0</v>
      </c>
      <c r="D6205" s="11" t="s">
        <v>102</v>
      </c>
      <c r="E6205" s="11">
        <v>34.0</v>
      </c>
      <c r="F6205" s="21" t="s">
        <v>2160</v>
      </c>
      <c r="G6205" s="15">
        <v>0.034993367945980874</v>
      </c>
      <c r="H6205" s="11" t="s">
        <v>33</v>
      </c>
      <c r="I6205" s="16">
        <v>15.991999999999999</v>
      </c>
      <c r="J6205" s="11" t="s">
        <v>1210</v>
      </c>
      <c r="K6205" s="11" t="s">
        <v>47</v>
      </c>
      <c r="L6205" s="11" t="s">
        <v>48</v>
      </c>
      <c r="M6205" s="11" t="s">
        <v>28</v>
      </c>
      <c r="N6205" s="11" t="s">
        <v>29</v>
      </c>
      <c r="O6205" s="11" t="s">
        <v>2161</v>
      </c>
      <c r="P6205" s="11" t="s">
        <v>38</v>
      </c>
      <c r="Q6205" s="20">
        <v>40895.0</v>
      </c>
      <c r="R6205" s="17">
        <f t="shared" si="2"/>
        <v>143.6894875</v>
      </c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>
        <f t="shared" si="8"/>
        <v>4</v>
      </c>
      <c r="AF6205" s="19">
        <f t="shared" si="13"/>
        <v>3</v>
      </c>
      <c r="AG6205" s="9"/>
      <c r="AH6205" s="9"/>
      <c r="AI6205" s="9"/>
    </row>
    <row r="6206" ht="15.0" customHeight="1">
      <c r="A6206" s="11">
        <v>6205.0</v>
      </c>
      <c r="B6206" s="12">
        <f t="shared" si="998"/>
        <v>40894</v>
      </c>
      <c r="C6206" s="13">
        <v>2011.0</v>
      </c>
      <c r="D6206" s="11" t="s">
        <v>32</v>
      </c>
      <c r="E6206" s="11">
        <v>26.0</v>
      </c>
      <c r="F6206" s="21" t="s">
        <v>316</v>
      </c>
      <c r="G6206" s="15">
        <v>0.05965034965034975</v>
      </c>
      <c r="H6206" s="11" t="s">
        <v>33</v>
      </c>
      <c r="I6206" s="16">
        <v>7.152</v>
      </c>
      <c r="J6206" s="11" t="s">
        <v>781</v>
      </c>
      <c r="K6206" s="11" t="s">
        <v>65</v>
      </c>
      <c r="L6206" s="11" t="s">
        <v>27</v>
      </c>
      <c r="M6206" s="11" t="s">
        <v>28</v>
      </c>
      <c r="N6206" s="11" t="s">
        <v>42</v>
      </c>
      <c r="O6206" s="11" t="s">
        <v>1126</v>
      </c>
      <c r="P6206" s="11" t="s">
        <v>38</v>
      </c>
      <c r="Q6206" s="20">
        <v>40895.0</v>
      </c>
      <c r="R6206" s="17">
        <f t="shared" si="2"/>
        <v>12.83389203</v>
      </c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>
        <f t="shared" si="8"/>
        <v>1</v>
      </c>
      <c r="AF6206" s="19">
        <f t="shared" si="13"/>
        <v>5</v>
      </c>
      <c r="AG6206" s="9"/>
      <c r="AH6206" s="9"/>
      <c r="AI6206" s="9"/>
    </row>
    <row r="6207" ht="15.0" customHeight="1">
      <c r="A6207" s="11">
        <v>6206.0</v>
      </c>
      <c r="B6207" s="12">
        <f t="shared" si="998"/>
        <v>40894</v>
      </c>
      <c r="C6207" s="13">
        <v>2011.0</v>
      </c>
      <c r="D6207" s="11" t="s">
        <v>23</v>
      </c>
      <c r="E6207" s="11">
        <v>33.0</v>
      </c>
      <c r="F6207" s="21" t="s">
        <v>473</v>
      </c>
      <c r="G6207" s="15">
        <v>0.07718148870922778</v>
      </c>
      <c r="H6207" s="11" t="s">
        <v>33</v>
      </c>
      <c r="I6207" s="16">
        <v>7.359999999999999</v>
      </c>
      <c r="J6207" s="11" t="s">
        <v>253</v>
      </c>
      <c r="K6207" s="11" t="s">
        <v>61</v>
      </c>
      <c r="L6207" s="11" t="s">
        <v>36</v>
      </c>
      <c r="M6207" s="11" t="s">
        <v>49</v>
      </c>
      <c r="N6207" s="11" t="s">
        <v>73</v>
      </c>
      <c r="O6207" s="11" t="s">
        <v>1836</v>
      </c>
      <c r="P6207" s="11" t="s">
        <v>58</v>
      </c>
      <c r="Q6207" s="20">
        <v>40895.0</v>
      </c>
      <c r="R6207" s="17">
        <f t="shared" si="2"/>
        <v>102.1929219</v>
      </c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>
        <f t="shared" si="8"/>
        <v>2</v>
      </c>
      <c r="AF6207" s="19">
        <f t="shared" si="13"/>
        <v>4</v>
      </c>
      <c r="AG6207" s="9"/>
      <c r="AH6207" s="9"/>
      <c r="AI6207" s="9"/>
    </row>
    <row r="6208" ht="15.0" customHeight="1">
      <c r="A6208" s="11">
        <v>6207.0</v>
      </c>
      <c r="B6208" s="12">
        <f t="shared" si="998"/>
        <v>40894</v>
      </c>
      <c r="C6208" s="13">
        <v>2011.0</v>
      </c>
      <c r="D6208" s="11" t="s">
        <v>23</v>
      </c>
      <c r="E6208" s="11">
        <v>28.0</v>
      </c>
      <c r="F6208" s="21" t="s">
        <v>336</v>
      </c>
      <c r="G6208" s="15">
        <v>0.027619047619047536</v>
      </c>
      <c r="H6208" s="11" t="s">
        <v>33</v>
      </c>
      <c r="I6208" s="16">
        <v>0.96</v>
      </c>
      <c r="J6208" s="11" t="s">
        <v>253</v>
      </c>
      <c r="K6208" s="11" t="s">
        <v>61</v>
      </c>
      <c r="L6208" s="11" t="s">
        <v>36</v>
      </c>
      <c r="M6208" s="11" t="s">
        <v>28</v>
      </c>
      <c r="N6208" s="11" t="s">
        <v>62</v>
      </c>
      <c r="O6208" s="11" t="s">
        <v>1540</v>
      </c>
      <c r="P6208" s="11" t="s">
        <v>58</v>
      </c>
      <c r="Q6208" s="20">
        <v>40895.0</v>
      </c>
      <c r="R6208" s="17">
        <f t="shared" si="2"/>
        <v>4.511847619</v>
      </c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>
        <f t="shared" si="8"/>
        <v>2</v>
      </c>
      <c r="AF6208" s="19">
        <f t="shared" si="13"/>
        <v>4</v>
      </c>
      <c r="AG6208" s="9"/>
      <c r="AH6208" s="9"/>
      <c r="AI6208" s="9"/>
    </row>
    <row r="6209" ht="15.0" customHeight="1">
      <c r="A6209" s="11">
        <v>6208.0</v>
      </c>
      <c r="B6209" s="12">
        <f t="shared" si="998"/>
        <v>40894</v>
      </c>
      <c r="C6209" s="13">
        <v>2011.0</v>
      </c>
      <c r="D6209" s="11" t="s">
        <v>39</v>
      </c>
      <c r="E6209" s="11">
        <v>44.0</v>
      </c>
      <c r="F6209" s="21" t="s">
        <v>629</v>
      </c>
      <c r="G6209" s="15">
        <v>0.01722784057108856</v>
      </c>
      <c r="H6209" s="11" t="s">
        <v>24</v>
      </c>
      <c r="I6209" s="16">
        <v>9.208</v>
      </c>
      <c r="J6209" s="11" t="s">
        <v>288</v>
      </c>
      <c r="K6209" s="11" t="s">
        <v>61</v>
      </c>
      <c r="L6209" s="11" t="s">
        <v>27</v>
      </c>
      <c r="M6209" s="11" t="s">
        <v>28</v>
      </c>
      <c r="N6209" s="11" t="s">
        <v>42</v>
      </c>
      <c r="O6209" s="11" t="s">
        <v>1041</v>
      </c>
      <c r="P6209" s="11" t="s">
        <v>38</v>
      </c>
      <c r="Q6209" s="20">
        <v>40895.0</v>
      </c>
      <c r="R6209" s="17">
        <f t="shared" si="2"/>
        <v>5.692216347</v>
      </c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>
        <f t="shared" si="8"/>
        <v>1</v>
      </c>
      <c r="AF6209" s="19">
        <f t="shared" si="13"/>
        <v>4</v>
      </c>
      <c r="AG6209" s="9"/>
      <c r="AH6209" s="9"/>
      <c r="AI6209" s="9"/>
    </row>
    <row r="6210" ht="15.0" customHeight="1">
      <c r="A6210" s="11">
        <v>6209.0</v>
      </c>
      <c r="B6210" s="12">
        <f t="shared" si="998"/>
        <v>40894</v>
      </c>
      <c r="C6210" s="13">
        <v>2011.0</v>
      </c>
      <c r="D6210" s="11" t="s">
        <v>39</v>
      </c>
      <c r="E6210" s="11">
        <v>4.0</v>
      </c>
      <c r="F6210" s="21" t="s">
        <v>425</v>
      </c>
      <c r="G6210" s="15">
        <v>0.09380020597322353</v>
      </c>
      <c r="H6210" s="11" t="s">
        <v>24</v>
      </c>
      <c r="I6210" s="16">
        <v>7.192</v>
      </c>
      <c r="J6210" s="11" t="s">
        <v>288</v>
      </c>
      <c r="K6210" s="11" t="s">
        <v>61</v>
      </c>
      <c r="L6210" s="11" t="s">
        <v>27</v>
      </c>
      <c r="M6210" s="11" t="s">
        <v>49</v>
      </c>
      <c r="N6210" s="11" t="s">
        <v>73</v>
      </c>
      <c r="O6210" s="11" t="s">
        <v>2448</v>
      </c>
      <c r="P6210" s="11" t="s">
        <v>99</v>
      </c>
      <c r="Q6210" s="20">
        <v>40896.0</v>
      </c>
      <c r="R6210" s="17">
        <f t="shared" si="2"/>
        <v>8.253667724</v>
      </c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>
        <f t="shared" si="8"/>
        <v>1</v>
      </c>
      <c r="AF6210" s="19">
        <f t="shared" si="13"/>
        <v>4</v>
      </c>
      <c r="AG6210" s="9"/>
      <c r="AH6210" s="9"/>
      <c r="AI6210" s="9"/>
    </row>
    <row r="6211" ht="15.0" customHeight="1">
      <c r="A6211" s="11">
        <v>6210.0</v>
      </c>
      <c r="B6211" s="12">
        <f t="shared" si="998"/>
        <v>40894</v>
      </c>
      <c r="C6211" s="13">
        <v>2011.0</v>
      </c>
      <c r="D6211" s="11" t="s">
        <v>39</v>
      </c>
      <c r="E6211" s="11">
        <v>39.0</v>
      </c>
      <c r="F6211" s="21" t="s">
        <v>1997</v>
      </c>
      <c r="G6211" s="15">
        <v>0.07071890452643574</v>
      </c>
      <c r="H6211" s="11" t="s">
        <v>33</v>
      </c>
      <c r="I6211" s="16">
        <v>5.016</v>
      </c>
      <c r="J6211" s="11" t="s">
        <v>288</v>
      </c>
      <c r="K6211" s="11" t="s">
        <v>61</v>
      </c>
      <c r="L6211" s="11" t="s">
        <v>27</v>
      </c>
      <c r="M6211" s="11" t="s">
        <v>28</v>
      </c>
      <c r="N6211" s="11" t="s">
        <v>29</v>
      </c>
      <c r="O6211" s="11" t="s">
        <v>1998</v>
      </c>
      <c r="P6211" s="11" t="s">
        <v>75</v>
      </c>
      <c r="Q6211" s="20">
        <v>40896.0</v>
      </c>
      <c r="R6211" s="17">
        <f t="shared" si="2"/>
        <v>34.55438825</v>
      </c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>
        <f t="shared" si="8"/>
        <v>1</v>
      </c>
      <c r="AF6211" s="19">
        <f t="shared" si="13"/>
        <v>4</v>
      </c>
      <c r="AG6211" s="9"/>
      <c r="AH6211" s="9"/>
      <c r="AI6211" s="9"/>
    </row>
    <row r="6212" ht="15.0" customHeight="1">
      <c r="A6212" s="11">
        <v>6211.0</v>
      </c>
      <c r="B6212" s="12">
        <f t="shared" si="998"/>
        <v>40894</v>
      </c>
      <c r="C6212" s="13">
        <v>2011.0</v>
      </c>
      <c r="D6212" s="11" t="s">
        <v>23</v>
      </c>
      <c r="E6212" s="11">
        <v>35.0</v>
      </c>
      <c r="F6212" s="21" t="s">
        <v>126</v>
      </c>
      <c r="G6212" s="15">
        <v>0.040736607142857054</v>
      </c>
      <c r="H6212" s="11" t="s">
        <v>33</v>
      </c>
      <c r="I6212" s="16">
        <v>0.4</v>
      </c>
      <c r="J6212" s="11" t="s">
        <v>251</v>
      </c>
      <c r="K6212" s="11" t="s">
        <v>65</v>
      </c>
      <c r="L6212" s="11" t="s">
        <v>41</v>
      </c>
      <c r="M6212" s="11" t="s">
        <v>28</v>
      </c>
      <c r="N6212" s="11" t="s">
        <v>188</v>
      </c>
      <c r="O6212" s="11" t="s">
        <v>551</v>
      </c>
      <c r="P6212" s="11" t="s">
        <v>38</v>
      </c>
      <c r="Q6212" s="20">
        <v>40896.0</v>
      </c>
      <c r="R6212" s="17">
        <f t="shared" si="2"/>
        <v>7.002622768</v>
      </c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>
        <f t="shared" si="8"/>
        <v>3</v>
      </c>
      <c r="AF6212" s="19">
        <f t="shared" si="13"/>
        <v>5</v>
      </c>
      <c r="AG6212" s="9"/>
      <c r="AH6212" s="9"/>
      <c r="AI6212" s="9"/>
    </row>
    <row r="6213" ht="15.0" customHeight="1">
      <c r="A6213" s="11">
        <v>6212.0</v>
      </c>
      <c r="B6213" s="12">
        <f t="shared" si="998"/>
        <v>40894</v>
      </c>
      <c r="C6213" s="13">
        <v>2011.0</v>
      </c>
      <c r="D6213" s="11" t="s">
        <v>39</v>
      </c>
      <c r="E6213" s="11">
        <v>27.0</v>
      </c>
      <c r="F6213" s="21" t="s">
        <v>126</v>
      </c>
      <c r="G6213" s="15">
        <v>0.08611670020120708</v>
      </c>
      <c r="H6213" s="11" t="s">
        <v>33</v>
      </c>
      <c r="I6213" s="16">
        <v>3.9600000000000004</v>
      </c>
      <c r="J6213" s="11" t="s">
        <v>1872</v>
      </c>
      <c r="K6213" s="11" t="s">
        <v>35</v>
      </c>
      <c r="L6213" s="11" t="s">
        <v>48</v>
      </c>
      <c r="M6213" s="11" t="s">
        <v>28</v>
      </c>
      <c r="N6213" s="11" t="s">
        <v>42</v>
      </c>
      <c r="O6213" s="11" t="s">
        <v>1350</v>
      </c>
      <c r="P6213" s="11" t="s">
        <v>38</v>
      </c>
      <c r="Q6213" s="20">
        <v>40896.0</v>
      </c>
      <c r="R6213" s="17">
        <f t="shared" si="2"/>
        <v>11.73426157</v>
      </c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>
        <f t="shared" si="8"/>
        <v>4</v>
      </c>
      <c r="AF6213" s="19">
        <f t="shared" si="13"/>
        <v>2</v>
      </c>
      <c r="AG6213" s="9"/>
      <c r="AH6213" s="9"/>
      <c r="AI6213" s="9"/>
    </row>
    <row r="6214" ht="15.0" customHeight="1">
      <c r="A6214" s="11">
        <v>6213.0</v>
      </c>
      <c r="B6214" s="12">
        <f t="shared" si="998"/>
        <v>40894</v>
      </c>
      <c r="C6214" s="13">
        <v>2011.0</v>
      </c>
      <c r="D6214" s="11" t="s">
        <v>39</v>
      </c>
      <c r="E6214" s="11">
        <v>12.0</v>
      </c>
      <c r="F6214" s="21" t="s">
        <v>562</v>
      </c>
      <c r="G6214" s="15">
        <v>0.08355682474101539</v>
      </c>
      <c r="H6214" s="11" t="s">
        <v>45</v>
      </c>
      <c r="I6214" s="16">
        <v>22.512</v>
      </c>
      <c r="J6214" s="11" t="s">
        <v>1872</v>
      </c>
      <c r="K6214" s="11" t="s">
        <v>35</v>
      </c>
      <c r="L6214" s="11" t="s">
        <v>48</v>
      </c>
      <c r="M6214" s="11" t="s">
        <v>66</v>
      </c>
      <c r="N6214" s="11" t="s">
        <v>69</v>
      </c>
      <c r="O6214" s="11" t="s">
        <v>564</v>
      </c>
      <c r="P6214" s="11" t="s">
        <v>52</v>
      </c>
      <c r="Q6214" s="20">
        <v>40896.0</v>
      </c>
      <c r="R6214" s="17">
        <f t="shared" si="2"/>
        <v>504.1243934</v>
      </c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>
        <f t="shared" si="8"/>
        <v>4</v>
      </c>
      <c r="AF6214" s="19">
        <f t="shared" si="13"/>
        <v>2</v>
      </c>
      <c r="AG6214" s="9"/>
      <c r="AH6214" s="9"/>
      <c r="AI6214" s="9"/>
    </row>
    <row r="6215" ht="15.0" customHeight="1">
      <c r="A6215" s="11">
        <v>6214.0</v>
      </c>
      <c r="B6215" s="12">
        <f t="shared" si="998"/>
        <v>40894</v>
      </c>
      <c r="C6215" s="13">
        <v>2011.0</v>
      </c>
      <c r="D6215" s="11" t="s">
        <v>39</v>
      </c>
      <c r="E6215" s="11">
        <v>42.0</v>
      </c>
      <c r="F6215" s="21" t="s">
        <v>810</v>
      </c>
      <c r="G6215" s="15">
        <v>0.06479285134037356</v>
      </c>
      <c r="H6215" s="11" t="s">
        <v>24</v>
      </c>
      <c r="I6215" s="16">
        <v>2.696</v>
      </c>
      <c r="J6215" s="11" t="s">
        <v>1872</v>
      </c>
      <c r="K6215" s="11" t="s">
        <v>35</v>
      </c>
      <c r="L6215" s="11" t="s">
        <v>48</v>
      </c>
      <c r="M6215" s="11" t="s">
        <v>28</v>
      </c>
      <c r="N6215" s="11" t="s">
        <v>442</v>
      </c>
      <c r="O6215" s="11" t="s">
        <v>1111</v>
      </c>
      <c r="P6215" s="11" t="s">
        <v>99</v>
      </c>
      <c r="Q6215" s="20">
        <v>40896.0</v>
      </c>
      <c r="R6215" s="17">
        <f t="shared" si="2"/>
        <v>29.83684887</v>
      </c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>
        <f t="shared" si="8"/>
        <v>4</v>
      </c>
      <c r="AF6215" s="19">
        <f t="shared" si="13"/>
        <v>2</v>
      </c>
      <c r="AG6215" s="9"/>
      <c r="AH6215" s="9"/>
      <c r="AI6215" s="9"/>
    </row>
    <row r="6216" ht="15.0" customHeight="1">
      <c r="A6216" s="11">
        <v>6215.0</v>
      </c>
      <c r="B6216" s="12">
        <f t="shared" si="998"/>
        <v>40894</v>
      </c>
      <c r="C6216" s="13">
        <v>2011.0</v>
      </c>
      <c r="D6216" s="11" t="s">
        <v>44</v>
      </c>
      <c r="E6216" s="11">
        <v>4.0</v>
      </c>
      <c r="F6216" s="21" t="s">
        <v>126</v>
      </c>
      <c r="G6216" s="15">
        <v>0.07420289855072457</v>
      </c>
      <c r="H6216" s="11" t="s">
        <v>33</v>
      </c>
      <c r="I6216" s="16">
        <v>5.952000000000001</v>
      </c>
      <c r="J6216" s="11" t="s">
        <v>1560</v>
      </c>
      <c r="K6216" s="11" t="s">
        <v>26</v>
      </c>
      <c r="L6216" s="11" t="s">
        <v>48</v>
      </c>
      <c r="M6216" s="11" t="s">
        <v>28</v>
      </c>
      <c r="N6216" s="11" t="s">
        <v>56</v>
      </c>
      <c r="O6216" s="11" t="s">
        <v>1230</v>
      </c>
      <c r="P6216" s="11" t="s">
        <v>38</v>
      </c>
      <c r="Q6216" s="20">
        <v>40896.0</v>
      </c>
      <c r="R6216" s="17">
        <f t="shared" si="2"/>
        <v>1.896032464</v>
      </c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>
        <f t="shared" si="8"/>
        <v>4</v>
      </c>
      <c r="AF6216" s="19">
        <f t="shared" si="13"/>
        <v>1</v>
      </c>
      <c r="AG6216" s="9"/>
      <c r="AH6216" s="9"/>
      <c r="AI6216" s="9"/>
    </row>
    <row r="6217" ht="15.0" customHeight="1">
      <c r="A6217" s="11">
        <v>6216.0</v>
      </c>
      <c r="B6217" s="12">
        <f t="shared" si="998"/>
        <v>40894</v>
      </c>
      <c r="C6217" s="13">
        <v>2011.0</v>
      </c>
      <c r="D6217" s="11" t="s">
        <v>44</v>
      </c>
      <c r="E6217" s="11">
        <v>7.0</v>
      </c>
      <c r="F6217" s="21" t="s">
        <v>178</v>
      </c>
      <c r="G6217" s="15">
        <v>0.012712585034013403</v>
      </c>
      <c r="H6217" s="11" t="s">
        <v>24</v>
      </c>
      <c r="I6217" s="16">
        <v>3.12</v>
      </c>
      <c r="J6217" s="11" t="s">
        <v>1560</v>
      </c>
      <c r="K6217" s="11" t="s">
        <v>26</v>
      </c>
      <c r="L6217" s="11" t="s">
        <v>48</v>
      </c>
      <c r="M6217" s="11" t="s">
        <v>66</v>
      </c>
      <c r="N6217" s="11" t="s">
        <v>80</v>
      </c>
      <c r="O6217" s="11" t="s">
        <v>2029</v>
      </c>
      <c r="P6217" s="11" t="s">
        <v>38</v>
      </c>
      <c r="Q6217" s="20">
        <v>40896.0</v>
      </c>
      <c r="R6217" s="17">
        <f t="shared" si="2"/>
        <v>5.903978741</v>
      </c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>
        <f t="shared" si="8"/>
        <v>4</v>
      </c>
      <c r="AF6217" s="19">
        <f t="shared" si="13"/>
        <v>1</v>
      </c>
      <c r="AG6217" s="9"/>
      <c r="AH6217" s="9"/>
      <c r="AI6217" s="9"/>
    </row>
    <row r="6218" ht="15.0" customHeight="1">
      <c r="A6218" s="11">
        <v>6217.0</v>
      </c>
      <c r="B6218" s="12">
        <f t="shared" ref="B6218:B6231" si="999">DATE(2012,12,31)-379</f>
        <v>40895</v>
      </c>
      <c r="C6218" s="13">
        <v>2011.0</v>
      </c>
      <c r="D6218" s="11" t="s">
        <v>39</v>
      </c>
      <c r="E6218" s="11">
        <v>6.0</v>
      </c>
      <c r="F6218" s="21" t="s">
        <v>700</v>
      </c>
      <c r="G6218" s="15">
        <v>0.10402420574886533</v>
      </c>
      <c r="H6218" s="11" t="s">
        <v>33</v>
      </c>
      <c r="I6218" s="16">
        <v>1.6239999999999999</v>
      </c>
      <c r="J6218" s="11" t="s">
        <v>741</v>
      </c>
      <c r="K6218" s="11" t="s">
        <v>35</v>
      </c>
      <c r="L6218" s="11" t="s">
        <v>41</v>
      </c>
      <c r="M6218" s="11" t="s">
        <v>28</v>
      </c>
      <c r="N6218" s="11" t="s">
        <v>56</v>
      </c>
      <c r="O6218" s="11" t="s">
        <v>1751</v>
      </c>
      <c r="P6218" s="11" t="s">
        <v>58</v>
      </c>
      <c r="Q6218" s="20">
        <v>40896.0</v>
      </c>
      <c r="R6218" s="17">
        <f t="shared" si="2"/>
        <v>6.160729561</v>
      </c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>
        <f t="shared" si="8"/>
        <v>3</v>
      </c>
      <c r="AF6218" s="19">
        <f t="shared" si="13"/>
        <v>2</v>
      </c>
      <c r="AG6218" s="9"/>
      <c r="AH6218" s="9"/>
      <c r="AI6218" s="9"/>
    </row>
    <row r="6219" ht="15.0" customHeight="1">
      <c r="A6219" s="11">
        <v>6218.0</v>
      </c>
      <c r="B6219" s="12">
        <f t="shared" si="999"/>
        <v>40895</v>
      </c>
      <c r="C6219" s="13">
        <v>2011.0</v>
      </c>
      <c r="D6219" s="11" t="s">
        <v>102</v>
      </c>
      <c r="E6219" s="11">
        <v>20.0</v>
      </c>
      <c r="F6219" s="21" t="s">
        <v>280</v>
      </c>
      <c r="G6219" s="15">
        <v>0.09299023290758825</v>
      </c>
      <c r="H6219" s="11" t="s">
        <v>33</v>
      </c>
      <c r="I6219" s="16">
        <v>5.784000000000001</v>
      </c>
      <c r="J6219" s="11" t="s">
        <v>913</v>
      </c>
      <c r="K6219" s="11" t="s">
        <v>35</v>
      </c>
      <c r="L6219" s="11" t="s">
        <v>27</v>
      </c>
      <c r="M6219" s="11" t="s">
        <v>28</v>
      </c>
      <c r="N6219" s="11" t="s">
        <v>56</v>
      </c>
      <c r="O6219" s="11" t="s">
        <v>2248</v>
      </c>
      <c r="P6219" s="11" t="s">
        <v>38</v>
      </c>
      <c r="Q6219" s="20">
        <v>40896.0</v>
      </c>
      <c r="R6219" s="17">
        <f t="shared" si="2"/>
        <v>89.8084791</v>
      </c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>
        <f t="shared" si="8"/>
        <v>1</v>
      </c>
      <c r="AF6219" s="19">
        <f t="shared" si="13"/>
        <v>2</v>
      </c>
      <c r="AG6219" s="9"/>
      <c r="AH6219" s="9"/>
      <c r="AI6219" s="9"/>
    </row>
    <row r="6220" ht="15.0" customHeight="1">
      <c r="A6220" s="22">
        <v>6219.0</v>
      </c>
      <c r="B6220" s="23">
        <f t="shared" si="999"/>
        <v>40895</v>
      </c>
      <c r="C6220" s="24">
        <v>2011.0</v>
      </c>
      <c r="D6220" s="22" t="s">
        <v>23</v>
      </c>
      <c r="E6220" s="22">
        <v>48.0</v>
      </c>
      <c r="F6220" s="25" t="s">
        <v>498</v>
      </c>
      <c r="G6220" s="26">
        <v>0.08371891462081289</v>
      </c>
      <c r="H6220" s="22" t="s">
        <v>33</v>
      </c>
      <c r="I6220" s="27">
        <v>6.152000000000001</v>
      </c>
      <c r="J6220" s="22" t="s">
        <v>2104</v>
      </c>
      <c r="K6220" s="22" t="s">
        <v>47</v>
      </c>
      <c r="L6220" s="22" t="s">
        <v>48</v>
      </c>
      <c r="M6220" s="22" t="s">
        <v>66</v>
      </c>
      <c r="N6220" s="22" t="s">
        <v>80</v>
      </c>
      <c r="O6220" s="22" t="s">
        <v>2583</v>
      </c>
      <c r="P6220" s="22" t="s">
        <v>38</v>
      </c>
      <c r="Q6220" s="20">
        <v>40896.0</v>
      </c>
      <c r="R6220" s="17">
        <f t="shared" si="2"/>
        <v>385.8899465</v>
      </c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>
        <f t="shared" si="8"/>
        <v>4</v>
      </c>
      <c r="AF6220" s="19">
        <f t="shared" si="13"/>
        <v>3</v>
      </c>
      <c r="AG6220" s="9"/>
      <c r="AH6220" s="9"/>
      <c r="AI6220" s="9"/>
    </row>
    <row r="6221" ht="15.0" customHeight="1">
      <c r="A6221" s="11">
        <v>6220.0</v>
      </c>
      <c r="B6221" s="12">
        <f t="shared" si="999"/>
        <v>40895</v>
      </c>
      <c r="C6221" s="13">
        <v>2011.0</v>
      </c>
      <c r="D6221" s="11" t="s">
        <v>102</v>
      </c>
      <c r="E6221" s="11">
        <v>14.0</v>
      </c>
      <c r="F6221" s="21" t="s">
        <v>1280</v>
      </c>
      <c r="G6221" s="15">
        <v>0.051526881720430226</v>
      </c>
      <c r="H6221" s="11" t="s">
        <v>33</v>
      </c>
      <c r="I6221" s="16">
        <v>3.512</v>
      </c>
      <c r="J6221" s="11" t="s">
        <v>1737</v>
      </c>
      <c r="K6221" s="11" t="s">
        <v>61</v>
      </c>
      <c r="L6221" s="11" t="s">
        <v>27</v>
      </c>
      <c r="M6221" s="11" t="s">
        <v>28</v>
      </c>
      <c r="N6221" s="11" t="s">
        <v>56</v>
      </c>
      <c r="O6221" s="11" t="s">
        <v>1281</v>
      </c>
      <c r="P6221" s="11" t="s">
        <v>58</v>
      </c>
      <c r="Q6221" s="20">
        <v>40896.0</v>
      </c>
      <c r="R6221" s="17">
        <f t="shared" si="2"/>
        <v>6.817624774</v>
      </c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>
        <f t="shared" si="8"/>
        <v>1</v>
      </c>
      <c r="AF6221" s="19">
        <f t="shared" si="13"/>
        <v>4</v>
      </c>
      <c r="AG6221" s="9"/>
      <c r="AH6221" s="9"/>
      <c r="AI6221" s="9"/>
    </row>
    <row r="6222" ht="15.0" customHeight="1">
      <c r="A6222" s="11">
        <v>6221.0</v>
      </c>
      <c r="B6222" s="12">
        <f t="shared" si="999"/>
        <v>40895</v>
      </c>
      <c r="C6222" s="13">
        <v>2011.0</v>
      </c>
      <c r="D6222" s="11" t="s">
        <v>102</v>
      </c>
      <c r="E6222" s="11">
        <v>42.0</v>
      </c>
      <c r="F6222" s="21" t="s">
        <v>1156</v>
      </c>
      <c r="G6222" s="15">
        <v>0.01073150118470898</v>
      </c>
      <c r="H6222" s="11" t="s">
        <v>33</v>
      </c>
      <c r="I6222" s="16">
        <v>7.192</v>
      </c>
      <c r="J6222" s="11" t="s">
        <v>1737</v>
      </c>
      <c r="K6222" s="11" t="s">
        <v>61</v>
      </c>
      <c r="L6222" s="11" t="s">
        <v>27</v>
      </c>
      <c r="M6222" s="11" t="s">
        <v>66</v>
      </c>
      <c r="N6222" s="11" t="s">
        <v>80</v>
      </c>
      <c r="O6222" s="11" t="s">
        <v>2480</v>
      </c>
      <c r="P6222" s="11" t="s">
        <v>38</v>
      </c>
      <c r="Q6222" s="20">
        <v>40896.0</v>
      </c>
      <c r="R6222" s="17">
        <f t="shared" si="2"/>
        <v>70.34490441</v>
      </c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>
        <f t="shared" si="8"/>
        <v>1</v>
      </c>
      <c r="AF6222" s="19">
        <f t="shared" si="13"/>
        <v>4</v>
      </c>
      <c r="AG6222" s="9"/>
      <c r="AH6222" s="9"/>
      <c r="AI6222" s="9"/>
    </row>
    <row r="6223" ht="15.0" customHeight="1">
      <c r="A6223" s="11">
        <v>6222.0</v>
      </c>
      <c r="B6223" s="12">
        <f t="shared" si="999"/>
        <v>40895</v>
      </c>
      <c r="C6223" s="13">
        <v>2011.0</v>
      </c>
      <c r="D6223" s="11" t="s">
        <v>44</v>
      </c>
      <c r="E6223" s="11">
        <v>36.0</v>
      </c>
      <c r="F6223" s="21" t="s">
        <v>743</v>
      </c>
      <c r="G6223" s="15">
        <v>0.05950214241991437</v>
      </c>
      <c r="H6223" s="11" t="s">
        <v>45</v>
      </c>
      <c r="I6223" s="16">
        <v>11.352</v>
      </c>
      <c r="J6223" s="11" t="s">
        <v>1010</v>
      </c>
      <c r="K6223" s="11" t="s">
        <v>35</v>
      </c>
      <c r="L6223" s="11" t="s">
        <v>48</v>
      </c>
      <c r="M6223" s="11" t="s">
        <v>49</v>
      </c>
      <c r="N6223" s="11" t="s">
        <v>50</v>
      </c>
      <c r="O6223" s="11" t="s">
        <v>2249</v>
      </c>
      <c r="P6223" s="11" t="s">
        <v>52</v>
      </c>
      <c r="Q6223" s="20">
        <v>40897.0</v>
      </c>
      <c r="R6223" s="17">
        <f t="shared" si="2"/>
        <v>109.7071941</v>
      </c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>
        <f t="shared" si="8"/>
        <v>4</v>
      </c>
      <c r="AF6223" s="19">
        <f t="shared" si="13"/>
        <v>2</v>
      </c>
      <c r="AG6223" s="9"/>
      <c r="AH6223" s="9"/>
      <c r="AI6223" s="9"/>
    </row>
    <row r="6224" ht="15.0" customHeight="1">
      <c r="A6224" s="11">
        <v>6223.0</v>
      </c>
      <c r="B6224" s="12">
        <f t="shared" si="999"/>
        <v>40895</v>
      </c>
      <c r="C6224" s="13">
        <v>2011.0</v>
      </c>
      <c r="D6224" s="11" t="s">
        <v>44</v>
      </c>
      <c r="E6224" s="11">
        <v>35.0</v>
      </c>
      <c r="F6224" s="21" t="s">
        <v>195</v>
      </c>
      <c r="G6224" s="15">
        <v>0.008267336295151799</v>
      </c>
      <c r="H6224" s="11" t="s">
        <v>33</v>
      </c>
      <c r="I6224" s="16">
        <v>5.920000000000001</v>
      </c>
      <c r="J6224" s="11" t="s">
        <v>1010</v>
      </c>
      <c r="K6224" s="11" t="s">
        <v>35</v>
      </c>
      <c r="L6224" s="11" t="s">
        <v>48</v>
      </c>
      <c r="M6224" s="11" t="s">
        <v>49</v>
      </c>
      <c r="N6224" s="11" t="s">
        <v>73</v>
      </c>
      <c r="O6224" s="11" t="s">
        <v>2036</v>
      </c>
      <c r="P6224" s="11" t="s">
        <v>38</v>
      </c>
      <c r="Q6224" s="20">
        <v>40897.0</v>
      </c>
      <c r="R6224" s="17">
        <f t="shared" si="2"/>
        <v>4.244615801</v>
      </c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>
        <f t="shared" si="8"/>
        <v>4</v>
      </c>
      <c r="AF6224" s="19">
        <f t="shared" si="13"/>
        <v>2</v>
      </c>
      <c r="AG6224" s="9"/>
      <c r="AH6224" s="9"/>
      <c r="AI6224" s="9"/>
    </row>
    <row r="6225" ht="15.0" customHeight="1">
      <c r="A6225" s="11">
        <v>6224.0</v>
      </c>
      <c r="B6225" s="12">
        <f t="shared" si="999"/>
        <v>40895</v>
      </c>
      <c r="C6225" s="13">
        <v>2011.0</v>
      </c>
      <c r="D6225" s="11" t="s">
        <v>44</v>
      </c>
      <c r="E6225" s="11">
        <v>18.0</v>
      </c>
      <c r="F6225" s="21" t="s">
        <v>782</v>
      </c>
      <c r="G6225" s="15">
        <v>0.059231553893233584</v>
      </c>
      <c r="H6225" s="11" t="s">
        <v>33</v>
      </c>
      <c r="I6225" s="16">
        <v>3.84</v>
      </c>
      <c r="J6225" s="11" t="s">
        <v>1010</v>
      </c>
      <c r="K6225" s="11" t="s">
        <v>35</v>
      </c>
      <c r="L6225" s="11" t="s">
        <v>48</v>
      </c>
      <c r="M6225" s="11" t="s">
        <v>49</v>
      </c>
      <c r="N6225" s="11" t="s">
        <v>73</v>
      </c>
      <c r="O6225" s="11" t="s">
        <v>1431</v>
      </c>
      <c r="P6225" s="11" t="s">
        <v>58</v>
      </c>
      <c r="Q6225" s="20">
        <v>40897.0</v>
      </c>
      <c r="R6225" s="17">
        <f t="shared" si="2"/>
        <v>49.16455899</v>
      </c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>
        <f t="shared" si="8"/>
        <v>4</v>
      </c>
      <c r="AF6225" s="19">
        <f t="shared" si="13"/>
        <v>2</v>
      </c>
      <c r="AG6225" s="9"/>
      <c r="AH6225" s="9"/>
      <c r="AI6225" s="9"/>
    </row>
    <row r="6226" ht="15.0" customHeight="1">
      <c r="A6226" s="11">
        <v>6225.0</v>
      </c>
      <c r="B6226" s="12">
        <f t="shared" si="999"/>
        <v>40895</v>
      </c>
      <c r="C6226" s="13">
        <v>2011.0</v>
      </c>
      <c r="D6226" s="11" t="s">
        <v>39</v>
      </c>
      <c r="E6226" s="11">
        <v>15.0</v>
      </c>
      <c r="F6226" s="21" t="s">
        <v>1166</v>
      </c>
      <c r="G6226" s="15">
        <v>0.04819843342036545</v>
      </c>
      <c r="H6226" s="11" t="s">
        <v>33</v>
      </c>
      <c r="I6226" s="16">
        <v>2.408</v>
      </c>
      <c r="J6226" s="11" t="s">
        <v>2000</v>
      </c>
      <c r="K6226" s="11" t="s">
        <v>35</v>
      </c>
      <c r="L6226" s="11" t="s">
        <v>36</v>
      </c>
      <c r="M6226" s="11" t="s">
        <v>28</v>
      </c>
      <c r="N6226" s="11" t="s">
        <v>56</v>
      </c>
      <c r="O6226" s="11" t="s">
        <v>2060</v>
      </c>
      <c r="P6226" s="11" t="s">
        <v>58</v>
      </c>
      <c r="Q6226" s="20">
        <v>40897.0</v>
      </c>
      <c r="R6226" s="17">
        <f t="shared" si="2"/>
        <v>3.514051384</v>
      </c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>
        <f t="shared" si="8"/>
        <v>2</v>
      </c>
      <c r="AF6226" s="19">
        <f t="shared" si="13"/>
        <v>2</v>
      </c>
      <c r="AG6226" s="9"/>
      <c r="AH6226" s="9"/>
      <c r="AI6226" s="9"/>
    </row>
    <row r="6227" ht="15.0" customHeight="1">
      <c r="A6227" s="11">
        <v>6226.0</v>
      </c>
      <c r="B6227" s="12">
        <f t="shared" si="999"/>
        <v>40895</v>
      </c>
      <c r="C6227" s="13">
        <v>2011.0</v>
      </c>
      <c r="D6227" s="11" t="s">
        <v>32</v>
      </c>
      <c r="E6227" s="11">
        <v>40.0</v>
      </c>
      <c r="F6227" s="21" t="s">
        <v>629</v>
      </c>
      <c r="G6227" s="15">
        <v>0.027420083952211696</v>
      </c>
      <c r="H6227" s="11" t="s">
        <v>33</v>
      </c>
      <c r="I6227" s="16">
        <v>9.208</v>
      </c>
      <c r="J6227" s="11" t="s">
        <v>1314</v>
      </c>
      <c r="K6227" s="11" t="s">
        <v>47</v>
      </c>
      <c r="L6227" s="11" t="s">
        <v>48</v>
      </c>
      <c r="M6227" s="11" t="s">
        <v>28</v>
      </c>
      <c r="N6227" s="11" t="s">
        <v>42</v>
      </c>
      <c r="O6227" s="11" t="s">
        <v>1041</v>
      </c>
      <c r="P6227" s="11" t="s">
        <v>38</v>
      </c>
      <c r="Q6227" s="20">
        <v>40897.0</v>
      </c>
      <c r="R6227" s="17">
        <f t="shared" si="2"/>
        <v>8.259148647</v>
      </c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>
        <f t="shared" si="8"/>
        <v>4</v>
      </c>
      <c r="AF6227" s="19">
        <f t="shared" si="13"/>
        <v>3</v>
      </c>
      <c r="AG6227" s="9"/>
      <c r="AH6227" s="9"/>
      <c r="AI6227" s="9"/>
    </row>
    <row r="6228" ht="15.0" customHeight="1">
      <c r="A6228" s="11">
        <v>6227.0</v>
      </c>
      <c r="B6228" s="12">
        <f t="shared" si="999"/>
        <v>40895</v>
      </c>
      <c r="C6228" s="13">
        <v>2011.0</v>
      </c>
      <c r="D6228" s="11" t="s">
        <v>32</v>
      </c>
      <c r="E6228" s="11">
        <v>16.0</v>
      </c>
      <c r="F6228" s="21" t="s">
        <v>705</v>
      </c>
      <c r="G6228" s="15">
        <v>0.09875370919881314</v>
      </c>
      <c r="H6228" s="11" t="s">
        <v>24</v>
      </c>
      <c r="I6228" s="16">
        <v>1.544</v>
      </c>
      <c r="J6228" s="11" t="s">
        <v>1314</v>
      </c>
      <c r="K6228" s="11" t="s">
        <v>47</v>
      </c>
      <c r="L6228" s="11" t="s">
        <v>48</v>
      </c>
      <c r="M6228" s="11" t="s">
        <v>28</v>
      </c>
      <c r="N6228" s="11" t="s">
        <v>56</v>
      </c>
      <c r="O6228" s="11" t="s">
        <v>90</v>
      </c>
      <c r="P6228" s="11" t="s">
        <v>58</v>
      </c>
      <c r="Q6228" s="20">
        <v>40897.0</v>
      </c>
      <c r="R6228" s="17">
        <f t="shared" si="2"/>
        <v>5.998695312</v>
      </c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>
        <f t="shared" si="8"/>
        <v>4</v>
      </c>
      <c r="AF6228" s="19">
        <f t="shared" si="13"/>
        <v>3</v>
      </c>
      <c r="AG6228" s="9"/>
      <c r="AH6228" s="9"/>
      <c r="AI6228" s="9"/>
    </row>
    <row r="6229" ht="15.0" customHeight="1">
      <c r="A6229" s="11">
        <v>6228.0</v>
      </c>
      <c r="B6229" s="12">
        <f t="shared" si="999"/>
        <v>40895</v>
      </c>
      <c r="C6229" s="13">
        <v>2011.0</v>
      </c>
      <c r="D6229" s="11" t="s">
        <v>32</v>
      </c>
      <c r="E6229" s="11">
        <v>49.0</v>
      </c>
      <c r="F6229" s="21" t="s">
        <v>137</v>
      </c>
      <c r="G6229" s="15">
        <v>0.010842803915546</v>
      </c>
      <c r="H6229" s="11" t="s">
        <v>45</v>
      </c>
      <c r="I6229" s="16">
        <v>12.808000000000002</v>
      </c>
      <c r="J6229" s="11" t="s">
        <v>1314</v>
      </c>
      <c r="K6229" s="11" t="s">
        <v>47</v>
      </c>
      <c r="L6229" s="11" t="s">
        <v>48</v>
      </c>
      <c r="M6229" s="11" t="s">
        <v>49</v>
      </c>
      <c r="N6229" s="11" t="s">
        <v>85</v>
      </c>
      <c r="O6229" s="11" t="s">
        <v>127</v>
      </c>
      <c r="P6229" s="11" t="s">
        <v>87</v>
      </c>
      <c r="Q6229" s="20">
        <v>40897.0</v>
      </c>
      <c r="R6229" s="17">
        <f t="shared" si="2"/>
        <v>80.31165106</v>
      </c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>
        <f t="shared" si="8"/>
        <v>4</v>
      </c>
      <c r="AF6229" s="19">
        <f t="shared" si="13"/>
        <v>3</v>
      </c>
      <c r="AG6229" s="9"/>
      <c r="AH6229" s="9"/>
      <c r="AI6229" s="9"/>
    </row>
    <row r="6230" ht="15.0" customHeight="1">
      <c r="A6230" s="11">
        <v>6229.0</v>
      </c>
      <c r="B6230" s="12">
        <f t="shared" si="999"/>
        <v>40895</v>
      </c>
      <c r="C6230" s="13">
        <v>2011.0</v>
      </c>
      <c r="D6230" s="11" t="s">
        <v>102</v>
      </c>
      <c r="E6230" s="11">
        <v>21.0</v>
      </c>
      <c r="F6230" s="21" t="s">
        <v>638</v>
      </c>
      <c r="G6230" s="15">
        <v>0.036670838548185314</v>
      </c>
      <c r="H6230" s="11" t="s">
        <v>33</v>
      </c>
      <c r="I6230" s="16">
        <v>4.84</v>
      </c>
      <c r="J6230" s="11" t="s">
        <v>525</v>
      </c>
      <c r="K6230" s="11" t="s">
        <v>65</v>
      </c>
      <c r="L6230" s="11" t="s">
        <v>48</v>
      </c>
      <c r="M6230" s="11" t="s">
        <v>28</v>
      </c>
      <c r="N6230" s="11" t="s">
        <v>42</v>
      </c>
      <c r="O6230" s="11" t="s">
        <v>640</v>
      </c>
      <c r="P6230" s="11" t="s">
        <v>38</v>
      </c>
      <c r="Q6230" s="20">
        <v>40897.0</v>
      </c>
      <c r="R6230" s="17">
        <f t="shared" si="2"/>
        <v>5.645108886</v>
      </c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>
        <f t="shared" si="8"/>
        <v>4</v>
      </c>
      <c r="AF6230" s="19">
        <f t="shared" si="13"/>
        <v>5</v>
      </c>
      <c r="AG6230" s="9"/>
      <c r="AH6230" s="9"/>
      <c r="AI6230" s="9"/>
    </row>
    <row r="6231" ht="15.0" customHeight="1">
      <c r="A6231" s="11">
        <v>6230.0</v>
      </c>
      <c r="B6231" s="12">
        <f t="shared" si="999"/>
        <v>40895</v>
      </c>
      <c r="C6231" s="13">
        <v>2011.0</v>
      </c>
      <c r="D6231" s="11" t="s">
        <v>23</v>
      </c>
      <c r="E6231" s="11">
        <v>1.0</v>
      </c>
      <c r="F6231" s="21" t="s">
        <v>924</v>
      </c>
      <c r="G6231" s="15">
        <v>0.12032520325203255</v>
      </c>
      <c r="H6231" s="11" t="s">
        <v>33</v>
      </c>
      <c r="I6231" s="16">
        <v>1.72</v>
      </c>
      <c r="J6231" s="11" t="s">
        <v>1753</v>
      </c>
      <c r="K6231" s="11" t="s">
        <v>65</v>
      </c>
      <c r="L6231" s="11" t="s">
        <v>48</v>
      </c>
      <c r="M6231" s="11" t="s">
        <v>28</v>
      </c>
      <c r="N6231" s="11" t="s">
        <v>56</v>
      </c>
      <c r="O6231" s="11" t="s">
        <v>57</v>
      </c>
      <c r="P6231" s="11" t="s">
        <v>58</v>
      </c>
      <c r="Q6231" s="20">
        <v>40898.0</v>
      </c>
      <c r="R6231" s="17">
        <f t="shared" si="2"/>
        <v>1.301918699</v>
      </c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>
        <f t="shared" si="8"/>
        <v>4</v>
      </c>
      <c r="AF6231" s="19">
        <f t="shared" si="13"/>
        <v>5</v>
      </c>
      <c r="AG6231" s="9"/>
      <c r="AH6231" s="9"/>
      <c r="AI6231" s="9"/>
    </row>
    <row r="6232" ht="15.0" customHeight="1">
      <c r="A6232" s="11">
        <v>6231.0</v>
      </c>
      <c r="B6232" s="12">
        <f t="shared" ref="B6232:B6235" si="1000">DATE(2012,12,31)-378</f>
        <v>40896</v>
      </c>
      <c r="C6232" s="13">
        <v>2011.0</v>
      </c>
      <c r="D6232" s="11" t="s">
        <v>32</v>
      </c>
      <c r="E6232" s="11">
        <v>10.0</v>
      </c>
      <c r="F6232" s="21" t="s">
        <v>889</v>
      </c>
      <c r="G6232" s="15">
        <v>0.06737822956374412</v>
      </c>
      <c r="H6232" s="11" t="s">
        <v>33</v>
      </c>
      <c r="I6232" s="16">
        <v>7.192</v>
      </c>
      <c r="J6232" s="11" t="s">
        <v>491</v>
      </c>
      <c r="K6232" s="11" t="s">
        <v>47</v>
      </c>
      <c r="L6232" s="11" t="s">
        <v>48</v>
      </c>
      <c r="M6232" s="11" t="s">
        <v>28</v>
      </c>
      <c r="N6232" s="11" t="s">
        <v>62</v>
      </c>
      <c r="O6232" s="11" t="s">
        <v>890</v>
      </c>
      <c r="P6232" s="11" t="s">
        <v>99</v>
      </c>
      <c r="Q6232" s="20">
        <v>40898.0</v>
      </c>
      <c r="R6232" s="17">
        <f t="shared" si="2"/>
        <v>14.83614712</v>
      </c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>
        <f t="shared" si="8"/>
        <v>4</v>
      </c>
      <c r="AF6232" s="19">
        <f t="shared" si="13"/>
        <v>3</v>
      </c>
      <c r="AG6232" s="9"/>
      <c r="AH6232" s="9"/>
      <c r="AI6232" s="9"/>
    </row>
    <row r="6233" ht="15.0" customHeight="1">
      <c r="A6233" s="11">
        <v>6232.0</v>
      </c>
      <c r="B6233" s="12">
        <f t="shared" si="1000"/>
        <v>40896</v>
      </c>
      <c r="C6233" s="13">
        <v>2011.0</v>
      </c>
      <c r="D6233" s="11" t="s">
        <v>102</v>
      </c>
      <c r="E6233" s="11">
        <v>37.0</v>
      </c>
      <c r="F6233" s="21" t="s">
        <v>1521</v>
      </c>
      <c r="G6233" s="15">
        <v>0.09799557551786556</v>
      </c>
      <c r="H6233" s="11" t="s">
        <v>45</v>
      </c>
      <c r="I6233" s="16">
        <v>71.44</v>
      </c>
      <c r="J6233" s="11" t="s">
        <v>1715</v>
      </c>
      <c r="K6233" s="11" t="s">
        <v>26</v>
      </c>
      <c r="L6233" s="11" t="s">
        <v>36</v>
      </c>
      <c r="M6233" s="11" t="s">
        <v>49</v>
      </c>
      <c r="N6233" s="11" t="s">
        <v>85</v>
      </c>
      <c r="O6233" s="11" t="s">
        <v>1522</v>
      </c>
      <c r="P6233" s="11" t="s">
        <v>87</v>
      </c>
      <c r="Q6233" s="20">
        <v>40898.0</v>
      </c>
      <c r="R6233" s="17">
        <f t="shared" si="2"/>
        <v>263.7100135</v>
      </c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>
        <f t="shared" si="8"/>
        <v>2</v>
      </c>
      <c r="AF6233" s="19">
        <f t="shared" si="13"/>
        <v>1</v>
      </c>
      <c r="AG6233" s="9"/>
      <c r="AH6233" s="9"/>
      <c r="AI6233" s="9"/>
    </row>
    <row r="6234" ht="15.0" customHeight="1">
      <c r="A6234" s="11">
        <v>6233.0</v>
      </c>
      <c r="B6234" s="12">
        <f t="shared" si="1000"/>
        <v>40896</v>
      </c>
      <c r="C6234" s="13">
        <v>2011.0</v>
      </c>
      <c r="D6234" s="11" t="s">
        <v>23</v>
      </c>
      <c r="E6234" s="11">
        <v>31.0</v>
      </c>
      <c r="F6234" s="21" t="s">
        <v>2467</v>
      </c>
      <c r="G6234" s="15">
        <v>0.09221559785733743</v>
      </c>
      <c r="H6234" s="11" t="s">
        <v>33</v>
      </c>
      <c r="I6234" s="16">
        <v>11.192</v>
      </c>
      <c r="J6234" s="11" t="s">
        <v>1054</v>
      </c>
      <c r="K6234" s="11" t="s">
        <v>61</v>
      </c>
      <c r="L6234" s="11" t="s">
        <v>48</v>
      </c>
      <c r="M6234" s="11" t="s">
        <v>66</v>
      </c>
      <c r="N6234" s="11" t="s">
        <v>69</v>
      </c>
      <c r="O6234" s="11" t="s">
        <v>2468</v>
      </c>
      <c r="P6234" s="11" t="s">
        <v>75</v>
      </c>
      <c r="Q6234" s="20">
        <v>40898.0</v>
      </c>
      <c r="R6234" s="17">
        <f t="shared" si="2"/>
        <v>276.6091696</v>
      </c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>
        <f t="shared" si="8"/>
        <v>4</v>
      </c>
      <c r="AF6234" s="19">
        <f t="shared" si="13"/>
        <v>4</v>
      </c>
      <c r="AG6234" s="9"/>
      <c r="AH6234" s="9"/>
      <c r="AI6234" s="9"/>
    </row>
    <row r="6235" ht="15.0" customHeight="1">
      <c r="A6235" s="11">
        <v>6234.0</v>
      </c>
      <c r="B6235" s="12">
        <f t="shared" si="1000"/>
        <v>40896</v>
      </c>
      <c r="C6235" s="13">
        <v>2011.0</v>
      </c>
      <c r="D6235" s="11" t="s">
        <v>23</v>
      </c>
      <c r="E6235" s="11">
        <v>25.0</v>
      </c>
      <c r="F6235" s="21" t="s">
        <v>2013</v>
      </c>
      <c r="G6235" s="15">
        <v>0.03206051873198836</v>
      </c>
      <c r="H6235" s="11" t="s">
        <v>45</v>
      </c>
      <c r="I6235" s="16">
        <v>48.0</v>
      </c>
      <c r="J6235" s="11" t="s">
        <v>1054</v>
      </c>
      <c r="K6235" s="11" t="s">
        <v>61</v>
      </c>
      <c r="L6235" s="11" t="s">
        <v>48</v>
      </c>
      <c r="M6235" s="11" t="s">
        <v>49</v>
      </c>
      <c r="N6235" s="11" t="s">
        <v>85</v>
      </c>
      <c r="O6235" s="11" t="s">
        <v>2014</v>
      </c>
      <c r="P6235" s="11" t="s">
        <v>52</v>
      </c>
      <c r="Q6235" s="20">
        <v>40899.0</v>
      </c>
      <c r="R6235" s="17">
        <f t="shared" si="2"/>
        <v>129.2199207</v>
      </c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>
        <f t="shared" si="8"/>
        <v>4</v>
      </c>
      <c r="AF6235" s="19">
        <f t="shared" si="13"/>
        <v>4</v>
      </c>
      <c r="AG6235" s="9"/>
      <c r="AH6235" s="9"/>
      <c r="AI6235" s="9"/>
    </row>
    <row r="6236" ht="15.0" customHeight="1">
      <c r="A6236" s="11">
        <v>6235.0</v>
      </c>
      <c r="B6236" s="12">
        <f t="shared" ref="B6236:B6244" si="1001">DATE(2012,12,31)-377</f>
        <v>40897</v>
      </c>
      <c r="C6236" s="13">
        <v>2011.0</v>
      </c>
      <c r="D6236" s="11" t="s">
        <v>39</v>
      </c>
      <c r="E6236" s="11">
        <v>35.0</v>
      </c>
      <c r="F6236" s="21" t="s">
        <v>428</v>
      </c>
      <c r="G6236" s="15">
        <v>0.05876358695652159</v>
      </c>
      <c r="H6236" s="11" t="s">
        <v>45</v>
      </c>
      <c r="I6236" s="16">
        <v>22.200000000000003</v>
      </c>
      <c r="J6236" s="11" t="s">
        <v>2441</v>
      </c>
      <c r="K6236" s="11" t="s">
        <v>35</v>
      </c>
      <c r="L6236" s="11" t="s">
        <v>48</v>
      </c>
      <c r="M6236" s="11" t="s">
        <v>49</v>
      </c>
      <c r="N6236" s="11" t="s">
        <v>85</v>
      </c>
      <c r="O6236" s="11" t="s">
        <v>1668</v>
      </c>
      <c r="P6236" s="11" t="s">
        <v>87</v>
      </c>
      <c r="Q6236" s="20">
        <v>40899.0</v>
      </c>
      <c r="R6236" s="17">
        <f t="shared" si="2"/>
        <v>32.56677989</v>
      </c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>
        <f t="shared" si="8"/>
        <v>4</v>
      </c>
      <c r="AF6236" s="19">
        <f t="shared" si="13"/>
        <v>2</v>
      </c>
      <c r="AG6236" s="9"/>
      <c r="AH6236" s="9"/>
      <c r="AI6236" s="9"/>
    </row>
    <row r="6237" ht="15.0" customHeight="1">
      <c r="A6237" s="11">
        <v>6236.0</v>
      </c>
      <c r="B6237" s="12">
        <f t="shared" si="1001"/>
        <v>40897</v>
      </c>
      <c r="C6237" s="13">
        <v>2011.0</v>
      </c>
      <c r="D6237" s="11" t="s">
        <v>39</v>
      </c>
      <c r="E6237" s="11">
        <v>41.0</v>
      </c>
      <c r="F6237" s="21" t="s">
        <v>415</v>
      </c>
      <c r="G6237" s="15">
        <v>0.11178981937602615</v>
      </c>
      <c r="H6237" s="11" t="s">
        <v>33</v>
      </c>
      <c r="I6237" s="16">
        <v>2.3760000000000003</v>
      </c>
      <c r="J6237" s="11" t="s">
        <v>1252</v>
      </c>
      <c r="K6237" s="11" t="s">
        <v>35</v>
      </c>
      <c r="L6237" s="11" t="s">
        <v>27</v>
      </c>
      <c r="M6237" s="11" t="s">
        <v>28</v>
      </c>
      <c r="N6237" s="11" t="s">
        <v>56</v>
      </c>
      <c r="O6237" s="11" t="s">
        <v>2111</v>
      </c>
      <c r="P6237" s="11" t="s">
        <v>58</v>
      </c>
      <c r="Q6237" s="20">
        <v>40899.0</v>
      </c>
      <c r="R6237" s="17">
        <f t="shared" si="2"/>
        <v>18.14080473</v>
      </c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>
        <f t="shared" si="8"/>
        <v>1</v>
      </c>
      <c r="AF6237" s="19">
        <f t="shared" si="13"/>
        <v>2</v>
      </c>
      <c r="AG6237" s="9"/>
      <c r="AH6237" s="9"/>
      <c r="AI6237" s="9"/>
    </row>
    <row r="6238" ht="15.0" customHeight="1">
      <c r="A6238" s="11">
        <v>6237.0</v>
      </c>
      <c r="B6238" s="12">
        <f t="shared" si="1001"/>
        <v>40897</v>
      </c>
      <c r="C6238" s="13">
        <v>2011.0</v>
      </c>
      <c r="D6238" s="11" t="s">
        <v>39</v>
      </c>
      <c r="E6238" s="11">
        <v>10.0</v>
      </c>
      <c r="F6238" s="21" t="s">
        <v>629</v>
      </c>
      <c r="G6238" s="15">
        <v>0.06734434561626426</v>
      </c>
      <c r="H6238" s="11" t="s">
        <v>33</v>
      </c>
      <c r="I6238" s="16">
        <v>0.4</v>
      </c>
      <c r="J6238" s="11" t="s">
        <v>436</v>
      </c>
      <c r="K6238" s="11" t="s">
        <v>65</v>
      </c>
      <c r="L6238" s="11" t="s">
        <v>36</v>
      </c>
      <c r="M6238" s="11" t="s">
        <v>28</v>
      </c>
      <c r="N6238" s="11" t="s">
        <v>188</v>
      </c>
      <c r="O6238" s="11" t="s">
        <v>2584</v>
      </c>
      <c r="P6238" s="11" t="s">
        <v>38</v>
      </c>
      <c r="Q6238" s="20">
        <v>40899.0</v>
      </c>
      <c r="R6238" s="17">
        <f t="shared" si="2"/>
        <v>4.943074968</v>
      </c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>
        <f t="shared" si="8"/>
        <v>2</v>
      </c>
      <c r="AF6238" s="19">
        <f t="shared" si="13"/>
        <v>5</v>
      </c>
      <c r="AG6238" s="9"/>
      <c r="AH6238" s="9"/>
      <c r="AI6238" s="9"/>
    </row>
    <row r="6239" ht="15.0" customHeight="1">
      <c r="A6239" s="11">
        <v>6238.0</v>
      </c>
      <c r="B6239" s="12">
        <f t="shared" si="1001"/>
        <v>40897</v>
      </c>
      <c r="C6239" s="13">
        <v>2011.0</v>
      </c>
      <c r="D6239" s="11" t="s">
        <v>39</v>
      </c>
      <c r="E6239" s="11">
        <v>36.0</v>
      </c>
      <c r="F6239" s="21" t="s">
        <v>869</v>
      </c>
      <c r="G6239" s="15">
        <v>0.06643165424199443</v>
      </c>
      <c r="H6239" s="11" t="s">
        <v>33</v>
      </c>
      <c r="I6239" s="16">
        <v>0.792</v>
      </c>
      <c r="J6239" s="11" t="s">
        <v>436</v>
      </c>
      <c r="K6239" s="11" t="s">
        <v>65</v>
      </c>
      <c r="L6239" s="11" t="s">
        <v>36</v>
      </c>
      <c r="M6239" s="11" t="s">
        <v>66</v>
      </c>
      <c r="N6239" s="11" t="s">
        <v>80</v>
      </c>
      <c r="O6239" s="11" t="s">
        <v>870</v>
      </c>
      <c r="P6239" s="11" t="s">
        <v>58</v>
      </c>
      <c r="Q6239" s="20">
        <v>40899.0</v>
      </c>
      <c r="R6239" s="17">
        <f t="shared" si="2"/>
        <v>205.4858614</v>
      </c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>
        <f t="shared" si="8"/>
        <v>2</v>
      </c>
      <c r="AF6239" s="19">
        <f t="shared" si="13"/>
        <v>5</v>
      </c>
      <c r="AG6239" s="9"/>
      <c r="AH6239" s="9"/>
      <c r="AI6239" s="9"/>
    </row>
    <row r="6240" ht="15.0" customHeight="1">
      <c r="A6240" s="11">
        <v>6239.0</v>
      </c>
      <c r="B6240" s="12">
        <f t="shared" si="1001"/>
        <v>40897</v>
      </c>
      <c r="C6240" s="13">
        <v>2011.0</v>
      </c>
      <c r="D6240" s="11" t="s">
        <v>102</v>
      </c>
      <c r="E6240" s="11">
        <v>41.0</v>
      </c>
      <c r="F6240" s="21" t="s">
        <v>103</v>
      </c>
      <c r="G6240" s="15">
        <v>0.09127565982404694</v>
      </c>
      <c r="H6240" s="11" t="s">
        <v>33</v>
      </c>
      <c r="I6240" s="16">
        <v>6.0</v>
      </c>
      <c r="J6240" s="11" t="s">
        <v>2208</v>
      </c>
      <c r="K6240" s="11" t="s">
        <v>61</v>
      </c>
      <c r="L6240" s="11" t="s">
        <v>36</v>
      </c>
      <c r="M6240" s="11" t="s">
        <v>28</v>
      </c>
      <c r="N6240" s="11" t="s">
        <v>56</v>
      </c>
      <c r="O6240" s="11" t="s">
        <v>1701</v>
      </c>
      <c r="P6240" s="11" t="s">
        <v>38</v>
      </c>
      <c r="Q6240" s="20">
        <v>40899.0</v>
      </c>
      <c r="R6240" s="17">
        <f t="shared" si="2"/>
        <v>22.62723607</v>
      </c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>
        <f t="shared" si="8"/>
        <v>2</v>
      </c>
      <c r="AF6240" s="19">
        <f t="shared" si="13"/>
        <v>4</v>
      </c>
      <c r="AG6240" s="9"/>
      <c r="AH6240" s="9"/>
      <c r="AI6240" s="9"/>
    </row>
    <row r="6241" ht="15.0" customHeight="1">
      <c r="A6241" s="11">
        <v>6240.0</v>
      </c>
      <c r="B6241" s="12">
        <f t="shared" si="1001"/>
        <v>40897</v>
      </c>
      <c r="C6241" s="13">
        <v>2011.0</v>
      </c>
      <c r="D6241" s="11" t="s">
        <v>102</v>
      </c>
      <c r="E6241" s="11">
        <v>42.0</v>
      </c>
      <c r="F6241" s="21" t="s">
        <v>158</v>
      </c>
      <c r="G6241" s="15">
        <v>0.04671966816453515</v>
      </c>
      <c r="H6241" s="11" t="s">
        <v>33</v>
      </c>
      <c r="I6241" s="16">
        <v>6.984000000000001</v>
      </c>
      <c r="J6241" s="11" t="s">
        <v>2208</v>
      </c>
      <c r="K6241" s="11" t="s">
        <v>61</v>
      </c>
      <c r="L6241" s="11" t="s">
        <v>36</v>
      </c>
      <c r="M6241" s="11" t="s">
        <v>28</v>
      </c>
      <c r="N6241" s="11" t="s">
        <v>56</v>
      </c>
      <c r="O6241" s="11" t="s">
        <v>160</v>
      </c>
      <c r="P6241" s="11" t="s">
        <v>38</v>
      </c>
      <c r="Q6241" s="20">
        <v>40899.0</v>
      </c>
      <c r="R6241" s="17">
        <f t="shared" si="2"/>
        <v>12.88453697</v>
      </c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>
        <f t="shared" si="8"/>
        <v>2</v>
      </c>
      <c r="AF6241" s="19">
        <f t="shared" si="13"/>
        <v>4</v>
      </c>
      <c r="AG6241" s="9"/>
      <c r="AH6241" s="9"/>
      <c r="AI6241" s="9"/>
    </row>
    <row r="6242" ht="15.0" customHeight="1">
      <c r="A6242" s="11">
        <v>6241.0</v>
      </c>
      <c r="B6242" s="12">
        <f t="shared" si="1001"/>
        <v>40897</v>
      </c>
      <c r="C6242" s="13">
        <v>2011.0</v>
      </c>
      <c r="D6242" s="11" t="s">
        <v>39</v>
      </c>
      <c r="E6242" s="11">
        <v>47.0</v>
      </c>
      <c r="F6242" s="21" t="s">
        <v>1523</v>
      </c>
      <c r="G6242" s="15">
        <v>0.013024165386227065</v>
      </c>
      <c r="H6242" s="11" t="s">
        <v>24</v>
      </c>
      <c r="I6242" s="16">
        <v>1.576</v>
      </c>
      <c r="J6242" s="11" t="s">
        <v>1715</v>
      </c>
      <c r="K6242" s="11" t="s">
        <v>26</v>
      </c>
      <c r="L6242" s="11" t="s">
        <v>41</v>
      </c>
      <c r="M6242" s="11" t="s">
        <v>28</v>
      </c>
      <c r="N6242" s="11" t="s">
        <v>56</v>
      </c>
      <c r="O6242" s="11" t="s">
        <v>59</v>
      </c>
      <c r="P6242" s="11" t="s">
        <v>58</v>
      </c>
      <c r="Q6242" s="20">
        <v>40899.0</v>
      </c>
      <c r="R6242" s="17">
        <f t="shared" si="2"/>
        <v>9.202562682</v>
      </c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>
        <f t="shared" si="8"/>
        <v>3</v>
      </c>
      <c r="AF6242" s="19">
        <f t="shared" si="13"/>
        <v>1</v>
      </c>
      <c r="AG6242" s="9"/>
      <c r="AH6242" s="9"/>
      <c r="AI6242" s="9"/>
    </row>
    <row r="6243" ht="15.0" customHeight="1">
      <c r="A6243" s="11">
        <v>6242.0</v>
      </c>
      <c r="B6243" s="12">
        <f t="shared" si="1001"/>
        <v>40897</v>
      </c>
      <c r="C6243" s="13">
        <v>2011.0</v>
      </c>
      <c r="D6243" s="11" t="s">
        <v>102</v>
      </c>
      <c r="E6243" s="11">
        <v>27.0</v>
      </c>
      <c r="F6243" s="21" t="s">
        <v>943</v>
      </c>
      <c r="G6243" s="15">
        <v>0.09167070858503465</v>
      </c>
      <c r="H6243" s="11" t="s">
        <v>33</v>
      </c>
      <c r="I6243" s="16">
        <v>5.2</v>
      </c>
      <c r="J6243" s="11" t="s">
        <v>1767</v>
      </c>
      <c r="K6243" s="11" t="s">
        <v>35</v>
      </c>
      <c r="L6243" s="11" t="s">
        <v>27</v>
      </c>
      <c r="M6243" s="11" t="s">
        <v>66</v>
      </c>
      <c r="N6243" s="11" t="s">
        <v>67</v>
      </c>
      <c r="O6243" s="11" t="s">
        <v>944</v>
      </c>
      <c r="P6243" s="11" t="s">
        <v>38</v>
      </c>
      <c r="Q6243" s="20">
        <v>40899.0</v>
      </c>
      <c r="R6243" s="17">
        <f t="shared" si="2"/>
        <v>377.6833194</v>
      </c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>
        <f t="shared" si="8"/>
        <v>1</v>
      </c>
      <c r="AF6243" s="19">
        <f t="shared" si="13"/>
        <v>2</v>
      </c>
      <c r="AG6243" s="9"/>
      <c r="AH6243" s="9"/>
      <c r="AI6243" s="9"/>
    </row>
    <row r="6244" ht="15.0" customHeight="1">
      <c r="A6244" s="11">
        <v>6243.0</v>
      </c>
      <c r="B6244" s="12">
        <f t="shared" si="1001"/>
        <v>40897</v>
      </c>
      <c r="C6244" s="13">
        <v>2011.0</v>
      </c>
      <c r="D6244" s="11" t="s">
        <v>102</v>
      </c>
      <c r="E6244" s="11">
        <v>5.0</v>
      </c>
      <c r="F6244" s="21" t="s">
        <v>126</v>
      </c>
      <c r="G6244" s="15">
        <v>0.1304615384615384</v>
      </c>
      <c r="H6244" s="11" t="s">
        <v>33</v>
      </c>
      <c r="I6244" s="16">
        <v>3.7600000000000002</v>
      </c>
      <c r="J6244" s="11" t="s">
        <v>1767</v>
      </c>
      <c r="K6244" s="11" t="s">
        <v>35</v>
      </c>
      <c r="L6244" s="11" t="s">
        <v>27</v>
      </c>
      <c r="M6244" s="11" t="s">
        <v>28</v>
      </c>
      <c r="N6244" s="11" t="s">
        <v>56</v>
      </c>
      <c r="O6244" s="11" t="s">
        <v>1730</v>
      </c>
      <c r="P6244" s="11" t="s">
        <v>38</v>
      </c>
      <c r="Q6244" s="20">
        <v>40899.0</v>
      </c>
      <c r="R6244" s="17">
        <f t="shared" si="2"/>
        <v>3.686843077</v>
      </c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>
        <f t="shared" si="8"/>
        <v>1</v>
      </c>
      <c r="AF6244" s="19">
        <f t="shared" si="13"/>
        <v>2</v>
      </c>
      <c r="AG6244" s="9"/>
      <c r="AH6244" s="9"/>
      <c r="AI6244" s="9"/>
    </row>
    <row r="6245" ht="15.0" customHeight="1">
      <c r="A6245" s="11">
        <v>6244.0</v>
      </c>
      <c r="B6245" s="12">
        <f t="shared" ref="B6245:B6250" si="1002">DATE(2012,12,31)-376</f>
        <v>40898</v>
      </c>
      <c r="C6245" s="13">
        <v>2011.0</v>
      </c>
      <c r="D6245" s="11" t="s">
        <v>23</v>
      </c>
      <c r="E6245" s="11">
        <v>38.0</v>
      </c>
      <c r="F6245" s="21" t="s">
        <v>204</v>
      </c>
      <c r="G6245" s="15">
        <v>0.030196445275958786</v>
      </c>
      <c r="H6245" s="11" t="s">
        <v>33</v>
      </c>
      <c r="I6245" s="16">
        <v>1.072</v>
      </c>
      <c r="J6245" s="11" t="s">
        <v>2311</v>
      </c>
      <c r="K6245" s="11" t="s">
        <v>61</v>
      </c>
      <c r="L6245" s="11" t="s">
        <v>27</v>
      </c>
      <c r="M6245" s="11" t="s">
        <v>28</v>
      </c>
      <c r="N6245" s="11" t="s">
        <v>62</v>
      </c>
      <c r="O6245" s="11" t="s">
        <v>1514</v>
      </c>
      <c r="P6245" s="11" t="s">
        <v>58</v>
      </c>
      <c r="Q6245" s="20">
        <v>40900.0</v>
      </c>
      <c r="R6245" s="17">
        <f t="shared" si="2"/>
        <v>3.130525875</v>
      </c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>
        <f t="shared" si="8"/>
        <v>1</v>
      </c>
      <c r="AF6245" s="19">
        <f t="shared" si="13"/>
        <v>4</v>
      </c>
      <c r="AG6245" s="9"/>
      <c r="AH6245" s="9"/>
      <c r="AI6245" s="9"/>
    </row>
    <row r="6246" ht="15.0" customHeight="1">
      <c r="A6246" s="11">
        <v>6245.0</v>
      </c>
      <c r="B6246" s="12">
        <f t="shared" si="1002"/>
        <v>40898</v>
      </c>
      <c r="C6246" s="13">
        <v>2011.0</v>
      </c>
      <c r="D6246" s="11" t="s">
        <v>32</v>
      </c>
      <c r="E6246" s="11">
        <v>14.0</v>
      </c>
      <c r="F6246" s="21" t="s">
        <v>1573</v>
      </c>
      <c r="G6246" s="15">
        <v>0.04532178217821772</v>
      </c>
      <c r="H6246" s="11" t="s">
        <v>33</v>
      </c>
      <c r="I6246" s="16">
        <v>4.752000000000001</v>
      </c>
      <c r="J6246" s="11" t="s">
        <v>1228</v>
      </c>
      <c r="K6246" s="11" t="s">
        <v>83</v>
      </c>
      <c r="L6246" s="11" t="s">
        <v>41</v>
      </c>
      <c r="M6246" s="11" t="s">
        <v>28</v>
      </c>
      <c r="N6246" s="11" t="s">
        <v>197</v>
      </c>
      <c r="O6246" s="11" t="s">
        <v>1574</v>
      </c>
      <c r="P6246" s="11" t="s">
        <v>75</v>
      </c>
      <c r="Q6246" s="20">
        <v>40900.0</v>
      </c>
      <c r="R6246" s="17">
        <f t="shared" si="2"/>
        <v>13.98412653</v>
      </c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>
        <f t="shared" si="8"/>
        <v>3</v>
      </c>
      <c r="AF6246" s="19" t="b">
        <f t="shared" si="13"/>
        <v>0</v>
      </c>
      <c r="AG6246" s="9"/>
      <c r="AH6246" s="9"/>
      <c r="AI6246" s="9"/>
    </row>
    <row r="6247" ht="15.0" customHeight="1">
      <c r="A6247" s="11">
        <v>6246.0</v>
      </c>
      <c r="B6247" s="12">
        <f t="shared" si="1002"/>
        <v>40898</v>
      </c>
      <c r="C6247" s="13">
        <v>2011.0</v>
      </c>
      <c r="D6247" s="11" t="s">
        <v>23</v>
      </c>
      <c r="E6247" s="11">
        <v>46.0</v>
      </c>
      <c r="F6247" s="21" t="s">
        <v>359</v>
      </c>
      <c r="G6247" s="15">
        <v>0.08542640022516176</v>
      </c>
      <c r="H6247" s="11" t="s">
        <v>24</v>
      </c>
      <c r="I6247" s="16">
        <v>7.192</v>
      </c>
      <c r="J6247" s="11" t="s">
        <v>1217</v>
      </c>
      <c r="K6247" s="11" t="s">
        <v>26</v>
      </c>
      <c r="L6247" s="11" t="s">
        <v>36</v>
      </c>
      <c r="M6247" s="11" t="s">
        <v>28</v>
      </c>
      <c r="N6247" s="11" t="s">
        <v>62</v>
      </c>
      <c r="O6247" s="11" t="s">
        <v>2547</v>
      </c>
      <c r="P6247" s="11" t="s">
        <v>99</v>
      </c>
      <c r="Q6247" s="20">
        <v>40900.0</v>
      </c>
      <c r="R6247" s="17">
        <f t="shared" si="2"/>
        <v>111.0365516</v>
      </c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>
        <f t="shared" si="8"/>
        <v>2</v>
      </c>
      <c r="AF6247" s="19">
        <f t="shared" si="13"/>
        <v>1</v>
      </c>
      <c r="AG6247" s="9"/>
      <c r="AH6247" s="9"/>
      <c r="AI6247" s="9"/>
    </row>
    <row r="6248" ht="15.0" customHeight="1">
      <c r="A6248" s="11">
        <v>6247.0</v>
      </c>
      <c r="B6248" s="12">
        <f t="shared" si="1002"/>
        <v>40898</v>
      </c>
      <c r="C6248" s="13">
        <v>2011.0</v>
      </c>
      <c r="D6248" s="11" t="s">
        <v>23</v>
      </c>
      <c r="E6248" s="11">
        <v>28.0</v>
      </c>
      <c r="F6248" s="21" t="s">
        <v>299</v>
      </c>
      <c r="G6248" s="15">
        <v>0.08532997057587226</v>
      </c>
      <c r="H6248" s="11" t="s">
        <v>24</v>
      </c>
      <c r="I6248" s="16">
        <v>2.0</v>
      </c>
      <c r="J6248" s="11" t="s">
        <v>1217</v>
      </c>
      <c r="K6248" s="11" t="s">
        <v>26</v>
      </c>
      <c r="L6248" s="11" t="s">
        <v>36</v>
      </c>
      <c r="M6248" s="11" t="s">
        <v>28</v>
      </c>
      <c r="N6248" s="11" t="s">
        <v>236</v>
      </c>
      <c r="O6248" s="11" t="s">
        <v>1408</v>
      </c>
      <c r="P6248" s="11" t="s">
        <v>38</v>
      </c>
      <c r="Q6248" s="20">
        <v>40900.0</v>
      </c>
      <c r="R6248" s="17">
        <f t="shared" si="2"/>
        <v>18.5678016</v>
      </c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>
        <f t="shared" si="8"/>
        <v>2</v>
      </c>
      <c r="AF6248" s="19">
        <f t="shared" si="13"/>
        <v>1</v>
      </c>
      <c r="AG6248" s="9"/>
      <c r="AH6248" s="9"/>
      <c r="AI6248" s="9"/>
    </row>
    <row r="6249" ht="15.0" customHeight="1">
      <c r="A6249" s="11">
        <v>6248.0</v>
      </c>
      <c r="B6249" s="12">
        <f t="shared" si="1002"/>
        <v>40898</v>
      </c>
      <c r="C6249" s="13">
        <v>2011.0</v>
      </c>
      <c r="D6249" s="11" t="s">
        <v>44</v>
      </c>
      <c r="E6249" s="11">
        <v>29.0</v>
      </c>
      <c r="F6249" s="21" t="s">
        <v>1399</v>
      </c>
      <c r="G6249" s="15">
        <v>0.09491622239147006</v>
      </c>
      <c r="H6249" s="11" t="s">
        <v>33</v>
      </c>
      <c r="I6249" s="16">
        <v>28.0</v>
      </c>
      <c r="J6249" s="11" t="s">
        <v>2531</v>
      </c>
      <c r="K6249" s="11" t="s">
        <v>35</v>
      </c>
      <c r="L6249" s="11" t="s">
        <v>48</v>
      </c>
      <c r="M6249" s="11" t="s">
        <v>28</v>
      </c>
      <c r="N6249" s="11" t="s">
        <v>29</v>
      </c>
      <c r="O6249" s="11" t="s">
        <v>1400</v>
      </c>
      <c r="P6249" s="11" t="s">
        <v>31</v>
      </c>
      <c r="Q6249" s="20">
        <v>40900.0</v>
      </c>
      <c r="R6249" s="17">
        <f t="shared" si="2"/>
        <v>180.4737053</v>
      </c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>
        <f t="shared" si="8"/>
        <v>4</v>
      </c>
      <c r="AF6249" s="19">
        <f t="shared" si="13"/>
        <v>2</v>
      </c>
      <c r="AG6249" s="9"/>
      <c r="AH6249" s="9"/>
      <c r="AI6249" s="9"/>
    </row>
    <row r="6250" ht="15.0" customHeight="1">
      <c r="A6250" s="11">
        <v>6249.0</v>
      </c>
      <c r="B6250" s="12">
        <f t="shared" si="1002"/>
        <v>40898</v>
      </c>
      <c r="C6250" s="13">
        <v>2011.0</v>
      </c>
      <c r="D6250" s="11" t="s">
        <v>32</v>
      </c>
      <c r="E6250" s="11">
        <v>49.0</v>
      </c>
      <c r="F6250" s="21" t="s">
        <v>2089</v>
      </c>
      <c r="G6250" s="15">
        <v>0.0745206661371169</v>
      </c>
      <c r="H6250" s="11" t="s">
        <v>45</v>
      </c>
      <c r="I6250" s="16">
        <v>36.56</v>
      </c>
      <c r="J6250" s="11" t="s">
        <v>2063</v>
      </c>
      <c r="K6250" s="11" t="s">
        <v>83</v>
      </c>
      <c r="L6250" s="11" t="s">
        <v>27</v>
      </c>
      <c r="M6250" s="11" t="s">
        <v>49</v>
      </c>
      <c r="N6250" s="11" t="s">
        <v>85</v>
      </c>
      <c r="O6250" s="11" t="s">
        <v>2090</v>
      </c>
      <c r="P6250" s="11" t="s">
        <v>87</v>
      </c>
      <c r="Q6250" s="20">
        <v>40900.0</v>
      </c>
      <c r="R6250" s="17">
        <f t="shared" si="2"/>
        <v>2014.342789</v>
      </c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>
        <f t="shared" si="8"/>
        <v>1</v>
      </c>
      <c r="AF6250" s="19" t="b">
        <f t="shared" si="13"/>
        <v>0</v>
      </c>
      <c r="AG6250" s="9"/>
      <c r="AH6250" s="9"/>
      <c r="AI6250" s="9"/>
    </row>
    <row r="6251" ht="15.0" customHeight="1">
      <c r="A6251" s="11">
        <v>6250.0</v>
      </c>
      <c r="B6251" s="12">
        <f t="shared" ref="B6251:B6255" si="1003">DATE(2012,12,31)-375</f>
        <v>40899</v>
      </c>
      <c r="C6251" s="13">
        <v>2011.0</v>
      </c>
      <c r="D6251" s="11" t="s">
        <v>39</v>
      </c>
      <c r="E6251" s="11">
        <v>48.0</v>
      </c>
      <c r="F6251" s="21" t="s">
        <v>342</v>
      </c>
      <c r="G6251" s="15">
        <v>0.06651139130905363</v>
      </c>
      <c r="H6251" s="11" t="s">
        <v>45</v>
      </c>
      <c r="I6251" s="16">
        <v>23.368000000000002</v>
      </c>
      <c r="J6251" s="11" t="s">
        <v>1560</v>
      </c>
      <c r="K6251" s="11" t="s">
        <v>26</v>
      </c>
      <c r="L6251" s="11" t="s">
        <v>27</v>
      </c>
      <c r="M6251" s="11" t="s">
        <v>49</v>
      </c>
      <c r="N6251" s="11" t="s">
        <v>85</v>
      </c>
      <c r="O6251" s="11" t="s">
        <v>343</v>
      </c>
      <c r="P6251" s="11" t="s">
        <v>87</v>
      </c>
      <c r="Q6251" s="20">
        <v>40900.0</v>
      </c>
      <c r="R6251" s="17">
        <f t="shared" si="2"/>
        <v>573.6586217</v>
      </c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>
        <f t="shared" si="8"/>
        <v>1</v>
      </c>
      <c r="AF6251" s="19">
        <f t="shared" si="13"/>
        <v>1</v>
      </c>
      <c r="AG6251" s="9"/>
      <c r="AH6251" s="9"/>
      <c r="AI6251" s="9"/>
    </row>
    <row r="6252" ht="15.0" customHeight="1">
      <c r="A6252" s="11">
        <v>6251.0</v>
      </c>
      <c r="B6252" s="12">
        <f t="shared" si="1003"/>
        <v>40899</v>
      </c>
      <c r="C6252" s="13">
        <v>2011.0</v>
      </c>
      <c r="D6252" s="11" t="s">
        <v>39</v>
      </c>
      <c r="E6252" s="11">
        <v>26.0</v>
      </c>
      <c r="F6252" s="21" t="s">
        <v>245</v>
      </c>
      <c r="G6252" s="15">
        <v>0.06649446494464935</v>
      </c>
      <c r="H6252" s="11" t="s">
        <v>33</v>
      </c>
      <c r="I6252" s="16">
        <v>4.576</v>
      </c>
      <c r="J6252" s="11" t="s">
        <v>1560</v>
      </c>
      <c r="K6252" s="11" t="s">
        <v>26</v>
      </c>
      <c r="L6252" s="11" t="s">
        <v>27</v>
      </c>
      <c r="M6252" s="11" t="s">
        <v>28</v>
      </c>
      <c r="N6252" s="11" t="s">
        <v>236</v>
      </c>
      <c r="O6252" s="11" t="s">
        <v>376</v>
      </c>
      <c r="P6252" s="11" t="s">
        <v>38</v>
      </c>
      <c r="Q6252" s="20">
        <v>40900.0</v>
      </c>
      <c r="R6252" s="17">
        <f t="shared" si="2"/>
        <v>20.18612369</v>
      </c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>
        <f t="shared" si="8"/>
        <v>1</v>
      </c>
      <c r="AF6252" s="19">
        <f t="shared" si="13"/>
        <v>1</v>
      </c>
      <c r="AG6252" s="9"/>
      <c r="AH6252" s="9"/>
      <c r="AI6252" s="9"/>
    </row>
    <row r="6253" ht="15.0" customHeight="1">
      <c r="A6253" s="11">
        <v>6252.0</v>
      </c>
      <c r="B6253" s="12">
        <f t="shared" si="1003"/>
        <v>40899</v>
      </c>
      <c r="C6253" s="13">
        <v>2011.0</v>
      </c>
      <c r="D6253" s="11" t="s">
        <v>32</v>
      </c>
      <c r="E6253" s="11">
        <v>3.0</v>
      </c>
      <c r="F6253" s="21" t="s">
        <v>359</v>
      </c>
      <c r="G6253" s="15">
        <v>0.01505518763796883</v>
      </c>
      <c r="H6253" s="11" t="s">
        <v>33</v>
      </c>
      <c r="I6253" s="16">
        <v>4.936</v>
      </c>
      <c r="J6253" s="11" t="s">
        <v>1901</v>
      </c>
      <c r="K6253" s="11" t="s">
        <v>35</v>
      </c>
      <c r="L6253" s="11" t="s">
        <v>48</v>
      </c>
      <c r="M6253" s="11" t="s">
        <v>28</v>
      </c>
      <c r="N6253" s="11" t="s">
        <v>62</v>
      </c>
      <c r="O6253" s="11" t="s">
        <v>361</v>
      </c>
      <c r="P6253" s="11" t="s">
        <v>99</v>
      </c>
      <c r="Q6253" s="20">
        <v>40901.0</v>
      </c>
      <c r="R6253" s="17">
        <f t="shared" si="2"/>
        <v>1.343464724</v>
      </c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>
        <f t="shared" si="8"/>
        <v>4</v>
      </c>
      <c r="AF6253" s="19">
        <f t="shared" si="13"/>
        <v>2</v>
      </c>
      <c r="AG6253" s="9"/>
      <c r="AH6253" s="9"/>
      <c r="AI6253" s="9"/>
    </row>
    <row r="6254" ht="15.0" customHeight="1">
      <c r="A6254" s="11">
        <v>6253.0</v>
      </c>
      <c r="B6254" s="12">
        <f t="shared" si="1003"/>
        <v>40899</v>
      </c>
      <c r="C6254" s="13">
        <v>2011.0</v>
      </c>
      <c r="D6254" s="11" t="s">
        <v>32</v>
      </c>
      <c r="E6254" s="11">
        <v>42.0</v>
      </c>
      <c r="F6254" s="21" t="s">
        <v>204</v>
      </c>
      <c r="G6254" s="15">
        <v>0.08479999999999996</v>
      </c>
      <c r="H6254" s="11" t="s">
        <v>24</v>
      </c>
      <c r="I6254" s="16">
        <v>1.0</v>
      </c>
      <c r="J6254" s="11" t="s">
        <v>1901</v>
      </c>
      <c r="K6254" s="11" t="s">
        <v>35</v>
      </c>
      <c r="L6254" s="11" t="s">
        <v>48</v>
      </c>
      <c r="M6254" s="11" t="s">
        <v>28</v>
      </c>
      <c r="N6254" s="11" t="s">
        <v>62</v>
      </c>
      <c r="O6254" s="11" t="s">
        <v>1105</v>
      </c>
      <c r="P6254" s="11" t="s">
        <v>58</v>
      </c>
      <c r="Q6254" s="20">
        <v>40901.0</v>
      </c>
      <c r="R6254" s="17">
        <f t="shared" si="2"/>
        <v>9.70112</v>
      </c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>
        <f t="shared" si="8"/>
        <v>4</v>
      </c>
      <c r="AF6254" s="19">
        <f t="shared" si="13"/>
        <v>2</v>
      </c>
      <c r="AG6254" s="9"/>
      <c r="AH6254" s="9"/>
      <c r="AI6254" s="9"/>
    </row>
    <row r="6255" ht="15.0" customHeight="1">
      <c r="A6255" s="11">
        <v>6254.0</v>
      </c>
      <c r="B6255" s="12">
        <f t="shared" si="1003"/>
        <v>40899</v>
      </c>
      <c r="C6255" s="13">
        <v>2011.0</v>
      </c>
      <c r="D6255" s="11" t="s">
        <v>32</v>
      </c>
      <c r="E6255" s="11">
        <v>17.0</v>
      </c>
      <c r="F6255" s="21" t="s">
        <v>415</v>
      </c>
      <c r="G6255" s="15">
        <v>0.07832679738562097</v>
      </c>
      <c r="H6255" s="11" t="s">
        <v>33</v>
      </c>
      <c r="I6255" s="16">
        <v>4.208</v>
      </c>
      <c r="J6255" s="11" t="s">
        <v>1444</v>
      </c>
      <c r="K6255" s="11" t="s">
        <v>61</v>
      </c>
      <c r="L6255" s="11" t="s">
        <v>36</v>
      </c>
      <c r="M6255" s="11" t="s">
        <v>28</v>
      </c>
      <c r="N6255" s="11" t="s">
        <v>42</v>
      </c>
      <c r="O6255" s="11" t="s">
        <v>971</v>
      </c>
      <c r="P6255" s="11" t="s">
        <v>38</v>
      </c>
      <c r="Q6255" s="20">
        <v>40902.0</v>
      </c>
      <c r="R6255" s="17">
        <f t="shared" si="2"/>
        <v>5.52266583</v>
      </c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>
        <f t="shared" si="8"/>
        <v>2</v>
      </c>
      <c r="AF6255" s="19">
        <f t="shared" si="13"/>
        <v>4</v>
      </c>
      <c r="AG6255" s="9"/>
      <c r="AH6255" s="9"/>
      <c r="AI6255" s="9"/>
    </row>
    <row r="6256" ht="15.0" customHeight="1">
      <c r="A6256" s="11">
        <v>6255.0</v>
      </c>
      <c r="B6256" s="12">
        <f t="shared" ref="B6256:B6262" si="1004">DATE(2012,12,31)-373</f>
        <v>40901</v>
      </c>
      <c r="C6256" s="13">
        <v>2011.0</v>
      </c>
      <c r="D6256" s="11" t="s">
        <v>102</v>
      </c>
      <c r="E6256" s="11">
        <v>50.0</v>
      </c>
      <c r="F6256" s="21" t="s">
        <v>707</v>
      </c>
      <c r="G6256" s="15">
        <v>0.052964539007092123</v>
      </c>
      <c r="H6256" s="11" t="s">
        <v>33</v>
      </c>
      <c r="I6256" s="16">
        <v>4.128</v>
      </c>
      <c r="J6256" s="11" t="s">
        <v>1353</v>
      </c>
      <c r="K6256" s="11" t="s">
        <v>26</v>
      </c>
      <c r="L6256" s="11" t="s">
        <v>36</v>
      </c>
      <c r="M6256" s="11" t="s">
        <v>49</v>
      </c>
      <c r="N6256" s="11" t="s">
        <v>73</v>
      </c>
      <c r="O6256" s="11" t="s">
        <v>975</v>
      </c>
      <c r="P6256" s="11" t="s">
        <v>38</v>
      </c>
      <c r="Q6256" s="20">
        <v>40902.0</v>
      </c>
      <c r="R6256" s="17">
        <f t="shared" si="2"/>
        <v>28.28984329</v>
      </c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>
        <f t="shared" si="8"/>
        <v>2</v>
      </c>
      <c r="AF6256" s="19">
        <f t="shared" si="13"/>
        <v>1</v>
      </c>
      <c r="AG6256" s="9"/>
      <c r="AH6256" s="9"/>
      <c r="AI6256" s="9"/>
    </row>
    <row r="6257" ht="15.0" customHeight="1">
      <c r="A6257" s="11">
        <v>6256.0</v>
      </c>
      <c r="B6257" s="12">
        <f t="shared" si="1004"/>
        <v>40901</v>
      </c>
      <c r="C6257" s="13">
        <v>2011.0</v>
      </c>
      <c r="D6257" s="11" t="s">
        <v>102</v>
      </c>
      <c r="E6257" s="11">
        <v>18.0</v>
      </c>
      <c r="F6257" s="21" t="s">
        <v>425</v>
      </c>
      <c r="G6257" s="15">
        <v>0.05471688444786075</v>
      </c>
      <c r="H6257" s="11" t="s">
        <v>24</v>
      </c>
      <c r="I6257" s="16">
        <v>5.344</v>
      </c>
      <c r="J6257" s="11" t="s">
        <v>1353</v>
      </c>
      <c r="K6257" s="11" t="s">
        <v>26</v>
      </c>
      <c r="L6257" s="11" t="s">
        <v>36</v>
      </c>
      <c r="M6257" s="11" t="s">
        <v>49</v>
      </c>
      <c r="N6257" s="11" t="s">
        <v>73</v>
      </c>
      <c r="O6257" s="11" t="s">
        <v>2041</v>
      </c>
      <c r="P6257" s="11" t="s">
        <v>38</v>
      </c>
      <c r="Q6257" s="20">
        <v>40902.0</v>
      </c>
      <c r="R6257" s="17">
        <f t="shared" si="2"/>
        <v>20.18746622</v>
      </c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>
        <f t="shared" si="8"/>
        <v>2</v>
      </c>
      <c r="AF6257" s="19">
        <f t="shared" si="13"/>
        <v>1</v>
      </c>
      <c r="AG6257" s="9"/>
      <c r="AH6257" s="9"/>
      <c r="AI6257" s="9"/>
    </row>
    <row r="6258" ht="15.0" customHeight="1">
      <c r="A6258" s="11">
        <v>6257.0</v>
      </c>
      <c r="B6258" s="12">
        <f t="shared" si="1004"/>
        <v>40901</v>
      </c>
      <c r="C6258" s="13">
        <v>2011.0</v>
      </c>
      <c r="D6258" s="11" t="s">
        <v>32</v>
      </c>
      <c r="E6258" s="11">
        <v>12.0</v>
      </c>
      <c r="F6258" s="21" t="s">
        <v>166</v>
      </c>
      <c r="G6258" s="15">
        <v>0.12734426229508208</v>
      </c>
      <c r="H6258" s="11" t="s">
        <v>33</v>
      </c>
      <c r="I6258" s="16">
        <v>3.816</v>
      </c>
      <c r="J6258" s="11" t="s">
        <v>1752</v>
      </c>
      <c r="K6258" s="11" t="s">
        <v>83</v>
      </c>
      <c r="L6258" s="11" t="s">
        <v>41</v>
      </c>
      <c r="M6258" s="11" t="s">
        <v>28</v>
      </c>
      <c r="N6258" s="11" t="s">
        <v>42</v>
      </c>
      <c r="O6258" s="11" t="s">
        <v>168</v>
      </c>
      <c r="P6258" s="11" t="s">
        <v>38</v>
      </c>
      <c r="Q6258" s="20">
        <v>40902.0</v>
      </c>
      <c r="R6258" s="17">
        <f t="shared" si="2"/>
        <v>3.389394885</v>
      </c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>
        <f t="shared" si="8"/>
        <v>3</v>
      </c>
      <c r="AF6258" s="19" t="b">
        <f t="shared" si="13"/>
        <v>0</v>
      </c>
      <c r="AG6258" s="9"/>
      <c r="AH6258" s="9"/>
      <c r="AI6258" s="9"/>
    </row>
    <row r="6259" ht="15.0" customHeight="1">
      <c r="A6259" s="11">
        <v>6258.0</v>
      </c>
      <c r="B6259" s="12">
        <f t="shared" si="1004"/>
        <v>40901</v>
      </c>
      <c r="C6259" s="13">
        <v>2011.0</v>
      </c>
      <c r="D6259" s="11" t="s">
        <v>44</v>
      </c>
      <c r="E6259" s="11">
        <v>25.0</v>
      </c>
      <c r="F6259" s="21" t="s">
        <v>115</v>
      </c>
      <c r="G6259" s="15">
        <v>0.039463300133223314</v>
      </c>
      <c r="H6259" s="11" t="s">
        <v>33</v>
      </c>
      <c r="I6259" s="16">
        <v>5.688000000000001</v>
      </c>
      <c r="J6259" s="11" t="s">
        <v>1652</v>
      </c>
      <c r="K6259" s="11" t="s">
        <v>117</v>
      </c>
      <c r="L6259" s="11" t="s">
        <v>48</v>
      </c>
      <c r="M6259" s="11" t="s">
        <v>66</v>
      </c>
      <c r="N6259" s="11" t="s">
        <v>69</v>
      </c>
      <c r="O6259" s="11" t="s">
        <v>1833</v>
      </c>
      <c r="P6259" s="11" t="s">
        <v>75</v>
      </c>
      <c r="Q6259" s="20">
        <v>40902.0</v>
      </c>
      <c r="R6259" s="17">
        <f t="shared" si="2"/>
        <v>119.5022919</v>
      </c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>
        <f t="shared" si="8"/>
        <v>4</v>
      </c>
      <c r="AF6259" s="19" t="b">
        <f t="shared" si="13"/>
        <v>0</v>
      </c>
      <c r="AG6259" s="9"/>
      <c r="AH6259" s="9"/>
      <c r="AI6259" s="9"/>
    </row>
    <row r="6260" ht="15.0" customHeight="1">
      <c r="A6260" s="11">
        <v>6259.0</v>
      </c>
      <c r="B6260" s="12">
        <f t="shared" si="1004"/>
        <v>40901</v>
      </c>
      <c r="C6260" s="13">
        <v>2011.0</v>
      </c>
      <c r="D6260" s="11" t="s">
        <v>23</v>
      </c>
      <c r="E6260" s="11">
        <v>20.0</v>
      </c>
      <c r="F6260" s="21" t="s">
        <v>1911</v>
      </c>
      <c r="G6260" s="15">
        <v>0.006449146757679244</v>
      </c>
      <c r="H6260" s="11" t="s">
        <v>33</v>
      </c>
      <c r="I6260" s="16">
        <v>11.776000000000002</v>
      </c>
      <c r="J6260" s="11" t="s">
        <v>546</v>
      </c>
      <c r="K6260" s="11" t="s">
        <v>61</v>
      </c>
      <c r="L6260" s="11" t="s">
        <v>36</v>
      </c>
      <c r="M6260" s="11" t="s">
        <v>28</v>
      </c>
      <c r="N6260" s="11" t="s">
        <v>236</v>
      </c>
      <c r="O6260" s="11" t="s">
        <v>1912</v>
      </c>
      <c r="P6260" s="11" t="s">
        <v>38</v>
      </c>
      <c r="Q6260" s="20">
        <v>40902.0</v>
      </c>
      <c r="R6260" s="17">
        <f t="shared" si="2"/>
        <v>4.693534231</v>
      </c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>
        <f t="shared" si="8"/>
        <v>2</v>
      </c>
      <c r="AF6260" s="19">
        <f t="shared" si="13"/>
        <v>4</v>
      </c>
      <c r="AG6260" s="9"/>
      <c r="AH6260" s="9"/>
      <c r="AI6260" s="9"/>
    </row>
    <row r="6261" ht="15.0" customHeight="1">
      <c r="A6261" s="11">
        <v>6260.0</v>
      </c>
      <c r="B6261" s="12">
        <f t="shared" si="1004"/>
        <v>40901</v>
      </c>
      <c r="C6261" s="13">
        <v>2011.0</v>
      </c>
      <c r="D6261" s="11" t="s">
        <v>102</v>
      </c>
      <c r="E6261" s="11">
        <v>9.0</v>
      </c>
      <c r="F6261" s="21" t="s">
        <v>493</v>
      </c>
      <c r="G6261" s="15">
        <v>0.03031047667601323</v>
      </c>
      <c r="H6261" s="11" t="s">
        <v>24</v>
      </c>
      <c r="I6261" s="16">
        <v>15.991999999999999</v>
      </c>
      <c r="J6261" s="11" t="s">
        <v>2068</v>
      </c>
      <c r="K6261" s="11" t="s">
        <v>61</v>
      </c>
      <c r="L6261" s="11" t="s">
        <v>41</v>
      </c>
      <c r="M6261" s="11" t="s">
        <v>28</v>
      </c>
      <c r="N6261" s="11" t="s">
        <v>42</v>
      </c>
      <c r="O6261" s="11" t="s">
        <v>495</v>
      </c>
      <c r="P6261" s="11" t="s">
        <v>38</v>
      </c>
      <c r="Q6261" s="20">
        <v>40903.0</v>
      </c>
      <c r="R6261" s="17">
        <f t="shared" si="2"/>
        <v>115.3038418</v>
      </c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>
        <f t="shared" si="8"/>
        <v>3</v>
      </c>
      <c r="AF6261" s="19">
        <f t="shared" si="13"/>
        <v>4</v>
      </c>
      <c r="AG6261" s="9"/>
      <c r="AH6261" s="9"/>
      <c r="AI6261" s="9"/>
    </row>
    <row r="6262" ht="15.0" customHeight="1">
      <c r="A6262" s="11">
        <v>6261.0</v>
      </c>
      <c r="B6262" s="12">
        <f t="shared" si="1004"/>
        <v>40901</v>
      </c>
      <c r="C6262" s="13">
        <v>2011.0</v>
      </c>
      <c r="D6262" s="11" t="s">
        <v>102</v>
      </c>
      <c r="E6262" s="11">
        <v>8.0</v>
      </c>
      <c r="F6262" s="21" t="s">
        <v>731</v>
      </c>
      <c r="G6262" s="15">
        <v>0.02889165628891648</v>
      </c>
      <c r="H6262" s="11" t="s">
        <v>33</v>
      </c>
      <c r="I6262" s="16">
        <v>10.32</v>
      </c>
      <c r="J6262" s="11" t="s">
        <v>2544</v>
      </c>
      <c r="K6262" s="11" t="s">
        <v>35</v>
      </c>
      <c r="L6262" s="11" t="s">
        <v>41</v>
      </c>
      <c r="M6262" s="11" t="s">
        <v>28</v>
      </c>
      <c r="N6262" s="11" t="s">
        <v>29</v>
      </c>
      <c r="O6262" s="11" t="s">
        <v>733</v>
      </c>
      <c r="P6262" s="11" t="s">
        <v>38</v>
      </c>
      <c r="Q6262" s="20">
        <v>40903.0</v>
      </c>
      <c r="R6262" s="17">
        <f t="shared" si="2"/>
        <v>9.01188543</v>
      </c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>
        <f t="shared" si="8"/>
        <v>3</v>
      </c>
      <c r="AF6262" s="19">
        <f t="shared" si="13"/>
        <v>2</v>
      </c>
      <c r="AG6262" s="9"/>
      <c r="AH6262" s="9"/>
      <c r="AI6262" s="9"/>
    </row>
    <row r="6263" ht="15.0" customHeight="1">
      <c r="A6263" s="11">
        <v>6262.0</v>
      </c>
      <c r="B6263" s="12">
        <f t="shared" ref="B6263:B6269" si="1005">DATE(2012,12,31)-372</f>
        <v>40902</v>
      </c>
      <c r="C6263" s="13">
        <v>2011.0</v>
      </c>
      <c r="D6263" s="11" t="s">
        <v>32</v>
      </c>
      <c r="E6263" s="11">
        <v>26.0</v>
      </c>
      <c r="F6263" s="21" t="s">
        <v>552</v>
      </c>
      <c r="G6263" s="15">
        <v>0.05027190332326274</v>
      </c>
      <c r="H6263" s="11" t="s">
        <v>33</v>
      </c>
      <c r="I6263" s="16">
        <v>1.4160000000000001</v>
      </c>
      <c r="J6263" s="11" t="s">
        <v>1939</v>
      </c>
      <c r="K6263" s="11" t="s">
        <v>83</v>
      </c>
      <c r="L6263" s="11" t="s">
        <v>27</v>
      </c>
      <c r="M6263" s="11" t="s">
        <v>28</v>
      </c>
      <c r="N6263" s="11" t="s">
        <v>56</v>
      </c>
      <c r="O6263" s="11" t="s">
        <v>572</v>
      </c>
      <c r="P6263" s="11" t="s">
        <v>58</v>
      </c>
      <c r="Q6263" s="20">
        <v>40903.0</v>
      </c>
      <c r="R6263" s="17">
        <f t="shared" si="2"/>
        <v>9.482085317</v>
      </c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>
        <f t="shared" si="8"/>
        <v>1</v>
      </c>
      <c r="AF6263" s="19" t="b">
        <f t="shared" si="13"/>
        <v>0</v>
      </c>
      <c r="AG6263" s="9"/>
      <c r="AH6263" s="9"/>
      <c r="AI6263" s="9"/>
    </row>
    <row r="6264" ht="15.0" customHeight="1">
      <c r="A6264" s="11">
        <v>6263.0</v>
      </c>
      <c r="B6264" s="12">
        <f t="shared" si="1005"/>
        <v>40902</v>
      </c>
      <c r="C6264" s="13">
        <v>2011.0</v>
      </c>
      <c r="D6264" s="11" t="s">
        <v>102</v>
      </c>
      <c r="E6264" s="11">
        <v>10.0</v>
      </c>
      <c r="F6264" s="21" t="s">
        <v>394</v>
      </c>
      <c r="G6264" s="15">
        <v>0.079172590457893</v>
      </c>
      <c r="H6264" s="11" t="s">
        <v>45</v>
      </c>
      <c r="I6264" s="16">
        <v>28.872000000000003</v>
      </c>
      <c r="J6264" s="11" t="s">
        <v>1722</v>
      </c>
      <c r="K6264" s="11" t="s">
        <v>26</v>
      </c>
      <c r="L6264" s="11" t="s">
        <v>27</v>
      </c>
      <c r="M6264" s="11" t="s">
        <v>49</v>
      </c>
      <c r="N6264" s="11" t="s">
        <v>156</v>
      </c>
      <c r="O6264" s="11" t="s">
        <v>1194</v>
      </c>
      <c r="P6264" s="11" t="s">
        <v>87</v>
      </c>
      <c r="Q6264" s="20">
        <v>40903.0</v>
      </c>
      <c r="R6264" s="17">
        <f t="shared" si="2"/>
        <v>113.840051</v>
      </c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>
        <f t="shared" si="8"/>
        <v>1</v>
      </c>
      <c r="AF6264" s="19">
        <f t="shared" si="13"/>
        <v>1</v>
      </c>
      <c r="AG6264" s="9"/>
      <c r="AH6264" s="9"/>
      <c r="AI6264" s="9"/>
    </row>
    <row r="6265" ht="15.0" customHeight="1">
      <c r="A6265" s="11">
        <v>6264.0</v>
      </c>
      <c r="B6265" s="12">
        <f t="shared" si="1005"/>
        <v>40902</v>
      </c>
      <c r="C6265" s="13">
        <v>2011.0</v>
      </c>
      <c r="D6265" s="11" t="s">
        <v>102</v>
      </c>
      <c r="E6265" s="11">
        <v>15.0</v>
      </c>
      <c r="F6265" s="21" t="s">
        <v>1795</v>
      </c>
      <c r="G6265" s="15">
        <v>0.09362661167697708</v>
      </c>
      <c r="H6265" s="11" t="s">
        <v>45</v>
      </c>
      <c r="I6265" s="16">
        <v>49.408</v>
      </c>
      <c r="J6265" s="11" t="s">
        <v>1722</v>
      </c>
      <c r="K6265" s="11" t="s">
        <v>26</v>
      </c>
      <c r="L6265" s="11" t="s">
        <v>27</v>
      </c>
      <c r="M6265" s="11" t="s">
        <v>49</v>
      </c>
      <c r="N6265" s="11" t="s">
        <v>85</v>
      </c>
      <c r="O6265" s="11" t="s">
        <v>1796</v>
      </c>
      <c r="P6265" s="11" t="s">
        <v>87</v>
      </c>
      <c r="Q6265" s="20">
        <v>40904.0</v>
      </c>
      <c r="R6265" s="17">
        <f t="shared" si="2"/>
        <v>407.4075871</v>
      </c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>
        <f t="shared" si="8"/>
        <v>1</v>
      </c>
      <c r="AF6265" s="19">
        <f t="shared" si="13"/>
        <v>1</v>
      </c>
      <c r="AG6265" s="9"/>
      <c r="AH6265" s="9"/>
      <c r="AI6265" s="9"/>
    </row>
    <row r="6266" ht="15.0" customHeight="1">
      <c r="A6266" s="11">
        <v>6265.0</v>
      </c>
      <c r="B6266" s="12">
        <f t="shared" si="1005"/>
        <v>40902</v>
      </c>
      <c r="C6266" s="13">
        <v>2011.0</v>
      </c>
      <c r="D6266" s="11" t="s">
        <v>102</v>
      </c>
      <c r="E6266" s="11">
        <v>45.0</v>
      </c>
      <c r="F6266" s="21" t="s">
        <v>163</v>
      </c>
      <c r="G6266" s="15">
        <v>0.012600056096140077</v>
      </c>
      <c r="H6266" s="11" t="s">
        <v>45</v>
      </c>
      <c r="I6266" s="16">
        <v>36.0</v>
      </c>
      <c r="J6266" s="11" t="s">
        <v>1196</v>
      </c>
      <c r="K6266" s="11" t="s">
        <v>61</v>
      </c>
      <c r="L6266" s="11" t="s">
        <v>41</v>
      </c>
      <c r="M6266" s="11" t="s">
        <v>49</v>
      </c>
      <c r="N6266" s="11" t="s">
        <v>50</v>
      </c>
      <c r="O6266" s="11" t="s">
        <v>53</v>
      </c>
      <c r="P6266" s="11" t="s">
        <v>52</v>
      </c>
      <c r="Q6266" s="20">
        <v>40904.0</v>
      </c>
      <c r="R6266" s="17">
        <f t="shared" si="2"/>
        <v>57.66415672</v>
      </c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>
        <f t="shared" si="8"/>
        <v>3</v>
      </c>
      <c r="AF6266" s="19">
        <f t="shared" si="13"/>
        <v>4</v>
      </c>
      <c r="AG6266" s="9"/>
      <c r="AH6266" s="9"/>
      <c r="AI6266" s="9"/>
    </row>
    <row r="6267" ht="15.0" customHeight="1">
      <c r="A6267" s="11">
        <v>6266.0</v>
      </c>
      <c r="B6267" s="12">
        <f t="shared" si="1005"/>
        <v>40902</v>
      </c>
      <c r="C6267" s="13">
        <v>2011.0</v>
      </c>
      <c r="D6267" s="11" t="s">
        <v>102</v>
      </c>
      <c r="E6267" s="11">
        <v>33.0</v>
      </c>
      <c r="F6267" s="21" t="s">
        <v>705</v>
      </c>
      <c r="G6267" s="15">
        <v>0.08650260999254274</v>
      </c>
      <c r="H6267" s="11" t="s">
        <v>33</v>
      </c>
      <c r="I6267" s="16">
        <v>0.4</v>
      </c>
      <c r="J6267" s="11" t="s">
        <v>1196</v>
      </c>
      <c r="K6267" s="11" t="s">
        <v>61</v>
      </c>
      <c r="L6267" s="11" t="s">
        <v>41</v>
      </c>
      <c r="M6267" s="11" t="s">
        <v>28</v>
      </c>
      <c r="N6267" s="11" t="s">
        <v>188</v>
      </c>
      <c r="O6267" s="11" t="s">
        <v>706</v>
      </c>
      <c r="P6267" s="11" t="s">
        <v>38</v>
      </c>
      <c r="Q6267" s="20">
        <v>40904.0</v>
      </c>
      <c r="R6267" s="17">
        <f t="shared" si="2"/>
        <v>10.59656972</v>
      </c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>
        <f t="shared" si="8"/>
        <v>3</v>
      </c>
      <c r="AF6267" s="19">
        <f t="shared" si="13"/>
        <v>4</v>
      </c>
      <c r="AG6267" s="9"/>
      <c r="AH6267" s="9"/>
      <c r="AI6267" s="9"/>
    </row>
    <row r="6268" ht="15.0" customHeight="1">
      <c r="A6268" s="11">
        <v>6267.0</v>
      </c>
      <c r="B6268" s="12">
        <f t="shared" si="1005"/>
        <v>40902</v>
      </c>
      <c r="C6268" s="13">
        <v>2011.0</v>
      </c>
      <c r="D6268" s="11" t="s">
        <v>23</v>
      </c>
      <c r="E6268" s="11">
        <v>41.0</v>
      </c>
      <c r="F6268" s="21" t="s">
        <v>758</v>
      </c>
      <c r="G6268" s="15">
        <v>0.024390243902438952</v>
      </c>
      <c r="H6268" s="11" t="s">
        <v>24</v>
      </c>
      <c r="I6268" s="16">
        <v>0.4</v>
      </c>
      <c r="J6268" s="11" t="s">
        <v>2116</v>
      </c>
      <c r="K6268" s="11" t="s">
        <v>65</v>
      </c>
      <c r="L6268" s="11" t="s">
        <v>48</v>
      </c>
      <c r="M6268" s="11" t="s">
        <v>28</v>
      </c>
      <c r="N6268" s="11" t="s">
        <v>188</v>
      </c>
      <c r="O6268" s="11" t="s">
        <v>787</v>
      </c>
      <c r="P6268" s="11" t="s">
        <v>38</v>
      </c>
      <c r="Q6268" s="20">
        <v>40904.0</v>
      </c>
      <c r="R6268" s="17">
        <f t="shared" si="2"/>
        <v>3.609756098</v>
      </c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>
        <f t="shared" si="8"/>
        <v>4</v>
      </c>
      <c r="AF6268" s="19">
        <f t="shared" si="13"/>
        <v>5</v>
      </c>
      <c r="AG6268" s="9"/>
      <c r="AH6268" s="9"/>
      <c r="AI6268" s="9"/>
    </row>
    <row r="6269" ht="15.0" customHeight="1">
      <c r="A6269" s="11">
        <v>6268.0</v>
      </c>
      <c r="B6269" s="12">
        <f t="shared" si="1005"/>
        <v>40902</v>
      </c>
      <c r="C6269" s="13">
        <v>2011.0</v>
      </c>
      <c r="D6269" s="11" t="s">
        <v>23</v>
      </c>
      <c r="E6269" s="11">
        <v>4.0</v>
      </c>
      <c r="F6269" s="21" t="s">
        <v>1144</v>
      </c>
      <c r="G6269" s="15">
        <v>0.040920321885979744</v>
      </c>
      <c r="H6269" s="11" t="s">
        <v>33</v>
      </c>
      <c r="I6269" s="16">
        <v>15.991999999999999</v>
      </c>
      <c r="J6269" s="11" t="s">
        <v>2116</v>
      </c>
      <c r="K6269" s="11" t="s">
        <v>65</v>
      </c>
      <c r="L6269" s="11" t="s">
        <v>48</v>
      </c>
      <c r="M6269" s="11" t="s">
        <v>28</v>
      </c>
      <c r="N6269" s="11" t="s">
        <v>29</v>
      </c>
      <c r="O6269" s="11" t="s">
        <v>1146</v>
      </c>
      <c r="P6269" s="11" t="s">
        <v>38</v>
      </c>
      <c r="Q6269" s="20">
        <v>40905.0</v>
      </c>
      <c r="R6269" s="17">
        <f t="shared" si="2"/>
        <v>69.2532254</v>
      </c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>
        <f t="shared" si="8"/>
        <v>4</v>
      </c>
      <c r="AF6269" s="19">
        <f t="shared" si="13"/>
        <v>5</v>
      </c>
      <c r="AG6269" s="9"/>
      <c r="AH6269" s="9"/>
      <c r="AI6269" s="9"/>
    </row>
    <row r="6270" ht="15.0" customHeight="1">
      <c r="A6270" s="11">
        <v>6269.0</v>
      </c>
      <c r="B6270" s="12">
        <f t="shared" ref="B6270:B6271" si="1006">DATE(2012,12,31)-371</f>
        <v>40903</v>
      </c>
      <c r="C6270" s="13">
        <v>2011.0</v>
      </c>
      <c r="D6270" s="11" t="s">
        <v>44</v>
      </c>
      <c r="E6270" s="11">
        <v>42.0</v>
      </c>
      <c r="F6270" s="21" t="s">
        <v>678</v>
      </c>
      <c r="G6270" s="15">
        <v>0.09576881912236897</v>
      </c>
      <c r="H6270" s="11" t="s">
        <v>33</v>
      </c>
      <c r="I6270" s="16">
        <v>1.4560000000000002</v>
      </c>
      <c r="J6270" s="11" t="s">
        <v>1599</v>
      </c>
      <c r="K6270" s="11" t="s">
        <v>35</v>
      </c>
      <c r="L6270" s="11" t="s">
        <v>36</v>
      </c>
      <c r="M6270" s="11" t="s">
        <v>28</v>
      </c>
      <c r="N6270" s="11" t="s">
        <v>216</v>
      </c>
      <c r="O6270" s="11" t="s">
        <v>2566</v>
      </c>
      <c r="P6270" s="11" t="s">
        <v>58</v>
      </c>
      <c r="Q6270" s="20">
        <v>40905.0</v>
      </c>
      <c r="R6270" s="17">
        <f t="shared" si="2"/>
        <v>24.27318182</v>
      </c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>
        <f t="shared" si="8"/>
        <v>2</v>
      </c>
      <c r="AF6270" s="19">
        <f t="shared" si="13"/>
        <v>2</v>
      </c>
      <c r="AG6270" s="9"/>
      <c r="AH6270" s="9"/>
      <c r="AI6270" s="9"/>
    </row>
    <row r="6271" ht="15.0" customHeight="1">
      <c r="A6271" s="11">
        <v>6270.0</v>
      </c>
      <c r="B6271" s="12">
        <f t="shared" si="1006"/>
        <v>40903</v>
      </c>
      <c r="C6271" s="13">
        <v>2011.0</v>
      </c>
      <c r="D6271" s="11" t="s">
        <v>44</v>
      </c>
      <c r="E6271" s="11">
        <v>3.0</v>
      </c>
      <c r="F6271" s="21" t="s">
        <v>788</v>
      </c>
      <c r="G6271" s="15">
        <v>0.03274502712477387</v>
      </c>
      <c r="H6271" s="11" t="s">
        <v>33</v>
      </c>
      <c r="I6271" s="16">
        <v>7.192</v>
      </c>
      <c r="J6271" s="11" t="s">
        <v>1277</v>
      </c>
      <c r="K6271" s="11" t="s">
        <v>65</v>
      </c>
      <c r="L6271" s="11" t="s">
        <v>41</v>
      </c>
      <c r="M6271" s="11" t="s">
        <v>66</v>
      </c>
      <c r="N6271" s="11" t="s">
        <v>80</v>
      </c>
      <c r="O6271" s="11" t="s">
        <v>996</v>
      </c>
      <c r="P6271" s="11" t="s">
        <v>38</v>
      </c>
      <c r="Q6271" s="20">
        <v>40905.0</v>
      </c>
      <c r="R6271" s="17">
        <f t="shared" si="2"/>
        <v>17.51505305</v>
      </c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>
        <f t="shared" si="8"/>
        <v>3</v>
      </c>
      <c r="AF6271" s="19">
        <f t="shared" si="13"/>
        <v>5</v>
      </c>
      <c r="AG6271" s="9"/>
      <c r="AH6271" s="9"/>
      <c r="AI6271" s="9"/>
    </row>
    <row r="6272" ht="15.0" customHeight="1">
      <c r="A6272" s="11">
        <v>6271.0</v>
      </c>
      <c r="B6272" s="12">
        <f t="shared" ref="B6272:B6273" si="1007">DATE(2012,12,31)-370</f>
        <v>40904</v>
      </c>
      <c r="C6272" s="13">
        <v>2011.0</v>
      </c>
      <c r="D6272" s="11" t="s">
        <v>23</v>
      </c>
      <c r="E6272" s="11">
        <v>49.0</v>
      </c>
      <c r="F6272" s="21" t="s">
        <v>270</v>
      </c>
      <c r="G6272" s="15">
        <v>0.040917457441228364</v>
      </c>
      <c r="H6272" s="11" t="s">
        <v>24</v>
      </c>
      <c r="I6272" s="16">
        <v>7.192</v>
      </c>
      <c r="J6272" s="11" t="s">
        <v>1339</v>
      </c>
      <c r="K6272" s="11" t="s">
        <v>61</v>
      </c>
      <c r="L6272" s="11" t="s">
        <v>36</v>
      </c>
      <c r="M6272" s="11" t="s">
        <v>28</v>
      </c>
      <c r="N6272" s="11" t="s">
        <v>62</v>
      </c>
      <c r="O6272" s="11" t="s">
        <v>1847</v>
      </c>
      <c r="P6272" s="11" t="s">
        <v>99</v>
      </c>
      <c r="Q6272" s="20">
        <v>40905.0</v>
      </c>
      <c r="R6272" s="17">
        <f t="shared" si="2"/>
        <v>82.29695481</v>
      </c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>
        <f t="shared" si="8"/>
        <v>2</v>
      </c>
      <c r="AF6272" s="19">
        <f t="shared" si="13"/>
        <v>4</v>
      </c>
      <c r="AG6272" s="9"/>
      <c r="AH6272" s="9"/>
      <c r="AI6272" s="9"/>
    </row>
    <row r="6273" ht="15.0" customHeight="1">
      <c r="A6273" s="11">
        <v>6272.0</v>
      </c>
      <c r="B6273" s="12">
        <f t="shared" si="1007"/>
        <v>40904</v>
      </c>
      <c r="C6273" s="13">
        <v>2011.0</v>
      </c>
      <c r="D6273" s="11" t="s">
        <v>23</v>
      </c>
      <c r="E6273" s="11">
        <v>33.0</v>
      </c>
      <c r="F6273" s="21" t="s">
        <v>1166</v>
      </c>
      <c r="G6273" s="15">
        <v>0.05888754534461916</v>
      </c>
      <c r="H6273" s="11" t="s">
        <v>33</v>
      </c>
      <c r="I6273" s="16">
        <v>0.5599999999999999</v>
      </c>
      <c r="J6273" s="11" t="s">
        <v>1339</v>
      </c>
      <c r="K6273" s="11" t="s">
        <v>61</v>
      </c>
      <c r="L6273" s="11" t="s">
        <v>36</v>
      </c>
      <c r="M6273" s="11" t="s">
        <v>28</v>
      </c>
      <c r="N6273" s="11" t="s">
        <v>216</v>
      </c>
      <c r="O6273" s="11" t="s">
        <v>2353</v>
      </c>
      <c r="P6273" s="11" t="s">
        <v>58</v>
      </c>
      <c r="Q6273" s="20">
        <v>40907.0</v>
      </c>
      <c r="R6273" s="17">
        <f t="shared" si="2"/>
        <v>9.166435308</v>
      </c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>
        <f t="shared" si="8"/>
        <v>2</v>
      </c>
      <c r="AF6273" s="19">
        <f t="shared" si="13"/>
        <v>4</v>
      </c>
      <c r="AG6273" s="9"/>
      <c r="AH6273" s="9"/>
      <c r="AI6273" s="9"/>
    </row>
    <row r="6274" ht="15.0" customHeight="1">
      <c r="A6274" s="11">
        <v>6273.0</v>
      </c>
      <c r="B6274" s="12">
        <f>DATE(2012,12,31)-369</f>
        <v>40905</v>
      </c>
      <c r="C6274" s="13">
        <v>2011.0</v>
      </c>
      <c r="D6274" s="11" t="s">
        <v>23</v>
      </c>
      <c r="E6274" s="11">
        <v>32.0</v>
      </c>
      <c r="F6274" s="21" t="s">
        <v>130</v>
      </c>
      <c r="G6274" s="15">
        <v>0.08593301435406704</v>
      </c>
      <c r="H6274" s="11" t="s">
        <v>33</v>
      </c>
      <c r="I6274" s="16">
        <v>4.608</v>
      </c>
      <c r="J6274" s="11" t="s">
        <v>1145</v>
      </c>
      <c r="K6274" s="11" t="s">
        <v>65</v>
      </c>
      <c r="L6274" s="11" t="s">
        <v>48</v>
      </c>
      <c r="M6274" s="11" t="s">
        <v>28</v>
      </c>
      <c r="N6274" s="11" t="s">
        <v>56</v>
      </c>
      <c r="O6274" s="11" t="s">
        <v>132</v>
      </c>
      <c r="P6274" s="11" t="s">
        <v>38</v>
      </c>
      <c r="Q6274" s="20">
        <v>40907.0</v>
      </c>
      <c r="R6274" s="17">
        <f t="shared" si="2"/>
        <v>85.36654392</v>
      </c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>
        <f t="shared" si="8"/>
        <v>4</v>
      </c>
      <c r="AF6274" s="19">
        <f t="shared" si="13"/>
        <v>5</v>
      </c>
      <c r="AG6274" s="9"/>
      <c r="AH6274" s="9"/>
      <c r="AI6274" s="9"/>
    </row>
    <row r="6275" ht="15.0" customHeight="1">
      <c r="A6275" s="11">
        <v>6274.0</v>
      </c>
      <c r="B6275" s="12">
        <f t="shared" ref="B6275:B6281" si="1008">DATE(2012,12,31)-368</f>
        <v>40906</v>
      </c>
      <c r="C6275" s="13">
        <v>2011.0</v>
      </c>
      <c r="D6275" s="11" t="s">
        <v>39</v>
      </c>
      <c r="E6275" s="11">
        <v>20.0</v>
      </c>
      <c r="F6275" s="21" t="s">
        <v>342</v>
      </c>
      <c r="G6275" s="15">
        <v>0.058595474829718976</v>
      </c>
      <c r="H6275" s="11" t="s">
        <v>45</v>
      </c>
      <c r="I6275" s="16">
        <v>23.368000000000002</v>
      </c>
      <c r="J6275" s="11" t="s">
        <v>2165</v>
      </c>
      <c r="K6275" s="11" t="s">
        <v>83</v>
      </c>
      <c r="L6275" s="11" t="s">
        <v>48</v>
      </c>
      <c r="M6275" s="11" t="s">
        <v>49</v>
      </c>
      <c r="N6275" s="11" t="s">
        <v>85</v>
      </c>
      <c r="O6275" s="11" t="s">
        <v>343</v>
      </c>
      <c r="P6275" s="11" t="s">
        <v>87</v>
      </c>
      <c r="Q6275" s="20">
        <v>40907.0</v>
      </c>
      <c r="R6275" s="17">
        <f t="shared" si="2"/>
        <v>211.3754408</v>
      </c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>
        <f t="shared" si="8"/>
        <v>4</v>
      </c>
      <c r="AF6275" s="19" t="b">
        <f t="shared" si="13"/>
        <v>0</v>
      </c>
      <c r="AG6275" s="9"/>
      <c r="AH6275" s="9"/>
      <c r="AI6275" s="9"/>
    </row>
    <row r="6276" ht="15.0" customHeight="1">
      <c r="A6276" s="11">
        <v>6275.0</v>
      </c>
      <c r="B6276" s="12">
        <f t="shared" si="1008"/>
        <v>40906</v>
      </c>
      <c r="C6276" s="13">
        <v>2011.0</v>
      </c>
      <c r="D6276" s="11" t="s">
        <v>32</v>
      </c>
      <c r="E6276" s="11">
        <v>14.0</v>
      </c>
      <c r="F6276" s="21" t="s">
        <v>204</v>
      </c>
      <c r="G6276" s="15">
        <v>0.1111520737327187</v>
      </c>
      <c r="H6276" s="11" t="s">
        <v>33</v>
      </c>
      <c r="I6276" s="16">
        <v>0.776</v>
      </c>
      <c r="J6276" s="11" t="s">
        <v>2063</v>
      </c>
      <c r="K6276" s="11" t="s">
        <v>83</v>
      </c>
      <c r="L6276" s="11" t="s">
        <v>48</v>
      </c>
      <c r="M6276" s="11" t="s">
        <v>28</v>
      </c>
      <c r="N6276" s="11" t="s">
        <v>62</v>
      </c>
      <c r="O6276" s="11" t="s">
        <v>206</v>
      </c>
      <c r="P6276" s="11" t="s">
        <v>58</v>
      </c>
      <c r="Q6276" s="20">
        <v>40907.0</v>
      </c>
      <c r="R6276" s="17">
        <f t="shared" si="2"/>
        <v>4.287802396</v>
      </c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>
        <f t="shared" si="8"/>
        <v>4</v>
      </c>
      <c r="AF6276" s="19" t="b">
        <f t="shared" si="13"/>
        <v>0</v>
      </c>
      <c r="AG6276" s="9"/>
      <c r="AH6276" s="9"/>
      <c r="AI6276" s="9"/>
    </row>
    <row r="6277" ht="15.0" customHeight="1">
      <c r="A6277" s="11">
        <v>6276.0</v>
      </c>
      <c r="B6277" s="12">
        <f t="shared" si="1008"/>
        <v>40906</v>
      </c>
      <c r="C6277" s="13">
        <v>2011.0</v>
      </c>
      <c r="D6277" s="11" t="s">
        <v>32</v>
      </c>
      <c r="E6277" s="11">
        <v>49.0</v>
      </c>
      <c r="F6277" s="21" t="s">
        <v>758</v>
      </c>
      <c r="G6277" s="15">
        <v>0.03440742763517195</v>
      </c>
      <c r="H6277" s="11" t="s">
        <v>33</v>
      </c>
      <c r="I6277" s="16">
        <v>0.4</v>
      </c>
      <c r="J6277" s="11" t="s">
        <v>2063</v>
      </c>
      <c r="K6277" s="11" t="s">
        <v>83</v>
      </c>
      <c r="L6277" s="11" t="s">
        <v>48</v>
      </c>
      <c r="M6277" s="11" t="s">
        <v>28</v>
      </c>
      <c r="N6277" s="11" t="s">
        <v>188</v>
      </c>
      <c r="O6277" s="11" t="s">
        <v>787</v>
      </c>
      <c r="P6277" s="11" t="s">
        <v>38</v>
      </c>
      <c r="Q6277" s="20">
        <v>40908.0</v>
      </c>
      <c r="R6277" s="17">
        <f t="shared" si="2"/>
        <v>6.083233206</v>
      </c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>
        <f t="shared" si="8"/>
        <v>4</v>
      </c>
      <c r="AF6277" s="19" t="b">
        <f t="shared" si="13"/>
        <v>0</v>
      </c>
      <c r="AG6277" s="9"/>
      <c r="AH6277" s="9"/>
      <c r="AI6277" s="9"/>
    </row>
    <row r="6278" ht="15.0" customHeight="1">
      <c r="A6278" s="11">
        <v>6277.0</v>
      </c>
      <c r="B6278" s="12">
        <f t="shared" si="1008"/>
        <v>40906</v>
      </c>
      <c r="C6278" s="13">
        <v>2011.0</v>
      </c>
      <c r="D6278" s="11" t="s">
        <v>23</v>
      </c>
      <c r="E6278" s="11">
        <v>32.0</v>
      </c>
      <c r="F6278" s="21" t="s">
        <v>238</v>
      </c>
      <c r="G6278" s="15">
        <v>0.029177592371871362</v>
      </c>
      <c r="H6278" s="11" t="s">
        <v>33</v>
      </c>
      <c r="I6278" s="16">
        <v>2.904</v>
      </c>
      <c r="J6278" s="11" t="s">
        <v>602</v>
      </c>
      <c r="K6278" s="11" t="s">
        <v>26</v>
      </c>
      <c r="L6278" s="11" t="s">
        <v>48</v>
      </c>
      <c r="M6278" s="11" t="s">
        <v>49</v>
      </c>
      <c r="N6278" s="11" t="s">
        <v>73</v>
      </c>
      <c r="O6278" s="11" t="s">
        <v>539</v>
      </c>
      <c r="P6278" s="11" t="s">
        <v>58</v>
      </c>
      <c r="Q6278" s="20">
        <v>40908.0</v>
      </c>
      <c r="R6278" s="17">
        <f t="shared" si="2"/>
        <v>4.753146508</v>
      </c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>
        <f t="shared" si="8"/>
        <v>4</v>
      </c>
      <c r="AF6278" s="19">
        <f t="shared" si="13"/>
        <v>1</v>
      </c>
      <c r="AG6278" s="9"/>
      <c r="AH6278" s="9"/>
      <c r="AI6278" s="9"/>
    </row>
    <row r="6279" ht="15.0" customHeight="1">
      <c r="A6279" s="11">
        <v>6278.0</v>
      </c>
      <c r="B6279" s="12">
        <f t="shared" si="1008"/>
        <v>40906</v>
      </c>
      <c r="C6279" s="13">
        <v>2011.0</v>
      </c>
      <c r="D6279" s="11" t="s">
        <v>39</v>
      </c>
      <c r="E6279" s="11">
        <v>8.0</v>
      </c>
      <c r="F6279" s="21" t="s">
        <v>158</v>
      </c>
      <c r="G6279" s="15">
        <v>0.09631999999999993</v>
      </c>
      <c r="H6279" s="11" t="s">
        <v>33</v>
      </c>
      <c r="I6279" s="16">
        <v>5.28</v>
      </c>
      <c r="J6279" s="11" t="s">
        <v>1543</v>
      </c>
      <c r="K6279" s="11" t="s">
        <v>61</v>
      </c>
      <c r="L6279" s="11" t="s">
        <v>27</v>
      </c>
      <c r="M6279" s="11" t="s">
        <v>28</v>
      </c>
      <c r="N6279" s="11" t="s">
        <v>56</v>
      </c>
      <c r="O6279" s="11" t="s">
        <v>543</v>
      </c>
      <c r="P6279" s="11" t="s">
        <v>38</v>
      </c>
      <c r="Q6279" s="20">
        <v>40908.0</v>
      </c>
      <c r="R6279" s="17">
        <f t="shared" si="2"/>
        <v>5.4401536</v>
      </c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>
        <f t="shared" si="8"/>
        <v>1</v>
      </c>
      <c r="AF6279" s="19">
        <f t="shared" si="13"/>
        <v>4</v>
      </c>
      <c r="AG6279" s="9"/>
      <c r="AH6279" s="9"/>
      <c r="AI6279" s="9"/>
    </row>
    <row r="6280" ht="15.0" customHeight="1">
      <c r="A6280" s="11">
        <v>6279.0</v>
      </c>
      <c r="B6280" s="12">
        <f t="shared" si="1008"/>
        <v>40906</v>
      </c>
      <c r="C6280" s="13">
        <v>2011.0</v>
      </c>
      <c r="D6280" s="11" t="s">
        <v>39</v>
      </c>
      <c r="E6280" s="11">
        <v>33.0</v>
      </c>
      <c r="F6280" s="21" t="s">
        <v>948</v>
      </c>
      <c r="G6280" s="15">
        <v>0.01871604938271594</v>
      </c>
      <c r="H6280" s="11" t="s">
        <v>33</v>
      </c>
      <c r="I6280" s="16">
        <v>0.568</v>
      </c>
      <c r="J6280" s="11" t="s">
        <v>1543</v>
      </c>
      <c r="K6280" s="11" t="s">
        <v>61</v>
      </c>
      <c r="L6280" s="11" t="s">
        <v>27</v>
      </c>
      <c r="M6280" s="11" t="s">
        <v>28</v>
      </c>
      <c r="N6280" s="11" t="s">
        <v>62</v>
      </c>
      <c r="O6280" s="11" t="s">
        <v>949</v>
      </c>
      <c r="P6280" s="11" t="s">
        <v>58</v>
      </c>
      <c r="Q6280" s="20">
        <v>40908.0</v>
      </c>
      <c r="R6280" s="17">
        <f t="shared" si="2"/>
        <v>2.975252938</v>
      </c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>
        <f t="shared" si="8"/>
        <v>1</v>
      </c>
      <c r="AF6280" s="19">
        <f t="shared" si="13"/>
        <v>4</v>
      </c>
      <c r="AG6280" s="9"/>
      <c r="AH6280" s="9"/>
      <c r="AI6280" s="9"/>
    </row>
    <row r="6281" ht="15.0" customHeight="1">
      <c r="A6281" s="11">
        <v>6280.0</v>
      </c>
      <c r="B6281" s="12">
        <f t="shared" si="1008"/>
        <v>40906</v>
      </c>
      <c r="C6281" s="13">
        <v>2011.0</v>
      </c>
      <c r="D6281" s="11" t="s">
        <v>39</v>
      </c>
      <c r="E6281" s="11">
        <v>48.0</v>
      </c>
      <c r="F6281" s="21" t="s">
        <v>869</v>
      </c>
      <c r="G6281" s="15">
        <v>0.0918917490586394</v>
      </c>
      <c r="H6281" s="11" t="s">
        <v>33</v>
      </c>
      <c r="I6281" s="16">
        <v>0.792</v>
      </c>
      <c r="J6281" s="11" t="s">
        <v>1543</v>
      </c>
      <c r="K6281" s="11" t="s">
        <v>61</v>
      </c>
      <c r="L6281" s="11" t="s">
        <v>27</v>
      </c>
      <c r="M6281" s="11" t="s">
        <v>66</v>
      </c>
      <c r="N6281" s="11" t="s">
        <v>80</v>
      </c>
      <c r="O6281" s="11" t="s">
        <v>1055</v>
      </c>
      <c r="P6281" s="11" t="s">
        <v>58</v>
      </c>
      <c r="Q6281" s="20">
        <v>40908.0</v>
      </c>
      <c r="R6281" s="17">
        <f t="shared" si="2"/>
        <v>378.960838</v>
      </c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>
        <f t="shared" si="8"/>
        <v>1</v>
      </c>
      <c r="AF6281" s="19">
        <f t="shared" si="13"/>
        <v>4</v>
      </c>
      <c r="AG6281" s="9"/>
      <c r="AH6281" s="9"/>
      <c r="AI6281" s="9"/>
    </row>
    <row r="6282" ht="15.0" customHeight="1">
      <c r="A6282" s="11">
        <v>6281.0</v>
      </c>
      <c r="B6282" s="12">
        <f t="shared" ref="B6282:B6292" si="1009">DATE(2012,12,31)-367</f>
        <v>40907</v>
      </c>
      <c r="C6282" s="13">
        <v>2011.0</v>
      </c>
      <c r="D6282" s="11" t="s">
        <v>44</v>
      </c>
      <c r="E6282" s="11">
        <v>29.0</v>
      </c>
      <c r="F6282" s="21" t="s">
        <v>226</v>
      </c>
      <c r="G6282" s="15">
        <v>0.0755136663524977</v>
      </c>
      <c r="H6282" s="11" t="s">
        <v>33</v>
      </c>
      <c r="I6282" s="16">
        <v>1.192</v>
      </c>
      <c r="J6282" s="11" t="s">
        <v>1594</v>
      </c>
      <c r="K6282" s="11" t="s">
        <v>61</v>
      </c>
      <c r="L6282" s="11" t="s">
        <v>48</v>
      </c>
      <c r="M6282" s="11" t="s">
        <v>28</v>
      </c>
      <c r="N6282" s="11" t="s">
        <v>42</v>
      </c>
      <c r="O6282" s="11" t="s">
        <v>411</v>
      </c>
      <c r="P6282" s="11" t="s">
        <v>38</v>
      </c>
      <c r="Q6282" s="20">
        <v>40908.0</v>
      </c>
      <c r="R6282" s="17">
        <f t="shared" si="2"/>
        <v>66.66286055</v>
      </c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>
        <f t="shared" si="8"/>
        <v>4</v>
      </c>
      <c r="AF6282" s="19">
        <f t="shared" si="13"/>
        <v>4</v>
      </c>
      <c r="AG6282" s="9"/>
      <c r="AH6282" s="9"/>
      <c r="AI6282" s="9"/>
    </row>
    <row r="6283" ht="15.0" customHeight="1">
      <c r="A6283" s="11">
        <v>6282.0</v>
      </c>
      <c r="B6283" s="12">
        <f t="shared" si="1009"/>
        <v>40907</v>
      </c>
      <c r="C6283" s="13">
        <v>2011.0</v>
      </c>
      <c r="D6283" s="11" t="s">
        <v>44</v>
      </c>
      <c r="E6283" s="11">
        <v>26.0</v>
      </c>
      <c r="F6283" s="21" t="s">
        <v>158</v>
      </c>
      <c r="G6283" s="15">
        <v>0.0558144671452235</v>
      </c>
      <c r="H6283" s="11" t="s">
        <v>33</v>
      </c>
      <c r="I6283" s="16">
        <v>4.5920000000000005</v>
      </c>
      <c r="J6283" s="11" t="s">
        <v>1594</v>
      </c>
      <c r="K6283" s="11" t="s">
        <v>61</v>
      </c>
      <c r="L6283" s="11" t="s">
        <v>48</v>
      </c>
      <c r="M6283" s="11" t="s">
        <v>28</v>
      </c>
      <c r="N6283" s="11" t="s">
        <v>56</v>
      </c>
      <c r="O6283" s="11" t="s">
        <v>2053</v>
      </c>
      <c r="P6283" s="11" t="s">
        <v>38</v>
      </c>
      <c r="Q6283" s="20">
        <v>40908.0</v>
      </c>
      <c r="R6283" s="17">
        <f t="shared" si="2"/>
        <v>9.543827366</v>
      </c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>
        <f t="shared" si="8"/>
        <v>4</v>
      </c>
      <c r="AF6283" s="19">
        <f t="shared" si="13"/>
        <v>4</v>
      </c>
      <c r="AG6283" s="9"/>
      <c r="AH6283" s="9"/>
      <c r="AI6283" s="9"/>
    </row>
    <row r="6284" ht="15.0" customHeight="1">
      <c r="A6284" s="11">
        <v>6283.0</v>
      </c>
      <c r="B6284" s="12">
        <f t="shared" si="1009"/>
        <v>40907</v>
      </c>
      <c r="C6284" s="13">
        <v>2011.0</v>
      </c>
      <c r="D6284" s="11" t="s">
        <v>44</v>
      </c>
      <c r="E6284" s="11">
        <v>36.0</v>
      </c>
      <c r="F6284" s="21" t="s">
        <v>218</v>
      </c>
      <c r="G6284" s="15">
        <v>0.09520481927710844</v>
      </c>
      <c r="H6284" s="11" t="s">
        <v>24</v>
      </c>
      <c r="I6284" s="16">
        <v>1.592</v>
      </c>
      <c r="J6284" s="11" t="s">
        <v>2441</v>
      </c>
      <c r="K6284" s="11" t="s">
        <v>35</v>
      </c>
      <c r="L6284" s="11" t="s">
        <v>48</v>
      </c>
      <c r="M6284" s="11" t="s">
        <v>66</v>
      </c>
      <c r="N6284" s="11" t="s">
        <v>67</v>
      </c>
      <c r="O6284" s="11" t="s">
        <v>749</v>
      </c>
      <c r="P6284" s="11" t="s">
        <v>99</v>
      </c>
      <c r="Q6284" s="20">
        <v>40908.0</v>
      </c>
      <c r="R6284" s="17">
        <f t="shared" si="2"/>
        <v>28.59876607</v>
      </c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>
        <f t="shared" si="8"/>
        <v>4</v>
      </c>
      <c r="AF6284" s="19">
        <f t="shared" si="13"/>
        <v>2</v>
      </c>
      <c r="AG6284" s="9"/>
      <c r="AH6284" s="9"/>
      <c r="AI6284" s="9"/>
    </row>
    <row r="6285" ht="15.0" customHeight="1">
      <c r="A6285" s="11">
        <v>6284.0</v>
      </c>
      <c r="B6285" s="12">
        <f t="shared" si="1009"/>
        <v>40907</v>
      </c>
      <c r="C6285" s="13">
        <v>2011.0</v>
      </c>
      <c r="D6285" s="11" t="s">
        <v>23</v>
      </c>
      <c r="E6285" s="11">
        <v>39.0</v>
      </c>
      <c r="F6285" s="21" t="s">
        <v>126</v>
      </c>
      <c r="G6285" s="15">
        <v>0.032161100196463524</v>
      </c>
      <c r="H6285" s="11" t="s">
        <v>33</v>
      </c>
      <c r="I6285" s="16">
        <v>5.952000000000001</v>
      </c>
      <c r="J6285" s="11" t="s">
        <v>622</v>
      </c>
      <c r="K6285" s="11" t="s">
        <v>65</v>
      </c>
      <c r="L6285" s="11" t="s">
        <v>48</v>
      </c>
      <c r="M6285" s="11" t="s">
        <v>28</v>
      </c>
      <c r="N6285" s="11" t="s">
        <v>56</v>
      </c>
      <c r="O6285" s="11" t="s">
        <v>1230</v>
      </c>
      <c r="P6285" s="11" t="s">
        <v>38</v>
      </c>
      <c r="Q6285" s="20">
        <v>40908.0</v>
      </c>
      <c r="R6285" s="17">
        <f t="shared" si="2"/>
        <v>6.337409116</v>
      </c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>
        <f t="shared" si="8"/>
        <v>4</v>
      </c>
      <c r="AF6285" s="19">
        <f t="shared" si="13"/>
        <v>5</v>
      </c>
      <c r="AG6285" s="9"/>
      <c r="AH6285" s="9"/>
      <c r="AI6285" s="9"/>
    </row>
    <row r="6286" ht="15.0" customHeight="1">
      <c r="A6286" s="11">
        <v>6285.0</v>
      </c>
      <c r="B6286" s="12">
        <f t="shared" si="1009"/>
        <v>40907</v>
      </c>
      <c r="C6286" s="13">
        <v>2011.0</v>
      </c>
      <c r="D6286" s="11" t="s">
        <v>23</v>
      </c>
      <c r="E6286" s="11">
        <v>44.0</v>
      </c>
      <c r="F6286" s="21" t="s">
        <v>218</v>
      </c>
      <c r="G6286" s="15">
        <v>0.07739633073636576</v>
      </c>
      <c r="H6286" s="11" t="s">
        <v>33</v>
      </c>
      <c r="I6286" s="16">
        <v>1.904</v>
      </c>
      <c r="J6286" s="11" t="s">
        <v>1061</v>
      </c>
      <c r="K6286" s="11" t="s">
        <v>26</v>
      </c>
      <c r="L6286" s="11" t="s">
        <v>36</v>
      </c>
      <c r="M6286" s="11" t="s">
        <v>66</v>
      </c>
      <c r="N6286" s="11" t="s">
        <v>67</v>
      </c>
      <c r="O6286" s="11" t="s">
        <v>773</v>
      </c>
      <c r="P6286" s="11" t="s">
        <v>99</v>
      </c>
      <c r="Q6286" s="20">
        <v>40908.0</v>
      </c>
      <c r="R6286" s="17">
        <f t="shared" si="2"/>
        <v>28.4125026</v>
      </c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>
        <f t="shared" si="8"/>
        <v>2</v>
      </c>
      <c r="AF6286" s="19">
        <f t="shared" si="13"/>
        <v>1</v>
      </c>
      <c r="AG6286" s="9"/>
      <c r="AH6286" s="9"/>
      <c r="AI6286" s="9"/>
    </row>
    <row r="6287" ht="15.0" customHeight="1">
      <c r="A6287" s="11">
        <v>6286.0</v>
      </c>
      <c r="B6287" s="12">
        <f t="shared" si="1009"/>
        <v>40907</v>
      </c>
      <c r="C6287" s="13">
        <v>2011.0</v>
      </c>
      <c r="D6287" s="11" t="s">
        <v>23</v>
      </c>
      <c r="E6287" s="11">
        <v>29.0</v>
      </c>
      <c r="F6287" s="21" t="s">
        <v>1195</v>
      </c>
      <c r="G6287" s="15">
        <v>0.10456459874786561</v>
      </c>
      <c r="H6287" s="11" t="s">
        <v>33</v>
      </c>
      <c r="I6287" s="16">
        <v>6.5280000000000005</v>
      </c>
      <c r="J6287" s="11" t="s">
        <v>1061</v>
      </c>
      <c r="K6287" s="11" t="s">
        <v>26</v>
      </c>
      <c r="L6287" s="11" t="s">
        <v>36</v>
      </c>
      <c r="M6287" s="11" t="s">
        <v>28</v>
      </c>
      <c r="N6287" s="11" t="s">
        <v>56</v>
      </c>
      <c r="O6287" s="11" t="s">
        <v>2418</v>
      </c>
      <c r="P6287" s="11" t="s">
        <v>38</v>
      </c>
      <c r="Q6287" s="20">
        <v>40908.0</v>
      </c>
      <c r="R6287" s="17">
        <f t="shared" si="2"/>
        <v>16.45093919</v>
      </c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>
        <f t="shared" si="8"/>
        <v>2</v>
      </c>
      <c r="AF6287" s="19">
        <f t="shared" si="13"/>
        <v>1</v>
      </c>
      <c r="AG6287" s="9"/>
      <c r="AH6287" s="9"/>
      <c r="AI6287" s="9"/>
    </row>
    <row r="6288" ht="15.0" customHeight="1">
      <c r="A6288" s="11">
        <v>6287.0</v>
      </c>
      <c r="B6288" s="12">
        <f t="shared" si="1009"/>
        <v>40907</v>
      </c>
      <c r="C6288" s="13">
        <v>2011.0</v>
      </c>
      <c r="D6288" s="11" t="s">
        <v>102</v>
      </c>
      <c r="E6288" s="11">
        <v>40.0</v>
      </c>
      <c r="F6288" s="21" t="s">
        <v>336</v>
      </c>
      <c r="G6288" s="15">
        <v>0.04283849918433928</v>
      </c>
      <c r="H6288" s="11" t="s">
        <v>33</v>
      </c>
      <c r="I6288" s="16">
        <v>2.696</v>
      </c>
      <c r="J6288" s="11" t="s">
        <v>1221</v>
      </c>
      <c r="K6288" s="11" t="s">
        <v>61</v>
      </c>
      <c r="L6288" s="11" t="s">
        <v>41</v>
      </c>
      <c r="M6288" s="11" t="s">
        <v>28</v>
      </c>
      <c r="N6288" s="11" t="s">
        <v>216</v>
      </c>
      <c r="O6288" s="11" t="s">
        <v>557</v>
      </c>
      <c r="P6288" s="11" t="s">
        <v>58</v>
      </c>
      <c r="Q6288" s="20">
        <v>40908.0</v>
      </c>
      <c r="R6288" s="17">
        <f t="shared" si="2"/>
        <v>10.0540244</v>
      </c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>
        <f t="shared" si="8"/>
        <v>3</v>
      </c>
      <c r="AF6288" s="19">
        <f t="shared" si="13"/>
        <v>4</v>
      </c>
      <c r="AG6288" s="9"/>
      <c r="AH6288" s="9"/>
      <c r="AI6288" s="9"/>
    </row>
    <row r="6289" ht="15.0" customHeight="1">
      <c r="A6289" s="11">
        <v>6288.0</v>
      </c>
      <c r="B6289" s="12">
        <f t="shared" si="1009"/>
        <v>40907</v>
      </c>
      <c r="C6289" s="13">
        <v>2011.0</v>
      </c>
      <c r="D6289" s="11" t="s">
        <v>102</v>
      </c>
      <c r="E6289" s="11">
        <v>48.0</v>
      </c>
      <c r="F6289" s="21" t="s">
        <v>1379</v>
      </c>
      <c r="G6289" s="15">
        <v>0.07523573200992553</v>
      </c>
      <c r="H6289" s="11" t="s">
        <v>24</v>
      </c>
      <c r="I6289" s="16">
        <v>4.712</v>
      </c>
      <c r="J6289" s="11" t="s">
        <v>1221</v>
      </c>
      <c r="K6289" s="11" t="s">
        <v>61</v>
      </c>
      <c r="L6289" s="11" t="s">
        <v>41</v>
      </c>
      <c r="M6289" s="11" t="s">
        <v>66</v>
      </c>
      <c r="N6289" s="11" t="s">
        <v>67</v>
      </c>
      <c r="O6289" s="11" t="s">
        <v>1990</v>
      </c>
      <c r="P6289" s="11" t="s">
        <v>38</v>
      </c>
      <c r="Q6289" s="20">
        <v>40909.0</v>
      </c>
      <c r="R6289" s="17">
        <f t="shared" si="2"/>
        <v>95.33209886</v>
      </c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>
        <f t="shared" si="8"/>
        <v>3</v>
      </c>
      <c r="AF6289" s="19">
        <f t="shared" si="13"/>
        <v>4</v>
      </c>
      <c r="AG6289" s="9"/>
      <c r="AH6289" s="9"/>
      <c r="AI6289" s="9"/>
    </row>
    <row r="6290" ht="15.0" customHeight="1">
      <c r="A6290" s="11">
        <v>6289.0</v>
      </c>
      <c r="B6290" s="12">
        <f t="shared" si="1009"/>
        <v>40907</v>
      </c>
      <c r="C6290" s="13">
        <v>2011.0</v>
      </c>
      <c r="D6290" s="11" t="s">
        <v>32</v>
      </c>
      <c r="E6290" s="11">
        <v>23.0</v>
      </c>
      <c r="F6290" s="21" t="s">
        <v>740</v>
      </c>
      <c r="G6290" s="15">
        <v>0.04963007387618255</v>
      </c>
      <c r="H6290" s="11" t="s">
        <v>45</v>
      </c>
      <c r="I6290" s="16">
        <v>51.784000000000006</v>
      </c>
      <c r="J6290" s="11" t="s">
        <v>1982</v>
      </c>
      <c r="K6290" s="11" t="s">
        <v>65</v>
      </c>
      <c r="L6290" s="11" t="s">
        <v>36</v>
      </c>
      <c r="M6290" s="11" t="s">
        <v>49</v>
      </c>
      <c r="N6290" s="11" t="s">
        <v>50</v>
      </c>
      <c r="O6290" s="11" t="s">
        <v>742</v>
      </c>
      <c r="P6290" s="11" t="s">
        <v>52</v>
      </c>
      <c r="Q6290" s="20">
        <v>40909.0</v>
      </c>
      <c r="R6290" s="17">
        <f t="shared" si="2"/>
        <v>346.044896</v>
      </c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>
        <f t="shared" si="8"/>
        <v>2</v>
      </c>
      <c r="AF6290" s="19">
        <f t="shared" si="13"/>
        <v>5</v>
      </c>
      <c r="AG6290" s="9"/>
      <c r="AH6290" s="9"/>
      <c r="AI6290" s="9"/>
    </row>
    <row r="6291" ht="15.0" customHeight="1">
      <c r="A6291" s="11">
        <v>6290.0</v>
      </c>
      <c r="B6291" s="12">
        <f t="shared" si="1009"/>
        <v>40907</v>
      </c>
      <c r="C6291" s="13">
        <v>2011.0</v>
      </c>
      <c r="D6291" s="11" t="s">
        <v>32</v>
      </c>
      <c r="E6291" s="11">
        <v>21.0</v>
      </c>
      <c r="F6291" s="21" t="s">
        <v>562</v>
      </c>
      <c r="G6291" s="15">
        <v>0.0660268679994329</v>
      </c>
      <c r="H6291" s="11" t="s">
        <v>45</v>
      </c>
      <c r="I6291" s="16">
        <v>20.8</v>
      </c>
      <c r="J6291" s="11" t="s">
        <v>1982</v>
      </c>
      <c r="K6291" s="11" t="s">
        <v>65</v>
      </c>
      <c r="L6291" s="11" t="s">
        <v>36</v>
      </c>
      <c r="M6291" s="11" t="s">
        <v>49</v>
      </c>
      <c r="N6291" s="11" t="s">
        <v>50</v>
      </c>
      <c r="O6291" s="11" t="s">
        <v>1649</v>
      </c>
      <c r="P6291" s="11" t="s">
        <v>52</v>
      </c>
      <c r="Q6291" s="20">
        <v>40909.0</v>
      </c>
      <c r="R6291" s="17">
        <f t="shared" si="2"/>
        <v>695.9033807</v>
      </c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>
        <f t="shared" si="8"/>
        <v>2</v>
      </c>
      <c r="AF6291" s="19">
        <f t="shared" si="13"/>
        <v>5</v>
      </c>
      <c r="AG6291" s="9"/>
      <c r="AH6291" s="9"/>
      <c r="AI6291" s="9"/>
    </row>
    <row r="6292" ht="15.0" customHeight="1">
      <c r="A6292" s="11">
        <v>6291.0</v>
      </c>
      <c r="B6292" s="12">
        <f t="shared" si="1009"/>
        <v>40907</v>
      </c>
      <c r="C6292" s="13">
        <v>2011.0</v>
      </c>
      <c r="D6292" s="11" t="s">
        <v>32</v>
      </c>
      <c r="E6292" s="11">
        <v>18.0</v>
      </c>
      <c r="F6292" s="21" t="s">
        <v>527</v>
      </c>
      <c r="G6292" s="15">
        <v>0.04081132075471692</v>
      </c>
      <c r="H6292" s="11" t="s">
        <v>33</v>
      </c>
      <c r="I6292" s="16">
        <v>1.592</v>
      </c>
      <c r="J6292" s="11" t="s">
        <v>1982</v>
      </c>
      <c r="K6292" s="11" t="s">
        <v>65</v>
      </c>
      <c r="L6292" s="11" t="s">
        <v>36</v>
      </c>
      <c r="M6292" s="11" t="s">
        <v>66</v>
      </c>
      <c r="N6292" s="11" t="s">
        <v>67</v>
      </c>
      <c r="O6292" s="11" t="s">
        <v>529</v>
      </c>
      <c r="P6292" s="11" t="s">
        <v>99</v>
      </c>
      <c r="Q6292" s="20">
        <v>40909.0</v>
      </c>
      <c r="R6292" s="17">
        <f t="shared" si="2"/>
        <v>33.19560181</v>
      </c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>
        <f t="shared" si="8"/>
        <v>2</v>
      </c>
      <c r="AF6292" s="19">
        <f t="shared" si="13"/>
        <v>5</v>
      </c>
      <c r="AG6292" s="9"/>
      <c r="AH6292" s="9"/>
      <c r="AI6292" s="9"/>
    </row>
    <row r="6293" ht="15.0" customHeight="1">
      <c r="A6293" s="11">
        <v>6292.0</v>
      </c>
      <c r="B6293" s="12">
        <f t="shared" ref="B6293:B6298" si="1010">DATE(2012,12,31)-366</f>
        <v>40908</v>
      </c>
      <c r="C6293" s="13">
        <v>2011.0</v>
      </c>
      <c r="D6293" s="11" t="s">
        <v>39</v>
      </c>
      <c r="E6293" s="11">
        <v>45.0</v>
      </c>
      <c r="F6293" s="21" t="s">
        <v>308</v>
      </c>
      <c r="G6293" s="15">
        <v>0.0659747374352393</v>
      </c>
      <c r="H6293" s="11" t="s">
        <v>45</v>
      </c>
      <c r="I6293" s="16">
        <v>14.288</v>
      </c>
      <c r="J6293" s="11" t="s">
        <v>202</v>
      </c>
      <c r="K6293" s="11" t="s">
        <v>35</v>
      </c>
      <c r="L6293" s="11" t="s">
        <v>27</v>
      </c>
      <c r="M6293" s="11" t="s">
        <v>66</v>
      </c>
      <c r="N6293" s="11" t="s">
        <v>69</v>
      </c>
      <c r="O6293" s="11" t="s">
        <v>309</v>
      </c>
      <c r="P6293" s="11" t="s">
        <v>52</v>
      </c>
      <c r="Q6293" s="20">
        <v>40909.0</v>
      </c>
      <c r="R6293" s="17">
        <f t="shared" si="2"/>
        <v>787.3945046</v>
      </c>
      <c r="S6293" s="9"/>
      <c r="T6293" s="9"/>
      <c r="U6293" s="9"/>
      <c r="V6293" s="9"/>
      <c r="W6293" s="9"/>
      <c r="X6293" s="9"/>
      <c r="Y6293" s="9"/>
      <c r="Z6293" s="9"/>
      <c r="AA6293" s="9"/>
      <c r="AB6293" s="28"/>
      <c r="AC6293" s="28"/>
      <c r="AD6293" s="28"/>
      <c r="AE6293" s="9">
        <f t="shared" si="8"/>
        <v>1</v>
      </c>
      <c r="AF6293" s="19">
        <f t="shared" si="13"/>
        <v>2</v>
      </c>
      <c r="AG6293" s="28"/>
      <c r="AH6293" s="28"/>
      <c r="AI6293" s="28"/>
    </row>
    <row r="6294" ht="15.0" customHeight="1">
      <c r="A6294" s="11">
        <v>6293.0</v>
      </c>
      <c r="B6294" s="12">
        <f t="shared" si="1010"/>
        <v>40908</v>
      </c>
      <c r="C6294" s="13">
        <v>2011.0</v>
      </c>
      <c r="D6294" s="11" t="s">
        <v>39</v>
      </c>
      <c r="E6294" s="11">
        <v>18.0</v>
      </c>
      <c r="F6294" s="21" t="s">
        <v>218</v>
      </c>
      <c r="G6294" s="15">
        <v>0.06261519302615183</v>
      </c>
      <c r="H6294" s="11" t="s">
        <v>24</v>
      </c>
      <c r="I6294" s="16">
        <v>1.144</v>
      </c>
      <c r="J6294" s="11" t="s">
        <v>202</v>
      </c>
      <c r="K6294" s="11" t="s">
        <v>35</v>
      </c>
      <c r="L6294" s="11" t="s">
        <v>27</v>
      </c>
      <c r="M6294" s="11" t="s">
        <v>28</v>
      </c>
      <c r="N6294" s="11" t="s">
        <v>56</v>
      </c>
      <c r="O6294" s="11" t="s">
        <v>1315</v>
      </c>
      <c r="P6294" s="11" t="s">
        <v>58</v>
      </c>
      <c r="Q6294" s="20">
        <v>40909.0</v>
      </c>
      <c r="R6294" s="17">
        <f t="shared" si="2"/>
        <v>9.426341619</v>
      </c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>
        <f t="shared" si="8"/>
        <v>1</v>
      </c>
      <c r="AF6294" s="19">
        <f t="shared" si="13"/>
        <v>2</v>
      </c>
      <c r="AG6294" s="9"/>
      <c r="AH6294" s="9"/>
      <c r="AI6294" s="9"/>
    </row>
    <row r="6295" ht="15.0" customHeight="1">
      <c r="A6295" s="11">
        <v>6294.0</v>
      </c>
      <c r="B6295" s="12">
        <f t="shared" si="1010"/>
        <v>40908</v>
      </c>
      <c r="C6295" s="13">
        <v>2011.0</v>
      </c>
      <c r="D6295" s="11" t="s">
        <v>23</v>
      </c>
      <c r="E6295" s="11">
        <v>8.0</v>
      </c>
      <c r="F6295" s="21" t="s">
        <v>668</v>
      </c>
      <c r="G6295" s="15">
        <v>0.024325108853410767</v>
      </c>
      <c r="H6295" s="11" t="s">
        <v>33</v>
      </c>
      <c r="I6295" s="16">
        <v>4.024</v>
      </c>
      <c r="J6295" s="11" t="s">
        <v>2524</v>
      </c>
      <c r="K6295" s="11" t="s">
        <v>117</v>
      </c>
      <c r="L6295" s="11" t="s">
        <v>27</v>
      </c>
      <c r="M6295" s="11" t="s">
        <v>66</v>
      </c>
      <c r="N6295" s="11" t="s">
        <v>80</v>
      </c>
      <c r="O6295" s="11" t="s">
        <v>1603</v>
      </c>
      <c r="P6295" s="11" t="s">
        <v>75</v>
      </c>
      <c r="Q6295" s="20">
        <v>40909.0</v>
      </c>
      <c r="R6295" s="17">
        <f t="shared" si="2"/>
        <v>1.635231118</v>
      </c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>
        <f t="shared" si="8"/>
        <v>1</v>
      </c>
      <c r="AF6295" s="19" t="b">
        <f t="shared" si="13"/>
        <v>0</v>
      </c>
      <c r="AG6295" s="9"/>
      <c r="AH6295" s="9"/>
      <c r="AI6295" s="9"/>
    </row>
    <row r="6296" ht="15.0" customHeight="1">
      <c r="A6296" s="11">
        <v>6295.0</v>
      </c>
      <c r="B6296" s="12">
        <f t="shared" si="1010"/>
        <v>40908</v>
      </c>
      <c r="C6296" s="13">
        <v>2011.0</v>
      </c>
      <c r="D6296" s="11" t="s">
        <v>44</v>
      </c>
      <c r="E6296" s="11">
        <v>24.0</v>
      </c>
      <c r="F6296" s="21" t="s">
        <v>2151</v>
      </c>
      <c r="G6296" s="15">
        <v>0.03195272931907708</v>
      </c>
      <c r="H6296" s="11" t="s">
        <v>33</v>
      </c>
      <c r="I6296" s="16">
        <v>10.576</v>
      </c>
      <c r="J6296" s="11" t="s">
        <v>227</v>
      </c>
      <c r="K6296" s="11" t="s">
        <v>35</v>
      </c>
      <c r="L6296" s="11" t="s">
        <v>27</v>
      </c>
      <c r="M6296" s="11" t="s">
        <v>28</v>
      </c>
      <c r="N6296" s="11" t="s">
        <v>197</v>
      </c>
      <c r="O6296" s="11" t="s">
        <v>2152</v>
      </c>
      <c r="P6296" s="11" t="s">
        <v>38</v>
      </c>
      <c r="Q6296" s="20">
        <v>40910.0</v>
      </c>
      <c r="R6296" s="17">
        <f t="shared" si="2"/>
        <v>43.97257922</v>
      </c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>
        <f t="shared" si="8"/>
        <v>1</v>
      </c>
      <c r="AF6296" s="19">
        <f t="shared" si="13"/>
        <v>2</v>
      </c>
      <c r="AG6296" s="9"/>
      <c r="AH6296" s="9"/>
      <c r="AI6296" s="9"/>
    </row>
    <row r="6297" ht="15.0" customHeight="1">
      <c r="A6297" s="11">
        <v>6296.0</v>
      </c>
      <c r="B6297" s="12">
        <f t="shared" si="1010"/>
        <v>40908</v>
      </c>
      <c r="C6297" s="13">
        <v>2011.0</v>
      </c>
      <c r="D6297" s="11" t="s">
        <v>32</v>
      </c>
      <c r="E6297" s="11">
        <v>2.0</v>
      </c>
      <c r="F6297" s="21" t="s">
        <v>142</v>
      </c>
      <c r="G6297" s="15">
        <v>0.02442953020134238</v>
      </c>
      <c r="H6297" s="11" t="s">
        <v>33</v>
      </c>
      <c r="I6297" s="16">
        <v>0.8800000000000001</v>
      </c>
      <c r="J6297" s="11" t="s">
        <v>1236</v>
      </c>
      <c r="K6297" s="11" t="s">
        <v>83</v>
      </c>
      <c r="L6297" s="11" t="s">
        <v>36</v>
      </c>
      <c r="M6297" s="11" t="s">
        <v>66</v>
      </c>
      <c r="N6297" s="11" t="s">
        <v>80</v>
      </c>
      <c r="O6297" s="11" t="s">
        <v>143</v>
      </c>
      <c r="P6297" s="11" t="s">
        <v>38</v>
      </c>
      <c r="Q6297" s="20">
        <v>40910.0</v>
      </c>
      <c r="R6297" s="17">
        <f t="shared" si="2"/>
        <v>1.775538255</v>
      </c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>
        <f t="shared" si="8"/>
        <v>2</v>
      </c>
      <c r="AF6297" s="19" t="b">
        <f t="shared" si="13"/>
        <v>0</v>
      </c>
      <c r="AG6297" s="9"/>
      <c r="AH6297" s="9"/>
      <c r="AI6297" s="9"/>
    </row>
    <row r="6298" ht="15.0" customHeight="1">
      <c r="A6298" s="29">
        <v>6297.0</v>
      </c>
      <c r="B6298" s="30">
        <f t="shared" si="1010"/>
        <v>40908</v>
      </c>
      <c r="C6298" s="31">
        <v>2011.0</v>
      </c>
      <c r="D6298" s="29" t="s">
        <v>102</v>
      </c>
      <c r="E6298" s="29">
        <v>6.0</v>
      </c>
      <c r="F6298" s="32" t="s">
        <v>1047</v>
      </c>
      <c r="G6298" s="33">
        <v>0.022878980891719768</v>
      </c>
      <c r="H6298" s="29" t="s">
        <v>33</v>
      </c>
      <c r="I6298" s="34">
        <v>11.112000000000002</v>
      </c>
      <c r="J6298" s="29" t="s">
        <v>588</v>
      </c>
      <c r="K6298" s="29" t="s">
        <v>47</v>
      </c>
      <c r="L6298" s="29" t="s">
        <v>27</v>
      </c>
      <c r="M6298" s="29" t="s">
        <v>28</v>
      </c>
      <c r="N6298" s="29" t="s">
        <v>62</v>
      </c>
      <c r="O6298" s="29" t="s">
        <v>1049</v>
      </c>
      <c r="P6298" s="29" t="s">
        <v>58</v>
      </c>
      <c r="Q6298" s="35">
        <v>40911.0</v>
      </c>
      <c r="R6298" s="17">
        <f t="shared" si="2"/>
        <v>5.264728051</v>
      </c>
      <c r="S6298" s="36"/>
      <c r="T6298" s="36"/>
      <c r="U6298" s="36"/>
      <c r="V6298" s="36"/>
      <c r="W6298" s="36"/>
      <c r="X6298" s="28"/>
      <c r="Y6298" s="28"/>
      <c r="Z6298" s="28"/>
      <c r="AA6298" s="28"/>
      <c r="AB6298" s="9"/>
      <c r="AC6298" s="9"/>
      <c r="AD6298" s="9"/>
      <c r="AE6298" s="9">
        <f t="shared" si="8"/>
        <v>1</v>
      </c>
      <c r="AF6298" s="19">
        <f t="shared" si="13"/>
        <v>3</v>
      </c>
      <c r="AG6298" s="9"/>
      <c r="AH6298" s="9"/>
      <c r="AI6298" s="9"/>
    </row>
    <row r="6299" ht="15.0" customHeight="1">
      <c r="A6299" s="11">
        <v>6298.0</v>
      </c>
      <c r="B6299" s="12">
        <f t="shared" ref="B6299:B6300" si="1011">DATE(2012,12,31)-365</f>
        <v>40909</v>
      </c>
      <c r="C6299" s="13">
        <v>2012.0</v>
      </c>
      <c r="D6299" s="11" t="s">
        <v>44</v>
      </c>
      <c r="E6299" s="11">
        <v>45.0</v>
      </c>
      <c r="F6299" s="21" t="s">
        <v>518</v>
      </c>
      <c r="G6299" s="15">
        <v>0.03255817932922644</v>
      </c>
      <c r="H6299" s="11" t="s">
        <v>33</v>
      </c>
      <c r="I6299" s="16">
        <v>15.991999999999999</v>
      </c>
      <c r="J6299" s="11" t="s">
        <v>1123</v>
      </c>
      <c r="K6299" s="11" t="s">
        <v>61</v>
      </c>
      <c r="L6299" s="11" t="s">
        <v>48</v>
      </c>
      <c r="M6299" s="11" t="s">
        <v>66</v>
      </c>
      <c r="N6299" s="11" t="s">
        <v>67</v>
      </c>
      <c r="O6299" s="11" t="s">
        <v>712</v>
      </c>
      <c r="P6299" s="11" t="s">
        <v>38</v>
      </c>
      <c r="Q6299" s="20">
        <v>40911.0</v>
      </c>
      <c r="R6299" s="17">
        <f t="shared" si="2"/>
        <v>73.63006209</v>
      </c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>
        <f t="shared" si="8"/>
        <v>4</v>
      </c>
      <c r="AF6299" s="19">
        <f t="shared" si="13"/>
        <v>4</v>
      </c>
      <c r="AG6299" s="9"/>
      <c r="AH6299" s="9"/>
      <c r="AI6299" s="9"/>
    </row>
    <row r="6300" ht="15.0" customHeight="1">
      <c r="A6300" s="11">
        <v>6299.0</v>
      </c>
      <c r="B6300" s="12">
        <f t="shared" si="1011"/>
        <v>40909</v>
      </c>
      <c r="C6300" s="13">
        <v>2012.0</v>
      </c>
      <c r="D6300" s="11" t="s">
        <v>44</v>
      </c>
      <c r="E6300" s="11">
        <v>50.0</v>
      </c>
      <c r="F6300" s="21" t="s">
        <v>415</v>
      </c>
      <c r="G6300" s="15">
        <v>0.09502063273727643</v>
      </c>
      <c r="H6300" s="11" t="s">
        <v>33</v>
      </c>
      <c r="I6300" s="16">
        <v>2.3760000000000003</v>
      </c>
      <c r="J6300" s="11" t="s">
        <v>1123</v>
      </c>
      <c r="K6300" s="11" t="s">
        <v>61</v>
      </c>
      <c r="L6300" s="11" t="s">
        <v>48</v>
      </c>
      <c r="M6300" s="11" t="s">
        <v>28</v>
      </c>
      <c r="N6300" s="11" t="s">
        <v>56</v>
      </c>
      <c r="O6300" s="11" t="s">
        <v>2111</v>
      </c>
      <c r="P6300" s="11" t="s">
        <v>58</v>
      </c>
      <c r="Q6300" s="20">
        <v>40911.0</v>
      </c>
      <c r="R6300" s="17">
        <f t="shared" si="2"/>
        <v>18.75479241</v>
      </c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>
        <f t="shared" si="8"/>
        <v>4</v>
      </c>
      <c r="AF6300" s="19">
        <f t="shared" si="13"/>
        <v>4</v>
      </c>
      <c r="AG6300" s="9"/>
      <c r="AH6300" s="9"/>
      <c r="AI6300" s="9"/>
    </row>
    <row r="6301" ht="15.0" customHeight="1">
      <c r="A6301" s="11">
        <v>6300.0</v>
      </c>
      <c r="B6301" s="12">
        <f t="shared" ref="B6301:B6303" si="1012">DATE(2012,12,31)-364</f>
        <v>40910</v>
      </c>
      <c r="C6301" s="13">
        <v>2012.0</v>
      </c>
      <c r="D6301" s="11" t="s">
        <v>102</v>
      </c>
      <c r="E6301" s="11">
        <v>10.0</v>
      </c>
      <c r="F6301" s="21" t="s">
        <v>1317</v>
      </c>
      <c r="G6301" s="15">
        <v>0.05324553151458134</v>
      </c>
      <c r="H6301" s="11" t="s">
        <v>33</v>
      </c>
      <c r="I6301" s="16">
        <v>3.28</v>
      </c>
      <c r="J6301" s="11" t="s">
        <v>1123</v>
      </c>
      <c r="K6301" s="11" t="s">
        <v>61</v>
      </c>
      <c r="L6301" s="11" t="s">
        <v>48</v>
      </c>
      <c r="M6301" s="11" t="s">
        <v>28</v>
      </c>
      <c r="N6301" s="11" t="s">
        <v>62</v>
      </c>
      <c r="O6301" s="11" t="s">
        <v>1318</v>
      </c>
      <c r="P6301" s="11" t="s">
        <v>58</v>
      </c>
      <c r="Q6301" s="20">
        <v>40912.0</v>
      </c>
      <c r="R6301" s="17">
        <f t="shared" si="2"/>
        <v>10.71726058</v>
      </c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>
        <f t="shared" si="8"/>
        <v>4</v>
      </c>
      <c r="AF6301" s="19">
        <f t="shared" si="13"/>
        <v>4</v>
      </c>
      <c r="AG6301" s="9"/>
      <c r="AH6301" s="9"/>
      <c r="AI6301" s="9"/>
    </row>
    <row r="6302" ht="15.0" customHeight="1">
      <c r="A6302" s="11">
        <v>6301.0</v>
      </c>
      <c r="B6302" s="12">
        <f t="shared" si="1012"/>
        <v>40910</v>
      </c>
      <c r="C6302" s="13">
        <v>2012.0</v>
      </c>
      <c r="D6302" s="11" t="s">
        <v>39</v>
      </c>
      <c r="E6302" s="11">
        <v>27.0</v>
      </c>
      <c r="F6302" s="21" t="s">
        <v>747</v>
      </c>
      <c r="G6302" s="15">
        <v>0.10185696361355075</v>
      </c>
      <c r="H6302" s="11" t="s">
        <v>33</v>
      </c>
      <c r="I6302" s="16">
        <v>5.5280000000000005</v>
      </c>
      <c r="J6302" s="11" t="s">
        <v>968</v>
      </c>
      <c r="K6302" s="11" t="s">
        <v>47</v>
      </c>
      <c r="L6302" s="11" t="s">
        <v>36</v>
      </c>
      <c r="M6302" s="11" t="s">
        <v>28</v>
      </c>
      <c r="N6302" s="11" t="s">
        <v>29</v>
      </c>
      <c r="O6302" s="11" t="s">
        <v>2585</v>
      </c>
      <c r="P6302" s="11" t="s">
        <v>38</v>
      </c>
      <c r="Q6302" s="20">
        <v>40912.0</v>
      </c>
      <c r="R6302" s="17">
        <f t="shared" si="2"/>
        <v>29.16450068</v>
      </c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>
        <f t="shared" si="8"/>
        <v>2</v>
      </c>
      <c r="AF6302" s="19">
        <f t="shared" si="13"/>
        <v>3</v>
      </c>
      <c r="AG6302" s="9"/>
      <c r="AH6302" s="9"/>
      <c r="AI6302" s="9"/>
    </row>
    <row r="6303" ht="15.0" customHeight="1">
      <c r="A6303" s="11">
        <v>6302.0</v>
      </c>
      <c r="B6303" s="12">
        <f t="shared" si="1012"/>
        <v>40910</v>
      </c>
      <c r="C6303" s="13">
        <v>2012.0</v>
      </c>
      <c r="D6303" s="11" t="s">
        <v>102</v>
      </c>
      <c r="E6303" s="11">
        <v>38.0</v>
      </c>
      <c r="F6303" s="21" t="s">
        <v>450</v>
      </c>
      <c r="G6303" s="15">
        <v>0.03950157649136089</v>
      </c>
      <c r="H6303" s="11" t="s">
        <v>24</v>
      </c>
      <c r="I6303" s="16">
        <v>19.592</v>
      </c>
      <c r="J6303" s="11" t="s">
        <v>850</v>
      </c>
      <c r="K6303" s="11" t="s">
        <v>61</v>
      </c>
      <c r="L6303" s="11" t="s">
        <v>36</v>
      </c>
      <c r="M6303" s="11" t="s">
        <v>66</v>
      </c>
      <c r="N6303" s="11" t="s">
        <v>170</v>
      </c>
      <c r="O6303" s="11" t="s">
        <v>451</v>
      </c>
      <c r="P6303" s="11" t="s">
        <v>31</v>
      </c>
      <c r="Q6303" s="20">
        <v>40912.0</v>
      </c>
      <c r="R6303" s="17">
        <f t="shared" si="2"/>
        <v>300.8357902</v>
      </c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>
        <f t="shared" si="8"/>
        <v>2</v>
      </c>
      <c r="AF6303" s="19">
        <f t="shared" si="13"/>
        <v>4</v>
      </c>
      <c r="AG6303" s="9"/>
      <c r="AH6303" s="9"/>
      <c r="AI6303" s="9"/>
    </row>
    <row r="6304" ht="15.0" customHeight="1">
      <c r="A6304" s="11">
        <v>6303.0</v>
      </c>
      <c r="B6304" s="12">
        <f t="shared" ref="B6304:B6311" si="1013">DATE(2012,12,31)-363</f>
        <v>40911</v>
      </c>
      <c r="C6304" s="13">
        <v>2012.0</v>
      </c>
      <c r="D6304" s="11" t="s">
        <v>102</v>
      </c>
      <c r="E6304" s="11">
        <v>14.0</v>
      </c>
      <c r="F6304" s="21" t="s">
        <v>498</v>
      </c>
      <c r="G6304" s="15">
        <v>0.040591371099580595</v>
      </c>
      <c r="H6304" s="11" t="s">
        <v>33</v>
      </c>
      <c r="I6304" s="16">
        <v>7.192</v>
      </c>
      <c r="J6304" s="11" t="s">
        <v>1784</v>
      </c>
      <c r="K6304" s="11" t="s">
        <v>117</v>
      </c>
      <c r="L6304" s="11" t="s">
        <v>41</v>
      </c>
      <c r="M6304" s="11" t="s">
        <v>66</v>
      </c>
      <c r="N6304" s="11" t="s">
        <v>80</v>
      </c>
      <c r="O6304" s="11" t="s">
        <v>1763</v>
      </c>
      <c r="P6304" s="11" t="s">
        <v>38</v>
      </c>
      <c r="Q6304" s="20">
        <v>40912.0</v>
      </c>
      <c r="R6304" s="17">
        <f t="shared" si="2"/>
        <v>54.78990798</v>
      </c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>
        <f t="shared" si="8"/>
        <v>3</v>
      </c>
      <c r="AF6304" s="19" t="b">
        <f t="shared" si="13"/>
        <v>0</v>
      </c>
      <c r="AG6304" s="9"/>
      <c r="AH6304" s="9"/>
      <c r="AI6304" s="9"/>
    </row>
    <row r="6305" ht="15.0" customHeight="1">
      <c r="A6305" s="11">
        <v>6304.0</v>
      </c>
      <c r="B6305" s="12">
        <f t="shared" si="1013"/>
        <v>40911</v>
      </c>
      <c r="C6305" s="13">
        <v>2012.0</v>
      </c>
      <c r="D6305" s="11" t="s">
        <v>44</v>
      </c>
      <c r="E6305" s="11">
        <v>22.0</v>
      </c>
      <c r="F6305" s="21" t="s">
        <v>234</v>
      </c>
      <c r="G6305" s="15">
        <v>0.0666134259859464</v>
      </c>
      <c r="H6305" s="11" t="s">
        <v>33</v>
      </c>
      <c r="I6305" s="16">
        <v>15.991999999999999</v>
      </c>
      <c r="J6305" s="11" t="s">
        <v>1448</v>
      </c>
      <c r="K6305" s="11" t="s">
        <v>61</v>
      </c>
      <c r="L6305" s="11" t="s">
        <v>27</v>
      </c>
      <c r="M6305" s="11" t="s">
        <v>28</v>
      </c>
      <c r="N6305" s="11" t="s">
        <v>236</v>
      </c>
      <c r="O6305" s="11" t="s">
        <v>237</v>
      </c>
      <c r="P6305" s="11" t="s">
        <v>38</v>
      </c>
      <c r="Q6305" s="20">
        <v>40913.0</v>
      </c>
      <c r="R6305" s="17">
        <f t="shared" si="2"/>
        <v>239.794478</v>
      </c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>
        <f t="shared" si="8"/>
        <v>1</v>
      </c>
      <c r="AF6305" s="19">
        <f t="shared" si="13"/>
        <v>4</v>
      </c>
      <c r="AG6305" s="9"/>
      <c r="AH6305" s="9"/>
      <c r="AI6305" s="9"/>
    </row>
    <row r="6306" ht="15.0" customHeight="1">
      <c r="A6306" s="11">
        <v>6305.0</v>
      </c>
      <c r="B6306" s="12">
        <f t="shared" si="1013"/>
        <v>40911</v>
      </c>
      <c r="C6306" s="13">
        <v>2012.0</v>
      </c>
      <c r="D6306" s="11" t="s">
        <v>44</v>
      </c>
      <c r="E6306" s="11">
        <v>26.0</v>
      </c>
      <c r="F6306" s="21" t="s">
        <v>1944</v>
      </c>
      <c r="G6306" s="15">
        <v>0.09131474103585645</v>
      </c>
      <c r="H6306" s="11" t="s">
        <v>33</v>
      </c>
      <c r="I6306" s="16">
        <v>3.4240000000000004</v>
      </c>
      <c r="J6306" s="11" t="s">
        <v>1448</v>
      </c>
      <c r="K6306" s="11" t="s">
        <v>61</v>
      </c>
      <c r="L6306" s="11" t="s">
        <v>27</v>
      </c>
      <c r="M6306" s="11" t="s">
        <v>28</v>
      </c>
      <c r="N6306" s="11" t="s">
        <v>62</v>
      </c>
      <c r="O6306" s="11" t="s">
        <v>2466</v>
      </c>
      <c r="P6306" s="11" t="s">
        <v>58</v>
      </c>
      <c r="Q6306" s="20">
        <v>40913.0</v>
      </c>
      <c r="R6306" s="17">
        <f t="shared" si="2"/>
        <v>6.248119841</v>
      </c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>
        <f t="shared" si="8"/>
        <v>1</v>
      </c>
      <c r="AF6306" s="19">
        <f t="shared" si="13"/>
        <v>4</v>
      </c>
      <c r="AG6306" s="9"/>
      <c r="AH6306" s="9"/>
      <c r="AI6306" s="9"/>
    </row>
    <row r="6307" ht="15.0" customHeight="1">
      <c r="A6307" s="11">
        <v>6306.0</v>
      </c>
      <c r="B6307" s="12">
        <f t="shared" si="1013"/>
        <v>40911</v>
      </c>
      <c r="C6307" s="13">
        <v>2012.0</v>
      </c>
      <c r="D6307" s="11" t="s">
        <v>44</v>
      </c>
      <c r="E6307" s="11">
        <v>26.0</v>
      </c>
      <c r="F6307" s="21" t="s">
        <v>461</v>
      </c>
      <c r="G6307" s="15">
        <v>0.03097327076106921</v>
      </c>
      <c r="H6307" s="11" t="s">
        <v>45</v>
      </c>
      <c r="I6307" s="16">
        <v>11.200000000000001</v>
      </c>
      <c r="J6307" s="11" t="s">
        <v>1448</v>
      </c>
      <c r="K6307" s="11" t="s">
        <v>61</v>
      </c>
      <c r="L6307" s="11" t="s">
        <v>27</v>
      </c>
      <c r="M6307" s="11" t="s">
        <v>66</v>
      </c>
      <c r="N6307" s="11" t="s">
        <v>69</v>
      </c>
      <c r="O6307" s="11" t="s">
        <v>779</v>
      </c>
      <c r="P6307" s="11" t="s">
        <v>52</v>
      </c>
      <c r="Q6307" s="20">
        <v>40913.0</v>
      </c>
      <c r="R6307" s="17">
        <f t="shared" si="2"/>
        <v>73.54912875</v>
      </c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>
        <f t="shared" si="8"/>
        <v>1</v>
      </c>
      <c r="AF6307" s="19">
        <f t="shared" si="13"/>
        <v>4</v>
      </c>
      <c r="AG6307" s="9"/>
      <c r="AH6307" s="9"/>
      <c r="AI6307" s="9"/>
    </row>
    <row r="6308" ht="15.0" customHeight="1">
      <c r="A6308" s="11">
        <v>6307.0</v>
      </c>
      <c r="B6308" s="12">
        <f t="shared" si="1013"/>
        <v>40911</v>
      </c>
      <c r="C6308" s="13">
        <v>2012.0</v>
      </c>
      <c r="D6308" s="11" t="s">
        <v>39</v>
      </c>
      <c r="E6308" s="11">
        <v>49.0</v>
      </c>
      <c r="F6308" s="21" t="s">
        <v>379</v>
      </c>
      <c r="G6308" s="15">
        <v>0.09526347091709299</v>
      </c>
      <c r="H6308" s="11" t="s">
        <v>33</v>
      </c>
      <c r="I6308" s="16">
        <v>1.1119999999999999</v>
      </c>
      <c r="J6308" s="11" t="s">
        <v>1773</v>
      </c>
      <c r="K6308" s="11" t="s">
        <v>61</v>
      </c>
      <c r="L6308" s="11" t="s">
        <v>48</v>
      </c>
      <c r="M6308" s="11" t="s">
        <v>28</v>
      </c>
      <c r="N6308" s="11" t="s">
        <v>236</v>
      </c>
      <c r="O6308" s="11" t="s">
        <v>885</v>
      </c>
      <c r="P6308" s="11" t="s">
        <v>38</v>
      </c>
      <c r="Q6308" s="20">
        <v>40913.0</v>
      </c>
      <c r="R6308" s="17">
        <f t="shared" si="2"/>
        <v>72.45853914</v>
      </c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>
        <f t="shared" si="8"/>
        <v>4</v>
      </c>
      <c r="AF6308" s="19">
        <f t="shared" si="13"/>
        <v>4</v>
      </c>
      <c r="AG6308" s="9"/>
      <c r="AH6308" s="9"/>
      <c r="AI6308" s="9"/>
    </row>
    <row r="6309" ht="15.0" customHeight="1">
      <c r="A6309" s="11">
        <v>6308.0</v>
      </c>
      <c r="B6309" s="12">
        <f t="shared" si="1013"/>
        <v>40911</v>
      </c>
      <c r="C6309" s="13">
        <v>2012.0</v>
      </c>
      <c r="D6309" s="11" t="s">
        <v>39</v>
      </c>
      <c r="E6309" s="11">
        <v>6.0</v>
      </c>
      <c r="F6309" s="21" t="s">
        <v>147</v>
      </c>
      <c r="G6309" s="15">
        <v>0.1252032520325204</v>
      </c>
      <c r="H6309" s="11" t="s">
        <v>33</v>
      </c>
      <c r="I6309" s="16">
        <v>0.5599999999999999</v>
      </c>
      <c r="J6309" s="11" t="s">
        <v>1773</v>
      </c>
      <c r="K6309" s="11" t="s">
        <v>61</v>
      </c>
      <c r="L6309" s="11" t="s">
        <v>48</v>
      </c>
      <c r="M6309" s="11" t="s">
        <v>28</v>
      </c>
      <c r="N6309" s="11" t="s">
        <v>62</v>
      </c>
      <c r="O6309" s="11" t="s">
        <v>182</v>
      </c>
      <c r="P6309" s="11" t="s">
        <v>58</v>
      </c>
      <c r="Q6309" s="20">
        <v>40913.0</v>
      </c>
      <c r="R6309" s="17">
        <f t="shared" si="2"/>
        <v>1.347186992</v>
      </c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>
        <f t="shared" si="8"/>
        <v>4</v>
      </c>
      <c r="AF6309" s="19">
        <f t="shared" si="13"/>
        <v>4</v>
      </c>
      <c r="AG6309" s="9"/>
      <c r="AH6309" s="9"/>
      <c r="AI6309" s="9"/>
    </row>
    <row r="6310" ht="15.0" customHeight="1">
      <c r="A6310" s="11">
        <v>6309.0</v>
      </c>
      <c r="B6310" s="12">
        <f t="shared" si="1013"/>
        <v>40911</v>
      </c>
      <c r="C6310" s="13">
        <v>2012.0</v>
      </c>
      <c r="D6310" s="11" t="s">
        <v>102</v>
      </c>
      <c r="E6310" s="11">
        <v>2.0</v>
      </c>
      <c r="F6310" s="21" t="s">
        <v>687</v>
      </c>
      <c r="G6310" s="15">
        <v>0.08323105587132387</v>
      </c>
      <c r="H6310" s="11" t="s">
        <v>33</v>
      </c>
      <c r="I6310" s="16">
        <v>11.192</v>
      </c>
      <c r="J6310" s="11" t="s">
        <v>759</v>
      </c>
      <c r="K6310" s="11" t="s">
        <v>61</v>
      </c>
      <c r="L6310" s="11" t="s">
        <v>41</v>
      </c>
      <c r="M6310" s="11" t="s">
        <v>66</v>
      </c>
      <c r="N6310" s="11" t="s">
        <v>69</v>
      </c>
      <c r="O6310" s="11" t="s">
        <v>688</v>
      </c>
      <c r="P6310" s="11" t="s">
        <v>75</v>
      </c>
      <c r="Q6310" s="20">
        <v>40913.0</v>
      </c>
      <c r="R6310" s="17">
        <f t="shared" si="2"/>
        <v>323.5350945</v>
      </c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>
        <f t="shared" si="8"/>
        <v>3</v>
      </c>
      <c r="AF6310" s="19">
        <f t="shared" si="13"/>
        <v>4</v>
      </c>
      <c r="AG6310" s="9"/>
      <c r="AH6310" s="9"/>
      <c r="AI6310" s="9"/>
    </row>
    <row r="6311" ht="15.0" customHeight="1">
      <c r="A6311" s="11">
        <v>6310.0</v>
      </c>
      <c r="B6311" s="12">
        <f t="shared" si="1013"/>
        <v>40911</v>
      </c>
      <c r="C6311" s="13">
        <v>2012.0</v>
      </c>
      <c r="D6311" s="11" t="s">
        <v>44</v>
      </c>
      <c r="E6311" s="11">
        <v>25.0</v>
      </c>
      <c r="F6311" s="21" t="s">
        <v>1139</v>
      </c>
      <c r="G6311" s="15">
        <v>0.0208772896295276</v>
      </c>
      <c r="H6311" s="11" t="s">
        <v>45</v>
      </c>
      <c r="I6311" s="16">
        <v>22.528000000000002</v>
      </c>
      <c r="J6311" s="11" t="s">
        <v>1210</v>
      </c>
      <c r="K6311" s="11" t="s">
        <v>47</v>
      </c>
      <c r="L6311" s="11" t="s">
        <v>48</v>
      </c>
      <c r="M6311" s="11" t="s">
        <v>49</v>
      </c>
      <c r="N6311" s="11" t="s">
        <v>50</v>
      </c>
      <c r="O6311" s="11" t="s">
        <v>1140</v>
      </c>
      <c r="P6311" s="11" t="s">
        <v>52</v>
      </c>
      <c r="Q6311" s="20">
        <v>40913.0</v>
      </c>
      <c r="R6311" s="17">
        <f t="shared" si="2"/>
        <v>118.7401693</v>
      </c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>
        <f t="shared" si="8"/>
        <v>4</v>
      </c>
      <c r="AF6311" s="19">
        <f t="shared" si="13"/>
        <v>3</v>
      </c>
      <c r="AG6311" s="9"/>
      <c r="AH6311" s="9"/>
      <c r="AI6311" s="9"/>
    </row>
    <row r="6312" ht="15.0" customHeight="1">
      <c r="A6312" s="11">
        <v>6311.0</v>
      </c>
      <c r="B6312" s="12">
        <f t="shared" ref="B6312:B6320" si="1014">DATE(2012,12,31)-362</f>
        <v>40912</v>
      </c>
      <c r="C6312" s="13">
        <v>2012.0</v>
      </c>
      <c r="D6312" s="11" t="s">
        <v>23</v>
      </c>
      <c r="E6312" s="11">
        <v>3.0</v>
      </c>
      <c r="F6312" s="21" t="s">
        <v>1824</v>
      </c>
      <c r="G6312" s="15">
        <v>0.03173348390739682</v>
      </c>
      <c r="H6312" s="11" t="s">
        <v>33</v>
      </c>
      <c r="I6312" s="16">
        <v>8.88</v>
      </c>
      <c r="J6312" s="11" t="s">
        <v>1772</v>
      </c>
      <c r="K6312" s="11" t="s">
        <v>65</v>
      </c>
      <c r="L6312" s="11" t="s">
        <v>48</v>
      </c>
      <c r="M6312" s="11" t="s">
        <v>49</v>
      </c>
      <c r="N6312" s="11" t="s">
        <v>73</v>
      </c>
      <c r="O6312" s="11" t="s">
        <v>1826</v>
      </c>
      <c r="P6312" s="11" t="s">
        <v>75</v>
      </c>
      <c r="Q6312" s="20">
        <v>40913.0</v>
      </c>
      <c r="R6312" s="17">
        <f t="shared" si="2"/>
        <v>5.44165782</v>
      </c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>
        <f t="shared" si="8"/>
        <v>4</v>
      </c>
      <c r="AF6312" s="19">
        <f t="shared" si="13"/>
        <v>5</v>
      </c>
      <c r="AG6312" s="9"/>
      <c r="AH6312" s="9"/>
      <c r="AI6312" s="9"/>
    </row>
    <row r="6313" ht="15.0" customHeight="1">
      <c r="A6313" s="11">
        <v>6312.0</v>
      </c>
      <c r="B6313" s="12">
        <f t="shared" si="1014"/>
        <v>40912</v>
      </c>
      <c r="C6313" s="13">
        <v>2012.0</v>
      </c>
      <c r="D6313" s="11" t="s">
        <v>23</v>
      </c>
      <c r="E6313" s="11">
        <v>3.0</v>
      </c>
      <c r="F6313" s="21" t="s">
        <v>1038</v>
      </c>
      <c r="G6313" s="15">
        <v>0.06536507936507951</v>
      </c>
      <c r="H6313" s="11" t="s">
        <v>33</v>
      </c>
      <c r="I6313" s="16">
        <v>4.064</v>
      </c>
      <c r="J6313" s="11" t="s">
        <v>1772</v>
      </c>
      <c r="K6313" s="11" t="s">
        <v>65</v>
      </c>
      <c r="L6313" s="11" t="s">
        <v>48</v>
      </c>
      <c r="M6313" s="11" t="s">
        <v>28</v>
      </c>
      <c r="N6313" s="11" t="s">
        <v>56</v>
      </c>
      <c r="O6313" s="11" t="s">
        <v>1040</v>
      </c>
      <c r="P6313" s="11" t="s">
        <v>58</v>
      </c>
      <c r="Q6313" s="20">
        <v>40914.0</v>
      </c>
      <c r="R6313" s="17">
        <f t="shared" si="2"/>
        <v>7.697653206</v>
      </c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>
        <f t="shared" si="8"/>
        <v>4</v>
      </c>
      <c r="AF6313" s="19">
        <f t="shared" si="13"/>
        <v>5</v>
      </c>
      <c r="AG6313" s="9"/>
      <c r="AH6313" s="9"/>
      <c r="AI6313" s="9"/>
    </row>
    <row r="6314" ht="15.0" customHeight="1">
      <c r="A6314" s="11">
        <v>6313.0</v>
      </c>
      <c r="B6314" s="12">
        <f t="shared" si="1014"/>
        <v>40912</v>
      </c>
      <c r="C6314" s="13">
        <v>2012.0</v>
      </c>
      <c r="D6314" s="11" t="s">
        <v>23</v>
      </c>
      <c r="E6314" s="11">
        <v>32.0</v>
      </c>
      <c r="F6314" s="21" t="s">
        <v>2272</v>
      </c>
      <c r="G6314" s="15">
        <v>0.09286058308141613</v>
      </c>
      <c r="H6314" s="11" t="s">
        <v>33</v>
      </c>
      <c r="I6314" s="16">
        <v>4.064</v>
      </c>
      <c r="J6314" s="11" t="s">
        <v>1772</v>
      </c>
      <c r="K6314" s="11" t="s">
        <v>65</v>
      </c>
      <c r="L6314" s="11" t="s">
        <v>48</v>
      </c>
      <c r="M6314" s="11" t="s">
        <v>28</v>
      </c>
      <c r="N6314" s="11" t="s">
        <v>29</v>
      </c>
      <c r="O6314" s="11" t="s">
        <v>2273</v>
      </c>
      <c r="P6314" s="11" t="s">
        <v>38</v>
      </c>
      <c r="Q6314" s="20">
        <v>40914.0</v>
      </c>
      <c r="R6314" s="17">
        <f t="shared" si="2"/>
        <v>164.4063194</v>
      </c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>
        <f t="shared" si="8"/>
        <v>4</v>
      </c>
      <c r="AF6314" s="19">
        <f t="shared" si="13"/>
        <v>5</v>
      </c>
      <c r="AG6314" s="9"/>
      <c r="AH6314" s="9"/>
      <c r="AI6314" s="9"/>
    </row>
    <row r="6315" ht="15.0" customHeight="1">
      <c r="A6315" s="11">
        <v>6314.0</v>
      </c>
      <c r="B6315" s="12">
        <f t="shared" si="1014"/>
        <v>40912</v>
      </c>
      <c r="C6315" s="13">
        <v>2012.0</v>
      </c>
      <c r="D6315" s="11" t="s">
        <v>39</v>
      </c>
      <c r="E6315" s="11">
        <v>38.0</v>
      </c>
      <c r="F6315" s="21" t="s">
        <v>2586</v>
      </c>
      <c r="G6315" s="15">
        <v>0.03542867480500023</v>
      </c>
      <c r="H6315" s="11" t="s">
        <v>33</v>
      </c>
      <c r="I6315" s="16">
        <v>16.632</v>
      </c>
      <c r="J6315" s="11" t="s">
        <v>2387</v>
      </c>
      <c r="K6315" s="11" t="s">
        <v>47</v>
      </c>
      <c r="L6315" s="11" t="s">
        <v>27</v>
      </c>
      <c r="M6315" s="11" t="s">
        <v>49</v>
      </c>
      <c r="N6315" s="11" t="s">
        <v>73</v>
      </c>
      <c r="O6315" s="11" t="s">
        <v>2587</v>
      </c>
      <c r="P6315" s="11" t="s">
        <v>31</v>
      </c>
      <c r="Q6315" s="20">
        <v>40914.0</v>
      </c>
      <c r="R6315" s="17">
        <f t="shared" si="2"/>
        <v>120.13977</v>
      </c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>
        <f t="shared" si="8"/>
        <v>1</v>
      </c>
      <c r="AF6315" s="19">
        <f t="shared" si="13"/>
        <v>3</v>
      </c>
      <c r="AG6315" s="9"/>
      <c r="AH6315" s="9"/>
      <c r="AI6315" s="9"/>
    </row>
    <row r="6316" ht="15.0" customHeight="1">
      <c r="A6316" s="11">
        <v>6315.0</v>
      </c>
      <c r="B6316" s="12">
        <f t="shared" si="1014"/>
        <v>40912</v>
      </c>
      <c r="C6316" s="13">
        <v>2012.0</v>
      </c>
      <c r="D6316" s="11" t="s">
        <v>39</v>
      </c>
      <c r="E6316" s="11">
        <v>5.0</v>
      </c>
      <c r="F6316" s="21" t="s">
        <v>461</v>
      </c>
      <c r="G6316" s="15">
        <v>0.03167512690355335</v>
      </c>
      <c r="H6316" s="11" t="s">
        <v>45</v>
      </c>
      <c r="I6316" s="16">
        <v>22.400000000000002</v>
      </c>
      <c r="J6316" s="11" t="s">
        <v>2387</v>
      </c>
      <c r="K6316" s="11" t="s">
        <v>47</v>
      </c>
      <c r="L6316" s="11" t="s">
        <v>27</v>
      </c>
      <c r="M6316" s="11" t="s">
        <v>66</v>
      </c>
      <c r="N6316" s="11" t="s">
        <v>69</v>
      </c>
      <c r="O6316" s="11" t="s">
        <v>1600</v>
      </c>
      <c r="P6316" s="11" t="s">
        <v>52</v>
      </c>
      <c r="Q6316" s="20">
        <v>40914.0</v>
      </c>
      <c r="R6316" s="17">
        <f t="shared" si="2"/>
        <v>15.10586802</v>
      </c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>
        <f t="shared" si="8"/>
        <v>1</v>
      </c>
      <c r="AF6316" s="19">
        <f t="shared" si="13"/>
        <v>3</v>
      </c>
      <c r="AG6316" s="9"/>
      <c r="AH6316" s="9"/>
      <c r="AI6316" s="9"/>
    </row>
    <row r="6317" ht="15.0" customHeight="1">
      <c r="A6317" s="11">
        <v>6316.0</v>
      </c>
      <c r="B6317" s="12">
        <f t="shared" si="1014"/>
        <v>40912</v>
      </c>
      <c r="C6317" s="13">
        <v>2012.0</v>
      </c>
      <c r="D6317" s="11" t="s">
        <v>44</v>
      </c>
      <c r="E6317" s="11">
        <v>15.0</v>
      </c>
      <c r="F6317" s="21" t="s">
        <v>1242</v>
      </c>
      <c r="G6317" s="15">
        <v>0.022997517313471723</v>
      </c>
      <c r="H6317" s="11" t="s">
        <v>33</v>
      </c>
      <c r="I6317" s="16">
        <v>8.200000000000001</v>
      </c>
      <c r="J6317" s="11" t="s">
        <v>2163</v>
      </c>
      <c r="K6317" s="11" t="s">
        <v>65</v>
      </c>
      <c r="L6317" s="11" t="s">
        <v>41</v>
      </c>
      <c r="M6317" s="11" t="s">
        <v>49</v>
      </c>
      <c r="N6317" s="11" t="s">
        <v>73</v>
      </c>
      <c r="O6317" s="11" t="s">
        <v>1243</v>
      </c>
      <c r="P6317" s="11" t="s">
        <v>31</v>
      </c>
      <c r="Q6317" s="20">
        <v>40914.0</v>
      </c>
      <c r="R6317" s="17">
        <f t="shared" si="2"/>
        <v>17.1952437</v>
      </c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>
        <f t="shared" si="8"/>
        <v>3</v>
      </c>
      <c r="AF6317" s="19">
        <f t="shared" si="13"/>
        <v>5</v>
      </c>
      <c r="AG6317" s="9"/>
      <c r="AH6317" s="9"/>
      <c r="AI6317" s="9"/>
    </row>
    <row r="6318" ht="15.0" customHeight="1">
      <c r="A6318" s="11">
        <v>6317.0</v>
      </c>
      <c r="B6318" s="12">
        <f t="shared" si="1014"/>
        <v>40912</v>
      </c>
      <c r="C6318" s="13">
        <v>2012.0</v>
      </c>
      <c r="D6318" s="11" t="s">
        <v>44</v>
      </c>
      <c r="E6318" s="11">
        <v>47.0</v>
      </c>
      <c r="F6318" s="21" t="s">
        <v>124</v>
      </c>
      <c r="G6318" s="15">
        <v>0.07483021892268116</v>
      </c>
      <c r="H6318" s="11" t="s">
        <v>33</v>
      </c>
      <c r="I6318" s="16">
        <v>28.0</v>
      </c>
      <c r="J6318" s="11" t="s">
        <v>2078</v>
      </c>
      <c r="K6318" s="11" t="s">
        <v>65</v>
      </c>
      <c r="L6318" s="11" t="s">
        <v>27</v>
      </c>
      <c r="M6318" s="11" t="s">
        <v>28</v>
      </c>
      <c r="N6318" s="11" t="s">
        <v>29</v>
      </c>
      <c r="O6318" s="11" t="s">
        <v>1313</v>
      </c>
      <c r="P6318" s="11" t="s">
        <v>31</v>
      </c>
      <c r="Q6318" s="20">
        <v>40914.0</v>
      </c>
      <c r="R6318" s="17">
        <f t="shared" si="2"/>
        <v>984.750715</v>
      </c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>
        <f t="shared" si="8"/>
        <v>1</v>
      </c>
      <c r="AF6318" s="19">
        <f t="shared" si="13"/>
        <v>5</v>
      </c>
      <c r="AG6318" s="9"/>
      <c r="AH6318" s="9"/>
      <c r="AI6318" s="9"/>
    </row>
    <row r="6319" ht="15.0" customHeight="1">
      <c r="A6319" s="11">
        <v>6318.0</v>
      </c>
      <c r="B6319" s="12">
        <f t="shared" si="1014"/>
        <v>40912</v>
      </c>
      <c r="C6319" s="13">
        <v>2012.0</v>
      </c>
      <c r="D6319" s="11" t="s">
        <v>39</v>
      </c>
      <c r="E6319" s="11">
        <v>48.0</v>
      </c>
      <c r="F6319" s="21" t="s">
        <v>1868</v>
      </c>
      <c r="G6319" s="15">
        <v>0.08902036112178255</v>
      </c>
      <c r="H6319" s="11" t="s">
        <v>33</v>
      </c>
      <c r="I6319" s="16">
        <v>3.8560000000000003</v>
      </c>
      <c r="J6319" s="11" t="s">
        <v>2180</v>
      </c>
      <c r="K6319" s="11" t="s">
        <v>61</v>
      </c>
      <c r="L6319" s="11" t="s">
        <v>36</v>
      </c>
      <c r="M6319" s="11" t="s">
        <v>28</v>
      </c>
      <c r="N6319" s="11" t="s">
        <v>62</v>
      </c>
      <c r="O6319" s="11" t="s">
        <v>1869</v>
      </c>
      <c r="P6319" s="11" t="s">
        <v>58</v>
      </c>
      <c r="Q6319" s="20">
        <v>40914.0</v>
      </c>
      <c r="R6319" s="17">
        <f t="shared" si="2"/>
        <v>42.21844038</v>
      </c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>
        <f t="shared" si="8"/>
        <v>2</v>
      </c>
      <c r="AF6319" s="19">
        <f t="shared" si="13"/>
        <v>4</v>
      </c>
      <c r="AG6319" s="9"/>
      <c r="AH6319" s="9"/>
      <c r="AI6319" s="9"/>
    </row>
    <row r="6320" ht="15.0" customHeight="1">
      <c r="A6320" s="11">
        <v>6319.0</v>
      </c>
      <c r="B6320" s="12">
        <f t="shared" si="1014"/>
        <v>40912</v>
      </c>
      <c r="C6320" s="13">
        <v>2012.0</v>
      </c>
      <c r="D6320" s="11" t="s">
        <v>39</v>
      </c>
      <c r="E6320" s="11">
        <v>18.0</v>
      </c>
      <c r="F6320" s="21" t="s">
        <v>333</v>
      </c>
      <c r="G6320" s="15">
        <v>0.024944649446494535</v>
      </c>
      <c r="H6320" s="11" t="s">
        <v>33</v>
      </c>
      <c r="I6320" s="16">
        <v>0.6480000000000001</v>
      </c>
      <c r="J6320" s="11" t="s">
        <v>2180</v>
      </c>
      <c r="K6320" s="11" t="s">
        <v>61</v>
      </c>
      <c r="L6320" s="11" t="s">
        <v>36</v>
      </c>
      <c r="M6320" s="11" t="s">
        <v>28</v>
      </c>
      <c r="N6320" s="11" t="s">
        <v>62</v>
      </c>
      <c r="O6320" s="11" t="s">
        <v>1910</v>
      </c>
      <c r="P6320" s="11" t="s">
        <v>58</v>
      </c>
      <c r="Q6320" s="20">
        <v>40915.0</v>
      </c>
      <c r="R6320" s="17">
        <f t="shared" si="2"/>
        <v>1.318274834</v>
      </c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>
        <f t="shared" si="8"/>
        <v>2</v>
      </c>
      <c r="AF6320" s="19">
        <f t="shared" si="13"/>
        <v>4</v>
      </c>
      <c r="AG6320" s="9"/>
      <c r="AH6320" s="9"/>
      <c r="AI6320" s="9"/>
    </row>
    <row r="6321" ht="15.0" customHeight="1">
      <c r="A6321" s="11">
        <v>6320.0</v>
      </c>
      <c r="B6321" s="12">
        <f t="shared" ref="B6321:B6334" si="1015">DATE(2012,12,31)-361</f>
        <v>40913</v>
      </c>
      <c r="C6321" s="13">
        <v>2012.0</v>
      </c>
      <c r="D6321" s="11" t="s">
        <v>44</v>
      </c>
      <c r="E6321" s="11">
        <v>4.0</v>
      </c>
      <c r="F6321" s="21" t="s">
        <v>316</v>
      </c>
      <c r="G6321" s="15">
        <v>0.09160092807424594</v>
      </c>
      <c r="H6321" s="11" t="s">
        <v>33</v>
      </c>
      <c r="I6321" s="16">
        <v>7.152</v>
      </c>
      <c r="J6321" s="11" t="s">
        <v>602</v>
      </c>
      <c r="K6321" s="11" t="s">
        <v>26</v>
      </c>
      <c r="L6321" s="11" t="s">
        <v>48</v>
      </c>
      <c r="M6321" s="11" t="s">
        <v>28</v>
      </c>
      <c r="N6321" s="11" t="s">
        <v>42</v>
      </c>
      <c r="O6321" s="11" t="s">
        <v>1126</v>
      </c>
      <c r="P6321" s="11" t="s">
        <v>38</v>
      </c>
      <c r="Q6321" s="20">
        <v>40915.0</v>
      </c>
      <c r="R6321" s="17">
        <f t="shared" si="2"/>
        <v>3.586359536</v>
      </c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>
        <f t="shared" si="8"/>
        <v>4</v>
      </c>
      <c r="AF6321" s="19">
        <f t="shared" si="13"/>
        <v>1</v>
      </c>
      <c r="AG6321" s="9"/>
      <c r="AH6321" s="9"/>
      <c r="AI6321" s="9"/>
    </row>
    <row r="6322" ht="15.0" customHeight="1">
      <c r="A6322" s="11">
        <v>6321.0</v>
      </c>
      <c r="B6322" s="12">
        <f t="shared" si="1015"/>
        <v>40913</v>
      </c>
      <c r="C6322" s="13">
        <v>2012.0</v>
      </c>
      <c r="D6322" s="11" t="s">
        <v>44</v>
      </c>
      <c r="E6322" s="11">
        <v>17.0</v>
      </c>
      <c r="F6322" s="21" t="s">
        <v>126</v>
      </c>
      <c r="G6322" s="15">
        <v>0.012971698113207314</v>
      </c>
      <c r="H6322" s="11" t="s">
        <v>33</v>
      </c>
      <c r="I6322" s="16">
        <v>0.4</v>
      </c>
      <c r="J6322" s="11" t="s">
        <v>602</v>
      </c>
      <c r="K6322" s="11" t="s">
        <v>26</v>
      </c>
      <c r="L6322" s="11" t="s">
        <v>48</v>
      </c>
      <c r="M6322" s="11" t="s">
        <v>28</v>
      </c>
      <c r="N6322" s="11" t="s">
        <v>188</v>
      </c>
      <c r="O6322" s="11" t="s">
        <v>551</v>
      </c>
      <c r="P6322" s="11" t="s">
        <v>38</v>
      </c>
      <c r="Q6322" s="20">
        <v>40915.0</v>
      </c>
      <c r="R6322" s="17">
        <f t="shared" si="2"/>
        <v>1.085731132</v>
      </c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>
        <f t="shared" si="8"/>
        <v>4</v>
      </c>
      <c r="AF6322" s="19">
        <f t="shared" si="13"/>
        <v>1</v>
      </c>
      <c r="AG6322" s="9"/>
      <c r="AH6322" s="9"/>
      <c r="AI6322" s="9"/>
    </row>
    <row r="6323" ht="15.0" customHeight="1">
      <c r="A6323" s="11">
        <v>6322.0</v>
      </c>
      <c r="B6323" s="12">
        <f t="shared" si="1015"/>
        <v>40913</v>
      </c>
      <c r="C6323" s="13">
        <v>2012.0</v>
      </c>
      <c r="D6323" s="11" t="s">
        <v>44</v>
      </c>
      <c r="E6323" s="11">
        <v>7.0</v>
      </c>
      <c r="F6323" s="21" t="s">
        <v>245</v>
      </c>
      <c r="G6323" s="15">
        <v>0.07429213483146062</v>
      </c>
      <c r="H6323" s="11" t="s">
        <v>33</v>
      </c>
      <c r="I6323" s="16">
        <v>1.888</v>
      </c>
      <c r="J6323" s="11" t="s">
        <v>602</v>
      </c>
      <c r="K6323" s="11" t="s">
        <v>26</v>
      </c>
      <c r="L6323" s="11" t="s">
        <v>48</v>
      </c>
      <c r="M6323" s="11" t="s">
        <v>28</v>
      </c>
      <c r="N6323" s="11" t="s">
        <v>62</v>
      </c>
      <c r="O6323" s="11" t="s">
        <v>246</v>
      </c>
      <c r="P6323" s="11" t="s">
        <v>58</v>
      </c>
      <c r="Q6323" s="20">
        <v>40915.0</v>
      </c>
      <c r="R6323" s="17">
        <f t="shared" si="2"/>
        <v>6.120780404</v>
      </c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>
        <f t="shared" si="8"/>
        <v>4</v>
      </c>
      <c r="AF6323" s="19">
        <f t="shared" si="13"/>
        <v>1</v>
      </c>
      <c r="AG6323" s="9"/>
      <c r="AH6323" s="9"/>
      <c r="AI6323" s="9"/>
    </row>
    <row r="6324" ht="15.0" customHeight="1">
      <c r="A6324" s="11">
        <v>6323.0</v>
      </c>
      <c r="B6324" s="12">
        <f t="shared" si="1015"/>
        <v>40913</v>
      </c>
      <c r="C6324" s="13">
        <v>2012.0</v>
      </c>
      <c r="D6324" s="11" t="s">
        <v>32</v>
      </c>
      <c r="E6324" s="11">
        <v>10.0</v>
      </c>
      <c r="F6324" s="21" t="s">
        <v>610</v>
      </c>
      <c r="G6324" s="15">
        <v>0.09614545454545453</v>
      </c>
      <c r="H6324" s="11" t="s">
        <v>33</v>
      </c>
      <c r="I6324" s="16">
        <v>2.2800000000000002</v>
      </c>
      <c r="J6324" s="11" t="s">
        <v>2398</v>
      </c>
      <c r="K6324" s="11" t="s">
        <v>35</v>
      </c>
      <c r="L6324" s="11" t="s">
        <v>41</v>
      </c>
      <c r="M6324" s="11" t="s">
        <v>49</v>
      </c>
      <c r="N6324" s="11" t="s">
        <v>73</v>
      </c>
      <c r="O6324" s="11" t="s">
        <v>612</v>
      </c>
      <c r="P6324" s="11" t="s">
        <v>99</v>
      </c>
      <c r="Q6324" s="20">
        <v>40915.0</v>
      </c>
      <c r="R6324" s="17">
        <f t="shared" si="2"/>
        <v>11.94895709</v>
      </c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>
        <f t="shared" si="8"/>
        <v>3</v>
      </c>
      <c r="AF6324" s="19">
        <f t="shared" si="13"/>
        <v>2</v>
      </c>
      <c r="AG6324" s="9"/>
      <c r="AH6324" s="9"/>
      <c r="AI6324" s="9"/>
    </row>
    <row r="6325" ht="15.0" customHeight="1">
      <c r="A6325" s="11">
        <v>6324.0</v>
      </c>
      <c r="B6325" s="12">
        <f t="shared" si="1015"/>
        <v>40913</v>
      </c>
      <c r="C6325" s="13">
        <v>2012.0</v>
      </c>
      <c r="D6325" s="11" t="s">
        <v>44</v>
      </c>
      <c r="E6325" s="11">
        <v>13.0</v>
      </c>
      <c r="F6325" s="21" t="s">
        <v>431</v>
      </c>
      <c r="G6325" s="15">
        <v>0.07608412461743681</v>
      </c>
      <c r="H6325" s="11" t="s">
        <v>33</v>
      </c>
      <c r="I6325" s="16">
        <v>15.991999999999999</v>
      </c>
      <c r="J6325" s="11" t="s">
        <v>546</v>
      </c>
      <c r="K6325" s="11" t="s">
        <v>61</v>
      </c>
      <c r="L6325" s="11" t="s">
        <v>48</v>
      </c>
      <c r="M6325" s="11" t="s">
        <v>66</v>
      </c>
      <c r="N6325" s="11" t="s">
        <v>67</v>
      </c>
      <c r="O6325" s="11" t="s">
        <v>432</v>
      </c>
      <c r="P6325" s="11" t="s">
        <v>38</v>
      </c>
      <c r="Q6325" s="20">
        <v>40915.0</v>
      </c>
      <c r="R6325" s="17">
        <f t="shared" si="2"/>
        <v>179.1546796</v>
      </c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>
        <f t="shared" si="8"/>
        <v>4</v>
      </c>
      <c r="AF6325" s="19">
        <f t="shared" si="13"/>
        <v>4</v>
      </c>
      <c r="AG6325" s="9"/>
      <c r="AH6325" s="9"/>
      <c r="AI6325" s="9"/>
    </row>
    <row r="6326" ht="15.0" customHeight="1">
      <c r="A6326" s="11">
        <v>6325.0</v>
      </c>
      <c r="B6326" s="12">
        <f t="shared" si="1015"/>
        <v>40913</v>
      </c>
      <c r="C6326" s="13">
        <v>2012.0</v>
      </c>
      <c r="D6326" s="11" t="s">
        <v>32</v>
      </c>
      <c r="E6326" s="11">
        <v>33.0</v>
      </c>
      <c r="F6326" s="21" t="s">
        <v>1166</v>
      </c>
      <c r="G6326" s="15">
        <v>0.06927120669056155</v>
      </c>
      <c r="H6326" s="11" t="s">
        <v>33</v>
      </c>
      <c r="I6326" s="16">
        <v>0.7040000000000001</v>
      </c>
      <c r="J6326" s="11" t="s">
        <v>2439</v>
      </c>
      <c r="K6326" s="11" t="s">
        <v>35</v>
      </c>
      <c r="L6326" s="11" t="s">
        <v>41</v>
      </c>
      <c r="M6326" s="11" t="s">
        <v>28</v>
      </c>
      <c r="N6326" s="11" t="s">
        <v>56</v>
      </c>
      <c r="O6326" s="11" t="s">
        <v>1258</v>
      </c>
      <c r="P6326" s="11" t="s">
        <v>58</v>
      </c>
      <c r="Q6326" s="20">
        <v>40916.0</v>
      </c>
      <c r="R6326" s="17">
        <f t="shared" si="2"/>
        <v>10.79273109</v>
      </c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>
        <f t="shared" si="8"/>
        <v>3</v>
      </c>
      <c r="AF6326" s="19">
        <f t="shared" si="13"/>
        <v>2</v>
      </c>
      <c r="AG6326" s="9"/>
      <c r="AH6326" s="9"/>
      <c r="AI6326" s="9"/>
    </row>
    <row r="6327" ht="15.0" customHeight="1">
      <c r="A6327" s="11">
        <v>6326.0</v>
      </c>
      <c r="B6327" s="12">
        <f t="shared" si="1015"/>
        <v>40913</v>
      </c>
      <c r="C6327" s="13">
        <v>2012.0</v>
      </c>
      <c r="D6327" s="11" t="s">
        <v>102</v>
      </c>
      <c r="E6327" s="11">
        <v>28.0</v>
      </c>
      <c r="F6327" s="21" t="s">
        <v>422</v>
      </c>
      <c r="G6327" s="15">
        <v>0.08622888109658895</v>
      </c>
      <c r="H6327" s="11" t="s">
        <v>33</v>
      </c>
      <c r="I6327" s="16">
        <v>28.0</v>
      </c>
      <c r="J6327" s="11" t="s">
        <v>1054</v>
      </c>
      <c r="K6327" s="11" t="s">
        <v>61</v>
      </c>
      <c r="L6327" s="11" t="s">
        <v>48</v>
      </c>
      <c r="M6327" s="11" t="s">
        <v>28</v>
      </c>
      <c r="N6327" s="11" t="s">
        <v>29</v>
      </c>
      <c r="O6327" s="11" t="s">
        <v>1571</v>
      </c>
      <c r="P6327" s="11" t="s">
        <v>31</v>
      </c>
      <c r="Q6327" s="20">
        <v>40916.0</v>
      </c>
      <c r="R6327" s="17">
        <f t="shared" si="2"/>
        <v>197.7400701</v>
      </c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>
        <f t="shared" si="8"/>
        <v>4</v>
      </c>
      <c r="AF6327" s="19">
        <f t="shared" si="13"/>
        <v>4</v>
      </c>
      <c r="AG6327" s="9"/>
      <c r="AH6327" s="9"/>
      <c r="AI6327" s="9"/>
    </row>
    <row r="6328" ht="15.0" customHeight="1">
      <c r="A6328" s="11">
        <v>6327.0</v>
      </c>
      <c r="B6328" s="12">
        <f t="shared" si="1015"/>
        <v>40913</v>
      </c>
      <c r="C6328" s="13">
        <v>2012.0</v>
      </c>
      <c r="D6328" s="11" t="s">
        <v>102</v>
      </c>
      <c r="E6328" s="11">
        <v>28.0</v>
      </c>
      <c r="F6328" s="21" t="s">
        <v>336</v>
      </c>
      <c r="G6328" s="15">
        <v>0.058475236505286486</v>
      </c>
      <c r="H6328" s="11" t="s">
        <v>33</v>
      </c>
      <c r="I6328" s="16">
        <v>6.792000000000001</v>
      </c>
      <c r="J6328" s="11" t="s">
        <v>1054</v>
      </c>
      <c r="K6328" s="11" t="s">
        <v>61</v>
      </c>
      <c r="L6328" s="11" t="s">
        <v>48</v>
      </c>
      <c r="M6328" s="11" t="s">
        <v>28</v>
      </c>
      <c r="N6328" s="11" t="s">
        <v>42</v>
      </c>
      <c r="O6328" s="11" t="s">
        <v>338</v>
      </c>
      <c r="P6328" s="11" t="s">
        <v>38</v>
      </c>
      <c r="Q6328" s="20">
        <v>40916.0</v>
      </c>
      <c r="R6328" s="17">
        <f t="shared" si="2"/>
        <v>9.893542215</v>
      </c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>
        <f t="shared" si="8"/>
        <v>4</v>
      </c>
      <c r="AF6328" s="19">
        <f t="shared" si="13"/>
        <v>4</v>
      </c>
      <c r="AG6328" s="9"/>
      <c r="AH6328" s="9"/>
      <c r="AI6328" s="9"/>
    </row>
    <row r="6329" ht="15.0" customHeight="1">
      <c r="A6329" s="11">
        <v>6328.0</v>
      </c>
      <c r="B6329" s="12">
        <f t="shared" si="1015"/>
        <v>40913</v>
      </c>
      <c r="C6329" s="13">
        <v>2012.0</v>
      </c>
      <c r="D6329" s="11" t="s">
        <v>102</v>
      </c>
      <c r="E6329" s="11">
        <v>10.0</v>
      </c>
      <c r="F6329" s="21" t="s">
        <v>1156</v>
      </c>
      <c r="G6329" s="15">
        <v>0.0668987304047208</v>
      </c>
      <c r="H6329" s="11" t="s">
        <v>33</v>
      </c>
      <c r="I6329" s="16">
        <v>6.464</v>
      </c>
      <c r="J6329" s="11" t="s">
        <v>1054</v>
      </c>
      <c r="K6329" s="11" t="s">
        <v>61</v>
      </c>
      <c r="L6329" s="11" t="s">
        <v>48</v>
      </c>
      <c r="M6329" s="11" t="s">
        <v>66</v>
      </c>
      <c r="N6329" s="11" t="s">
        <v>80</v>
      </c>
      <c r="O6329" s="11" t="s">
        <v>2588</v>
      </c>
      <c r="P6329" s="11" t="s">
        <v>38</v>
      </c>
      <c r="Q6329" s="20">
        <v>40916.0</v>
      </c>
      <c r="R6329" s="17">
        <f t="shared" si="2"/>
        <v>104.7275541</v>
      </c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>
        <f t="shared" si="8"/>
        <v>4</v>
      </c>
      <c r="AF6329" s="19">
        <f t="shared" si="13"/>
        <v>4</v>
      </c>
      <c r="AG6329" s="9"/>
      <c r="AH6329" s="9"/>
      <c r="AI6329" s="9"/>
    </row>
    <row r="6330" ht="15.0" customHeight="1">
      <c r="A6330" s="11">
        <v>6329.0</v>
      </c>
      <c r="B6330" s="12">
        <f t="shared" si="1015"/>
        <v>40913</v>
      </c>
      <c r="C6330" s="13">
        <v>2012.0</v>
      </c>
      <c r="D6330" s="11" t="s">
        <v>102</v>
      </c>
      <c r="E6330" s="11">
        <v>33.0</v>
      </c>
      <c r="F6330" s="21" t="s">
        <v>591</v>
      </c>
      <c r="G6330" s="15">
        <v>0.09377240006126503</v>
      </c>
      <c r="H6330" s="11" t="s">
        <v>33</v>
      </c>
      <c r="I6330" s="16">
        <v>7.5760000000000005</v>
      </c>
      <c r="J6330" s="11" t="s">
        <v>1054</v>
      </c>
      <c r="K6330" s="11" t="s">
        <v>61</v>
      </c>
      <c r="L6330" s="11" t="s">
        <v>48</v>
      </c>
      <c r="M6330" s="11" t="s">
        <v>28</v>
      </c>
      <c r="N6330" s="11" t="s">
        <v>29</v>
      </c>
      <c r="O6330" s="11" t="s">
        <v>592</v>
      </c>
      <c r="P6330" s="11" t="s">
        <v>38</v>
      </c>
      <c r="Q6330" s="20">
        <v>40916.0</v>
      </c>
      <c r="R6330" s="17">
        <f t="shared" si="2"/>
        <v>55.48287858</v>
      </c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>
        <f t="shared" si="8"/>
        <v>4</v>
      </c>
      <c r="AF6330" s="19">
        <f t="shared" si="13"/>
        <v>4</v>
      </c>
      <c r="AG6330" s="9"/>
      <c r="AH6330" s="9"/>
      <c r="AI6330" s="9"/>
    </row>
    <row r="6331" ht="15.0" customHeight="1">
      <c r="A6331" s="11">
        <v>6330.0</v>
      </c>
      <c r="B6331" s="12">
        <f t="shared" si="1015"/>
        <v>40913</v>
      </c>
      <c r="C6331" s="13">
        <v>2012.0</v>
      </c>
      <c r="D6331" s="11" t="s">
        <v>32</v>
      </c>
      <c r="E6331" s="11">
        <v>32.0</v>
      </c>
      <c r="F6331" s="21" t="s">
        <v>490</v>
      </c>
      <c r="G6331" s="15">
        <v>0.0758972225111827</v>
      </c>
      <c r="H6331" s="11" t="s">
        <v>33</v>
      </c>
      <c r="I6331" s="16">
        <v>3.88</v>
      </c>
      <c r="J6331" s="11" t="s">
        <v>1433</v>
      </c>
      <c r="K6331" s="11" t="s">
        <v>61</v>
      </c>
      <c r="L6331" s="11" t="s">
        <v>27</v>
      </c>
      <c r="M6331" s="11" t="s">
        <v>28</v>
      </c>
      <c r="N6331" s="11" t="s">
        <v>56</v>
      </c>
      <c r="O6331" s="11" t="s">
        <v>2077</v>
      </c>
      <c r="P6331" s="11" t="s">
        <v>38</v>
      </c>
      <c r="Q6331" s="20">
        <v>40916.0</v>
      </c>
      <c r="R6331" s="17">
        <f t="shared" si="2"/>
        <v>134.8450773</v>
      </c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>
        <f t="shared" si="8"/>
        <v>1</v>
      </c>
      <c r="AF6331" s="19">
        <f t="shared" si="13"/>
        <v>4</v>
      </c>
      <c r="AG6331" s="9"/>
      <c r="AH6331" s="9"/>
      <c r="AI6331" s="9"/>
    </row>
    <row r="6332" ht="15.0" customHeight="1">
      <c r="A6332" s="11">
        <v>6331.0</v>
      </c>
      <c r="B6332" s="12">
        <f t="shared" si="1015"/>
        <v>40913</v>
      </c>
      <c r="C6332" s="13">
        <v>2012.0</v>
      </c>
      <c r="D6332" s="11" t="s">
        <v>32</v>
      </c>
      <c r="E6332" s="11">
        <v>40.0</v>
      </c>
      <c r="F6332" s="21" t="s">
        <v>259</v>
      </c>
      <c r="G6332" s="15">
        <v>0.024998930938635894</v>
      </c>
      <c r="H6332" s="11" t="s">
        <v>33</v>
      </c>
      <c r="I6332" s="16">
        <v>4.008</v>
      </c>
      <c r="J6332" s="11" t="s">
        <v>1433</v>
      </c>
      <c r="K6332" s="11" t="s">
        <v>61</v>
      </c>
      <c r="L6332" s="11" t="s">
        <v>27</v>
      </c>
      <c r="M6332" s="11" t="s">
        <v>28</v>
      </c>
      <c r="N6332" s="11" t="s">
        <v>56</v>
      </c>
      <c r="O6332" s="11" t="s">
        <v>260</v>
      </c>
      <c r="P6332" s="11" t="s">
        <v>38</v>
      </c>
      <c r="Q6332" s="20">
        <v>40916.0</v>
      </c>
      <c r="R6332" s="17">
        <f t="shared" si="2"/>
        <v>11.3997125</v>
      </c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>
        <f t="shared" si="8"/>
        <v>1</v>
      </c>
      <c r="AF6332" s="19">
        <f t="shared" si="13"/>
        <v>4</v>
      </c>
      <c r="AG6332" s="9"/>
      <c r="AH6332" s="9"/>
      <c r="AI6332" s="9"/>
    </row>
    <row r="6333" ht="15.0" customHeight="1">
      <c r="A6333" s="11">
        <v>6332.0</v>
      </c>
      <c r="B6333" s="12">
        <f t="shared" si="1015"/>
        <v>40913</v>
      </c>
      <c r="C6333" s="13">
        <v>2012.0</v>
      </c>
      <c r="D6333" s="11" t="s">
        <v>32</v>
      </c>
      <c r="E6333" s="11">
        <v>50.0</v>
      </c>
      <c r="F6333" s="21" t="s">
        <v>389</v>
      </c>
      <c r="G6333" s="15">
        <v>0.07646605504587152</v>
      </c>
      <c r="H6333" s="11" t="s">
        <v>45</v>
      </c>
      <c r="I6333" s="16">
        <v>44.912000000000006</v>
      </c>
      <c r="J6333" s="11" t="s">
        <v>1039</v>
      </c>
      <c r="K6333" s="11" t="s">
        <v>35</v>
      </c>
      <c r="L6333" s="11" t="s">
        <v>48</v>
      </c>
      <c r="M6333" s="11" t="s">
        <v>66</v>
      </c>
      <c r="N6333" s="11" t="s">
        <v>69</v>
      </c>
      <c r="O6333" s="11" t="s">
        <v>390</v>
      </c>
      <c r="P6333" s="11" t="s">
        <v>87</v>
      </c>
      <c r="Q6333" s="20">
        <v>40916.0</v>
      </c>
      <c r="R6333" s="17">
        <f t="shared" si="2"/>
        <v>461.8482435</v>
      </c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>
        <f t="shared" si="8"/>
        <v>4</v>
      </c>
      <c r="AF6333" s="19">
        <f t="shared" si="13"/>
        <v>2</v>
      </c>
      <c r="AG6333" s="9"/>
      <c r="AH6333" s="9"/>
      <c r="AI6333" s="9"/>
    </row>
    <row r="6334" ht="15.0" customHeight="1">
      <c r="A6334" s="11">
        <v>6333.0</v>
      </c>
      <c r="B6334" s="12">
        <f t="shared" si="1015"/>
        <v>40913</v>
      </c>
      <c r="C6334" s="13">
        <v>2012.0</v>
      </c>
      <c r="D6334" s="11" t="s">
        <v>32</v>
      </c>
      <c r="E6334" s="11">
        <v>19.0</v>
      </c>
      <c r="F6334" s="21" t="s">
        <v>2138</v>
      </c>
      <c r="G6334" s="15">
        <v>0.08076314564913924</v>
      </c>
      <c r="H6334" s="11" t="s">
        <v>24</v>
      </c>
      <c r="I6334" s="16">
        <v>3.7439999999999998</v>
      </c>
      <c r="J6334" s="11" t="s">
        <v>1039</v>
      </c>
      <c r="K6334" s="11" t="s">
        <v>35</v>
      </c>
      <c r="L6334" s="11" t="s">
        <v>48</v>
      </c>
      <c r="M6334" s="11" t="s">
        <v>28</v>
      </c>
      <c r="N6334" s="11" t="s">
        <v>442</v>
      </c>
      <c r="O6334" s="11" t="s">
        <v>2139</v>
      </c>
      <c r="P6334" s="11" t="s">
        <v>99</v>
      </c>
      <c r="Q6334" s="20">
        <v>40916.0</v>
      </c>
      <c r="R6334" s="17">
        <f t="shared" si="2"/>
        <v>15.95427484</v>
      </c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>
        <f t="shared" si="8"/>
        <v>4</v>
      </c>
      <c r="AF6334" s="19">
        <f t="shared" si="13"/>
        <v>2</v>
      </c>
      <c r="AG6334" s="9"/>
      <c r="AH6334" s="9"/>
      <c r="AI6334" s="9"/>
    </row>
    <row r="6335" ht="15.0" customHeight="1">
      <c r="A6335" s="11">
        <v>6334.0</v>
      </c>
      <c r="B6335" s="12">
        <f t="shared" ref="B6335:B6338" si="1016">DATE(2012,12,31)-360</f>
        <v>40914</v>
      </c>
      <c r="C6335" s="13">
        <v>2012.0</v>
      </c>
      <c r="D6335" s="11" t="s">
        <v>44</v>
      </c>
      <c r="E6335" s="11">
        <v>46.0</v>
      </c>
      <c r="F6335" s="21" t="s">
        <v>130</v>
      </c>
      <c r="G6335" s="15">
        <v>0.024429639700883854</v>
      </c>
      <c r="H6335" s="11" t="s">
        <v>33</v>
      </c>
      <c r="I6335" s="16">
        <v>13.664</v>
      </c>
      <c r="J6335" s="11" t="s">
        <v>2039</v>
      </c>
      <c r="K6335" s="11" t="s">
        <v>83</v>
      </c>
      <c r="L6335" s="11" t="s">
        <v>27</v>
      </c>
      <c r="M6335" s="11" t="s">
        <v>28</v>
      </c>
      <c r="N6335" s="11" t="s">
        <v>56</v>
      </c>
      <c r="O6335" s="11" t="s">
        <v>2106</v>
      </c>
      <c r="P6335" s="11" t="s">
        <v>38</v>
      </c>
      <c r="Q6335" s="20">
        <v>40916.0</v>
      </c>
      <c r="R6335" s="17">
        <f t="shared" si="2"/>
        <v>35.05809647</v>
      </c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>
        <f t="shared" si="8"/>
        <v>1</v>
      </c>
      <c r="AF6335" s="19" t="b">
        <f t="shared" si="13"/>
        <v>0</v>
      </c>
      <c r="AG6335" s="9"/>
      <c r="AH6335" s="9"/>
      <c r="AI6335" s="9"/>
    </row>
    <row r="6336" ht="15.0" customHeight="1">
      <c r="A6336" s="11">
        <v>6335.0</v>
      </c>
      <c r="B6336" s="12">
        <f t="shared" si="1016"/>
        <v>40914</v>
      </c>
      <c r="C6336" s="13">
        <v>2012.0</v>
      </c>
      <c r="D6336" s="11" t="s">
        <v>44</v>
      </c>
      <c r="E6336" s="11">
        <v>42.0</v>
      </c>
      <c r="F6336" s="21" t="s">
        <v>654</v>
      </c>
      <c r="G6336" s="15">
        <v>0.06595596341968583</v>
      </c>
      <c r="H6336" s="11" t="s">
        <v>45</v>
      </c>
      <c r="I6336" s="16">
        <v>32.152</v>
      </c>
      <c r="J6336" s="11" t="s">
        <v>2039</v>
      </c>
      <c r="K6336" s="11" t="s">
        <v>83</v>
      </c>
      <c r="L6336" s="11" t="s">
        <v>27</v>
      </c>
      <c r="M6336" s="11" t="s">
        <v>49</v>
      </c>
      <c r="N6336" s="11" t="s">
        <v>85</v>
      </c>
      <c r="O6336" s="11" t="s">
        <v>655</v>
      </c>
      <c r="P6336" s="11" t="s">
        <v>87</v>
      </c>
      <c r="Q6336" s="20">
        <v>40917.0</v>
      </c>
      <c r="R6336" s="17">
        <f t="shared" si="2"/>
        <v>966.6870076</v>
      </c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>
        <f t="shared" si="8"/>
        <v>1</v>
      </c>
      <c r="AF6336" s="19" t="b">
        <f t="shared" si="13"/>
        <v>0</v>
      </c>
      <c r="AG6336" s="9"/>
      <c r="AH6336" s="9"/>
      <c r="AI6336" s="9"/>
    </row>
    <row r="6337" ht="15.0" customHeight="1">
      <c r="A6337" s="11">
        <v>6336.0</v>
      </c>
      <c r="B6337" s="12">
        <f t="shared" si="1016"/>
        <v>40914</v>
      </c>
      <c r="C6337" s="13">
        <v>2012.0</v>
      </c>
      <c r="D6337" s="11" t="s">
        <v>39</v>
      </c>
      <c r="E6337" s="11">
        <v>10.0</v>
      </c>
      <c r="F6337" s="21" t="s">
        <v>299</v>
      </c>
      <c r="G6337" s="15">
        <v>0.07473684210526318</v>
      </c>
      <c r="H6337" s="11" t="s">
        <v>33</v>
      </c>
      <c r="I6337" s="16">
        <v>7.384</v>
      </c>
      <c r="J6337" s="11" t="s">
        <v>82</v>
      </c>
      <c r="K6337" s="11" t="s">
        <v>83</v>
      </c>
      <c r="L6337" s="11" t="s">
        <v>27</v>
      </c>
      <c r="M6337" s="11" t="s">
        <v>28</v>
      </c>
      <c r="N6337" s="11" t="s">
        <v>197</v>
      </c>
      <c r="O6337" s="11" t="s">
        <v>301</v>
      </c>
      <c r="P6337" s="11" t="s">
        <v>38</v>
      </c>
      <c r="Q6337" s="20">
        <v>40917.0</v>
      </c>
      <c r="R6337" s="17">
        <f t="shared" si="2"/>
        <v>6.306593684</v>
      </c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>
        <f t="shared" si="8"/>
        <v>1</v>
      </c>
      <c r="AF6337" s="19" t="b">
        <f t="shared" si="13"/>
        <v>0</v>
      </c>
      <c r="AG6337" s="9"/>
      <c r="AH6337" s="9"/>
      <c r="AI6337" s="9"/>
    </row>
    <row r="6338" ht="15.0" customHeight="1">
      <c r="A6338" s="11">
        <v>6337.0</v>
      </c>
      <c r="B6338" s="12">
        <f t="shared" si="1016"/>
        <v>40914</v>
      </c>
      <c r="C6338" s="13">
        <v>2012.0</v>
      </c>
      <c r="D6338" s="11" t="s">
        <v>39</v>
      </c>
      <c r="E6338" s="11">
        <v>13.0</v>
      </c>
      <c r="F6338" s="21" t="s">
        <v>1173</v>
      </c>
      <c r="G6338" s="15">
        <v>0.0393982035321073</v>
      </c>
      <c r="H6338" s="11" t="s">
        <v>33</v>
      </c>
      <c r="I6338" s="16">
        <v>15.991999999999999</v>
      </c>
      <c r="J6338" s="11" t="s">
        <v>82</v>
      </c>
      <c r="K6338" s="11" t="s">
        <v>83</v>
      </c>
      <c r="L6338" s="11" t="s">
        <v>27</v>
      </c>
      <c r="M6338" s="11" t="s">
        <v>28</v>
      </c>
      <c r="N6338" s="11" t="s">
        <v>197</v>
      </c>
      <c r="O6338" s="11" t="s">
        <v>1174</v>
      </c>
      <c r="P6338" s="11" t="s">
        <v>38</v>
      </c>
      <c r="Q6338" s="20">
        <v>40917.0</v>
      </c>
      <c r="R6338" s="17">
        <f t="shared" si="2"/>
        <v>186.6526139</v>
      </c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>
        <f t="shared" si="8"/>
        <v>1</v>
      </c>
      <c r="AF6338" s="19" t="b">
        <f t="shared" si="13"/>
        <v>0</v>
      </c>
      <c r="AG6338" s="9"/>
      <c r="AH6338" s="9"/>
      <c r="AI6338" s="9"/>
    </row>
    <row r="6339" ht="15.0" customHeight="1">
      <c r="A6339" s="11">
        <v>6338.0</v>
      </c>
      <c r="B6339" s="12">
        <f t="shared" ref="B6339:B6341" si="1017">DATE(2012,12,31)-359</f>
        <v>40915</v>
      </c>
      <c r="C6339" s="13">
        <v>2012.0</v>
      </c>
      <c r="D6339" s="11" t="s">
        <v>32</v>
      </c>
      <c r="E6339" s="11">
        <v>7.0</v>
      </c>
      <c r="F6339" s="21" t="s">
        <v>199</v>
      </c>
      <c r="G6339" s="15">
        <v>0.0243708609271523</v>
      </c>
      <c r="H6339" s="11" t="s">
        <v>33</v>
      </c>
      <c r="I6339" s="16">
        <v>7.192</v>
      </c>
      <c r="J6339" s="11" t="s">
        <v>2012</v>
      </c>
      <c r="K6339" s="11" t="s">
        <v>61</v>
      </c>
      <c r="L6339" s="11" t="s">
        <v>41</v>
      </c>
      <c r="M6339" s="11" t="s">
        <v>28</v>
      </c>
      <c r="N6339" s="11" t="s">
        <v>62</v>
      </c>
      <c r="O6339" s="11" t="s">
        <v>201</v>
      </c>
      <c r="P6339" s="11" t="s">
        <v>99</v>
      </c>
      <c r="Q6339" s="20">
        <v>40917.0</v>
      </c>
      <c r="R6339" s="17">
        <f t="shared" si="2"/>
        <v>2.154189139</v>
      </c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>
        <f t="shared" si="8"/>
        <v>3</v>
      </c>
      <c r="AF6339" s="19">
        <f t="shared" si="13"/>
        <v>4</v>
      </c>
      <c r="AG6339" s="9"/>
      <c r="AH6339" s="9"/>
      <c r="AI6339" s="9"/>
    </row>
    <row r="6340" ht="15.0" customHeight="1">
      <c r="A6340" s="11">
        <v>6339.0</v>
      </c>
      <c r="B6340" s="12">
        <f t="shared" si="1017"/>
        <v>40915</v>
      </c>
      <c r="C6340" s="13">
        <v>2012.0</v>
      </c>
      <c r="D6340" s="11" t="s">
        <v>44</v>
      </c>
      <c r="E6340" s="11">
        <v>24.0</v>
      </c>
      <c r="F6340" s="21" t="s">
        <v>1743</v>
      </c>
      <c r="G6340" s="15">
        <v>0.03402340234023404</v>
      </c>
      <c r="H6340" s="11" t="s">
        <v>33</v>
      </c>
      <c r="I6340" s="16">
        <v>4.12</v>
      </c>
      <c r="J6340" s="11" t="s">
        <v>724</v>
      </c>
      <c r="K6340" s="11" t="s">
        <v>65</v>
      </c>
      <c r="L6340" s="11" t="s">
        <v>48</v>
      </c>
      <c r="M6340" s="11" t="s">
        <v>28</v>
      </c>
      <c r="N6340" s="11" t="s">
        <v>197</v>
      </c>
      <c r="O6340" s="11" t="s">
        <v>1745</v>
      </c>
      <c r="P6340" s="11" t="s">
        <v>38</v>
      </c>
      <c r="Q6340" s="20">
        <v>40917.0</v>
      </c>
      <c r="R6340" s="17">
        <f t="shared" si="2"/>
        <v>3.651391539</v>
      </c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>
        <f t="shared" si="8"/>
        <v>4</v>
      </c>
      <c r="AF6340" s="19">
        <f t="shared" si="13"/>
        <v>5</v>
      </c>
      <c r="AG6340" s="9"/>
      <c r="AH6340" s="9"/>
      <c r="AI6340" s="9"/>
    </row>
    <row r="6341" ht="15.0" customHeight="1">
      <c r="A6341" s="11">
        <v>6340.0</v>
      </c>
      <c r="B6341" s="12">
        <f t="shared" si="1017"/>
        <v>40915</v>
      </c>
      <c r="C6341" s="13">
        <v>2012.0</v>
      </c>
      <c r="D6341" s="11" t="s">
        <v>44</v>
      </c>
      <c r="E6341" s="11">
        <v>39.0</v>
      </c>
      <c r="F6341" s="21" t="s">
        <v>126</v>
      </c>
      <c r="G6341" s="15">
        <v>0.04895173086299349</v>
      </c>
      <c r="H6341" s="11" t="s">
        <v>33</v>
      </c>
      <c r="I6341" s="16">
        <v>3.9600000000000004</v>
      </c>
      <c r="J6341" s="11" t="s">
        <v>724</v>
      </c>
      <c r="K6341" s="11" t="s">
        <v>65</v>
      </c>
      <c r="L6341" s="11" t="s">
        <v>48</v>
      </c>
      <c r="M6341" s="11" t="s">
        <v>28</v>
      </c>
      <c r="N6341" s="11" t="s">
        <v>42</v>
      </c>
      <c r="O6341" s="11" t="s">
        <v>1350</v>
      </c>
      <c r="P6341" s="11" t="s">
        <v>38</v>
      </c>
      <c r="Q6341" s="20">
        <v>40918.0</v>
      </c>
      <c r="R6341" s="17">
        <f t="shared" si="2"/>
        <v>9.548524622</v>
      </c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>
        <f t="shared" si="8"/>
        <v>4</v>
      </c>
      <c r="AF6341" s="19">
        <f t="shared" si="13"/>
        <v>5</v>
      </c>
      <c r="AG6341" s="9"/>
      <c r="AH6341" s="9"/>
      <c r="AI6341" s="9"/>
    </row>
    <row r="6342" ht="15.0" customHeight="1">
      <c r="A6342" s="11">
        <v>6341.0</v>
      </c>
      <c r="B6342" s="12">
        <f t="shared" ref="B6342:B6352" si="1018">DATE(2012,12,31)-358</f>
        <v>40916</v>
      </c>
      <c r="C6342" s="13">
        <v>2012.0</v>
      </c>
      <c r="D6342" s="11" t="s">
        <v>44</v>
      </c>
      <c r="E6342" s="11">
        <v>11.0</v>
      </c>
      <c r="F6342" s="21" t="s">
        <v>415</v>
      </c>
      <c r="G6342" s="15">
        <v>0.040762711864406914</v>
      </c>
      <c r="H6342" s="11" t="s">
        <v>33</v>
      </c>
      <c r="I6342" s="16">
        <v>2.3760000000000003</v>
      </c>
      <c r="J6342" s="11" t="s">
        <v>1633</v>
      </c>
      <c r="K6342" s="11" t="s">
        <v>117</v>
      </c>
      <c r="L6342" s="11" t="s">
        <v>48</v>
      </c>
      <c r="M6342" s="11" t="s">
        <v>28</v>
      </c>
      <c r="N6342" s="11" t="s">
        <v>56</v>
      </c>
      <c r="O6342" s="11" t="s">
        <v>2111</v>
      </c>
      <c r="P6342" s="11" t="s">
        <v>58</v>
      </c>
      <c r="Q6342" s="20">
        <v>40918.0</v>
      </c>
      <c r="R6342" s="17">
        <f t="shared" si="2"/>
        <v>1.845572542</v>
      </c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>
        <f t="shared" si="8"/>
        <v>4</v>
      </c>
      <c r="AF6342" s="19" t="b">
        <f t="shared" si="13"/>
        <v>0</v>
      </c>
      <c r="AG6342" s="9"/>
      <c r="AH6342" s="9"/>
      <c r="AI6342" s="9"/>
    </row>
    <row r="6343" ht="15.0" customHeight="1">
      <c r="A6343" s="11">
        <v>6342.0</v>
      </c>
      <c r="B6343" s="12">
        <f t="shared" si="1018"/>
        <v>40916</v>
      </c>
      <c r="C6343" s="13">
        <v>2012.0</v>
      </c>
      <c r="D6343" s="11" t="s">
        <v>102</v>
      </c>
      <c r="E6343" s="11">
        <v>4.0</v>
      </c>
      <c r="F6343" s="21" t="s">
        <v>476</v>
      </c>
      <c r="G6343" s="15">
        <v>0.07552368637592576</v>
      </c>
      <c r="H6343" s="11" t="s">
        <v>45</v>
      </c>
      <c r="I6343" s="16">
        <v>68.504</v>
      </c>
      <c r="J6343" s="11" t="s">
        <v>548</v>
      </c>
      <c r="K6343" s="11" t="s">
        <v>47</v>
      </c>
      <c r="L6343" s="11" t="s">
        <v>27</v>
      </c>
      <c r="M6343" s="11" t="s">
        <v>49</v>
      </c>
      <c r="N6343" s="11" t="s">
        <v>85</v>
      </c>
      <c r="O6343" s="11" t="s">
        <v>477</v>
      </c>
      <c r="P6343" s="11" t="s">
        <v>87</v>
      </c>
      <c r="Q6343" s="20">
        <v>40918.0</v>
      </c>
      <c r="R6343" s="17">
        <f t="shared" si="2"/>
        <v>118.7915084</v>
      </c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>
        <f t="shared" si="8"/>
        <v>1</v>
      </c>
      <c r="AF6343" s="19">
        <f t="shared" si="13"/>
        <v>3</v>
      </c>
      <c r="AG6343" s="9"/>
      <c r="AH6343" s="9"/>
      <c r="AI6343" s="9"/>
    </row>
    <row r="6344" ht="15.0" customHeight="1">
      <c r="A6344" s="11">
        <v>6343.0</v>
      </c>
      <c r="B6344" s="12">
        <f t="shared" si="1018"/>
        <v>40916</v>
      </c>
      <c r="C6344" s="13">
        <v>2012.0</v>
      </c>
      <c r="D6344" s="11" t="s">
        <v>44</v>
      </c>
      <c r="E6344" s="11">
        <v>15.0</v>
      </c>
      <c r="F6344" s="21" t="s">
        <v>122</v>
      </c>
      <c r="G6344" s="15">
        <v>0.06989720998531575</v>
      </c>
      <c r="H6344" s="11" t="s">
        <v>33</v>
      </c>
      <c r="I6344" s="16">
        <v>3.2</v>
      </c>
      <c r="J6344" s="11" t="s">
        <v>1784</v>
      </c>
      <c r="K6344" s="11" t="s">
        <v>117</v>
      </c>
      <c r="L6344" s="11" t="s">
        <v>41</v>
      </c>
      <c r="M6344" s="11" t="s">
        <v>66</v>
      </c>
      <c r="N6344" s="11" t="s">
        <v>67</v>
      </c>
      <c r="O6344" s="11" t="s">
        <v>1485</v>
      </c>
      <c r="P6344" s="11" t="s">
        <v>38</v>
      </c>
      <c r="Q6344" s="20">
        <v>40918.0</v>
      </c>
      <c r="R6344" s="17">
        <f t="shared" si="2"/>
        <v>22.1364464</v>
      </c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>
        <f t="shared" si="8"/>
        <v>3</v>
      </c>
      <c r="AF6344" s="19" t="b">
        <f t="shared" si="13"/>
        <v>0</v>
      </c>
      <c r="AG6344" s="9"/>
      <c r="AH6344" s="9"/>
      <c r="AI6344" s="9"/>
    </row>
    <row r="6345" ht="15.0" customHeight="1">
      <c r="A6345" s="11">
        <v>6344.0</v>
      </c>
      <c r="B6345" s="12">
        <f t="shared" si="1018"/>
        <v>40916</v>
      </c>
      <c r="C6345" s="13">
        <v>2012.0</v>
      </c>
      <c r="D6345" s="11" t="s">
        <v>23</v>
      </c>
      <c r="E6345" s="11">
        <v>23.0</v>
      </c>
      <c r="F6345" s="21" t="s">
        <v>1441</v>
      </c>
      <c r="G6345" s="15">
        <v>0.05792349726775956</v>
      </c>
      <c r="H6345" s="11" t="s">
        <v>33</v>
      </c>
      <c r="I6345" s="16">
        <v>4.4799999999999995</v>
      </c>
      <c r="J6345" s="11" t="s">
        <v>966</v>
      </c>
      <c r="K6345" s="11" t="s">
        <v>26</v>
      </c>
      <c r="L6345" s="11" t="s">
        <v>36</v>
      </c>
      <c r="M6345" s="11" t="s">
        <v>28</v>
      </c>
      <c r="N6345" s="11" t="s">
        <v>42</v>
      </c>
      <c r="O6345" s="11" t="s">
        <v>1443</v>
      </c>
      <c r="P6345" s="11" t="s">
        <v>38</v>
      </c>
      <c r="Q6345" s="20">
        <v>40918.0</v>
      </c>
      <c r="R6345" s="17">
        <f t="shared" si="2"/>
        <v>11.98321311</v>
      </c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>
        <f t="shared" si="8"/>
        <v>2</v>
      </c>
      <c r="AF6345" s="19">
        <f t="shared" si="13"/>
        <v>1</v>
      </c>
      <c r="AG6345" s="9"/>
      <c r="AH6345" s="9"/>
      <c r="AI6345" s="9"/>
    </row>
    <row r="6346" ht="15.0" customHeight="1">
      <c r="A6346" s="11">
        <v>6345.0</v>
      </c>
      <c r="B6346" s="12">
        <f t="shared" si="1018"/>
        <v>40916</v>
      </c>
      <c r="C6346" s="13">
        <v>2012.0</v>
      </c>
      <c r="D6346" s="11" t="s">
        <v>23</v>
      </c>
      <c r="E6346" s="11">
        <v>5.0</v>
      </c>
      <c r="F6346" s="21" t="s">
        <v>762</v>
      </c>
      <c r="G6346" s="15">
        <v>0.029296636085626968</v>
      </c>
      <c r="H6346" s="11" t="s">
        <v>24</v>
      </c>
      <c r="I6346" s="16">
        <v>3.9840000000000004</v>
      </c>
      <c r="J6346" s="11" t="s">
        <v>966</v>
      </c>
      <c r="K6346" s="11" t="s">
        <v>26</v>
      </c>
      <c r="L6346" s="11" t="s">
        <v>36</v>
      </c>
      <c r="M6346" s="11" t="s">
        <v>28</v>
      </c>
      <c r="N6346" s="11" t="s">
        <v>197</v>
      </c>
      <c r="O6346" s="11" t="s">
        <v>1001</v>
      </c>
      <c r="P6346" s="11" t="s">
        <v>38</v>
      </c>
      <c r="Q6346" s="20">
        <v>40918.0</v>
      </c>
      <c r="R6346" s="17">
        <f t="shared" si="2"/>
        <v>1.859867645</v>
      </c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>
        <f t="shared" si="8"/>
        <v>2</v>
      </c>
      <c r="AF6346" s="19">
        <f t="shared" si="13"/>
        <v>1</v>
      </c>
      <c r="AG6346" s="9"/>
      <c r="AH6346" s="9"/>
      <c r="AI6346" s="9"/>
    </row>
    <row r="6347" ht="15.0" customHeight="1">
      <c r="A6347" s="11">
        <v>6346.0</v>
      </c>
      <c r="B6347" s="12">
        <f t="shared" si="1018"/>
        <v>40916</v>
      </c>
      <c r="C6347" s="13">
        <v>2012.0</v>
      </c>
      <c r="D6347" s="11" t="s">
        <v>23</v>
      </c>
      <c r="E6347" s="11">
        <v>36.0</v>
      </c>
      <c r="F6347" s="21" t="s">
        <v>629</v>
      </c>
      <c r="G6347" s="15">
        <v>0.09587899159663865</v>
      </c>
      <c r="H6347" s="11" t="s">
        <v>33</v>
      </c>
      <c r="I6347" s="16">
        <v>6.176</v>
      </c>
      <c r="J6347" s="11" t="s">
        <v>966</v>
      </c>
      <c r="K6347" s="11" t="s">
        <v>26</v>
      </c>
      <c r="L6347" s="11" t="s">
        <v>36</v>
      </c>
      <c r="M6347" s="11" t="s">
        <v>28</v>
      </c>
      <c r="N6347" s="11" t="s">
        <v>42</v>
      </c>
      <c r="O6347" s="11" t="s">
        <v>1822</v>
      </c>
      <c r="P6347" s="11" t="s">
        <v>38</v>
      </c>
      <c r="Q6347" s="20">
        <v>40918.0</v>
      </c>
      <c r="R6347" s="17">
        <f t="shared" si="2"/>
        <v>25.78914764</v>
      </c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>
        <f t="shared" si="8"/>
        <v>2</v>
      </c>
      <c r="AF6347" s="19">
        <f t="shared" si="13"/>
        <v>1</v>
      </c>
      <c r="AG6347" s="9"/>
      <c r="AH6347" s="9"/>
      <c r="AI6347" s="9"/>
    </row>
    <row r="6348" ht="15.0" customHeight="1">
      <c r="A6348" s="11">
        <v>6347.0</v>
      </c>
      <c r="B6348" s="12">
        <f t="shared" si="1018"/>
        <v>40916</v>
      </c>
      <c r="C6348" s="13">
        <v>2012.0</v>
      </c>
      <c r="D6348" s="11" t="s">
        <v>102</v>
      </c>
      <c r="E6348" s="11">
        <v>42.0</v>
      </c>
      <c r="F6348" s="21" t="s">
        <v>705</v>
      </c>
      <c r="G6348" s="15">
        <v>0.03289882060831771</v>
      </c>
      <c r="H6348" s="11" t="s">
        <v>33</v>
      </c>
      <c r="I6348" s="16">
        <v>0.4</v>
      </c>
      <c r="J6348" s="11" t="s">
        <v>375</v>
      </c>
      <c r="K6348" s="11" t="s">
        <v>65</v>
      </c>
      <c r="L6348" s="11" t="s">
        <v>48</v>
      </c>
      <c r="M6348" s="11" t="s">
        <v>28</v>
      </c>
      <c r="N6348" s="11" t="s">
        <v>188</v>
      </c>
      <c r="O6348" s="11" t="s">
        <v>706</v>
      </c>
      <c r="P6348" s="11" t="s">
        <v>38</v>
      </c>
      <c r="Q6348" s="20">
        <v>40919.0</v>
      </c>
      <c r="R6348" s="17">
        <f t="shared" si="2"/>
        <v>5.125636251</v>
      </c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>
        <f t="shared" si="8"/>
        <v>4</v>
      </c>
      <c r="AF6348" s="19">
        <f t="shared" si="13"/>
        <v>5</v>
      </c>
      <c r="AG6348" s="9"/>
      <c r="AH6348" s="9"/>
      <c r="AI6348" s="9"/>
    </row>
    <row r="6349" ht="15.0" customHeight="1">
      <c r="A6349" s="11">
        <v>6348.0</v>
      </c>
      <c r="B6349" s="12">
        <f t="shared" si="1018"/>
        <v>40916</v>
      </c>
      <c r="C6349" s="13">
        <v>2012.0</v>
      </c>
      <c r="D6349" s="11" t="s">
        <v>32</v>
      </c>
      <c r="E6349" s="11">
        <v>15.0</v>
      </c>
      <c r="F6349" s="21" t="s">
        <v>362</v>
      </c>
      <c r="G6349" s="15">
        <v>0.026555183946488193</v>
      </c>
      <c r="H6349" s="11" t="s">
        <v>33</v>
      </c>
      <c r="I6349" s="16">
        <v>10.848</v>
      </c>
      <c r="J6349" s="11" t="s">
        <v>1802</v>
      </c>
      <c r="K6349" s="11" t="s">
        <v>61</v>
      </c>
      <c r="L6349" s="11" t="s">
        <v>48</v>
      </c>
      <c r="M6349" s="11" t="s">
        <v>49</v>
      </c>
      <c r="N6349" s="11" t="s">
        <v>73</v>
      </c>
      <c r="O6349" s="11" t="s">
        <v>1860</v>
      </c>
      <c r="P6349" s="11" t="s">
        <v>31</v>
      </c>
      <c r="Q6349" s="20">
        <v>40919.0</v>
      </c>
      <c r="R6349" s="17">
        <f t="shared" si="2"/>
        <v>6.183321472</v>
      </c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>
        <f t="shared" si="8"/>
        <v>4</v>
      </c>
      <c r="AF6349" s="19">
        <f t="shared" si="13"/>
        <v>4</v>
      </c>
      <c r="AG6349" s="9"/>
      <c r="AH6349" s="9"/>
      <c r="AI6349" s="9"/>
    </row>
    <row r="6350" ht="15.0" customHeight="1">
      <c r="A6350" s="11">
        <v>6349.0</v>
      </c>
      <c r="B6350" s="12">
        <f t="shared" si="1018"/>
        <v>40916</v>
      </c>
      <c r="C6350" s="13">
        <v>2012.0</v>
      </c>
      <c r="D6350" s="11" t="s">
        <v>32</v>
      </c>
      <c r="E6350" s="11">
        <v>14.0</v>
      </c>
      <c r="F6350" s="21" t="s">
        <v>799</v>
      </c>
      <c r="G6350" s="15">
        <v>0.04044572563649157</v>
      </c>
      <c r="H6350" s="11" t="s">
        <v>45</v>
      </c>
      <c r="I6350" s="16">
        <v>28.536</v>
      </c>
      <c r="J6350" s="11" t="s">
        <v>1802</v>
      </c>
      <c r="K6350" s="11" t="s">
        <v>61</v>
      </c>
      <c r="L6350" s="11" t="s">
        <v>48</v>
      </c>
      <c r="M6350" s="11" t="s">
        <v>49</v>
      </c>
      <c r="N6350" s="11" t="s">
        <v>85</v>
      </c>
      <c r="O6350" s="11" t="s">
        <v>1323</v>
      </c>
      <c r="P6350" s="11" t="s">
        <v>87</v>
      </c>
      <c r="Q6350" s="20">
        <v>40919.0</v>
      </c>
      <c r="R6350" s="17">
        <f t="shared" si="2"/>
        <v>160.2110199</v>
      </c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>
        <f t="shared" si="8"/>
        <v>4</v>
      </c>
      <c r="AF6350" s="19">
        <f t="shared" si="13"/>
        <v>4</v>
      </c>
      <c r="AG6350" s="9"/>
      <c r="AH6350" s="9"/>
      <c r="AI6350" s="9"/>
    </row>
    <row r="6351" ht="15.0" customHeight="1">
      <c r="A6351" s="11">
        <v>6350.0</v>
      </c>
      <c r="B6351" s="12">
        <f t="shared" si="1018"/>
        <v>40916</v>
      </c>
      <c r="C6351" s="13">
        <v>2012.0</v>
      </c>
      <c r="D6351" s="11" t="s">
        <v>32</v>
      </c>
      <c r="E6351" s="11">
        <v>41.0</v>
      </c>
      <c r="F6351" s="21" t="s">
        <v>126</v>
      </c>
      <c r="G6351" s="15">
        <v>0.0807874720357941</v>
      </c>
      <c r="H6351" s="11" t="s">
        <v>33</v>
      </c>
      <c r="I6351" s="16">
        <v>4.544</v>
      </c>
      <c r="J6351" s="11" t="s">
        <v>1802</v>
      </c>
      <c r="K6351" s="11" t="s">
        <v>61</v>
      </c>
      <c r="L6351" s="11" t="s">
        <v>48</v>
      </c>
      <c r="M6351" s="11" t="s">
        <v>28</v>
      </c>
      <c r="N6351" s="11" t="s">
        <v>42</v>
      </c>
      <c r="O6351" s="11" t="s">
        <v>1022</v>
      </c>
      <c r="P6351" s="11" t="s">
        <v>38</v>
      </c>
      <c r="Q6351" s="20">
        <v>40920.0</v>
      </c>
      <c r="R6351" s="17">
        <f t="shared" si="2"/>
        <v>16.5973014</v>
      </c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>
        <f t="shared" si="8"/>
        <v>4</v>
      </c>
      <c r="AF6351" s="19">
        <f t="shared" si="13"/>
        <v>4</v>
      </c>
      <c r="AG6351" s="9"/>
      <c r="AH6351" s="9"/>
      <c r="AI6351" s="9"/>
    </row>
    <row r="6352" ht="15.0" customHeight="1">
      <c r="A6352" s="11">
        <v>6351.0</v>
      </c>
      <c r="B6352" s="12">
        <f t="shared" si="1018"/>
        <v>40916</v>
      </c>
      <c r="C6352" s="13">
        <v>2012.0</v>
      </c>
      <c r="D6352" s="11" t="s">
        <v>44</v>
      </c>
      <c r="E6352" s="11">
        <v>30.0</v>
      </c>
      <c r="F6352" s="21" t="s">
        <v>1084</v>
      </c>
      <c r="G6352" s="15">
        <v>0.11934156378600831</v>
      </c>
      <c r="H6352" s="11" t="s">
        <v>33</v>
      </c>
      <c r="I6352" s="16">
        <v>39.2</v>
      </c>
      <c r="J6352" s="11" t="s">
        <v>1360</v>
      </c>
      <c r="K6352" s="11" t="s">
        <v>65</v>
      </c>
      <c r="L6352" s="11" t="s">
        <v>27</v>
      </c>
      <c r="M6352" s="11" t="s">
        <v>28</v>
      </c>
      <c r="N6352" s="11" t="s">
        <v>197</v>
      </c>
      <c r="O6352" s="11" t="s">
        <v>1096</v>
      </c>
      <c r="P6352" s="11" t="s">
        <v>31</v>
      </c>
      <c r="Q6352" s="20">
        <v>40920.0</v>
      </c>
      <c r="R6352" s="17">
        <f t="shared" si="2"/>
        <v>20.43127572</v>
      </c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>
        <f t="shared" si="8"/>
        <v>1</v>
      </c>
      <c r="AF6352" s="19">
        <f t="shared" si="13"/>
        <v>5</v>
      </c>
      <c r="AG6352" s="9"/>
      <c r="AH6352" s="9"/>
      <c r="AI6352" s="9"/>
    </row>
    <row r="6353" ht="15.0" customHeight="1">
      <c r="A6353" s="11">
        <v>6352.0</v>
      </c>
      <c r="B6353" s="12">
        <f t="shared" ref="B6353:B6356" si="1019">DATE(2012,12,31)-357</f>
        <v>40917</v>
      </c>
      <c r="C6353" s="13">
        <v>2012.0</v>
      </c>
      <c r="D6353" s="11" t="s">
        <v>32</v>
      </c>
      <c r="E6353" s="11">
        <v>39.0</v>
      </c>
      <c r="F6353" s="21" t="s">
        <v>668</v>
      </c>
      <c r="G6353" s="15">
        <v>0.05215912541755235</v>
      </c>
      <c r="H6353" s="11" t="s">
        <v>24</v>
      </c>
      <c r="I6353" s="16">
        <v>4.024</v>
      </c>
      <c r="J6353" s="11" t="s">
        <v>456</v>
      </c>
      <c r="K6353" s="11" t="s">
        <v>35</v>
      </c>
      <c r="L6353" s="11" t="s">
        <v>27</v>
      </c>
      <c r="M6353" s="11" t="s">
        <v>66</v>
      </c>
      <c r="N6353" s="11" t="s">
        <v>80</v>
      </c>
      <c r="O6353" s="11" t="s">
        <v>1603</v>
      </c>
      <c r="P6353" s="11" t="s">
        <v>75</v>
      </c>
      <c r="Q6353" s="20">
        <v>40920.0</v>
      </c>
      <c r="R6353" s="17">
        <f t="shared" si="2"/>
        <v>16.28011486</v>
      </c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>
        <f t="shared" si="8"/>
        <v>1</v>
      </c>
      <c r="AF6353" s="19">
        <f t="shared" si="13"/>
        <v>2</v>
      </c>
      <c r="AG6353" s="9"/>
      <c r="AH6353" s="9"/>
      <c r="AI6353" s="9"/>
    </row>
    <row r="6354" ht="15.0" customHeight="1">
      <c r="A6354" s="11">
        <v>6353.0</v>
      </c>
      <c r="B6354" s="12">
        <f t="shared" si="1019"/>
        <v>40917</v>
      </c>
      <c r="C6354" s="13">
        <v>2012.0</v>
      </c>
      <c r="D6354" s="11" t="s">
        <v>32</v>
      </c>
      <c r="E6354" s="11">
        <v>11.0</v>
      </c>
      <c r="F6354" s="21" t="s">
        <v>128</v>
      </c>
      <c r="G6354" s="15">
        <v>0.011859738784781273</v>
      </c>
      <c r="H6354" s="11" t="s">
        <v>33</v>
      </c>
      <c r="I6354" s="16">
        <v>7.192</v>
      </c>
      <c r="J6354" s="11" t="s">
        <v>578</v>
      </c>
      <c r="K6354" s="11" t="s">
        <v>65</v>
      </c>
      <c r="L6354" s="11" t="s">
        <v>27</v>
      </c>
      <c r="M6354" s="11" t="s">
        <v>66</v>
      </c>
      <c r="N6354" s="11" t="s">
        <v>80</v>
      </c>
      <c r="O6354" s="11" t="s">
        <v>460</v>
      </c>
      <c r="P6354" s="11" t="s">
        <v>38</v>
      </c>
      <c r="Q6354" s="20">
        <v>40920.0</v>
      </c>
      <c r="R6354" s="17">
        <f t="shared" si="2"/>
        <v>16.50984748</v>
      </c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>
        <f t="shared" si="8"/>
        <v>1</v>
      </c>
      <c r="AF6354" s="19">
        <f t="shared" si="13"/>
        <v>5</v>
      </c>
      <c r="AG6354" s="9"/>
      <c r="AH6354" s="9"/>
      <c r="AI6354" s="9"/>
    </row>
    <row r="6355" ht="15.0" customHeight="1">
      <c r="A6355" s="11">
        <v>6354.0</v>
      </c>
      <c r="B6355" s="12">
        <f t="shared" si="1019"/>
        <v>40917</v>
      </c>
      <c r="C6355" s="13">
        <v>2012.0</v>
      </c>
      <c r="D6355" s="11" t="s">
        <v>23</v>
      </c>
      <c r="E6355" s="11">
        <v>48.0</v>
      </c>
      <c r="F6355" s="21" t="s">
        <v>210</v>
      </c>
      <c r="G6355" s="15">
        <v>0.09885057471264352</v>
      </c>
      <c r="H6355" s="11" t="s">
        <v>33</v>
      </c>
      <c r="I6355" s="16">
        <v>0.6400000000000001</v>
      </c>
      <c r="J6355" s="11" t="s">
        <v>928</v>
      </c>
      <c r="K6355" s="11" t="s">
        <v>61</v>
      </c>
      <c r="L6355" s="11" t="s">
        <v>27</v>
      </c>
      <c r="M6355" s="11" t="s">
        <v>28</v>
      </c>
      <c r="N6355" s="11" t="s">
        <v>216</v>
      </c>
      <c r="O6355" s="11" t="s">
        <v>1290</v>
      </c>
      <c r="P6355" s="11" t="s">
        <v>58</v>
      </c>
      <c r="Q6355" s="20">
        <v>40920.0</v>
      </c>
      <c r="R6355" s="17">
        <f t="shared" si="2"/>
        <v>12.39981609</v>
      </c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>
        <f t="shared" si="8"/>
        <v>1</v>
      </c>
      <c r="AF6355" s="19">
        <f t="shared" si="13"/>
        <v>4</v>
      </c>
      <c r="AG6355" s="9"/>
      <c r="AH6355" s="9"/>
      <c r="AI6355" s="9"/>
    </row>
    <row r="6356" ht="15.0" customHeight="1">
      <c r="A6356" s="11">
        <v>6355.0</v>
      </c>
      <c r="B6356" s="12">
        <f t="shared" si="1019"/>
        <v>40917</v>
      </c>
      <c r="C6356" s="13">
        <v>2012.0</v>
      </c>
      <c r="D6356" s="11" t="s">
        <v>23</v>
      </c>
      <c r="E6356" s="11">
        <v>5.0</v>
      </c>
      <c r="F6356" s="21" t="s">
        <v>1646</v>
      </c>
      <c r="G6356" s="15">
        <v>0.0637394957983193</v>
      </c>
      <c r="H6356" s="11" t="s">
        <v>33</v>
      </c>
      <c r="I6356" s="16">
        <v>5.632000000000001</v>
      </c>
      <c r="J6356" s="11" t="s">
        <v>928</v>
      </c>
      <c r="K6356" s="11" t="s">
        <v>61</v>
      </c>
      <c r="L6356" s="11" t="s">
        <v>27</v>
      </c>
      <c r="M6356" s="11" t="s">
        <v>28</v>
      </c>
      <c r="N6356" s="11" t="s">
        <v>29</v>
      </c>
      <c r="O6356" s="11" t="s">
        <v>1647</v>
      </c>
      <c r="P6356" s="11" t="s">
        <v>38</v>
      </c>
      <c r="Q6356" s="20">
        <v>40920.0</v>
      </c>
      <c r="R6356" s="17">
        <f t="shared" si="2"/>
        <v>5.681228739</v>
      </c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>
        <f t="shared" si="8"/>
        <v>1</v>
      </c>
      <c r="AF6356" s="19">
        <f t="shared" si="13"/>
        <v>4</v>
      </c>
      <c r="AG6356" s="9"/>
      <c r="AH6356" s="9"/>
      <c r="AI6356" s="9"/>
    </row>
    <row r="6357" ht="15.0" customHeight="1">
      <c r="A6357" s="11">
        <v>6356.0</v>
      </c>
      <c r="B6357" s="12">
        <f t="shared" ref="B6357:B6361" si="1020">DATE(2012,12,31)-356</f>
        <v>40918</v>
      </c>
      <c r="C6357" s="13">
        <v>2012.0</v>
      </c>
      <c r="D6357" s="11" t="s">
        <v>32</v>
      </c>
      <c r="E6357" s="11">
        <v>31.0</v>
      </c>
      <c r="F6357" s="21" t="s">
        <v>948</v>
      </c>
      <c r="G6357" s="15">
        <v>0.024000000000000184</v>
      </c>
      <c r="H6357" s="11" t="s">
        <v>33</v>
      </c>
      <c r="I6357" s="16">
        <v>3.944</v>
      </c>
      <c r="J6357" s="11" t="s">
        <v>1960</v>
      </c>
      <c r="K6357" s="11" t="s">
        <v>65</v>
      </c>
      <c r="L6357" s="11" t="s">
        <v>36</v>
      </c>
      <c r="M6357" s="11" t="s">
        <v>66</v>
      </c>
      <c r="N6357" s="11" t="s">
        <v>67</v>
      </c>
      <c r="O6357" s="11" t="s">
        <v>1295</v>
      </c>
      <c r="P6357" s="11" t="s">
        <v>99</v>
      </c>
      <c r="Q6357" s="20">
        <v>40920.0</v>
      </c>
      <c r="R6357" s="17">
        <f t="shared" si="2"/>
        <v>3.665856</v>
      </c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>
        <f t="shared" si="8"/>
        <v>2</v>
      </c>
      <c r="AF6357" s="19">
        <f t="shared" si="13"/>
        <v>5</v>
      </c>
      <c r="AG6357" s="9"/>
      <c r="AH6357" s="9"/>
      <c r="AI6357" s="9"/>
    </row>
    <row r="6358" ht="15.0" customHeight="1">
      <c r="A6358" s="11">
        <v>6357.0</v>
      </c>
      <c r="B6358" s="12">
        <f t="shared" si="1020"/>
        <v>40918</v>
      </c>
      <c r="C6358" s="13">
        <v>2012.0</v>
      </c>
      <c r="D6358" s="11" t="s">
        <v>32</v>
      </c>
      <c r="E6358" s="11">
        <v>44.0</v>
      </c>
      <c r="F6358" s="21" t="s">
        <v>137</v>
      </c>
      <c r="G6358" s="15">
        <v>0.03545027490245512</v>
      </c>
      <c r="H6358" s="11" t="s">
        <v>45</v>
      </c>
      <c r="I6358" s="16">
        <v>31.400000000000002</v>
      </c>
      <c r="J6358" s="11" t="s">
        <v>1960</v>
      </c>
      <c r="K6358" s="11" t="s">
        <v>65</v>
      </c>
      <c r="L6358" s="11" t="s">
        <v>36</v>
      </c>
      <c r="M6358" s="11" t="s">
        <v>49</v>
      </c>
      <c r="N6358" s="11" t="s">
        <v>85</v>
      </c>
      <c r="O6358" s="11" t="s">
        <v>127</v>
      </c>
      <c r="P6358" s="11" t="s">
        <v>87</v>
      </c>
      <c r="Q6358" s="20">
        <v>40920.0</v>
      </c>
      <c r="R6358" s="17">
        <f t="shared" si="2"/>
        <v>236.4887839</v>
      </c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>
        <f t="shared" si="8"/>
        <v>2</v>
      </c>
      <c r="AF6358" s="19">
        <f t="shared" si="13"/>
        <v>5</v>
      </c>
      <c r="AG6358" s="9"/>
      <c r="AH6358" s="9"/>
      <c r="AI6358" s="9"/>
    </row>
    <row r="6359" ht="15.0" customHeight="1">
      <c r="A6359" s="11">
        <v>6358.0</v>
      </c>
      <c r="B6359" s="12">
        <f t="shared" si="1020"/>
        <v>40918</v>
      </c>
      <c r="C6359" s="13">
        <v>2012.0</v>
      </c>
      <c r="D6359" s="11" t="s">
        <v>44</v>
      </c>
      <c r="E6359" s="11">
        <v>25.0</v>
      </c>
      <c r="F6359" s="21" t="s">
        <v>344</v>
      </c>
      <c r="G6359" s="15">
        <v>0.06802309595820734</v>
      </c>
      <c r="H6359" s="11" t="s">
        <v>33</v>
      </c>
      <c r="I6359" s="16">
        <v>3.9600000000000004</v>
      </c>
      <c r="J6359" s="11" t="s">
        <v>2079</v>
      </c>
      <c r="K6359" s="11" t="s">
        <v>61</v>
      </c>
      <c r="L6359" s="11" t="s">
        <v>48</v>
      </c>
      <c r="M6359" s="11" t="s">
        <v>49</v>
      </c>
      <c r="N6359" s="11" t="s">
        <v>73</v>
      </c>
      <c r="O6359" s="11" t="s">
        <v>1724</v>
      </c>
      <c r="P6359" s="11" t="s">
        <v>99</v>
      </c>
      <c r="Q6359" s="20">
        <v>40920.0</v>
      </c>
      <c r="R6359" s="17">
        <f t="shared" si="2"/>
        <v>23.05710861</v>
      </c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>
        <f t="shared" si="8"/>
        <v>4</v>
      </c>
      <c r="AF6359" s="19">
        <f t="shared" si="13"/>
        <v>4</v>
      </c>
      <c r="AG6359" s="9"/>
      <c r="AH6359" s="9"/>
      <c r="AI6359" s="9"/>
    </row>
    <row r="6360" ht="15.0" customHeight="1">
      <c r="A6360" s="11">
        <v>6359.0</v>
      </c>
      <c r="B6360" s="12">
        <f t="shared" si="1020"/>
        <v>40918</v>
      </c>
      <c r="C6360" s="13">
        <v>2012.0</v>
      </c>
      <c r="D6360" s="11" t="s">
        <v>39</v>
      </c>
      <c r="E6360" s="11">
        <v>35.0</v>
      </c>
      <c r="F6360" s="21" t="s">
        <v>1897</v>
      </c>
      <c r="G6360" s="15">
        <v>0.0841473419958347</v>
      </c>
      <c r="H6360" s="11" t="s">
        <v>45</v>
      </c>
      <c r="I6360" s="16">
        <v>79.2</v>
      </c>
      <c r="J6360" s="11" t="s">
        <v>1816</v>
      </c>
      <c r="K6360" s="11" t="s">
        <v>47</v>
      </c>
      <c r="L6360" s="11" t="s">
        <v>41</v>
      </c>
      <c r="M6360" s="11" t="s">
        <v>28</v>
      </c>
      <c r="N6360" s="11" t="s">
        <v>29</v>
      </c>
      <c r="O6360" s="11" t="s">
        <v>1898</v>
      </c>
      <c r="P6360" s="11" t="s">
        <v>52</v>
      </c>
      <c r="Q6360" s="20">
        <v>40920.0</v>
      </c>
      <c r="R6360" s="17">
        <f t="shared" si="2"/>
        <v>1099.02319</v>
      </c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>
        <f t="shared" si="8"/>
        <v>3</v>
      </c>
      <c r="AF6360" s="19">
        <f t="shared" si="13"/>
        <v>3</v>
      </c>
      <c r="AG6360" s="9"/>
      <c r="AH6360" s="9"/>
      <c r="AI6360" s="9"/>
    </row>
    <row r="6361" ht="15.0" customHeight="1">
      <c r="A6361" s="11">
        <v>6360.0</v>
      </c>
      <c r="B6361" s="12">
        <f t="shared" si="1020"/>
        <v>40918</v>
      </c>
      <c r="C6361" s="13">
        <v>2012.0</v>
      </c>
      <c r="D6361" s="11" t="s">
        <v>39</v>
      </c>
      <c r="E6361" s="11">
        <v>45.0</v>
      </c>
      <c r="F6361" s="21" t="s">
        <v>1710</v>
      </c>
      <c r="G6361" s="15">
        <v>0.03160381894360888</v>
      </c>
      <c r="H6361" s="11" t="s">
        <v>45</v>
      </c>
      <c r="I6361" s="16">
        <v>41.552</v>
      </c>
      <c r="J6361" s="11" t="s">
        <v>2361</v>
      </c>
      <c r="K6361" s="11" t="s">
        <v>83</v>
      </c>
      <c r="L6361" s="11" t="s">
        <v>48</v>
      </c>
      <c r="M6361" s="11" t="s">
        <v>49</v>
      </c>
      <c r="N6361" s="11" t="s">
        <v>85</v>
      </c>
      <c r="O6361" s="11" t="s">
        <v>1711</v>
      </c>
      <c r="P6361" s="11" t="s">
        <v>87</v>
      </c>
      <c r="Q6361" s="20">
        <v>40920.0</v>
      </c>
      <c r="R6361" s="17">
        <f t="shared" si="2"/>
        <v>178.2313803</v>
      </c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>
        <f t="shared" si="8"/>
        <v>4</v>
      </c>
      <c r="AF6361" s="19" t="b">
        <f t="shared" si="13"/>
        <v>0</v>
      </c>
      <c r="AG6361" s="9"/>
      <c r="AH6361" s="9"/>
      <c r="AI6361" s="9"/>
    </row>
    <row r="6362" ht="15.0" customHeight="1">
      <c r="A6362" s="11">
        <v>6361.0</v>
      </c>
      <c r="B6362" s="12">
        <f t="shared" ref="B6362:B6369" si="1021">DATE(2012,12,31)-355</f>
        <v>40919</v>
      </c>
      <c r="C6362" s="13">
        <v>2012.0</v>
      </c>
      <c r="D6362" s="11" t="s">
        <v>44</v>
      </c>
      <c r="E6362" s="11">
        <v>35.0</v>
      </c>
      <c r="F6362" s="21" t="s">
        <v>799</v>
      </c>
      <c r="G6362" s="15">
        <v>0.06675422351562794</v>
      </c>
      <c r="H6362" s="11" t="s">
        <v>45</v>
      </c>
      <c r="I6362" s="16">
        <v>45.6</v>
      </c>
      <c r="J6362" s="11" t="s">
        <v>227</v>
      </c>
      <c r="K6362" s="11" t="s">
        <v>35</v>
      </c>
      <c r="L6362" s="11" t="s">
        <v>48</v>
      </c>
      <c r="M6362" s="11" t="s">
        <v>49</v>
      </c>
      <c r="N6362" s="11" t="s">
        <v>50</v>
      </c>
      <c r="O6362" s="11" t="s">
        <v>801</v>
      </c>
      <c r="P6362" s="11" t="s">
        <v>52</v>
      </c>
      <c r="Q6362" s="20">
        <v>40920.0</v>
      </c>
      <c r="R6362" s="17">
        <f t="shared" si="2"/>
        <v>659.3381411</v>
      </c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>
        <f t="shared" si="8"/>
        <v>4</v>
      </c>
      <c r="AF6362" s="19">
        <f t="shared" si="13"/>
        <v>2</v>
      </c>
      <c r="AG6362" s="9"/>
      <c r="AH6362" s="9"/>
      <c r="AI6362" s="9"/>
    </row>
    <row r="6363" ht="15.0" customHeight="1">
      <c r="A6363" s="11">
        <v>6362.0</v>
      </c>
      <c r="B6363" s="12">
        <f t="shared" si="1021"/>
        <v>40919</v>
      </c>
      <c r="C6363" s="13">
        <v>2012.0</v>
      </c>
      <c r="D6363" s="11" t="s">
        <v>44</v>
      </c>
      <c r="E6363" s="11">
        <v>15.0</v>
      </c>
      <c r="F6363" s="21" t="s">
        <v>562</v>
      </c>
      <c r="G6363" s="15">
        <v>0.07490461810414674</v>
      </c>
      <c r="H6363" s="11" t="s">
        <v>45</v>
      </c>
      <c r="I6363" s="16">
        <v>22.512</v>
      </c>
      <c r="J6363" s="11" t="s">
        <v>227</v>
      </c>
      <c r="K6363" s="11" t="s">
        <v>35</v>
      </c>
      <c r="L6363" s="11" t="s">
        <v>48</v>
      </c>
      <c r="M6363" s="11" t="s">
        <v>66</v>
      </c>
      <c r="N6363" s="11" t="s">
        <v>69</v>
      </c>
      <c r="O6363" s="11" t="s">
        <v>564</v>
      </c>
      <c r="P6363" s="11" t="s">
        <v>52</v>
      </c>
      <c r="Q6363" s="20">
        <v>40921.0</v>
      </c>
      <c r="R6363" s="17">
        <f t="shared" si="2"/>
        <v>564.4821009</v>
      </c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>
        <f t="shared" si="8"/>
        <v>4</v>
      </c>
      <c r="AF6363" s="19">
        <f t="shared" si="13"/>
        <v>2</v>
      </c>
      <c r="AG6363" s="9"/>
      <c r="AH6363" s="9"/>
      <c r="AI6363" s="9"/>
    </row>
    <row r="6364" ht="15.0" customHeight="1">
      <c r="A6364" s="11">
        <v>6363.0</v>
      </c>
      <c r="B6364" s="12">
        <f t="shared" si="1021"/>
        <v>40919</v>
      </c>
      <c r="C6364" s="13">
        <v>2012.0</v>
      </c>
      <c r="D6364" s="11" t="s">
        <v>32</v>
      </c>
      <c r="E6364" s="11">
        <v>40.0</v>
      </c>
      <c r="F6364" s="21" t="s">
        <v>336</v>
      </c>
      <c r="G6364" s="15">
        <v>0.017460986925347897</v>
      </c>
      <c r="H6364" s="11" t="s">
        <v>24</v>
      </c>
      <c r="I6364" s="16">
        <v>0.96</v>
      </c>
      <c r="J6364" s="11" t="s">
        <v>1938</v>
      </c>
      <c r="K6364" s="11" t="s">
        <v>26</v>
      </c>
      <c r="L6364" s="11" t="s">
        <v>41</v>
      </c>
      <c r="M6364" s="11" t="s">
        <v>28</v>
      </c>
      <c r="N6364" s="11" t="s">
        <v>62</v>
      </c>
      <c r="O6364" s="11" t="s">
        <v>1540</v>
      </c>
      <c r="P6364" s="11" t="s">
        <v>58</v>
      </c>
      <c r="Q6364" s="20">
        <v>40921.0</v>
      </c>
      <c r="R6364" s="17">
        <f t="shared" si="2"/>
        <v>4.067711514</v>
      </c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>
        <f t="shared" si="8"/>
        <v>3</v>
      </c>
      <c r="AF6364" s="19">
        <f t="shared" si="13"/>
        <v>1</v>
      </c>
      <c r="AG6364" s="9"/>
      <c r="AH6364" s="9"/>
      <c r="AI6364" s="9"/>
    </row>
    <row r="6365" ht="15.0" customHeight="1">
      <c r="A6365" s="11">
        <v>6364.0</v>
      </c>
      <c r="B6365" s="12">
        <f t="shared" si="1021"/>
        <v>40919</v>
      </c>
      <c r="C6365" s="13">
        <v>2012.0</v>
      </c>
      <c r="D6365" s="11" t="s">
        <v>39</v>
      </c>
      <c r="E6365" s="11">
        <v>19.0</v>
      </c>
      <c r="F6365" s="21" t="s">
        <v>924</v>
      </c>
      <c r="G6365" s="15">
        <v>0.07706131078224093</v>
      </c>
      <c r="H6365" s="11" t="s">
        <v>33</v>
      </c>
      <c r="I6365" s="16">
        <v>1.72</v>
      </c>
      <c r="J6365" s="11" t="s">
        <v>1417</v>
      </c>
      <c r="K6365" s="11" t="s">
        <v>47</v>
      </c>
      <c r="L6365" s="11" t="s">
        <v>48</v>
      </c>
      <c r="M6365" s="11" t="s">
        <v>28</v>
      </c>
      <c r="N6365" s="11" t="s">
        <v>56</v>
      </c>
      <c r="O6365" s="11" t="s">
        <v>57</v>
      </c>
      <c r="P6365" s="11" t="s">
        <v>58</v>
      </c>
      <c r="Q6365" s="20">
        <v>40921.0</v>
      </c>
      <c r="R6365" s="17">
        <f t="shared" si="2"/>
        <v>13.45644609</v>
      </c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>
        <f t="shared" si="8"/>
        <v>4</v>
      </c>
      <c r="AF6365" s="19">
        <f t="shared" si="13"/>
        <v>3</v>
      </c>
      <c r="AG6365" s="9"/>
      <c r="AH6365" s="9"/>
      <c r="AI6365" s="9"/>
    </row>
    <row r="6366" ht="15.0" customHeight="1">
      <c r="A6366" s="11">
        <v>6365.0</v>
      </c>
      <c r="B6366" s="12">
        <f t="shared" si="1021"/>
        <v>40919</v>
      </c>
      <c r="C6366" s="13">
        <v>2012.0</v>
      </c>
      <c r="D6366" s="11" t="s">
        <v>23</v>
      </c>
      <c r="E6366" s="11">
        <v>1.0</v>
      </c>
      <c r="F6366" s="21" t="s">
        <v>287</v>
      </c>
      <c r="G6366" s="15">
        <v>0.1183552631578947</v>
      </c>
      <c r="H6366" s="11" t="s">
        <v>45</v>
      </c>
      <c r="I6366" s="16">
        <v>44.912000000000006</v>
      </c>
      <c r="J6366" s="11" t="s">
        <v>1654</v>
      </c>
      <c r="K6366" s="11" t="s">
        <v>117</v>
      </c>
      <c r="L6366" s="11" t="s">
        <v>36</v>
      </c>
      <c r="M6366" s="11" t="s">
        <v>66</v>
      </c>
      <c r="N6366" s="11" t="s">
        <v>69</v>
      </c>
      <c r="O6366" s="11" t="s">
        <v>289</v>
      </c>
      <c r="P6366" s="11" t="s">
        <v>52</v>
      </c>
      <c r="Q6366" s="20">
        <v>40921.0</v>
      </c>
      <c r="R6366" s="17">
        <f t="shared" si="2"/>
        <v>19.03294658</v>
      </c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>
        <f t="shared" si="8"/>
        <v>2</v>
      </c>
      <c r="AF6366" s="19" t="b">
        <f t="shared" si="13"/>
        <v>0</v>
      </c>
      <c r="AG6366" s="9"/>
      <c r="AH6366" s="9"/>
      <c r="AI6366" s="9"/>
    </row>
    <row r="6367" ht="15.0" customHeight="1">
      <c r="A6367" s="11">
        <v>6366.0</v>
      </c>
      <c r="B6367" s="12">
        <f t="shared" si="1021"/>
        <v>40919</v>
      </c>
      <c r="C6367" s="13">
        <v>2012.0</v>
      </c>
      <c r="D6367" s="11" t="s">
        <v>23</v>
      </c>
      <c r="E6367" s="11">
        <v>30.0</v>
      </c>
      <c r="F6367" s="21" t="s">
        <v>344</v>
      </c>
      <c r="G6367" s="15">
        <v>0.08150362318840583</v>
      </c>
      <c r="H6367" s="11" t="s">
        <v>33</v>
      </c>
      <c r="I6367" s="16">
        <v>3.608</v>
      </c>
      <c r="J6367" s="11" t="s">
        <v>2293</v>
      </c>
      <c r="K6367" s="11" t="s">
        <v>65</v>
      </c>
      <c r="L6367" s="11" t="s">
        <v>27</v>
      </c>
      <c r="M6367" s="11" t="s">
        <v>28</v>
      </c>
      <c r="N6367" s="11" t="s">
        <v>29</v>
      </c>
      <c r="O6367" s="11" t="s">
        <v>929</v>
      </c>
      <c r="P6367" s="11" t="s">
        <v>38</v>
      </c>
      <c r="Q6367" s="20">
        <v>40921.0</v>
      </c>
      <c r="R6367" s="17">
        <f t="shared" si="2"/>
        <v>33.05852159</v>
      </c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>
        <f t="shared" si="8"/>
        <v>1</v>
      </c>
      <c r="AF6367" s="19">
        <f t="shared" si="13"/>
        <v>5</v>
      </c>
      <c r="AG6367" s="9"/>
      <c r="AH6367" s="9"/>
      <c r="AI6367" s="9"/>
    </row>
    <row r="6368" ht="15.0" customHeight="1">
      <c r="A6368" s="11">
        <v>6367.0</v>
      </c>
      <c r="B6368" s="12">
        <f t="shared" si="1021"/>
        <v>40919</v>
      </c>
      <c r="C6368" s="13">
        <v>2012.0</v>
      </c>
      <c r="D6368" s="11" t="s">
        <v>32</v>
      </c>
      <c r="E6368" s="11">
        <v>42.0</v>
      </c>
      <c r="F6368" s="21" t="s">
        <v>573</v>
      </c>
      <c r="G6368" s="15">
        <v>0.01041538096368378</v>
      </c>
      <c r="H6368" s="11" t="s">
        <v>33</v>
      </c>
      <c r="I6368" s="16">
        <v>1.1119999999999999</v>
      </c>
      <c r="J6368" s="11" t="s">
        <v>588</v>
      </c>
      <c r="K6368" s="11" t="s">
        <v>47</v>
      </c>
      <c r="L6368" s="11" t="s">
        <v>27</v>
      </c>
      <c r="M6368" s="11" t="s">
        <v>28</v>
      </c>
      <c r="N6368" s="11" t="s">
        <v>236</v>
      </c>
      <c r="O6368" s="11" t="s">
        <v>2289</v>
      </c>
      <c r="P6368" s="11" t="s">
        <v>38</v>
      </c>
      <c r="Q6368" s="20">
        <v>40921.0</v>
      </c>
      <c r="R6368" s="17">
        <f t="shared" si="2"/>
        <v>4.342297308</v>
      </c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>
        <f t="shared" si="8"/>
        <v>1</v>
      </c>
      <c r="AF6368" s="19">
        <f t="shared" si="13"/>
        <v>3</v>
      </c>
      <c r="AG6368" s="9"/>
      <c r="AH6368" s="9"/>
      <c r="AI6368" s="9"/>
    </row>
    <row r="6369" ht="15.0" customHeight="1">
      <c r="A6369" s="11">
        <v>6368.0</v>
      </c>
      <c r="B6369" s="12">
        <f t="shared" si="1021"/>
        <v>40919</v>
      </c>
      <c r="C6369" s="13">
        <v>2012.0</v>
      </c>
      <c r="D6369" s="11" t="s">
        <v>32</v>
      </c>
      <c r="E6369" s="11">
        <v>16.0</v>
      </c>
      <c r="F6369" s="21" t="s">
        <v>372</v>
      </c>
      <c r="G6369" s="15">
        <v>0.008384146341463372</v>
      </c>
      <c r="H6369" s="11" t="s">
        <v>33</v>
      </c>
      <c r="I6369" s="16">
        <v>9.0</v>
      </c>
      <c r="J6369" s="11" t="s">
        <v>588</v>
      </c>
      <c r="K6369" s="11" t="s">
        <v>47</v>
      </c>
      <c r="L6369" s="11" t="s">
        <v>27</v>
      </c>
      <c r="M6369" s="11" t="s">
        <v>28</v>
      </c>
      <c r="N6369" s="11" t="s">
        <v>29</v>
      </c>
      <c r="O6369" s="11" t="s">
        <v>1741</v>
      </c>
      <c r="P6369" s="11" t="s">
        <v>38</v>
      </c>
      <c r="Q6369" s="20">
        <v>40921.0</v>
      </c>
      <c r="R6369" s="17">
        <f t="shared" si="2"/>
        <v>2.181554878</v>
      </c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>
        <f t="shared" si="8"/>
        <v>1</v>
      </c>
      <c r="AF6369" s="19">
        <f t="shared" si="13"/>
        <v>3</v>
      </c>
      <c r="AG6369" s="9"/>
      <c r="AH6369" s="9"/>
      <c r="AI6369" s="9"/>
    </row>
    <row r="6370" ht="15.0" customHeight="1">
      <c r="A6370" s="11">
        <v>6369.0</v>
      </c>
      <c r="B6370" s="12">
        <f t="shared" ref="B6370:B6378" si="1022">DATE(2012,12,31)-354</f>
        <v>40920</v>
      </c>
      <c r="C6370" s="13">
        <v>2012.0</v>
      </c>
      <c r="D6370" s="11" t="s">
        <v>32</v>
      </c>
      <c r="E6370" s="11">
        <v>43.0</v>
      </c>
      <c r="F6370" s="21" t="s">
        <v>573</v>
      </c>
      <c r="G6370" s="15">
        <v>0.0745620121422376</v>
      </c>
      <c r="H6370" s="11" t="s">
        <v>33</v>
      </c>
      <c r="I6370" s="16">
        <v>1.1119999999999999</v>
      </c>
      <c r="J6370" s="11" t="s">
        <v>1259</v>
      </c>
      <c r="K6370" s="11" t="s">
        <v>65</v>
      </c>
      <c r="L6370" s="11" t="s">
        <v>41</v>
      </c>
      <c r="M6370" s="11" t="s">
        <v>28</v>
      </c>
      <c r="N6370" s="11" t="s">
        <v>236</v>
      </c>
      <c r="O6370" s="11" t="s">
        <v>2289</v>
      </c>
      <c r="P6370" s="11" t="s">
        <v>38</v>
      </c>
      <c r="Q6370" s="20">
        <v>40921.0</v>
      </c>
      <c r="R6370" s="17">
        <f t="shared" si="2"/>
        <v>31.82396153</v>
      </c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>
        <f t="shared" si="8"/>
        <v>3</v>
      </c>
      <c r="AF6370" s="19">
        <f t="shared" si="13"/>
        <v>5</v>
      </c>
      <c r="AG6370" s="9"/>
      <c r="AH6370" s="9"/>
      <c r="AI6370" s="9"/>
    </row>
    <row r="6371" ht="15.0" customHeight="1">
      <c r="A6371" s="11">
        <v>6370.0</v>
      </c>
      <c r="B6371" s="12">
        <f t="shared" si="1022"/>
        <v>40920</v>
      </c>
      <c r="C6371" s="13">
        <v>2012.0</v>
      </c>
      <c r="D6371" s="11" t="s">
        <v>44</v>
      </c>
      <c r="E6371" s="11">
        <v>30.0</v>
      </c>
      <c r="F6371" s="21" t="s">
        <v>1005</v>
      </c>
      <c r="G6371" s="15">
        <v>0.0586629526462396</v>
      </c>
      <c r="H6371" s="11" t="s">
        <v>33</v>
      </c>
      <c r="I6371" s="16">
        <v>3.3520000000000003</v>
      </c>
      <c r="J6371" s="11" t="s">
        <v>1877</v>
      </c>
      <c r="K6371" s="11" t="s">
        <v>26</v>
      </c>
      <c r="L6371" s="11" t="s">
        <v>41</v>
      </c>
      <c r="M6371" s="11" t="s">
        <v>49</v>
      </c>
      <c r="N6371" s="11" t="s">
        <v>73</v>
      </c>
      <c r="O6371" s="11" t="s">
        <v>2589</v>
      </c>
      <c r="P6371" s="11" t="s">
        <v>99</v>
      </c>
      <c r="Q6371" s="20">
        <v>40921.0</v>
      </c>
      <c r="R6371" s="17">
        <f t="shared" si="2"/>
        <v>15.85964657</v>
      </c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>
        <f t="shared" si="8"/>
        <v>3</v>
      </c>
      <c r="AF6371" s="19">
        <f t="shared" si="13"/>
        <v>1</v>
      </c>
      <c r="AG6371" s="9"/>
      <c r="AH6371" s="9"/>
      <c r="AI6371" s="9"/>
    </row>
    <row r="6372" ht="15.0" customHeight="1">
      <c r="A6372" s="11">
        <v>6371.0</v>
      </c>
      <c r="B6372" s="12">
        <f t="shared" si="1022"/>
        <v>40920</v>
      </c>
      <c r="C6372" s="13">
        <v>2012.0</v>
      </c>
      <c r="D6372" s="11" t="s">
        <v>102</v>
      </c>
      <c r="E6372" s="11">
        <v>3.0</v>
      </c>
      <c r="F6372" s="21" t="s">
        <v>1441</v>
      </c>
      <c r="G6372" s="15">
        <v>0.0670694864048338</v>
      </c>
      <c r="H6372" s="11" t="s">
        <v>33</v>
      </c>
      <c r="I6372" s="16">
        <v>4.4799999999999995</v>
      </c>
      <c r="J6372" s="11" t="s">
        <v>606</v>
      </c>
      <c r="K6372" s="11" t="s">
        <v>65</v>
      </c>
      <c r="L6372" s="11" t="s">
        <v>48</v>
      </c>
      <c r="M6372" s="11" t="s">
        <v>28</v>
      </c>
      <c r="N6372" s="11" t="s">
        <v>42</v>
      </c>
      <c r="O6372" s="11" t="s">
        <v>1443</v>
      </c>
      <c r="P6372" s="11" t="s">
        <v>38</v>
      </c>
      <c r="Q6372" s="20">
        <v>40921.0</v>
      </c>
      <c r="R6372" s="17">
        <f t="shared" si="2"/>
        <v>2.07110574</v>
      </c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>
        <f t="shared" si="8"/>
        <v>4</v>
      </c>
      <c r="AF6372" s="19">
        <f t="shared" si="13"/>
        <v>5</v>
      </c>
      <c r="AG6372" s="9"/>
      <c r="AH6372" s="9"/>
      <c r="AI6372" s="9"/>
    </row>
    <row r="6373" ht="15.0" customHeight="1">
      <c r="A6373" s="11">
        <v>6372.0</v>
      </c>
      <c r="B6373" s="12">
        <f t="shared" si="1022"/>
        <v>40920</v>
      </c>
      <c r="C6373" s="13">
        <v>2012.0</v>
      </c>
      <c r="D6373" s="11" t="s">
        <v>39</v>
      </c>
      <c r="E6373" s="11">
        <v>21.0</v>
      </c>
      <c r="F6373" s="21" t="s">
        <v>740</v>
      </c>
      <c r="G6373" s="15">
        <v>0.04066077371361461</v>
      </c>
      <c r="H6373" s="11" t="s">
        <v>45</v>
      </c>
      <c r="I6373" s="16">
        <v>51.784000000000006</v>
      </c>
      <c r="J6373" s="11" t="s">
        <v>64</v>
      </c>
      <c r="K6373" s="11" t="s">
        <v>65</v>
      </c>
      <c r="L6373" s="11" t="s">
        <v>48</v>
      </c>
      <c r="M6373" s="11" t="s">
        <v>49</v>
      </c>
      <c r="N6373" s="11" t="s">
        <v>50</v>
      </c>
      <c r="O6373" s="11" t="s">
        <v>742</v>
      </c>
      <c r="P6373" s="11" t="s">
        <v>52</v>
      </c>
      <c r="Q6373" s="20">
        <v>40921.0</v>
      </c>
      <c r="R6373" s="17">
        <f t="shared" si="2"/>
        <v>259.0369405</v>
      </c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>
        <f t="shared" si="8"/>
        <v>4</v>
      </c>
      <c r="AF6373" s="19">
        <f t="shared" si="13"/>
        <v>5</v>
      </c>
      <c r="AG6373" s="9"/>
      <c r="AH6373" s="9"/>
      <c r="AI6373" s="9"/>
    </row>
    <row r="6374" ht="15.0" customHeight="1">
      <c r="A6374" s="11">
        <v>6373.0</v>
      </c>
      <c r="B6374" s="12">
        <f t="shared" si="1022"/>
        <v>40920</v>
      </c>
      <c r="C6374" s="13">
        <v>2012.0</v>
      </c>
      <c r="D6374" s="11" t="s">
        <v>39</v>
      </c>
      <c r="E6374" s="11">
        <v>11.0</v>
      </c>
      <c r="F6374" s="21" t="s">
        <v>2332</v>
      </c>
      <c r="G6374" s="15">
        <v>0.07979017117614587</v>
      </c>
      <c r="H6374" s="11" t="s">
        <v>33</v>
      </c>
      <c r="I6374" s="16">
        <v>4.4</v>
      </c>
      <c r="J6374" s="11" t="s">
        <v>64</v>
      </c>
      <c r="K6374" s="11" t="s">
        <v>65</v>
      </c>
      <c r="L6374" s="11" t="s">
        <v>48</v>
      </c>
      <c r="M6374" s="11" t="s">
        <v>66</v>
      </c>
      <c r="N6374" s="11" t="s">
        <v>67</v>
      </c>
      <c r="O6374" s="11" t="s">
        <v>2333</v>
      </c>
      <c r="P6374" s="11" t="s">
        <v>38</v>
      </c>
      <c r="Q6374" s="20">
        <v>40921.0</v>
      </c>
      <c r="R6374" s="17">
        <f t="shared" si="2"/>
        <v>26.59406405</v>
      </c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>
        <f t="shared" si="8"/>
        <v>4</v>
      </c>
      <c r="AF6374" s="19">
        <f t="shared" si="13"/>
        <v>5</v>
      </c>
      <c r="AG6374" s="9"/>
      <c r="AH6374" s="9"/>
      <c r="AI6374" s="9"/>
    </row>
    <row r="6375" ht="15.0" customHeight="1">
      <c r="A6375" s="11">
        <v>6374.0</v>
      </c>
      <c r="B6375" s="12">
        <f t="shared" si="1022"/>
        <v>40920</v>
      </c>
      <c r="C6375" s="13">
        <v>2012.0</v>
      </c>
      <c r="D6375" s="11" t="s">
        <v>39</v>
      </c>
      <c r="E6375" s="11">
        <v>27.0</v>
      </c>
      <c r="F6375" s="21" t="s">
        <v>126</v>
      </c>
      <c r="G6375" s="15">
        <v>0.025708245243128935</v>
      </c>
      <c r="H6375" s="11" t="s">
        <v>33</v>
      </c>
      <c r="I6375" s="16">
        <v>5.952000000000001</v>
      </c>
      <c r="J6375" s="11" t="s">
        <v>64</v>
      </c>
      <c r="K6375" s="11" t="s">
        <v>65</v>
      </c>
      <c r="L6375" s="11" t="s">
        <v>48</v>
      </c>
      <c r="M6375" s="11" t="s">
        <v>28</v>
      </c>
      <c r="N6375" s="11" t="s">
        <v>56</v>
      </c>
      <c r="O6375" s="11" t="s">
        <v>1230</v>
      </c>
      <c r="P6375" s="11" t="s">
        <v>38</v>
      </c>
      <c r="Q6375" s="20">
        <v>40922.0</v>
      </c>
      <c r="R6375" s="17">
        <f t="shared" si="2"/>
        <v>3.554216321</v>
      </c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>
        <f t="shared" si="8"/>
        <v>4</v>
      </c>
      <c r="AF6375" s="19">
        <f t="shared" si="13"/>
        <v>5</v>
      </c>
      <c r="AG6375" s="9"/>
      <c r="AH6375" s="9"/>
      <c r="AI6375" s="9"/>
    </row>
    <row r="6376" ht="15.0" customHeight="1">
      <c r="A6376" s="11">
        <v>6375.0</v>
      </c>
      <c r="B6376" s="12">
        <f t="shared" si="1022"/>
        <v>40920</v>
      </c>
      <c r="C6376" s="13">
        <v>2012.0</v>
      </c>
      <c r="D6376" s="11" t="s">
        <v>32</v>
      </c>
      <c r="E6376" s="11">
        <v>12.0</v>
      </c>
      <c r="F6376" s="21" t="s">
        <v>290</v>
      </c>
      <c r="G6376" s="15">
        <v>0.08493738819320198</v>
      </c>
      <c r="H6376" s="11" t="s">
        <v>33</v>
      </c>
      <c r="I6376" s="16">
        <v>0.752</v>
      </c>
      <c r="J6376" s="11" t="s">
        <v>232</v>
      </c>
      <c r="K6376" s="11" t="s">
        <v>47</v>
      </c>
      <c r="L6376" s="11" t="s">
        <v>41</v>
      </c>
      <c r="M6376" s="11" t="s">
        <v>28</v>
      </c>
      <c r="N6376" s="11" t="s">
        <v>62</v>
      </c>
      <c r="O6376" s="11" t="s">
        <v>291</v>
      </c>
      <c r="P6376" s="11" t="s">
        <v>58</v>
      </c>
      <c r="Q6376" s="20">
        <v>40922.0</v>
      </c>
      <c r="R6376" s="17">
        <f t="shared" si="2"/>
        <v>4.344717281</v>
      </c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>
        <f t="shared" si="8"/>
        <v>3</v>
      </c>
      <c r="AF6376" s="19">
        <f t="shared" si="13"/>
        <v>3</v>
      </c>
      <c r="AG6376" s="9"/>
      <c r="AH6376" s="9"/>
      <c r="AI6376" s="9"/>
    </row>
    <row r="6377" ht="15.0" customHeight="1">
      <c r="A6377" s="11">
        <v>6376.0</v>
      </c>
      <c r="B6377" s="12">
        <f t="shared" si="1022"/>
        <v>40920</v>
      </c>
      <c r="C6377" s="13">
        <v>2012.0</v>
      </c>
      <c r="D6377" s="11" t="s">
        <v>32</v>
      </c>
      <c r="E6377" s="11">
        <v>2.0</v>
      </c>
      <c r="F6377" s="21" t="s">
        <v>322</v>
      </c>
      <c r="G6377" s="15">
        <v>0.034876847290640486</v>
      </c>
      <c r="H6377" s="11" t="s">
        <v>33</v>
      </c>
      <c r="I6377" s="16">
        <v>2.3920000000000003</v>
      </c>
      <c r="J6377" s="11" t="s">
        <v>1349</v>
      </c>
      <c r="K6377" s="11" t="s">
        <v>61</v>
      </c>
      <c r="L6377" s="11" t="s">
        <v>36</v>
      </c>
      <c r="M6377" s="11" t="s">
        <v>28</v>
      </c>
      <c r="N6377" s="11" t="s">
        <v>42</v>
      </c>
      <c r="O6377" s="11" t="s">
        <v>2146</v>
      </c>
      <c r="P6377" s="11" t="s">
        <v>38</v>
      </c>
      <c r="Q6377" s="20">
        <v>40922.0</v>
      </c>
      <c r="R6377" s="17">
        <f t="shared" si="2"/>
        <v>0.6833071921</v>
      </c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>
        <f t="shared" si="8"/>
        <v>2</v>
      </c>
      <c r="AF6377" s="19">
        <f t="shared" si="13"/>
        <v>4</v>
      </c>
      <c r="AG6377" s="9"/>
      <c r="AH6377" s="9"/>
      <c r="AI6377" s="9"/>
    </row>
    <row r="6378" ht="15.0" customHeight="1">
      <c r="A6378" s="11">
        <v>6377.0</v>
      </c>
      <c r="B6378" s="12">
        <f t="shared" si="1022"/>
        <v>40920</v>
      </c>
      <c r="C6378" s="13">
        <v>2012.0</v>
      </c>
      <c r="D6378" s="11" t="s">
        <v>39</v>
      </c>
      <c r="E6378" s="11">
        <v>20.0</v>
      </c>
      <c r="F6378" s="21" t="s">
        <v>1136</v>
      </c>
      <c r="G6378" s="15">
        <v>0.08015064420218034</v>
      </c>
      <c r="H6378" s="11" t="s">
        <v>33</v>
      </c>
      <c r="I6378" s="16">
        <v>6.064</v>
      </c>
      <c r="J6378" s="11" t="s">
        <v>1349</v>
      </c>
      <c r="K6378" s="11" t="s">
        <v>61</v>
      </c>
      <c r="L6378" s="11" t="s">
        <v>36</v>
      </c>
      <c r="M6378" s="11" t="s">
        <v>49</v>
      </c>
      <c r="N6378" s="11" t="s">
        <v>73</v>
      </c>
      <c r="O6378" s="11" t="s">
        <v>2284</v>
      </c>
      <c r="P6378" s="11" t="s">
        <v>38</v>
      </c>
      <c r="Q6378" s="20">
        <v>40922.0</v>
      </c>
      <c r="R6378" s="17">
        <f t="shared" si="2"/>
        <v>37.19502855</v>
      </c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>
        <f t="shared" si="8"/>
        <v>2</v>
      </c>
      <c r="AF6378" s="19">
        <f t="shared" si="13"/>
        <v>4</v>
      </c>
      <c r="AG6378" s="9"/>
      <c r="AH6378" s="9"/>
      <c r="AI6378" s="9"/>
    </row>
    <row r="6379" ht="15.0" customHeight="1">
      <c r="A6379" s="11">
        <v>6378.0</v>
      </c>
      <c r="B6379" s="12">
        <f t="shared" ref="B6379:B6385" si="1023">DATE(2012,12,31)-353</f>
        <v>40921</v>
      </c>
      <c r="C6379" s="13">
        <v>2012.0</v>
      </c>
      <c r="D6379" s="11" t="s">
        <v>32</v>
      </c>
      <c r="E6379" s="11">
        <v>35.0</v>
      </c>
      <c r="F6379" s="21" t="s">
        <v>158</v>
      </c>
      <c r="G6379" s="15">
        <v>0.07316363636363638</v>
      </c>
      <c r="H6379" s="11" t="s">
        <v>33</v>
      </c>
      <c r="I6379" s="16">
        <v>5.392</v>
      </c>
      <c r="J6379" s="11" t="s">
        <v>1753</v>
      </c>
      <c r="K6379" s="11" t="s">
        <v>65</v>
      </c>
      <c r="L6379" s="11" t="s">
        <v>48</v>
      </c>
      <c r="M6379" s="11" t="s">
        <v>28</v>
      </c>
      <c r="N6379" s="11" t="s">
        <v>56</v>
      </c>
      <c r="O6379" s="11" t="s">
        <v>2590</v>
      </c>
      <c r="P6379" s="11" t="s">
        <v>38</v>
      </c>
      <c r="Q6379" s="20">
        <v>40922.0</v>
      </c>
      <c r="R6379" s="17">
        <f t="shared" si="2"/>
        <v>16.78315287</v>
      </c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>
        <f t="shared" si="8"/>
        <v>4</v>
      </c>
      <c r="AF6379" s="19">
        <f t="shared" si="13"/>
        <v>5</v>
      </c>
      <c r="AG6379" s="9"/>
      <c r="AH6379" s="9"/>
      <c r="AI6379" s="9"/>
    </row>
    <row r="6380" ht="15.0" customHeight="1">
      <c r="A6380" s="11">
        <v>6379.0</v>
      </c>
      <c r="B6380" s="12">
        <f t="shared" si="1023"/>
        <v>40921</v>
      </c>
      <c r="C6380" s="13">
        <v>2012.0</v>
      </c>
      <c r="D6380" s="11" t="s">
        <v>32</v>
      </c>
      <c r="E6380" s="11">
        <v>46.0</v>
      </c>
      <c r="F6380" s="21" t="s">
        <v>128</v>
      </c>
      <c r="G6380" s="15">
        <v>0.08346344162516788</v>
      </c>
      <c r="H6380" s="11" t="s">
        <v>33</v>
      </c>
      <c r="I6380" s="16">
        <v>6.152000000000001</v>
      </c>
      <c r="J6380" s="11" t="s">
        <v>1753</v>
      </c>
      <c r="K6380" s="11" t="s">
        <v>65</v>
      </c>
      <c r="L6380" s="11" t="s">
        <v>48</v>
      </c>
      <c r="M6380" s="11" t="s">
        <v>66</v>
      </c>
      <c r="N6380" s="11" t="s">
        <v>80</v>
      </c>
      <c r="O6380" s="11" t="s">
        <v>589</v>
      </c>
      <c r="P6380" s="11" t="s">
        <v>38</v>
      </c>
      <c r="Q6380" s="20">
        <v>40923.0</v>
      </c>
      <c r="R6380" s="17">
        <f t="shared" si="2"/>
        <v>483.8836429</v>
      </c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>
        <f t="shared" si="8"/>
        <v>4</v>
      </c>
      <c r="AF6380" s="19">
        <f t="shared" si="13"/>
        <v>5</v>
      </c>
      <c r="AG6380" s="9"/>
      <c r="AH6380" s="9"/>
      <c r="AI6380" s="9"/>
    </row>
    <row r="6381" ht="15.0" customHeight="1">
      <c r="A6381" s="11">
        <v>6380.0</v>
      </c>
      <c r="B6381" s="12">
        <f t="shared" si="1023"/>
        <v>40921</v>
      </c>
      <c r="C6381" s="13">
        <v>2012.0</v>
      </c>
      <c r="D6381" s="11" t="s">
        <v>39</v>
      </c>
      <c r="E6381" s="11">
        <v>30.0</v>
      </c>
      <c r="F6381" s="21" t="s">
        <v>455</v>
      </c>
      <c r="G6381" s="15">
        <v>0.06901305483028725</v>
      </c>
      <c r="H6381" s="11" t="s">
        <v>33</v>
      </c>
      <c r="I6381" s="16">
        <v>5.5680000000000005</v>
      </c>
      <c r="J6381" s="11" t="s">
        <v>491</v>
      </c>
      <c r="K6381" s="11" t="s">
        <v>47</v>
      </c>
      <c r="L6381" s="11" t="s">
        <v>48</v>
      </c>
      <c r="M6381" s="11" t="s">
        <v>28</v>
      </c>
      <c r="N6381" s="11" t="s">
        <v>197</v>
      </c>
      <c r="O6381" s="11" t="s">
        <v>457</v>
      </c>
      <c r="P6381" s="11" t="s">
        <v>75</v>
      </c>
      <c r="Q6381" s="20">
        <v>40923.0</v>
      </c>
      <c r="R6381" s="17">
        <f t="shared" si="2"/>
        <v>24.60784693</v>
      </c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>
        <f t="shared" si="8"/>
        <v>4</v>
      </c>
      <c r="AF6381" s="19">
        <f t="shared" si="13"/>
        <v>3</v>
      </c>
      <c r="AG6381" s="9"/>
      <c r="AH6381" s="9"/>
      <c r="AI6381" s="9"/>
    </row>
    <row r="6382" ht="15.0" customHeight="1">
      <c r="A6382" s="11">
        <v>6381.0</v>
      </c>
      <c r="B6382" s="12">
        <f t="shared" si="1023"/>
        <v>40921</v>
      </c>
      <c r="C6382" s="13">
        <v>2012.0</v>
      </c>
      <c r="D6382" s="11" t="s">
        <v>23</v>
      </c>
      <c r="E6382" s="11">
        <v>31.0</v>
      </c>
      <c r="F6382" s="21" t="s">
        <v>1195</v>
      </c>
      <c r="G6382" s="15">
        <v>0.056018465089440264</v>
      </c>
      <c r="H6382" s="11" t="s">
        <v>33</v>
      </c>
      <c r="I6382" s="16">
        <v>2.3920000000000003</v>
      </c>
      <c r="J6382" s="11" t="s">
        <v>1152</v>
      </c>
      <c r="K6382" s="11" t="s">
        <v>65</v>
      </c>
      <c r="L6382" s="11" t="s">
        <v>48</v>
      </c>
      <c r="M6382" s="11" t="s">
        <v>28</v>
      </c>
      <c r="N6382" s="11" t="s">
        <v>42</v>
      </c>
      <c r="O6382" s="11" t="s">
        <v>2199</v>
      </c>
      <c r="P6382" s="11" t="s">
        <v>38</v>
      </c>
      <c r="Q6382" s="20">
        <v>40923.0</v>
      </c>
      <c r="R6382" s="17">
        <f t="shared" si="2"/>
        <v>9.164172741</v>
      </c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>
        <f t="shared" si="8"/>
        <v>4</v>
      </c>
      <c r="AF6382" s="19">
        <f t="shared" si="13"/>
        <v>5</v>
      </c>
      <c r="AG6382" s="9"/>
      <c r="AH6382" s="9"/>
      <c r="AI6382" s="9"/>
    </row>
    <row r="6383" ht="15.0" customHeight="1">
      <c r="A6383" s="11">
        <v>6382.0</v>
      </c>
      <c r="B6383" s="12">
        <f t="shared" si="1023"/>
        <v>40921</v>
      </c>
      <c r="C6383" s="13">
        <v>2012.0</v>
      </c>
      <c r="D6383" s="11" t="s">
        <v>23</v>
      </c>
      <c r="E6383" s="11">
        <v>47.0</v>
      </c>
      <c r="F6383" s="21" t="s">
        <v>822</v>
      </c>
      <c r="G6383" s="15">
        <v>0.010186359660720486</v>
      </c>
      <c r="H6383" s="11" t="s">
        <v>45</v>
      </c>
      <c r="I6383" s="16">
        <v>13.304</v>
      </c>
      <c r="J6383" s="11" t="s">
        <v>1152</v>
      </c>
      <c r="K6383" s="11" t="s">
        <v>65</v>
      </c>
      <c r="L6383" s="11" t="s">
        <v>48</v>
      </c>
      <c r="M6383" s="11" t="s">
        <v>66</v>
      </c>
      <c r="N6383" s="11" t="s">
        <v>69</v>
      </c>
      <c r="O6383" s="11" t="s">
        <v>824</v>
      </c>
      <c r="P6383" s="11" t="s">
        <v>87</v>
      </c>
      <c r="Q6383" s="20">
        <v>40923.0</v>
      </c>
      <c r="R6383" s="17">
        <f t="shared" si="2"/>
        <v>247.8453763</v>
      </c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>
        <f t="shared" si="8"/>
        <v>4</v>
      </c>
      <c r="AF6383" s="19">
        <f t="shared" si="13"/>
        <v>5</v>
      </c>
      <c r="AG6383" s="9"/>
      <c r="AH6383" s="9"/>
      <c r="AI6383" s="9"/>
    </row>
    <row r="6384" ht="15.0" customHeight="1">
      <c r="A6384" s="11">
        <v>6383.0</v>
      </c>
      <c r="B6384" s="12">
        <f t="shared" si="1023"/>
        <v>40921</v>
      </c>
      <c r="C6384" s="13">
        <v>2012.0</v>
      </c>
      <c r="D6384" s="11" t="s">
        <v>23</v>
      </c>
      <c r="E6384" s="11">
        <v>21.0</v>
      </c>
      <c r="F6384" s="21" t="s">
        <v>369</v>
      </c>
      <c r="G6384" s="15">
        <v>0.07143218134522471</v>
      </c>
      <c r="H6384" s="11" t="s">
        <v>45</v>
      </c>
      <c r="I6384" s="16">
        <v>29.288</v>
      </c>
      <c r="J6384" s="11" t="s">
        <v>1152</v>
      </c>
      <c r="K6384" s="11" t="s">
        <v>65</v>
      </c>
      <c r="L6384" s="11" t="s">
        <v>48</v>
      </c>
      <c r="M6384" s="11" t="s">
        <v>49</v>
      </c>
      <c r="N6384" s="11" t="s">
        <v>156</v>
      </c>
      <c r="O6384" s="11" t="s">
        <v>1885</v>
      </c>
      <c r="P6384" s="11" t="s">
        <v>87</v>
      </c>
      <c r="Q6384" s="20">
        <v>40923.0</v>
      </c>
      <c r="R6384" s="17">
        <f t="shared" si="2"/>
        <v>89.24651019</v>
      </c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>
        <f t="shared" si="8"/>
        <v>4</v>
      </c>
      <c r="AF6384" s="19">
        <f t="shared" si="13"/>
        <v>5</v>
      </c>
      <c r="AG6384" s="9"/>
      <c r="AH6384" s="9"/>
      <c r="AI6384" s="9"/>
    </row>
    <row r="6385" ht="15.0" customHeight="1">
      <c r="A6385" s="11">
        <v>6384.0</v>
      </c>
      <c r="B6385" s="12">
        <f t="shared" si="1023"/>
        <v>40921</v>
      </c>
      <c r="C6385" s="13">
        <v>2012.0</v>
      </c>
      <c r="D6385" s="11" t="s">
        <v>23</v>
      </c>
      <c r="E6385" s="11">
        <v>17.0</v>
      </c>
      <c r="F6385" s="21" t="s">
        <v>469</v>
      </c>
      <c r="G6385" s="15">
        <v>0.07401516704242678</v>
      </c>
      <c r="H6385" s="11" t="s">
        <v>45</v>
      </c>
      <c r="I6385" s="16">
        <v>11.488</v>
      </c>
      <c r="J6385" s="11" t="s">
        <v>1152</v>
      </c>
      <c r="K6385" s="11" t="s">
        <v>65</v>
      </c>
      <c r="L6385" s="11" t="s">
        <v>48</v>
      </c>
      <c r="M6385" s="11" t="s">
        <v>49</v>
      </c>
      <c r="N6385" s="11" t="s">
        <v>50</v>
      </c>
      <c r="O6385" s="11" t="s">
        <v>470</v>
      </c>
      <c r="P6385" s="11" t="s">
        <v>52</v>
      </c>
      <c r="Q6385" s="20">
        <v>40924.0</v>
      </c>
      <c r="R6385" s="17">
        <f t="shared" si="2"/>
        <v>33.43916429</v>
      </c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>
        <f t="shared" si="8"/>
        <v>4</v>
      </c>
      <c r="AF6385" s="19">
        <f t="shared" si="13"/>
        <v>5</v>
      </c>
      <c r="AG6385" s="9"/>
      <c r="AH6385" s="9"/>
      <c r="AI6385" s="9"/>
    </row>
    <row r="6386" ht="15.0" customHeight="1">
      <c r="A6386" s="11">
        <v>6385.0</v>
      </c>
      <c r="B6386" s="12">
        <f>DATE(2012,12,31)-352</f>
        <v>40922</v>
      </c>
      <c r="C6386" s="13">
        <v>2012.0</v>
      </c>
      <c r="D6386" s="11" t="s">
        <v>23</v>
      </c>
      <c r="E6386" s="11">
        <v>38.0</v>
      </c>
      <c r="F6386" s="21" t="s">
        <v>1452</v>
      </c>
      <c r="G6386" s="15">
        <v>0.010663910716450661</v>
      </c>
      <c r="H6386" s="11" t="s">
        <v>45</v>
      </c>
      <c r="I6386" s="16">
        <v>39.2</v>
      </c>
      <c r="J6386" s="11" t="s">
        <v>1951</v>
      </c>
      <c r="K6386" s="11" t="s">
        <v>61</v>
      </c>
      <c r="L6386" s="11" t="s">
        <v>36</v>
      </c>
      <c r="M6386" s="11" t="s">
        <v>66</v>
      </c>
      <c r="N6386" s="11" t="s">
        <v>170</v>
      </c>
      <c r="O6386" s="11" t="s">
        <v>1453</v>
      </c>
      <c r="P6386" s="11" t="s">
        <v>52</v>
      </c>
      <c r="Q6386" s="20">
        <v>40924.0</v>
      </c>
      <c r="R6386" s="17">
        <f t="shared" si="2"/>
        <v>182.7303757</v>
      </c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>
        <f t="shared" si="8"/>
        <v>2</v>
      </c>
      <c r="AF6386" s="19">
        <f t="shared" si="13"/>
        <v>4</v>
      </c>
      <c r="AG6386" s="9"/>
      <c r="AH6386" s="9"/>
      <c r="AI6386" s="9"/>
    </row>
    <row r="6387" ht="15.0" customHeight="1">
      <c r="A6387" s="11">
        <v>6386.0</v>
      </c>
      <c r="B6387" s="12">
        <f t="shared" ref="B6387:B6389" si="1024">DATE(2012,12,31)-351</f>
        <v>40923</v>
      </c>
      <c r="C6387" s="13">
        <v>2012.0</v>
      </c>
      <c r="D6387" s="11" t="s">
        <v>39</v>
      </c>
      <c r="E6387" s="11">
        <v>42.0</v>
      </c>
      <c r="F6387" s="21" t="s">
        <v>632</v>
      </c>
      <c r="G6387" s="15">
        <v>0.0442456608811748</v>
      </c>
      <c r="H6387" s="11" t="s">
        <v>33</v>
      </c>
      <c r="I6387" s="16">
        <v>4.944</v>
      </c>
      <c r="J6387" s="11" t="s">
        <v>2315</v>
      </c>
      <c r="K6387" s="11" t="s">
        <v>26</v>
      </c>
      <c r="L6387" s="11" t="s">
        <v>36</v>
      </c>
      <c r="M6387" s="11" t="s">
        <v>28</v>
      </c>
      <c r="N6387" s="11" t="s">
        <v>56</v>
      </c>
      <c r="O6387" s="11" t="s">
        <v>2378</v>
      </c>
      <c r="P6387" s="11" t="s">
        <v>38</v>
      </c>
      <c r="Q6387" s="20">
        <v>40924.0</v>
      </c>
      <c r="R6387" s="17">
        <f t="shared" si="2"/>
        <v>12.66947952</v>
      </c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>
        <f t="shared" si="8"/>
        <v>2</v>
      </c>
      <c r="AF6387" s="19">
        <f t="shared" si="13"/>
        <v>1</v>
      </c>
      <c r="AG6387" s="9"/>
      <c r="AH6387" s="9"/>
      <c r="AI6387" s="9"/>
    </row>
    <row r="6388" ht="15.0" customHeight="1">
      <c r="A6388" s="11">
        <v>6387.0</v>
      </c>
      <c r="B6388" s="12">
        <f t="shared" si="1024"/>
        <v>40923</v>
      </c>
      <c r="C6388" s="13">
        <v>2012.0</v>
      </c>
      <c r="D6388" s="11" t="s">
        <v>102</v>
      </c>
      <c r="E6388" s="11">
        <v>48.0</v>
      </c>
      <c r="F6388" s="21" t="s">
        <v>1091</v>
      </c>
      <c r="G6388" s="15">
        <v>0.07563853459972877</v>
      </c>
      <c r="H6388" s="11" t="s">
        <v>33</v>
      </c>
      <c r="I6388" s="16">
        <v>3.936</v>
      </c>
      <c r="J6388" s="11" t="s">
        <v>803</v>
      </c>
      <c r="K6388" s="11" t="s">
        <v>61</v>
      </c>
      <c r="L6388" s="11" t="s">
        <v>36</v>
      </c>
      <c r="M6388" s="11" t="s">
        <v>28</v>
      </c>
      <c r="N6388" s="11" t="s">
        <v>56</v>
      </c>
      <c r="O6388" s="11" t="s">
        <v>2184</v>
      </c>
      <c r="P6388" s="11" t="s">
        <v>38</v>
      </c>
      <c r="Q6388" s="20">
        <v>40925.0</v>
      </c>
      <c r="R6388" s="17">
        <f t="shared" si="2"/>
        <v>128.8227113</v>
      </c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>
        <f t="shared" si="8"/>
        <v>2</v>
      </c>
      <c r="AF6388" s="19">
        <f t="shared" si="13"/>
        <v>4</v>
      </c>
      <c r="AG6388" s="9"/>
      <c r="AH6388" s="9"/>
      <c r="AI6388" s="9"/>
    </row>
    <row r="6389" ht="15.0" customHeight="1">
      <c r="A6389" s="11">
        <v>6388.0</v>
      </c>
      <c r="B6389" s="12">
        <f t="shared" si="1024"/>
        <v>40923</v>
      </c>
      <c r="C6389" s="13">
        <v>2012.0</v>
      </c>
      <c r="D6389" s="11" t="s">
        <v>102</v>
      </c>
      <c r="E6389" s="11">
        <v>30.0</v>
      </c>
      <c r="F6389" s="21" t="s">
        <v>1659</v>
      </c>
      <c r="G6389" s="15">
        <v>0.0838063986874488</v>
      </c>
      <c r="H6389" s="11" t="s">
        <v>33</v>
      </c>
      <c r="I6389" s="16">
        <v>1.368</v>
      </c>
      <c r="J6389" s="11" t="s">
        <v>803</v>
      </c>
      <c r="K6389" s="11" t="s">
        <v>61</v>
      </c>
      <c r="L6389" s="11" t="s">
        <v>36</v>
      </c>
      <c r="M6389" s="11" t="s">
        <v>28</v>
      </c>
      <c r="N6389" s="11" t="s">
        <v>56</v>
      </c>
      <c r="O6389" s="11" t="s">
        <v>2342</v>
      </c>
      <c r="P6389" s="11" t="s">
        <v>58</v>
      </c>
      <c r="Q6389" s="20">
        <v>40925.0</v>
      </c>
      <c r="R6389" s="17">
        <f t="shared" si="2"/>
        <v>18.71966766</v>
      </c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>
        <f t="shared" si="8"/>
        <v>2</v>
      </c>
      <c r="AF6389" s="19">
        <f t="shared" si="13"/>
        <v>4</v>
      </c>
      <c r="AG6389" s="9"/>
      <c r="AH6389" s="9"/>
      <c r="AI6389" s="9"/>
    </row>
    <row r="6390" ht="15.0" customHeight="1">
      <c r="A6390" s="11">
        <v>6389.0</v>
      </c>
      <c r="B6390" s="12">
        <f t="shared" ref="B6390:B6396" si="1025">DATE(2012,12,31)-350</f>
        <v>40924</v>
      </c>
      <c r="C6390" s="13">
        <v>2012.0</v>
      </c>
      <c r="D6390" s="11" t="s">
        <v>102</v>
      </c>
      <c r="E6390" s="11">
        <v>29.0</v>
      </c>
      <c r="F6390" s="21" t="s">
        <v>151</v>
      </c>
      <c r="G6390" s="15">
        <v>0.0329670329670328</v>
      </c>
      <c r="H6390" s="11" t="s">
        <v>33</v>
      </c>
      <c r="I6390" s="16">
        <v>4.0</v>
      </c>
      <c r="J6390" s="11" t="s">
        <v>1205</v>
      </c>
      <c r="K6390" s="11" t="s">
        <v>61</v>
      </c>
      <c r="L6390" s="11" t="s">
        <v>36</v>
      </c>
      <c r="M6390" s="11" t="s">
        <v>28</v>
      </c>
      <c r="N6390" s="11" t="s">
        <v>62</v>
      </c>
      <c r="O6390" s="11" t="s">
        <v>2132</v>
      </c>
      <c r="P6390" s="11" t="s">
        <v>58</v>
      </c>
      <c r="Q6390" s="20">
        <v>40925.0</v>
      </c>
      <c r="R6390" s="17">
        <f t="shared" si="2"/>
        <v>3.191208791</v>
      </c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>
        <f t="shared" si="8"/>
        <v>2</v>
      </c>
      <c r="AF6390" s="19">
        <f t="shared" si="13"/>
        <v>4</v>
      </c>
      <c r="AG6390" s="9"/>
      <c r="AH6390" s="9"/>
      <c r="AI6390" s="9"/>
    </row>
    <row r="6391" ht="15.0" customHeight="1">
      <c r="A6391" s="11">
        <v>6390.0</v>
      </c>
      <c r="B6391" s="12">
        <f t="shared" si="1025"/>
        <v>40924</v>
      </c>
      <c r="C6391" s="13">
        <v>2012.0</v>
      </c>
      <c r="D6391" s="11" t="s">
        <v>44</v>
      </c>
      <c r="E6391" s="11">
        <v>33.0</v>
      </c>
      <c r="F6391" s="21" t="s">
        <v>115</v>
      </c>
      <c r="G6391" s="15">
        <v>0.08358225381176197</v>
      </c>
      <c r="H6391" s="11" t="s">
        <v>33</v>
      </c>
      <c r="I6391" s="16">
        <v>7.256</v>
      </c>
      <c r="J6391" s="11" t="s">
        <v>1550</v>
      </c>
      <c r="K6391" s="11" t="s">
        <v>61</v>
      </c>
      <c r="L6391" s="11" t="s">
        <v>27</v>
      </c>
      <c r="M6391" s="11" t="s">
        <v>28</v>
      </c>
      <c r="N6391" s="11" t="s">
        <v>42</v>
      </c>
      <c r="O6391" s="11" t="s">
        <v>772</v>
      </c>
      <c r="P6391" s="11" t="s">
        <v>38</v>
      </c>
      <c r="Q6391" s="20">
        <v>40925.0</v>
      </c>
      <c r="R6391" s="17">
        <f t="shared" si="2"/>
        <v>334.0745909</v>
      </c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>
        <f t="shared" si="8"/>
        <v>1</v>
      </c>
      <c r="AF6391" s="19">
        <f t="shared" si="13"/>
        <v>4</v>
      </c>
      <c r="AG6391" s="9"/>
      <c r="AH6391" s="9"/>
      <c r="AI6391" s="9"/>
    </row>
    <row r="6392" ht="15.0" customHeight="1">
      <c r="A6392" s="11">
        <v>6391.0</v>
      </c>
      <c r="B6392" s="12">
        <f t="shared" si="1025"/>
        <v>40924</v>
      </c>
      <c r="C6392" s="13">
        <v>2012.0</v>
      </c>
      <c r="D6392" s="11" t="s">
        <v>32</v>
      </c>
      <c r="E6392" s="11">
        <v>5.0</v>
      </c>
      <c r="F6392" s="21" t="s">
        <v>280</v>
      </c>
      <c r="G6392" s="15">
        <v>0.0249820645675568</v>
      </c>
      <c r="H6392" s="11" t="s">
        <v>33</v>
      </c>
      <c r="I6392" s="16">
        <v>4.632000000000001</v>
      </c>
      <c r="J6392" s="11" t="s">
        <v>1975</v>
      </c>
      <c r="K6392" s="11" t="s">
        <v>26</v>
      </c>
      <c r="L6392" s="11" t="s">
        <v>27</v>
      </c>
      <c r="M6392" s="11" t="s">
        <v>28</v>
      </c>
      <c r="N6392" s="11" t="s">
        <v>56</v>
      </c>
      <c r="O6392" s="11" t="s">
        <v>1430</v>
      </c>
      <c r="P6392" s="11" t="s">
        <v>38</v>
      </c>
      <c r="Q6392" s="20">
        <v>40926.0</v>
      </c>
      <c r="R6392" s="17">
        <f t="shared" si="2"/>
        <v>6.111412419</v>
      </c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>
        <f t="shared" si="8"/>
        <v>1</v>
      </c>
      <c r="AF6392" s="19">
        <f t="shared" si="13"/>
        <v>1</v>
      </c>
      <c r="AG6392" s="9"/>
      <c r="AH6392" s="9"/>
      <c r="AI6392" s="9"/>
    </row>
    <row r="6393" ht="15.0" customHeight="1">
      <c r="A6393" s="11">
        <v>6392.0</v>
      </c>
      <c r="B6393" s="12">
        <f t="shared" si="1025"/>
        <v>40924</v>
      </c>
      <c r="C6393" s="13">
        <v>2012.0</v>
      </c>
      <c r="D6393" s="11" t="s">
        <v>32</v>
      </c>
      <c r="E6393" s="11">
        <v>14.0</v>
      </c>
      <c r="F6393" s="21" t="s">
        <v>758</v>
      </c>
      <c r="G6393" s="15">
        <v>0.08970331588132636</v>
      </c>
      <c r="H6393" s="11" t="s">
        <v>24</v>
      </c>
      <c r="I6393" s="16">
        <v>1.7600000000000002</v>
      </c>
      <c r="J6393" s="11" t="s">
        <v>1975</v>
      </c>
      <c r="K6393" s="11" t="s">
        <v>26</v>
      </c>
      <c r="L6393" s="11" t="s">
        <v>27</v>
      </c>
      <c r="M6393" s="11" t="s">
        <v>28</v>
      </c>
      <c r="N6393" s="11" t="s">
        <v>56</v>
      </c>
      <c r="O6393" s="11" t="s">
        <v>760</v>
      </c>
      <c r="P6393" s="11" t="s">
        <v>58</v>
      </c>
      <c r="Q6393" s="20">
        <v>40926.0</v>
      </c>
      <c r="R6393" s="17">
        <f t="shared" si="2"/>
        <v>4.678924956</v>
      </c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>
        <f t="shared" si="8"/>
        <v>1</v>
      </c>
      <c r="AF6393" s="19">
        <f t="shared" si="13"/>
        <v>1</v>
      </c>
      <c r="AG6393" s="9"/>
      <c r="AH6393" s="9"/>
      <c r="AI6393" s="9"/>
    </row>
    <row r="6394" ht="15.0" customHeight="1">
      <c r="A6394" s="11">
        <v>6393.0</v>
      </c>
      <c r="B6394" s="12">
        <f t="shared" si="1025"/>
        <v>40924</v>
      </c>
      <c r="C6394" s="13">
        <v>2012.0</v>
      </c>
      <c r="D6394" s="11" t="s">
        <v>102</v>
      </c>
      <c r="E6394" s="11">
        <v>24.0</v>
      </c>
      <c r="F6394" s="21" t="s">
        <v>186</v>
      </c>
      <c r="G6394" s="15">
        <v>0.028481880509304617</v>
      </c>
      <c r="H6394" s="11" t="s">
        <v>33</v>
      </c>
      <c r="I6394" s="16">
        <v>0.792</v>
      </c>
      <c r="J6394" s="11" t="s">
        <v>2495</v>
      </c>
      <c r="K6394" s="11" t="s">
        <v>61</v>
      </c>
      <c r="L6394" s="11" t="s">
        <v>41</v>
      </c>
      <c r="M6394" s="11" t="s">
        <v>28</v>
      </c>
      <c r="N6394" s="11" t="s">
        <v>188</v>
      </c>
      <c r="O6394" s="11" t="s">
        <v>189</v>
      </c>
      <c r="P6394" s="11" t="s">
        <v>38</v>
      </c>
      <c r="Q6394" s="20">
        <v>40926.0</v>
      </c>
      <c r="R6394" s="17">
        <f t="shared" si="2"/>
        <v>2.825174691</v>
      </c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>
        <f t="shared" si="8"/>
        <v>3</v>
      </c>
      <c r="AF6394" s="19">
        <f t="shared" si="13"/>
        <v>4</v>
      </c>
      <c r="AG6394" s="9"/>
      <c r="AH6394" s="9"/>
      <c r="AI6394" s="9"/>
    </row>
    <row r="6395" ht="15.0" customHeight="1">
      <c r="A6395" s="11">
        <v>6394.0</v>
      </c>
      <c r="B6395" s="12">
        <f t="shared" si="1025"/>
        <v>40924</v>
      </c>
      <c r="C6395" s="13">
        <v>2012.0</v>
      </c>
      <c r="D6395" s="11" t="s">
        <v>102</v>
      </c>
      <c r="E6395" s="11">
        <v>36.0</v>
      </c>
      <c r="F6395" s="21" t="s">
        <v>747</v>
      </c>
      <c r="G6395" s="15">
        <v>0.030301174068402135</v>
      </c>
      <c r="H6395" s="11" t="s">
        <v>33</v>
      </c>
      <c r="I6395" s="16">
        <v>5.5280000000000005</v>
      </c>
      <c r="J6395" s="11" t="s">
        <v>2495</v>
      </c>
      <c r="K6395" s="11" t="s">
        <v>61</v>
      </c>
      <c r="L6395" s="11" t="s">
        <v>41</v>
      </c>
      <c r="M6395" s="11" t="s">
        <v>28</v>
      </c>
      <c r="N6395" s="11" t="s">
        <v>29</v>
      </c>
      <c r="O6395" s="11" t="s">
        <v>2585</v>
      </c>
      <c r="P6395" s="11" t="s">
        <v>38</v>
      </c>
      <c r="Q6395" s="20">
        <v>40926.0</v>
      </c>
      <c r="R6395" s="17">
        <f t="shared" si="2"/>
        <v>11.51226446</v>
      </c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>
        <f t="shared" si="8"/>
        <v>3</v>
      </c>
      <c r="AF6395" s="19">
        <f t="shared" si="13"/>
        <v>4</v>
      </c>
      <c r="AG6395" s="9"/>
      <c r="AH6395" s="9"/>
      <c r="AI6395" s="9"/>
    </row>
    <row r="6396" ht="15.0" customHeight="1">
      <c r="A6396" s="11">
        <v>6395.0</v>
      </c>
      <c r="B6396" s="12">
        <f t="shared" si="1025"/>
        <v>40924</v>
      </c>
      <c r="C6396" s="13">
        <v>2012.0</v>
      </c>
      <c r="D6396" s="11" t="s">
        <v>39</v>
      </c>
      <c r="E6396" s="11">
        <v>43.0</v>
      </c>
      <c r="F6396" s="21" t="s">
        <v>304</v>
      </c>
      <c r="G6396" s="15">
        <v>0.05328101557991936</v>
      </c>
      <c r="H6396" s="11" t="s">
        <v>33</v>
      </c>
      <c r="I6396" s="16">
        <v>7.632</v>
      </c>
      <c r="J6396" s="11" t="s">
        <v>456</v>
      </c>
      <c r="K6396" s="11" t="s">
        <v>35</v>
      </c>
      <c r="L6396" s="11" t="s">
        <v>27</v>
      </c>
      <c r="M6396" s="11" t="s">
        <v>28</v>
      </c>
      <c r="N6396" s="11" t="s">
        <v>56</v>
      </c>
      <c r="O6396" s="11" t="s">
        <v>305</v>
      </c>
      <c r="P6396" s="11" t="s">
        <v>38</v>
      </c>
      <c r="Q6396" s="20">
        <v>40926.0</v>
      </c>
      <c r="R6396" s="17">
        <f t="shared" si="2"/>
        <v>43.70812207</v>
      </c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>
        <f t="shared" si="8"/>
        <v>1</v>
      </c>
      <c r="AF6396" s="19">
        <f t="shared" si="13"/>
        <v>2</v>
      </c>
      <c r="AG6396" s="9"/>
      <c r="AH6396" s="9"/>
      <c r="AI6396" s="9"/>
    </row>
    <row r="6397" ht="15.0" customHeight="1">
      <c r="A6397" s="11">
        <v>6396.0</v>
      </c>
      <c r="B6397" s="12">
        <f t="shared" ref="B6397:B6402" si="1026">DATE(2012,12,31)-348</f>
        <v>40926</v>
      </c>
      <c r="C6397" s="13">
        <v>2012.0</v>
      </c>
      <c r="D6397" s="11" t="s">
        <v>102</v>
      </c>
      <c r="E6397" s="11">
        <v>5.0</v>
      </c>
      <c r="F6397" s="21" t="s">
        <v>100</v>
      </c>
      <c r="G6397" s="15">
        <v>0.010741344586170562</v>
      </c>
      <c r="H6397" s="11" t="s">
        <v>33</v>
      </c>
      <c r="I6397" s="16">
        <v>2.0</v>
      </c>
      <c r="J6397" s="11" t="s">
        <v>960</v>
      </c>
      <c r="K6397" s="11" t="s">
        <v>65</v>
      </c>
      <c r="L6397" s="11" t="s">
        <v>36</v>
      </c>
      <c r="M6397" s="11" t="s">
        <v>66</v>
      </c>
      <c r="N6397" s="11" t="s">
        <v>80</v>
      </c>
      <c r="O6397" s="11" t="s">
        <v>478</v>
      </c>
      <c r="P6397" s="11" t="s">
        <v>38</v>
      </c>
      <c r="Q6397" s="20">
        <v>40927.0</v>
      </c>
      <c r="R6397" s="17">
        <f t="shared" si="2"/>
        <v>11.07969694</v>
      </c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>
        <f t="shared" si="8"/>
        <v>2</v>
      </c>
      <c r="AF6397" s="19">
        <f t="shared" si="13"/>
        <v>5</v>
      </c>
      <c r="AG6397" s="9"/>
      <c r="AH6397" s="9"/>
      <c r="AI6397" s="9"/>
    </row>
    <row r="6398" ht="15.0" customHeight="1">
      <c r="A6398" s="11">
        <v>6397.0</v>
      </c>
      <c r="B6398" s="12">
        <f t="shared" si="1026"/>
        <v>40926</v>
      </c>
      <c r="C6398" s="13">
        <v>2012.0</v>
      </c>
      <c r="D6398" s="11" t="s">
        <v>102</v>
      </c>
      <c r="E6398" s="11">
        <v>45.0</v>
      </c>
      <c r="F6398" s="21" t="s">
        <v>287</v>
      </c>
      <c r="G6398" s="15">
        <v>0.09171772733602572</v>
      </c>
      <c r="H6398" s="11" t="s">
        <v>33</v>
      </c>
      <c r="I6398" s="16">
        <v>2.4000000000000004</v>
      </c>
      <c r="J6398" s="11" t="s">
        <v>1168</v>
      </c>
      <c r="K6398" s="11" t="s">
        <v>61</v>
      </c>
      <c r="L6398" s="11" t="s">
        <v>36</v>
      </c>
      <c r="M6398" s="11" t="s">
        <v>66</v>
      </c>
      <c r="N6398" s="11" t="s">
        <v>80</v>
      </c>
      <c r="O6398" s="11" t="s">
        <v>2591</v>
      </c>
      <c r="P6398" s="11" t="s">
        <v>38</v>
      </c>
      <c r="Q6398" s="20">
        <v>40927.0</v>
      </c>
      <c r="R6398" s="17">
        <f t="shared" si="2"/>
        <v>478.5739295</v>
      </c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>
        <f t="shared" si="8"/>
        <v>2</v>
      </c>
      <c r="AF6398" s="19">
        <f t="shared" si="13"/>
        <v>4</v>
      </c>
      <c r="AG6398" s="9"/>
      <c r="AH6398" s="9"/>
      <c r="AI6398" s="9"/>
    </row>
    <row r="6399" ht="15.0" customHeight="1">
      <c r="A6399" s="11">
        <v>6398.0</v>
      </c>
      <c r="B6399" s="12">
        <f t="shared" si="1026"/>
        <v>40926</v>
      </c>
      <c r="C6399" s="13">
        <v>2012.0</v>
      </c>
      <c r="D6399" s="11" t="s">
        <v>44</v>
      </c>
      <c r="E6399" s="11">
        <v>17.0</v>
      </c>
      <c r="F6399" s="21" t="s">
        <v>573</v>
      </c>
      <c r="G6399" s="15">
        <v>0.09211146838156478</v>
      </c>
      <c r="H6399" s="11" t="s">
        <v>33</v>
      </c>
      <c r="I6399" s="16">
        <v>1.1119999999999999</v>
      </c>
      <c r="J6399" s="11" t="s">
        <v>2009</v>
      </c>
      <c r="K6399" s="11" t="s">
        <v>65</v>
      </c>
      <c r="L6399" s="11" t="s">
        <v>41</v>
      </c>
      <c r="M6399" s="11" t="s">
        <v>28</v>
      </c>
      <c r="N6399" s="11" t="s">
        <v>236</v>
      </c>
      <c r="O6399" s="11" t="s">
        <v>2289</v>
      </c>
      <c r="P6399" s="11" t="s">
        <v>38</v>
      </c>
      <c r="Q6399" s="20">
        <v>40928.0</v>
      </c>
      <c r="R6399" s="17">
        <f t="shared" si="2"/>
        <v>15.60478808</v>
      </c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>
        <f t="shared" si="8"/>
        <v>3</v>
      </c>
      <c r="AF6399" s="19">
        <f t="shared" si="13"/>
        <v>5</v>
      </c>
      <c r="AG6399" s="9"/>
      <c r="AH6399" s="9"/>
      <c r="AI6399" s="9"/>
    </row>
    <row r="6400" ht="15.0" customHeight="1">
      <c r="A6400" s="11">
        <v>6399.0</v>
      </c>
      <c r="B6400" s="12">
        <f t="shared" si="1026"/>
        <v>40926</v>
      </c>
      <c r="C6400" s="13">
        <v>2012.0</v>
      </c>
      <c r="D6400" s="11" t="s">
        <v>44</v>
      </c>
      <c r="E6400" s="11">
        <v>26.0</v>
      </c>
      <c r="F6400" s="21" t="s">
        <v>743</v>
      </c>
      <c r="G6400" s="15">
        <v>0.06882098507046193</v>
      </c>
      <c r="H6400" s="11" t="s">
        <v>45</v>
      </c>
      <c r="I6400" s="16">
        <v>11.352</v>
      </c>
      <c r="J6400" s="11" t="s">
        <v>2009</v>
      </c>
      <c r="K6400" s="11" t="s">
        <v>65</v>
      </c>
      <c r="L6400" s="11" t="s">
        <v>41</v>
      </c>
      <c r="M6400" s="11" t="s">
        <v>49</v>
      </c>
      <c r="N6400" s="11" t="s">
        <v>50</v>
      </c>
      <c r="O6400" s="11" t="s">
        <v>2249</v>
      </c>
      <c r="P6400" s="11" t="s">
        <v>52</v>
      </c>
      <c r="Q6400" s="20">
        <v>40928.0</v>
      </c>
      <c r="R6400" s="17">
        <f t="shared" si="2"/>
        <v>91.85894746</v>
      </c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>
        <f t="shared" si="8"/>
        <v>3</v>
      </c>
      <c r="AF6400" s="19">
        <f t="shared" si="13"/>
        <v>5</v>
      </c>
      <c r="AG6400" s="9"/>
      <c r="AH6400" s="9"/>
      <c r="AI6400" s="9"/>
    </row>
    <row r="6401" ht="15.0" customHeight="1">
      <c r="A6401" s="11">
        <v>6400.0</v>
      </c>
      <c r="B6401" s="12">
        <f t="shared" si="1026"/>
        <v>40926</v>
      </c>
      <c r="C6401" s="13">
        <v>2012.0</v>
      </c>
      <c r="D6401" s="11" t="s">
        <v>44</v>
      </c>
      <c r="E6401" s="11">
        <v>19.0</v>
      </c>
      <c r="F6401" s="21" t="s">
        <v>336</v>
      </c>
      <c r="G6401" s="15">
        <v>0.018033658104517285</v>
      </c>
      <c r="H6401" s="11" t="s">
        <v>33</v>
      </c>
      <c r="I6401" s="16">
        <v>0.664</v>
      </c>
      <c r="J6401" s="11" t="s">
        <v>2009</v>
      </c>
      <c r="K6401" s="11" t="s">
        <v>65</v>
      </c>
      <c r="L6401" s="11" t="s">
        <v>41</v>
      </c>
      <c r="M6401" s="11" t="s">
        <v>28</v>
      </c>
      <c r="N6401" s="11" t="s">
        <v>62</v>
      </c>
      <c r="O6401" s="11" t="s">
        <v>1341</v>
      </c>
      <c r="P6401" s="11" t="s">
        <v>58</v>
      </c>
      <c r="Q6401" s="20">
        <v>40928.0</v>
      </c>
      <c r="R6401" s="17">
        <f t="shared" si="2"/>
        <v>1.999283472</v>
      </c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>
        <f t="shared" si="8"/>
        <v>3</v>
      </c>
      <c r="AF6401" s="19">
        <f t="shared" si="13"/>
        <v>5</v>
      </c>
      <c r="AG6401" s="9"/>
      <c r="AH6401" s="9"/>
      <c r="AI6401" s="9"/>
    </row>
    <row r="6402" ht="15.0" customHeight="1">
      <c r="A6402" s="11">
        <v>6401.0</v>
      </c>
      <c r="B6402" s="12">
        <f t="shared" si="1026"/>
        <v>40926</v>
      </c>
      <c r="C6402" s="13">
        <v>2012.0</v>
      </c>
      <c r="D6402" s="11" t="s">
        <v>39</v>
      </c>
      <c r="E6402" s="11">
        <v>32.0</v>
      </c>
      <c r="F6402" s="21" t="s">
        <v>846</v>
      </c>
      <c r="G6402" s="15">
        <v>0.0749993281075028</v>
      </c>
      <c r="H6402" s="11" t="s">
        <v>33</v>
      </c>
      <c r="I6402" s="16">
        <v>15.991999999999999</v>
      </c>
      <c r="J6402" s="11" t="s">
        <v>181</v>
      </c>
      <c r="K6402" s="11" t="s">
        <v>65</v>
      </c>
      <c r="L6402" s="11" t="s">
        <v>48</v>
      </c>
      <c r="M6402" s="11" t="s">
        <v>28</v>
      </c>
      <c r="N6402" s="11" t="s">
        <v>29</v>
      </c>
      <c r="O6402" s="11" t="s">
        <v>847</v>
      </c>
      <c r="P6402" s="11" t="s">
        <v>38</v>
      </c>
      <c r="Q6402" s="20">
        <v>40928.0</v>
      </c>
      <c r="R6402" s="17">
        <f t="shared" si="2"/>
        <v>464.6352375</v>
      </c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>
        <f t="shared" si="8"/>
        <v>4</v>
      </c>
      <c r="AF6402" s="19">
        <f t="shared" si="13"/>
        <v>5</v>
      </c>
      <c r="AG6402" s="9"/>
      <c r="AH6402" s="9"/>
      <c r="AI6402" s="9"/>
    </row>
    <row r="6403" ht="15.0" customHeight="1">
      <c r="A6403" s="11">
        <v>6402.0</v>
      </c>
      <c r="B6403" s="12">
        <f t="shared" ref="B6403:B6412" si="1027">DATE(2012,12,31)-347</f>
        <v>40927</v>
      </c>
      <c r="C6403" s="13">
        <v>2012.0</v>
      </c>
      <c r="D6403" s="11" t="s">
        <v>32</v>
      </c>
      <c r="E6403" s="11">
        <v>46.0</v>
      </c>
      <c r="F6403" s="21" t="s">
        <v>565</v>
      </c>
      <c r="G6403" s="15">
        <v>0.07487798017529448</v>
      </c>
      <c r="H6403" s="11" t="s">
        <v>33</v>
      </c>
      <c r="I6403" s="16">
        <v>15.991999999999999</v>
      </c>
      <c r="J6403" s="11" t="s">
        <v>2194</v>
      </c>
      <c r="K6403" s="11" t="s">
        <v>47</v>
      </c>
      <c r="L6403" s="11" t="s">
        <v>41</v>
      </c>
      <c r="M6403" s="11" t="s">
        <v>28</v>
      </c>
      <c r="N6403" s="11" t="s">
        <v>29</v>
      </c>
      <c r="O6403" s="11" t="s">
        <v>566</v>
      </c>
      <c r="P6403" s="11" t="s">
        <v>38</v>
      </c>
      <c r="Q6403" s="20">
        <v>40928.0</v>
      </c>
      <c r="R6403" s="17">
        <f t="shared" si="2"/>
        <v>615.6761052</v>
      </c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>
        <f t="shared" si="8"/>
        <v>3</v>
      </c>
      <c r="AF6403" s="19">
        <f t="shared" si="13"/>
        <v>3</v>
      </c>
      <c r="AG6403" s="9"/>
      <c r="AH6403" s="9"/>
      <c r="AI6403" s="9"/>
    </row>
    <row r="6404" ht="15.0" customHeight="1">
      <c r="A6404" s="11">
        <v>6403.0</v>
      </c>
      <c r="B6404" s="12">
        <f t="shared" si="1027"/>
        <v>40927</v>
      </c>
      <c r="C6404" s="13">
        <v>2012.0</v>
      </c>
      <c r="D6404" s="11" t="s">
        <v>32</v>
      </c>
      <c r="E6404" s="11">
        <v>31.0</v>
      </c>
      <c r="F6404" s="21" t="s">
        <v>810</v>
      </c>
      <c r="G6404" s="15">
        <v>0.019286946520988987</v>
      </c>
      <c r="H6404" s="11" t="s">
        <v>33</v>
      </c>
      <c r="I6404" s="16">
        <v>3.192</v>
      </c>
      <c r="J6404" s="11" t="s">
        <v>2116</v>
      </c>
      <c r="K6404" s="11" t="s">
        <v>65</v>
      </c>
      <c r="L6404" s="11" t="s">
        <v>48</v>
      </c>
      <c r="M6404" s="11" t="s">
        <v>28</v>
      </c>
      <c r="N6404" s="11" t="s">
        <v>197</v>
      </c>
      <c r="O6404" s="11" t="s">
        <v>1322</v>
      </c>
      <c r="P6404" s="11" t="s">
        <v>38</v>
      </c>
      <c r="Q6404" s="20">
        <v>40928.0</v>
      </c>
      <c r="R6404" s="17">
        <f t="shared" si="2"/>
        <v>6.578623163</v>
      </c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>
        <f t="shared" si="8"/>
        <v>4</v>
      </c>
      <c r="AF6404" s="19">
        <f t="shared" si="13"/>
        <v>5</v>
      </c>
      <c r="AG6404" s="9"/>
      <c r="AH6404" s="9"/>
      <c r="AI6404" s="9"/>
    </row>
    <row r="6405" ht="15.0" customHeight="1">
      <c r="A6405" s="11">
        <v>6404.0</v>
      </c>
      <c r="B6405" s="12">
        <f t="shared" si="1027"/>
        <v>40927</v>
      </c>
      <c r="C6405" s="13">
        <v>2012.0</v>
      </c>
      <c r="D6405" s="11" t="s">
        <v>32</v>
      </c>
      <c r="E6405" s="11">
        <v>13.0</v>
      </c>
      <c r="F6405" s="21" t="s">
        <v>1265</v>
      </c>
      <c r="G6405" s="15">
        <v>0.03203071672354953</v>
      </c>
      <c r="H6405" s="11" t="s">
        <v>33</v>
      </c>
      <c r="I6405" s="16">
        <v>7.192</v>
      </c>
      <c r="J6405" s="11" t="s">
        <v>2116</v>
      </c>
      <c r="K6405" s="11" t="s">
        <v>65</v>
      </c>
      <c r="L6405" s="11" t="s">
        <v>48</v>
      </c>
      <c r="M6405" s="11" t="s">
        <v>28</v>
      </c>
      <c r="N6405" s="11" t="s">
        <v>62</v>
      </c>
      <c r="O6405" s="11" t="s">
        <v>2317</v>
      </c>
      <c r="P6405" s="11" t="s">
        <v>99</v>
      </c>
      <c r="Q6405" s="20">
        <v>40928.0</v>
      </c>
      <c r="R6405" s="17">
        <f t="shared" si="2"/>
        <v>7.267513379</v>
      </c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>
        <f t="shared" si="8"/>
        <v>4</v>
      </c>
      <c r="AF6405" s="19">
        <f t="shared" si="13"/>
        <v>5</v>
      </c>
      <c r="AG6405" s="9"/>
      <c r="AH6405" s="9"/>
      <c r="AI6405" s="9"/>
    </row>
    <row r="6406" ht="15.0" customHeight="1">
      <c r="A6406" s="11">
        <v>6405.0</v>
      </c>
      <c r="B6406" s="12">
        <f t="shared" si="1027"/>
        <v>40927</v>
      </c>
      <c r="C6406" s="13">
        <v>2012.0</v>
      </c>
      <c r="D6406" s="11" t="s">
        <v>32</v>
      </c>
      <c r="E6406" s="11">
        <v>36.0</v>
      </c>
      <c r="F6406" s="21" t="s">
        <v>2310</v>
      </c>
      <c r="G6406" s="15">
        <v>0.07989424537323521</v>
      </c>
      <c r="H6406" s="11" t="s">
        <v>45</v>
      </c>
      <c r="I6406" s="16">
        <v>37.272000000000006</v>
      </c>
      <c r="J6406" s="11" t="s">
        <v>2116</v>
      </c>
      <c r="K6406" s="11" t="s">
        <v>65</v>
      </c>
      <c r="L6406" s="11" t="s">
        <v>48</v>
      </c>
      <c r="M6406" s="11" t="s">
        <v>49</v>
      </c>
      <c r="N6406" s="11" t="s">
        <v>85</v>
      </c>
      <c r="O6406" s="11" t="s">
        <v>2312</v>
      </c>
      <c r="P6406" s="11" t="s">
        <v>87</v>
      </c>
      <c r="Q6406" s="20">
        <v>40928.0</v>
      </c>
      <c r="R6406" s="17">
        <f t="shared" si="2"/>
        <v>130.6807801</v>
      </c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>
        <f t="shared" si="8"/>
        <v>4</v>
      </c>
      <c r="AF6406" s="19">
        <f t="shared" si="13"/>
        <v>5</v>
      </c>
      <c r="AG6406" s="9"/>
      <c r="AH6406" s="9"/>
      <c r="AI6406" s="9"/>
    </row>
    <row r="6407" ht="15.0" customHeight="1">
      <c r="A6407" s="11">
        <v>6406.0</v>
      </c>
      <c r="B6407" s="12">
        <f t="shared" si="1027"/>
        <v>40927</v>
      </c>
      <c r="C6407" s="13">
        <v>2012.0</v>
      </c>
      <c r="D6407" s="11" t="s">
        <v>23</v>
      </c>
      <c r="E6407" s="11">
        <v>16.0</v>
      </c>
      <c r="F6407" s="21" t="s">
        <v>328</v>
      </c>
      <c r="G6407" s="15">
        <v>0.07829199693173097</v>
      </c>
      <c r="H6407" s="11" t="s">
        <v>33</v>
      </c>
      <c r="I6407" s="16">
        <v>28.0</v>
      </c>
      <c r="J6407" s="11" t="s">
        <v>2475</v>
      </c>
      <c r="K6407" s="11" t="s">
        <v>35</v>
      </c>
      <c r="L6407" s="11" t="s">
        <v>41</v>
      </c>
      <c r="M6407" s="11" t="s">
        <v>28</v>
      </c>
      <c r="N6407" s="11" t="s">
        <v>29</v>
      </c>
      <c r="O6407" s="11" t="s">
        <v>2592</v>
      </c>
      <c r="P6407" s="11" t="s">
        <v>31</v>
      </c>
      <c r="Q6407" s="20">
        <v>40928.0</v>
      </c>
      <c r="R6407" s="17">
        <f t="shared" si="2"/>
        <v>141.1134953</v>
      </c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>
        <f t="shared" si="8"/>
        <v>3</v>
      </c>
      <c r="AF6407" s="19">
        <f t="shared" si="13"/>
        <v>2</v>
      </c>
      <c r="AG6407" s="9"/>
      <c r="AH6407" s="9"/>
      <c r="AI6407" s="9"/>
    </row>
    <row r="6408" ht="15.0" customHeight="1">
      <c r="A6408" s="11">
        <v>6407.0</v>
      </c>
      <c r="B6408" s="12">
        <f t="shared" si="1027"/>
        <v>40927</v>
      </c>
      <c r="C6408" s="13">
        <v>2012.0</v>
      </c>
      <c r="D6408" s="11" t="s">
        <v>23</v>
      </c>
      <c r="E6408" s="11">
        <v>9.0</v>
      </c>
      <c r="F6408" s="21" t="s">
        <v>1178</v>
      </c>
      <c r="G6408" s="15">
        <v>0.039696780693758205</v>
      </c>
      <c r="H6408" s="11" t="s">
        <v>45</v>
      </c>
      <c r="I6408" s="16">
        <v>88.16000000000001</v>
      </c>
      <c r="J6408" s="11" t="s">
        <v>2475</v>
      </c>
      <c r="K6408" s="11" t="s">
        <v>35</v>
      </c>
      <c r="L6408" s="11" t="s">
        <v>41</v>
      </c>
      <c r="M6408" s="11" t="s">
        <v>49</v>
      </c>
      <c r="N6408" s="11" t="s">
        <v>85</v>
      </c>
      <c r="O6408" s="11" t="s">
        <v>86</v>
      </c>
      <c r="P6408" s="11" t="s">
        <v>87</v>
      </c>
      <c r="Q6408" s="20">
        <v>40929.0</v>
      </c>
      <c r="R6408" s="17">
        <f t="shared" si="2"/>
        <v>79.45548837</v>
      </c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>
        <f t="shared" si="8"/>
        <v>3</v>
      </c>
      <c r="AF6408" s="19">
        <f t="shared" si="13"/>
        <v>2</v>
      </c>
      <c r="AG6408" s="9"/>
      <c r="AH6408" s="9"/>
      <c r="AI6408" s="9"/>
    </row>
    <row r="6409" ht="15.0" customHeight="1">
      <c r="A6409" s="11">
        <v>6408.0</v>
      </c>
      <c r="B6409" s="12">
        <f t="shared" si="1027"/>
        <v>40927</v>
      </c>
      <c r="C6409" s="13">
        <v>2012.0</v>
      </c>
      <c r="D6409" s="11" t="s">
        <v>23</v>
      </c>
      <c r="E6409" s="11">
        <v>42.0</v>
      </c>
      <c r="F6409" s="21" t="s">
        <v>1097</v>
      </c>
      <c r="G6409" s="15">
        <v>0.09177385028222453</v>
      </c>
      <c r="H6409" s="11" t="s">
        <v>45</v>
      </c>
      <c r="I6409" s="16">
        <v>48.0</v>
      </c>
      <c r="J6409" s="11" t="s">
        <v>2475</v>
      </c>
      <c r="K6409" s="11" t="s">
        <v>35</v>
      </c>
      <c r="L6409" s="11" t="s">
        <v>41</v>
      </c>
      <c r="M6409" s="11" t="s">
        <v>49</v>
      </c>
      <c r="N6409" s="11" t="s">
        <v>85</v>
      </c>
      <c r="O6409" s="11" t="s">
        <v>1098</v>
      </c>
      <c r="P6409" s="11" t="s">
        <v>52</v>
      </c>
      <c r="Q6409" s="20">
        <v>40929.0</v>
      </c>
      <c r="R6409" s="17">
        <f t="shared" si="2"/>
        <v>1351.168043</v>
      </c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>
        <f t="shared" si="8"/>
        <v>3</v>
      </c>
      <c r="AF6409" s="19">
        <f t="shared" si="13"/>
        <v>2</v>
      </c>
      <c r="AG6409" s="9"/>
      <c r="AH6409" s="9"/>
      <c r="AI6409" s="9"/>
    </row>
    <row r="6410" ht="15.0" customHeight="1">
      <c r="A6410" s="11">
        <v>6409.0</v>
      </c>
      <c r="B6410" s="12">
        <f t="shared" si="1027"/>
        <v>40927</v>
      </c>
      <c r="C6410" s="13">
        <v>2012.0</v>
      </c>
      <c r="D6410" s="11" t="s">
        <v>32</v>
      </c>
      <c r="E6410" s="11">
        <v>5.0</v>
      </c>
      <c r="F6410" s="21" t="s">
        <v>610</v>
      </c>
      <c r="G6410" s="15">
        <v>0.03366568914956021</v>
      </c>
      <c r="H6410" s="11" t="s">
        <v>33</v>
      </c>
      <c r="I6410" s="16">
        <v>4.904</v>
      </c>
      <c r="J6410" s="11" t="s">
        <v>960</v>
      </c>
      <c r="K6410" s="11" t="s">
        <v>65</v>
      </c>
      <c r="L6410" s="11" t="s">
        <v>36</v>
      </c>
      <c r="M6410" s="11" t="s">
        <v>28</v>
      </c>
      <c r="N6410" s="11" t="s">
        <v>29</v>
      </c>
      <c r="O6410" s="11" t="s">
        <v>1969</v>
      </c>
      <c r="P6410" s="11" t="s">
        <v>38</v>
      </c>
      <c r="Q6410" s="20">
        <v>40929.0</v>
      </c>
      <c r="R6410" s="17">
        <f t="shared" si="2"/>
        <v>2.218703578</v>
      </c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>
        <f t="shared" si="8"/>
        <v>2</v>
      </c>
      <c r="AF6410" s="19">
        <f t="shared" si="13"/>
        <v>5</v>
      </c>
      <c r="AG6410" s="9"/>
      <c r="AH6410" s="9"/>
      <c r="AI6410" s="9"/>
    </row>
    <row r="6411" ht="15.0" customHeight="1">
      <c r="A6411" s="11">
        <v>6410.0</v>
      </c>
      <c r="B6411" s="12">
        <f t="shared" si="1027"/>
        <v>40927</v>
      </c>
      <c r="C6411" s="13">
        <v>2012.0</v>
      </c>
      <c r="D6411" s="11" t="s">
        <v>44</v>
      </c>
      <c r="E6411" s="11">
        <v>13.0</v>
      </c>
      <c r="F6411" s="21" t="s">
        <v>881</v>
      </c>
      <c r="G6411" s="15">
        <v>0.018518518518518438</v>
      </c>
      <c r="H6411" s="11" t="s">
        <v>33</v>
      </c>
      <c r="I6411" s="16">
        <v>3.2</v>
      </c>
      <c r="J6411" s="11" t="s">
        <v>407</v>
      </c>
      <c r="K6411" s="11" t="s">
        <v>26</v>
      </c>
      <c r="L6411" s="11" t="s">
        <v>36</v>
      </c>
      <c r="M6411" s="11" t="s">
        <v>49</v>
      </c>
      <c r="N6411" s="11" t="s">
        <v>73</v>
      </c>
      <c r="O6411" s="11" t="s">
        <v>883</v>
      </c>
      <c r="P6411" s="11" t="s">
        <v>58</v>
      </c>
      <c r="Q6411" s="20">
        <v>40929.0</v>
      </c>
      <c r="R6411" s="17">
        <f t="shared" si="2"/>
        <v>1.864814815</v>
      </c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>
        <f t="shared" si="8"/>
        <v>2</v>
      </c>
      <c r="AF6411" s="19">
        <f t="shared" si="13"/>
        <v>1</v>
      </c>
      <c r="AG6411" s="9"/>
      <c r="AH6411" s="9"/>
      <c r="AI6411" s="9"/>
    </row>
    <row r="6412" ht="15.0" customHeight="1">
      <c r="A6412" s="11">
        <v>6411.0</v>
      </c>
      <c r="B6412" s="12">
        <f t="shared" si="1027"/>
        <v>40927</v>
      </c>
      <c r="C6412" s="13">
        <v>2012.0</v>
      </c>
      <c r="D6412" s="11" t="s">
        <v>39</v>
      </c>
      <c r="E6412" s="11">
        <v>50.0</v>
      </c>
      <c r="F6412" s="21" t="s">
        <v>110</v>
      </c>
      <c r="G6412" s="15">
        <v>0.09165637898569706</v>
      </c>
      <c r="H6412" s="11" t="s">
        <v>45</v>
      </c>
      <c r="I6412" s="16">
        <v>14.280000000000001</v>
      </c>
      <c r="J6412" s="11" t="s">
        <v>2236</v>
      </c>
      <c r="K6412" s="11" t="s">
        <v>35</v>
      </c>
      <c r="L6412" s="11" t="s">
        <v>27</v>
      </c>
      <c r="M6412" s="11" t="s">
        <v>66</v>
      </c>
      <c r="N6412" s="11" t="s">
        <v>69</v>
      </c>
      <c r="O6412" s="11" t="s">
        <v>111</v>
      </c>
      <c r="P6412" s="11" t="s">
        <v>52</v>
      </c>
      <c r="Q6412" s="20">
        <v>40929.0</v>
      </c>
      <c r="R6412" s="17">
        <f t="shared" si="2"/>
        <v>667.6507283</v>
      </c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>
        <f t="shared" si="8"/>
        <v>1</v>
      </c>
      <c r="AF6412" s="19">
        <f t="shared" si="13"/>
        <v>2</v>
      </c>
      <c r="AG6412" s="9"/>
      <c r="AH6412" s="9"/>
      <c r="AI6412" s="9"/>
    </row>
    <row r="6413" ht="15.0" customHeight="1">
      <c r="A6413" s="11">
        <v>6412.0</v>
      </c>
      <c r="B6413" s="12">
        <f t="shared" ref="B6413:B6417" si="1028">DATE(2012,12,31)-346</f>
        <v>40928</v>
      </c>
      <c r="C6413" s="13">
        <v>2012.0</v>
      </c>
      <c r="D6413" s="11" t="s">
        <v>32</v>
      </c>
      <c r="E6413" s="11">
        <v>19.0</v>
      </c>
      <c r="F6413" s="21" t="s">
        <v>1913</v>
      </c>
      <c r="G6413" s="15">
        <v>0.07593475533249688</v>
      </c>
      <c r="H6413" s="11" t="s">
        <v>33</v>
      </c>
      <c r="I6413" s="16">
        <v>4.344</v>
      </c>
      <c r="J6413" s="11" t="s">
        <v>312</v>
      </c>
      <c r="K6413" s="11" t="s">
        <v>35</v>
      </c>
      <c r="L6413" s="11" t="s">
        <v>27</v>
      </c>
      <c r="M6413" s="11" t="s">
        <v>28</v>
      </c>
      <c r="N6413" s="11" t="s">
        <v>56</v>
      </c>
      <c r="O6413" s="11" t="s">
        <v>1914</v>
      </c>
      <c r="P6413" s="11" t="s">
        <v>38</v>
      </c>
      <c r="Q6413" s="20">
        <v>40929.0</v>
      </c>
      <c r="R6413" s="17">
        <f t="shared" si="2"/>
        <v>16.77732858</v>
      </c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>
        <f t="shared" si="8"/>
        <v>1</v>
      </c>
      <c r="AF6413" s="19">
        <f t="shared" si="13"/>
        <v>2</v>
      </c>
      <c r="AG6413" s="9"/>
      <c r="AH6413" s="9"/>
      <c r="AI6413" s="9"/>
    </row>
    <row r="6414" ht="15.0" customHeight="1">
      <c r="A6414" s="11">
        <v>6413.0</v>
      </c>
      <c r="B6414" s="12">
        <f t="shared" si="1028"/>
        <v>40928</v>
      </c>
      <c r="C6414" s="13">
        <v>2012.0</v>
      </c>
      <c r="D6414" s="11" t="s">
        <v>44</v>
      </c>
      <c r="E6414" s="11">
        <v>38.0</v>
      </c>
      <c r="F6414" s="21" t="s">
        <v>1254</v>
      </c>
      <c r="G6414" s="15">
        <v>0.03401734715464363</v>
      </c>
      <c r="H6414" s="11" t="s">
        <v>33</v>
      </c>
      <c r="I6414" s="16">
        <v>5.04</v>
      </c>
      <c r="J6414" s="11" t="s">
        <v>2099</v>
      </c>
      <c r="K6414" s="11" t="s">
        <v>83</v>
      </c>
      <c r="L6414" s="11" t="s">
        <v>48</v>
      </c>
      <c r="M6414" s="11" t="s">
        <v>66</v>
      </c>
      <c r="N6414" s="11" t="s">
        <v>69</v>
      </c>
      <c r="O6414" s="11" t="s">
        <v>1394</v>
      </c>
      <c r="P6414" s="11" t="s">
        <v>75</v>
      </c>
      <c r="Q6414" s="20">
        <v>40930.0</v>
      </c>
      <c r="R6414" s="17">
        <f t="shared" si="2"/>
        <v>31.06600212</v>
      </c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>
        <f t="shared" si="8"/>
        <v>4</v>
      </c>
      <c r="AF6414" s="19" t="b">
        <f t="shared" si="13"/>
        <v>0</v>
      </c>
      <c r="AG6414" s="9"/>
      <c r="AH6414" s="9"/>
      <c r="AI6414" s="9"/>
    </row>
    <row r="6415" ht="15.0" customHeight="1">
      <c r="A6415" s="11">
        <v>6414.0</v>
      </c>
      <c r="B6415" s="12">
        <f t="shared" si="1028"/>
        <v>40928</v>
      </c>
      <c r="C6415" s="13">
        <v>2012.0</v>
      </c>
      <c r="D6415" s="11" t="s">
        <v>44</v>
      </c>
      <c r="E6415" s="11">
        <v>3.0</v>
      </c>
      <c r="F6415" s="21" t="s">
        <v>178</v>
      </c>
      <c r="G6415" s="15">
        <v>0.07456187895212277</v>
      </c>
      <c r="H6415" s="11" t="s">
        <v>33</v>
      </c>
      <c r="I6415" s="16">
        <v>7.192</v>
      </c>
      <c r="J6415" s="11" t="s">
        <v>2099</v>
      </c>
      <c r="K6415" s="11" t="s">
        <v>83</v>
      </c>
      <c r="L6415" s="11" t="s">
        <v>48</v>
      </c>
      <c r="M6415" s="11" t="s">
        <v>66</v>
      </c>
      <c r="N6415" s="11" t="s">
        <v>80</v>
      </c>
      <c r="O6415" s="11" t="s">
        <v>1506</v>
      </c>
      <c r="P6415" s="11" t="s">
        <v>38</v>
      </c>
      <c r="Q6415" s="20">
        <v>40930.0</v>
      </c>
      <c r="R6415" s="17">
        <f t="shared" si="2"/>
        <v>15.2771325</v>
      </c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>
        <f t="shared" si="8"/>
        <v>4</v>
      </c>
      <c r="AF6415" s="19" t="b">
        <f t="shared" si="13"/>
        <v>0</v>
      </c>
      <c r="AG6415" s="9"/>
      <c r="AH6415" s="9"/>
      <c r="AI6415" s="9"/>
    </row>
    <row r="6416" ht="15.0" customHeight="1">
      <c r="A6416" s="11">
        <v>6415.0</v>
      </c>
      <c r="B6416" s="12">
        <f t="shared" si="1028"/>
        <v>40928</v>
      </c>
      <c r="C6416" s="13">
        <v>2012.0</v>
      </c>
      <c r="D6416" s="11" t="s">
        <v>32</v>
      </c>
      <c r="E6416" s="11">
        <v>48.0</v>
      </c>
      <c r="F6416" s="21" t="s">
        <v>562</v>
      </c>
      <c r="G6416" s="15">
        <v>0.03882025411509093</v>
      </c>
      <c r="H6416" s="11" t="s">
        <v>45</v>
      </c>
      <c r="I6416" s="16">
        <v>20.8</v>
      </c>
      <c r="J6416" s="11" t="s">
        <v>2493</v>
      </c>
      <c r="K6416" s="11" t="s">
        <v>26</v>
      </c>
      <c r="L6416" s="11" t="s">
        <v>27</v>
      </c>
      <c r="M6416" s="11" t="s">
        <v>49</v>
      </c>
      <c r="N6416" s="11" t="s">
        <v>50</v>
      </c>
      <c r="O6416" s="11" t="s">
        <v>1649</v>
      </c>
      <c r="P6416" s="11" t="s">
        <v>52</v>
      </c>
      <c r="Q6416" s="20">
        <v>40930.0</v>
      </c>
      <c r="R6416" s="17">
        <f t="shared" si="2"/>
        <v>934.170595</v>
      </c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>
        <f t="shared" si="8"/>
        <v>1</v>
      </c>
      <c r="AF6416" s="19">
        <f t="shared" si="13"/>
        <v>1</v>
      </c>
      <c r="AG6416" s="9"/>
      <c r="AH6416" s="9"/>
      <c r="AI6416" s="9"/>
    </row>
    <row r="6417" ht="15.0" customHeight="1">
      <c r="A6417" s="11">
        <v>6416.0</v>
      </c>
      <c r="B6417" s="12">
        <f t="shared" si="1028"/>
        <v>40928</v>
      </c>
      <c r="C6417" s="13">
        <v>2012.0</v>
      </c>
      <c r="D6417" s="11" t="s">
        <v>44</v>
      </c>
      <c r="E6417" s="11">
        <v>28.0</v>
      </c>
      <c r="F6417" s="21" t="s">
        <v>1254</v>
      </c>
      <c r="G6417" s="15">
        <v>0.02496023138105583</v>
      </c>
      <c r="H6417" s="11" t="s">
        <v>33</v>
      </c>
      <c r="I6417" s="16">
        <v>5.04</v>
      </c>
      <c r="J6417" s="11" t="s">
        <v>1110</v>
      </c>
      <c r="K6417" s="11" t="s">
        <v>61</v>
      </c>
      <c r="L6417" s="11" t="s">
        <v>48</v>
      </c>
      <c r="M6417" s="11" t="s">
        <v>66</v>
      </c>
      <c r="N6417" s="11" t="s">
        <v>69</v>
      </c>
      <c r="O6417" s="11" t="s">
        <v>1394</v>
      </c>
      <c r="P6417" s="11" t="s">
        <v>75</v>
      </c>
      <c r="Q6417" s="20">
        <v>40930.0</v>
      </c>
      <c r="R6417" s="17">
        <f t="shared" si="2"/>
        <v>16.82918641</v>
      </c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>
        <f t="shared" si="8"/>
        <v>4</v>
      </c>
      <c r="AF6417" s="19">
        <f t="shared" si="13"/>
        <v>4</v>
      </c>
      <c r="AG6417" s="9"/>
      <c r="AH6417" s="9"/>
      <c r="AI6417" s="9"/>
    </row>
    <row r="6418" ht="15.0" customHeight="1">
      <c r="A6418" s="11">
        <v>6417.0</v>
      </c>
      <c r="B6418" s="12">
        <f t="shared" ref="B6418:B6420" si="1029">DATE(2012,12,31)-345</f>
        <v>40929</v>
      </c>
      <c r="C6418" s="13">
        <v>2012.0</v>
      </c>
      <c r="D6418" s="11" t="s">
        <v>102</v>
      </c>
      <c r="E6418" s="11">
        <v>16.0</v>
      </c>
      <c r="F6418" s="21" t="s">
        <v>295</v>
      </c>
      <c r="G6418" s="15">
        <v>0.0269029793540474</v>
      </c>
      <c r="H6418" s="11" t="s">
        <v>33</v>
      </c>
      <c r="I6418" s="16">
        <v>15.991999999999999</v>
      </c>
      <c r="J6418" s="11" t="s">
        <v>78</v>
      </c>
      <c r="K6418" s="11" t="s">
        <v>35</v>
      </c>
      <c r="L6418" s="11" t="s">
        <v>36</v>
      </c>
      <c r="M6418" s="11" t="s">
        <v>28</v>
      </c>
      <c r="N6418" s="11" t="s">
        <v>236</v>
      </c>
      <c r="O6418" s="11" t="s">
        <v>296</v>
      </c>
      <c r="P6418" s="11" t="s">
        <v>38</v>
      </c>
      <c r="Q6418" s="20">
        <v>40930.0</v>
      </c>
      <c r="R6418" s="17">
        <f t="shared" si="2"/>
        <v>39.34270178</v>
      </c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>
        <f t="shared" si="8"/>
        <v>2</v>
      </c>
      <c r="AF6418" s="19">
        <f t="shared" si="13"/>
        <v>2</v>
      </c>
      <c r="AG6418" s="9"/>
      <c r="AH6418" s="9"/>
      <c r="AI6418" s="9"/>
    </row>
    <row r="6419" ht="15.0" customHeight="1">
      <c r="A6419" s="11">
        <v>6418.0</v>
      </c>
      <c r="B6419" s="12">
        <f t="shared" si="1029"/>
        <v>40929</v>
      </c>
      <c r="C6419" s="13">
        <v>2012.0</v>
      </c>
      <c r="D6419" s="11" t="s">
        <v>102</v>
      </c>
      <c r="E6419" s="11">
        <v>40.0</v>
      </c>
      <c r="F6419" s="21" t="s">
        <v>210</v>
      </c>
      <c r="G6419" s="15">
        <v>0.07773851590106004</v>
      </c>
      <c r="H6419" s="11" t="s">
        <v>24</v>
      </c>
      <c r="I6419" s="16">
        <v>0.4</v>
      </c>
      <c r="J6419" s="11" t="s">
        <v>1082</v>
      </c>
      <c r="K6419" s="11" t="s">
        <v>65</v>
      </c>
      <c r="L6419" s="11" t="s">
        <v>27</v>
      </c>
      <c r="M6419" s="11" t="s">
        <v>28</v>
      </c>
      <c r="N6419" s="11" t="s">
        <v>188</v>
      </c>
      <c r="O6419" s="11" t="s">
        <v>1356</v>
      </c>
      <c r="P6419" s="11" t="s">
        <v>38</v>
      </c>
      <c r="Q6419" s="20">
        <v>40931.0</v>
      </c>
      <c r="R6419" s="17">
        <f t="shared" si="2"/>
        <v>8.11590106</v>
      </c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>
        <f t="shared" si="8"/>
        <v>1</v>
      </c>
      <c r="AF6419" s="19">
        <f t="shared" si="13"/>
        <v>5</v>
      </c>
      <c r="AG6419" s="9"/>
      <c r="AH6419" s="9"/>
      <c r="AI6419" s="9"/>
    </row>
    <row r="6420" ht="15.0" customHeight="1">
      <c r="A6420" s="11">
        <v>6419.0</v>
      </c>
      <c r="B6420" s="12">
        <f t="shared" si="1029"/>
        <v>40929</v>
      </c>
      <c r="C6420" s="13">
        <v>2012.0</v>
      </c>
      <c r="D6420" s="11" t="s">
        <v>102</v>
      </c>
      <c r="E6420" s="11">
        <v>48.0</v>
      </c>
      <c r="F6420" s="21" t="s">
        <v>142</v>
      </c>
      <c r="G6420" s="15">
        <v>0.04099226875799559</v>
      </c>
      <c r="H6420" s="11" t="s">
        <v>33</v>
      </c>
      <c r="I6420" s="16">
        <v>1.0</v>
      </c>
      <c r="J6420" s="11" t="s">
        <v>724</v>
      </c>
      <c r="K6420" s="11" t="s">
        <v>65</v>
      </c>
      <c r="L6420" s="11" t="s">
        <v>48</v>
      </c>
      <c r="M6420" s="11" t="s">
        <v>66</v>
      </c>
      <c r="N6420" s="11" t="s">
        <v>80</v>
      </c>
      <c r="O6420" s="11" t="s">
        <v>2300</v>
      </c>
      <c r="P6420" s="11" t="s">
        <v>99</v>
      </c>
      <c r="Q6420" s="20">
        <v>40931.0</v>
      </c>
      <c r="R6420" s="17">
        <f t="shared" si="2"/>
        <v>70.67886979</v>
      </c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>
        <f t="shared" si="8"/>
        <v>4</v>
      </c>
      <c r="AF6420" s="19">
        <f t="shared" si="13"/>
        <v>5</v>
      </c>
      <c r="AG6420" s="9"/>
      <c r="AH6420" s="9"/>
      <c r="AI6420" s="9"/>
    </row>
    <row r="6421" ht="15.0" customHeight="1">
      <c r="A6421" s="11">
        <v>6420.0</v>
      </c>
      <c r="B6421" s="12">
        <f t="shared" ref="B6421:B6425" si="1030">DATE(2012,12,31)-344</f>
        <v>40930</v>
      </c>
      <c r="C6421" s="13">
        <v>2012.0</v>
      </c>
      <c r="D6421" s="11" t="s">
        <v>23</v>
      </c>
      <c r="E6421" s="11">
        <v>2.0</v>
      </c>
      <c r="F6421" s="21" t="s">
        <v>461</v>
      </c>
      <c r="G6421" s="15">
        <v>0.05252822778595969</v>
      </c>
      <c r="H6421" s="11" t="s">
        <v>45</v>
      </c>
      <c r="I6421" s="16">
        <v>11.200000000000001</v>
      </c>
      <c r="J6421" s="11" t="s">
        <v>1625</v>
      </c>
      <c r="K6421" s="11" t="s">
        <v>35</v>
      </c>
      <c r="L6421" s="11" t="s">
        <v>36</v>
      </c>
      <c r="M6421" s="11" t="s">
        <v>66</v>
      </c>
      <c r="N6421" s="11" t="s">
        <v>69</v>
      </c>
      <c r="O6421" s="11" t="s">
        <v>779</v>
      </c>
      <c r="P6421" s="11" t="s">
        <v>52</v>
      </c>
      <c r="Q6421" s="20">
        <v>40931.0</v>
      </c>
      <c r="R6421" s="17">
        <f t="shared" si="2"/>
        <v>10.13794796</v>
      </c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>
        <f t="shared" si="8"/>
        <v>2</v>
      </c>
      <c r="AF6421" s="19">
        <f t="shared" si="13"/>
        <v>2</v>
      </c>
      <c r="AG6421" s="9"/>
      <c r="AH6421" s="9"/>
      <c r="AI6421" s="9"/>
    </row>
    <row r="6422" ht="15.0" customHeight="1">
      <c r="A6422" s="11">
        <v>6421.0</v>
      </c>
      <c r="B6422" s="12">
        <f t="shared" si="1030"/>
        <v>40930</v>
      </c>
      <c r="C6422" s="13">
        <v>2012.0</v>
      </c>
      <c r="D6422" s="11" t="s">
        <v>23</v>
      </c>
      <c r="E6422" s="11">
        <v>23.0</v>
      </c>
      <c r="F6422" s="21" t="s">
        <v>103</v>
      </c>
      <c r="G6422" s="15">
        <v>0.09462227912932121</v>
      </c>
      <c r="H6422" s="11" t="s">
        <v>33</v>
      </c>
      <c r="I6422" s="16">
        <v>5.720000000000001</v>
      </c>
      <c r="J6422" s="11" t="s">
        <v>1625</v>
      </c>
      <c r="K6422" s="11" t="s">
        <v>35</v>
      </c>
      <c r="L6422" s="11" t="s">
        <v>36</v>
      </c>
      <c r="M6422" s="11" t="s">
        <v>28</v>
      </c>
      <c r="N6422" s="11" t="s">
        <v>56</v>
      </c>
      <c r="O6422" s="11" t="s">
        <v>1312</v>
      </c>
      <c r="P6422" s="11" t="s">
        <v>38</v>
      </c>
      <c r="Q6422" s="20">
        <v>40931.0</v>
      </c>
      <c r="R6422" s="17">
        <f t="shared" si="2"/>
        <v>13.38148271</v>
      </c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>
        <f t="shared" si="8"/>
        <v>2</v>
      </c>
      <c r="AF6422" s="19">
        <f t="shared" si="13"/>
        <v>2</v>
      </c>
      <c r="AG6422" s="9"/>
      <c r="AH6422" s="9"/>
      <c r="AI6422" s="9"/>
    </row>
    <row r="6423" ht="15.0" customHeight="1">
      <c r="A6423" s="11">
        <v>6422.0</v>
      </c>
      <c r="B6423" s="12">
        <f t="shared" si="1030"/>
        <v>40930</v>
      </c>
      <c r="C6423" s="13">
        <v>2012.0</v>
      </c>
      <c r="D6423" s="11" t="s">
        <v>23</v>
      </c>
      <c r="E6423" s="11">
        <v>40.0</v>
      </c>
      <c r="F6423" s="21" t="s">
        <v>247</v>
      </c>
      <c r="G6423" s="15">
        <v>0.057754832512906626</v>
      </c>
      <c r="H6423" s="11" t="s">
        <v>24</v>
      </c>
      <c r="I6423" s="16">
        <v>1.592</v>
      </c>
      <c r="J6423" s="11" t="s">
        <v>1972</v>
      </c>
      <c r="K6423" s="11" t="s">
        <v>61</v>
      </c>
      <c r="L6423" s="11" t="s">
        <v>27</v>
      </c>
      <c r="M6423" s="11" t="s">
        <v>66</v>
      </c>
      <c r="N6423" s="11" t="s">
        <v>67</v>
      </c>
      <c r="O6423" s="11" t="s">
        <v>249</v>
      </c>
      <c r="P6423" s="11" t="s">
        <v>99</v>
      </c>
      <c r="Q6423" s="20">
        <v>40932.0</v>
      </c>
      <c r="R6423" s="17">
        <f t="shared" si="2"/>
        <v>90.65152307</v>
      </c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>
        <f t="shared" si="8"/>
        <v>1</v>
      </c>
      <c r="AF6423" s="19">
        <f t="shared" si="13"/>
        <v>4</v>
      </c>
      <c r="AG6423" s="9"/>
      <c r="AH6423" s="9"/>
      <c r="AI6423" s="9"/>
    </row>
    <row r="6424" ht="15.0" customHeight="1">
      <c r="A6424" s="11">
        <v>6423.0</v>
      </c>
      <c r="B6424" s="12">
        <f t="shared" si="1030"/>
        <v>40930</v>
      </c>
      <c r="C6424" s="13">
        <v>2012.0</v>
      </c>
      <c r="D6424" s="11" t="s">
        <v>23</v>
      </c>
      <c r="E6424" s="11">
        <v>45.0</v>
      </c>
      <c r="F6424" s="21" t="s">
        <v>316</v>
      </c>
      <c r="G6424" s="15">
        <v>0.022143049932523636</v>
      </c>
      <c r="H6424" s="11" t="s">
        <v>33</v>
      </c>
      <c r="I6424" s="16">
        <v>2.2960000000000003</v>
      </c>
      <c r="J6424" s="11" t="s">
        <v>1972</v>
      </c>
      <c r="K6424" s="11" t="s">
        <v>61</v>
      </c>
      <c r="L6424" s="11" t="s">
        <v>27</v>
      </c>
      <c r="M6424" s="11" t="s">
        <v>28</v>
      </c>
      <c r="N6424" s="11" t="s">
        <v>56</v>
      </c>
      <c r="O6424" s="11" t="s">
        <v>331</v>
      </c>
      <c r="P6424" s="11" t="s">
        <v>58</v>
      </c>
      <c r="Q6424" s="20">
        <v>40932.0</v>
      </c>
      <c r="R6424" s="17">
        <f t="shared" si="2"/>
        <v>8.022338418</v>
      </c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>
        <f t="shared" si="8"/>
        <v>1</v>
      </c>
      <c r="AF6424" s="19">
        <f t="shared" si="13"/>
        <v>4</v>
      </c>
      <c r="AG6424" s="9"/>
      <c r="AH6424" s="9"/>
      <c r="AI6424" s="9"/>
    </row>
    <row r="6425" ht="15.0" customHeight="1">
      <c r="A6425" s="11">
        <v>6424.0</v>
      </c>
      <c r="B6425" s="12">
        <f t="shared" si="1030"/>
        <v>40930</v>
      </c>
      <c r="C6425" s="13">
        <v>2012.0</v>
      </c>
      <c r="D6425" s="11" t="s">
        <v>102</v>
      </c>
      <c r="E6425" s="11">
        <v>5.0</v>
      </c>
      <c r="F6425" s="21" t="s">
        <v>284</v>
      </c>
      <c r="G6425" s="15">
        <v>0.12562500000000004</v>
      </c>
      <c r="H6425" s="11" t="s">
        <v>33</v>
      </c>
      <c r="I6425" s="16">
        <v>1.192</v>
      </c>
      <c r="J6425" s="11" t="s">
        <v>1338</v>
      </c>
      <c r="K6425" s="11" t="s">
        <v>61</v>
      </c>
      <c r="L6425" s="11" t="s">
        <v>36</v>
      </c>
      <c r="M6425" s="11" t="s">
        <v>28</v>
      </c>
      <c r="N6425" s="11" t="s">
        <v>42</v>
      </c>
      <c r="O6425" s="11" t="s">
        <v>2299</v>
      </c>
      <c r="P6425" s="11" t="s">
        <v>38</v>
      </c>
      <c r="Q6425" s="20">
        <v>40932.0</v>
      </c>
      <c r="R6425" s="17">
        <f t="shared" si="2"/>
        <v>1.405995</v>
      </c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>
        <f t="shared" si="8"/>
        <v>2</v>
      </c>
      <c r="AF6425" s="19">
        <f t="shared" si="13"/>
        <v>4</v>
      </c>
      <c r="AG6425" s="9"/>
      <c r="AH6425" s="9"/>
      <c r="AI6425" s="9"/>
    </row>
    <row r="6426" ht="15.0" customHeight="1">
      <c r="A6426" s="11">
        <v>6425.0</v>
      </c>
      <c r="B6426" s="12">
        <f t="shared" ref="B6426:B6430" si="1031">DATE(2012,12,31)-343</f>
        <v>40931</v>
      </c>
      <c r="C6426" s="13">
        <v>2012.0</v>
      </c>
      <c r="D6426" s="11" t="s">
        <v>32</v>
      </c>
      <c r="E6426" s="11">
        <v>31.0</v>
      </c>
      <c r="F6426" s="21" t="s">
        <v>869</v>
      </c>
      <c r="G6426" s="15">
        <v>0.09193482410689931</v>
      </c>
      <c r="H6426" s="11" t="s">
        <v>33</v>
      </c>
      <c r="I6426" s="16">
        <v>1.0</v>
      </c>
      <c r="J6426" s="11" t="s">
        <v>611</v>
      </c>
      <c r="K6426" s="11" t="s">
        <v>65</v>
      </c>
      <c r="L6426" s="11" t="s">
        <v>36</v>
      </c>
      <c r="M6426" s="11" t="s">
        <v>66</v>
      </c>
      <c r="N6426" s="11" t="s">
        <v>80</v>
      </c>
      <c r="O6426" s="11" t="s">
        <v>2349</v>
      </c>
      <c r="P6426" s="11" t="s">
        <v>99</v>
      </c>
      <c r="Q6426" s="20">
        <v>40932.0</v>
      </c>
      <c r="R6426" s="17">
        <f t="shared" si="2"/>
        <v>244.9051779</v>
      </c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>
        <f t="shared" si="8"/>
        <v>2</v>
      </c>
      <c r="AF6426" s="19">
        <f t="shared" si="13"/>
        <v>5</v>
      </c>
      <c r="AG6426" s="9"/>
      <c r="AH6426" s="9"/>
      <c r="AI6426" s="9"/>
    </row>
    <row r="6427" ht="15.0" customHeight="1">
      <c r="A6427" s="11">
        <v>6426.0</v>
      </c>
      <c r="B6427" s="12">
        <f t="shared" si="1031"/>
        <v>40931</v>
      </c>
      <c r="C6427" s="13">
        <v>2012.0</v>
      </c>
      <c r="D6427" s="11" t="s">
        <v>32</v>
      </c>
      <c r="E6427" s="11">
        <v>7.0</v>
      </c>
      <c r="F6427" s="21" t="s">
        <v>122</v>
      </c>
      <c r="G6427" s="15">
        <v>0.0928143712574852</v>
      </c>
      <c r="H6427" s="11" t="s">
        <v>33</v>
      </c>
      <c r="I6427" s="16">
        <v>5.2</v>
      </c>
      <c r="J6427" s="11" t="s">
        <v>611</v>
      </c>
      <c r="K6427" s="11" t="s">
        <v>65</v>
      </c>
      <c r="L6427" s="11" t="s">
        <v>36</v>
      </c>
      <c r="M6427" s="11" t="s">
        <v>66</v>
      </c>
      <c r="N6427" s="11" t="s">
        <v>67</v>
      </c>
      <c r="O6427" s="11" t="s">
        <v>2130</v>
      </c>
      <c r="P6427" s="11" t="s">
        <v>38</v>
      </c>
      <c r="Q6427" s="20">
        <v>40932.0</v>
      </c>
      <c r="R6427" s="17">
        <f t="shared" si="2"/>
        <v>14.06137725</v>
      </c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>
        <f t="shared" si="8"/>
        <v>2</v>
      </c>
      <c r="AF6427" s="19">
        <f t="shared" si="13"/>
        <v>5</v>
      </c>
      <c r="AG6427" s="9"/>
      <c r="AH6427" s="9"/>
      <c r="AI6427" s="9"/>
    </row>
    <row r="6428" ht="15.0" customHeight="1">
      <c r="A6428" s="11">
        <v>6427.0</v>
      </c>
      <c r="B6428" s="12">
        <f t="shared" si="1031"/>
        <v>40931</v>
      </c>
      <c r="C6428" s="13">
        <v>2012.0</v>
      </c>
      <c r="D6428" s="11" t="s">
        <v>32</v>
      </c>
      <c r="E6428" s="11">
        <v>11.0</v>
      </c>
      <c r="F6428" s="21" t="s">
        <v>1156</v>
      </c>
      <c r="G6428" s="15">
        <v>0.010869940698946461</v>
      </c>
      <c r="H6428" s="11" t="s">
        <v>33</v>
      </c>
      <c r="I6428" s="16">
        <v>3.12</v>
      </c>
      <c r="J6428" s="11" t="s">
        <v>611</v>
      </c>
      <c r="K6428" s="11" t="s">
        <v>65</v>
      </c>
      <c r="L6428" s="11" t="s">
        <v>36</v>
      </c>
      <c r="M6428" s="11" t="s">
        <v>66</v>
      </c>
      <c r="N6428" s="11" t="s">
        <v>80</v>
      </c>
      <c r="O6428" s="11" t="s">
        <v>1157</v>
      </c>
      <c r="P6428" s="11" t="s">
        <v>38</v>
      </c>
      <c r="Q6428" s="20">
        <v>40932.0</v>
      </c>
      <c r="R6428" s="17">
        <f t="shared" si="2"/>
        <v>18.67477552</v>
      </c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>
        <f t="shared" si="8"/>
        <v>2</v>
      </c>
      <c r="AF6428" s="19">
        <f t="shared" si="13"/>
        <v>5</v>
      </c>
      <c r="AG6428" s="9"/>
      <c r="AH6428" s="9"/>
      <c r="AI6428" s="9"/>
    </row>
    <row r="6429" ht="15.0" customHeight="1">
      <c r="A6429" s="11">
        <v>6428.0</v>
      </c>
      <c r="B6429" s="12">
        <f t="shared" si="1031"/>
        <v>40931</v>
      </c>
      <c r="C6429" s="13">
        <v>2012.0</v>
      </c>
      <c r="D6429" s="11" t="s">
        <v>23</v>
      </c>
      <c r="E6429" s="11">
        <v>1.0</v>
      </c>
      <c r="F6429" s="21" t="s">
        <v>619</v>
      </c>
      <c r="G6429" s="15">
        <v>0.02420574886535544</v>
      </c>
      <c r="H6429" s="11" t="s">
        <v>33</v>
      </c>
      <c r="I6429" s="16">
        <v>3.6</v>
      </c>
      <c r="J6429" s="11" t="s">
        <v>1370</v>
      </c>
      <c r="K6429" s="11" t="s">
        <v>83</v>
      </c>
      <c r="L6429" s="11" t="s">
        <v>27</v>
      </c>
      <c r="M6429" s="11" t="s">
        <v>28</v>
      </c>
      <c r="N6429" s="11" t="s">
        <v>197</v>
      </c>
      <c r="O6429" s="11" t="s">
        <v>1388</v>
      </c>
      <c r="P6429" s="11" t="s">
        <v>38</v>
      </c>
      <c r="Q6429" s="20">
        <v>40932.0</v>
      </c>
      <c r="R6429" s="17">
        <f t="shared" si="2"/>
        <v>1.561270802</v>
      </c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>
        <f t="shared" si="8"/>
        <v>1</v>
      </c>
      <c r="AF6429" s="19" t="b">
        <f t="shared" si="13"/>
        <v>0</v>
      </c>
      <c r="AG6429" s="9"/>
      <c r="AH6429" s="9"/>
      <c r="AI6429" s="9"/>
    </row>
    <row r="6430" ht="15.0" customHeight="1">
      <c r="A6430" s="11">
        <v>6429.0</v>
      </c>
      <c r="B6430" s="12">
        <f t="shared" si="1031"/>
        <v>40931</v>
      </c>
      <c r="C6430" s="13">
        <v>2012.0</v>
      </c>
      <c r="D6430" s="11" t="s">
        <v>102</v>
      </c>
      <c r="E6430" s="11">
        <v>41.0</v>
      </c>
      <c r="F6430" s="21" t="s">
        <v>126</v>
      </c>
      <c r="G6430" s="15">
        <v>0.0070372160463991725</v>
      </c>
      <c r="H6430" s="11" t="s">
        <v>33</v>
      </c>
      <c r="I6430" s="16">
        <v>4.544</v>
      </c>
      <c r="J6430" s="11" t="s">
        <v>1024</v>
      </c>
      <c r="K6430" s="11" t="s">
        <v>26</v>
      </c>
      <c r="L6430" s="11" t="s">
        <v>48</v>
      </c>
      <c r="M6430" s="11" t="s">
        <v>28</v>
      </c>
      <c r="N6430" s="11" t="s">
        <v>42</v>
      </c>
      <c r="O6430" s="11" t="s">
        <v>1022</v>
      </c>
      <c r="P6430" s="11" t="s">
        <v>38</v>
      </c>
      <c r="Q6430" s="20">
        <v>40932.0</v>
      </c>
      <c r="R6430" s="17">
        <f t="shared" si="2"/>
        <v>1.445753813</v>
      </c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>
        <f t="shared" si="8"/>
        <v>4</v>
      </c>
      <c r="AF6430" s="19">
        <f t="shared" si="13"/>
        <v>1</v>
      </c>
      <c r="AG6430" s="9"/>
      <c r="AH6430" s="9"/>
      <c r="AI6430" s="9"/>
    </row>
    <row r="6431" ht="15.0" customHeight="1">
      <c r="A6431" s="11">
        <v>6430.0</v>
      </c>
      <c r="B6431" s="12">
        <f t="shared" ref="B6431:B6436" si="1032">DATE(2012,12,31)-342</f>
        <v>40932</v>
      </c>
      <c r="C6431" s="13">
        <v>2012.0</v>
      </c>
      <c r="D6431" s="11" t="s">
        <v>44</v>
      </c>
      <c r="E6431" s="11">
        <v>48.0</v>
      </c>
      <c r="F6431" s="21" t="s">
        <v>304</v>
      </c>
      <c r="G6431" s="15">
        <v>0.07061286716129687</v>
      </c>
      <c r="H6431" s="11" t="s">
        <v>24</v>
      </c>
      <c r="I6431" s="16">
        <v>7.224</v>
      </c>
      <c r="J6431" s="11" t="s">
        <v>446</v>
      </c>
      <c r="K6431" s="11" t="s">
        <v>61</v>
      </c>
      <c r="L6431" s="11" t="s">
        <v>48</v>
      </c>
      <c r="M6431" s="11" t="s">
        <v>28</v>
      </c>
      <c r="N6431" s="11" t="s">
        <v>56</v>
      </c>
      <c r="O6431" s="11" t="s">
        <v>388</v>
      </c>
      <c r="P6431" s="11" t="s">
        <v>38</v>
      </c>
      <c r="Q6431" s="20">
        <v>40933.0</v>
      </c>
      <c r="R6431" s="17">
        <f t="shared" si="2"/>
        <v>64.57010044</v>
      </c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>
        <f t="shared" si="8"/>
        <v>4</v>
      </c>
      <c r="AF6431" s="19">
        <f t="shared" si="13"/>
        <v>4</v>
      </c>
      <c r="AG6431" s="9"/>
      <c r="AH6431" s="9"/>
      <c r="AI6431" s="9"/>
    </row>
    <row r="6432" ht="15.0" customHeight="1">
      <c r="A6432" s="11">
        <v>6431.0</v>
      </c>
      <c r="B6432" s="12">
        <f t="shared" si="1032"/>
        <v>40932</v>
      </c>
      <c r="C6432" s="13">
        <v>2012.0</v>
      </c>
      <c r="D6432" s="11" t="s">
        <v>44</v>
      </c>
      <c r="E6432" s="11">
        <v>47.0</v>
      </c>
      <c r="F6432" s="21" t="s">
        <v>562</v>
      </c>
      <c r="G6432" s="15">
        <v>0.05695921364907973</v>
      </c>
      <c r="H6432" s="11" t="s">
        <v>45</v>
      </c>
      <c r="I6432" s="16">
        <v>20.8</v>
      </c>
      <c r="J6432" s="11" t="s">
        <v>2266</v>
      </c>
      <c r="K6432" s="11" t="s">
        <v>26</v>
      </c>
      <c r="L6432" s="11" t="s">
        <v>48</v>
      </c>
      <c r="M6432" s="11" t="s">
        <v>49</v>
      </c>
      <c r="N6432" s="11" t="s">
        <v>50</v>
      </c>
      <c r="O6432" s="11" t="s">
        <v>1649</v>
      </c>
      <c r="P6432" s="11" t="s">
        <v>52</v>
      </c>
      <c r="Q6432" s="20">
        <v>40933.0</v>
      </c>
      <c r="R6432" s="17">
        <f t="shared" si="2"/>
        <v>1342.135647</v>
      </c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>
        <f t="shared" si="8"/>
        <v>4</v>
      </c>
      <c r="AF6432" s="19">
        <f t="shared" si="13"/>
        <v>1</v>
      </c>
      <c r="AG6432" s="9"/>
      <c r="AH6432" s="9"/>
      <c r="AI6432" s="9"/>
    </row>
    <row r="6433" ht="15.0" customHeight="1">
      <c r="A6433" s="11">
        <v>6432.0</v>
      </c>
      <c r="B6433" s="12">
        <f t="shared" si="1032"/>
        <v>40932</v>
      </c>
      <c r="C6433" s="13">
        <v>2012.0</v>
      </c>
      <c r="D6433" s="11" t="s">
        <v>44</v>
      </c>
      <c r="E6433" s="11">
        <v>24.0</v>
      </c>
      <c r="F6433" s="21" t="s">
        <v>610</v>
      </c>
      <c r="G6433" s="15">
        <v>0.057302089930335844</v>
      </c>
      <c r="H6433" s="11" t="s">
        <v>33</v>
      </c>
      <c r="I6433" s="16">
        <v>4.904</v>
      </c>
      <c r="J6433" s="11" t="s">
        <v>2266</v>
      </c>
      <c r="K6433" s="11" t="s">
        <v>26</v>
      </c>
      <c r="L6433" s="11" t="s">
        <v>48</v>
      </c>
      <c r="M6433" s="11" t="s">
        <v>28</v>
      </c>
      <c r="N6433" s="11" t="s">
        <v>29</v>
      </c>
      <c r="O6433" s="11" t="s">
        <v>1969</v>
      </c>
      <c r="P6433" s="11" t="s">
        <v>38</v>
      </c>
      <c r="Q6433" s="20">
        <v>40933.0</v>
      </c>
      <c r="R6433" s="17">
        <f t="shared" si="2"/>
        <v>17.05906138</v>
      </c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>
        <f t="shared" si="8"/>
        <v>4</v>
      </c>
      <c r="AF6433" s="19">
        <f t="shared" si="13"/>
        <v>1</v>
      </c>
      <c r="AG6433" s="9"/>
      <c r="AH6433" s="9"/>
      <c r="AI6433" s="9"/>
    </row>
    <row r="6434" ht="15.0" customHeight="1">
      <c r="A6434" s="11">
        <v>6433.0</v>
      </c>
      <c r="B6434" s="12">
        <f t="shared" si="1032"/>
        <v>40932</v>
      </c>
      <c r="C6434" s="13">
        <v>2012.0</v>
      </c>
      <c r="D6434" s="11" t="s">
        <v>44</v>
      </c>
      <c r="E6434" s="11">
        <v>31.0</v>
      </c>
      <c r="F6434" s="21" t="s">
        <v>304</v>
      </c>
      <c r="G6434" s="15">
        <v>0.02606896551724134</v>
      </c>
      <c r="H6434" s="11" t="s">
        <v>24</v>
      </c>
      <c r="I6434" s="16">
        <v>7.224</v>
      </c>
      <c r="J6434" s="11" t="s">
        <v>227</v>
      </c>
      <c r="K6434" s="11" t="s">
        <v>35</v>
      </c>
      <c r="L6434" s="11" t="s">
        <v>48</v>
      </c>
      <c r="M6434" s="11" t="s">
        <v>28</v>
      </c>
      <c r="N6434" s="11" t="s">
        <v>56</v>
      </c>
      <c r="O6434" s="11" t="s">
        <v>388</v>
      </c>
      <c r="P6434" s="11" t="s">
        <v>38</v>
      </c>
      <c r="Q6434" s="20">
        <v>40934.0</v>
      </c>
      <c r="R6434" s="17">
        <f t="shared" si="2"/>
        <v>15.4621291</v>
      </c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>
        <f t="shared" si="8"/>
        <v>4</v>
      </c>
      <c r="AF6434" s="19">
        <f t="shared" si="13"/>
        <v>2</v>
      </c>
      <c r="AG6434" s="9"/>
      <c r="AH6434" s="9"/>
      <c r="AI6434" s="9"/>
    </row>
    <row r="6435" ht="15.0" customHeight="1">
      <c r="A6435" s="11">
        <v>6434.0</v>
      </c>
      <c r="B6435" s="12">
        <f t="shared" si="1032"/>
        <v>40932</v>
      </c>
      <c r="C6435" s="13">
        <v>2012.0</v>
      </c>
      <c r="D6435" s="11" t="s">
        <v>44</v>
      </c>
      <c r="E6435" s="11">
        <v>1.0</v>
      </c>
      <c r="F6435" s="21" t="s">
        <v>319</v>
      </c>
      <c r="G6435" s="15">
        <v>0.06666666666666672</v>
      </c>
      <c r="H6435" s="11" t="s">
        <v>33</v>
      </c>
      <c r="I6435" s="16">
        <v>0.5599999999999999</v>
      </c>
      <c r="J6435" s="11" t="s">
        <v>227</v>
      </c>
      <c r="K6435" s="11" t="s">
        <v>35</v>
      </c>
      <c r="L6435" s="11" t="s">
        <v>48</v>
      </c>
      <c r="M6435" s="11" t="s">
        <v>28</v>
      </c>
      <c r="N6435" s="11" t="s">
        <v>62</v>
      </c>
      <c r="O6435" s="11" t="s">
        <v>321</v>
      </c>
      <c r="P6435" s="11" t="s">
        <v>58</v>
      </c>
      <c r="Q6435" s="20">
        <v>40935.0</v>
      </c>
      <c r="R6435" s="17">
        <f t="shared" si="2"/>
        <v>0.224</v>
      </c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>
        <f t="shared" si="8"/>
        <v>4</v>
      </c>
      <c r="AF6435" s="19">
        <f t="shared" si="13"/>
        <v>2</v>
      </c>
      <c r="AG6435" s="9"/>
      <c r="AH6435" s="9"/>
      <c r="AI6435" s="9"/>
    </row>
    <row r="6436" ht="15.0" customHeight="1">
      <c r="A6436" s="11">
        <v>6435.0</v>
      </c>
      <c r="B6436" s="12">
        <f t="shared" si="1032"/>
        <v>40932</v>
      </c>
      <c r="C6436" s="13">
        <v>2012.0</v>
      </c>
      <c r="D6436" s="11" t="s">
        <v>44</v>
      </c>
      <c r="E6436" s="11">
        <v>31.0</v>
      </c>
      <c r="F6436" s="21" t="s">
        <v>336</v>
      </c>
      <c r="G6436" s="15">
        <v>0.054945054945054944</v>
      </c>
      <c r="H6436" s="11" t="s">
        <v>33</v>
      </c>
      <c r="I6436" s="16">
        <v>0.8</v>
      </c>
      <c r="J6436" s="11" t="s">
        <v>227</v>
      </c>
      <c r="K6436" s="11" t="s">
        <v>35</v>
      </c>
      <c r="L6436" s="11" t="s">
        <v>48</v>
      </c>
      <c r="M6436" s="11" t="s">
        <v>28</v>
      </c>
      <c r="N6436" s="11" t="s">
        <v>62</v>
      </c>
      <c r="O6436" s="11" t="s">
        <v>2107</v>
      </c>
      <c r="P6436" s="11" t="s">
        <v>58</v>
      </c>
      <c r="Q6436" s="20">
        <v>40935.0</v>
      </c>
      <c r="R6436" s="17">
        <f t="shared" si="2"/>
        <v>9.923076923</v>
      </c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>
        <f t="shared" si="8"/>
        <v>4</v>
      </c>
      <c r="AF6436" s="19">
        <f t="shared" si="13"/>
        <v>2</v>
      </c>
      <c r="AG6436" s="9"/>
      <c r="AH6436" s="9"/>
      <c r="AI6436" s="9"/>
    </row>
    <row r="6437" ht="15.0" customHeight="1">
      <c r="A6437" s="11">
        <v>6436.0</v>
      </c>
      <c r="B6437" s="12">
        <f t="shared" ref="B6437:B6439" si="1033">DATE(2012,12,31)-341</f>
        <v>40933</v>
      </c>
      <c r="C6437" s="13">
        <v>2012.0</v>
      </c>
      <c r="D6437" s="11" t="s">
        <v>23</v>
      </c>
      <c r="E6437" s="11">
        <v>30.0</v>
      </c>
      <c r="F6437" s="21" t="s">
        <v>402</v>
      </c>
      <c r="G6437" s="15">
        <v>0.03776608660461349</v>
      </c>
      <c r="H6437" s="11" t="s">
        <v>33</v>
      </c>
      <c r="I6437" s="16">
        <v>3.7680000000000002</v>
      </c>
      <c r="J6437" s="11" t="s">
        <v>1607</v>
      </c>
      <c r="K6437" s="11" t="s">
        <v>35</v>
      </c>
      <c r="L6437" s="11" t="s">
        <v>41</v>
      </c>
      <c r="M6437" s="11" t="s">
        <v>28</v>
      </c>
      <c r="N6437" s="11" t="s">
        <v>42</v>
      </c>
      <c r="O6437" s="11" t="s">
        <v>404</v>
      </c>
      <c r="P6437" s="11" t="s">
        <v>38</v>
      </c>
      <c r="Q6437" s="20">
        <v>40935.0</v>
      </c>
      <c r="R6437" s="17">
        <f t="shared" si="2"/>
        <v>8.97956688</v>
      </c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>
        <f t="shared" si="8"/>
        <v>3</v>
      </c>
      <c r="AF6437" s="19">
        <f t="shared" si="13"/>
        <v>2</v>
      </c>
      <c r="AG6437" s="9"/>
      <c r="AH6437" s="9"/>
      <c r="AI6437" s="9"/>
    </row>
    <row r="6438" ht="15.0" customHeight="1">
      <c r="A6438" s="11">
        <v>6437.0</v>
      </c>
      <c r="B6438" s="12">
        <f t="shared" si="1033"/>
        <v>40933</v>
      </c>
      <c r="C6438" s="13">
        <v>2012.0</v>
      </c>
      <c r="D6438" s="11" t="s">
        <v>39</v>
      </c>
      <c r="E6438" s="11">
        <v>12.0</v>
      </c>
      <c r="F6438" s="21" t="s">
        <v>1362</v>
      </c>
      <c r="G6438" s="15">
        <v>0.09188313973952847</v>
      </c>
      <c r="H6438" s="11" t="s">
        <v>33</v>
      </c>
      <c r="I6438" s="16">
        <v>2.3920000000000003</v>
      </c>
      <c r="J6438" s="11" t="s">
        <v>227</v>
      </c>
      <c r="K6438" s="11" t="s">
        <v>35</v>
      </c>
      <c r="L6438" s="11" t="s">
        <v>27</v>
      </c>
      <c r="M6438" s="11" t="s">
        <v>28</v>
      </c>
      <c r="N6438" s="11" t="s">
        <v>42</v>
      </c>
      <c r="O6438" s="11" t="s">
        <v>1363</v>
      </c>
      <c r="P6438" s="11" t="s">
        <v>38</v>
      </c>
      <c r="Q6438" s="20">
        <v>40936.0</v>
      </c>
      <c r="R6438" s="17">
        <f t="shared" si="2"/>
        <v>47.41096504</v>
      </c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>
        <f t="shared" si="8"/>
        <v>1</v>
      </c>
      <c r="AF6438" s="19">
        <f t="shared" si="13"/>
        <v>2</v>
      </c>
      <c r="AG6438" s="9"/>
      <c r="AH6438" s="9"/>
      <c r="AI6438" s="9"/>
    </row>
    <row r="6439" ht="15.0" customHeight="1">
      <c r="A6439" s="11">
        <v>6438.0</v>
      </c>
      <c r="B6439" s="12">
        <f t="shared" si="1033"/>
        <v>40933</v>
      </c>
      <c r="C6439" s="13">
        <v>2012.0</v>
      </c>
      <c r="D6439" s="11" t="s">
        <v>39</v>
      </c>
      <c r="E6439" s="11">
        <v>25.0</v>
      </c>
      <c r="F6439" s="21" t="s">
        <v>158</v>
      </c>
      <c r="G6439" s="15">
        <v>0.10952227589908747</v>
      </c>
      <c r="H6439" s="11" t="s">
        <v>33</v>
      </c>
      <c r="I6439" s="16">
        <v>5.896000000000001</v>
      </c>
      <c r="J6439" s="11" t="s">
        <v>227</v>
      </c>
      <c r="K6439" s="11" t="s">
        <v>35</v>
      </c>
      <c r="L6439" s="11" t="s">
        <v>27</v>
      </c>
      <c r="M6439" s="11" t="s">
        <v>28</v>
      </c>
      <c r="N6439" s="11" t="s">
        <v>56</v>
      </c>
      <c r="O6439" s="11" t="s">
        <v>860</v>
      </c>
      <c r="P6439" s="11" t="s">
        <v>38</v>
      </c>
      <c r="Q6439" s="20">
        <v>40936.0</v>
      </c>
      <c r="R6439" s="17">
        <f t="shared" si="2"/>
        <v>18.16930748</v>
      </c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>
        <f t="shared" si="8"/>
        <v>1</v>
      </c>
      <c r="AF6439" s="19">
        <f t="shared" si="13"/>
        <v>2</v>
      </c>
      <c r="AG6439" s="9"/>
      <c r="AH6439" s="9"/>
      <c r="AI6439" s="9"/>
    </row>
    <row r="6440" ht="15.0" customHeight="1">
      <c r="A6440" s="11">
        <v>6439.0</v>
      </c>
      <c r="B6440" s="12">
        <f t="shared" ref="B6440:B6444" si="1034">DATE(2012,12,31)-340</f>
        <v>40934</v>
      </c>
      <c r="C6440" s="13">
        <v>2012.0</v>
      </c>
      <c r="D6440" s="11" t="s">
        <v>102</v>
      </c>
      <c r="E6440" s="11">
        <v>5.0</v>
      </c>
      <c r="F6440" s="21" t="s">
        <v>306</v>
      </c>
      <c r="G6440" s="15">
        <v>0.06136936936936935</v>
      </c>
      <c r="H6440" s="11" t="s">
        <v>33</v>
      </c>
      <c r="I6440" s="16">
        <v>4.688000000000001</v>
      </c>
      <c r="J6440" s="11" t="s">
        <v>1014</v>
      </c>
      <c r="K6440" s="11" t="s">
        <v>61</v>
      </c>
      <c r="L6440" s="11" t="s">
        <v>36</v>
      </c>
      <c r="M6440" s="11" t="s">
        <v>28</v>
      </c>
      <c r="N6440" s="11" t="s">
        <v>56</v>
      </c>
      <c r="O6440" s="11" t="s">
        <v>2227</v>
      </c>
      <c r="P6440" s="11" t="s">
        <v>38</v>
      </c>
      <c r="Q6440" s="20">
        <v>40936.0</v>
      </c>
      <c r="R6440" s="17">
        <f t="shared" si="2"/>
        <v>6.393951856</v>
      </c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>
        <f t="shared" si="8"/>
        <v>2</v>
      </c>
      <c r="AF6440" s="19">
        <f t="shared" si="13"/>
        <v>4</v>
      </c>
      <c r="AG6440" s="9"/>
      <c r="AH6440" s="9"/>
      <c r="AI6440" s="9"/>
    </row>
    <row r="6441" ht="15.0" customHeight="1">
      <c r="A6441" s="11">
        <v>6440.0</v>
      </c>
      <c r="B6441" s="12">
        <f t="shared" si="1034"/>
        <v>40934</v>
      </c>
      <c r="C6441" s="13">
        <v>2012.0</v>
      </c>
      <c r="D6441" s="11" t="s">
        <v>44</v>
      </c>
      <c r="E6441" s="11">
        <v>4.0</v>
      </c>
      <c r="F6441" s="21" t="s">
        <v>621</v>
      </c>
      <c r="G6441" s="15">
        <v>0.07890739506995333</v>
      </c>
      <c r="H6441" s="11" t="s">
        <v>45</v>
      </c>
      <c r="I6441" s="16">
        <v>22.448</v>
      </c>
      <c r="J6441" s="11" t="s">
        <v>2407</v>
      </c>
      <c r="K6441" s="11" t="s">
        <v>65</v>
      </c>
      <c r="L6441" s="11" t="s">
        <v>27</v>
      </c>
      <c r="M6441" s="11" t="s">
        <v>66</v>
      </c>
      <c r="N6441" s="11" t="s">
        <v>69</v>
      </c>
      <c r="O6441" s="11" t="s">
        <v>916</v>
      </c>
      <c r="P6441" s="11" t="s">
        <v>52</v>
      </c>
      <c r="Q6441" s="20">
        <v>40936.0</v>
      </c>
      <c r="R6441" s="17">
        <f t="shared" si="2"/>
        <v>87.2753665</v>
      </c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>
        <f t="shared" si="8"/>
        <v>1</v>
      </c>
      <c r="AF6441" s="19">
        <f t="shared" si="13"/>
        <v>5</v>
      </c>
      <c r="AG6441" s="9"/>
      <c r="AH6441" s="9"/>
      <c r="AI6441" s="9"/>
    </row>
    <row r="6442" ht="15.0" customHeight="1">
      <c r="A6442" s="11">
        <v>6441.0</v>
      </c>
      <c r="B6442" s="12">
        <f t="shared" si="1034"/>
        <v>40934</v>
      </c>
      <c r="C6442" s="13">
        <v>2012.0</v>
      </c>
      <c r="D6442" s="11" t="s">
        <v>44</v>
      </c>
      <c r="E6442" s="11">
        <v>43.0</v>
      </c>
      <c r="F6442" s="21" t="s">
        <v>277</v>
      </c>
      <c r="G6442" s="15">
        <v>0.012277227722772408</v>
      </c>
      <c r="H6442" s="11" t="s">
        <v>33</v>
      </c>
      <c r="I6442" s="16">
        <v>1.032</v>
      </c>
      <c r="J6442" s="11" t="s">
        <v>2407</v>
      </c>
      <c r="K6442" s="11" t="s">
        <v>65</v>
      </c>
      <c r="L6442" s="11" t="s">
        <v>27</v>
      </c>
      <c r="M6442" s="11" t="s">
        <v>28</v>
      </c>
      <c r="N6442" s="11" t="s">
        <v>62</v>
      </c>
      <c r="O6442" s="11" t="s">
        <v>1962</v>
      </c>
      <c r="P6442" s="11" t="s">
        <v>58</v>
      </c>
      <c r="Q6442" s="20">
        <v>40936.0</v>
      </c>
      <c r="R6442" s="17">
        <f t="shared" si="2"/>
        <v>0.8573433663</v>
      </c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>
        <f t="shared" si="8"/>
        <v>1</v>
      </c>
      <c r="AF6442" s="19">
        <f t="shared" si="13"/>
        <v>5</v>
      </c>
      <c r="AG6442" s="9"/>
      <c r="AH6442" s="9"/>
      <c r="AI6442" s="9"/>
    </row>
    <row r="6443" ht="15.0" customHeight="1">
      <c r="A6443" s="11">
        <v>6442.0</v>
      </c>
      <c r="B6443" s="12">
        <f t="shared" si="1034"/>
        <v>40934</v>
      </c>
      <c r="C6443" s="13">
        <v>2012.0</v>
      </c>
      <c r="D6443" s="11" t="s">
        <v>102</v>
      </c>
      <c r="E6443" s="11">
        <v>30.0</v>
      </c>
      <c r="F6443" s="21" t="s">
        <v>103</v>
      </c>
      <c r="G6443" s="15">
        <v>0.06426127527216181</v>
      </c>
      <c r="H6443" s="11" t="s">
        <v>33</v>
      </c>
      <c r="I6443" s="16">
        <v>3.504</v>
      </c>
      <c r="J6443" s="11" t="s">
        <v>120</v>
      </c>
      <c r="K6443" s="11" t="s">
        <v>35</v>
      </c>
      <c r="L6443" s="11" t="s">
        <v>41</v>
      </c>
      <c r="M6443" s="11" t="s">
        <v>66</v>
      </c>
      <c r="N6443" s="11" t="s">
        <v>67</v>
      </c>
      <c r="O6443" s="11" t="s">
        <v>1284</v>
      </c>
      <c r="P6443" s="11" t="s">
        <v>99</v>
      </c>
      <c r="Q6443" s="20">
        <v>40937.0</v>
      </c>
      <c r="R6443" s="17">
        <f t="shared" si="2"/>
        <v>11.59941723</v>
      </c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>
        <f t="shared" si="8"/>
        <v>3</v>
      </c>
      <c r="AF6443" s="19">
        <f t="shared" si="13"/>
        <v>2</v>
      </c>
      <c r="AG6443" s="9"/>
      <c r="AH6443" s="9"/>
      <c r="AI6443" s="9"/>
    </row>
    <row r="6444" ht="15.0" customHeight="1">
      <c r="A6444" s="11">
        <v>6443.0</v>
      </c>
      <c r="B6444" s="12">
        <f t="shared" si="1034"/>
        <v>40934</v>
      </c>
      <c r="C6444" s="13">
        <v>2012.0</v>
      </c>
      <c r="D6444" s="11" t="s">
        <v>102</v>
      </c>
      <c r="E6444" s="11">
        <v>12.0</v>
      </c>
      <c r="F6444" s="21" t="s">
        <v>158</v>
      </c>
      <c r="G6444" s="15">
        <v>0.06992299229922985</v>
      </c>
      <c r="H6444" s="11" t="s">
        <v>33</v>
      </c>
      <c r="I6444" s="16">
        <v>7.744</v>
      </c>
      <c r="J6444" s="11" t="s">
        <v>120</v>
      </c>
      <c r="K6444" s="11" t="s">
        <v>35</v>
      </c>
      <c r="L6444" s="11" t="s">
        <v>41</v>
      </c>
      <c r="M6444" s="11" t="s">
        <v>49</v>
      </c>
      <c r="N6444" s="11" t="s">
        <v>73</v>
      </c>
      <c r="O6444" s="11" t="s">
        <v>191</v>
      </c>
      <c r="P6444" s="11" t="s">
        <v>99</v>
      </c>
      <c r="Q6444" s="20">
        <v>40937.0</v>
      </c>
      <c r="R6444" s="17">
        <f t="shared" si="2"/>
        <v>5.911569461</v>
      </c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>
        <f t="shared" si="8"/>
        <v>3</v>
      </c>
      <c r="AF6444" s="19">
        <f t="shared" si="13"/>
        <v>2</v>
      </c>
      <c r="AG6444" s="9"/>
      <c r="AH6444" s="9"/>
      <c r="AI6444" s="9"/>
    </row>
    <row r="6445" ht="15.0" customHeight="1">
      <c r="A6445" s="11">
        <v>6444.0</v>
      </c>
      <c r="B6445" s="12">
        <f t="shared" ref="B6445:B6452" si="1035">DATE(2012,12,31)-339</f>
        <v>40935</v>
      </c>
      <c r="C6445" s="13">
        <v>2012.0</v>
      </c>
      <c r="D6445" s="11" t="s">
        <v>32</v>
      </c>
      <c r="E6445" s="11">
        <v>13.0</v>
      </c>
      <c r="F6445" s="21" t="s">
        <v>231</v>
      </c>
      <c r="G6445" s="15">
        <v>0.026536440725715597</v>
      </c>
      <c r="H6445" s="11" t="s">
        <v>33</v>
      </c>
      <c r="I6445" s="16">
        <v>1.592</v>
      </c>
      <c r="J6445" s="11" t="s">
        <v>2391</v>
      </c>
      <c r="K6445" s="11" t="s">
        <v>47</v>
      </c>
      <c r="L6445" s="11" t="s">
        <v>48</v>
      </c>
      <c r="M6445" s="11" t="s">
        <v>66</v>
      </c>
      <c r="N6445" s="11" t="s">
        <v>67</v>
      </c>
      <c r="O6445" s="11" t="s">
        <v>233</v>
      </c>
      <c r="P6445" s="11" t="s">
        <v>99</v>
      </c>
      <c r="Q6445" s="20">
        <v>40937.0</v>
      </c>
      <c r="R6445" s="17">
        <f t="shared" si="2"/>
        <v>11.73685544</v>
      </c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>
        <f t="shared" si="8"/>
        <v>4</v>
      </c>
      <c r="AF6445" s="19">
        <f t="shared" si="13"/>
        <v>3</v>
      </c>
      <c r="AG6445" s="9"/>
      <c r="AH6445" s="9"/>
      <c r="AI6445" s="9"/>
    </row>
    <row r="6446" ht="15.0" customHeight="1">
      <c r="A6446" s="11">
        <v>6445.0</v>
      </c>
      <c r="B6446" s="12">
        <f t="shared" si="1035"/>
        <v>40935</v>
      </c>
      <c r="C6446" s="13">
        <v>2012.0</v>
      </c>
      <c r="D6446" s="11" t="s">
        <v>102</v>
      </c>
      <c r="E6446" s="11">
        <v>32.0</v>
      </c>
      <c r="F6446" s="21" t="s">
        <v>797</v>
      </c>
      <c r="G6446" s="15">
        <v>0.08637974683544311</v>
      </c>
      <c r="H6446" s="11" t="s">
        <v>33</v>
      </c>
      <c r="I6446" s="16">
        <v>1.592</v>
      </c>
      <c r="J6446" s="11" t="s">
        <v>2101</v>
      </c>
      <c r="K6446" s="11" t="s">
        <v>65</v>
      </c>
      <c r="L6446" s="11" t="s">
        <v>48</v>
      </c>
      <c r="M6446" s="11" t="s">
        <v>66</v>
      </c>
      <c r="N6446" s="11" t="s">
        <v>67</v>
      </c>
      <c r="O6446" s="11" t="s">
        <v>2593</v>
      </c>
      <c r="P6446" s="11" t="s">
        <v>99</v>
      </c>
      <c r="Q6446" s="20">
        <v>40937.0</v>
      </c>
      <c r="R6446" s="17">
        <f t="shared" si="2"/>
        <v>28.05545073</v>
      </c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>
        <f t="shared" si="8"/>
        <v>4</v>
      </c>
      <c r="AF6446" s="19">
        <f t="shared" si="13"/>
        <v>5</v>
      </c>
      <c r="AG6446" s="9"/>
      <c r="AH6446" s="9"/>
      <c r="AI6446" s="9"/>
    </row>
    <row r="6447" ht="15.0" customHeight="1">
      <c r="A6447" s="11">
        <v>6446.0</v>
      </c>
      <c r="B6447" s="12">
        <f t="shared" si="1035"/>
        <v>40935</v>
      </c>
      <c r="C6447" s="13">
        <v>2012.0</v>
      </c>
      <c r="D6447" s="11" t="s">
        <v>23</v>
      </c>
      <c r="E6447" s="11">
        <v>33.0</v>
      </c>
      <c r="F6447" s="21" t="s">
        <v>1247</v>
      </c>
      <c r="G6447" s="15">
        <v>0.08420043572984755</v>
      </c>
      <c r="H6447" s="11" t="s">
        <v>24</v>
      </c>
      <c r="I6447" s="16">
        <v>5.5760000000000005</v>
      </c>
      <c r="J6447" s="11" t="s">
        <v>1405</v>
      </c>
      <c r="K6447" s="11" t="s">
        <v>35</v>
      </c>
      <c r="L6447" s="11" t="s">
        <v>48</v>
      </c>
      <c r="M6447" s="11" t="s">
        <v>28</v>
      </c>
      <c r="N6447" s="11" t="s">
        <v>42</v>
      </c>
      <c r="O6447" s="11" t="s">
        <v>2506</v>
      </c>
      <c r="P6447" s="11" t="s">
        <v>38</v>
      </c>
      <c r="Q6447" s="20">
        <v>40937.0</v>
      </c>
      <c r="R6447" s="17">
        <f t="shared" si="2"/>
        <v>17.69691078</v>
      </c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>
        <f t="shared" si="8"/>
        <v>4</v>
      </c>
      <c r="AF6447" s="19">
        <f t="shared" si="13"/>
        <v>2</v>
      </c>
      <c r="AG6447" s="9"/>
      <c r="AH6447" s="9"/>
      <c r="AI6447" s="9"/>
    </row>
    <row r="6448" ht="15.0" customHeight="1">
      <c r="A6448" s="11">
        <v>6447.0</v>
      </c>
      <c r="B6448" s="12">
        <f t="shared" si="1035"/>
        <v>40935</v>
      </c>
      <c r="C6448" s="13">
        <v>2012.0</v>
      </c>
      <c r="D6448" s="11" t="s">
        <v>44</v>
      </c>
      <c r="E6448" s="11">
        <v>21.0</v>
      </c>
      <c r="F6448" s="21" t="s">
        <v>1469</v>
      </c>
      <c r="G6448" s="15">
        <v>0.03926896571651473</v>
      </c>
      <c r="H6448" s="11" t="s">
        <v>33</v>
      </c>
      <c r="I6448" s="16">
        <v>15.991999999999999</v>
      </c>
      <c r="J6448" s="11" t="s">
        <v>674</v>
      </c>
      <c r="K6448" s="11" t="s">
        <v>61</v>
      </c>
      <c r="L6448" s="11" t="s">
        <v>36</v>
      </c>
      <c r="M6448" s="11" t="s">
        <v>28</v>
      </c>
      <c r="N6448" s="11" t="s">
        <v>42</v>
      </c>
      <c r="O6448" s="11" t="s">
        <v>1471</v>
      </c>
      <c r="P6448" s="11" t="s">
        <v>38</v>
      </c>
      <c r="Q6448" s="20">
        <v>40937.0</v>
      </c>
      <c r="R6448" s="17">
        <f t="shared" si="2"/>
        <v>261.134381</v>
      </c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>
        <f t="shared" si="8"/>
        <v>2</v>
      </c>
      <c r="AF6448" s="19">
        <f t="shared" si="13"/>
        <v>4</v>
      </c>
      <c r="AG6448" s="9"/>
      <c r="AH6448" s="9"/>
      <c r="AI6448" s="9"/>
    </row>
    <row r="6449" ht="15.0" customHeight="1">
      <c r="A6449" s="11">
        <v>6448.0</v>
      </c>
      <c r="B6449" s="12">
        <f t="shared" si="1035"/>
        <v>40935</v>
      </c>
      <c r="C6449" s="13">
        <v>2012.0</v>
      </c>
      <c r="D6449" s="11" t="s">
        <v>44</v>
      </c>
      <c r="E6449" s="11">
        <v>22.0</v>
      </c>
      <c r="F6449" s="21" t="s">
        <v>573</v>
      </c>
      <c r="G6449" s="15">
        <v>0.018034482758620678</v>
      </c>
      <c r="H6449" s="11" t="s">
        <v>33</v>
      </c>
      <c r="I6449" s="16">
        <v>10.016</v>
      </c>
      <c r="J6449" s="11" t="s">
        <v>674</v>
      </c>
      <c r="K6449" s="11" t="s">
        <v>61</v>
      </c>
      <c r="L6449" s="11" t="s">
        <v>36</v>
      </c>
      <c r="M6449" s="11" t="s">
        <v>49</v>
      </c>
      <c r="N6449" s="11" t="s">
        <v>73</v>
      </c>
      <c r="O6449" s="11" t="s">
        <v>575</v>
      </c>
      <c r="P6449" s="11" t="s">
        <v>38</v>
      </c>
      <c r="Q6449" s="20">
        <v>40938.0</v>
      </c>
      <c r="R6449" s="17">
        <f t="shared" si="2"/>
        <v>4.108543724</v>
      </c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>
        <f t="shared" si="8"/>
        <v>2</v>
      </c>
      <c r="AF6449" s="19">
        <f t="shared" si="13"/>
        <v>4</v>
      </c>
      <c r="AG6449" s="9"/>
      <c r="AH6449" s="9"/>
      <c r="AI6449" s="9"/>
    </row>
    <row r="6450" ht="15.0" customHeight="1">
      <c r="A6450" s="11">
        <v>6449.0</v>
      </c>
      <c r="B6450" s="12">
        <f t="shared" si="1035"/>
        <v>40935</v>
      </c>
      <c r="C6450" s="13">
        <v>2012.0</v>
      </c>
      <c r="D6450" s="11" t="s">
        <v>44</v>
      </c>
      <c r="E6450" s="11">
        <v>7.0</v>
      </c>
      <c r="F6450" s="21" t="s">
        <v>287</v>
      </c>
      <c r="G6450" s="15">
        <v>0.07527003979533818</v>
      </c>
      <c r="H6450" s="11" t="s">
        <v>33</v>
      </c>
      <c r="I6450" s="16">
        <v>2.0</v>
      </c>
      <c r="J6450" s="11" t="s">
        <v>674</v>
      </c>
      <c r="K6450" s="11" t="s">
        <v>61</v>
      </c>
      <c r="L6450" s="11" t="s">
        <v>36</v>
      </c>
      <c r="M6450" s="11" t="s">
        <v>66</v>
      </c>
      <c r="N6450" s="11" t="s">
        <v>80</v>
      </c>
      <c r="O6450" s="11" t="s">
        <v>1812</v>
      </c>
      <c r="P6450" s="11" t="s">
        <v>38</v>
      </c>
      <c r="Q6450" s="20">
        <v>40938.0</v>
      </c>
      <c r="R6450" s="17">
        <f t="shared" si="2"/>
        <v>61.21712337</v>
      </c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>
        <f t="shared" si="8"/>
        <v>2</v>
      </c>
      <c r="AF6450" s="19">
        <f t="shared" si="13"/>
        <v>4</v>
      </c>
      <c r="AG6450" s="9"/>
      <c r="AH6450" s="9"/>
      <c r="AI6450" s="9"/>
    </row>
    <row r="6451" ht="15.0" customHeight="1">
      <c r="A6451" s="11">
        <v>6450.0</v>
      </c>
      <c r="B6451" s="12">
        <f t="shared" si="1035"/>
        <v>40935</v>
      </c>
      <c r="C6451" s="13">
        <v>2012.0</v>
      </c>
      <c r="D6451" s="11" t="s">
        <v>44</v>
      </c>
      <c r="E6451" s="11">
        <v>40.0</v>
      </c>
      <c r="F6451" s="21" t="s">
        <v>498</v>
      </c>
      <c r="G6451" s="15">
        <v>0.04895025983667409</v>
      </c>
      <c r="H6451" s="11" t="s">
        <v>33</v>
      </c>
      <c r="I6451" s="16">
        <v>7.192</v>
      </c>
      <c r="J6451" s="11" t="s">
        <v>674</v>
      </c>
      <c r="K6451" s="11" t="s">
        <v>61</v>
      </c>
      <c r="L6451" s="11" t="s">
        <v>36</v>
      </c>
      <c r="M6451" s="11" t="s">
        <v>66</v>
      </c>
      <c r="N6451" s="11" t="s">
        <v>80</v>
      </c>
      <c r="O6451" s="11" t="s">
        <v>1763</v>
      </c>
      <c r="P6451" s="11" t="s">
        <v>38</v>
      </c>
      <c r="Q6451" s="20">
        <v>40939.0</v>
      </c>
      <c r="R6451" s="17">
        <f t="shared" si="2"/>
        <v>188.125247</v>
      </c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>
        <f t="shared" si="8"/>
        <v>2</v>
      </c>
      <c r="AF6451" s="19">
        <f t="shared" si="13"/>
        <v>4</v>
      </c>
      <c r="AG6451" s="9"/>
      <c r="AH6451" s="9"/>
      <c r="AI6451" s="9"/>
    </row>
    <row r="6452" ht="15.0" customHeight="1">
      <c r="A6452" s="11">
        <v>6451.0</v>
      </c>
      <c r="B6452" s="12">
        <f t="shared" si="1035"/>
        <v>40935</v>
      </c>
      <c r="C6452" s="13">
        <v>2012.0</v>
      </c>
      <c r="D6452" s="11" t="s">
        <v>102</v>
      </c>
      <c r="E6452" s="11">
        <v>27.0</v>
      </c>
      <c r="F6452" s="21" t="s">
        <v>333</v>
      </c>
      <c r="G6452" s="15">
        <v>0.02505548705302092</v>
      </c>
      <c r="H6452" s="11" t="s">
        <v>33</v>
      </c>
      <c r="I6452" s="16">
        <v>0.768</v>
      </c>
      <c r="J6452" s="11" t="s">
        <v>1222</v>
      </c>
      <c r="K6452" s="11" t="s">
        <v>83</v>
      </c>
      <c r="L6452" s="11" t="s">
        <v>48</v>
      </c>
      <c r="M6452" s="11" t="s">
        <v>28</v>
      </c>
      <c r="N6452" s="11" t="s">
        <v>62</v>
      </c>
      <c r="O6452" s="11" t="s">
        <v>549</v>
      </c>
      <c r="P6452" s="11" t="s">
        <v>58</v>
      </c>
      <c r="Q6452" s="20">
        <v>40939.0</v>
      </c>
      <c r="R6452" s="17">
        <f t="shared" si="2"/>
        <v>1.98108725</v>
      </c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>
        <f t="shared" si="8"/>
        <v>4</v>
      </c>
      <c r="AF6452" s="19" t="b">
        <f t="shared" si="13"/>
        <v>0</v>
      </c>
      <c r="AG6452" s="9"/>
      <c r="AH6452" s="9"/>
      <c r="AI6452" s="9"/>
    </row>
    <row r="6453" ht="15.0" customHeight="1">
      <c r="A6453" s="11">
        <v>6452.0</v>
      </c>
      <c r="B6453" s="12">
        <f t="shared" ref="B6453:B6456" si="1036">DATE(2012,12,31)-338</f>
        <v>40936</v>
      </c>
      <c r="C6453" s="13">
        <v>2012.0</v>
      </c>
      <c r="D6453" s="11" t="s">
        <v>102</v>
      </c>
      <c r="E6453" s="11">
        <v>14.0</v>
      </c>
      <c r="F6453" s="21" t="s">
        <v>270</v>
      </c>
      <c r="G6453" s="15">
        <v>0.05204659717964434</v>
      </c>
      <c r="H6453" s="11" t="s">
        <v>33</v>
      </c>
      <c r="I6453" s="16">
        <v>7.192</v>
      </c>
      <c r="J6453" s="11" t="s">
        <v>1466</v>
      </c>
      <c r="K6453" s="11" t="s">
        <v>65</v>
      </c>
      <c r="L6453" s="11" t="s">
        <v>27</v>
      </c>
      <c r="M6453" s="11" t="s">
        <v>28</v>
      </c>
      <c r="N6453" s="11" t="s">
        <v>62</v>
      </c>
      <c r="O6453" s="11" t="s">
        <v>1847</v>
      </c>
      <c r="P6453" s="11" t="s">
        <v>99</v>
      </c>
      <c r="Q6453" s="20">
        <v>40939.0</v>
      </c>
      <c r="R6453" s="17">
        <f t="shared" si="2"/>
        <v>30.17620067</v>
      </c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>
        <f t="shared" si="8"/>
        <v>1</v>
      </c>
      <c r="AF6453" s="19">
        <f t="shared" si="13"/>
        <v>5</v>
      </c>
      <c r="AG6453" s="9"/>
      <c r="AH6453" s="9"/>
      <c r="AI6453" s="9"/>
    </row>
    <row r="6454" ht="15.0" customHeight="1">
      <c r="A6454" s="11">
        <v>6453.0</v>
      </c>
      <c r="B6454" s="12">
        <f t="shared" si="1036"/>
        <v>40936</v>
      </c>
      <c r="C6454" s="13">
        <v>2012.0</v>
      </c>
      <c r="D6454" s="11" t="s">
        <v>39</v>
      </c>
      <c r="E6454" s="11">
        <v>41.0</v>
      </c>
      <c r="F6454" s="21" t="s">
        <v>178</v>
      </c>
      <c r="G6454" s="15">
        <v>0.011503745660515263</v>
      </c>
      <c r="H6454" s="11" t="s">
        <v>24</v>
      </c>
      <c r="I6454" s="16">
        <v>3.12</v>
      </c>
      <c r="J6454" s="11" t="s">
        <v>1623</v>
      </c>
      <c r="K6454" s="11" t="s">
        <v>35</v>
      </c>
      <c r="L6454" s="11" t="s">
        <v>48</v>
      </c>
      <c r="M6454" s="11" t="s">
        <v>66</v>
      </c>
      <c r="N6454" s="11" t="s">
        <v>80</v>
      </c>
      <c r="O6454" s="11" t="s">
        <v>2029</v>
      </c>
      <c r="P6454" s="11" t="s">
        <v>38</v>
      </c>
      <c r="Q6454" s="20">
        <v>40939.0</v>
      </c>
      <c r="R6454" s="17">
        <f t="shared" si="2"/>
        <v>31.11786209</v>
      </c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>
        <f t="shared" si="8"/>
        <v>4</v>
      </c>
      <c r="AF6454" s="19">
        <f t="shared" si="13"/>
        <v>2</v>
      </c>
      <c r="AG6454" s="9"/>
      <c r="AH6454" s="9"/>
      <c r="AI6454" s="9"/>
    </row>
    <row r="6455" ht="15.0" customHeight="1">
      <c r="A6455" s="11">
        <v>6454.0</v>
      </c>
      <c r="B6455" s="12">
        <f t="shared" si="1036"/>
        <v>40936</v>
      </c>
      <c r="C6455" s="13">
        <v>2012.0</v>
      </c>
      <c r="D6455" s="11" t="s">
        <v>23</v>
      </c>
      <c r="E6455" s="11">
        <v>46.0</v>
      </c>
      <c r="F6455" s="21" t="s">
        <v>718</v>
      </c>
      <c r="G6455" s="15">
        <v>0.0227278791921888</v>
      </c>
      <c r="H6455" s="11" t="s">
        <v>24</v>
      </c>
      <c r="I6455" s="16">
        <v>6.024000000000001</v>
      </c>
      <c r="J6455" s="11" t="s">
        <v>1750</v>
      </c>
      <c r="K6455" s="11" t="s">
        <v>65</v>
      </c>
      <c r="L6455" s="11" t="s">
        <v>36</v>
      </c>
      <c r="M6455" s="11" t="s">
        <v>66</v>
      </c>
      <c r="N6455" s="11" t="s">
        <v>67</v>
      </c>
      <c r="O6455" s="11" t="s">
        <v>813</v>
      </c>
      <c r="P6455" s="11" t="s">
        <v>38</v>
      </c>
      <c r="Q6455" s="20">
        <v>40940.0</v>
      </c>
      <c r="R6455" s="17">
        <f t="shared" si="2"/>
        <v>36.62425</v>
      </c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>
        <f t="shared" si="8"/>
        <v>2</v>
      </c>
      <c r="AF6455" s="19">
        <f t="shared" si="13"/>
        <v>5</v>
      </c>
      <c r="AG6455" s="9"/>
      <c r="AH6455" s="9"/>
      <c r="AI6455" s="9"/>
    </row>
    <row r="6456" ht="15.0" customHeight="1">
      <c r="A6456" s="11">
        <v>6455.0</v>
      </c>
      <c r="B6456" s="12">
        <f t="shared" si="1036"/>
        <v>40936</v>
      </c>
      <c r="C6456" s="13">
        <v>2012.0</v>
      </c>
      <c r="D6456" s="11" t="s">
        <v>23</v>
      </c>
      <c r="E6456" s="11">
        <v>44.0</v>
      </c>
      <c r="F6456" s="21" t="s">
        <v>948</v>
      </c>
      <c r="G6456" s="15">
        <v>0.03175517551755181</v>
      </c>
      <c r="H6456" s="11" t="s">
        <v>33</v>
      </c>
      <c r="I6456" s="16">
        <v>3.944</v>
      </c>
      <c r="J6456" s="11" t="s">
        <v>1750</v>
      </c>
      <c r="K6456" s="11" t="s">
        <v>65</v>
      </c>
      <c r="L6456" s="11" t="s">
        <v>36</v>
      </c>
      <c r="M6456" s="11" t="s">
        <v>66</v>
      </c>
      <c r="N6456" s="11" t="s">
        <v>67</v>
      </c>
      <c r="O6456" s="11" t="s">
        <v>1295</v>
      </c>
      <c r="P6456" s="11" t="s">
        <v>99</v>
      </c>
      <c r="Q6456" s="20">
        <v>40940.0</v>
      </c>
      <c r="R6456" s="17">
        <f t="shared" si="2"/>
        <v>6.831935482</v>
      </c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>
        <f t="shared" si="8"/>
        <v>2</v>
      </c>
      <c r="AF6456" s="19">
        <f t="shared" si="13"/>
        <v>5</v>
      </c>
      <c r="AG6456" s="9"/>
      <c r="AH6456" s="9"/>
      <c r="AI6456" s="9"/>
    </row>
    <row r="6457" ht="15.0" customHeight="1">
      <c r="A6457" s="11">
        <v>6456.0</v>
      </c>
      <c r="B6457" s="12">
        <f>DATE(2012,12,31)-337</f>
        <v>40937</v>
      </c>
      <c r="C6457" s="13">
        <v>2012.0</v>
      </c>
      <c r="D6457" s="11" t="s">
        <v>44</v>
      </c>
      <c r="E6457" s="11">
        <v>14.0</v>
      </c>
      <c r="F6457" s="21" t="s">
        <v>1195</v>
      </c>
      <c r="G6457" s="15">
        <v>0.06096415327564897</v>
      </c>
      <c r="H6457" s="11" t="s">
        <v>33</v>
      </c>
      <c r="I6457" s="16">
        <v>3.168</v>
      </c>
      <c r="J6457" s="11" t="s">
        <v>167</v>
      </c>
      <c r="K6457" s="11" t="s">
        <v>26</v>
      </c>
      <c r="L6457" s="11" t="s">
        <v>27</v>
      </c>
      <c r="M6457" s="11" t="s">
        <v>49</v>
      </c>
      <c r="N6457" s="11" t="s">
        <v>73</v>
      </c>
      <c r="O6457" s="11" t="s">
        <v>2124</v>
      </c>
      <c r="P6457" s="11" t="s">
        <v>58</v>
      </c>
      <c r="Q6457" s="20">
        <v>40940.0</v>
      </c>
      <c r="R6457" s="17">
        <f t="shared" si="2"/>
        <v>4.631324796</v>
      </c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>
        <f t="shared" si="8"/>
        <v>1</v>
      </c>
      <c r="AF6457" s="19">
        <f t="shared" si="13"/>
        <v>1</v>
      </c>
      <c r="AG6457" s="9"/>
      <c r="AH6457" s="9"/>
      <c r="AI6457" s="9"/>
    </row>
    <row r="6458" ht="15.0" customHeight="1">
      <c r="A6458" s="11">
        <v>6457.0</v>
      </c>
      <c r="B6458" s="12">
        <f t="shared" ref="B6458:B6466" si="1037">DATE(2012,12,31)-336</f>
        <v>40938</v>
      </c>
      <c r="C6458" s="13">
        <v>2012.0</v>
      </c>
      <c r="D6458" s="11" t="s">
        <v>39</v>
      </c>
      <c r="E6458" s="11">
        <v>36.0</v>
      </c>
      <c r="F6458" s="21" t="s">
        <v>1662</v>
      </c>
      <c r="G6458" s="15">
        <v>0.049165824632311825</v>
      </c>
      <c r="H6458" s="11" t="s">
        <v>33</v>
      </c>
      <c r="I6458" s="16">
        <v>5.416</v>
      </c>
      <c r="J6458" s="11" t="s">
        <v>1744</v>
      </c>
      <c r="K6458" s="11" t="s">
        <v>61</v>
      </c>
      <c r="L6458" s="11" t="s">
        <v>36</v>
      </c>
      <c r="M6458" s="11" t="s">
        <v>49</v>
      </c>
      <c r="N6458" s="11" t="s">
        <v>73</v>
      </c>
      <c r="O6458" s="11" t="s">
        <v>1663</v>
      </c>
      <c r="P6458" s="11" t="s">
        <v>38</v>
      </c>
      <c r="Q6458" s="20">
        <v>40940.0</v>
      </c>
      <c r="R6458" s="17">
        <f t="shared" si="2"/>
        <v>83.27786042</v>
      </c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>
        <f t="shared" si="8"/>
        <v>2</v>
      </c>
      <c r="AF6458" s="19">
        <f t="shared" si="13"/>
        <v>4</v>
      </c>
      <c r="AG6458" s="9"/>
      <c r="AH6458" s="9"/>
      <c r="AI6458" s="9"/>
    </row>
    <row r="6459" ht="15.0" customHeight="1">
      <c r="A6459" s="11">
        <v>6458.0</v>
      </c>
      <c r="B6459" s="12">
        <f t="shared" si="1037"/>
        <v>40938</v>
      </c>
      <c r="C6459" s="13">
        <v>2012.0</v>
      </c>
      <c r="D6459" s="11" t="s">
        <v>39</v>
      </c>
      <c r="E6459" s="11">
        <v>43.0</v>
      </c>
      <c r="F6459" s="21" t="s">
        <v>1692</v>
      </c>
      <c r="G6459" s="15">
        <v>0.09205234021137389</v>
      </c>
      <c r="H6459" s="11" t="s">
        <v>24</v>
      </c>
      <c r="I6459" s="16">
        <v>2.3920000000000003</v>
      </c>
      <c r="J6459" s="11" t="s">
        <v>1896</v>
      </c>
      <c r="K6459" s="11" t="s">
        <v>83</v>
      </c>
      <c r="L6459" s="11" t="s">
        <v>48</v>
      </c>
      <c r="M6459" s="11" t="s">
        <v>28</v>
      </c>
      <c r="N6459" s="11" t="s">
        <v>42</v>
      </c>
      <c r="O6459" s="11" t="s">
        <v>1694</v>
      </c>
      <c r="P6459" s="11" t="s">
        <v>38</v>
      </c>
      <c r="Q6459" s="20">
        <v>40940.0</v>
      </c>
      <c r="R6459" s="17">
        <f t="shared" si="2"/>
        <v>166.0708906</v>
      </c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>
        <f t="shared" si="8"/>
        <v>4</v>
      </c>
      <c r="AF6459" s="19" t="b">
        <f t="shared" si="13"/>
        <v>0</v>
      </c>
      <c r="AG6459" s="9"/>
      <c r="AH6459" s="9"/>
      <c r="AI6459" s="9"/>
    </row>
    <row r="6460" ht="15.0" customHeight="1">
      <c r="A6460" s="11">
        <v>6459.0</v>
      </c>
      <c r="B6460" s="12">
        <f t="shared" si="1037"/>
        <v>40938</v>
      </c>
      <c r="C6460" s="13">
        <v>2012.0</v>
      </c>
      <c r="D6460" s="11" t="s">
        <v>39</v>
      </c>
      <c r="E6460" s="11">
        <v>17.0</v>
      </c>
      <c r="F6460" s="21" t="s">
        <v>1195</v>
      </c>
      <c r="G6460" s="15">
        <v>0.08475806451612904</v>
      </c>
      <c r="H6460" s="11" t="s">
        <v>33</v>
      </c>
      <c r="I6460" s="16">
        <v>2.3920000000000003</v>
      </c>
      <c r="J6460" s="11" t="s">
        <v>1896</v>
      </c>
      <c r="K6460" s="11" t="s">
        <v>83</v>
      </c>
      <c r="L6460" s="11" t="s">
        <v>48</v>
      </c>
      <c r="M6460" s="11" t="s">
        <v>28</v>
      </c>
      <c r="N6460" s="11" t="s">
        <v>42</v>
      </c>
      <c r="O6460" s="11" t="s">
        <v>2199</v>
      </c>
      <c r="P6460" s="11" t="s">
        <v>38</v>
      </c>
      <c r="Q6460" s="20">
        <v>40940.0</v>
      </c>
      <c r="R6460" s="17">
        <f t="shared" si="2"/>
        <v>7.695354194</v>
      </c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>
        <f t="shared" si="8"/>
        <v>4</v>
      </c>
      <c r="AF6460" s="19" t="b">
        <f t="shared" si="13"/>
        <v>0</v>
      </c>
      <c r="AG6460" s="9"/>
      <c r="AH6460" s="9"/>
      <c r="AI6460" s="9"/>
    </row>
    <row r="6461" ht="15.0" customHeight="1">
      <c r="A6461" s="11">
        <v>6460.0</v>
      </c>
      <c r="B6461" s="12">
        <f t="shared" si="1037"/>
        <v>40938</v>
      </c>
      <c r="C6461" s="13">
        <v>2012.0</v>
      </c>
      <c r="D6461" s="11" t="s">
        <v>39</v>
      </c>
      <c r="E6461" s="11">
        <v>31.0</v>
      </c>
      <c r="F6461" s="21" t="s">
        <v>889</v>
      </c>
      <c r="G6461" s="15">
        <v>0.025843549328663118</v>
      </c>
      <c r="H6461" s="11" t="s">
        <v>33</v>
      </c>
      <c r="I6461" s="16">
        <v>7.192</v>
      </c>
      <c r="J6461" s="11" t="s">
        <v>1896</v>
      </c>
      <c r="K6461" s="11" t="s">
        <v>83</v>
      </c>
      <c r="L6461" s="11" t="s">
        <v>48</v>
      </c>
      <c r="M6461" s="11" t="s">
        <v>28</v>
      </c>
      <c r="N6461" s="11" t="s">
        <v>62</v>
      </c>
      <c r="O6461" s="11" t="s">
        <v>890</v>
      </c>
      <c r="P6461" s="11" t="s">
        <v>99</v>
      </c>
      <c r="Q6461" s="20">
        <v>40940.0</v>
      </c>
      <c r="R6461" s="17">
        <f t="shared" si="2"/>
        <v>17.25036243</v>
      </c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>
        <f t="shared" si="8"/>
        <v>4</v>
      </c>
      <c r="AF6461" s="19" t="b">
        <f t="shared" si="13"/>
        <v>0</v>
      </c>
      <c r="AG6461" s="9"/>
      <c r="AH6461" s="9"/>
      <c r="AI6461" s="9"/>
    </row>
    <row r="6462" ht="15.0" customHeight="1">
      <c r="A6462" s="11">
        <v>6461.0</v>
      </c>
      <c r="B6462" s="12">
        <f t="shared" si="1037"/>
        <v>40938</v>
      </c>
      <c r="C6462" s="13">
        <v>2012.0</v>
      </c>
      <c r="D6462" s="11" t="s">
        <v>102</v>
      </c>
      <c r="E6462" s="11">
        <v>39.0</v>
      </c>
      <c r="F6462" s="21" t="s">
        <v>306</v>
      </c>
      <c r="G6462" s="15">
        <v>0.052292350723580204</v>
      </c>
      <c r="H6462" s="11" t="s">
        <v>33</v>
      </c>
      <c r="I6462" s="16">
        <v>3.2</v>
      </c>
      <c r="J6462" s="11" t="s">
        <v>2428</v>
      </c>
      <c r="K6462" s="11" t="s">
        <v>26</v>
      </c>
      <c r="L6462" s="11" t="s">
        <v>48</v>
      </c>
      <c r="M6462" s="11" t="s">
        <v>66</v>
      </c>
      <c r="N6462" s="11" t="s">
        <v>67</v>
      </c>
      <c r="O6462" s="11" t="s">
        <v>920</v>
      </c>
      <c r="P6462" s="11" t="s">
        <v>38</v>
      </c>
      <c r="Q6462" s="20">
        <v>40940.0</v>
      </c>
      <c r="R6462" s="17">
        <f t="shared" si="2"/>
        <v>40.75142892</v>
      </c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>
        <f t="shared" si="8"/>
        <v>4</v>
      </c>
      <c r="AF6462" s="19">
        <f t="shared" si="13"/>
        <v>1</v>
      </c>
      <c r="AG6462" s="9"/>
      <c r="AH6462" s="9"/>
      <c r="AI6462" s="9"/>
    </row>
    <row r="6463" ht="15.0" customHeight="1">
      <c r="A6463" s="11">
        <v>6462.0</v>
      </c>
      <c r="B6463" s="12">
        <f t="shared" si="1037"/>
        <v>40938</v>
      </c>
      <c r="C6463" s="13">
        <v>2012.0</v>
      </c>
      <c r="D6463" s="11" t="s">
        <v>102</v>
      </c>
      <c r="E6463" s="11">
        <v>5.0</v>
      </c>
      <c r="F6463" s="21" t="s">
        <v>142</v>
      </c>
      <c r="G6463" s="15">
        <v>0.0857403651115618</v>
      </c>
      <c r="H6463" s="11" t="s">
        <v>33</v>
      </c>
      <c r="I6463" s="16">
        <v>0.792</v>
      </c>
      <c r="J6463" s="11" t="s">
        <v>2428</v>
      </c>
      <c r="K6463" s="11" t="s">
        <v>26</v>
      </c>
      <c r="L6463" s="11" t="s">
        <v>48</v>
      </c>
      <c r="M6463" s="11" t="s">
        <v>66</v>
      </c>
      <c r="N6463" s="11" t="s">
        <v>80</v>
      </c>
      <c r="O6463" s="11" t="s">
        <v>1046</v>
      </c>
      <c r="P6463" s="11" t="s">
        <v>99</v>
      </c>
      <c r="Q6463" s="20">
        <v>40940.0</v>
      </c>
      <c r="R6463" s="17">
        <f t="shared" si="2"/>
        <v>15.45830191</v>
      </c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>
        <f t="shared" si="8"/>
        <v>4</v>
      </c>
      <c r="AF6463" s="19">
        <f t="shared" si="13"/>
        <v>1</v>
      </c>
      <c r="AG6463" s="9"/>
      <c r="AH6463" s="9"/>
      <c r="AI6463" s="9"/>
    </row>
    <row r="6464" ht="15.0" customHeight="1">
      <c r="A6464" s="11">
        <v>6463.0</v>
      </c>
      <c r="B6464" s="12">
        <f t="shared" si="1037"/>
        <v>40938</v>
      </c>
      <c r="C6464" s="13">
        <v>2012.0</v>
      </c>
      <c r="D6464" s="11" t="s">
        <v>39</v>
      </c>
      <c r="E6464" s="11">
        <v>23.0</v>
      </c>
      <c r="F6464" s="21" t="s">
        <v>1201</v>
      </c>
      <c r="G6464" s="15">
        <v>0.07557223684947609</v>
      </c>
      <c r="H6464" s="11" t="s">
        <v>33</v>
      </c>
      <c r="I6464" s="16">
        <v>15.991999999999999</v>
      </c>
      <c r="J6464" s="11" t="s">
        <v>1199</v>
      </c>
      <c r="K6464" s="11" t="s">
        <v>83</v>
      </c>
      <c r="L6464" s="11" t="s">
        <v>36</v>
      </c>
      <c r="M6464" s="11" t="s">
        <v>28</v>
      </c>
      <c r="N6464" s="11" t="s">
        <v>29</v>
      </c>
      <c r="O6464" s="11" t="s">
        <v>1202</v>
      </c>
      <c r="P6464" s="11" t="s">
        <v>38</v>
      </c>
      <c r="Q6464" s="20">
        <v>40940.0</v>
      </c>
      <c r="R6464" s="17">
        <f t="shared" si="2"/>
        <v>249.4180059</v>
      </c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>
        <f t="shared" si="8"/>
        <v>2</v>
      </c>
      <c r="AF6464" s="19" t="b">
        <f t="shared" si="13"/>
        <v>0</v>
      </c>
      <c r="AG6464" s="9"/>
      <c r="AH6464" s="9"/>
      <c r="AI6464" s="9"/>
    </row>
    <row r="6465" ht="15.0" customHeight="1">
      <c r="A6465" s="11">
        <v>6464.0</v>
      </c>
      <c r="B6465" s="12">
        <f t="shared" si="1037"/>
        <v>40938</v>
      </c>
      <c r="C6465" s="13">
        <v>2012.0</v>
      </c>
      <c r="D6465" s="11" t="s">
        <v>32</v>
      </c>
      <c r="E6465" s="11">
        <v>40.0</v>
      </c>
      <c r="F6465" s="21" t="s">
        <v>158</v>
      </c>
      <c r="G6465" s="15">
        <v>0.10594039054470702</v>
      </c>
      <c r="H6465" s="11" t="s">
        <v>24</v>
      </c>
      <c r="I6465" s="16">
        <v>4.976</v>
      </c>
      <c r="J6465" s="11" t="s">
        <v>187</v>
      </c>
      <c r="K6465" s="11" t="s">
        <v>35</v>
      </c>
      <c r="L6465" s="11" t="s">
        <v>27</v>
      </c>
      <c r="M6465" s="11" t="s">
        <v>28</v>
      </c>
      <c r="N6465" s="11" t="s">
        <v>56</v>
      </c>
      <c r="O6465" s="11" t="s">
        <v>1216</v>
      </c>
      <c r="P6465" s="11" t="s">
        <v>38</v>
      </c>
      <c r="Q6465" s="20">
        <v>40941.0</v>
      </c>
      <c r="R6465" s="17">
        <f t="shared" si="2"/>
        <v>27.64789936</v>
      </c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>
        <f t="shared" si="8"/>
        <v>1</v>
      </c>
      <c r="AF6465" s="19">
        <f t="shared" si="13"/>
        <v>2</v>
      </c>
      <c r="AG6465" s="9"/>
      <c r="AH6465" s="9"/>
      <c r="AI6465" s="9"/>
    </row>
    <row r="6466" ht="15.0" customHeight="1">
      <c r="A6466" s="11">
        <v>6465.0</v>
      </c>
      <c r="B6466" s="12">
        <f t="shared" si="1037"/>
        <v>40938</v>
      </c>
      <c r="C6466" s="13">
        <v>2012.0</v>
      </c>
      <c r="D6466" s="11" t="s">
        <v>32</v>
      </c>
      <c r="E6466" s="11">
        <v>21.0</v>
      </c>
      <c r="F6466" s="21" t="s">
        <v>569</v>
      </c>
      <c r="G6466" s="15">
        <v>0.04823042603851209</v>
      </c>
      <c r="H6466" s="11" t="s">
        <v>33</v>
      </c>
      <c r="I6466" s="16">
        <v>3.3600000000000003</v>
      </c>
      <c r="J6466" s="11" t="s">
        <v>187</v>
      </c>
      <c r="K6466" s="11" t="s">
        <v>35</v>
      </c>
      <c r="L6466" s="11" t="s">
        <v>27</v>
      </c>
      <c r="M6466" s="11" t="s">
        <v>66</v>
      </c>
      <c r="N6466" s="11" t="s">
        <v>80</v>
      </c>
      <c r="O6466" s="11" t="s">
        <v>1834</v>
      </c>
      <c r="P6466" s="11" t="s">
        <v>38</v>
      </c>
      <c r="Q6466" s="20">
        <v>40941.0</v>
      </c>
      <c r="R6466" s="17">
        <f t="shared" si="2"/>
        <v>198.5772039</v>
      </c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>
        <f t="shared" si="8"/>
        <v>1</v>
      </c>
      <c r="AF6466" s="19">
        <f t="shared" si="13"/>
        <v>2</v>
      </c>
      <c r="AG6466" s="9"/>
      <c r="AH6466" s="9"/>
      <c r="AI6466" s="9"/>
    </row>
    <row r="6467" ht="15.0" customHeight="1">
      <c r="A6467" s="11">
        <v>6466.0</v>
      </c>
      <c r="B6467" s="12">
        <f t="shared" ref="B6467:B6471" si="1038">DATE(2012,12,31)-335</f>
        <v>40939</v>
      </c>
      <c r="C6467" s="13">
        <v>2012.0</v>
      </c>
      <c r="D6467" s="11" t="s">
        <v>44</v>
      </c>
      <c r="E6467" s="11">
        <v>24.0</v>
      </c>
      <c r="F6467" s="21" t="s">
        <v>983</v>
      </c>
      <c r="G6467" s="15">
        <v>0.0185019305019304</v>
      </c>
      <c r="H6467" s="11" t="s">
        <v>33</v>
      </c>
      <c r="I6467" s="16">
        <v>9.216</v>
      </c>
      <c r="J6467" s="11" t="s">
        <v>1861</v>
      </c>
      <c r="K6467" s="11" t="s">
        <v>83</v>
      </c>
      <c r="L6467" s="11" t="s">
        <v>36</v>
      </c>
      <c r="M6467" s="11" t="s">
        <v>28</v>
      </c>
      <c r="N6467" s="11" t="s">
        <v>29</v>
      </c>
      <c r="O6467" s="11" t="s">
        <v>984</v>
      </c>
      <c r="P6467" s="11" t="s">
        <v>38</v>
      </c>
      <c r="Q6467" s="20">
        <v>40941.0</v>
      </c>
      <c r="R6467" s="17">
        <f t="shared" si="2"/>
        <v>9.406677498</v>
      </c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>
        <f t="shared" si="8"/>
        <v>2</v>
      </c>
      <c r="AF6467" s="19" t="b">
        <f t="shared" si="13"/>
        <v>0</v>
      </c>
      <c r="AG6467" s="9"/>
      <c r="AH6467" s="9"/>
      <c r="AI6467" s="9"/>
    </row>
    <row r="6468" ht="15.0" customHeight="1">
      <c r="A6468" s="11">
        <v>6467.0</v>
      </c>
      <c r="B6468" s="12">
        <f t="shared" si="1038"/>
        <v>40939</v>
      </c>
      <c r="C6468" s="13">
        <v>2012.0</v>
      </c>
      <c r="D6468" s="11" t="s">
        <v>23</v>
      </c>
      <c r="E6468" s="11">
        <v>21.0</v>
      </c>
      <c r="F6468" s="21" t="s">
        <v>694</v>
      </c>
      <c r="G6468" s="15">
        <v>0.04997478798991527</v>
      </c>
      <c r="H6468" s="11" t="s">
        <v>33</v>
      </c>
      <c r="I6468" s="16">
        <v>1.592</v>
      </c>
      <c r="J6468" s="11" t="s">
        <v>1707</v>
      </c>
      <c r="K6468" s="11" t="s">
        <v>35</v>
      </c>
      <c r="L6468" s="11" t="s">
        <v>41</v>
      </c>
      <c r="M6468" s="11" t="s">
        <v>66</v>
      </c>
      <c r="N6468" s="11" t="s">
        <v>67</v>
      </c>
      <c r="O6468" s="11" t="s">
        <v>695</v>
      </c>
      <c r="P6468" s="11" t="s">
        <v>99</v>
      </c>
      <c r="Q6468" s="20">
        <v>40941.0</v>
      </c>
      <c r="R6468" s="17">
        <f t="shared" si="2"/>
        <v>41.42869945</v>
      </c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>
        <f t="shared" si="8"/>
        <v>3</v>
      </c>
      <c r="AF6468" s="19">
        <f t="shared" si="13"/>
        <v>2</v>
      </c>
      <c r="AG6468" s="9"/>
      <c r="AH6468" s="9"/>
      <c r="AI6468" s="9"/>
    </row>
    <row r="6469" ht="15.0" customHeight="1">
      <c r="A6469" s="11">
        <v>6468.0</v>
      </c>
      <c r="B6469" s="12">
        <f t="shared" si="1038"/>
        <v>40939</v>
      </c>
      <c r="C6469" s="13">
        <v>2012.0</v>
      </c>
      <c r="D6469" s="11" t="s">
        <v>44</v>
      </c>
      <c r="E6469" s="11">
        <v>35.0</v>
      </c>
      <c r="F6469" s="21" t="s">
        <v>304</v>
      </c>
      <c r="G6469" s="15">
        <v>0.05256475946484488</v>
      </c>
      <c r="H6469" s="11" t="s">
        <v>33</v>
      </c>
      <c r="I6469" s="16">
        <v>4.168</v>
      </c>
      <c r="J6469" s="11" t="s">
        <v>988</v>
      </c>
      <c r="K6469" s="11" t="s">
        <v>26</v>
      </c>
      <c r="L6469" s="11" t="s">
        <v>48</v>
      </c>
      <c r="M6469" s="11" t="s">
        <v>28</v>
      </c>
      <c r="N6469" s="11" t="s">
        <v>56</v>
      </c>
      <c r="O6469" s="11" t="s">
        <v>2397</v>
      </c>
      <c r="P6469" s="11" t="s">
        <v>38</v>
      </c>
      <c r="Q6469" s="20">
        <v>40941.0</v>
      </c>
      <c r="R6469" s="17">
        <f t="shared" si="2"/>
        <v>34.9906783</v>
      </c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>
        <f t="shared" si="8"/>
        <v>4</v>
      </c>
      <c r="AF6469" s="19">
        <f t="shared" si="13"/>
        <v>1</v>
      </c>
      <c r="AG6469" s="9"/>
      <c r="AH6469" s="9"/>
      <c r="AI6469" s="9"/>
    </row>
    <row r="6470" ht="15.0" customHeight="1">
      <c r="A6470" s="11">
        <v>6469.0</v>
      </c>
      <c r="B6470" s="12">
        <f t="shared" si="1038"/>
        <v>40939</v>
      </c>
      <c r="C6470" s="13">
        <v>2012.0</v>
      </c>
      <c r="D6470" s="11" t="s">
        <v>44</v>
      </c>
      <c r="E6470" s="11">
        <v>43.0</v>
      </c>
      <c r="F6470" s="21" t="s">
        <v>158</v>
      </c>
      <c r="G6470" s="15">
        <v>0.09775634844101586</v>
      </c>
      <c r="H6470" s="11" t="s">
        <v>33</v>
      </c>
      <c r="I6470" s="16">
        <v>5.488</v>
      </c>
      <c r="J6470" s="11" t="s">
        <v>988</v>
      </c>
      <c r="K6470" s="11" t="s">
        <v>26</v>
      </c>
      <c r="L6470" s="11" t="s">
        <v>48</v>
      </c>
      <c r="M6470" s="11" t="s">
        <v>28</v>
      </c>
      <c r="N6470" s="11" t="s">
        <v>56</v>
      </c>
      <c r="O6470" s="11" t="s">
        <v>817</v>
      </c>
      <c r="P6470" s="11" t="s">
        <v>38</v>
      </c>
      <c r="Q6470" s="20">
        <v>40942.0</v>
      </c>
      <c r="R6470" s="17">
        <f t="shared" si="2"/>
        <v>27.43903393</v>
      </c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>
        <f t="shared" si="8"/>
        <v>4</v>
      </c>
      <c r="AF6470" s="19">
        <f t="shared" si="13"/>
        <v>1</v>
      </c>
      <c r="AG6470" s="9"/>
      <c r="AH6470" s="9"/>
      <c r="AI6470" s="9"/>
    </row>
    <row r="6471" ht="15.0" customHeight="1">
      <c r="A6471" s="11">
        <v>6470.0</v>
      </c>
      <c r="B6471" s="12">
        <f t="shared" si="1038"/>
        <v>40939</v>
      </c>
      <c r="C6471" s="13">
        <v>2012.0</v>
      </c>
      <c r="D6471" s="11" t="s">
        <v>102</v>
      </c>
      <c r="E6471" s="11">
        <v>44.0</v>
      </c>
      <c r="F6471" s="21" t="s">
        <v>158</v>
      </c>
      <c r="G6471" s="15">
        <v>0.047236842105263015</v>
      </c>
      <c r="H6471" s="11" t="s">
        <v>24</v>
      </c>
      <c r="I6471" s="16">
        <v>8.040000000000001</v>
      </c>
      <c r="J6471" s="11" t="s">
        <v>2116</v>
      </c>
      <c r="K6471" s="11" t="s">
        <v>65</v>
      </c>
      <c r="L6471" s="11" t="s">
        <v>48</v>
      </c>
      <c r="M6471" s="11" t="s">
        <v>28</v>
      </c>
      <c r="N6471" s="11" t="s">
        <v>56</v>
      </c>
      <c r="O6471" s="11" t="s">
        <v>646</v>
      </c>
      <c r="P6471" s="11" t="s">
        <v>38</v>
      </c>
      <c r="Q6471" s="20">
        <v>40942.0</v>
      </c>
      <c r="R6471" s="17">
        <f t="shared" si="2"/>
        <v>13.68167895</v>
      </c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>
        <f t="shared" si="8"/>
        <v>4</v>
      </c>
      <c r="AF6471" s="19">
        <f t="shared" si="13"/>
        <v>5</v>
      </c>
      <c r="AG6471" s="9"/>
      <c r="AH6471" s="9"/>
      <c r="AI6471" s="9"/>
    </row>
    <row r="6472" ht="15.0" customHeight="1">
      <c r="A6472" s="11">
        <v>6471.0</v>
      </c>
      <c r="B6472" s="12">
        <f t="shared" ref="B6472:B6477" si="1039">DATE(2012,12,31)-334</f>
        <v>40940</v>
      </c>
      <c r="C6472" s="13">
        <v>2012.0</v>
      </c>
      <c r="D6472" s="11" t="s">
        <v>102</v>
      </c>
      <c r="E6472" s="11">
        <v>27.0</v>
      </c>
      <c r="F6472" s="21" t="s">
        <v>1219</v>
      </c>
      <c r="G6472" s="15">
        <v>0.09403111196466292</v>
      </c>
      <c r="H6472" s="11" t="s">
        <v>33</v>
      </c>
      <c r="I6472" s="16">
        <v>6.5760000000000005</v>
      </c>
      <c r="J6472" s="11" t="s">
        <v>2097</v>
      </c>
      <c r="K6472" s="11" t="s">
        <v>61</v>
      </c>
      <c r="L6472" s="11" t="s">
        <v>36</v>
      </c>
      <c r="M6472" s="11" t="s">
        <v>28</v>
      </c>
      <c r="N6472" s="11" t="s">
        <v>29</v>
      </c>
      <c r="O6472" s="11" t="s">
        <v>1735</v>
      </c>
      <c r="P6472" s="11" t="s">
        <v>38</v>
      </c>
      <c r="Q6472" s="20">
        <v>40942.0</v>
      </c>
      <c r="R6472" s="17">
        <f t="shared" si="2"/>
        <v>88.71609739</v>
      </c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>
        <f t="shared" si="8"/>
        <v>2</v>
      </c>
      <c r="AF6472" s="19">
        <f t="shared" si="13"/>
        <v>4</v>
      </c>
      <c r="AG6472" s="9"/>
      <c r="AH6472" s="9"/>
      <c r="AI6472" s="9"/>
    </row>
    <row r="6473" ht="15.0" customHeight="1">
      <c r="A6473" s="11">
        <v>6472.0</v>
      </c>
      <c r="B6473" s="12">
        <f t="shared" si="1039"/>
        <v>40940</v>
      </c>
      <c r="C6473" s="13">
        <v>2012.0</v>
      </c>
      <c r="D6473" s="11" t="s">
        <v>102</v>
      </c>
      <c r="E6473" s="11">
        <v>11.0</v>
      </c>
      <c r="F6473" s="21" t="s">
        <v>1795</v>
      </c>
      <c r="G6473" s="15">
        <v>0.09454956482423423</v>
      </c>
      <c r="H6473" s="11" t="s">
        <v>45</v>
      </c>
      <c r="I6473" s="16">
        <v>49.408</v>
      </c>
      <c r="J6473" s="11" t="s">
        <v>2097</v>
      </c>
      <c r="K6473" s="11" t="s">
        <v>61</v>
      </c>
      <c r="L6473" s="11" t="s">
        <v>36</v>
      </c>
      <c r="M6473" s="11" t="s">
        <v>49</v>
      </c>
      <c r="N6473" s="11" t="s">
        <v>85</v>
      </c>
      <c r="O6473" s="11" t="s">
        <v>1796</v>
      </c>
      <c r="P6473" s="11" t="s">
        <v>87</v>
      </c>
      <c r="Q6473" s="20">
        <v>40942.0</v>
      </c>
      <c r="R6473" s="17">
        <f t="shared" si="2"/>
        <v>302.956472</v>
      </c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>
        <f t="shared" si="8"/>
        <v>2</v>
      </c>
      <c r="AF6473" s="19">
        <f t="shared" si="13"/>
        <v>4</v>
      </c>
      <c r="AG6473" s="9"/>
      <c r="AH6473" s="9"/>
      <c r="AI6473" s="9"/>
    </row>
    <row r="6474" ht="15.0" customHeight="1">
      <c r="A6474" s="11">
        <v>6473.0</v>
      </c>
      <c r="B6474" s="12">
        <f t="shared" si="1039"/>
        <v>40940</v>
      </c>
      <c r="C6474" s="13">
        <v>2012.0</v>
      </c>
      <c r="D6474" s="11" t="s">
        <v>39</v>
      </c>
      <c r="E6474" s="11">
        <v>31.0</v>
      </c>
      <c r="F6474" s="21" t="s">
        <v>163</v>
      </c>
      <c r="G6474" s="15">
        <v>0.0781061376245388</v>
      </c>
      <c r="H6474" s="11" t="s">
        <v>45</v>
      </c>
      <c r="I6474" s="16">
        <v>45.904</v>
      </c>
      <c r="J6474" s="11" t="s">
        <v>2262</v>
      </c>
      <c r="K6474" s="11" t="s">
        <v>26</v>
      </c>
      <c r="L6474" s="11" t="s">
        <v>27</v>
      </c>
      <c r="M6474" s="11" t="s">
        <v>49</v>
      </c>
      <c r="N6474" s="11" t="s">
        <v>156</v>
      </c>
      <c r="O6474" s="11" t="s">
        <v>852</v>
      </c>
      <c r="P6474" s="11" t="s">
        <v>87</v>
      </c>
      <c r="Q6474" s="20">
        <v>40942.0</v>
      </c>
      <c r="R6474" s="17">
        <f t="shared" si="2"/>
        <v>247.893572</v>
      </c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>
        <f t="shared" si="8"/>
        <v>1</v>
      </c>
      <c r="AF6474" s="19">
        <f t="shared" si="13"/>
        <v>1</v>
      </c>
      <c r="AG6474" s="9"/>
      <c r="AH6474" s="9"/>
      <c r="AI6474" s="9"/>
    </row>
    <row r="6475" ht="15.0" customHeight="1">
      <c r="A6475" s="11">
        <v>6474.0</v>
      </c>
      <c r="B6475" s="12">
        <f t="shared" si="1039"/>
        <v>40940</v>
      </c>
      <c r="C6475" s="13">
        <v>2012.0</v>
      </c>
      <c r="D6475" s="11" t="s">
        <v>102</v>
      </c>
      <c r="E6475" s="11">
        <v>9.0</v>
      </c>
      <c r="F6475" s="21" t="s">
        <v>687</v>
      </c>
      <c r="G6475" s="15">
        <v>0.06016658932980456</v>
      </c>
      <c r="H6475" s="11" t="s">
        <v>33</v>
      </c>
      <c r="I6475" s="16">
        <v>11.192</v>
      </c>
      <c r="J6475" s="11" t="s">
        <v>403</v>
      </c>
      <c r="K6475" s="11" t="s">
        <v>61</v>
      </c>
      <c r="L6475" s="11" t="s">
        <v>41</v>
      </c>
      <c r="M6475" s="11" t="s">
        <v>66</v>
      </c>
      <c r="N6475" s="11" t="s">
        <v>69</v>
      </c>
      <c r="O6475" s="11" t="s">
        <v>688</v>
      </c>
      <c r="P6475" s="11" t="s">
        <v>75</v>
      </c>
      <c r="Q6475" s="20">
        <v>40942.0</v>
      </c>
      <c r="R6475" s="17">
        <f t="shared" si="2"/>
        <v>1050.099036</v>
      </c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>
        <f t="shared" si="8"/>
        <v>3</v>
      </c>
      <c r="AF6475" s="19">
        <f t="shared" si="13"/>
        <v>4</v>
      </c>
      <c r="AG6475" s="9"/>
      <c r="AH6475" s="9"/>
      <c r="AI6475" s="9"/>
    </row>
    <row r="6476" ht="15.0" customHeight="1">
      <c r="A6476" s="11">
        <v>6475.0</v>
      </c>
      <c r="B6476" s="12">
        <f t="shared" si="1039"/>
        <v>40940</v>
      </c>
      <c r="C6476" s="13">
        <v>2012.0</v>
      </c>
      <c r="D6476" s="11" t="s">
        <v>32</v>
      </c>
      <c r="E6476" s="11">
        <v>48.0</v>
      </c>
      <c r="F6476" s="21" t="s">
        <v>93</v>
      </c>
      <c r="G6476" s="15">
        <v>0.07798503740648391</v>
      </c>
      <c r="H6476" s="11" t="s">
        <v>33</v>
      </c>
      <c r="I6476" s="16">
        <v>4.928000000000001</v>
      </c>
      <c r="J6476" s="11" t="s">
        <v>2217</v>
      </c>
      <c r="K6476" s="11" t="s">
        <v>83</v>
      </c>
      <c r="L6476" s="11" t="s">
        <v>36</v>
      </c>
      <c r="M6476" s="11" t="s">
        <v>28</v>
      </c>
      <c r="N6476" s="11" t="s">
        <v>42</v>
      </c>
      <c r="O6476" s="11" t="s">
        <v>134</v>
      </c>
      <c r="P6476" s="11" t="s">
        <v>38</v>
      </c>
      <c r="Q6476" s="20">
        <v>40942.0</v>
      </c>
      <c r="R6476" s="17">
        <f t="shared" si="2"/>
        <v>28.83325191</v>
      </c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>
        <f t="shared" si="8"/>
        <v>2</v>
      </c>
      <c r="AF6476" s="19" t="b">
        <f t="shared" si="13"/>
        <v>0</v>
      </c>
      <c r="AG6476" s="9"/>
      <c r="AH6476" s="9"/>
      <c r="AI6476" s="9"/>
    </row>
    <row r="6477" ht="15.0" customHeight="1">
      <c r="A6477" s="11">
        <v>6476.0</v>
      </c>
      <c r="B6477" s="12">
        <f t="shared" si="1039"/>
        <v>40940</v>
      </c>
      <c r="C6477" s="13">
        <v>2012.0</v>
      </c>
      <c r="D6477" s="11" t="s">
        <v>32</v>
      </c>
      <c r="E6477" s="11">
        <v>12.0</v>
      </c>
      <c r="F6477" s="21" t="s">
        <v>865</v>
      </c>
      <c r="G6477" s="15">
        <v>0.0483443708609271</v>
      </c>
      <c r="H6477" s="11" t="s">
        <v>24</v>
      </c>
      <c r="I6477" s="16">
        <v>3.3600000000000003</v>
      </c>
      <c r="J6477" s="11" t="s">
        <v>2217</v>
      </c>
      <c r="K6477" s="11" t="s">
        <v>83</v>
      </c>
      <c r="L6477" s="11" t="s">
        <v>36</v>
      </c>
      <c r="M6477" s="11" t="s">
        <v>66</v>
      </c>
      <c r="N6477" s="11" t="s">
        <v>80</v>
      </c>
      <c r="O6477" s="11" t="s">
        <v>1519</v>
      </c>
      <c r="P6477" s="11" t="s">
        <v>38</v>
      </c>
      <c r="Q6477" s="20">
        <v>40942.0</v>
      </c>
      <c r="R6477" s="17">
        <f t="shared" si="2"/>
        <v>116.7110464</v>
      </c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>
        <f t="shared" si="8"/>
        <v>2</v>
      </c>
      <c r="AF6477" s="19" t="b">
        <f t="shared" si="13"/>
        <v>0</v>
      </c>
      <c r="AG6477" s="9"/>
      <c r="AH6477" s="9"/>
      <c r="AI6477" s="9"/>
    </row>
    <row r="6478" ht="15.0" customHeight="1">
      <c r="A6478" s="11">
        <v>6477.0</v>
      </c>
      <c r="B6478" s="12">
        <f t="shared" ref="B6478:B6483" si="1040">DATE(2012,12,31)-333</f>
        <v>40941</v>
      </c>
      <c r="C6478" s="13">
        <v>2012.0</v>
      </c>
      <c r="D6478" s="11" t="s">
        <v>44</v>
      </c>
      <c r="E6478" s="11">
        <v>39.0</v>
      </c>
      <c r="F6478" s="21" t="s">
        <v>1071</v>
      </c>
      <c r="G6478" s="15">
        <v>0.09676780830837334</v>
      </c>
      <c r="H6478" s="11" t="s">
        <v>33</v>
      </c>
      <c r="I6478" s="16">
        <v>7.192</v>
      </c>
      <c r="J6478" s="11" t="s">
        <v>232</v>
      </c>
      <c r="K6478" s="11" t="s">
        <v>47</v>
      </c>
      <c r="L6478" s="11" t="s">
        <v>36</v>
      </c>
      <c r="M6478" s="11" t="s">
        <v>49</v>
      </c>
      <c r="N6478" s="11" t="s">
        <v>73</v>
      </c>
      <c r="O6478" s="11" t="s">
        <v>1073</v>
      </c>
      <c r="P6478" s="11" t="s">
        <v>99</v>
      </c>
      <c r="Q6478" s="20">
        <v>40943.0</v>
      </c>
      <c r="R6478" s="17">
        <f t="shared" si="2"/>
        <v>67.1173777</v>
      </c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>
        <f t="shared" si="8"/>
        <v>2</v>
      </c>
      <c r="AF6478" s="19">
        <f t="shared" si="13"/>
        <v>3</v>
      </c>
      <c r="AG6478" s="9"/>
      <c r="AH6478" s="9"/>
      <c r="AI6478" s="9"/>
    </row>
    <row r="6479" ht="15.0" customHeight="1">
      <c r="A6479" s="11">
        <v>6478.0</v>
      </c>
      <c r="B6479" s="12">
        <f t="shared" si="1040"/>
        <v>40941</v>
      </c>
      <c r="C6479" s="13">
        <v>2012.0</v>
      </c>
      <c r="D6479" s="11" t="s">
        <v>102</v>
      </c>
      <c r="E6479" s="11">
        <v>18.0</v>
      </c>
      <c r="F6479" s="21" t="s">
        <v>158</v>
      </c>
      <c r="G6479" s="15">
        <v>0.06423690205011374</v>
      </c>
      <c r="H6479" s="11" t="s">
        <v>33</v>
      </c>
      <c r="I6479" s="16">
        <v>8.040000000000001</v>
      </c>
      <c r="J6479" s="11" t="s">
        <v>1446</v>
      </c>
      <c r="K6479" s="11" t="s">
        <v>35</v>
      </c>
      <c r="L6479" s="11" t="s">
        <v>48</v>
      </c>
      <c r="M6479" s="11" t="s">
        <v>28</v>
      </c>
      <c r="N6479" s="11" t="s">
        <v>56</v>
      </c>
      <c r="O6479" s="11" t="s">
        <v>646</v>
      </c>
      <c r="P6479" s="11" t="s">
        <v>38</v>
      </c>
      <c r="Q6479" s="20">
        <v>40943.0</v>
      </c>
      <c r="R6479" s="17">
        <f t="shared" si="2"/>
        <v>7.916555809</v>
      </c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>
        <f t="shared" si="8"/>
        <v>4</v>
      </c>
      <c r="AF6479" s="19">
        <f t="shared" si="13"/>
        <v>2</v>
      </c>
      <c r="AG6479" s="9"/>
      <c r="AH6479" s="9"/>
      <c r="AI6479" s="9"/>
    </row>
    <row r="6480" ht="15.0" customHeight="1">
      <c r="A6480" s="11">
        <v>6479.0</v>
      </c>
      <c r="B6480" s="12">
        <f t="shared" si="1040"/>
        <v>40941</v>
      </c>
      <c r="C6480" s="13">
        <v>2012.0</v>
      </c>
      <c r="D6480" s="11" t="s">
        <v>44</v>
      </c>
      <c r="E6480" s="11">
        <v>23.0</v>
      </c>
      <c r="F6480" s="21" t="s">
        <v>1116</v>
      </c>
      <c r="G6480" s="15">
        <v>0.030589485402013724</v>
      </c>
      <c r="H6480" s="11" t="s">
        <v>33</v>
      </c>
      <c r="I6480" s="16">
        <v>15.991999999999999</v>
      </c>
      <c r="J6480" s="11" t="s">
        <v>418</v>
      </c>
      <c r="K6480" s="11" t="s">
        <v>61</v>
      </c>
      <c r="L6480" s="11" t="s">
        <v>48</v>
      </c>
      <c r="M6480" s="11" t="s">
        <v>28</v>
      </c>
      <c r="N6480" s="11" t="s">
        <v>42</v>
      </c>
      <c r="O6480" s="11" t="s">
        <v>1117</v>
      </c>
      <c r="P6480" s="11" t="s">
        <v>38</v>
      </c>
      <c r="Q6480" s="20">
        <v>40944.0</v>
      </c>
      <c r="R6480" s="17">
        <f t="shared" si="2"/>
        <v>117.2094865</v>
      </c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>
        <f t="shared" si="8"/>
        <v>4</v>
      </c>
      <c r="AF6480" s="19">
        <f t="shared" si="13"/>
        <v>4</v>
      </c>
      <c r="AG6480" s="9"/>
      <c r="AH6480" s="9"/>
      <c r="AI6480" s="9"/>
    </row>
    <row r="6481" ht="15.0" customHeight="1">
      <c r="A6481" s="11">
        <v>6480.0</v>
      </c>
      <c r="B6481" s="12">
        <f t="shared" si="1040"/>
        <v>40941</v>
      </c>
      <c r="C6481" s="13">
        <v>2012.0</v>
      </c>
      <c r="D6481" s="11" t="s">
        <v>44</v>
      </c>
      <c r="E6481" s="11">
        <v>40.0</v>
      </c>
      <c r="F6481" s="21" t="s">
        <v>277</v>
      </c>
      <c r="G6481" s="15">
        <v>0.013171471927162505</v>
      </c>
      <c r="H6481" s="11" t="s">
        <v>33</v>
      </c>
      <c r="I6481" s="16">
        <v>1.032</v>
      </c>
      <c r="J6481" s="11" t="s">
        <v>418</v>
      </c>
      <c r="K6481" s="11" t="s">
        <v>61</v>
      </c>
      <c r="L6481" s="11" t="s">
        <v>48</v>
      </c>
      <c r="M6481" s="11" t="s">
        <v>28</v>
      </c>
      <c r="N6481" s="11" t="s">
        <v>62</v>
      </c>
      <c r="O6481" s="11" t="s">
        <v>1962</v>
      </c>
      <c r="P6481" s="11" t="s">
        <v>58</v>
      </c>
      <c r="Q6481" s="20">
        <v>40944.0</v>
      </c>
      <c r="R6481" s="17">
        <f t="shared" si="2"/>
        <v>0.8565671624</v>
      </c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>
        <f t="shared" si="8"/>
        <v>4</v>
      </c>
      <c r="AF6481" s="19">
        <f t="shared" si="13"/>
        <v>4</v>
      </c>
      <c r="AG6481" s="9"/>
      <c r="AH6481" s="9"/>
      <c r="AI6481" s="9"/>
    </row>
    <row r="6482" ht="15.0" customHeight="1">
      <c r="A6482" s="11">
        <v>6481.0</v>
      </c>
      <c r="B6482" s="12">
        <f t="shared" si="1040"/>
        <v>40941</v>
      </c>
      <c r="C6482" s="13">
        <v>2012.0</v>
      </c>
      <c r="D6482" s="11" t="s">
        <v>39</v>
      </c>
      <c r="E6482" s="11">
        <v>48.0</v>
      </c>
      <c r="F6482" s="21" t="s">
        <v>158</v>
      </c>
      <c r="G6482" s="15">
        <v>0.04469581167838583</v>
      </c>
      <c r="H6482" s="11" t="s">
        <v>33</v>
      </c>
      <c r="I6482" s="16">
        <v>5.28</v>
      </c>
      <c r="J6482" s="11" t="s">
        <v>934</v>
      </c>
      <c r="K6482" s="11" t="s">
        <v>61</v>
      </c>
      <c r="L6482" s="11" t="s">
        <v>41</v>
      </c>
      <c r="M6482" s="11" t="s">
        <v>28</v>
      </c>
      <c r="N6482" s="11" t="s">
        <v>56</v>
      </c>
      <c r="O6482" s="11" t="s">
        <v>543</v>
      </c>
      <c r="P6482" s="11" t="s">
        <v>38</v>
      </c>
      <c r="Q6482" s="20">
        <v>40944.0</v>
      </c>
      <c r="R6482" s="17">
        <f t="shared" si="2"/>
        <v>13.96654723</v>
      </c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>
        <f t="shared" si="8"/>
        <v>3</v>
      </c>
      <c r="AF6482" s="19">
        <f t="shared" si="13"/>
        <v>4</v>
      </c>
      <c r="AG6482" s="9"/>
      <c r="AH6482" s="9"/>
      <c r="AI6482" s="9"/>
    </row>
    <row r="6483" ht="15.0" customHeight="1">
      <c r="A6483" s="11">
        <v>6482.0</v>
      </c>
      <c r="B6483" s="12">
        <f t="shared" si="1040"/>
        <v>40941</v>
      </c>
      <c r="C6483" s="13">
        <v>2012.0</v>
      </c>
      <c r="D6483" s="11" t="s">
        <v>102</v>
      </c>
      <c r="E6483" s="11">
        <v>36.0</v>
      </c>
      <c r="F6483" s="21" t="s">
        <v>119</v>
      </c>
      <c r="G6483" s="15">
        <v>0.08101123595505619</v>
      </c>
      <c r="H6483" s="11" t="s">
        <v>33</v>
      </c>
      <c r="I6483" s="16">
        <v>0.6320000000000001</v>
      </c>
      <c r="J6483" s="11" t="s">
        <v>1936</v>
      </c>
      <c r="K6483" s="11" t="s">
        <v>35</v>
      </c>
      <c r="L6483" s="11" t="s">
        <v>27</v>
      </c>
      <c r="M6483" s="11" t="s">
        <v>28</v>
      </c>
      <c r="N6483" s="11" t="s">
        <v>216</v>
      </c>
      <c r="O6483" s="11" t="s">
        <v>2446</v>
      </c>
      <c r="P6483" s="11" t="s">
        <v>58</v>
      </c>
      <c r="Q6483" s="20">
        <v>40945.0</v>
      </c>
      <c r="R6483" s="17">
        <f t="shared" si="2"/>
        <v>5.300727191</v>
      </c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>
        <f t="shared" si="8"/>
        <v>1</v>
      </c>
      <c r="AF6483" s="19">
        <f t="shared" si="13"/>
        <v>2</v>
      </c>
      <c r="AG6483" s="9"/>
      <c r="AH6483" s="9"/>
      <c r="AI6483" s="9"/>
    </row>
    <row r="6484" ht="15.0" customHeight="1">
      <c r="A6484" s="11">
        <v>6483.0</v>
      </c>
      <c r="B6484" s="12">
        <f t="shared" ref="B6484:B6485" si="1041">DATE(2012,12,31)-331</f>
        <v>40943</v>
      </c>
      <c r="C6484" s="13">
        <v>2012.0</v>
      </c>
      <c r="D6484" s="11" t="s">
        <v>39</v>
      </c>
      <c r="E6484" s="11">
        <v>29.0</v>
      </c>
      <c r="F6484" s="21" t="s">
        <v>1441</v>
      </c>
      <c r="G6484" s="15">
        <v>0.07455452601568073</v>
      </c>
      <c r="H6484" s="11" t="s">
        <v>33</v>
      </c>
      <c r="I6484" s="16">
        <v>4.4799999999999995</v>
      </c>
      <c r="J6484" s="11" t="s">
        <v>2358</v>
      </c>
      <c r="K6484" s="11" t="s">
        <v>35</v>
      </c>
      <c r="L6484" s="11" t="s">
        <v>48</v>
      </c>
      <c r="M6484" s="11" t="s">
        <v>28</v>
      </c>
      <c r="N6484" s="11" t="s">
        <v>42</v>
      </c>
      <c r="O6484" s="11" t="s">
        <v>1443</v>
      </c>
      <c r="P6484" s="11" t="s">
        <v>38</v>
      </c>
      <c r="Q6484" s="20">
        <v>40945.0</v>
      </c>
      <c r="R6484" s="17">
        <f t="shared" si="2"/>
        <v>19.36031932</v>
      </c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>
        <f t="shared" si="8"/>
        <v>4</v>
      </c>
      <c r="AF6484" s="19">
        <f t="shared" si="13"/>
        <v>2</v>
      </c>
      <c r="AG6484" s="9"/>
      <c r="AH6484" s="9"/>
      <c r="AI6484" s="9"/>
    </row>
    <row r="6485" ht="15.0" customHeight="1">
      <c r="A6485" s="11">
        <v>6484.0</v>
      </c>
      <c r="B6485" s="12">
        <f t="shared" si="1041"/>
        <v>40943</v>
      </c>
      <c r="C6485" s="13">
        <v>2012.0</v>
      </c>
      <c r="D6485" s="11" t="s">
        <v>44</v>
      </c>
      <c r="E6485" s="11">
        <v>47.0</v>
      </c>
      <c r="F6485" s="21" t="s">
        <v>306</v>
      </c>
      <c r="G6485" s="15">
        <v>0.005169348010160896</v>
      </c>
      <c r="H6485" s="11" t="s">
        <v>33</v>
      </c>
      <c r="I6485" s="16">
        <v>4.616</v>
      </c>
      <c r="J6485" s="11" t="s">
        <v>187</v>
      </c>
      <c r="K6485" s="11" t="s">
        <v>35</v>
      </c>
      <c r="L6485" s="11" t="s">
        <v>27</v>
      </c>
      <c r="M6485" s="11" t="s">
        <v>28</v>
      </c>
      <c r="N6485" s="11" t="s">
        <v>56</v>
      </c>
      <c r="O6485" s="11" t="s">
        <v>1169</v>
      </c>
      <c r="P6485" s="11" t="s">
        <v>38</v>
      </c>
      <c r="Q6485" s="20">
        <v>40945.0</v>
      </c>
      <c r="R6485" s="17">
        <f t="shared" si="2"/>
        <v>4.858752904</v>
      </c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>
        <f t="shared" si="8"/>
        <v>1</v>
      </c>
      <c r="AF6485" s="19">
        <f t="shared" si="13"/>
        <v>2</v>
      </c>
      <c r="AG6485" s="9"/>
      <c r="AH6485" s="9"/>
      <c r="AI6485" s="9"/>
    </row>
    <row r="6486" ht="15.0" customHeight="1">
      <c r="A6486" s="11">
        <v>6485.0</v>
      </c>
      <c r="B6486" s="12">
        <f t="shared" ref="B6486:B6491" si="1042">DATE(2012,12,31)-330</f>
        <v>40944</v>
      </c>
      <c r="C6486" s="13">
        <v>2012.0</v>
      </c>
      <c r="D6486" s="11" t="s">
        <v>23</v>
      </c>
      <c r="E6486" s="11">
        <v>22.0</v>
      </c>
      <c r="F6486" s="21" t="s">
        <v>151</v>
      </c>
      <c r="G6486" s="15">
        <v>0.0871464019851115</v>
      </c>
      <c r="H6486" s="11" t="s">
        <v>33</v>
      </c>
      <c r="I6486" s="16">
        <v>3.176</v>
      </c>
      <c r="J6486" s="11" t="s">
        <v>120</v>
      </c>
      <c r="K6486" s="11" t="s">
        <v>35</v>
      </c>
      <c r="L6486" s="11" t="s">
        <v>41</v>
      </c>
      <c r="M6486" s="11" t="s">
        <v>49</v>
      </c>
      <c r="N6486" s="11" t="s">
        <v>73</v>
      </c>
      <c r="O6486" s="11" t="s">
        <v>1860</v>
      </c>
      <c r="P6486" s="11" t="s">
        <v>31</v>
      </c>
      <c r="Q6486" s="20">
        <v>40945.0</v>
      </c>
      <c r="R6486" s="17">
        <f t="shared" si="2"/>
        <v>6.411883672</v>
      </c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>
        <f t="shared" si="8"/>
        <v>3</v>
      </c>
      <c r="AF6486" s="19">
        <f t="shared" si="13"/>
        <v>2</v>
      </c>
      <c r="AG6486" s="9"/>
      <c r="AH6486" s="9"/>
      <c r="AI6486" s="9"/>
    </row>
    <row r="6487" ht="15.0" customHeight="1">
      <c r="A6487" s="11">
        <v>6486.0</v>
      </c>
      <c r="B6487" s="12">
        <f t="shared" si="1042"/>
        <v>40944</v>
      </c>
      <c r="C6487" s="13">
        <v>2012.0</v>
      </c>
      <c r="D6487" s="11" t="s">
        <v>23</v>
      </c>
      <c r="E6487" s="11">
        <v>40.0</v>
      </c>
      <c r="F6487" s="21" t="s">
        <v>583</v>
      </c>
      <c r="G6487" s="15">
        <v>0.04390436412668136</v>
      </c>
      <c r="H6487" s="11" t="s">
        <v>33</v>
      </c>
      <c r="I6487" s="16">
        <v>55.2</v>
      </c>
      <c r="J6487" s="11" t="s">
        <v>1133</v>
      </c>
      <c r="K6487" s="11" t="s">
        <v>83</v>
      </c>
      <c r="L6487" s="11" t="s">
        <v>41</v>
      </c>
      <c r="M6487" s="11" t="s">
        <v>49</v>
      </c>
      <c r="N6487" s="11" t="s">
        <v>85</v>
      </c>
      <c r="O6487" s="11" t="s">
        <v>585</v>
      </c>
      <c r="P6487" s="11" t="s">
        <v>31</v>
      </c>
      <c r="Q6487" s="20">
        <v>40946.0</v>
      </c>
      <c r="R6487" s="17">
        <f t="shared" si="2"/>
        <v>127.6387674</v>
      </c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>
        <f t="shared" si="8"/>
        <v>3</v>
      </c>
      <c r="AF6487" s="19" t="b">
        <f t="shared" si="13"/>
        <v>0</v>
      </c>
      <c r="AG6487" s="9"/>
      <c r="AH6487" s="9"/>
      <c r="AI6487" s="9"/>
    </row>
    <row r="6488" ht="15.0" customHeight="1">
      <c r="A6488" s="11">
        <v>6487.0</v>
      </c>
      <c r="B6488" s="12">
        <f t="shared" si="1042"/>
        <v>40944</v>
      </c>
      <c r="C6488" s="13">
        <v>2012.0</v>
      </c>
      <c r="D6488" s="11" t="s">
        <v>23</v>
      </c>
      <c r="E6488" s="11">
        <v>29.0</v>
      </c>
      <c r="F6488" s="21" t="s">
        <v>933</v>
      </c>
      <c r="G6488" s="15">
        <v>0.021731278593787706</v>
      </c>
      <c r="H6488" s="11" t="s">
        <v>24</v>
      </c>
      <c r="I6488" s="16">
        <v>4.0</v>
      </c>
      <c r="J6488" s="11" t="s">
        <v>1862</v>
      </c>
      <c r="K6488" s="11" t="s">
        <v>61</v>
      </c>
      <c r="L6488" s="11" t="s">
        <v>36</v>
      </c>
      <c r="M6488" s="11" t="s">
        <v>66</v>
      </c>
      <c r="N6488" s="11" t="s">
        <v>80</v>
      </c>
      <c r="O6488" s="11" t="s">
        <v>1023</v>
      </c>
      <c r="P6488" s="11" t="s">
        <v>99</v>
      </c>
      <c r="Q6488" s="20">
        <v>40946.0</v>
      </c>
      <c r="R6488" s="17">
        <f t="shared" si="2"/>
        <v>35.31550084</v>
      </c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>
        <f t="shared" si="8"/>
        <v>2</v>
      </c>
      <c r="AF6488" s="19">
        <f t="shared" si="13"/>
        <v>4</v>
      </c>
      <c r="AG6488" s="9"/>
      <c r="AH6488" s="9"/>
      <c r="AI6488" s="9"/>
    </row>
    <row r="6489" ht="15.0" customHeight="1">
      <c r="A6489" s="11">
        <v>6488.0</v>
      </c>
      <c r="B6489" s="12">
        <f t="shared" si="1042"/>
        <v>40944</v>
      </c>
      <c r="C6489" s="13">
        <v>2012.0</v>
      </c>
      <c r="D6489" s="11" t="s">
        <v>44</v>
      </c>
      <c r="E6489" s="11">
        <v>46.0</v>
      </c>
      <c r="F6489" s="21" t="s">
        <v>245</v>
      </c>
      <c r="G6489" s="15">
        <v>0.025893023689610273</v>
      </c>
      <c r="H6489" s="11" t="s">
        <v>33</v>
      </c>
      <c r="I6489" s="16">
        <v>5.752000000000001</v>
      </c>
      <c r="J6489" s="11" t="s">
        <v>1377</v>
      </c>
      <c r="K6489" s="11" t="s">
        <v>47</v>
      </c>
      <c r="L6489" s="11" t="s">
        <v>48</v>
      </c>
      <c r="M6489" s="11" t="s">
        <v>28</v>
      </c>
      <c r="N6489" s="11" t="s">
        <v>42</v>
      </c>
      <c r="O6489" s="11" t="s">
        <v>1030</v>
      </c>
      <c r="P6489" s="11" t="s">
        <v>38</v>
      </c>
      <c r="Q6489" s="20">
        <v>40946.0</v>
      </c>
      <c r="R6489" s="17">
        <f t="shared" si="2"/>
        <v>13.8463462</v>
      </c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>
        <f t="shared" si="8"/>
        <v>4</v>
      </c>
      <c r="AF6489" s="19">
        <f t="shared" si="13"/>
        <v>3</v>
      </c>
      <c r="AG6489" s="9"/>
      <c r="AH6489" s="9"/>
      <c r="AI6489" s="9"/>
    </row>
    <row r="6490" ht="15.0" customHeight="1">
      <c r="A6490" s="11">
        <v>6489.0</v>
      </c>
      <c r="B6490" s="12">
        <f t="shared" si="1042"/>
        <v>40944</v>
      </c>
      <c r="C6490" s="13">
        <v>2012.0</v>
      </c>
      <c r="D6490" s="11" t="s">
        <v>44</v>
      </c>
      <c r="E6490" s="11">
        <v>50.0</v>
      </c>
      <c r="F6490" s="21" t="s">
        <v>700</v>
      </c>
      <c r="G6490" s="15">
        <v>0.0090041152263374</v>
      </c>
      <c r="H6490" s="11" t="s">
        <v>33</v>
      </c>
      <c r="I6490" s="16">
        <v>1.6239999999999999</v>
      </c>
      <c r="J6490" s="11" t="s">
        <v>1377</v>
      </c>
      <c r="K6490" s="11" t="s">
        <v>47</v>
      </c>
      <c r="L6490" s="11" t="s">
        <v>48</v>
      </c>
      <c r="M6490" s="11" t="s">
        <v>28</v>
      </c>
      <c r="N6490" s="11" t="s">
        <v>56</v>
      </c>
      <c r="O6490" s="11" t="s">
        <v>1751</v>
      </c>
      <c r="P6490" s="11" t="s">
        <v>58</v>
      </c>
      <c r="Q6490" s="20">
        <v>40946.0</v>
      </c>
      <c r="R6490" s="17">
        <f t="shared" si="2"/>
        <v>4.336597992</v>
      </c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>
        <f t="shared" si="8"/>
        <v>4</v>
      </c>
      <c r="AF6490" s="19">
        <f t="shared" si="13"/>
        <v>3</v>
      </c>
      <c r="AG6490" s="9"/>
      <c r="AH6490" s="9"/>
      <c r="AI6490" s="9"/>
    </row>
    <row r="6491" ht="15.0" customHeight="1">
      <c r="A6491" s="11">
        <v>6490.0</v>
      </c>
      <c r="B6491" s="12">
        <f t="shared" si="1042"/>
        <v>40944</v>
      </c>
      <c r="C6491" s="13">
        <v>2012.0</v>
      </c>
      <c r="D6491" s="11" t="s">
        <v>102</v>
      </c>
      <c r="E6491" s="11">
        <v>22.0</v>
      </c>
      <c r="F6491" s="21" t="s">
        <v>242</v>
      </c>
      <c r="G6491" s="15">
        <v>0.09533329525332716</v>
      </c>
      <c r="H6491" s="11" t="s">
        <v>45</v>
      </c>
      <c r="I6491" s="16">
        <v>24.0</v>
      </c>
      <c r="J6491" s="11" t="s">
        <v>2262</v>
      </c>
      <c r="K6491" s="11" t="s">
        <v>26</v>
      </c>
      <c r="L6491" s="11" t="s">
        <v>27</v>
      </c>
      <c r="M6491" s="11" t="s">
        <v>49</v>
      </c>
      <c r="N6491" s="11" t="s">
        <v>50</v>
      </c>
      <c r="O6491" s="11" t="s">
        <v>1855</v>
      </c>
      <c r="P6491" s="11" t="s">
        <v>52</v>
      </c>
      <c r="Q6491" s="20">
        <v>40946.0</v>
      </c>
      <c r="R6491" s="17">
        <f t="shared" si="2"/>
        <v>150.988873</v>
      </c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>
        <f t="shared" si="8"/>
        <v>1</v>
      </c>
      <c r="AF6491" s="19">
        <f t="shared" si="13"/>
        <v>1</v>
      </c>
      <c r="AG6491" s="9"/>
      <c r="AH6491" s="9"/>
      <c r="AI6491" s="9"/>
    </row>
    <row r="6492" ht="15.0" customHeight="1">
      <c r="A6492" s="11">
        <v>6491.0</v>
      </c>
      <c r="B6492" s="12">
        <f t="shared" ref="B6492:B6496" si="1043">DATE(2012,12,31)-329</f>
        <v>40945</v>
      </c>
      <c r="C6492" s="13">
        <v>2012.0</v>
      </c>
      <c r="D6492" s="11" t="s">
        <v>23</v>
      </c>
      <c r="E6492" s="11">
        <v>30.0</v>
      </c>
      <c r="F6492" s="21" t="s">
        <v>914</v>
      </c>
      <c r="G6492" s="15">
        <v>0.0317932816537467</v>
      </c>
      <c r="H6492" s="11" t="s">
        <v>33</v>
      </c>
      <c r="I6492" s="16">
        <v>2.3920000000000003</v>
      </c>
      <c r="J6492" s="11" t="s">
        <v>2449</v>
      </c>
      <c r="K6492" s="11" t="s">
        <v>35</v>
      </c>
      <c r="L6492" s="11" t="s">
        <v>48</v>
      </c>
      <c r="M6492" s="11" t="s">
        <v>28</v>
      </c>
      <c r="N6492" s="11" t="s">
        <v>42</v>
      </c>
      <c r="O6492" s="11" t="s">
        <v>1626</v>
      </c>
      <c r="P6492" s="11" t="s">
        <v>38</v>
      </c>
      <c r="Q6492" s="20">
        <v>40946.0</v>
      </c>
      <c r="R6492" s="17">
        <f t="shared" si="2"/>
        <v>23.82563093</v>
      </c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>
        <f t="shared" si="8"/>
        <v>4</v>
      </c>
      <c r="AF6492" s="19">
        <f t="shared" si="13"/>
        <v>2</v>
      </c>
      <c r="AG6492" s="9"/>
      <c r="AH6492" s="9"/>
      <c r="AI6492" s="9"/>
    </row>
    <row r="6493" ht="15.0" customHeight="1">
      <c r="A6493" s="11">
        <v>6492.0</v>
      </c>
      <c r="B6493" s="12">
        <f t="shared" si="1043"/>
        <v>40945</v>
      </c>
      <c r="C6493" s="13">
        <v>2012.0</v>
      </c>
      <c r="D6493" s="11" t="s">
        <v>23</v>
      </c>
      <c r="E6493" s="11">
        <v>50.0</v>
      </c>
      <c r="F6493" s="21" t="s">
        <v>158</v>
      </c>
      <c r="G6493" s="15">
        <v>0.015500303214069203</v>
      </c>
      <c r="H6493" s="11" t="s">
        <v>33</v>
      </c>
      <c r="I6493" s="16">
        <v>4.688000000000001</v>
      </c>
      <c r="J6493" s="11" t="s">
        <v>2449</v>
      </c>
      <c r="K6493" s="11" t="s">
        <v>35</v>
      </c>
      <c r="L6493" s="11" t="s">
        <v>48</v>
      </c>
      <c r="M6493" s="11" t="s">
        <v>28</v>
      </c>
      <c r="N6493" s="11" t="s">
        <v>56</v>
      </c>
      <c r="O6493" s="11" t="s">
        <v>2530</v>
      </c>
      <c r="P6493" s="11" t="s">
        <v>38</v>
      </c>
      <c r="Q6493" s="20">
        <v>40946.0</v>
      </c>
      <c r="R6493" s="17">
        <f t="shared" si="2"/>
        <v>5.03276245</v>
      </c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>
        <f t="shared" si="8"/>
        <v>4</v>
      </c>
      <c r="AF6493" s="19">
        <f t="shared" si="13"/>
        <v>2</v>
      </c>
      <c r="AG6493" s="9"/>
      <c r="AH6493" s="9"/>
      <c r="AI6493" s="9"/>
    </row>
    <row r="6494" ht="15.0" customHeight="1">
      <c r="A6494" s="11">
        <v>6493.0</v>
      </c>
      <c r="B6494" s="12">
        <f t="shared" si="1043"/>
        <v>40945</v>
      </c>
      <c r="C6494" s="13">
        <v>2012.0</v>
      </c>
      <c r="D6494" s="11" t="s">
        <v>23</v>
      </c>
      <c r="E6494" s="11">
        <v>43.0</v>
      </c>
      <c r="F6494" s="21" t="s">
        <v>178</v>
      </c>
      <c r="G6494" s="15">
        <v>0.058136786188578926</v>
      </c>
      <c r="H6494" s="11" t="s">
        <v>33</v>
      </c>
      <c r="I6494" s="16">
        <v>3.192</v>
      </c>
      <c r="J6494" s="11" t="s">
        <v>2156</v>
      </c>
      <c r="K6494" s="11" t="s">
        <v>65</v>
      </c>
      <c r="L6494" s="11" t="s">
        <v>27</v>
      </c>
      <c r="M6494" s="11" t="s">
        <v>66</v>
      </c>
      <c r="N6494" s="11" t="s">
        <v>80</v>
      </c>
      <c r="O6494" s="11" t="s">
        <v>587</v>
      </c>
      <c r="P6494" s="11" t="s">
        <v>38</v>
      </c>
      <c r="Q6494" s="20">
        <v>40947.0</v>
      </c>
      <c r="R6494" s="17">
        <f t="shared" si="2"/>
        <v>164.9277836</v>
      </c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>
        <f t="shared" si="8"/>
        <v>1</v>
      </c>
      <c r="AF6494" s="19">
        <f t="shared" si="13"/>
        <v>5</v>
      </c>
      <c r="AG6494" s="9"/>
      <c r="AH6494" s="9"/>
      <c r="AI6494" s="9"/>
    </row>
    <row r="6495" ht="15.0" customHeight="1">
      <c r="A6495" s="11">
        <v>6494.0</v>
      </c>
      <c r="B6495" s="12">
        <f t="shared" si="1043"/>
        <v>40945</v>
      </c>
      <c r="C6495" s="13">
        <v>2012.0</v>
      </c>
      <c r="D6495" s="11" t="s">
        <v>32</v>
      </c>
      <c r="E6495" s="11">
        <v>46.0</v>
      </c>
      <c r="F6495" s="21" t="s">
        <v>656</v>
      </c>
      <c r="G6495" s="15">
        <v>0.048924034133370396</v>
      </c>
      <c r="H6495" s="11" t="s">
        <v>45</v>
      </c>
      <c r="I6495" s="16">
        <v>47.392</v>
      </c>
      <c r="J6495" s="11" t="s">
        <v>1123</v>
      </c>
      <c r="K6495" s="11" t="s">
        <v>61</v>
      </c>
      <c r="L6495" s="11" t="s">
        <v>48</v>
      </c>
      <c r="M6495" s="11" t="s">
        <v>49</v>
      </c>
      <c r="N6495" s="11" t="s">
        <v>85</v>
      </c>
      <c r="O6495" s="11" t="s">
        <v>658</v>
      </c>
      <c r="P6495" s="11" t="s">
        <v>87</v>
      </c>
      <c r="Q6495" s="20">
        <v>40947.0</v>
      </c>
      <c r="R6495" s="17">
        <f t="shared" si="2"/>
        <v>535.4633774</v>
      </c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>
        <f t="shared" si="8"/>
        <v>4</v>
      </c>
      <c r="AF6495" s="19">
        <f t="shared" si="13"/>
        <v>4</v>
      </c>
      <c r="AG6495" s="9"/>
      <c r="AH6495" s="9"/>
      <c r="AI6495" s="9"/>
    </row>
    <row r="6496" ht="15.0" customHeight="1">
      <c r="A6496" s="11">
        <v>6495.0</v>
      </c>
      <c r="B6496" s="12">
        <f t="shared" si="1043"/>
        <v>40945</v>
      </c>
      <c r="C6496" s="13">
        <v>2012.0</v>
      </c>
      <c r="D6496" s="11" t="s">
        <v>44</v>
      </c>
      <c r="E6496" s="11">
        <v>13.0</v>
      </c>
      <c r="F6496" s="21" t="s">
        <v>103</v>
      </c>
      <c r="G6496" s="15">
        <v>0.10498338870431882</v>
      </c>
      <c r="H6496" s="11" t="s">
        <v>33</v>
      </c>
      <c r="I6496" s="16">
        <v>4.12</v>
      </c>
      <c r="J6496" s="11" t="s">
        <v>243</v>
      </c>
      <c r="K6496" s="11" t="s">
        <v>61</v>
      </c>
      <c r="L6496" s="11" t="s">
        <v>41</v>
      </c>
      <c r="M6496" s="11" t="s">
        <v>28</v>
      </c>
      <c r="N6496" s="11" t="s">
        <v>56</v>
      </c>
      <c r="O6496" s="11" t="s">
        <v>1478</v>
      </c>
      <c r="P6496" s="11" t="s">
        <v>38</v>
      </c>
      <c r="Q6496" s="20">
        <v>40947.0</v>
      </c>
      <c r="R6496" s="17">
        <f t="shared" si="2"/>
        <v>8.484757475</v>
      </c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>
        <f t="shared" si="8"/>
        <v>3</v>
      </c>
      <c r="AF6496" s="19">
        <f t="shared" si="13"/>
        <v>4</v>
      </c>
      <c r="AG6496" s="9"/>
      <c r="AH6496" s="9"/>
      <c r="AI6496" s="9"/>
    </row>
    <row r="6497" ht="15.0" customHeight="1">
      <c r="A6497" s="11">
        <v>6496.0</v>
      </c>
      <c r="B6497" s="12">
        <f t="shared" ref="B6497:B6504" si="1044">DATE(2012,12,31)-328</f>
        <v>40946</v>
      </c>
      <c r="C6497" s="13">
        <v>2012.0</v>
      </c>
      <c r="D6497" s="11" t="s">
        <v>23</v>
      </c>
      <c r="E6497" s="11">
        <v>41.0</v>
      </c>
      <c r="F6497" s="21" t="s">
        <v>1227</v>
      </c>
      <c r="G6497" s="15">
        <v>0.03499469777306466</v>
      </c>
      <c r="H6497" s="11" t="s">
        <v>33</v>
      </c>
      <c r="I6497" s="16">
        <v>0.8</v>
      </c>
      <c r="J6497" s="11" t="s">
        <v>2164</v>
      </c>
      <c r="K6497" s="11" t="s">
        <v>61</v>
      </c>
      <c r="L6497" s="11" t="s">
        <v>48</v>
      </c>
      <c r="M6497" s="11" t="s">
        <v>28</v>
      </c>
      <c r="N6497" s="11" t="s">
        <v>62</v>
      </c>
      <c r="O6497" s="11" t="s">
        <v>1786</v>
      </c>
      <c r="P6497" s="11" t="s">
        <v>58</v>
      </c>
      <c r="Q6497" s="20">
        <v>40947.0</v>
      </c>
      <c r="R6497" s="17">
        <f t="shared" si="2"/>
        <v>3.184517497</v>
      </c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>
        <f t="shared" si="8"/>
        <v>4</v>
      </c>
      <c r="AF6497" s="19">
        <f t="shared" si="13"/>
        <v>4</v>
      </c>
      <c r="AG6497" s="9"/>
      <c r="AH6497" s="9"/>
      <c r="AI6497" s="9"/>
    </row>
    <row r="6498" ht="15.0" customHeight="1">
      <c r="A6498" s="11">
        <v>6497.0</v>
      </c>
      <c r="B6498" s="12">
        <f t="shared" si="1044"/>
        <v>40946</v>
      </c>
      <c r="C6498" s="13">
        <v>2012.0</v>
      </c>
      <c r="D6498" s="11" t="s">
        <v>23</v>
      </c>
      <c r="E6498" s="11">
        <v>28.0</v>
      </c>
      <c r="F6498" s="21" t="s">
        <v>178</v>
      </c>
      <c r="G6498" s="15">
        <v>0.031062693133609053</v>
      </c>
      <c r="H6498" s="11" t="s">
        <v>33</v>
      </c>
      <c r="I6498" s="16">
        <v>4.792000000000001</v>
      </c>
      <c r="J6498" s="11" t="s">
        <v>2304</v>
      </c>
      <c r="K6498" s="11" t="s">
        <v>26</v>
      </c>
      <c r="L6498" s="11" t="s">
        <v>48</v>
      </c>
      <c r="M6498" s="11" t="s">
        <v>66</v>
      </c>
      <c r="N6498" s="11" t="s">
        <v>80</v>
      </c>
      <c r="O6498" s="11" t="s">
        <v>179</v>
      </c>
      <c r="P6498" s="11" t="s">
        <v>38</v>
      </c>
      <c r="Q6498" s="20">
        <v>40947.0</v>
      </c>
      <c r="R6498" s="17">
        <f t="shared" si="2"/>
        <v>57.4657338</v>
      </c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>
        <f t="shared" si="8"/>
        <v>4</v>
      </c>
      <c r="AF6498" s="19">
        <f t="shared" si="13"/>
        <v>1</v>
      </c>
      <c r="AG6498" s="9"/>
      <c r="AH6498" s="9"/>
      <c r="AI6498" s="9"/>
    </row>
    <row r="6499" ht="15.0" customHeight="1">
      <c r="A6499" s="11">
        <v>6498.0</v>
      </c>
      <c r="B6499" s="12">
        <f t="shared" si="1044"/>
        <v>40946</v>
      </c>
      <c r="C6499" s="13">
        <v>2012.0</v>
      </c>
      <c r="D6499" s="11" t="s">
        <v>39</v>
      </c>
      <c r="E6499" s="11">
        <v>1.0</v>
      </c>
      <c r="F6499" s="21" t="s">
        <v>2094</v>
      </c>
      <c r="G6499" s="15">
        <v>0.11312849162011167</v>
      </c>
      <c r="H6499" s="11" t="s">
        <v>33</v>
      </c>
      <c r="I6499" s="16">
        <v>8.6</v>
      </c>
      <c r="J6499" s="11" t="s">
        <v>1756</v>
      </c>
      <c r="K6499" s="11" t="s">
        <v>117</v>
      </c>
      <c r="L6499" s="11" t="s">
        <v>48</v>
      </c>
      <c r="M6499" s="11" t="s">
        <v>28</v>
      </c>
      <c r="N6499" s="11" t="s">
        <v>56</v>
      </c>
      <c r="O6499" s="11" t="s">
        <v>2096</v>
      </c>
      <c r="P6499" s="11" t="s">
        <v>38</v>
      </c>
      <c r="Q6499" s="20">
        <v>40948.0</v>
      </c>
      <c r="R6499" s="17">
        <f t="shared" si="2"/>
        <v>7.183659218</v>
      </c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>
        <f t="shared" si="8"/>
        <v>4</v>
      </c>
      <c r="AF6499" s="19" t="b">
        <f t="shared" si="13"/>
        <v>0</v>
      </c>
      <c r="AG6499" s="9"/>
      <c r="AH6499" s="9"/>
      <c r="AI6499" s="9"/>
    </row>
    <row r="6500" ht="15.0" customHeight="1">
      <c r="A6500" s="11">
        <v>6499.0</v>
      </c>
      <c r="B6500" s="12">
        <f t="shared" si="1044"/>
        <v>40946</v>
      </c>
      <c r="C6500" s="13">
        <v>2012.0</v>
      </c>
      <c r="D6500" s="11" t="s">
        <v>39</v>
      </c>
      <c r="E6500" s="11">
        <v>47.0</v>
      </c>
      <c r="F6500" s="21" t="s">
        <v>1435</v>
      </c>
      <c r="G6500" s="15">
        <v>0.11138845553822144</v>
      </c>
      <c r="H6500" s="11" t="s">
        <v>33</v>
      </c>
      <c r="I6500" s="16">
        <v>0.5599999999999999</v>
      </c>
      <c r="J6500" s="11" t="s">
        <v>1756</v>
      </c>
      <c r="K6500" s="11" t="s">
        <v>117</v>
      </c>
      <c r="L6500" s="11" t="s">
        <v>48</v>
      </c>
      <c r="M6500" s="11" t="s">
        <v>28</v>
      </c>
      <c r="N6500" s="11" t="s">
        <v>216</v>
      </c>
      <c r="O6500" s="11" t="s">
        <v>1436</v>
      </c>
      <c r="P6500" s="11" t="s">
        <v>58</v>
      </c>
      <c r="Q6500" s="20">
        <v>40948.0</v>
      </c>
      <c r="R6500" s="17">
        <f t="shared" si="2"/>
        <v>6.344686427</v>
      </c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>
        <f t="shared" si="8"/>
        <v>4</v>
      </c>
      <c r="AF6500" s="19" t="b">
        <f t="shared" si="13"/>
        <v>0</v>
      </c>
      <c r="AG6500" s="9"/>
      <c r="AH6500" s="9"/>
      <c r="AI6500" s="9"/>
    </row>
    <row r="6501" ht="15.0" customHeight="1">
      <c r="A6501" s="11">
        <v>6500.0</v>
      </c>
      <c r="B6501" s="12">
        <f t="shared" si="1044"/>
        <v>40946</v>
      </c>
      <c r="C6501" s="13">
        <v>2012.0</v>
      </c>
      <c r="D6501" s="11" t="s">
        <v>32</v>
      </c>
      <c r="E6501" s="11">
        <v>44.0</v>
      </c>
      <c r="F6501" s="21" t="s">
        <v>425</v>
      </c>
      <c r="G6501" s="15">
        <v>0.09581959753261196</v>
      </c>
      <c r="H6501" s="11" t="s">
        <v>33</v>
      </c>
      <c r="I6501" s="16">
        <v>5.344</v>
      </c>
      <c r="J6501" s="11" t="s">
        <v>2145</v>
      </c>
      <c r="K6501" s="11" t="s">
        <v>26</v>
      </c>
      <c r="L6501" s="11" t="s">
        <v>36</v>
      </c>
      <c r="M6501" s="11" t="s">
        <v>49</v>
      </c>
      <c r="N6501" s="11" t="s">
        <v>73</v>
      </c>
      <c r="O6501" s="11" t="s">
        <v>2041</v>
      </c>
      <c r="P6501" s="11" t="s">
        <v>38</v>
      </c>
      <c r="Q6501" s="20">
        <v>40948.0</v>
      </c>
      <c r="R6501" s="17">
        <f t="shared" si="2"/>
        <v>85.67651822</v>
      </c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>
        <f t="shared" si="8"/>
        <v>2</v>
      </c>
      <c r="AF6501" s="19">
        <f t="shared" si="13"/>
        <v>1</v>
      </c>
      <c r="AG6501" s="9"/>
      <c r="AH6501" s="9"/>
      <c r="AI6501" s="9"/>
    </row>
    <row r="6502" ht="15.0" customHeight="1">
      <c r="A6502" s="11">
        <v>6501.0</v>
      </c>
      <c r="B6502" s="12">
        <f t="shared" si="1044"/>
        <v>40946</v>
      </c>
      <c r="C6502" s="13">
        <v>2012.0</v>
      </c>
      <c r="D6502" s="11" t="s">
        <v>32</v>
      </c>
      <c r="E6502" s="11">
        <v>45.0</v>
      </c>
      <c r="F6502" s="21" t="s">
        <v>632</v>
      </c>
      <c r="G6502" s="15">
        <v>0.06523531221162727</v>
      </c>
      <c r="H6502" s="11" t="s">
        <v>33</v>
      </c>
      <c r="I6502" s="16">
        <v>2.3920000000000003</v>
      </c>
      <c r="J6502" s="11" t="s">
        <v>928</v>
      </c>
      <c r="K6502" s="11" t="s">
        <v>61</v>
      </c>
      <c r="L6502" s="11" t="s">
        <v>36</v>
      </c>
      <c r="M6502" s="11" t="s">
        <v>28</v>
      </c>
      <c r="N6502" s="11" t="s">
        <v>42</v>
      </c>
      <c r="O6502" s="11" t="s">
        <v>1576</v>
      </c>
      <c r="P6502" s="11" t="s">
        <v>38</v>
      </c>
      <c r="Q6502" s="20">
        <v>40948.0</v>
      </c>
      <c r="R6502" s="17">
        <f t="shared" si="2"/>
        <v>19.8244895</v>
      </c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>
        <f t="shared" si="8"/>
        <v>2</v>
      </c>
      <c r="AF6502" s="19">
        <f t="shared" si="13"/>
        <v>4</v>
      </c>
      <c r="AG6502" s="9"/>
      <c r="AH6502" s="9"/>
      <c r="AI6502" s="9"/>
    </row>
    <row r="6503" ht="15.0" customHeight="1">
      <c r="A6503" s="11">
        <v>6502.0</v>
      </c>
      <c r="B6503" s="12">
        <f t="shared" si="1044"/>
        <v>40946</v>
      </c>
      <c r="C6503" s="13">
        <v>2012.0</v>
      </c>
      <c r="D6503" s="11" t="s">
        <v>102</v>
      </c>
      <c r="E6503" s="11">
        <v>6.0</v>
      </c>
      <c r="F6503" s="21" t="s">
        <v>1244</v>
      </c>
      <c r="G6503" s="15">
        <v>0.09352794896745596</v>
      </c>
      <c r="H6503" s="11" t="s">
        <v>33</v>
      </c>
      <c r="I6503" s="16">
        <v>19.592</v>
      </c>
      <c r="J6503" s="11" t="s">
        <v>538</v>
      </c>
      <c r="K6503" s="11" t="s">
        <v>61</v>
      </c>
      <c r="L6503" s="11" t="s">
        <v>36</v>
      </c>
      <c r="M6503" s="11" t="s">
        <v>49</v>
      </c>
      <c r="N6503" s="11" t="s">
        <v>50</v>
      </c>
      <c r="O6503" s="11" t="s">
        <v>1246</v>
      </c>
      <c r="P6503" s="11" t="s">
        <v>31</v>
      </c>
      <c r="Q6503" s="20">
        <v>40948.0</v>
      </c>
      <c r="R6503" s="17">
        <f t="shared" si="2"/>
        <v>156.8269166</v>
      </c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>
        <f t="shared" si="8"/>
        <v>2</v>
      </c>
      <c r="AF6503" s="19">
        <f t="shared" si="13"/>
        <v>4</v>
      </c>
      <c r="AG6503" s="9"/>
      <c r="AH6503" s="9"/>
      <c r="AI6503" s="9"/>
    </row>
    <row r="6504" ht="15.0" customHeight="1">
      <c r="A6504" s="11">
        <v>6503.0</v>
      </c>
      <c r="B6504" s="12">
        <f t="shared" si="1044"/>
        <v>40946</v>
      </c>
      <c r="C6504" s="13">
        <v>2012.0</v>
      </c>
      <c r="D6504" s="11" t="s">
        <v>102</v>
      </c>
      <c r="E6504" s="11">
        <v>37.0</v>
      </c>
      <c r="F6504" s="21" t="s">
        <v>891</v>
      </c>
      <c r="G6504" s="15">
        <v>0.01415605615409733</v>
      </c>
      <c r="H6504" s="11" t="s">
        <v>24</v>
      </c>
      <c r="I6504" s="16">
        <v>2.2640000000000002</v>
      </c>
      <c r="J6504" s="11" t="s">
        <v>538</v>
      </c>
      <c r="K6504" s="11" t="s">
        <v>61</v>
      </c>
      <c r="L6504" s="11" t="s">
        <v>36</v>
      </c>
      <c r="M6504" s="11" t="s">
        <v>66</v>
      </c>
      <c r="N6504" s="11" t="s">
        <v>67</v>
      </c>
      <c r="O6504" s="11" t="s">
        <v>893</v>
      </c>
      <c r="P6504" s="11" t="s">
        <v>99</v>
      </c>
      <c r="Q6504" s="20">
        <v>40948.0</v>
      </c>
      <c r="R6504" s="17">
        <f t="shared" si="2"/>
        <v>4.274619341</v>
      </c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>
        <f t="shared" si="8"/>
        <v>2</v>
      </c>
      <c r="AF6504" s="19">
        <f t="shared" si="13"/>
        <v>4</v>
      </c>
      <c r="AG6504" s="9"/>
      <c r="AH6504" s="9"/>
      <c r="AI6504" s="9"/>
    </row>
    <row r="6505" ht="15.0" customHeight="1">
      <c r="A6505" s="11">
        <v>6504.0</v>
      </c>
      <c r="B6505" s="12">
        <f t="shared" ref="B6505:B6512" si="1045">DATE(2012,12,31)-327</f>
        <v>40947</v>
      </c>
      <c r="C6505" s="13">
        <v>2012.0</v>
      </c>
      <c r="D6505" s="11" t="s">
        <v>32</v>
      </c>
      <c r="E6505" s="11">
        <v>18.0</v>
      </c>
      <c r="F6505" s="21" t="s">
        <v>1544</v>
      </c>
      <c r="G6505" s="15">
        <v>0.04881578947368411</v>
      </c>
      <c r="H6505" s="11" t="s">
        <v>33</v>
      </c>
      <c r="I6505" s="16">
        <v>7.192</v>
      </c>
      <c r="J6505" s="11" t="s">
        <v>1716</v>
      </c>
      <c r="K6505" s="11" t="s">
        <v>65</v>
      </c>
      <c r="L6505" s="11" t="s">
        <v>27</v>
      </c>
      <c r="M6505" s="11" t="s">
        <v>49</v>
      </c>
      <c r="N6505" s="11" t="s">
        <v>73</v>
      </c>
      <c r="O6505" s="11" t="s">
        <v>1545</v>
      </c>
      <c r="P6505" s="11" t="s">
        <v>99</v>
      </c>
      <c r="Q6505" s="20">
        <v>40948.0</v>
      </c>
      <c r="R6505" s="17">
        <f t="shared" si="2"/>
        <v>87.51655684</v>
      </c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>
        <f t="shared" si="8"/>
        <v>1</v>
      </c>
      <c r="AF6505" s="19">
        <f t="shared" si="13"/>
        <v>5</v>
      </c>
      <c r="AG6505" s="9"/>
      <c r="AH6505" s="9"/>
      <c r="AI6505" s="9"/>
    </row>
    <row r="6506" ht="15.0" customHeight="1">
      <c r="A6506" s="11">
        <v>6505.0</v>
      </c>
      <c r="B6506" s="12">
        <f t="shared" si="1045"/>
        <v>40947</v>
      </c>
      <c r="C6506" s="13">
        <v>2012.0</v>
      </c>
      <c r="D6506" s="11" t="s">
        <v>32</v>
      </c>
      <c r="E6506" s="11">
        <v>16.0</v>
      </c>
      <c r="F6506" s="21" t="s">
        <v>325</v>
      </c>
      <c r="G6506" s="15">
        <v>0.03409669211195937</v>
      </c>
      <c r="H6506" s="11" t="s">
        <v>33</v>
      </c>
      <c r="I6506" s="16">
        <v>1.8800000000000001</v>
      </c>
      <c r="J6506" s="11" t="s">
        <v>1716</v>
      </c>
      <c r="K6506" s="11" t="s">
        <v>65</v>
      </c>
      <c r="L6506" s="11" t="s">
        <v>27</v>
      </c>
      <c r="M6506" s="11" t="s">
        <v>28</v>
      </c>
      <c r="N6506" s="11" t="s">
        <v>62</v>
      </c>
      <c r="O6506" s="11" t="s">
        <v>1113</v>
      </c>
      <c r="P6506" s="11" t="s">
        <v>58</v>
      </c>
      <c r="Q6506" s="20">
        <v>40948.0</v>
      </c>
      <c r="R6506" s="17">
        <f t="shared" si="2"/>
        <v>3.882931298</v>
      </c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>
        <f t="shared" si="8"/>
        <v>1</v>
      </c>
      <c r="AF6506" s="19">
        <f t="shared" si="13"/>
        <v>5</v>
      </c>
      <c r="AG6506" s="9"/>
      <c r="AH6506" s="9"/>
      <c r="AI6506" s="9"/>
    </row>
    <row r="6507" ht="15.0" customHeight="1">
      <c r="A6507" s="11">
        <v>6506.0</v>
      </c>
      <c r="B6507" s="12">
        <f t="shared" si="1045"/>
        <v>40947</v>
      </c>
      <c r="C6507" s="13">
        <v>2012.0</v>
      </c>
      <c r="D6507" s="11" t="s">
        <v>39</v>
      </c>
      <c r="E6507" s="11">
        <v>48.0</v>
      </c>
      <c r="F6507" s="21" t="s">
        <v>810</v>
      </c>
      <c r="G6507" s="15">
        <v>0.0183912316552106</v>
      </c>
      <c r="H6507" s="11" t="s">
        <v>33</v>
      </c>
      <c r="I6507" s="16">
        <v>5.2</v>
      </c>
      <c r="J6507" s="11" t="s">
        <v>2244</v>
      </c>
      <c r="K6507" s="11" t="s">
        <v>117</v>
      </c>
      <c r="L6507" s="11" t="s">
        <v>41</v>
      </c>
      <c r="M6507" s="11" t="s">
        <v>66</v>
      </c>
      <c r="N6507" s="11" t="s">
        <v>67</v>
      </c>
      <c r="O6507" s="11" t="s">
        <v>1974</v>
      </c>
      <c r="P6507" s="11" t="s">
        <v>38</v>
      </c>
      <c r="Q6507" s="20">
        <v>40948.0</v>
      </c>
      <c r="R6507" s="17">
        <f t="shared" si="2"/>
        <v>9.717926807</v>
      </c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>
        <f t="shared" si="8"/>
        <v>3</v>
      </c>
      <c r="AF6507" s="19" t="b">
        <f t="shared" si="13"/>
        <v>0</v>
      </c>
      <c r="AG6507" s="9"/>
      <c r="AH6507" s="9"/>
      <c r="AI6507" s="9"/>
    </row>
    <row r="6508" ht="15.0" customHeight="1">
      <c r="A6508" s="11">
        <v>6507.0</v>
      </c>
      <c r="B6508" s="12">
        <f t="shared" si="1045"/>
        <v>40947</v>
      </c>
      <c r="C6508" s="13">
        <v>2012.0</v>
      </c>
      <c r="D6508" s="11" t="s">
        <v>44</v>
      </c>
      <c r="E6508" s="11">
        <v>18.0</v>
      </c>
      <c r="F6508" s="21" t="s">
        <v>319</v>
      </c>
      <c r="G6508" s="15">
        <v>0.06236706689536871</v>
      </c>
      <c r="H6508" s="11" t="s">
        <v>33</v>
      </c>
      <c r="I6508" s="16">
        <v>4.264</v>
      </c>
      <c r="J6508" s="11" t="s">
        <v>1405</v>
      </c>
      <c r="K6508" s="11" t="s">
        <v>35</v>
      </c>
      <c r="L6508" s="11" t="s">
        <v>48</v>
      </c>
      <c r="M6508" s="11" t="s">
        <v>28</v>
      </c>
      <c r="N6508" s="11" t="s">
        <v>188</v>
      </c>
      <c r="O6508" s="11" t="s">
        <v>2338</v>
      </c>
      <c r="P6508" s="11" t="s">
        <v>38</v>
      </c>
      <c r="Q6508" s="20">
        <v>40949.0</v>
      </c>
      <c r="R6508" s="17">
        <f t="shared" si="2"/>
        <v>3.409233345</v>
      </c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>
        <f t="shared" si="8"/>
        <v>4</v>
      </c>
      <c r="AF6508" s="19">
        <f t="shared" si="13"/>
        <v>2</v>
      </c>
      <c r="AG6508" s="9"/>
      <c r="AH6508" s="9"/>
      <c r="AI6508" s="9"/>
    </row>
    <row r="6509" ht="15.0" customHeight="1">
      <c r="A6509" s="11">
        <v>6508.0</v>
      </c>
      <c r="B6509" s="12">
        <f t="shared" si="1045"/>
        <v>40947</v>
      </c>
      <c r="C6509" s="13">
        <v>2012.0</v>
      </c>
      <c r="D6509" s="11" t="s">
        <v>102</v>
      </c>
      <c r="E6509" s="11">
        <v>50.0</v>
      </c>
      <c r="F6509" s="21" t="s">
        <v>788</v>
      </c>
      <c r="G6509" s="15">
        <v>0.04829026838018262</v>
      </c>
      <c r="H6509" s="11" t="s">
        <v>33</v>
      </c>
      <c r="I6509" s="16">
        <v>7.192</v>
      </c>
      <c r="J6509" s="11" t="s">
        <v>1228</v>
      </c>
      <c r="K6509" s="11" t="s">
        <v>83</v>
      </c>
      <c r="L6509" s="11" t="s">
        <v>41</v>
      </c>
      <c r="M6509" s="11" t="s">
        <v>66</v>
      </c>
      <c r="N6509" s="11" t="s">
        <v>80</v>
      </c>
      <c r="O6509" s="11" t="s">
        <v>996</v>
      </c>
      <c r="P6509" s="11" t="s">
        <v>38</v>
      </c>
      <c r="Q6509" s="20">
        <v>40949.0</v>
      </c>
      <c r="R6509" s="17">
        <f t="shared" si="2"/>
        <v>425.060214</v>
      </c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>
        <f t="shared" si="8"/>
        <v>3</v>
      </c>
      <c r="AF6509" s="19" t="b">
        <f t="shared" si="13"/>
        <v>0</v>
      </c>
      <c r="AG6509" s="9"/>
      <c r="AH6509" s="9"/>
      <c r="AI6509" s="9"/>
    </row>
    <row r="6510" ht="15.0" customHeight="1">
      <c r="A6510" s="11">
        <v>6509.0</v>
      </c>
      <c r="B6510" s="12">
        <f t="shared" si="1045"/>
        <v>40947</v>
      </c>
      <c r="C6510" s="13">
        <v>2012.0</v>
      </c>
      <c r="D6510" s="11" t="s">
        <v>23</v>
      </c>
      <c r="E6510" s="11">
        <v>29.0</v>
      </c>
      <c r="F6510" s="21" t="s">
        <v>103</v>
      </c>
      <c r="G6510" s="15">
        <v>0.10616075886170734</v>
      </c>
      <c r="H6510" s="11" t="s">
        <v>33</v>
      </c>
      <c r="I6510" s="16">
        <v>7.936</v>
      </c>
      <c r="J6510" s="11" t="s">
        <v>1938</v>
      </c>
      <c r="K6510" s="11" t="s">
        <v>26</v>
      </c>
      <c r="L6510" s="11" t="s">
        <v>41</v>
      </c>
      <c r="M6510" s="11" t="s">
        <v>28</v>
      </c>
      <c r="N6510" s="11" t="s">
        <v>42</v>
      </c>
      <c r="O6510" s="11" t="s">
        <v>1334</v>
      </c>
      <c r="P6510" s="11" t="s">
        <v>38</v>
      </c>
      <c r="Q6510" s="20">
        <v>40949.0</v>
      </c>
      <c r="R6510" s="17">
        <f t="shared" si="2"/>
        <v>19.00659762</v>
      </c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>
        <f t="shared" si="8"/>
        <v>3</v>
      </c>
      <c r="AF6510" s="19">
        <f t="shared" si="13"/>
        <v>1</v>
      </c>
      <c r="AG6510" s="9"/>
      <c r="AH6510" s="9"/>
      <c r="AI6510" s="9"/>
    </row>
    <row r="6511" ht="15.0" customHeight="1">
      <c r="A6511" s="11">
        <v>6510.0</v>
      </c>
      <c r="B6511" s="12">
        <f t="shared" si="1045"/>
        <v>40947</v>
      </c>
      <c r="C6511" s="13">
        <v>2012.0</v>
      </c>
      <c r="D6511" s="11" t="s">
        <v>23</v>
      </c>
      <c r="E6511" s="11">
        <v>24.0</v>
      </c>
      <c r="F6511" s="21" t="s">
        <v>178</v>
      </c>
      <c r="G6511" s="15">
        <v>0.09238881247134331</v>
      </c>
      <c r="H6511" s="11" t="s">
        <v>33</v>
      </c>
      <c r="I6511" s="16">
        <v>2.0</v>
      </c>
      <c r="J6511" s="11" t="s">
        <v>1938</v>
      </c>
      <c r="K6511" s="11" t="s">
        <v>26</v>
      </c>
      <c r="L6511" s="11" t="s">
        <v>41</v>
      </c>
      <c r="M6511" s="11" t="s">
        <v>66</v>
      </c>
      <c r="N6511" s="11" t="s">
        <v>80</v>
      </c>
      <c r="O6511" s="11" t="s">
        <v>2552</v>
      </c>
      <c r="P6511" s="11" t="s">
        <v>38</v>
      </c>
      <c r="Q6511" s="20">
        <v>40949.0</v>
      </c>
      <c r="R6511" s="17">
        <f t="shared" si="2"/>
        <v>146.3069234</v>
      </c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>
        <f t="shared" si="8"/>
        <v>3</v>
      </c>
      <c r="AF6511" s="19">
        <f t="shared" si="13"/>
        <v>1</v>
      </c>
      <c r="AG6511" s="9"/>
      <c r="AH6511" s="9"/>
      <c r="AI6511" s="9"/>
    </row>
    <row r="6512" ht="15.0" customHeight="1">
      <c r="A6512" s="11">
        <v>6511.0</v>
      </c>
      <c r="B6512" s="12">
        <f t="shared" si="1045"/>
        <v>40947</v>
      </c>
      <c r="C6512" s="13">
        <v>2012.0</v>
      </c>
      <c r="D6512" s="11" t="s">
        <v>32</v>
      </c>
      <c r="E6512" s="11">
        <v>50.0</v>
      </c>
      <c r="F6512" s="21" t="s">
        <v>176</v>
      </c>
      <c r="G6512" s="15">
        <v>0.040234075608492896</v>
      </c>
      <c r="H6512" s="11" t="s">
        <v>33</v>
      </c>
      <c r="I6512" s="16">
        <v>11.616</v>
      </c>
      <c r="J6512" s="11" t="s">
        <v>104</v>
      </c>
      <c r="K6512" s="11" t="s">
        <v>65</v>
      </c>
      <c r="L6512" s="11" t="s">
        <v>48</v>
      </c>
      <c r="M6512" s="11" t="s">
        <v>66</v>
      </c>
      <c r="N6512" s="11" t="s">
        <v>67</v>
      </c>
      <c r="O6512" s="11" t="s">
        <v>177</v>
      </c>
      <c r="P6512" s="11" t="s">
        <v>38</v>
      </c>
      <c r="Q6512" s="20">
        <v>40950.0</v>
      </c>
      <c r="R6512" s="17">
        <f t="shared" si="2"/>
        <v>149.1322684</v>
      </c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>
        <f t="shared" si="8"/>
        <v>4</v>
      </c>
      <c r="AF6512" s="19">
        <f t="shared" si="13"/>
        <v>5</v>
      </c>
      <c r="AG6512" s="9"/>
      <c r="AH6512" s="9"/>
      <c r="AI6512" s="9"/>
    </row>
    <row r="6513" ht="15.0" customHeight="1">
      <c r="A6513" s="11">
        <v>6512.0</v>
      </c>
      <c r="B6513" s="12">
        <f t="shared" ref="B6513:B6517" si="1046">DATE(2012,12,31)-326</f>
        <v>40948</v>
      </c>
      <c r="C6513" s="13">
        <v>2012.0</v>
      </c>
      <c r="D6513" s="11" t="s">
        <v>44</v>
      </c>
      <c r="E6513" s="11">
        <v>2.0</v>
      </c>
      <c r="F6513" s="21" t="s">
        <v>846</v>
      </c>
      <c r="G6513" s="15">
        <v>0.10004027746699479</v>
      </c>
      <c r="H6513" s="11" t="s">
        <v>33</v>
      </c>
      <c r="I6513" s="16">
        <v>15.991999999999999</v>
      </c>
      <c r="J6513" s="11" t="s">
        <v>1236</v>
      </c>
      <c r="K6513" s="11" t="s">
        <v>83</v>
      </c>
      <c r="L6513" s="11" t="s">
        <v>36</v>
      </c>
      <c r="M6513" s="11" t="s">
        <v>28</v>
      </c>
      <c r="N6513" s="11" t="s">
        <v>29</v>
      </c>
      <c r="O6513" s="11" t="s">
        <v>847</v>
      </c>
      <c r="P6513" s="11" t="s">
        <v>38</v>
      </c>
      <c r="Q6513" s="20">
        <v>40950.0</v>
      </c>
      <c r="R6513" s="17">
        <f t="shared" si="2"/>
        <v>40.23539928</v>
      </c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>
        <f t="shared" si="8"/>
        <v>2</v>
      </c>
      <c r="AF6513" s="19" t="b">
        <f t="shared" si="13"/>
        <v>0</v>
      </c>
      <c r="AG6513" s="9"/>
      <c r="AH6513" s="9"/>
      <c r="AI6513" s="9"/>
    </row>
    <row r="6514" ht="15.0" customHeight="1">
      <c r="A6514" s="11">
        <v>6513.0</v>
      </c>
      <c r="B6514" s="12">
        <f t="shared" si="1046"/>
        <v>40948</v>
      </c>
      <c r="C6514" s="13">
        <v>2012.0</v>
      </c>
      <c r="D6514" s="11" t="s">
        <v>39</v>
      </c>
      <c r="E6514" s="11">
        <v>33.0</v>
      </c>
      <c r="F6514" s="21" t="s">
        <v>342</v>
      </c>
      <c r="G6514" s="15">
        <v>0.030556653222514413</v>
      </c>
      <c r="H6514" s="11" t="s">
        <v>45</v>
      </c>
      <c r="I6514" s="16">
        <v>23.368000000000002</v>
      </c>
      <c r="J6514" s="11" t="s">
        <v>2539</v>
      </c>
      <c r="K6514" s="11" t="s">
        <v>35</v>
      </c>
      <c r="L6514" s="11" t="s">
        <v>36</v>
      </c>
      <c r="M6514" s="11" t="s">
        <v>49</v>
      </c>
      <c r="N6514" s="11" t="s">
        <v>85</v>
      </c>
      <c r="O6514" s="11" t="s">
        <v>343</v>
      </c>
      <c r="P6514" s="11" t="s">
        <v>87</v>
      </c>
      <c r="Q6514" s="20">
        <v>40950.0</v>
      </c>
      <c r="R6514" s="17">
        <f t="shared" si="2"/>
        <v>181.4138724</v>
      </c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>
        <f t="shared" si="8"/>
        <v>2</v>
      </c>
      <c r="AF6514" s="19">
        <f t="shared" si="13"/>
        <v>2</v>
      </c>
      <c r="AG6514" s="9"/>
      <c r="AH6514" s="9"/>
      <c r="AI6514" s="9"/>
    </row>
    <row r="6515" ht="15.0" customHeight="1">
      <c r="A6515" s="11">
        <v>6514.0</v>
      </c>
      <c r="B6515" s="12">
        <f t="shared" si="1046"/>
        <v>40948</v>
      </c>
      <c r="C6515" s="13">
        <v>2012.0</v>
      </c>
      <c r="D6515" s="11" t="s">
        <v>44</v>
      </c>
      <c r="E6515" s="11">
        <v>14.0</v>
      </c>
      <c r="F6515" s="21" t="s">
        <v>799</v>
      </c>
      <c r="G6515" s="15">
        <v>0.04044572563649157</v>
      </c>
      <c r="H6515" s="11" t="s">
        <v>45</v>
      </c>
      <c r="I6515" s="16">
        <v>28.536</v>
      </c>
      <c r="J6515" s="11" t="s">
        <v>703</v>
      </c>
      <c r="K6515" s="11" t="s">
        <v>35</v>
      </c>
      <c r="L6515" s="11" t="s">
        <v>41</v>
      </c>
      <c r="M6515" s="11" t="s">
        <v>49</v>
      </c>
      <c r="N6515" s="11" t="s">
        <v>85</v>
      </c>
      <c r="O6515" s="11" t="s">
        <v>1323</v>
      </c>
      <c r="P6515" s="11" t="s">
        <v>87</v>
      </c>
      <c r="Q6515" s="20">
        <v>40950.0</v>
      </c>
      <c r="R6515" s="17">
        <f t="shared" si="2"/>
        <v>160.2110199</v>
      </c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>
        <f t="shared" si="8"/>
        <v>3</v>
      </c>
      <c r="AF6515" s="19">
        <f t="shared" si="13"/>
        <v>2</v>
      </c>
      <c r="AG6515" s="9"/>
      <c r="AH6515" s="9"/>
      <c r="AI6515" s="9"/>
    </row>
    <row r="6516" ht="15.0" customHeight="1">
      <c r="A6516" s="11">
        <v>6515.0</v>
      </c>
      <c r="B6516" s="12">
        <f t="shared" si="1046"/>
        <v>40948</v>
      </c>
      <c r="C6516" s="13">
        <v>2012.0</v>
      </c>
      <c r="D6516" s="11" t="s">
        <v>44</v>
      </c>
      <c r="E6516" s="11">
        <v>41.0</v>
      </c>
      <c r="F6516" s="21" t="s">
        <v>142</v>
      </c>
      <c r="G6516" s="15">
        <v>0.05012576588197357</v>
      </c>
      <c r="H6516" s="11" t="s">
        <v>33</v>
      </c>
      <c r="I6516" s="16">
        <v>0.8800000000000001</v>
      </c>
      <c r="J6516" s="11" t="s">
        <v>703</v>
      </c>
      <c r="K6516" s="11" t="s">
        <v>35</v>
      </c>
      <c r="L6516" s="11" t="s">
        <v>41</v>
      </c>
      <c r="M6516" s="11" t="s">
        <v>66</v>
      </c>
      <c r="N6516" s="11" t="s">
        <v>80</v>
      </c>
      <c r="O6516" s="11" t="s">
        <v>143</v>
      </c>
      <c r="P6516" s="11" t="s">
        <v>38</v>
      </c>
      <c r="Q6516" s="20">
        <v>40950.0</v>
      </c>
      <c r="R6516" s="17">
        <f t="shared" si="2"/>
        <v>73.82422548</v>
      </c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>
        <f t="shared" si="8"/>
        <v>3</v>
      </c>
      <c r="AF6516" s="19">
        <f t="shared" si="13"/>
        <v>2</v>
      </c>
      <c r="AG6516" s="9"/>
      <c r="AH6516" s="9"/>
      <c r="AI6516" s="9"/>
    </row>
    <row r="6517" ht="15.0" customHeight="1">
      <c r="A6517" s="11">
        <v>6516.0</v>
      </c>
      <c r="B6517" s="12">
        <f t="shared" si="1046"/>
        <v>40948</v>
      </c>
      <c r="C6517" s="13">
        <v>2012.0</v>
      </c>
      <c r="D6517" s="11" t="s">
        <v>23</v>
      </c>
      <c r="E6517" s="11">
        <v>1.0</v>
      </c>
      <c r="F6517" s="21" t="s">
        <v>178</v>
      </c>
      <c r="G6517" s="15">
        <v>0.036343792633014835</v>
      </c>
      <c r="H6517" s="11" t="s">
        <v>33</v>
      </c>
      <c r="I6517" s="16">
        <v>4.736</v>
      </c>
      <c r="J6517" s="11" t="s">
        <v>2280</v>
      </c>
      <c r="K6517" s="11" t="s">
        <v>47</v>
      </c>
      <c r="L6517" s="11" t="s">
        <v>27</v>
      </c>
      <c r="M6517" s="11" t="s">
        <v>66</v>
      </c>
      <c r="N6517" s="11" t="s">
        <v>80</v>
      </c>
      <c r="O6517" s="11" t="s">
        <v>1579</v>
      </c>
      <c r="P6517" s="11" t="s">
        <v>38</v>
      </c>
      <c r="Q6517" s="20">
        <v>40950.0</v>
      </c>
      <c r="R6517" s="17">
        <f t="shared" si="2"/>
        <v>2.567180136</v>
      </c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>
        <f t="shared" si="8"/>
        <v>1</v>
      </c>
      <c r="AF6517" s="19">
        <f t="shared" si="13"/>
        <v>3</v>
      </c>
      <c r="AG6517" s="9"/>
      <c r="AH6517" s="9"/>
      <c r="AI6517" s="9"/>
    </row>
    <row r="6518" ht="15.0" customHeight="1">
      <c r="A6518" s="11">
        <v>6517.0</v>
      </c>
      <c r="B6518" s="12">
        <f t="shared" ref="B6518:B6522" si="1047">DATE(2012,12,31)-325</f>
        <v>40949</v>
      </c>
      <c r="C6518" s="13">
        <v>2012.0</v>
      </c>
      <c r="D6518" s="11" t="s">
        <v>39</v>
      </c>
      <c r="E6518" s="11">
        <v>14.0</v>
      </c>
      <c r="F6518" s="21" t="s">
        <v>287</v>
      </c>
      <c r="G6518" s="15">
        <v>0.08393357725865463</v>
      </c>
      <c r="H6518" s="11" t="s">
        <v>24</v>
      </c>
      <c r="I6518" s="16">
        <v>4.792000000000001</v>
      </c>
      <c r="J6518" s="11" t="s">
        <v>1594</v>
      </c>
      <c r="K6518" s="11" t="s">
        <v>61</v>
      </c>
      <c r="L6518" s="11" t="s">
        <v>48</v>
      </c>
      <c r="M6518" s="11" t="s">
        <v>66</v>
      </c>
      <c r="N6518" s="11" t="s">
        <v>80</v>
      </c>
      <c r="O6518" s="11" t="s">
        <v>2071</v>
      </c>
      <c r="P6518" s="11" t="s">
        <v>38</v>
      </c>
      <c r="Q6518" s="20">
        <v>40951.0</v>
      </c>
      <c r="R6518" s="17">
        <f t="shared" si="2"/>
        <v>136.5928322</v>
      </c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>
        <f t="shared" si="8"/>
        <v>4</v>
      </c>
      <c r="AF6518" s="19">
        <f t="shared" si="13"/>
        <v>4</v>
      </c>
      <c r="AG6518" s="9"/>
      <c r="AH6518" s="9"/>
      <c r="AI6518" s="9"/>
    </row>
    <row r="6519" ht="15.0" customHeight="1">
      <c r="A6519" s="11">
        <v>6518.0</v>
      </c>
      <c r="B6519" s="12">
        <f t="shared" si="1047"/>
        <v>40949</v>
      </c>
      <c r="C6519" s="13">
        <v>2012.0</v>
      </c>
      <c r="D6519" s="11" t="s">
        <v>23</v>
      </c>
      <c r="E6519" s="11">
        <v>23.0</v>
      </c>
      <c r="F6519" s="21" t="s">
        <v>1166</v>
      </c>
      <c r="G6519" s="15">
        <v>0.06041450777202068</v>
      </c>
      <c r="H6519" s="11" t="s">
        <v>33</v>
      </c>
      <c r="I6519" s="16">
        <v>0.7040000000000001</v>
      </c>
      <c r="J6519" s="11" t="s">
        <v>1777</v>
      </c>
      <c r="K6519" s="11" t="s">
        <v>83</v>
      </c>
      <c r="L6519" s="11" t="s">
        <v>48</v>
      </c>
      <c r="M6519" s="11" t="s">
        <v>28</v>
      </c>
      <c r="N6519" s="11" t="s">
        <v>56</v>
      </c>
      <c r="O6519" s="11" t="s">
        <v>1258</v>
      </c>
      <c r="P6519" s="11" t="s">
        <v>58</v>
      </c>
      <c r="Q6519" s="20">
        <v>40951.0</v>
      </c>
      <c r="R6519" s="17">
        <f t="shared" si="2"/>
        <v>6.573340104</v>
      </c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>
        <f t="shared" si="8"/>
        <v>4</v>
      </c>
      <c r="AF6519" s="19" t="b">
        <f t="shared" si="13"/>
        <v>0</v>
      </c>
      <c r="AG6519" s="9"/>
      <c r="AH6519" s="9"/>
      <c r="AI6519" s="9"/>
    </row>
    <row r="6520" ht="15.0" customHeight="1">
      <c r="A6520" s="11">
        <v>6519.0</v>
      </c>
      <c r="B6520" s="12">
        <f t="shared" si="1047"/>
        <v>40949</v>
      </c>
      <c r="C6520" s="13">
        <v>2012.0</v>
      </c>
      <c r="D6520" s="11" t="s">
        <v>23</v>
      </c>
      <c r="E6520" s="11">
        <v>9.0</v>
      </c>
      <c r="F6520" s="21" t="s">
        <v>186</v>
      </c>
      <c r="G6520" s="15">
        <v>0.039695431472081225</v>
      </c>
      <c r="H6520" s="11" t="s">
        <v>33</v>
      </c>
      <c r="I6520" s="16">
        <v>0.9359999999999999</v>
      </c>
      <c r="J6520" s="11" t="s">
        <v>1841</v>
      </c>
      <c r="K6520" s="11" t="s">
        <v>61</v>
      </c>
      <c r="L6520" s="11" t="s">
        <v>36</v>
      </c>
      <c r="M6520" s="11" t="s">
        <v>28</v>
      </c>
      <c r="N6520" s="11" t="s">
        <v>62</v>
      </c>
      <c r="O6520" s="11" t="s">
        <v>1358</v>
      </c>
      <c r="P6520" s="11" t="s">
        <v>58</v>
      </c>
      <c r="Q6520" s="20">
        <v>40951.0</v>
      </c>
      <c r="R6520" s="17">
        <f t="shared" si="2"/>
        <v>1.501916345</v>
      </c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>
        <f t="shared" si="8"/>
        <v>2</v>
      </c>
      <c r="AF6520" s="19">
        <f t="shared" si="13"/>
        <v>4</v>
      </c>
      <c r="AG6520" s="9"/>
      <c r="AH6520" s="9"/>
      <c r="AI6520" s="9"/>
    </row>
    <row r="6521" ht="15.0" customHeight="1">
      <c r="A6521" s="11">
        <v>6520.0</v>
      </c>
      <c r="B6521" s="12">
        <f t="shared" si="1047"/>
        <v>40949</v>
      </c>
      <c r="C6521" s="13">
        <v>2012.0</v>
      </c>
      <c r="D6521" s="11" t="s">
        <v>102</v>
      </c>
      <c r="E6521" s="11">
        <v>36.0</v>
      </c>
      <c r="F6521" s="21" t="s">
        <v>926</v>
      </c>
      <c r="G6521" s="15">
        <v>0.02475703324808193</v>
      </c>
      <c r="H6521" s="11" t="s">
        <v>24</v>
      </c>
      <c r="I6521" s="16">
        <v>3.9840000000000004</v>
      </c>
      <c r="J6521" s="11" t="s">
        <v>1222</v>
      </c>
      <c r="K6521" s="11" t="s">
        <v>83</v>
      </c>
      <c r="L6521" s="11" t="s">
        <v>48</v>
      </c>
      <c r="M6521" s="11" t="s">
        <v>49</v>
      </c>
      <c r="N6521" s="11" t="s">
        <v>73</v>
      </c>
      <c r="O6521" s="11" t="s">
        <v>927</v>
      </c>
      <c r="P6521" s="11" t="s">
        <v>99</v>
      </c>
      <c r="Q6521" s="20">
        <v>40951.0</v>
      </c>
      <c r="R6521" s="17">
        <f t="shared" si="2"/>
        <v>11.3284223</v>
      </c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>
        <f t="shared" si="8"/>
        <v>4</v>
      </c>
      <c r="AF6521" s="19" t="b">
        <f t="shared" si="13"/>
        <v>0</v>
      </c>
      <c r="AG6521" s="9"/>
      <c r="AH6521" s="9"/>
      <c r="AI6521" s="9"/>
    </row>
    <row r="6522" ht="15.0" customHeight="1">
      <c r="A6522" s="11">
        <v>6521.0</v>
      </c>
      <c r="B6522" s="12">
        <f t="shared" si="1047"/>
        <v>40949</v>
      </c>
      <c r="C6522" s="13">
        <v>2012.0</v>
      </c>
      <c r="D6522" s="11" t="s">
        <v>32</v>
      </c>
      <c r="E6522" s="11">
        <v>20.0</v>
      </c>
      <c r="F6522" s="21" t="s">
        <v>419</v>
      </c>
      <c r="G6522" s="15">
        <v>0.042359404366054745</v>
      </c>
      <c r="H6522" s="11" t="s">
        <v>33</v>
      </c>
      <c r="I6522" s="16">
        <v>4.4</v>
      </c>
      <c r="J6522" s="11" t="s">
        <v>1513</v>
      </c>
      <c r="K6522" s="11" t="s">
        <v>83</v>
      </c>
      <c r="L6522" s="11" t="s">
        <v>48</v>
      </c>
      <c r="M6522" s="11" t="s">
        <v>66</v>
      </c>
      <c r="N6522" s="11" t="s">
        <v>67</v>
      </c>
      <c r="O6522" s="11" t="s">
        <v>420</v>
      </c>
      <c r="P6522" s="11" t="s">
        <v>38</v>
      </c>
      <c r="Q6522" s="20">
        <v>40951.0</v>
      </c>
      <c r="R6522" s="17">
        <f t="shared" si="2"/>
        <v>28.05886945</v>
      </c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>
        <f t="shared" si="8"/>
        <v>4</v>
      </c>
      <c r="AF6522" s="19" t="b">
        <f t="shared" si="13"/>
        <v>0</v>
      </c>
      <c r="AG6522" s="9"/>
      <c r="AH6522" s="9"/>
      <c r="AI6522" s="9"/>
    </row>
    <row r="6523" ht="15.0" customHeight="1">
      <c r="A6523" s="11">
        <v>6522.0</v>
      </c>
      <c r="B6523" s="12">
        <f t="shared" ref="B6523:B6532" si="1048">DATE(2012,12,31)-324</f>
        <v>40950</v>
      </c>
      <c r="C6523" s="13">
        <v>2012.0</v>
      </c>
      <c r="D6523" s="11" t="s">
        <v>44</v>
      </c>
      <c r="E6523" s="11">
        <v>5.0</v>
      </c>
      <c r="F6523" s="21" t="s">
        <v>100</v>
      </c>
      <c r="G6523" s="15">
        <v>0.08451783821971041</v>
      </c>
      <c r="H6523" s="11" t="s">
        <v>33</v>
      </c>
      <c r="I6523" s="16">
        <v>7.192</v>
      </c>
      <c r="J6523" s="11" t="s">
        <v>1720</v>
      </c>
      <c r="K6523" s="11" t="s">
        <v>65</v>
      </c>
      <c r="L6523" s="11" t="s">
        <v>48</v>
      </c>
      <c r="M6523" s="11" t="s">
        <v>66</v>
      </c>
      <c r="N6523" s="11" t="s">
        <v>80</v>
      </c>
      <c r="O6523" s="11" t="s">
        <v>586</v>
      </c>
      <c r="P6523" s="11" t="s">
        <v>38</v>
      </c>
      <c r="Q6523" s="20">
        <v>40951.0</v>
      </c>
      <c r="R6523" s="17">
        <f t="shared" si="2"/>
        <v>87.61896674</v>
      </c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>
        <f t="shared" si="8"/>
        <v>4</v>
      </c>
      <c r="AF6523" s="19">
        <f t="shared" si="13"/>
        <v>5</v>
      </c>
      <c r="AG6523" s="9"/>
      <c r="AH6523" s="9"/>
      <c r="AI6523" s="9"/>
    </row>
    <row r="6524" ht="15.0" customHeight="1">
      <c r="A6524" s="11">
        <v>6523.0</v>
      </c>
      <c r="B6524" s="12">
        <f t="shared" si="1048"/>
        <v>40950</v>
      </c>
      <c r="C6524" s="13">
        <v>2012.0</v>
      </c>
      <c r="D6524" s="11" t="s">
        <v>44</v>
      </c>
      <c r="E6524" s="11">
        <v>35.0</v>
      </c>
      <c r="F6524" s="21" t="s">
        <v>838</v>
      </c>
      <c r="G6524" s="15">
        <v>0.0844301949744552</v>
      </c>
      <c r="H6524" s="11" t="s">
        <v>33</v>
      </c>
      <c r="I6524" s="16">
        <v>15.991999999999999</v>
      </c>
      <c r="J6524" s="11" t="s">
        <v>1720</v>
      </c>
      <c r="K6524" s="11" t="s">
        <v>65</v>
      </c>
      <c r="L6524" s="11" t="s">
        <v>48</v>
      </c>
      <c r="M6524" s="11" t="s">
        <v>66</v>
      </c>
      <c r="N6524" s="11" t="s">
        <v>69</v>
      </c>
      <c r="O6524" s="11" t="s">
        <v>840</v>
      </c>
      <c r="P6524" s="11" t="s">
        <v>38</v>
      </c>
      <c r="Q6524" s="20">
        <v>40951.0</v>
      </c>
      <c r="R6524" s="17">
        <f t="shared" si="2"/>
        <v>296.5603844</v>
      </c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>
        <f t="shared" si="8"/>
        <v>4</v>
      </c>
      <c r="AF6524" s="19">
        <f t="shared" si="13"/>
        <v>5</v>
      </c>
      <c r="AG6524" s="9"/>
      <c r="AH6524" s="9"/>
      <c r="AI6524" s="9"/>
    </row>
    <row r="6525" ht="15.0" customHeight="1">
      <c r="A6525" s="11">
        <v>6524.0</v>
      </c>
      <c r="B6525" s="12">
        <f t="shared" si="1048"/>
        <v>40950</v>
      </c>
      <c r="C6525" s="13">
        <v>2012.0</v>
      </c>
      <c r="D6525" s="11" t="s">
        <v>102</v>
      </c>
      <c r="E6525" s="11">
        <v>2.0</v>
      </c>
      <c r="F6525" s="21" t="s">
        <v>122</v>
      </c>
      <c r="G6525" s="15">
        <v>0.08704000000000008</v>
      </c>
      <c r="H6525" s="11" t="s">
        <v>33</v>
      </c>
      <c r="I6525" s="16">
        <v>3.848</v>
      </c>
      <c r="J6525" s="11" t="s">
        <v>1684</v>
      </c>
      <c r="K6525" s="11" t="s">
        <v>47</v>
      </c>
      <c r="L6525" s="11" t="s">
        <v>48</v>
      </c>
      <c r="M6525" s="11" t="s">
        <v>66</v>
      </c>
      <c r="N6525" s="11" t="s">
        <v>80</v>
      </c>
      <c r="O6525" s="11" t="s">
        <v>899</v>
      </c>
      <c r="P6525" s="11" t="s">
        <v>75</v>
      </c>
      <c r="Q6525" s="20">
        <v>40952.0</v>
      </c>
      <c r="R6525" s="17">
        <f t="shared" si="2"/>
        <v>3.97320192</v>
      </c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>
        <f t="shared" si="8"/>
        <v>4</v>
      </c>
      <c r="AF6525" s="19">
        <f t="shared" si="13"/>
        <v>3</v>
      </c>
      <c r="AG6525" s="9"/>
      <c r="AH6525" s="9"/>
      <c r="AI6525" s="9"/>
    </row>
    <row r="6526" ht="15.0" customHeight="1">
      <c r="A6526" s="11">
        <v>6525.0</v>
      </c>
      <c r="B6526" s="12">
        <f t="shared" si="1048"/>
        <v>40950</v>
      </c>
      <c r="C6526" s="13">
        <v>2012.0</v>
      </c>
      <c r="D6526" s="11" t="s">
        <v>23</v>
      </c>
      <c r="E6526" s="11">
        <v>50.0</v>
      </c>
      <c r="F6526" s="21" t="s">
        <v>498</v>
      </c>
      <c r="G6526" s="15">
        <v>0.09383293716895305</v>
      </c>
      <c r="H6526" s="11" t="s">
        <v>45</v>
      </c>
      <c r="I6526" s="16">
        <v>46.56</v>
      </c>
      <c r="J6526" s="11" t="s">
        <v>1222</v>
      </c>
      <c r="K6526" s="11" t="s">
        <v>83</v>
      </c>
      <c r="L6526" s="11" t="s">
        <v>48</v>
      </c>
      <c r="M6526" s="11" t="s">
        <v>49</v>
      </c>
      <c r="N6526" s="11" t="s">
        <v>50</v>
      </c>
      <c r="O6526" s="11" t="s">
        <v>2247</v>
      </c>
      <c r="P6526" s="11" t="s">
        <v>52</v>
      </c>
      <c r="Q6526" s="20">
        <v>40952.0</v>
      </c>
      <c r="R6526" s="17">
        <f t="shared" si="2"/>
        <v>454.2977953</v>
      </c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>
        <f t="shared" si="8"/>
        <v>4</v>
      </c>
      <c r="AF6526" s="19" t="b">
        <f t="shared" si="13"/>
        <v>0</v>
      </c>
      <c r="AG6526" s="9"/>
      <c r="AH6526" s="9"/>
      <c r="AI6526" s="9"/>
    </row>
    <row r="6527" ht="15.0" customHeight="1">
      <c r="A6527" s="11">
        <v>6526.0</v>
      </c>
      <c r="B6527" s="12">
        <f t="shared" si="1048"/>
        <v>40950</v>
      </c>
      <c r="C6527" s="13">
        <v>2012.0</v>
      </c>
      <c r="D6527" s="11" t="s">
        <v>102</v>
      </c>
      <c r="E6527" s="11">
        <v>44.0</v>
      </c>
      <c r="F6527" s="21" t="s">
        <v>369</v>
      </c>
      <c r="G6527" s="15">
        <v>0.07729793384005998</v>
      </c>
      <c r="H6527" s="11" t="s">
        <v>45</v>
      </c>
      <c r="I6527" s="16">
        <v>29.288</v>
      </c>
      <c r="J6527" s="11" t="s">
        <v>293</v>
      </c>
      <c r="K6527" s="11" t="s">
        <v>65</v>
      </c>
      <c r="L6527" s="11" t="s">
        <v>36</v>
      </c>
      <c r="M6527" s="11" t="s">
        <v>49</v>
      </c>
      <c r="N6527" s="11" t="s">
        <v>156</v>
      </c>
      <c r="O6527" s="11" t="s">
        <v>1885</v>
      </c>
      <c r="P6527" s="11" t="s">
        <v>87</v>
      </c>
      <c r="Q6527" s="20">
        <v>40952.0</v>
      </c>
      <c r="R6527" s="17">
        <f t="shared" si="2"/>
        <v>199.86834</v>
      </c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>
        <f t="shared" si="8"/>
        <v>2</v>
      </c>
      <c r="AF6527" s="19">
        <f t="shared" si="13"/>
        <v>5</v>
      </c>
      <c r="AG6527" s="9"/>
      <c r="AH6527" s="9"/>
      <c r="AI6527" s="9"/>
    </row>
    <row r="6528" ht="15.0" customHeight="1">
      <c r="A6528" s="11">
        <v>6527.0</v>
      </c>
      <c r="B6528" s="12">
        <f t="shared" si="1048"/>
        <v>40950</v>
      </c>
      <c r="C6528" s="13">
        <v>2012.0</v>
      </c>
      <c r="D6528" s="11" t="s">
        <v>102</v>
      </c>
      <c r="E6528" s="11">
        <v>30.0</v>
      </c>
      <c r="F6528" s="21" t="s">
        <v>419</v>
      </c>
      <c r="G6528" s="15">
        <v>0.02296245195624329</v>
      </c>
      <c r="H6528" s="11" t="s">
        <v>33</v>
      </c>
      <c r="I6528" s="16">
        <v>4.4</v>
      </c>
      <c r="J6528" s="11" t="s">
        <v>293</v>
      </c>
      <c r="K6528" s="11" t="s">
        <v>65</v>
      </c>
      <c r="L6528" s="11" t="s">
        <v>36</v>
      </c>
      <c r="M6528" s="11" t="s">
        <v>66</v>
      </c>
      <c r="N6528" s="11" t="s">
        <v>67</v>
      </c>
      <c r="O6528" s="11" t="s">
        <v>420</v>
      </c>
      <c r="P6528" s="11" t="s">
        <v>38</v>
      </c>
      <c r="Q6528" s="20">
        <v>40952.0</v>
      </c>
      <c r="R6528" s="17">
        <f t="shared" si="2"/>
        <v>22.76497487</v>
      </c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>
        <f t="shared" si="8"/>
        <v>2</v>
      </c>
      <c r="AF6528" s="19">
        <f t="shared" si="13"/>
        <v>5</v>
      </c>
      <c r="AG6528" s="9"/>
      <c r="AH6528" s="9"/>
      <c r="AI6528" s="9"/>
    </row>
    <row r="6529" ht="15.0" customHeight="1">
      <c r="A6529" s="11">
        <v>6528.0</v>
      </c>
      <c r="B6529" s="12">
        <f t="shared" si="1048"/>
        <v>40950</v>
      </c>
      <c r="C6529" s="13">
        <v>2012.0</v>
      </c>
      <c r="D6529" s="11" t="s">
        <v>102</v>
      </c>
      <c r="E6529" s="11">
        <v>30.0</v>
      </c>
      <c r="F6529" s="21" t="s">
        <v>422</v>
      </c>
      <c r="G6529" s="15">
        <v>0.013660104459622338</v>
      </c>
      <c r="H6529" s="11" t="s">
        <v>33</v>
      </c>
      <c r="I6529" s="16">
        <v>28.0</v>
      </c>
      <c r="J6529" s="11" t="s">
        <v>293</v>
      </c>
      <c r="K6529" s="11" t="s">
        <v>65</v>
      </c>
      <c r="L6529" s="11" t="s">
        <v>36</v>
      </c>
      <c r="M6529" s="11" t="s">
        <v>28</v>
      </c>
      <c r="N6529" s="11" t="s">
        <v>29</v>
      </c>
      <c r="O6529" s="11" t="s">
        <v>1571</v>
      </c>
      <c r="P6529" s="11" t="s">
        <v>31</v>
      </c>
      <c r="Q6529" s="20">
        <v>40952.0</v>
      </c>
      <c r="R6529" s="17">
        <f t="shared" si="2"/>
        <v>33.53555645</v>
      </c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>
        <f t="shared" si="8"/>
        <v>2</v>
      </c>
      <c r="AF6529" s="19">
        <f t="shared" si="13"/>
        <v>5</v>
      </c>
      <c r="AG6529" s="9"/>
      <c r="AH6529" s="9"/>
      <c r="AI6529" s="9"/>
    </row>
    <row r="6530" ht="15.0" customHeight="1">
      <c r="A6530" s="11">
        <v>6529.0</v>
      </c>
      <c r="B6530" s="12">
        <f t="shared" si="1048"/>
        <v>40950</v>
      </c>
      <c r="C6530" s="13">
        <v>2012.0</v>
      </c>
      <c r="D6530" s="11" t="s">
        <v>32</v>
      </c>
      <c r="E6530" s="11">
        <v>31.0</v>
      </c>
      <c r="F6530" s="21" t="s">
        <v>397</v>
      </c>
      <c r="G6530" s="15">
        <v>0.03273967264224489</v>
      </c>
      <c r="H6530" s="11" t="s">
        <v>33</v>
      </c>
      <c r="I6530" s="16">
        <v>10.096</v>
      </c>
      <c r="J6530" s="11" t="s">
        <v>1889</v>
      </c>
      <c r="K6530" s="11" t="s">
        <v>26</v>
      </c>
      <c r="L6530" s="11" t="s">
        <v>27</v>
      </c>
      <c r="M6530" s="11" t="s">
        <v>28</v>
      </c>
      <c r="N6530" s="11" t="s">
        <v>42</v>
      </c>
      <c r="O6530" s="11" t="s">
        <v>1333</v>
      </c>
      <c r="P6530" s="11" t="s">
        <v>38</v>
      </c>
      <c r="Q6530" s="20">
        <v>40952.0</v>
      </c>
      <c r="R6530" s="17">
        <f t="shared" si="2"/>
        <v>32.50381604</v>
      </c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>
        <f t="shared" si="8"/>
        <v>1</v>
      </c>
      <c r="AF6530" s="19">
        <f t="shared" si="13"/>
        <v>1</v>
      </c>
      <c r="AG6530" s="9"/>
      <c r="AH6530" s="9"/>
      <c r="AI6530" s="9"/>
    </row>
    <row r="6531" ht="15.0" customHeight="1">
      <c r="A6531" s="11">
        <v>6530.0</v>
      </c>
      <c r="B6531" s="12">
        <f t="shared" si="1048"/>
        <v>40950</v>
      </c>
      <c r="C6531" s="13">
        <v>2012.0</v>
      </c>
      <c r="D6531" s="11" t="s">
        <v>44</v>
      </c>
      <c r="E6531" s="11">
        <v>3.0</v>
      </c>
      <c r="F6531" s="21" t="s">
        <v>130</v>
      </c>
      <c r="G6531" s="15">
        <v>0.04311444652908071</v>
      </c>
      <c r="H6531" s="11" t="s">
        <v>33</v>
      </c>
      <c r="I6531" s="16">
        <v>9.304</v>
      </c>
      <c r="J6531" s="11" t="s">
        <v>2594</v>
      </c>
      <c r="K6531" s="11" t="s">
        <v>26</v>
      </c>
      <c r="L6531" s="11" t="s">
        <v>48</v>
      </c>
      <c r="M6531" s="11" t="s">
        <v>28</v>
      </c>
      <c r="N6531" s="11" t="s">
        <v>42</v>
      </c>
      <c r="O6531" s="11" t="s">
        <v>2567</v>
      </c>
      <c r="P6531" s="11" t="s">
        <v>38</v>
      </c>
      <c r="Q6531" s="20">
        <v>40952.0</v>
      </c>
      <c r="R6531" s="17">
        <f t="shared" si="2"/>
        <v>4.397846004</v>
      </c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>
        <f t="shared" si="8"/>
        <v>4</v>
      </c>
      <c r="AF6531" s="19">
        <f t="shared" si="13"/>
        <v>1</v>
      </c>
      <c r="AG6531" s="9"/>
      <c r="AH6531" s="9"/>
      <c r="AI6531" s="9"/>
    </row>
    <row r="6532" ht="15.0" customHeight="1">
      <c r="A6532" s="11">
        <v>6531.0</v>
      </c>
      <c r="B6532" s="12">
        <f t="shared" si="1048"/>
        <v>40950</v>
      </c>
      <c r="C6532" s="13">
        <v>2012.0</v>
      </c>
      <c r="D6532" s="11" t="s">
        <v>44</v>
      </c>
      <c r="E6532" s="11">
        <v>35.0</v>
      </c>
      <c r="F6532" s="21" t="s">
        <v>126</v>
      </c>
      <c r="G6532" s="15">
        <v>0.04243797195253503</v>
      </c>
      <c r="H6532" s="11" t="s">
        <v>33</v>
      </c>
      <c r="I6532" s="16">
        <v>6.032</v>
      </c>
      <c r="J6532" s="11" t="s">
        <v>2594</v>
      </c>
      <c r="K6532" s="11" t="s">
        <v>26</v>
      </c>
      <c r="L6532" s="11" t="s">
        <v>48</v>
      </c>
      <c r="M6532" s="11" t="s">
        <v>28</v>
      </c>
      <c r="N6532" s="11" t="s">
        <v>56</v>
      </c>
      <c r="O6532" s="11" t="s">
        <v>842</v>
      </c>
      <c r="P6532" s="11" t="s">
        <v>38</v>
      </c>
      <c r="Q6532" s="20">
        <v>40952.0</v>
      </c>
      <c r="R6532" s="17">
        <f t="shared" si="2"/>
        <v>7.534098037</v>
      </c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>
        <f t="shared" si="8"/>
        <v>4</v>
      </c>
      <c r="AF6532" s="19">
        <f t="shared" si="13"/>
        <v>1</v>
      </c>
      <c r="AG6532" s="9"/>
      <c r="AH6532" s="9"/>
      <c r="AI6532" s="9"/>
    </row>
    <row r="6533" ht="15.0" customHeight="1">
      <c r="A6533" s="11">
        <v>6532.0</v>
      </c>
      <c r="B6533" s="12">
        <f t="shared" ref="B6533:B6538" si="1049">DATE(2012,12,31)-323</f>
        <v>40951</v>
      </c>
      <c r="C6533" s="13">
        <v>2012.0</v>
      </c>
      <c r="D6533" s="11" t="s">
        <v>39</v>
      </c>
      <c r="E6533" s="11">
        <v>43.0</v>
      </c>
      <c r="F6533" s="21" t="s">
        <v>641</v>
      </c>
      <c r="G6533" s="15">
        <v>0.011511254019292554</v>
      </c>
      <c r="H6533" s="11" t="s">
        <v>24</v>
      </c>
      <c r="I6533" s="16">
        <v>4.24</v>
      </c>
      <c r="J6533" s="11" t="s">
        <v>2347</v>
      </c>
      <c r="K6533" s="11" t="s">
        <v>61</v>
      </c>
      <c r="L6533" s="11" t="s">
        <v>48</v>
      </c>
      <c r="M6533" s="11" t="s">
        <v>49</v>
      </c>
      <c r="N6533" s="11" t="s">
        <v>73</v>
      </c>
      <c r="O6533" s="11" t="s">
        <v>880</v>
      </c>
      <c r="P6533" s="11" t="s">
        <v>58</v>
      </c>
      <c r="Q6533" s="20">
        <v>40953.0</v>
      </c>
      <c r="R6533" s="17">
        <f t="shared" si="2"/>
        <v>7.077579421</v>
      </c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>
        <f t="shared" si="8"/>
        <v>4</v>
      </c>
      <c r="AF6533" s="19">
        <f t="shared" si="13"/>
        <v>4</v>
      </c>
      <c r="AG6533" s="9"/>
      <c r="AH6533" s="9"/>
      <c r="AI6533" s="9"/>
    </row>
    <row r="6534" ht="15.0" customHeight="1">
      <c r="A6534" s="11">
        <v>6533.0</v>
      </c>
      <c r="B6534" s="12">
        <f t="shared" si="1049"/>
        <v>40951</v>
      </c>
      <c r="C6534" s="13">
        <v>2012.0</v>
      </c>
      <c r="D6534" s="11" t="s">
        <v>32</v>
      </c>
      <c r="E6534" s="11">
        <v>27.0</v>
      </c>
      <c r="F6534" s="21" t="s">
        <v>183</v>
      </c>
      <c r="G6534" s="15">
        <v>0.05602941176470579</v>
      </c>
      <c r="H6534" s="11" t="s">
        <v>33</v>
      </c>
      <c r="I6534" s="16">
        <v>7.192</v>
      </c>
      <c r="J6534" s="11" t="s">
        <v>421</v>
      </c>
      <c r="K6534" s="11" t="s">
        <v>83</v>
      </c>
      <c r="L6534" s="11" t="s">
        <v>27</v>
      </c>
      <c r="M6534" s="11" t="s">
        <v>66</v>
      </c>
      <c r="N6534" s="11" t="s">
        <v>67</v>
      </c>
      <c r="O6534" s="11" t="s">
        <v>505</v>
      </c>
      <c r="P6534" s="11" t="s">
        <v>99</v>
      </c>
      <c r="Q6534" s="20">
        <v>40953.0</v>
      </c>
      <c r="R6534" s="17">
        <f t="shared" si="2"/>
        <v>24.45639</v>
      </c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>
        <f t="shared" si="8"/>
        <v>1</v>
      </c>
      <c r="AF6534" s="19" t="b">
        <f t="shared" si="13"/>
        <v>0</v>
      </c>
      <c r="AG6534" s="9"/>
      <c r="AH6534" s="9"/>
      <c r="AI6534" s="9"/>
    </row>
    <row r="6535" ht="15.0" customHeight="1">
      <c r="A6535" s="11">
        <v>6534.0</v>
      </c>
      <c r="B6535" s="12">
        <f t="shared" si="1049"/>
        <v>40951</v>
      </c>
      <c r="C6535" s="13">
        <v>2012.0</v>
      </c>
      <c r="D6535" s="11" t="s">
        <v>32</v>
      </c>
      <c r="E6535" s="11">
        <v>26.0</v>
      </c>
      <c r="F6535" s="21" t="s">
        <v>1261</v>
      </c>
      <c r="G6535" s="15">
        <v>0.05323449083105738</v>
      </c>
      <c r="H6535" s="11" t="s">
        <v>33</v>
      </c>
      <c r="I6535" s="16">
        <v>15.568000000000001</v>
      </c>
      <c r="J6535" s="11" t="s">
        <v>421</v>
      </c>
      <c r="K6535" s="11" t="s">
        <v>83</v>
      </c>
      <c r="L6535" s="11" t="s">
        <v>27</v>
      </c>
      <c r="M6535" s="11" t="s">
        <v>49</v>
      </c>
      <c r="N6535" s="11" t="s">
        <v>73</v>
      </c>
      <c r="O6535" s="11" t="s">
        <v>2421</v>
      </c>
      <c r="P6535" s="11" t="s">
        <v>38</v>
      </c>
      <c r="Q6535" s="20">
        <v>40953.0</v>
      </c>
      <c r="R6535" s="17">
        <f t="shared" si="2"/>
        <v>38.75300582</v>
      </c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>
        <f t="shared" si="8"/>
        <v>1</v>
      </c>
      <c r="AF6535" s="19" t="b">
        <f t="shared" si="13"/>
        <v>0</v>
      </c>
      <c r="AG6535" s="9"/>
      <c r="AH6535" s="9"/>
      <c r="AI6535" s="9"/>
    </row>
    <row r="6536" ht="15.0" customHeight="1">
      <c r="A6536" s="11">
        <v>6535.0</v>
      </c>
      <c r="B6536" s="12">
        <f t="shared" si="1049"/>
        <v>40951</v>
      </c>
      <c r="C6536" s="13">
        <v>2012.0</v>
      </c>
      <c r="D6536" s="11" t="s">
        <v>102</v>
      </c>
      <c r="E6536" s="11">
        <v>32.0</v>
      </c>
      <c r="F6536" s="21" t="s">
        <v>422</v>
      </c>
      <c r="G6536" s="15">
        <v>0.06664266426642661</v>
      </c>
      <c r="H6536" s="11" t="s">
        <v>33</v>
      </c>
      <c r="I6536" s="16">
        <v>3.6</v>
      </c>
      <c r="J6536" s="11" t="s">
        <v>1409</v>
      </c>
      <c r="K6536" s="11" t="s">
        <v>26</v>
      </c>
      <c r="L6536" s="11" t="s">
        <v>27</v>
      </c>
      <c r="M6536" s="11" t="s">
        <v>28</v>
      </c>
      <c r="N6536" s="11" t="s">
        <v>197</v>
      </c>
      <c r="O6536" s="11" t="s">
        <v>2225</v>
      </c>
      <c r="P6536" s="11" t="s">
        <v>38</v>
      </c>
      <c r="Q6536" s="20">
        <v>40953.0</v>
      </c>
      <c r="R6536" s="17">
        <f t="shared" si="2"/>
        <v>172.7644428</v>
      </c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>
        <f t="shared" si="8"/>
        <v>1</v>
      </c>
      <c r="AF6536" s="19">
        <f t="shared" si="13"/>
        <v>1</v>
      </c>
      <c r="AG6536" s="9"/>
      <c r="AH6536" s="9"/>
      <c r="AI6536" s="9"/>
    </row>
    <row r="6537" ht="15.0" customHeight="1">
      <c r="A6537" s="11">
        <v>6536.0</v>
      </c>
      <c r="B6537" s="12">
        <f t="shared" si="1049"/>
        <v>40951</v>
      </c>
      <c r="C6537" s="13">
        <v>2012.0</v>
      </c>
      <c r="D6537" s="11" t="s">
        <v>32</v>
      </c>
      <c r="E6537" s="11">
        <v>48.0</v>
      </c>
      <c r="F6537" s="21" t="s">
        <v>158</v>
      </c>
      <c r="G6537" s="15">
        <v>0.05395095367847409</v>
      </c>
      <c r="H6537" s="11" t="s">
        <v>33</v>
      </c>
      <c r="I6537" s="16">
        <v>5.28</v>
      </c>
      <c r="J6537" s="11" t="s">
        <v>1886</v>
      </c>
      <c r="K6537" s="11" t="s">
        <v>61</v>
      </c>
      <c r="L6537" s="11" t="s">
        <v>48</v>
      </c>
      <c r="M6537" s="11" t="s">
        <v>28</v>
      </c>
      <c r="N6537" s="11" t="s">
        <v>56</v>
      </c>
      <c r="O6537" s="11" t="s">
        <v>543</v>
      </c>
      <c r="P6537" s="11" t="s">
        <v>38</v>
      </c>
      <c r="Q6537" s="20">
        <v>40953.0</v>
      </c>
      <c r="R6537" s="17">
        <f t="shared" si="2"/>
        <v>16.85859401</v>
      </c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>
        <f t="shared" si="8"/>
        <v>4</v>
      </c>
      <c r="AF6537" s="19">
        <f t="shared" si="13"/>
        <v>4</v>
      </c>
      <c r="AG6537" s="9"/>
      <c r="AH6537" s="9"/>
      <c r="AI6537" s="9"/>
    </row>
    <row r="6538" ht="15.0" customHeight="1">
      <c r="A6538" s="11">
        <v>6537.0</v>
      </c>
      <c r="B6538" s="12">
        <f t="shared" si="1049"/>
        <v>40951</v>
      </c>
      <c r="C6538" s="13">
        <v>2012.0</v>
      </c>
      <c r="D6538" s="11" t="s">
        <v>32</v>
      </c>
      <c r="E6538" s="11">
        <v>6.0</v>
      </c>
      <c r="F6538" s="21" t="s">
        <v>142</v>
      </c>
      <c r="G6538" s="15">
        <v>0.08548223350253818</v>
      </c>
      <c r="H6538" s="11" t="s">
        <v>33</v>
      </c>
      <c r="I6538" s="16">
        <v>0.792</v>
      </c>
      <c r="J6538" s="11" t="s">
        <v>1886</v>
      </c>
      <c r="K6538" s="11" t="s">
        <v>61</v>
      </c>
      <c r="L6538" s="11" t="s">
        <v>48</v>
      </c>
      <c r="M6538" s="11" t="s">
        <v>66</v>
      </c>
      <c r="N6538" s="11" t="s">
        <v>80</v>
      </c>
      <c r="O6538" s="11" t="s">
        <v>1046</v>
      </c>
      <c r="P6538" s="11" t="s">
        <v>99</v>
      </c>
      <c r="Q6538" s="20">
        <v>40954.0</v>
      </c>
      <c r="R6538" s="17">
        <f t="shared" si="2"/>
        <v>18.48057503</v>
      </c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>
        <f t="shared" si="8"/>
        <v>4</v>
      </c>
      <c r="AF6538" s="19">
        <f t="shared" si="13"/>
        <v>4</v>
      </c>
      <c r="AG6538" s="9"/>
      <c r="AH6538" s="9"/>
      <c r="AI6538" s="9"/>
    </row>
    <row r="6539" ht="15.0" customHeight="1">
      <c r="A6539" s="11">
        <v>6538.0</v>
      </c>
      <c r="B6539" s="12">
        <f t="shared" ref="B6539:B6542" si="1050">DATE(2012,12,31)-322</f>
        <v>40952</v>
      </c>
      <c r="C6539" s="13">
        <v>2012.0</v>
      </c>
      <c r="D6539" s="11" t="s">
        <v>23</v>
      </c>
      <c r="E6539" s="11">
        <v>32.0</v>
      </c>
      <c r="F6539" s="21" t="s">
        <v>455</v>
      </c>
      <c r="G6539" s="15">
        <v>0.026254111842105285</v>
      </c>
      <c r="H6539" s="11" t="s">
        <v>33</v>
      </c>
      <c r="I6539" s="16">
        <v>4.5040000000000004</v>
      </c>
      <c r="J6539" s="11" t="s">
        <v>2116</v>
      </c>
      <c r="K6539" s="11" t="s">
        <v>65</v>
      </c>
      <c r="L6539" s="11" t="s">
        <v>36</v>
      </c>
      <c r="M6539" s="11" t="s">
        <v>28</v>
      </c>
      <c r="N6539" s="11" t="s">
        <v>42</v>
      </c>
      <c r="O6539" s="11" t="s">
        <v>1232</v>
      </c>
      <c r="P6539" s="11" t="s">
        <v>38</v>
      </c>
      <c r="Q6539" s="20">
        <v>40954.0</v>
      </c>
      <c r="R6539" s="17">
        <f t="shared" si="2"/>
        <v>9.947787993</v>
      </c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>
        <f t="shared" si="8"/>
        <v>2</v>
      </c>
      <c r="AF6539" s="19">
        <f t="shared" si="13"/>
        <v>5</v>
      </c>
      <c r="AG6539" s="9"/>
      <c r="AH6539" s="9"/>
      <c r="AI6539" s="9"/>
    </row>
    <row r="6540" ht="15.0" customHeight="1">
      <c r="A6540" s="11">
        <v>6539.0</v>
      </c>
      <c r="B6540" s="12">
        <f t="shared" si="1050"/>
        <v>40952</v>
      </c>
      <c r="C6540" s="13">
        <v>2012.0</v>
      </c>
      <c r="D6540" s="11" t="s">
        <v>23</v>
      </c>
      <c r="E6540" s="11">
        <v>1.0</v>
      </c>
      <c r="F6540" s="21" t="s">
        <v>1627</v>
      </c>
      <c r="G6540" s="15">
        <v>0.08449803055048521</v>
      </c>
      <c r="H6540" s="11" t="s">
        <v>33</v>
      </c>
      <c r="I6540" s="16">
        <v>15.991999999999999</v>
      </c>
      <c r="J6540" s="11" t="s">
        <v>2116</v>
      </c>
      <c r="K6540" s="11" t="s">
        <v>65</v>
      </c>
      <c r="L6540" s="11" t="s">
        <v>36</v>
      </c>
      <c r="M6540" s="11" t="s">
        <v>28</v>
      </c>
      <c r="N6540" s="11" t="s">
        <v>42</v>
      </c>
      <c r="O6540" s="11" t="s">
        <v>1628</v>
      </c>
      <c r="P6540" s="11" t="s">
        <v>38</v>
      </c>
      <c r="Q6540" s="20">
        <v>40954.0</v>
      </c>
      <c r="R6540" s="17">
        <f t="shared" si="2"/>
        <v>161.0441204</v>
      </c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>
        <f t="shared" si="8"/>
        <v>2</v>
      </c>
      <c r="AF6540" s="19">
        <f t="shared" si="13"/>
        <v>5</v>
      </c>
      <c r="AG6540" s="9"/>
      <c r="AH6540" s="9"/>
      <c r="AI6540" s="9"/>
    </row>
    <row r="6541" ht="15.0" customHeight="1">
      <c r="A6541" s="11">
        <v>6540.0</v>
      </c>
      <c r="B6541" s="12">
        <f t="shared" si="1050"/>
        <v>40952</v>
      </c>
      <c r="C6541" s="13">
        <v>2012.0</v>
      </c>
      <c r="D6541" s="11" t="s">
        <v>23</v>
      </c>
      <c r="E6541" s="11">
        <v>15.0</v>
      </c>
      <c r="F6541" s="21" t="s">
        <v>573</v>
      </c>
      <c r="G6541" s="15">
        <v>0.09471515151515143</v>
      </c>
      <c r="H6541" s="11" t="s">
        <v>33</v>
      </c>
      <c r="I6541" s="16">
        <v>0.8720000000000001</v>
      </c>
      <c r="J6541" s="11" t="s">
        <v>786</v>
      </c>
      <c r="K6541" s="11" t="s">
        <v>35</v>
      </c>
      <c r="L6541" s="11" t="s">
        <v>36</v>
      </c>
      <c r="M6541" s="11" t="s">
        <v>28</v>
      </c>
      <c r="N6541" s="11" t="s">
        <v>62</v>
      </c>
      <c r="O6541" s="11" t="s">
        <v>1555</v>
      </c>
      <c r="P6541" s="11" t="s">
        <v>58</v>
      </c>
      <c r="Q6541" s="20">
        <v>40954.0</v>
      </c>
      <c r="R6541" s="17">
        <f t="shared" si="2"/>
        <v>14.14779161</v>
      </c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>
        <f t="shared" si="8"/>
        <v>2</v>
      </c>
      <c r="AF6541" s="19">
        <f t="shared" si="13"/>
        <v>2</v>
      </c>
      <c r="AG6541" s="9"/>
      <c r="AH6541" s="9"/>
      <c r="AI6541" s="9"/>
    </row>
    <row r="6542" ht="15.0" customHeight="1">
      <c r="A6542" s="11">
        <v>6541.0</v>
      </c>
      <c r="B6542" s="12">
        <f t="shared" si="1050"/>
        <v>40952</v>
      </c>
      <c r="C6542" s="13">
        <v>2012.0</v>
      </c>
      <c r="D6542" s="11" t="s">
        <v>39</v>
      </c>
      <c r="E6542" s="11">
        <v>15.0</v>
      </c>
      <c r="F6542" s="21" t="s">
        <v>402</v>
      </c>
      <c r="G6542" s="15">
        <v>0.0152270850536746</v>
      </c>
      <c r="H6542" s="11" t="s">
        <v>33</v>
      </c>
      <c r="I6542" s="16">
        <v>2.256</v>
      </c>
      <c r="J6542" s="11" t="s">
        <v>1439</v>
      </c>
      <c r="K6542" s="11" t="s">
        <v>61</v>
      </c>
      <c r="L6542" s="11" t="s">
        <v>41</v>
      </c>
      <c r="M6542" s="11" t="s">
        <v>28</v>
      </c>
      <c r="N6542" s="11" t="s">
        <v>216</v>
      </c>
      <c r="O6542" s="11" t="s">
        <v>1537</v>
      </c>
      <c r="P6542" s="11" t="s">
        <v>58</v>
      </c>
      <c r="Q6542" s="20">
        <v>40954.0</v>
      </c>
      <c r="R6542" s="17">
        <f t="shared" si="2"/>
        <v>1.815921255</v>
      </c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>
        <f t="shared" si="8"/>
        <v>3</v>
      </c>
      <c r="AF6542" s="19">
        <f t="shared" si="13"/>
        <v>4</v>
      </c>
      <c r="AG6542" s="9"/>
      <c r="AH6542" s="9"/>
      <c r="AI6542" s="9"/>
    </row>
    <row r="6543" ht="15.0" customHeight="1">
      <c r="A6543" s="11">
        <v>6542.0</v>
      </c>
      <c r="B6543" s="12">
        <f t="shared" ref="B6543:B6550" si="1051">DATE(2012,12,31)-321</f>
        <v>40953</v>
      </c>
      <c r="C6543" s="13">
        <v>2012.0</v>
      </c>
      <c r="D6543" s="11" t="s">
        <v>39</v>
      </c>
      <c r="E6543" s="11">
        <v>44.0</v>
      </c>
      <c r="F6543" s="21" t="s">
        <v>163</v>
      </c>
      <c r="G6543" s="15">
        <v>0.04034422667326441</v>
      </c>
      <c r="H6543" s="11" t="s">
        <v>45</v>
      </c>
      <c r="I6543" s="16">
        <v>20.976</v>
      </c>
      <c r="J6543" s="11" t="s">
        <v>337</v>
      </c>
      <c r="K6543" s="11" t="s">
        <v>117</v>
      </c>
      <c r="L6543" s="11" t="s">
        <v>27</v>
      </c>
      <c r="M6543" s="11" t="s">
        <v>49</v>
      </c>
      <c r="N6543" s="11" t="s">
        <v>156</v>
      </c>
      <c r="O6543" s="11" t="s">
        <v>2437</v>
      </c>
      <c r="P6543" s="11" t="s">
        <v>87</v>
      </c>
      <c r="Q6543" s="20">
        <v>40954.0</v>
      </c>
      <c r="R6543" s="17">
        <f t="shared" si="2"/>
        <v>179.9584892</v>
      </c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>
        <f t="shared" si="8"/>
        <v>1</v>
      </c>
      <c r="AF6543" s="19" t="b">
        <f t="shared" si="13"/>
        <v>0</v>
      </c>
      <c r="AG6543" s="9"/>
      <c r="AH6543" s="9"/>
      <c r="AI6543" s="9"/>
    </row>
    <row r="6544" ht="15.0" customHeight="1">
      <c r="A6544" s="11">
        <v>6543.0</v>
      </c>
      <c r="B6544" s="12">
        <f t="shared" si="1051"/>
        <v>40953</v>
      </c>
      <c r="C6544" s="13">
        <v>2012.0</v>
      </c>
      <c r="D6544" s="11" t="s">
        <v>39</v>
      </c>
      <c r="E6544" s="11">
        <v>11.0</v>
      </c>
      <c r="F6544" s="21" t="s">
        <v>583</v>
      </c>
      <c r="G6544" s="15">
        <v>0.2135831381733021</v>
      </c>
      <c r="H6544" s="11" t="s">
        <v>33</v>
      </c>
      <c r="I6544" s="16">
        <v>55.2</v>
      </c>
      <c r="J6544" s="11" t="s">
        <v>337</v>
      </c>
      <c r="K6544" s="11" t="s">
        <v>117</v>
      </c>
      <c r="L6544" s="11" t="s">
        <v>27</v>
      </c>
      <c r="M6544" s="11" t="s">
        <v>49</v>
      </c>
      <c r="N6544" s="11" t="s">
        <v>85</v>
      </c>
      <c r="O6544" s="11" t="s">
        <v>585</v>
      </c>
      <c r="P6544" s="11" t="s">
        <v>31</v>
      </c>
      <c r="Q6544" s="20">
        <v>40954.0</v>
      </c>
      <c r="R6544" s="17">
        <f t="shared" si="2"/>
        <v>179.3030445</v>
      </c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>
        <f t="shared" si="8"/>
        <v>1</v>
      </c>
      <c r="AF6544" s="19" t="b">
        <f t="shared" si="13"/>
        <v>0</v>
      </c>
      <c r="AG6544" s="9"/>
      <c r="AH6544" s="9"/>
      <c r="AI6544" s="9"/>
    </row>
    <row r="6545" ht="15.0" customHeight="1">
      <c r="A6545" s="11">
        <v>6544.0</v>
      </c>
      <c r="B6545" s="12">
        <f t="shared" si="1051"/>
        <v>40953</v>
      </c>
      <c r="C6545" s="13">
        <v>2012.0</v>
      </c>
      <c r="D6545" s="11" t="s">
        <v>39</v>
      </c>
      <c r="E6545" s="11">
        <v>23.0</v>
      </c>
      <c r="F6545" s="21" t="s">
        <v>126</v>
      </c>
      <c r="G6545" s="15">
        <v>0.021626297577854548</v>
      </c>
      <c r="H6545" s="11" t="s">
        <v>33</v>
      </c>
      <c r="I6545" s="16">
        <v>0.4</v>
      </c>
      <c r="J6545" s="11" t="s">
        <v>2541</v>
      </c>
      <c r="K6545" s="11" t="s">
        <v>47</v>
      </c>
      <c r="L6545" s="11" t="s">
        <v>27</v>
      </c>
      <c r="M6545" s="11" t="s">
        <v>28</v>
      </c>
      <c r="N6545" s="11" t="s">
        <v>188</v>
      </c>
      <c r="O6545" s="11" t="s">
        <v>551</v>
      </c>
      <c r="P6545" s="11" t="s">
        <v>38</v>
      </c>
      <c r="Q6545" s="20">
        <v>40954.0</v>
      </c>
      <c r="R6545" s="17">
        <f t="shared" si="2"/>
        <v>2.445934256</v>
      </c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>
        <f t="shared" si="8"/>
        <v>1</v>
      </c>
      <c r="AF6545" s="19">
        <f t="shared" si="13"/>
        <v>3</v>
      </c>
      <c r="AG6545" s="9"/>
      <c r="AH6545" s="9"/>
      <c r="AI6545" s="9"/>
    </row>
    <row r="6546" ht="15.0" customHeight="1">
      <c r="A6546" s="11">
        <v>6545.0</v>
      </c>
      <c r="B6546" s="12">
        <f t="shared" si="1051"/>
        <v>40953</v>
      </c>
      <c r="C6546" s="13">
        <v>2012.0</v>
      </c>
      <c r="D6546" s="11" t="s">
        <v>39</v>
      </c>
      <c r="E6546" s="11">
        <v>7.0</v>
      </c>
      <c r="F6546" s="21" t="s">
        <v>242</v>
      </c>
      <c r="G6546" s="15">
        <v>0.012074425969912726</v>
      </c>
      <c r="H6546" s="11" t="s">
        <v>24</v>
      </c>
      <c r="I6546" s="16">
        <v>2.8000000000000003</v>
      </c>
      <c r="J6546" s="11" t="s">
        <v>2541</v>
      </c>
      <c r="K6546" s="11" t="s">
        <v>47</v>
      </c>
      <c r="L6546" s="11" t="s">
        <v>27</v>
      </c>
      <c r="M6546" s="11" t="s">
        <v>28</v>
      </c>
      <c r="N6546" s="11" t="s">
        <v>197</v>
      </c>
      <c r="O6546" s="11" t="s">
        <v>1134</v>
      </c>
      <c r="P6546" s="11" t="s">
        <v>38</v>
      </c>
      <c r="Q6546" s="20">
        <v>40955.0</v>
      </c>
      <c r="R6546" s="17">
        <f t="shared" si="2"/>
        <v>6.026346002</v>
      </c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>
        <f t="shared" si="8"/>
        <v>1</v>
      </c>
      <c r="AF6546" s="19">
        <f t="shared" si="13"/>
        <v>3</v>
      </c>
      <c r="AG6546" s="9"/>
      <c r="AH6546" s="9"/>
      <c r="AI6546" s="9"/>
    </row>
    <row r="6547" ht="15.0" customHeight="1">
      <c r="A6547" s="11">
        <v>6546.0</v>
      </c>
      <c r="B6547" s="12">
        <f t="shared" si="1051"/>
        <v>40953</v>
      </c>
      <c r="C6547" s="13">
        <v>2012.0</v>
      </c>
      <c r="D6547" s="11" t="s">
        <v>23</v>
      </c>
      <c r="E6547" s="11">
        <v>5.0</v>
      </c>
      <c r="F6547" s="21" t="s">
        <v>144</v>
      </c>
      <c r="G6547" s="15">
        <v>0.14777777777777779</v>
      </c>
      <c r="H6547" s="11" t="s">
        <v>33</v>
      </c>
      <c r="I6547" s="16">
        <v>4.84</v>
      </c>
      <c r="J6547" s="11" t="s">
        <v>1080</v>
      </c>
      <c r="K6547" s="11" t="s">
        <v>47</v>
      </c>
      <c r="L6547" s="11" t="s">
        <v>48</v>
      </c>
      <c r="M6547" s="11" t="s">
        <v>28</v>
      </c>
      <c r="N6547" s="11" t="s">
        <v>42</v>
      </c>
      <c r="O6547" s="11" t="s">
        <v>542</v>
      </c>
      <c r="P6547" s="11" t="s">
        <v>38</v>
      </c>
      <c r="Q6547" s="20">
        <v>40955.0</v>
      </c>
      <c r="R6547" s="17">
        <f t="shared" si="2"/>
        <v>2.266911111</v>
      </c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>
        <f t="shared" si="8"/>
        <v>4</v>
      </c>
      <c r="AF6547" s="19">
        <f t="shared" si="13"/>
        <v>3</v>
      </c>
      <c r="AG6547" s="9"/>
      <c r="AH6547" s="9"/>
      <c r="AI6547" s="9"/>
    </row>
    <row r="6548" ht="15.0" customHeight="1">
      <c r="A6548" s="11">
        <v>6547.0</v>
      </c>
      <c r="B6548" s="12">
        <f t="shared" si="1051"/>
        <v>40953</v>
      </c>
      <c r="C6548" s="13">
        <v>2012.0</v>
      </c>
      <c r="D6548" s="11" t="s">
        <v>23</v>
      </c>
      <c r="E6548" s="11">
        <v>32.0</v>
      </c>
      <c r="F6548" s="21" t="s">
        <v>135</v>
      </c>
      <c r="G6548" s="15">
        <v>0.0355575459023736</v>
      </c>
      <c r="H6548" s="11" t="s">
        <v>33</v>
      </c>
      <c r="I6548" s="16">
        <v>4.16</v>
      </c>
      <c r="J6548" s="11" t="s">
        <v>116</v>
      </c>
      <c r="K6548" s="11" t="s">
        <v>117</v>
      </c>
      <c r="L6548" s="11" t="s">
        <v>27</v>
      </c>
      <c r="M6548" s="11" t="s">
        <v>28</v>
      </c>
      <c r="N6548" s="11" t="s">
        <v>56</v>
      </c>
      <c r="O6548" s="11" t="s">
        <v>1237</v>
      </c>
      <c r="P6548" s="11" t="s">
        <v>38</v>
      </c>
      <c r="Q6548" s="20">
        <v>40955.0</v>
      </c>
      <c r="R6548" s="17">
        <f t="shared" si="2"/>
        <v>7.657673086</v>
      </c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>
        <f t="shared" si="8"/>
        <v>1</v>
      </c>
      <c r="AF6548" s="19" t="b">
        <f t="shared" si="13"/>
        <v>0</v>
      </c>
      <c r="AG6548" s="9"/>
      <c r="AH6548" s="9"/>
      <c r="AI6548" s="9"/>
    </row>
    <row r="6549" ht="15.0" customHeight="1">
      <c r="A6549" s="11">
        <v>6548.0</v>
      </c>
      <c r="B6549" s="12">
        <f t="shared" si="1051"/>
        <v>40953</v>
      </c>
      <c r="C6549" s="13">
        <v>2012.0</v>
      </c>
      <c r="D6549" s="11" t="s">
        <v>32</v>
      </c>
      <c r="E6549" s="11">
        <v>18.0</v>
      </c>
      <c r="F6549" s="21" t="s">
        <v>933</v>
      </c>
      <c r="G6549" s="15">
        <v>0.058965999068467695</v>
      </c>
      <c r="H6549" s="11" t="s">
        <v>24</v>
      </c>
      <c r="I6549" s="16">
        <v>4.0</v>
      </c>
      <c r="J6549" s="11" t="s">
        <v>1069</v>
      </c>
      <c r="K6549" s="11" t="s">
        <v>83</v>
      </c>
      <c r="L6549" s="11" t="s">
        <v>41</v>
      </c>
      <c r="M6549" s="11" t="s">
        <v>66</v>
      </c>
      <c r="N6549" s="11" t="s">
        <v>80</v>
      </c>
      <c r="O6549" s="11" t="s">
        <v>1023</v>
      </c>
      <c r="P6549" s="11" t="s">
        <v>99</v>
      </c>
      <c r="Q6549" s="20">
        <v>40955.0</v>
      </c>
      <c r="R6549" s="17">
        <f t="shared" si="2"/>
        <v>59.56745226</v>
      </c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>
        <f t="shared" si="8"/>
        <v>3</v>
      </c>
      <c r="AF6549" s="19" t="b">
        <f t="shared" si="13"/>
        <v>0</v>
      </c>
      <c r="AG6549" s="9"/>
      <c r="AH6549" s="9"/>
      <c r="AI6549" s="9"/>
    </row>
    <row r="6550" ht="15.0" customHeight="1">
      <c r="A6550" s="11">
        <v>6549.0</v>
      </c>
      <c r="B6550" s="12">
        <f t="shared" si="1051"/>
        <v>40953</v>
      </c>
      <c r="C6550" s="13">
        <v>2012.0</v>
      </c>
      <c r="D6550" s="11" t="s">
        <v>32</v>
      </c>
      <c r="E6550" s="11">
        <v>34.0</v>
      </c>
      <c r="F6550" s="21" t="s">
        <v>865</v>
      </c>
      <c r="G6550" s="15">
        <v>0.029777065092451906</v>
      </c>
      <c r="H6550" s="11" t="s">
        <v>33</v>
      </c>
      <c r="I6550" s="16">
        <v>6.464</v>
      </c>
      <c r="J6550" s="11" t="s">
        <v>1069</v>
      </c>
      <c r="K6550" s="11" t="s">
        <v>83</v>
      </c>
      <c r="L6550" s="11" t="s">
        <v>41</v>
      </c>
      <c r="M6550" s="11" t="s">
        <v>66</v>
      </c>
      <c r="N6550" s="11" t="s">
        <v>80</v>
      </c>
      <c r="O6550" s="11" t="s">
        <v>1411</v>
      </c>
      <c r="P6550" s="11" t="s">
        <v>38</v>
      </c>
      <c r="Q6550" s="20">
        <v>40955.0</v>
      </c>
      <c r="R6550" s="17">
        <f t="shared" si="2"/>
        <v>203.5876998</v>
      </c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>
        <f t="shared" si="8"/>
        <v>3</v>
      </c>
      <c r="AF6550" s="19" t="b">
        <f t="shared" si="13"/>
        <v>0</v>
      </c>
      <c r="AG6550" s="9"/>
      <c r="AH6550" s="9"/>
      <c r="AI6550" s="9"/>
    </row>
    <row r="6551" ht="15.0" customHeight="1">
      <c r="A6551" s="11">
        <v>6550.0</v>
      </c>
      <c r="B6551" s="12">
        <f t="shared" ref="B6551:B6557" si="1052">DATE(2012,12,31)-320</f>
        <v>40954</v>
      </c>
      <c r="C6551" s="13">
        <v>2012.0</v>
      </c>
      <c r="D6551" s="11" t="s">
        <v>102</v>
      </c>
      <c r="E6551" s="11">
        <v>40.0</v>
      </c>
      <c r="F6551" s="21" t="s">
        <v>1900</v>
      </c>
      <c r="G6551" s="15">
        <v>0.06057877213181062</v>
      </c>
      <c r="H6551" s="11" t="s">
        <v>45</v>
      </c>
      <c r="I6551" s="16">
        <v>23.36</v>
      </c>
      <c r="J6551" s="11" t="s">
        <v>2167</v>
      </c>
      <c r="K6551" s="11" t="s">
        <v>83</v>
      </c>
      <c r="L6551" s="11" t="s">
        <v>41</v>
      </c>
      <c r="M6551" s="11" t="s">
        <v>49</v>
      </c>
      <c r="N6551" s="11" t="s">
        <v>85</v>
      </c>
      <c r="O6551" s="11" t="s">
        <v>1902</v>
      </c>
      <c r="P6551" s="11" t="s">
        <v>87</v>
      </c>
      <c r="Q6551" s="20">
        <v>40955.0</v>
      </c>
      <c r="R6551" s="17">
        <f t="shared" si="2"/>
        <v>778.2772939</v>
      </c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>
        <f t="shared" si="8"/>
        <v>3</v>
      </c>
      <c r="AF6551" s="19" t="b">
        <f t="shared" si="13"/>
        <v>0</v>
      </c>
      <c r="AG6551" s="9"/>
      <c r="AH6551" s="9"/>
      <c r="AI6551" s="9"/>
    </row>
    <row r="6552" ht="15.0" customHeight="1">
      <c r="A6552" s="11">
        <v>6551.0</v>
      </c>
      <c r="B6552" s="12">
        <f t="shared" si="1052"/>
        <v>40954</v>
      </c>
      <c r="C6552" s="13">
        <v>2012.0</v>
      </c>
      <c r="D6552" s="11" t="s">
        <v>102</v>
      </c>
      <c r="E6552" s="11">
        <v>31.0</v>
      </c>
      <c r="F6552" s="21" t="s">
        <v>668</v>
      </c>
      <c r="G6552" s="15">
        <v>0.06172634753109689</v>
      </c>
      <c r="H6552" s="11" t="s">
        <v>33</v>
      </c>
      <c r="I6552" s="16">
        <v>4.024</v>
      </c>
      <c r="J6552" s="11" t="s">
        <v>2167</v>
      </c>
      <c r="K6552" s="11" t="s">
        <v>83</v>
      </c>
      <c r="L6552" s="11" t="s">
        <v>41</v>
      </c>
      <c r="M6552" s="11" t="s">
        <v>66</v>
      </c>
      <c r="N6552" s="11" t="s">
        <v>80</v>
      </c>
      <c r="O6552" s="11" t="s">
        <v>1603</v>
      </c>
      <c r="P6552" s="11" t="s">
        <v>75</v>
      </c>
      <c r="Q6552" s="20">
        <v>40955.0</v>
      </c>
      <c r="R6552" s="17">
        <f t="shared" si="2"/>
        <v>15.36516933</v>
      </c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>
        <f t="shared" si="8"/>
        <v>3</v>
      </c>
      <c r="AF6552" s="19" t="b">
        <f t="shared" si="13"/>
        <v>0</v>
      </c>
      <c r="AG6552" s="9"/>
      <c r="AH6552" s="9"/>
      <c r="AI6552" s="9"/>
    </row>
    <row r="6553" ht="15.0" customHeight="1">
      <c r="A6553" s="11">
        <v>6552.0</v>
      </c>
      <c r="B6553" s="12">
        <f t="shared" si="1052"/>
        <v>40954</v>
      </c>
      <c r="C6553" s="13">
        <v>2012.0</v>
      </c>
      <c r="D6553" s="11" t="s">
        <v>44</v>
      </c>
      <c r="E6553" s="11">
        <v>49.0</v>
      </c>
      <c r="F6553" s="21" t="s">
        <v>287</v>
      </c>
      <c r="G6553" s="15">
        <v>0.03939631570052379</v>
      </c>
      <c r="H6553" s="11" t="s">
        <v>33</v>
      </c>
      <c r="I6553" s="16">
        <v>4.792000000000001</v>
      </c>
      <c r="J6553" s="11" t="s">
        <v>1667</v>
      </c>
      <c r="K6553" s="11" t="s">
        <v>26</v>
      </c>
      <c r="L6553" s="11" t="s">
        <v>48</v>
      </c>
      <c r="M6553" s="11" t="s">
        <v>66</v>
      </c>
      <c r="N6553" s="11" t="s">
        <v>80</v>
      </c>
      <c r="O6553" s="11" t="s">
        <v>2071</v>
      </c>
      <c r="P6553" s="11" t="s">
        <v>38</v>
      </c>
      <c r="Q6553" s="20">
        <v>40956.0</v>
      </c>
      <c r="R6553" s="17">
        <f t="shared" si="2"/>
        <v>223.9244036</v>
      </c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>
        <f t="shared" si="8"/>
        <v>4</v>
      </c>
      <c r="AF6553" s="19">
        <f t="shared" si="13"/>
        <v>1</v>
      </c>
      <c r="AG6553" s="9"/>
      <c r="AH6553" s="9"/>
      <c r="AI6553" s="9"/>
    </row>
    <row r="6554" ht="15.0" customHeight="1">
      <c r="A6554" s="11">
        <v>6553.0</v>
      </c>
      <c r="B6554" s="12">
        <f t="shared" si="1052"/>
        <v>40954</v>
      </c>
      <c r="C6554" s="13">
        <v>2012.0</v>
      </c>
      <c r="D6554" s="11" t="s">
        <v>44</v>
      </c>
      <c r="E6554" s="11">
        <v>1.0</v>
      </c>
      <c r="F6554" s="21" t="s">
        <v>245</v>
      </c>
      <c r="G6554" s="15">
        <v>0.09540540540540546</v>
      </c>
      <c r="H6554" s="11" t="s">
        <v>33</v>
      </c>
      <c r="I6554" s="16">
        <v>1.888</v>
      </c>
      <c r="J6554" s="11" t="s">
        <v>1667</v>
      </c>
      <c r="K6554" s="11" t="s">
        <v>26</v>
      </c>
      <c r="L6554" s="11" t="s">
        <v>48</v>
      </c>
      <c r="M6554" s="11" t="s">
        <v>28</v>
      </c>
      <c r="N6554" s="11" t="s">
        <v>62</v>
      </c>
      <c r="O6554" s="11" t="s">
        <v>246</v>
      </c>
      <c r="P6554" s="11" t="s">
        <v>58</v>
      </c>
      <c r="Q6554" s="20">
        <v>40956.0</v>
      </c>
      <c r="R6554" s="17">
        <f t="shared" si="2"/>
        <v>1.277287568</v>
      </c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>
        <f t="shared" si="8"/>
        <v>4</v>
      </c>
      <c r="AF6554" s="19">
        <f t="shared" si="13"/>
        <v>1</v>
      </c>
      <c r="AG6554" s="9"/>
      <c r="AH6554" s="9"/>
      <c r="AI6554" s="9"/>
    </row>
    <row r="6555" ht="15.0" customHeight="1">
      <c r="A6555" s="11">
        <v>6554.0</v>
      </c>
      <c r="B6555" s="12">
        <f t="shared" si="1052"/>
        <v>40954</v>
      </c>
      <c r="C6555" s="13">
        <v>2012.0</v>
      </c>
      <c r="D6555" s="11" t="s">
        <v>44</v>
      </c>
      <c r="E6555" s="11">
        <v>13.0</v>
      </c>
      <c r="F6555" s="21" t="s">
        <v>270</v>
      </c>
      <c r="G6555" s="15">
        <v>0.031610677319775064</v>
      </c>
      <c r="H6555" s="11" t="s">
        <v>33</v>
      </c>
      <c r="I6555" s="16">
        <v>1.592</v>
      </c>
      <c r="J6555" s="11" t="s">
        <v>1917</v>
      </c>
      <c r="K6555" s="11" t="s">
        <v>35</v>
      </c>
      <c r="L6555" s="11" t="s">
        <v>41</v>
      </c>
      <c r="M6555" s="11" t="s">
        <v>66</v>
      </c>
      <c r="N6555" s="11" t="s">
        <v>67</v>
      </c>
      <c r="O6555" s="11" t="s">
        <v>2453</v>
      </c>
      <c r="P6555" s="11" t="s">
        <v>99</v>
      </c>
      <c r="Q6555" s="20">
        <v>40956.0</v>
      </c>
      <c r="R6555" s="17">
        <f t="shared" si="2"/>
        <v>16.85772133</v>
      </c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>
        <f t="shared" si="8"/>
        <v>3</v>
      </c>
      <c r="AF6555" s="19">
        <f t="shared" si="13"/>
        <v>2</v>
      </c>
      <c r="AG6555" s="9"/>
      <c r="AH6555" s="9"/>
      <c r="AI6555" s="9"/>
    </row>
    <row r="6556" ht="15.0" customHeight="1">
      <c r="A6556" s="11">
        <v>6555.0</v>
      </c>
      <c r="B6556" s="12">
        <f t="shared" si="1052"/>
        <v>40954</v>
      </c>
      <c r="C6556" s="13">
        <v>2012.0</v>
      </c>
      <c r="D6556" s="11" t="s">
        <v>23</v>
      </c>
      <c r="E6556" s="11">
        <v>28.0</v>
      </c>
      <c r="F6556" s="21" t="s">
        <v>705</v>
      </c>
      <c r="G6556" s="15">
        <v>0.021896713615023416</v>
      </c>
      <c r="H6556" s="11" t="s">
        <v>33</v>
      </c>
      <c r="I6556" s="16">
        <v>0.568</v>
      </c>
      <c r="J6556" s="11" t="s">
        <v>1845</v>
      </c>
      <c r="K6556" s="11" t="s">
        <v>65</v>
      </c>
      <c r="L6556" s="11" t="s">
        <v>48</v>
      </c>
      <c r="M6556" s="11" t="s">
        <v>28</v>
      </c>
      <c r="N6556" s="11" t="s">
        <v>216</v>
      </c>
      <c r="O6556" s="11" t="s">
        <v>2032</v>
      </c>
      <c r="P6556" s="11" t="s">
        <v>58</v>
      </c>
      <c r="Q6556" s="20">
        <v>40956.0</v>
      </c>
      <c r="R6556" s="17">
        <f t="shared" si="2"/>
        <v>2.280936864</v>
      </c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>
        <f t="shared" si="8"/>
        <v>4</v>
      </c>
      <c r="AF6556" s="19">
        <f t="shared" si="13"/>
        <v>5</v>
      </c>
      <c r="AG6556" s="9"/>
      <c r="AH6556" s="9"/>
      <c r="AI6556" s="9"/>
    </row>
    <row r="6557" ht="15.0" customHeight="1">
      <c r="A6557" s="11">
        <v>6556.0</v>
      </c>
      <c r="B6557" s="12">
        <f t="shared" si="1052"/>
        <v>40954</v>
      </c>
      <c r="C6557" s="13">
        <v>2012.0</v>
      </c>
      <c r="D6557" s="11" t="s">
        <v>23</v>
      </c>
      <c r="E6557" s="11">
        <v>7.0</v>
      </c>
      <c r="F6557" s="21" t="s">
        <v>1646</v>
      </c>
      <c r="G6557" s="15">
        <v>0.05717848791894008</v>
      </c>
      <c r="H6557" s="11" t="s">
        <v>33</v>
      </c>
      <c r="I6557" s="16">
        <v>4.064</v>
      </c>
      <c r="J6557" s="11" t="s">
        <v>1845</v>
      </c>
      <c r="K6557" s="11" t="s">
        <v>65</v>
      </c>
      <c r="L6557" s="11" t="s">
        <v>48</v>
      </c>
      <c r="M6557" s="11" t="s">
        <v>28</v>
      </c>
      <c r="N6557" s="11" t="s">
        <v>42</v>
      </c>
      <c r="O6557" s="11" t="s">
        <v>2503</v>
      </c>
      <c r="P6557" s="11" t="s">
        <v>38</v>
      </c>
      <c r="Q6557" s="20">
        <v>40957.0</v>
      </c>
      <c r="R6557" s="17">
        <f t="shared" si="2"/>
        <v>6.916538613</v>
      </c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>
        <f t="shared" si="8"/>
        <v>4</v>
      </c>
      <c r="AF6557" s="19">
        <f t="shared" si="13"/>
        <v>5</v>
      </c>
      <c r="AG6557" s="9"/>
      <c r="AH6557" s="9"/>
      <c r="AI6557" s="9"/>
    </row>
    <row r="6558" ht="15.0" customHeight="1">
      <c r="A6558" s="11">
        <v>6557.0</v>
      </c>
      <c r="B6558" s="12">
        <f t="shared" ref="B6558:B6563" si="1053">DATE(2012,12,31)-319</f>
        <v>40955</v>
      </c>
      <c r="C6558" s="13">
        <v>2012.0</v>
      </c>
      <c r="D6558" s="11" t="s">
        <v>39</v>
      </c>
      <c r="E6558" s="11">
        <v>4.0</v>
      </c>
      <c r="F6558" s="21" t="s">
        <v>1247</v>
      </c>
      <c r="G6558" s="15">
        <v>0.03734219269102997</v>
      </c>
      <c r="H6558" s="11" t="s">
        <v>33</v>
      </c>
      <c r="I6558" s="16">
        <v>4.176</v>
      </c>
      <c r="J6558" s="11" t="s">
        <v>1339</v>
      </c>
      <c r="K6558" s="11" t="s">
        <v>61</v>
      </c>
      <c r="L6558" s="11" t="s">
        <v>36</v>
      </c>
      <c r="M6558" s="11" t="s">
        <v>49</v>
      </c>
      <c r="N6558" s="11" t="s">
        <v>73</v>
      </c>
      <c r="O6558" s="11" t="s">
        <v>1591</v>
      </c>
      <c r="P6558" s="11" t="s">
        <v>38</v>
      </c>
      <c r="Q6558" s="20">
        <v>40957.0</v>
      </c>
      <c r="R6558" s="17">
        <f t="shared" si="2"/>
        <v>1.082027375</v>
      </c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>
        <f t="shared" si="8"/>
        <v>2</v>
      </c>
      <c r="AF6558" s="19">
        <f t="shared" si="13"/>
        <v>4</v>
      </c>
      <c r="AG6558" s="9"/>
      <c r="AH6558" s="9"/>
      <c r="AI6558" s="9"/>
    </row>
    <row r="6559" ht="15.0" customHeight="1">
      <c r="A6559" s="11">
        <v>6558.0</v>
      </c>
      <c r="B6559" s="12">
        <f t="shared" si="1053"/>
        <v>40955</v>
      </c>
      <c r="C6559" s="13">
        <v>2012.0</v>
      </c>
      <c r="D6559" s="11" t="s">
        <v>39</v>
      </c>
      <c r="E6559" s="11">
        <v>8.0</v>
      </c>
      <c r="F6559" s="21" t="s">
        <v>210</v>
      </c>
      <c r="G6559" s="15">
        <v>0.027522935779816578</v>
      </c>
      <c r="H6559" s="11" t="s">
        <v>33</v>
      </c>
      <c r="I6559" s="16">
        <v>0.4</v>
      </c>
      <c r="J6559" s="11" t="s">
        <v>1339</v>
      </c>
      <c r="K6559" s="11" t="s">
        <v>61</v>
      </c>
      <c r="L6559" s="11" t="s">
        <v>36</v>
      </c>
      <c r="M6559" s="11" t="s">
        <v>28</v>
      </c>
      <c r="N6559" s="11" t="s">
        <v>188</v>
      </c>
      <c r="O6559" s="11" t="s">
        <v>918</v>
      </c>
      <c r="P6559" s="11" t="s">
        <v>38</v>
      </c>
      <c r="Q6559" s="20">
        <v>40957.0</v>
      </c>
      <c r="R6559" s="17">
        <f t="shared" si="2"/>
        <v>0.5834862385</v>
      </c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>
        <f t="shared" si="8"/>
        <v>2</v>
      </c>
      <c r="AF6559" s="19">
        <f t="shared" si="13"/>
        <v>4</v>
      </c>
      <c r="AG6559" s="9"/>
      <c r="AH6559" s="9"/>
      <c r="AI6559" s="9"/>
    </row>
    <row r="6560" ht="15.0" customHeight="1">
      <c r="A6560" s="11">
        <v>6559.0</v>
      </c>
      <c r="B6560" s="12">
        <f t="shared" si="1053"/>
        <v>40955</v>
      </c>
      <c r="C6560" s="13">
        <v>2012.0</v>
      </c>
      <c r="D6560" s="11" t="s">
        <v>44</v>
      </c>
      <c r="E6560" s="11">
        <v>37.0</v>
      </c>
      <c r="F6560" s="21" t="s">
        <v>210</v>
      </c>
      <c r="G6560" s="15">
        <v>0.027464561855670047</v>
      </c>
      <c r="H6560" s="11" t="s">
        <v>33</v>
      </c>
      <c r="I6560" s="16">
        <v>0.4</v>
      </c>
      <c r="J6560" s="11" t="s">
        <v>1903</v>
      </c>
      <c r="K6560" s="11" t="s">
        <v>65</v>
      </c>
      <c r="L6560" s="11" t="s">
        <v>48</v>
      </c>
      <c r="M6560" s="11" t="s">
        <v>28</v>
      </c>
      <c r="N6560" s="11" t="s">
        <v>188</v>
      </c>
      <c r="O6560" s="11" t="s">
        <v>1356</v>
      </c>
      <c r="P6560" s="11" t="s">
        <v>38</v>
      </c>
      <c r="Q6560" s="20">
        <v>40957.0</v>
      </c>
      <c r="R6560" s="17">
        <f t="shared" si="2"/>
        <v>2.653076675</v>
      </c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>
        <f t="shared" si="8"/>
        <v>4</v>
      </c>
      <c r="AF6560" s="19">
        <f t="shared" si="13"/>
        <v>5</v>
      </c>
      <c r="AG6560" s="9"/>
      <c r="AH6560" s="9"/>
      <c r="AI6560" s="9"/>
    </row>
    <row r="6561" ht="15.0" customHeight="1">
      <c r="A6561" s="11">
        <v>6560.0</v>
      </c>
      <c r="B6561" s="12">
        <f t="shared" si="1053"/>
        <v>40955</v>
      </c>
      <c r="C6561" s="13">
        <v>2012.0</v>
      </c>
      <c r="D6561" s="11" t="s">
        <v>44</v>
      </c>
      <c r="E6561" s="11">
        <v>7.0</v>
      </c>
      <c r="F6561" s="21" t="s">
        <v>2595</v>
      </c>
      <c r="G6561" s="15">
        <v>0.040271824359644576</v>
      </c>
      <c r="H6561" s="11" t="s">
        <v>33</v>
      </c>
      <c r="I6561" s="16">
        <v>7.896</v>
      </c>
      <c r="J6561" s="11" t="s">
        <v>1903</v>
      </c>
      <c r="K6561" s="11" t="s">
        <v>65</v>
      </c>
      <c r="L6561" s="11" t="s">
        <v>48</v>
      </c>
      <c r="M6561" s="11" t="s">
        <v>49</v>
      </c>
      <c r="N6561" s="11" t="s">
        <v>73</v>
      </c>
      <c r="O6561" s="11" t="s">
        <v>2596</v>
      </c>
      <c r="P6561" s="11" t="s">
        <v>38</v>
      </c>
      <c r="Q6561" s="20">
        <v>40957.0</v>
      </c>
      <c r="R6561" s="17">
        <f t="shared" si="2"/>
        <v>7.393745865</v>
      </c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>
        <f t="shared" si="8"/>
        <v>4</v>
      </c>
      <c r="AF6561" s="19">
        <f t="shared" si="13"/>
        <v>5</v>
      </c>
      <c r="AG6561" s="9"/>
      <c r="AH6561" s="9"/>
      <c r="AI6561" s="9"/>
    </row>
    <row r="6562" ht="15.0" customHeight="1">
      <c r="A6562" s="11">
        <v>6561.0</v>
      </c>
      <c r="B6562" s="12">
        <f t="shared" si="1053"/>
        <v>40955</v>
      </c>
      <c r="C6562" s="13">
        <v>2012.0</v>
      </c>
      <c r="D6562" s="11" t="s">
        <v>44</v>
      </c>
      <c r="E6562" s="11">
        <v>45.0</v>
      </c>
      <c r="F6562" s="21" t="s">
        <v>676</v>
      </c>
      <c r="G6562" s="15">
        <v>0.02606037447458931</v>
      </c>
      <c r="H6562" s="11" t="s">
        <v>33</v>
      </c>
      <c r="I6562" s="16">
        <v>2.8800000000000003</v>
      </c>
      <c r="J6562" s="11" t="s">
        <v>1903</v>
      </c>
      <c r="K6562" s="11" t="s">
        <v>65</v>
      </c>
      <c r="L6562" s="11" t="s">
        <v>48</v>
      </c>
      <c r="M6562" s="11" t="s">
        <v>28</v>
      </c>
      <c r="N6562" s="11" t="s">
        <v>442</v>
      </c>
      <c r="O6562" s="11" t="s">
        <v>1689</v>
      </c>
      <c r="P6562" s="11" t="s">
        <v>99</v>
      </c>
      <c r="Q6562" s="20">
        <v>40957.0</v>
      </c>
      <c r="R6562" s="17">
        <f t="shared" si="2"/>
        <v>6.642268246</v>
      </c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>
        <f t="shared" si="8"/>
        <v>4</v>
      </c>
      <c r="AF6562" s="19">
        <f t="shared" si="13"/>
        <v>5</v>
      </c>
      <c r="AG6562" s="9"/>
      <c r="AH6562" s="9"/>
      <c r="AI6562" s="9"/>
    </row>
    <row r="6563" ht="15.0" customHeight="1">
      <c r="A6563" s="11">
        <v>6562.0</v>
      </c>
      <c r="B6563" s="12">
        <f t="shared" si="1053"/>
        <v>40955</v>
      </c>
      <c r="C6563" s="13">
        <v>2012.0</v>
      </c>
      <c r="D6563" s="11" t="s">
        <v>44</v>
      </c>
      <c r="E6563" s="11">
        <v>43.0</v>
      </c>
      <c r="F6563" s="21" t="s">
        <v>128</v>
      </c>
      <c r="G6563" s="15">
        <v>0.04849640697110825</v>
      </c>
      <c r="H6563" s="11" t="s">
        <v>33</v>
      </c>
      <c r="I6563" s="16">
        <v>4.5040000000000004</v>
      </c>
      <c r="J6563" s="11" t="s">
        <v>1903</v>
      </c>
      <c r="K6563" s="11" t="s">
        <v>65</v>
      </c>
      <c r="L6563" s="11" t="s">
        <v>48</v>
      </c>
      <c r="M6563" s="11" t="s">
        <v>66</v>
      </c>
      <c r="N6563" s="11" t="s">
        <v>80</v>
      </c>
      <c r="O6563" s="11" t="s">
        <v>2419</v>
      </c>
      <c r="P6563" s="11" t="s">
        <v>38</v>
      </c>
      <c r="Q6563" s="20">
        <v>40957.0</v>
      </c>
      <c r="R6563" s="17">
        <f t="shared" si="2"/>
        <v>262.7634262</v>
      </c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>
        <f t="shared" si="8"/>
        <v>4</v>
      </c>
      <c r="AF6563" s="19">
        <f t="shared" si="13"/>
        <v>5</v>
      </c>
      <c r="AG6563" s="9"/>
      <c r="AH6563" s="9"/>
      <c r="AI6563" s="9"/>
    </row>
    <row r="6564" ht="15.0" customHeight="1">
      <c r="A6564" s="11">
        <v>6563.0</v>
      </c>
      <c r="B6564" s="12">
        <f t="shared" ref="B6564:B6573" si="1054">DATE(2012,12,31)-318</f>
        <v>40956</v>
      </c>
      <c r="C6564" s="13">
        <v>2012.0</v>
      </c>
      <c r="D6564" s="11" t="s">
        <v>39</v>
      </c>
      <c r="E6564" s="11">
        <v>20.0</v>
      </c>
      <c r="F6564" s="21" t="s">
        <v>204</v>
      </c>
      <c r="G6564" s="15">
        <v>0.05333333333333338</v>
      </c>
      <c r="H6564" s="11" t="s">
        <v>33</v>
      </c>
      <c r="I6564" s="16">
        <v>2.8000000000000003</v>
      </c>
      <c r="J6564" s="11" t="s">
        <v>611</v>
      </c>
      <c r="K6564" s="11" t="s">
        <v>65</v>
      </c>
      <c r="L6564" s="11" t="s">
        <v>48</v>
      </c>
      <c r="M6564" s="11" t="s">
        <v>28</v>
      </c>
      <c r="N6564" s="11" t="s">
        <v>62</v>
      </c>
      <c r="O6564" s="11" t="s">
        <v>2135</v>
      </c>
      <c r="P6564" s="11" t="s">
        <v>99</v>
      </c>
      <c r="Q6564" s="20">
        <v>40957.0</v>
      </c>
      <c r="R6564" s="17">
        <f t="shared" si="2"/>
        <v>3.029333333</v>
      </c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>
        <f t="shared" si="8"/>
        <v>4</v>
      </c>
      <c r="AF6564" s="19">
        <f t="shared" si="13"/>
        <v>5</v>
      </c>
      <c r="AG6564" s="9"/>
      <c r="AH6564" s="9"/>
      <c r="AI6564" s="9"/>
    </row>
    <row r="6565" ht="15.0" customHeight="1">
      <c r="A6565" s="11">
        <v>6564.0</v>
      </c>
      <c r="B6565" s="12">
        <f t="shared" si="1054"/>
        <v>40956</v>
      </c>
      <c r="C6565" s="13">
        <v>2012.0</v>
      </c>
      <c r="D6565" s="11" t="s">
        <v>32</v>
      </c>
      <c r="E6565" s="11">
        <v>20.0</v>
      </c>
      <c r="F6565" s="21" t="s">
        <v>1156</v>
      </c>
      <c r="G6565" s="15">
        <v>0.05737670260638459</v>
      </c>
      <c r="H6565" s="11" t="s">
        <v>33</v>
      </c>
      <c r="I6565" s="16">
        <v>3.12</v>
      </c>
      <c r="J6565" s="11" t="s">
        <v>1170</v>
      </c>
      <c r="K6565" s="11" t="s">
        <v>61</v>
      </c>
      <c r="L6565" s="11" t="s">
        <v>27</v>
      </c>
      <c r="M6565" s="11" t="s">
        <v>66</v>
      </c>
      <c r="N6565" s="11" t="s">
        <v>80</v>
      </c>
      <c r="O6565" s="11" t="s">
        <v>1157</v>
      </c>
      <c r="P6565" s="11" t="s">
        <v>38</v>
      </c>
      <c r="Q6565" s="20">
        <v>40957.0</v>
      </c>
      <c r="R6565" s="17">
        <f t="shared" si="2"/>
        <v>179.079574</v>
      </c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>
        <f t="shared" si="8"/>
        <v>1</v>
      </c>
      <c r="AF6565" s="19">
        <f t="shared" si="13"/>
        <v>4</v>
      </c>
      <c r="AG6565" s="9"/>
      <c r="AH6565" s="9"/>
      <c r="AI6565" s="9"/>
    </row>
    <row r="6566" ht="15.0" customHeight="1">
      <c r="A6566" s="11">
        <v>6565.0</v>
      </c>
      <c r="B6566" s="12">
        <f t="shared" si="1054"/>
        <v>40956</v>
      </c>
      <c r="C6566" s="13">
        <v>2012.0</v>
      </c>
      <c r="D6566" s="11" t="s">
        <v>32</v>
      </c>
      <c r="E6566" s="11">
        <v>24.0</v>
      </c>
      <c r="F6566" s="21" t="s">
        <v>204</v>
      </c>
      <c r="G6566" s="15">
        <v>0.03237536656891493</v>
      </c>
      <c r="H6566" s="11" t="s">
        <v>33</v>
      </c>
      <c r="I6566" s="16">
        <v>1.192</v>
      </c>
      <c r="J6566" s="11" t="s">
        <v>1496</v>
      </c>
      <c r="K6566" s="11" t="s">
        <v>61</v>
      </c>
      <c r="L6566" s="11" t="s">
        <v>48</v>
      </c>
      <c r="M6566" s="11" t="s">
        <v>28</v>
      </c>
      <c r="N6566" s="11" t="s">
        <v>42</v>
      </c>
      <c r="O6566" s="11" t="s">
        <v>2463</v>
      </c>
      <c r="P6566" s="11" t="s">
        <v>38</v>
      </c>
      <c r="Q6566" s="20">
        <v>40957.0</v>
      </c>
      <c r="R6566" s="17">
        <f t="shared" si="2"/>
        <v>2.136515191</v>
      </c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>
        <f t="shared" si="8"/>
        <v>4</v>
      </c>
      <c r="AF6566" s="19">
        <f t="shared" si="13"/>
        <v>4</v>
      </c>
      <c r="AG6566" s="9"/>
      <c r="AH6566" s="9"/>
      <c r="AI6566" s="9"/>
    </row>
    <row r="6567" ht="15.0" customHeight="1">
      <c r="A6567" s="11">
        <v>6566.0</v>
      </c>
      <c r="B6567" s="12">
        <f t="shared" si="1054"/>
        <v>40956</v>
      </c>
      <c r="C6567" s="13">
        <v>2012.0</v>
      </c>
      <c r="D6567" s="11" t="s">
        <v>39</v>
      </c>
      <c r="E6567" s="11">
        <v>15.0</v>
      </c>
      <c r="F6567" s="21" t="s">
        <v>163</v>
      </c>
      <c r="G6567" s="15">
        <v>0.007908842065058232</v>
      </c>
      <c r="H6567" s="11" t="s">
        <v>45</v>
      </c>
      <c r="I6567" s="16">
        <v>44.976</v>
      </c>
      <c r="J6567" s="11" t="s">
        <v>1065</v>
      </c>
      <c r="K6567" s="11" t="s">
        <v>65</v>
      </c>
      <c r="L6567" s="11" t="s">
        <v>27</v>
      </c>
      <c r="M6567" s="11" t="s">
        <v>49</v>
      </c>
      <c r="N6567" s="11" t="s">
        <v>156</v>
      </c>
      <c r="O6567" s="11" t="s">
        <v>2437</v>
      </c>
      <c r="P6567" s="11" t="s">
        <v>87</v>
      </c>
      <c r="Q6567" s="20">
        <v>40957.0</v>
      </c>
      <c r="R6567" s="17">
        <f t="shared" si="2"/>
        <v>12.32574055</v>
      </c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>
        <f t="shared" si="8"/>
        <v>1</v>
      </c>
      <c r="AF6567" s="19">
        <f t="shared" si="13"/>
        <v>5</v>
      </c>
      <c r="AG6567" s="9"/>
      <c r="AH6567" s="9"/>
      <c r="AI6567" s="9"/>
    </row>
    <row r="6568" ht="15.0" customHeight="1">
      <c r="A6568" s="11">
        <v>6567.0</v>
      </c>
      <c r="B6568" s="12">
        <f t="shared" si="1054"/>
        <v>40956</v>
      </c>
      <c r="C6568" s="13">
        <v>2012.0</v>
      </c>
      <c r="D6568" s="11" t="s">
        <v>39</v>
      </c>
      <c r="E6568" s="11">
        <v>6.0</v>
      </c>
      <c r="F6568" s="21" t="s">
        <v>195</v>
      </c>
      <c r="G6568" s="15">
        <v>0.1340716612377849</v>
      </c>
      <c r="H6568" s="11" t="s">
        <v>33</v>
      </c>
      <c r="I6568" s="16">
        <v>45.92</v>
      </c>
      <c r="J6568" s="11" t="s">
        <v>1065</v>
      </c>
      <c r="K6568" s="11" t="s">
        <v>65</v>
      </c>
      <c r="L6568" s="11" t="s">
        <v>27</v>
      </c>
      <c r="M6568" s="11" t="s">
        <v>49</v>
      </c>
      <c r="N6568" s="11" t="s">
        <v>73</v>
      </c>
      <c r="O6568" s="11" t="s">
        <v>2036</v>
      </c>
      <c r="P6568" s="11" t="s">
        <v>38</v>
      </c>
      <c r="Q6568" s="20">
        <v>40958.0</v>
      </c>
      <c r="R6568" s="17">
        <f t="shared" si="2"/>
        <v>17.82080521</v>
      </c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>
        <f t="shared" si="8"/>
        <v>1</v>
      </c>
      <c r="AF6568" s="19">
        <f t="shared" si="13"/>
        <v>5</v>
      </c>
      <c r="AG6568" s="9"/>
      <c r="AH6568" s="9"/>
      <c r="AI6568" s="9"/>
    </row>
    <row r="6569" ht="15.0" customHeight="1">
      <c r="A6569" s="11">
        <v>6568.0</v>
      </c>
      <c r="B6569" s="12">
        <f t="shared" si="1054"/>
        <v>40956</v>
      </c>
      <c r="C6569" s="13">
        <v>2012.0</v>
      </c>
      <c r="D6569" s="11" t="s">
        <v>32</v>
      </c>
      <c r="E6569" s="11">
        <v>49.0</v>
      </c>
      <c r="F6569" s="21" t="s">
        <v>1452</v>
      </c>
      <c r="G6569" s="15">
        <v>0.05699996580962811</v>
      </c>
      <c r="H6569" s="11" t="s">
        <v>33</v>
      </c>
      <c r="I6569" s="16">
        <v>19.592</v>
      </c>
      <c r="J6569" s="11" t="s">
        <v>138</v>
      </c>
      <c r="K6569" s="11" t="s">
        <v>61</v>
      </c>
      <c r="L6569" s="11" t="s">
        <v>41</v>
      </c>
      <c r="M6569" s="11" t="s">
        <v>66</v>
      </c>
      <c r="N6569" s="11" t="s">
        <v>170</v>
      </c>
      <c r="O6569" s="11" t="s">
        <v>1453</v>
      </c>
      <c r="P6569" s="11" t="s">
        <v>31</v>
      </c>
      <c r="Q6569" s="20">
        <v>40958.0</v>
      </c>
      <c r="R6569" s="17">
        <f t="shared" si="2"/>
        <v>1257.68669</v>
      </c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>
        <f t="shared" si="8"/>
        <v>3</v>
      </c>
      <c r="AF6569" s="19">
        <f t="shared" si="13"/>
        <v>4</v>
      </c>
      <c r="AG6569" s="9"/>
      <c r="AH6569" s="9"/>
      <c r="AI6569" s="9"/>
    </row>
    <row r="6570" ht="15.0" customHeight="1">
      <c r="A6570" s="11">
        <v>6569.0</v>
      </c>
      <c r="B6570" s="12">
        <f t="shared" si="1054"/>
        <v>40956</v>
      </c>
      <c r="C6570" s="13">
        <v>2012.0</v>
      </c>
      <c r="D6570" s="11" t="s">
        <v>32</v>
      </c>
      <c r="E6570" s="11">
        <v>4.0</v>
      </c>
      <c r="F6570" s="21" t="s">
        <v>122</v>
      </c>
      <c r="G6570" s="15">
        <v>0.04425821064552663</v>
      </c>
      <c r="H6570" s="11" t="s">
        <v>24</v>
      </c>
      <c r="I6570" s="16">
        <v>0.792</v>
      </c>
      <c r="J6570" s="11" t="s">
        <v>138</v>
      </c>
      <c r="K6570" s="11" t="s">
        <v>61</v>
      </c>
      <c r="L6570" s="11" t="s">
        <v>41</v>
      </c>
      <c r="M6570" s="11" t="s">
        <v>66</v>
      </c>
      <c r="N6570" s="11" t="s">
        <v>80</v>
      </c>
      <c r="O6570" s="11" t="s">
        <v>1854</v>
      </c>
      <c r="P6570" s="11" t="s">
        <v>58</v>
      </c>
      <c r="Q6570" s="20">
        <v>40958.0</v>
      </c>
      <c r="R6570" s="17">
        <f t="shared" si="2"/>
        <v>3.735038913</v>
      </c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>
        <f t="shared" si="8"/>
        <v>3</v>
      </c>
      <c r="AF6570" s="19">
        <f t="shared" si="13"/>
        <v>4</v>
      </c>
      <c r="AG6570" s="9"/>
      <c r="AH6570" s="9"/>
      <c r="AI6570" s="9"/>
    </row>
    <row r="6571" ht="15.0" customHeight="1">
      <c r="A6571" s="11">
        <v>6570.0</v>
      </c>
      <c r="B6571" s="12">
        <f t="shared" si="1054"/>
        <v>40956</v>
      </c>
      <c r="C6571" s="13">
        <v>2012.0</v>
      </c>
      <c r="D6571" s="11" t="s">
        <v>44</v>
      </c>
      <c r="E6571" s="11">
        <v>38.0</v>
      </c>
      <c r="F6571" s="21" t="s">
        <v>178</v>
      </c>
      <c r="G6571" s="15">
        <v>0.03552817221590677</v>
      </c>
      <c r="H6571" s="11" t="s">
        <v>33</v>
      </c>
      <c r="I6571" s="16">
        <v>4.248</v>
      </c>
      <c r="J6571" s="11" t="s">
        <v>248</v>
      </c>
      <c r="K6571" s="11" t="s">
        <v>117</v>
      </c>
      <c r="L6571" s="11" t="s">
        <v>48</v>
      </c>
      <c r="M6571" s="11" t="s">
        <v>66</v>
      </c>
      <c r="N6571" s="11" t="s">
        <v>80</v>
      </c>
      <c r="O6571" s="11" t="s">
        <v>1738</v>
      </c>
      <c r="P6571" s="11" t="s">
        <v>38</v>
      </c>
      <c r="Q6571" s="20">
        <v>40958.0</v>
      </c>
      <c r="R6571" s="17">
        <f t="shared" si="2"/>
        <v>89.12057254</v>
      </c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>
        <f t="shared" si="8"/>
        <v>4</v>
      </c>
      <c r="AF6571" s="19" t="b">
        <f t="shared" si="13"/>
        <v>0</v>
      </c>
      <c r="AG6571" s="9"/>
      <c r="AH6571" s="9"/>
      <c r="AI6571" s="9"/>
    </row>
    <row r="6572" ht="15.0" customHeight="1">
      <c r="A6572" s="11">
        <v>6571.0</v>
      </c>
      <c r="B6572" s="12">
        <f t="shared" si="1054"/>
        <v>40956</v>
      </c>
      <c r="C6572" s="13">
        <v>2012.0</v>
      </c>
      <c r="D6572" s="11" t="s">
        <v>44</v>
      </c>
      <c r="E6572" s="11">
        <v>14.0</v>
      </c>
      <c r="F6572" s="21" t="s">
        <v>810</v>
      </c>
      <c r="G6572" s="15">
        <v>0.024670050761421355</v>
      </c>
      <c r="H6572" s="11" t="s">
        <v>33</v>
      </c>
      <c r="I6572" s="16">
        <v>1.1119999999999999</v>
      </c>
      <c r="J6572" s="11" t="s">
        <v>510</v>
      </c>
      <c r="K6572" s="11" t="s">
        <v>35</v>
      </c>
      <c r="L6572" s="11" t="s">
        <v>27</v>
      </c>
      <c r="M6572" s="11" t="s">
        <v>28</v>
      </c>
      <c r="N6572" s="11" t="s">
        <v>236</v>
      </c>
      <c r="O6572" s="11" t="s">
        <v>2174</v>
      </c>
      <c r="P6572" s="11" t="s">
        <v>38</v>
      </c>
      <c r="Q6572" s="20">
        <v>40958.0</v>
      </c>
      <c r="R6572" s="17">
        <f t="shared" si="2"/>
        <v>3.792082843</v>
      </c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>
        <f t="shared" si="8"/>
        <v>1</v>
      </c>
      <c r="AF6572" s="19">
        <f t="shared" si="13"/>
        <v>2</v>
      </c>
      <c r="AG6572" s="9"/>
      <c r="AH6572" s="9"/>
      <c r="AI6572" s="9"/>
    </row>
    <row r="6573" ht="15.0" customHeight="1">
      <c r="A6573" s="11">
        <v>6572.0</v>
      </c>
      <c r="B6573" s="12">
        <f t="shared" si="1054"/>
        <v>40956</v>
      </c>
      <c r="C6573" s="13">
        <v>2012.0</v>
      </c>
      <c r="D6573" s="11" t="s">
        <v>44</v>
      </c>
      <c r="E6573" s="11">
        <v>42.0</v>
      </c>
      <c r="F6573" s="21" t="s">
        <v>115</v>
      </c>
      <c r="G6573" s="15">
        <v>0.03536019993397331</v>
      </c>
      <c r="H6573" s="11" t="s">
        <v>45</v>
      </c>
      <c r="I6573" s="16">
        <v>21.040000000000003</v>
      </c>
      <c r="J6573" s="11" t="s">
        <v>2336</v>
      </c>
      <c r="K6573" s="11" t="s">
        <v>26</v>
      </c>
      <c r="L6573" s="11" t="s">
        <v>27</v>
      </c>
      <c r="M6573" s="11" t="s">
        <v>66</v>
      </c>
      <c r="N6573" s="11" t="s">
        <v>69</v>
      </c>
      <c r="O6573" s="11" t="s">
        <v>118</v>
      </c>
      <c r="P6573" s="11" t="s">
        <v>52</v>
      </c>
      <c r="Q6573" s="20">
        <v>40958.0</v>
      </c>
      <c r="R6573" s="17">
        <f t="shared" si="2"/>
        <v>180.2960018</v>
      </c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>
        <f t="shared" si="8"/>
        <v>1</v>
      </c>
      <c r="AF6573" s="19">
        <f t="shared" si="13"/>
        <v>1</v>
      </c>
      <c r="AG6573" s="9"/>
      <c r="AH6573" s="9"/>
      <c r="AI6573" s="9"/>
    </row>
    <row r="6574" ht="15.0" customHeight="1">
      <c r="A6574" s="11">
        <v>6573.0</v>
      </c>
      <c r="B6574" s="12">
        <f t="shared" ref="B6574:B6581" si="1055">DATE(2012,12,31)-317</f>
        <v>40957</v>
      </c>
      <c r="C6574" s="13">
        <v>2012.0</v>
      </c>
      <c r="D6574" s="11" t="s">
        <v>23</v>
      </c>
      <c r="E6574" s="11">
        <v>38.0</v>
      </c>
      <c r="F6574" s="21" t="s">
        <v>668</v>
      </c>
      <c r="G6574" s="15">
        <v>0.0953791469194314</v>
      </c>
      <c r="H6574" s="11" t="s">
        <v>33</v>
      </c>
      <c r="I6574" s="16">
        <v>5.2</v>
      </c>
      <c r="J6574" s="11" t="s">
        <v>588</v>
      </c>
      <c r="K6574" s="11" t="s">
        <v>47</v>
      </c>
      <c r="L6574" s="11" t="s">
        <v>27</v>
      </c>
      <c r="M6574" s="11" t="s">
        <v>28</v>
      </c>
      <c r="N6574" s="11" t="s">
        <v>29</v>
      </c>
      <c r="O6574" s="11" t="s">
        <v>1509</v>
      </c>
      <c r="P6574" s="11" t="s">
        <v>75</v>
      </c>
      <c r="Q6574" s="20">
        <v>40959.0</v>
      </c>
      <c r="R6574" s="17">
        <f t="shared" si="2"/>
        <v>29.12879147</v>
      </c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>
        <f t="shared" si="8"/>
        <v>1</v>
      </c>
      <c r="AF6574" s="19">
        <f t="shared" si="13"/>
        <v>3</v>
      </c>
      <c r="AG6574" s="9"/>
      <c r="AH6574" s="9"/>
      <c r="AI6574" s="9"/>
    </row>
    <row r="6575" ht="15.0" customHeight="1">
      <c r="A6575" s="11">
        <v>6574.0</v>
      </c>
      <c r="B6575" s="12">
        <f t="shared" si="1055"/>
        <v>40957</v>
      </c>
      <c r="C6575" s="13">
        <v>2012.0</v>
      </c>
      <c r="D6575" s="11" t="s">
        <v>23</v>
      </c>
      <c r="E6575" s="11">
        <v>4.0</v>
      </c>
      <c r="F6575" s="21" t="s">
        <v>782</v>
      </c>
      <c r="G6575" s="15">
        <v>0.03333333333333336</v>
      </c>
      <c r="H6575" s="11" t="s">
        <v>33</v>
      </c>
      <c r="I6575" s="16">
        <v>2.0</v>
      </c>
      <c r="J6575" s="11" t="s">
        <v>2097</v>
      </c>
      <c r="K6575" s="11" t="s">
        <v>61</v>
      </c>
      <c r="L6575" s="11" t="s">
        <v>36</v>
      </c>
      <c r="M6575" s="11" t="s">
        <v>66</v>
      </c>
      <c r="N6575" s="11" t="s">
        <v>80</v>
      </c>
      <c r="O6575" s="11" t="s">
        <v>2226</v>
      </c>
      <c r="P6575" s="11" t="s">
        <v>38</v>
      </c>
      <c r="Q6575" s="20">
        <v>40959.0</v>
      </c>
      <c r="R6575" s="17">
        <f t="shared" si="2"/>
        <v>6.186666667</v>
      </c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>
        <f t="shared" si="8"/>
        <v>2</v>
      </c>
      <c r="AF6575" s="19">
        <f t="shared" si="13"/>
        <v>4</v>
      </c>
      <c r="AG6575" s="9"/>
      <c r="AH6575" s="9"/>
      <c r="AI6575" s="9"/>
    </row>
    <row r="6576" ht="15.0" customHeight="1">
      <c r="A6576" s="11">
        <v>6575.0</v>
      </c>
      <c r="B6576" s="12">
        <f t="shared" si="1055"/>
        <v>40957</v>
      </c>
      <c r="C6576" s="13">
        <v>2012.0</v>
      </c>
      <c r="D6576" s="11" t="s">
        <v>32</v>
      </c>
      <c r="E6576" s="11">
        <v>50.0</v>
      </c>
      <c r="F6576" s="21" t="s">
        <v>428</v>
      </c>
      <c r="G6576" s="15">
        <v>0.05611198262338602</v>
      </c>
      <c r="H6576" s="11" t="s">
        <v>45</v>
      </c>
      <c r="I6576" s="16">
        <v>22.200000000000003</v>
      </c>
      <c r="J6576" s="11" t="s">
        <v>2095</v>
      </c>
      <c r="K6576" s="11" t="s">
        <v>35</v>
      </c>
      <c r="L6576" s="11" t="s">
        <v>36</v>
      </c>
      <c r="M6576" s="11" t="s">
        <v>49</v>
      </c>
      <c r="N6576" s="11" t="s">
        <v>85</v>
      </c>
      <c r="O6576" s="11" t="s">
        <v>1668</v>
      </c>
      <c r="P6576" s="11" t="s">
        <v>87</v>
      </c>
      <c r="Q6576" s="20">
        <v>40959.0</v>
      </c>
      <c r="R6576" s="17">
        <f t="shared" si="2"/>
        <v>43.89079281</v>
      </c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>
        <f t="shared" si="8"/>
        <v>2</v>
      </c>
      <c r="AF6576" s="19">
        <f t="shared" si="13"/>
        <v>2</v>
      </c>
      <c r="AG6576" s="9"/>
      <c r="AH6576" s="9"/>
      <c r="AI6576" s="9"/>
    </row>
    <row r="6577" ht="15.0" customHeight="1">
      <c r="A6577" s="11">
        <v>6576.0</v>
      </c>
      <c r="B6577" s="12">
        <f t="shared" si="1055"/>
        <v>40957</v>
      </c>
      <c r="C6577" s="13">
        <v>2012.0</v>
      </c>
      <c r="D6577" s="11" t="s">
        <v>32</v>
      </c>
      <c r="E6577" s="11">
        <v>37.0</v>
      </c>
      <c r="F6577" s="21" t="s">
        <v>391</v>
      </c>
      <c r="G6577" s="15">
        <v>0.04822465005121183</v>
      </c>
      <c r="H6577" s="11" t="s">
        <v>33</v>
      </c>
      <c r="I6577" s="16">
        <v>2.8000000000000003</v>
      </c>
      <c r="J6577" s="11" t="s">
        <v>716</v>
      </c>
      <c r="K6577" s="11" t="s">
        <v>61</v>
      </c>
      <c r="L6577" s="11" t="s">
        <v>48</v>
      </c>
      <c r="M6577" s="11" t="s">
        <v>28</v>
      </c>
      <c r="N6577" s="11" t="s">
        <v>197</v>
      </c>
      <c r="O6577" s="11" t="s">
        <v>393</v>
      </c>
      <c r="P6577" s="11" t="s">
        <v>38</v>
      </c>
      <c r="Q6577" s="20">
        <v>40959.0</v>
      </c>
      <c r="R6577" s="17">
        <f t="shared" si="2"/>
        <v>107.5506145</v>
      </c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>
        <f t="shared" si="8"/>
        <v>4</v>
      </c>
      <c r="AF6577" s="19">
        <f t="shared" si="13"/>
        <v>4</v>
      </c>
      <c r="AG6577" s="9"/>
      <c r="AH6577" s="9"/>
      <c r="AI6577" s="9"/>
    </row>
    <row r="6578" ht="15.0" customHeight="1">
      <c r="A6578" s="11">
        <v>6577.0</v>
      </c>
      <c r="B6578" s="12">
        <f t="shared" si="1055"/>
        <v>40957</v>
      </c>
      <c r="C6578" s="13">
        <v>2012.0</v>
      </c>
      <c r="D6578" s="11" t="s">
        <v>39</v>
      </c>
      <c r="E6578" s="11">
        <v>21.0</v>
      </c>
      <c r="F6578" s="21" t="s">
        <v>397</v>
      </c>
      <c r="G6578" s="15">
        <v>0.01288165680473385</v>
      </c>
      <c r="H6578" s="11" t="s">
        <v>33</v>
      </c>
      <c r="I6578" s="16">
        <v>1.592</v>
      </c>
      <c r="J6578" s="11" t="s">
        <v>588</v>
      </c>
      <c r="K6578" s="11" t="s">
        <v>47</v>
      </c>
      <c r="L6578" s="11" t="s">
        <v>27</v>
      </c>
      <c r="M6578" s="11" t="s">
        <v>66</v>
      </c>
      <c r="N6578" s="11" t="s">
        <v>67</v>
      </c>
      <c r="O6578" s="11" t="s">
        <v>502</v>
      </c>
      <c r="P6578" s="11" t="s">
        <v>99</v>
      </c>
      <c r="Q6578" s="20">
        <v>40959.0</v>
      </c>
      <c r="R6578" s="17">
        <f t="shared" si="2"/>
        <v>8.595826533</v>
      </c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>
        <f t="shared" si="8"/>
        <v>1</v>
      </c>
      <c r="AF6578" s="19">
        <f t="shared" si="13"/>
        <v>3</v>
      </c>
      <c r="AG6578" s="9"/>
      <c r="AH6578" s="9"/>
      <c r="AI6578" s="9"/>
    </row>
    <row r="6579" ht="15.0" customHeight="1">
      <c r="A6579" s="11">
        <v>6578.0</v>
      </c>
      <c r="B6579" s="12">
        <f t="shared" si="1055"/>
        <v>40957</v>
      </c>
      <c r="C6579" s="13">
        <v>2012.0</v>
      </c>
      <c r="D6579" s="11" t="s">
        <v>39</v>
      </c>
      <c r="E6579" s="11">
        <v>19.0</v>
      </c>
      <c r="F6579" s="21" t="s">
        <v>140</v>
      </c>
      <c r="G6579" s="15">
        <v>0.027223901831762393</v>
      </c>
      <c r="H6579" s="11" t="s">
        <v>33</v>
      </c>
      <c r="I6579" s="16">
        <v>11.192</v>
      </c>
      <c r="J6579" s="11" t="s">
        <v>588</v>
      </c>
      <c r="K6579" s="11" t="s">
        <v>47</v>
      </c>
      <c r="L6579" s="11" t="s">
        <v>27</v>
      </c>
      <c r="M6579" s="11" t="s">
        <v>28</v>
      </c>
      <c r="N6579" s="11" t="s">
        <v>29</v>
      </c>
      <c r="O6579" s="11" t="s">
        <v>141</v>
      </c>
      <c r="P6579" s="11" t="s">
        <v>75</v>
      </c>
      <c r="Q6579" s="20">
        <v>40960.0</v>
      </c>
      <c r="R6579" s="17">
        <f t="shared" si="2"/>
        <v>14.89125651</v>
      </c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>
        <f t="shared" si="8"/>
        <v>1</v>
      </c>
      <c r="AF6579" s="19">
        <f t="shared" si="13"/>
        <v>3</v>
      </c>
      <c r="AG6579" s="9"/>
      <c r="AH6579" s="9"/>
      <c r="AI6579" s="9"/>
    </row>
    <row r="6580" ht="15.0" customHeight="1">
      <c r="A6580" s="11">
        <v>6579.0</v>
      </c>
      <c r="B6580" s="12">
        <f t="shared" si="1055"/>
        <v>40957</v>
      </c>
      <c r="C6580" s="13">
        <v>2012.0</v>
      </c>
      <c r="D6580" s="11" t="s">
        <v>44</v>
      </c>
      <c r="E6580" s="11">
        <v>11.0</v>
      </c>
      <c r="F6580" s="21" t="s">
        <v>1178</v>
      </c>
      <c r="G6580" s="15">
        <v>0.0470962421957828</v>
      </c>
      <c r="H6580" s="11" t="s">
        <v>45</v>
      </c>
      <c r="I6580" s="16">
        <v>88.16000000000001</v>
      </c>
      <c r="J6580" s="11" t="s">
        <v>657</v>
      </c>
      <c r="K6580" s="11" t="s">
        <v>61</v>
      </c>
      <c r="L6580" s="11" t="s">
        <v>41</v>
      </c>
      <c r="M6580" s="11" t="s">
        <v>49</v>
      </c>
      <c r="N6580" s="11" t="s">
        <v>85</v>
      </c>
      <c r="O6580" s="11" t="s">
        <v>86</v>
      </c>
      <c r="P6580" s="11" t="s">
        <v>87</v>
      </c>
      <c r="Q6580" s="20">
        <v>40960.0</v>
      </c>
      <c r="R6580" s="17">
        <f t="shared" si="2"/>
        <v>114.2912767</v>
      </c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>
        <f t="shared" si="8"/>
        <v>3</v>
      </c>
      <c r="AF6580" s="19">
        <f t="shared" si="13"/>
        <v>4</v>
      </c>
      <c r="AG6580" s="9"/>
      <c r="AH6580" s="9"/>
      <c r="AI6580" s="9"/>
    </row>
    <row r="6581" ht="15.0" customHeight="1">
      <c r="A6581" s="11">
        <v>6580.0</v>
      </c>
      <c r="B6581" s="12">
        <f t="shared" si="1055"/>
        <v>40957</v>
      </c>
      <c r="C6581" s="13">
        <v>2012.0</v>
      </c>
      <c r="D6581" s="11" t="s">
        <v>44</v>
      </c>
      <c r="E6581" s="11">
        <v>2.0</v>
      </c>
      <c r="F6581" s="21" t="s">
        <v>933</v>
      </c>
      <c r="G6581" s="15">
        <v>0.09953343701399688</v>
      </c>
      <c r="H6581" s="11" t="s">
        <v>33</v>
      </c>
      <c r="I6581" s="16">
        <v>4.0</v>
      </c>
      <c r="J6581" s="11" t="s">
        <v>657</v>
      </c>
      <c r="K6581" s="11" t="s">
        <v>61</v>
      </c>
      <c r="L6581" s="11" t="s">
        <v>41</v>
      </c>
      <c r="M6581" s="11" t="s">
        <v>66</v>
      </c>
      <c r="N6581" s="11" t="s">
        <v>80</v>
      </c>
      <c r="O6581" s="11" t="s">
        <v>1026</v>
      </c>
      <c r="P6581" s="11" t="s">
        <v>99</v>
      </c>
      <c r="Q6581" s="20">
        <v>40960.0</v>
      </c>
      <c r="R6581" s="17">
        <f t="shared" si="2"/>
        <v>11.52597201</v>
      </c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>
        <f t="shared" si="8"/>
        <v>3</v>
      </c>
      <c r="AF6581" s="19">
        <f t="shared" si="13"/>
        <v>4</v>
      </c>
      <c r="AG6581" s="9"/>
      <c r="AH6581" s="9"/>
      <c r="AI6581" s="9"/>
    </row>
    <row r="6582" ht="15.0" customHeight="1">
      <c r="A6582" s="11">
        <v>6581.0</v>
      </c>
      <c r="B6582" s="12">
        <f t="shared" ref="B6582:B6588" si="1056">DATE(2012,12,31)-316</f>
        <v>40958</v>
      </c>
      <c r="C6582" s="13">
        <v>2012.0</v>
      </c>
      <c r="D6582" s="11" t="s">
        <v>39</v>
      </c>
      <c r="E6582" s="11">
        <v>41.0</v>
      </c>
      <c r="F6582" s="21" t="s">
        <v>1791</v>
      </c>
      <c r="G6582" s="15">
        <v>0.09084816753926689</v>
      </c>
      <c r="H6582" s="11" t="s">
        <v>33</v>
      </c>
      <c r="I6582" s="16">
        <v>2.8960000000000004</v>
      </c>
      <c r="J6582" s="11" t="s">
        <v>2597</v>
      </c>
      <c r="K6582" s="11" t="s">
        <v>35</v>
      </c>
      <c r="L6582" s="11" t="s">
        <v>48</v>
      </c>
      <c r="M6582" s="11" t="s">
        <v>66</v>
      </c>
      <c r="N6582" s="11" t="s">
        <v>67</v>
      </c>
      <c r="O6582" s="11" t="s">
        <v>2118</v>
      </c>
      <c r="P6582" s="11" t="s">
        <v>99</v>
      </c>
      <c r="Q6582" s="20">
        <v>40960.0</v>
      </c>
      <c r="R6582" s="17">
        <f t="shared" si="2"/>
        <v>31.55120519</v>
      </c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>
        <f t="shared" si="8"/>
        <v>4</v>
      </c>
      <c r="AF6582" s="19">
        <f t="shared" si="13"/>
        <v>2</v>
      </c>
      <c r="AG6582" s="9"/>
      <c r="AH6582" s="9"/>
      <c r="AI6582" s="9"/>
    </row>
    <row r="6583" ht="15.0" customHeight="1">
      <c r="A6583" s="11">
        <v>6582.0</v>
      </c>
      <c r="B6583" s="12">
        <f t="shared" si="1056"/>
        <v>40958</v>
      </c>
      <c r="C6583" s="13">
        <v>2012.0</v>
      </c>
      <c r="D6583" s="11" t="s">
        <v>23</v>
      </c>
      <c r="E6583" s="11">
        <v>12.0</v>
      </c>
      <c r="F6583" s="21" t="s">
        <v>948</v>
      </c>
      <c r="G6583" s="15">
        <v>0.09112500000000012</v>
      </c>
      <c r="H6583" s="11" t="s">
        <v>33</v>
      </c>
      <c r="I6583" s="16">
        <v>0.568</v>
      </c>
      <c r="J6583" s="11" t="s">
        <v>2064</v>
      </c>
      <c r="K6583" s="11" t="s">
        <v>61</v>
      </c>
      <c r="L6583" s="11" t="s">
        <v>41</v>
      </c>
      <c r="M6583" s="11" t="s">
        <v>28</v>
      </c>
      <c r="N6583" s="11" t="s">
        <v>62</v>
      </c>
      <c r="O6583" s="11" t="s">
        <v>949</v>
      </c>
      <c r="P6583" s="11" t="s">
        <v>58</v>
      </c>
      <c r="Q6583" s="20">
        <v>40960.0</v>
      </c>
      <c r="R6583" s="17">
        <f t="shared" si="2"/>
        <v>5.300559</v>
      </c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>
        <f t="shared" si="8"/>
        <v>3</v>
      </c>
      <c r="AF6583" s="19">
        <f t="shared" si="13"/>
        <v>4</v>
      </c>
      <c r="AG6583" s="9"/>
      <c r="AH6583" s="9"/>
      <c r="AI6583" s="9"/>
    </row>
    <row r="6584" ht="15.0" customHeight="1">
      <c r="A6584" s="11">
        <v>6583.0</v>
      </c>
      <c r="B6584" s="12">
        <f t="shared" si="1056"/>
        <v>40958</v>
      </c>
      <c r="C6584" s="13">
        <v>2012.0</v>
      </c>
      <c r="D6584" s="11" t="s">
        <v>39</v>
      </c>
      <c r="E6584" s="11">
        <v>32.0</v>
      </c>
      <c r="F6584" s="21" t="s">
        <v>481</v>
      </c>
      <c r="G6584" s="15">
        <v>0.02640793793687773</v>
      </c>
      <c r="H6584" s="11" t="s">
        <v>33</v>
      </c>
      <c r="I6584" s="16">
        <v>7.192</v>
      </c>
      <c r="J6584" s="11" t="s">
        <v>1811</v>
      </c>
      <c r="K6584" s="11" t="s">
        <v>65</v>
      </c>
      <c r="L6584" s="11" t="s">
        <v>48</v>
      </c>
      <c r="M6584" s="11" t="s">
        <v>28</v>
      </c>
      <c r="N6584" s="11" t="s">
        <v>62</v>
      </c>
      <c r="O6584" s="11" t="s">
        <v>482</v>
      </c>
      <c r="P6584" s="11" t="s">
        <v>99</v>
      </c>
      <c r="Q6584" s="20">
        <v>40961.0</v>
      </c>
      <c r="R6584" s="17">
        <f t="shared" si="2"/>
        <v>37.2877971</v>
      </c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>
        <f t="shared" si="8"/>
        <v>4</v>
      </c>
      <c r="AF6584" s="19">
        <f t="shared" si="13"/>
        <v>5</v>
      </c>
      <c r="AG6584" s="9"/>
      <c r="AH6584" s="9"/>
      <c r="AI6584" s="9"/>
    </row>
    <row r="6585" ht="15.0" customHeight="1">
      <c r="A6585" s="11">
        <v>6584.0</v>
      </c>
      <c r="B6585" s="12">
        <f t="shared" si="1056"/>
        <v>40958</v>
      </c>
      <c r="C6585" s="13">
        <v>2012.0</v>
      </c>
      <c r="D6585" s="11" t="s">
        <v>39</v>
      </c>
      <c r="E6585" s="11">
        <v>45.0</v>
      </c>
      <c r="F6585" s="21" t="s">
        <v>254</v>
      </c>
      <c r="G6585" s="15">
        <v>0.05447291599091807</v>
      </c>
      <c r="H6585" s="11" t="s">
        <v>33</v>
      </c>
      <c r="I6585" s="16">
        <v>2.5120000000000005</v>
      </c>
      <c r="J6585" s="11" t="s">
        <v>1811</v>
      </c>
      <c r="K6585" s="11" t="s">
        <v>65</v>
      </c>
      <c r="L6585" s="11" t="s">
        <v>48</v>
      </c>
      <c r="M6585" s="11" t="s">
        <v>28</v>
      </c>
      <c r="N6585" s="11" t="s">
        <v>442</v>
      </c>
      <c r="O6585" s="11" t="s">
        <v>1613</v>
      </c>
      <c r="P6585" s="11" t="s">
        <v>99</v>
      </c>
      <c r="Q6585" s="20">
        <v>40961.0</v>
      </c>
      <c r="R6585" s="17">
        <f t="shared" si="2"/>
        <v>31.7583637</v>
      </c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>
        <f t="shared" si="8"/>
        <v>4</v>
      </c>
      <c r="AF6585" s="19">
        <f t="shared" si="13"/>
        <v>5</v>
      </c>
      <c r="AG6585" s="9"/>
      <c r="AH6585" s="9"/>
      <c r="AI6585" s="9"/>
    </row>
    <row r="6586" ht="15.0" customHeight="1">
      <c r="A6586" s="11">
        <v>6585.0</v>
      </c>
      <c r="B6586" s="12">
        <f t="shared" si="1056"/>
        <v>40958</v>
      </c>
      <c r="C6586" s="13">
        <v>2012.0</v>
      </c>
      <c r="D6586" s="11" t="s">
        <v>44</v>
      </c>
      <c r="E6586" s="11">
        <v>42.0</v>
      </c>
      <c r="F6586" s="21" t="s">
        <v>523</v>
      </c>
      <c r="G6586" s="15">
        <v>0.10709859154929577</v>
      </c>
      <c r="H6586" s="11" t="s">
        <v>33</v>
      </c>
      <c r="I6586" s="16">
        <v>0.792</v>
      </c>
      <c r="J6586" s="11" t="s">
        <v>1657</v>
      </c>
      <c r="K6586" s="11" t="s">
        <v>61</v>
      </c>
      <c r="L6586" s="11" t="s">
        <v>48</v>
      </c>
      <c r="M6586" s="11" t="s">
        <v>28</v>
      </c>
      <c r="N6586" s="11" t="s">
        <v>188</v>
      </c>
      <c r="O6586" s="11" t="s">
        <v>1495</v>
      </c>
      <c r="P6586" s="11" t="s">
        <v>38</v>
      </c>
      <c r="Q6586" s="20">
        <v>40961.0</v>
      </c>
      <c r="R6586" s="17">
        <f t="shared" si="2"/>
        <v>13.57924462</v>
      </c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>
        <f t="shared" si="8"/>
        <v>4</v>
      </c>
      <c r="AF6586" s="19">
        <f t="shared" si="13"/>
        <v>4</v>
      </c>
      <c r="AG6586" s="9"/>
      <c r="AH6586" s="9"/>
      <c r="AI6586" s="9"/>
    </row>
    <row r="6587" ht="15.0" customHeight="1">
      <c r="A6587" s="11">
        <v>6586.0</v>
      </c>
      <c r="B6587" s="12">
        <f t="shared" si="1056"/>
        <v>40958</v>
      </c>
      <c r="C6587" s="13">
        <v>2012.0</v>
      </c>
      <c r="D6587" s="11" t="s">
        <v>44</v>
      </c>
      <c r="E6587" s="11">
        <v>20.0</v>
      </c>
      <c r="F6587" s="21" t="s">
        <v>277</v>
      </c>
      <c r="G6587" s="15">
        <v>0.13169712793733673</v>
      </c>
      <c r="H6587" s="11" t="s">
        <v>24</v>
      </c>
      <c r="I6587" s="16">
        <v>1.2560000000000002</v>
      </c>
      <c r="J6587" s="11" t="s">
        <v>1684</v>
      </c>
      <c r="K6587" s="11" t="s">
        <v>47</v>
      </c>
      <c r="L6587" s="11" t="s">
        <v>48</v>
      </c>
      <c r="M6587" s="11" t="s">
        <v>28</v>
      </c>
      <c r="N6587" s="11" t="s">
        <v>62</v>
      </c>
      <c r="O6587" s="11" t="s">
        <v>355</v>
      </c>
      <c r="P6587" s="11" t="s">
        <v>58</v>
      </c>
      <c r="Q6587" s="20">
        <v>40962.0</v>
      </c>
      <c r="R6587" s="17">
        <f t="shared" si="2"/>
        <v>4.379719687</v>
      </c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>
        <f t="shared" si="8"/>
        <v>4</v>
      </c>
      <c r="AF6587" s="19">
        <f t="shared" si="13"/>
        <v>3</v>
      </c>
      <c r="AG6587" s="9"/>
      <c r="AH6587" s="9"/>
      <c r="AI6587" s="9"/>
    </row>
    <row r="6588" ht="15.0" customHeight="1">
      <c r="A6588" s="11">
        <v>6587.0</v>
      </c>
      <c r="B6588" s="12">
        <f t="shared" si="1056"/>
        <v>40958</v>
      </c>
      <c r="C6588" s="13">
        <v>2012.0</v>
      </c>
      <c r="D6588" s="11" t="s">
        <v>23</v>
      </c>
      <c r="E6588" s="11">
        <v>50.0</v>
      </c>
      <c r="F6588" s="21" t="s">
        <v>1670</v>
      </c>
      <c r="G6588" s="15">
        <v>0.014912146676852544</v>
      </c>
      <c r="H6588" s="11" t="s">
        <v>33</v>
      </c>
      <c r="I6588" s="16">
        <v>0.792</v>
      </c>
      <c r="J6588" s="11" t="s">
        <v>803</v>
      </c>
      <c r="K6588" s="11" t="s">
        <v>61</v>
      </c>
      <c r="L6588" s="11" t="s">
        <v>48</v>
      </c>
      <c r="M6588" s="11" t="s">
        <v>28</v>
      </c>
      <c r="N6588" s="11" t="s">
        <v>188</v>
      </c>
      <c r="O6588" s="11" t="s">
        <v>2144</v>
      </c>
      <c r="P6588" s="11" t="s">
        <v>38</v>
      </c>
      <c r="Q6588" s="20">
        <v>40962.0</v>
      </c>
      <c r="R6588" s="17">
        <f t="shared" si="2"/>
        <v>7.691565959</v>
      </c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>
        <f t="shared" si="8"/>
        <v>4</v>
      </c>
      <c r="AF6588" s="19">
        <f t="shared" si="13"/>
        <v>4</v>
      </c>
      <c r="AG6588" s="9"/>
      <c r="AH6588" s="9"/>
      <c r="AI6588" s="9"/>
    </row>
    <row r="6589" ht="15.0" customHeight="1">
      <c r="A6589" s="11">
        <v>6588.0</v>
      </c>
      <c r="B6589" s="12">
        <f>DATE(2012,12,31)-315</f>
        <v>40959</v>
      </c>
      <c r="C6589" s="13">
        <v>2012.0</v>
      </c>
      <c r="D6589" s="11" t="s">
        <v>23</v>
      </c>
      <c r="E6589" s="11">
        <v>2.0</v>
      </c>
      <c r="F6589" s="21" t="s">
        <v>284</v>
      </c>
      <c r="G6589" s="15">
        <v>0.09731343283582092</v>
      </c>
      <c r="H6589" s="11" t="s">
        <v>33</v>
      </c>
      <c r="I6589" s="16">
        <v>2.048</v>
      </c>
      <c r="J6589" s="11" t="s">
        <v>193</v>
      </c>
      <c r="K6589" s="11" t="s">
        <v>61</v>
      </c>
      <c r="L6589" s="11" t="s">
        <v>48</v>
      </c>
      <c r="M6589" s="11" t="s">
        <v>28</v>
      </c>
      <c r="N6589" s="11" t="s">
        <v>442</v>
      </c>
      <c r="O6589" s="11" t="s">
        <v>692</v>
      </c>
      <c r="P6589" s="11" t="s">
        <v>99</v>
      </c>
      <c r="Q6589" s="20">
        <v>40963.0</v>
      </c>
      <c r="R6589" s="17">
        <f t="shared" si="2"/>
        <v>0.5885516418</v>
      </c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>
        <f t="shared" si="8"/>
        <v>4</v>
      </c>
      <c r="AF6589" s="19">
        <f t="shared" si="13"/>
        <v>4</v>
      </c>
      <c r="AG6589" s="9"/>
      <c r="AH6589" s="9"/>
      <c r="AI6589" s="9"/>
    </row>
    <row r="6590" ht="15.0" customHeight="1">
      <c r="A6590" s="11">
        <v>6589.0</v>
      </c>
      <c r="B6590" s="12">
        <f>DATE(2012,12,31)-314</f>
        <v>40960</v>
      </c>
      <c r="C6590" s="13">
        <v>2012.0</v>
      </c>
      <c r="D6590" s="11" t="s">
        <v>102</v>
      </c>
      <c r="E6590" s="11">
        <v>7.0</v>
      </c>
      <c r="F6590" s="21" t="s">
        <v>1038</v>
      </c>
      <c r="G6590" s="15">
        <v>0.057627811860940556</v>
      </c>
      <c r="H6590" s="11" t="s">
        <v>33</v>
      </c>
      <c r="I6590" s="16">
        <v>11.192</v>
      </c>
      <c r="J6590" s="11" t="s">
        <v>2519</v>
      </c>
      <c r="K6590" s="11" t="s">
        <v>35</v>
      </c>
      <c r="L6590" s="11" t="s">
        <v>27</v>
      </c>
      <c r="M6590" s="11" t="s">
        <v>49</v>
      </c>
      <c r="N6590" s="11" t="s">
        <v>73</v>
      </c>
      <c r="O6590" s="11" t="s">
        <v>2477</v>
      </c>
      <c r="P6590" s="11" t="s">
        <v>58</v>
      </c>
      <c r="Q6590" s="20">
        <v>40963.0</v>
      </c>
      <c r="R6590" s="17">
        <f t="shared" si="2"/>
        <v>15.93362896</v>
      </c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>
        <f t="shared" si="8"/>
        <v>1</v>
      </c>
      <c r="AF6590" s="19">
        <f t="shared" si="13"/>
        <v>2</v>
      </c>
      <c r="AG6590" s="9"/>
      <c r="AH6590" s="9"/>
      <c r="AI6590" s="9"/>
    </row>
    <row r="6591" ht="15.0" customHeight="1">
      <c r="A6591" s="11">
        <v>6590.0</v>
      </c>
      <c r="B6591" s="12">
        <f t="shared" ref="B6591:B6602" si="1057">DATE(2012,12,31)-312</f>
        <v>40962</v>
      </c>
      <c r="C6591" s="13">
        <v>2012.0</v>
      </c>
      <c r="D6591" s="11" t="s">
        <v>44</v>
      </c>
      <c r="E6591" s="11">
        <v>39.0</v>
      </c>
      <c r="F6591" s="21" t="s">
        <v>881</v>
      </c>
      <c r="G6591" s="15">
        <v>0.07881619937694707</v>
      </c>
      <c r="H6591" s="11" t="s">
        <v>33</v>
      </c>
      <c r="I6591" s="16">
        <v>3.2</v>
      </c>
      <c r="J6591" s="11" t="s">
        <v>211</v>
      </c>
      <c r="K6591" s="11" t="s">
        <v>35</v>
      </c>
      <c r="L6591" s="11" t="s">
        <v>27</v>
      </c>
      <c r="M6591" s="11" t="s">
        <v>49</v>
      </c>
      <c r="N6591" s="11" t="s">
        <v>73</v>
      </c>
      <c r="O6591" s="11" t="s">
        <v>883</v>
      </c>
      <c r="P6591" s="11" t="s">
        <v>58</v>
      </c>
      <c r="Q6591" s="20">
        <v>40963.0</v>
      </c>
      <c r="R6591" s="17">
        <f t="shared" si="2"/>
        <v>23.30595016</v>
      </c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>
        <f t="shared" si="8"/>
        <v>1</v>
      </c>
      <c r="AF6591" s="19">
        <f t="shared" si="13"/>
        <v>2</v>
      </c>
      <c r="AG6591" s="9"/>
      <c r="AH6591" s="9"/>
      <c r="AI6591" s="9"/>
    </row>
    <row r="6592" ht="15.0" customHeight="1">
      <c r="A6592" s="11">
        <v>6591.0</v>
      </c>
      <c r="B6592" s="12">
        <f t="shared" si="1057"/>
        <v>40962</v>
      </c>
      <c r="C6592" s="13">
        <v>2012.0</v>
      </c>
      <c r="D6592" s="11" t="s">
        <v>44</v>
      </c>
      <c r="E6592" s="11">
        <v>37.0</v>
      </c>
      <c r="F6592" s="21" t="s">
        <v>455</v>
      </c>
      <c r="G6592" s="15">
        <v>0.022123854236530325</v>
      </c>
      <c r="H6592" s="11" t="s">
        <v>33</v>
      </c>
      <c r="I6592" s="16">
        <v>4.5040000000000004</v>
      </c>
      <c r="J6592" s="11" t="s">
        <v>211</v>
      </c>
      <c r="K6592" s="11" t="s">
        <v>35</v>
      </c>
      <c r="L6592" s="11" t="s">
        <v>27</v>
      </c>
      <c r="M6592" s="11" t="s">
        <v>28</v>
      </c>
      <c r="N6592" s="11" t="s">
        <v>42</v>
      </c>
      <c r="O6592" s="11" t="s">
        <v>1232</v>
      </c>
      <c r="P6592" s="11" t="s">
        <v>38</v>
      </c>
      <c r="Q6592" s="20">
        <v>40963.0</v>
      </c>
      <c r="R6592" s="17">
        <f t="shared" si="2"/>
        <v>9.677062338</v>
      </c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>
        <f t="shared" si="8"/>
        <v>1</v>
      </c>
      <c r="AF6592" s="19">
        <f t="shared" si="13"/>
        <v>2</v>
      </c>
      <c r="AG6592" s="9"/>
      <c r="AH6592" s="9"/>
      <c r="AI6592" s="9"/>
    </row>
    <row r="6593" ht="15.0" customHeight="1">
      <c r="A6593" s="11">
        <v>6592.0</v>
      </c>
      <c r="B6593" s="12">
        <f t="shared" si="1057"/>
        <v>40962</v>
      </c>
      <c r="C6593" s="13">
        <v>2012.0</v>
      </c>
      <c r="D6593" s="11" t="s">
        <v>44</v>
      </c>
      <c r="E6593" s="11">
        <v>42.0</v>
      </c>
      <c r="F6593" s="21" t="s">
        <v>506</v>
      </c>
      <c r="G6593" s="15">
        <v>0.03166999334664018</v>
      </c>
      <c r="H6593" s="11" t="s">
        <v>33</v>
      </c>
      <c r="I6593" s="16">
        <v>1.2800000000000002</v>
      </c>
      <c r="J6593" s="11" t="s">
        <v>211</v>
      </c>
      <c r="K6593" s="11" t="s">
        <v>35</v>
      </c>
      <c r="L6593" s="11" t="s">
        <v>27</v>
      </c>
      <c r="M6593" s="11" t="s">
        <v>28</v>
      </c>
      <c r="N6593" s="11" t="s">
        <v>56</v>
      </c>
      <c r="O6593" s="11" t="s">
        <v>508</v>
      </c>
      <c r="P6593" s="11" t="s">
        <v>58</v>
      </c>
      <c r="Q6593" s="20">
        <v>40964.0</v>
      </c>
      <c r="R6593" s="17">
        <f t="shared" si="2"/>
        <v>9.218501663</v>
      </c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>
        <f t="shared" si="8"/>
        <v>1</v>
      </c>
      <c r="AF6593" s="19">
        <f t="shared" si="13"/>
        <v>2</v>
      </c>
      <c r="AG6593" s="9"/>
      <c r="AH6593" s="9"/>
      <c r="AI6593" s="9"/>
    </row>
    <row r="6594" ht="15.0" customHeight="1">
      <c r="A6594" s="11">
        <v>6593.0</v>
      </c>
      <c r="B6594" s="12">
        <f t="shared" si="1057"/>
        <v>40962</v>
      </c>
      <c r="C6594" s="13">
        <v>2012.0</v>
      </c>
      <c r="D6594" s="11" t="s">
        <v>39</v>
      </c>
      <c r="E6594" s="11">
        <v>31.0</v>
      </c>
      <c r="F6594" s="21" t="s">
        <v>158</v>
      </c>
      <c r="G6594" s="15">
        <v>0.09118145341061078</v>
      </c>
      <c r="H6594" s="11" t="s">
        <v>24</v>
      </c>
      <c r="I6594" s="16">
        <v>5.448</v>
      </c>
      <c r="J6594" s="11" t="s">
        <v>786</v>
      </c>
      <c r="K6594" s="11" t="s">
        <v>35</v>
      </c>
      <c r="L6594" s="11" t="s">
        <v>36</v>
      </c>
      <c r="M6594" s="11" t="s">
        <v>28</v>
      </c>
      <c r="N6594" s="11" t="s">
        <v>56</v>
      </c>
      <c r="O6594" s="11" t="s">
        <v>1698</v>
      </c>
      <c r="P6594" s="11" t="s">
        <v>38</v>
      </c>
      <c r="Q6594" s="20">
        <v>40964.0</v>
      </c>
      <c r="R6594" s="17">
        <f t="shared" si="2"/>
        <v>18.58715691</v>
      </c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>
        <f t="shared" si="8"/>
        <v>2</v>
      </c>
      <c r="AF6594" s="19">
        <f t="shared" si="13"/>
        <v>2</v>
      </c>
      <c r="AG6594" s="9"/>
      <c r="AH6594" s="9"/>
      <c r="AI6594" s="9"/>
    </row>
    <row r="6595" ht="15.0" customHeight="1">
      <c r="A6595" s="11">
        <v>6594.0</v>
      </c>
      <c r="B6595" s="12">
        <f t="shared" si="1057"/>
        <v>40962</v>
      </c>
      <c r="C6595" s="13">
        <v>2012.0</v>
      </c>
      <c r="D6595" s="11" t="s">
        <v>39</v>
      </c>
      <c r="E6595" s="11">
        <v>24.0</v>
      </c>
      <c r="F6595" s="21" t="s">
        <v>204</v>
      </c>
      <c r="G6595" s="15">
        <v>0.04962318840579699</v>
      </c>
      <c r="H6595" s="11" t="s">
        <v>33</v>
      </c>
      <c r="I6595" s="16">
        <v>0.776</v>
      </c>
      <c r="J6595" s="11" t="s">
        <v>786</v>
      </c>
      <c r="K6595" s="11" t="s">
        <v>35</v>
      </c>
      <c r="L6595" s="11" t="s">
        <v>36</v>
      </c>
      <c r="M6595" s="11" t="s">
        <v>28</v>
      </c>
      <c r="N6595" s="11" t="s">
        <v>62</v>
      </c>
      <c r="O6595" s="11" t="s">
        <v>206</v>
      </c>
      <c r="P6595" s="11" t="s">
        <v>58</v>
      </c>
      <c r="Q6595" s="20">
        <v>40964.0</v>
      </c>
      <c r="R6595" s="17">
        <f t="shared" si="2"/>
        <v>3.254090203</v>
      </c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>
        <f t="shared" si="8"/>
        <v>2</v>
      </c>
      <c r="AF6595" s="19">
        <f t="shared" si="13"/>
        <v>2</v>
      </c>
      <c r="AG6595" s="9"/>
      <c r="AH6595" s="9"/>
      <c r="AI6595" s="9"/>
    </row>
    <row r="6596" ht="15.0" customHeight="1">
      <c r="A6596" s="11">
        <v>6595.0</v>
      </c>
      <c r="B6596" s="12">
        <f t="shared" si="1057"/>
        <v>40962</v>
      </c>
      <c r="C6596" s="13">
        <v>2012.0</v>
      </c>
      <c r="D6596" s="11" t="s">
        <v>32</v>
      </c>
      <c r="E6596" s="11">
        <v>9.0</v>
      </c>
      <c r="F6596" s="21" t="s">
        <v>158</v>
      </c>
      <c r="G6596" s="15">
        <v>0.04746355685131196</v>
      </c>
      <c r="H6596" s="11" t="s">
        <v>33</v>
      </c>
      <c r="I6596" s="16">
        <v>7.744</v>
      </c>
      <c r="J6596" s="11" t="s">
        <v>1829</v>
      </c>
      <c r="K6596" s="11" t="s">
        <v>83</v>
      </c>
      <c r="L6596" s="11" t="s">
        <v>36</v>
      </c>
      <c r="M6596" s="11" t="s">
        <v>28</v>
      </c>
      <c r="N6596" s="11" t="s">
        <v>56</v>
      </c>
      <c r="O6596" s="11" t="s">
        <v>635</v>
      </c>
      <c r="P6596" s="11" t="s">
        <v>38</v>
      </c>
      <c r="Q6596" s="20">
        <v>40964.0</v>
      </c>
      <c r="R6596" s="17">
        <f t="shared" si="2"/>
        <v>3.101458659</v>
      </c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>
        <f t="shared" si="8"/>
        <v>2</v>
      </c>
      <c r="AF6596" s="19" t="b">
        <f t="shared" si="13"/>
        <v>0</v>
      </c>
      <c r="AG6596" s="9"/>
      <c r="AH6596" s="9"/>
      <c r="AI6596" s="9"/>
    </row>
    <row r="6597" ht="15.0" customHeight="1">
      <c r="A6597" s="11">
        <v>6596.0</v>
      </c>
      <c r="B6597" s="12">
        <f t="shared" si="1057"/>
        <v>40962</v>
      </c>
      <c r="C6597" s="13">
        <v>2012.0</v>
      </c>
      <c r="D6597" s="11" t="s">
        <v>44</v>
      </c>
      <c r="E6597" s="11">
        <v>26.0</v>
      </c>
      <c r="F6597" s="21" t="s">
        <v>743</v>
      </c>
      <c r="G6597" s="15">
        <v>0.04195233993683613</v>
      </c>
      <c r="H6597" s="11" t="s">
        <v>45</v>
      </c>
      <c r="I6597" s="16">
        <v>11.352</v>
      </c>
      <c r="J6597" s="11" t="s">
        <v>2598</v>
      </c>
      <c r="K6597" s="11" t="s">
        <v>117</v>
      </c>
      <c r="L6597" s="11" t="s">
        <v>48</v>
      </c>
      <c r="M6597" s="11" t="s">
        <v>49</v>
      </c>
      <c r="N6597" s="11" t="s">
        <v>50</v>
      </c>
      <c r="O6597" s="11" t="s">
        <v>2249</v>
      </c>
      <c r="P6597" s="11" t="s">
        <v>52</v>
      </c>
      <c r="Q6597" s="20">
        <v>40964.0</v>
      </c>
      <c r="R6597" s="17">
        <f t="shared" si="2"/>
        <v>55.99596964</v>
      </c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>
        <f t="shared" si="8"/>
        <v>4</v>
      </c>
      <c r="AF6597" s="19" t="b">
        <f t="shared" si="13"/>
        <v>0</v>
      </c>
      <c r="AG6597" s="9"/>
      <c r="AH6597" s="9"/>
      <c r="AI6597" s="9"/>
    </row>
    <row r="6598" ht="15.0" customHeight="1">
      <c r="A6598" s="11">
        <v>6597.0</v>
      </c>
      <c r="B6598" s="12">
        <f t="shared" si="1057"/>
        <v>40962</v>
      </c>
      <c r="C6598" s="13">
        <v>2012.0</v>
      </c>
      <c r="D6598" s="11" t="s">
        <v>44</v>
      </c>
      <c r="E6598" s="11">
        <v>36.0</v>
      </c>
      <c r="F6598" s="21" t="s">
        <v>1710</v>
      </c>
      <c r="G6598" s="15">
        <v>0.041347218392754764</v>
      </c>
      <c r="H6598" s="11" t="s">
        <v>45</v>
      </c>
      <c r="I6598" s="16">
        <v>41.552</v>
      </c>
      <c r="J6598" s="11" t="s">
        <v>2598</v>
      </c>
      <c r="K6598" s="11" t="s">
        <v>117</v>
      </c>
      <c r="L6598" s="11" t="s">
        <v>48</v>
      </c>
      <c r="M6598" s="11" t="s">
        <v>49</v>
      </c>
      <c r="N6598" s="11" t="s">
        <v>85</v>
      </c>
      <c r="O6598" s="11" t="s">
        <v>1711</v>
      </c>
      <c r="P6598" s="11" t="s">
        <v>87</v>
      </c>
      <c r="Q6598" s="20">
        <v>40964.0</v>
      </c>
      <c r="R6598" s="17">
        <f t="shared" si="2"/>
        <v>186.8874425</v>
      </c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>
        <f t="shared" si="8"/>
        <v>4</v>
      </c>
      <c r="AF6598" s="19" t="b">
        <f t="shared" si="13"/>
        <v>0</v>
      </c>
      <c r="AG6598" s="9"/>
      <c r="AH6598" s="9"/>
      <c r="AI6598" s="9"/>
    </row>
    <row r="6599" ht="15.0" customHeight="1">
      <c r="A6599" s="11">
        <v>6598.0</v>
      </c>
      <c r="B6599" s="12">
        <f t="shared" si="1057"/>
        <v>40962</v>
      </c>
      <c r="C6599" s="13">
        <v>2012.0</v>
      </c>
      <c r="D6599" s="11" t="s">
        <v>44</v>
      </c>
      <c r="E6599" s="11">
        <v>16.0</v>
      </c>
      <c r="F6599" s="21" t="s">
        <v>1050</v>
      </c>
      <c r="G6599" s="15">
        <v>0.09299237767396114</v>
      </c>
      <c r="H6599" s="11" t="s">
        <v>33</v>
      </c>
      <c r="I6599" s="16">
        <v>12.08</v>
      </c>
      <c r="J6599" s="11" t="s">
        <v>2598</v>
      </c>
      <c r="K6599" s="11" t="s">
        <v>117</v>
      </c>
      <c r="L6599" s="11" t="s">
        <v>48</v>
      </c>
      <c r="M6599" s="11" t="s">
        <v>28</v>
      </c>
      <c r="N6599" s="11" t="s">
        <v>42</v>
      </c>
      <c r="O6599" s="11" t="s">
        <v>1052</v>
      </c>
      <c r="P6599" s="11" t="s">
        <v>38</v>
      </c>
      <c r="Q6599" s="20">
        <v>40964.0</v>
      </c>
      <c r="R6599" s="17">
        <f t="shared" si="2"/>
        <v>34.30302828</v>
      </c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>
        <f t="shared" si="8"/>
        <v>4</v>
      </c>
      <c r="AF6599" s="19" t="b">
        <f t="shared" si="13"/>
        <v>0</v>
      </c>
      <c r="AG6599" s="9"/>
      <c r="AH6599" s="9"/>
      <c r="AI6599" s="9"/>
    </row>
    <row r="6600" ht="15.0" customHeight="1">
      <c r="A6600" s="11">
        <v>6599.0</v>
      </c>
      <c r="B6600" s="12">
        <f t="shared" si="1057"/>
        <v>40962</v>
      </c>
      <c r="C6600" s="13">
        <v>2012.0</v>
      </c>
      <c r="D6600" s="11" t="s">
        <v>102</v>
      </c>
      <c r="E6600" s="11">
        <v>32.0</v>
      </c>
      <c r="F6600" s="21" t="s">
        <v>562</v>
      </c>
      <c r="G6600" s="15">
        <v>0.03892308797815517</v>
      </c>
      <c r="H6600" s="11" t="s">
        <v>45</v>
      </c>
      <c r="I6600" s="16">
        <v>20.8</v>
      </c>
      <c r="J6600" s="11" t="s">
        <v>1238</v>
      </c>
      <c r="K6600" s="11" t="s">
        <v>61</v>
      </c>
      <c r="L6600" s="11" t="s">
        <v>41</v>
      </c>
      <c r="M6600" s="11" t="s">
        <v>49</v>
      </c>
      <c r="N6600" s="11" t="s">
        <v>50</v>
      </c>
      <c r="O6600" s="11" t="s">
        <v>1649</v>
      </c>
      <c r="P6600" s="11" t="s">
        <v>52</v>
      </c>
      <c r="Q6600" s="20">
        <v>40965.0</v>
      </c>
      <c r="R6600" s="17">
        <f t="shared" si="2"/>
        <v>624.6999928</v>
      </c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>
        <f t="shared" si="8"/>
        <v>3</v>
      </c>
      <c r="AF6600" s="19">
        <f t="shared" si="13"/>
        <v>4</v>
      </c>
      <c r="AG6600" s="9"/>
      <c r="AH6600" s="9"/>
      <c r="AI6600" s="9"/>
    </row>
    <row r="6601" ht="15.0" customHeight="1">
      <c r="A6601" s="11">
        <v>6600.0</v>
      </c>
      <c r="B6601" s="12">
        <f t="shared" si="1057"/>
        <v>40962</v>
      </c>
      <c r="C6601" s="13">
        <v>2012.0</v>
      </c>
      <c r="D6601" s="11" t="s">
        <v>102</v>
      </c>
      <c r="E6601" s="11">
        <v>29.0</v>
      </c>
      <c r="F6601" s="21" t="s">
        <v>245</v>
      </c>
      <c r="G6601" s="15">
        <v>0.04887517531556796</v>
      </c>
      <c r="H6601" s="11" t="s">
        <v>24</v>
      </c>
      <c r="I6601" s="16">
        <v>5.5760000000000005</v>
      </c>
      <c r="J6601" s="11" t="s">
        <v>1238</v>
      </c>
      <c r="K6601" s="11" t="s">
        <v>61</v>
      </c>
      <c r="L6601" s="11" t="s">
        <v>41</v>
      </c>
      <c r="M6601" s="11" t="s">
        <v>28</v>
      </c>
      <c r="N6601" s="11" t="s">
        <v>236</v>
      </c>
      <c r="O6601" s="11" t="s">
        <v>376</v>
      </c>
      <c r="P6601" s="11" t="s">
        <v>38</v>
      </c>
      <c r="Q6601" s="20">
        <v>40965.0</v>
      </c>
      <c r="R6601" s="17">
        <f t="shared" si="2"/>
        <v>16.57239895</v>
      </c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>
        <f t="shared" si="8"/>
        <v>3</v>
      </c>
      <c r="AF6601" s="19">
        <f t="shared" si="13"/>
        <v>4</v>
      </c>
      <c r="AG6601" s="9"/>
      <c r="AH6601" s="9"/>
      <c r="AI6601" s="9"/>
    </row>
    <row r="6602" ht="15.0" customHeight="1">
      <c r="A6602" s="11">
        <v>6601.0</v>
      </c>
      <c r="B6602" s="12">
        <f t="shared" si="1057"/>
        <v>40962</v>
      </c>
      <c r="C6602" s="13">
        <v>2012.0</v>
      </c>
      <c r="D6602" s="11" t="s">
        <v>44</v>
      </c>
      <c r="E6602" s="11">
        <v>48.0</v>
      </c>
      <c r="F6602" s="21" t="s">
        <v>2269</v>
      </c>
      <c r="G6602" s="15">
        <v>0.08615853523864202</v>
      </c>
      <c r="H6602" s="11" t="s">
        <v>45</v>
      </c>
      <c r="I6602" s="16">
        <v>48.0</v>
      </c>
      <c r="J6602" s="11" t="s">
        <v>1238</v>
      </c>
      <c r="K6602" s="11" t="s">
        <v>61</v>
      </c>
      <c r="L6602" s="11" t="s">
        <v>41</v>
      </c>
      <c r="M6602" s="11" t="s">
        <v>49</v>
      </c>
      <c r="N6602" s="11" t="s">
        <v>85</v>
      </c>
      <c r="O6602" s="11" t="s">
        <v>2270</v>
      </c>
      <c r="P6602" s="11" t="s">
        <v>52</v>
      </c>
      <c r="Q6602" s="20">
        <v>40965.0</v>
      </c>
      <c r="R6602" s="17">
        <f t="shared" si="2"/>
        <v>356.4895554</v>
      </c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>
        <f t="shared" si="8"/>
        <v>3</v>
      </c>
      <c r="AF6602" s="19">
        <f t="shared" si="13"/>
        <v>4</v>
      </c>
      <c r="AG6602" s="9"/>
      <c r="AH6602" s="9"/>
      <c r="AI6602" s="9"/>
    </row>
    <row r="6603" ht="15.0" customHeight="1">
      <c r="A6603" s="11">
        <v>6602.0</v>
      </c>
      <c r="B6603" s="12">
        <f t="shared" ref="B6603:B6605" si="1058">DATE(2012,12,31)-311</f>
        <v>40963</v>
      </c>
      <c r="C6603" s="13">
        <v>2012.0</v>
      </c>
      <c r="D6603" s="11" t="s">
        <v>44</v>
      </c>
      <c r="E6603" s="11">
        <v>40.0</v>
      </c>
      <c r="F6603" s="21" t="s">
        <v>1435</v>
      </c>
      <c r="G6603" s="15">
        <v>0.0854990583804143</v>
      </c>
      <c r="H6603" s="11" t="s">
        <v>24</v>
      </c>
      <c r="I6603" s="16">
        <v>0.5599999999999999</v>
      </c>
      <c r="J6603" s="11" t="s">
        <v>567</v>
      </c>
      <c r="K6603" s="11" t="s">
        <v>61</v>
      </c>
      <c r="L6603" s="11" t="s">
        <v>36</v>
      </c>
      <c r="M6603" s="11" t="s">
        <v>28</v>
      </c>
      <c r="N6603" s="11" t="s">
        <v>216</v>
      </c>
      <c r="O6603" s="11" t="s">
        <v>1436</v>
      </c>
      <c r="P6603" s="11" t="s">
        <v>58</v>
      </c>
      <c r="Q6603" s="20">
        <v>40966.0</v>
      </c>
      <c r="R6603" s="17">
        <f t="shared" si="2"/>
        <v>4.151834275</v>
      </c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>
        <f t="shared" si="8"/>
        <v>2</v>
      </c>
      <c r="AF6603" s="19">
        <f t="shared" si="13"/>
        <v>4</v>
      </c>
      <c r="AG6603" s="9"/>
      <c r="AH6603" s="9"/>
      <c r="AI6603" s="9"/>
    </row>
    <row r="6604" ht="15.0" customHeight="1">
      <c r="A6604" s="11">
        <v>6603.0</v>
      </c>
      <c r="B6604" s="12">
        <f t="shared" si="1058"/>
        <v>40963</v>
      </c>
      <c r="C6604" s="13">
        <v>2012.0</v>
      </c>
      <c r="D6604" s="11" t="s">
        <v>39</v>
      </c>
      <c r="E6604" s="11">
        <v>42.0</v>
      </c>
      <c r="F6604" s="21" t="s">
        <v>1247</v>
      </c>
      <c r="G6604" s="15">
        <v>0.029435069699192958</v>
      </c>
      <c r="H6604" s="11" t="s">
        <v>33</v>
      </c>
      <c r="I6604" s="16">
        <v>4.176</v>
      </c>
      <c r="J6604" s="11" t="s">
        <v>2387</v>
      </c>
      <c r="K6604" s="11" t="s">
        <v>47</v>
      </c>
      <c r="L6604" s="11" t="s">
        <v>27</v>
      </c>
      <c r="M6604" s="11" t="s">
        <v>49</v>
      </c>
      <c r="N6604" s="11" t="s">
        <v>73</v>
      </c>
      <c r="O6604" s="11" t="s">
        <v>1591</v>
      </c>
      <c r="P6604" s="11" t="s">
        <v>38</v>
      </c>
      <c r="Q6604" s="20">
        <v>40966.0</v>
      </c>
      <c r="R6604" s="17">
        <f t="shared" si="2"/>
        <v>7.787813001</v>
      </c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>
        <f t="shared" si="8"/>
        <v>1</v>
      </c>
      <c r="AF6604" s="19">
        <f t="shared" si="13"/>
        <v>3</v>
      </c>
      <c r="AG6604" s="9"/>
      <c r="AH6604" s="9"/>
      <c r="AI6604" s="9"/>
    </row>
    <row r="6605" ht="15.0" customHeight="1">
      <c r="A6605" s="11">
        <v>6604.0</v>
      </c>
      <c r="B6605" s="12">
        <f t="shared" si="1058"/>
        <v>40963</v>
      </c>
      <c r="C6605" s="13">
        <v>2012.0</v>
      </c>
      <c r="D6605" s="11" t="s">
        <v>32</v>
      </c>
      <c r="E6605" s="11">
        <v>43.0</v>
      </c>
      <c r="F6605" s="21" t="s">
        <v>100</v>
      </c>
      <c r="G6605" s="15">
        <v>0.06054160789844844</v>
      </c>
      <c r="H6605" s="11" t="s">
        <v>33</v>
      </c>
      <c r="I6605" s="16">
        <v>4.0</v>
      </c>
      <c r="J6605" s="11" t="s">
        <v>1903</v>
      </c>
      <c r="K6605" s="11" t="s">
        <v>65</v>
      </c>
      <c r="L6605" s="11" t="s">
        <v>48</v>
      </c>
      <c r="M6605" s="11" t="s">
        <v>66</v>
      </c>
      <c r="N6605" s="11" t="s">
        <v>80</v>
      </c>
      <c r="O6605" s="11" t="s">
        <v>2025</v>
      </c>
      <c r="P6605" s="11" t="s">
        <v>38</v>
      </c>
      <c r="Q6605" s="20">
        <v>40968.0</v>
      </c>
      <c r="R6605" s="17">
        <f t="shared" si="2"/>
        <v>536.2594003</v>
      </c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>
        <f t="shared" si="8"/>
        <v>4</v>
      </c>
      <c r="AF6605" s="19">
        <f t="shared" si="13"/>
        <v>5</v>
      </c>
      <c r="AG6605" s="9"/>
      <c r="AH6605" s="9"/>
      <c r="AI6605" s="9"/>
    </row>
    <row r="6606" ht="15.0" customHeight="1">
      <c r="A6606" s="11">
        <v>6605.0</v>
      </c>
      <c r="B6606" s="12">
        <f>DATE(2012,12,31)-310</f>
        <v>40964</v>
      </c>
      <c r="C6606" s="13">
        <v>2012.0</v>
      </c>
      <c r="D6606" s="11" t="s">
        <v>23</v>
      </c>
      <c r="E6606" s="11">
        <v>12.0</v>
      </c>
      <c r="F6606" s="21" t="s">
        <v>577</v>
      </c>
      <c r="G6606" s="15">
        <v>0.09474910752534645</v>
      </c>
      <c r="H6606" s="11" t="s">
        <v>45</v>
      </c>
      <c r="I6606" s="16">
        <v>53.336000000000006</v>
      </c>
      <c r="J6606" s="11" t="s">
        <v>1829</v>
      </c>
      <c r="K6606" s="11" t="s">
        <v>83</v>
      </c>
      <c r="L6606" s="11" t="s">
        <v>36</v>
      </c>
      <c r="M6606" s="11" t="s">
        <v>49</v>
      </c>
      <c r="N6606" s="11" t="s">
        <v>85</v>
      </c>
      <c r="O6606" s="11" t="s">
        <v>579</v>
      </c>
      <c r="P6606" s="11" t="s">
        <v>87</v>
      </c>
      <c r="Q6606" s="20">
        <v>40968.0</v>
      </c>
      <c r="R6606" s="17">
        <f t="shared" si="2"/>
        <v>300.3296571</v>
      </c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>
        <f t="shared" si="8"/>
        <v>2</v>
      </c>
      <c r="AF6606" s="19" t="b">
        <f t="shared" si="13"/>
        <v>0</v>
      </c>
      <c r="AG6606" s="9"/>
      <c r="AH6606" s="9"/>
      <c r="AI6606" s="9"/>
    </row>
    <row r="6607" ht="15.0" customHeight="1">
      <c r="A6607" s="11">
        <v>6606.0</v>
      </c>
      <c r="B6607" s="12">
        <f t="shared" ref="B6607:B6611" si="1059">DATE(2012,12,31)-309</f>
        <v>40965</v>
      </c>
      <c r="C6607" s="13">
        <v>2012.0</v>
      </c>
      <c r="D6607" s="11" t="s">
        <v>44</v>
      </c>
      <c r="E6607" s="11">
        <v>35.0</v>
      </c>
      <c r="F6607" s="21" t="s">
        <v>1891</v>
      </c>
      <c r="G6607" s="15">
        <v>0.05086918856482814</v>
      </c>
      <c r="H6607" s="11" t="s">
        <v>33</v>
      </c>
      <c r="I6607" s="16">
        <v>3.184</v>
      </c>
      <c r="J6607" s="11" t="s">
        <v>1984</v>
      </c>
      <c r="K6607" s="11" t="s">
        <v>61</v>
      </c>
      <c r="L6607" s="11" t="s">
        <v>41</v>
      </c>
      <c r="M6607" s="11" t="s">
        <v>28</v>
      </c>
      <c r="N6607" s="11" t="s">
        <v>442</v>
      </c>
      <c r="O6607" s="11" t="s">
        <v>2015</v>
      </c>
      <c r="P6607" s="11" t="s">
        <v>99</v>
      </c>
      <c r="Q6607" s="20">
        <v>40968.0</v>
      </c>
      <c r="R6607" s="17">
        <f t="shared" si="2"/>
        <v>16.71988837</v>
      </c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>
        <f t="shared" si="8"/>
        <v>3</v>
      </c>
      <c r="AF6607" s="19">
        <f t="shared" si="13"/>
        <v>4</v>
      </c>
      <c r="AG6607" s="9"/>
      <c r="AH6607" s="9"/>
      <c r="AI6607" s="9"/>
    </row>
    <row r="6608" ht="15.0" customHeight="1">
      <c r="A6608" s="11">
        <v>6607.0</v>
      </c>
      <c r="B6608" s="12">
        <f t="shared" si="1059"/>
        <v>40965</v>
      </c>
      <c r="C6608" s="13">
        <v>2012.0</v>
      </c>
      <c r="D6608" s="11" t="s">
        <v>23</v>
      </c>
      <c r="E6608" s="11">
        <v>29.0</v>
      </c>
      <c r="F6608" s="21" t="s">
        <v>1273</v>
      </c>
      <c r="G6608" s="15">
        <v>0.09681872272907582</v>
      </c>
      <c r="H6608" s="11" t="s">
        <v>33</v>
      </c>
      <c r="I6608" s="16">
        <v>2.984</v>
      </c>
      <c r="J6608" s="11" t="s">
        <v>2027</v>
      </c>
      <c r="K6608" s="11" t="s">
        <v>83</v>
      </c>
      <c r="L6608" s="11" t="s">
        <v>48</v>
      </c>
      <c r="M6608" s="11" t="s">
        <v>49</v>
      </c>
      <c r="N6608" s="11" t="s">
        <v>73</v>
      </c>
      <c r="O6608" s="11" t="s">
        <v>1403</v>
      </c>
      <c r="P6608" s="11" t="s">
        <v>99</v>
      </c>
      <c r="Q6608" s="20">
        <v>40968.0</v>
      </c>
      <c r="R6608" s="17">
        <f t="shared" si="2"/>
        <v>44.08969723</v>
      </c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>
        <f t="shared" si="8"/>
        <v>4</v>
      </c>
      <c r="AF6608" s="19" t="b">
        <f t="shared" si="13"/>
        <v>0</v>
      </c>
      <c r="AG6608" s="9"/>
      <c r="AH6608" s="9"/>
      <c r="AI6608" s="9"/>
    </row>
    <row r="6609" ht="15.0" customHeight="1">
      <c r="A6609" s="11">
        <v>6608.0</v>
      </c>
      <c r="B6609" s="12">
        <f t="shared" si="1059"/>
        <v>40965</v>
      </c>
      <c r="C6609" s="13">
        <v>2012.0</v>
      </c>
      <c r="D6609" s="11" t="s">
        <v>39</v>
      </c>
      <c r="E6609" s="11">
        <v>18.0</v>
      </c>
      <c r="F6609" s="21" t="s">
        <v>810</v>
      </c>
      <c r="G6609" s="15">
        <v>0.020667976424361346</v>
      </c>
      <c r="H6609" s="11" t="s">
        <v>33</v>
      </c>
      <c r="I6609" s="16">
        <v>3.192</v>
      </c>
      <c r="J6609" s="11" t="s">
        <v>1720</v>
      </c>
      <c r="K6609" s="11" t="s">
        <v>65</v>
      </c>
      <c r="L6609" s="11" t="s">
        <v>48</v>
      </c>
      <c r="M6609" s="11" t="s">
        <v>28</v>
      </c>
      <c r="N6609" s="11" t="s">
        <v>197</v>
      </c>
      <c r="O6609" s="11" t="s">
        <v>1322</v>
      </c>
      <c r="P6609" s="11" t="s">
        <v>38</v>
      </c>
      <c r="Q6609" s="20">
        <v>40968.0</v>
      </c>
      <c r="R6609" s="17">
        <f t="shared" si="2"/>
        <v>4.121029155</v>
      </c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>
        <f t="shared" si="8"/>
        <v>4</v>
      </c>
      <c r="AF6609" s="19">
        <f t="shared" si="13"/>
        <v>5</v>
      </c>
      <c r="AG6609" s="9"/>
      <c r="AH6609" s="9"/>
      <c r="AI6609" s="9"/>
    </row>
    <row r="6610" ht="15.0" customHeight="1">
      <c r="A6610" s="11">
        <v>6609.0</v>
      </c>
      <c r="B6610" s="12">
        <f t="shared" si="1059"/>
        <v>40965</v>
      </c>
      <c r="C6610" s="13">
        <v>2012.0</v>
      </c>
      <c r="D6610" s="11" t="s">
        <v>44</v>
      </c>
      <c r="E6610" s="11">
        <v>38.0</v>
      </c>
      <c r="F6610" s="21" t="s">
        <v>2188</v>
      </c>
      <c r="G6610" s="15">
        <v>0.02957155879671832</v>
      </c>
      <c r="H6610" s="11" t="s">
        <v>33</v>
      </c>
      <c r="I6610" s="16">
        <v>4.024</v>
      </c>
      <c r="J6610" s="11" t="s">
        <v>630</v>
      </c>
      <c r="K6610" s="11" t="s">
        <v>35</v>
      </c>
      <c r="L6610" s="11" t="s">
        <v>36</v>
      </c>
      <c r="M6610" s="11" t="s">
        <v>28</v>
      </c>
      <c r="N6610" s="11" t="s">
        <v>56</v>
      </c>
      <c r="O6610" s="11" t="s">
        <v>2190</v>
      </c>
      <c r="P6610" s="11" t="s">
        <v>38</v>
      </c>
      <c r="Q6610" s="20">
        <v>40968.0</v>
      </c>
      <c r="R6610" s="17">
        <f t="shared" si="2"/>
        <v>12.59227945</v>
      </c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>
        <f t="shared" si="8"/>
        <v>2</v>
      </c>
      <c r="AF6610" s="19">
        <f t="shared" si="13"/>
        <v>2</v>
      </c>
      <c r="AG6610" s="9"/>
      <c r="AH6610" s="9"/>
      <c r="AI6610" s="9"/>
    </row>
    <row r="6611" ht="15.0" customHeight="1">
      <c r="A6611" s="11">
        <v>6610.0</v>
      </c>
      <c r="B6611" s="12">
        <f t="shared" si="1059"/>
        <v>40965</v>
      </c>
      <c r="C6611" s="13">
        <v>2012.0</v>
      </c>
      <c r="D6611" s="11" t="s">
        <v>44</v>
      </c>
      <c r="E6611" s="11">
        <v>4.0</v>
      </c>
      <c r="F6611" s="21" t="s">
        <v>1166</v>
      </c>
      <c r="G6611" s="15">
        <v>0.04990825688073399</v>
      </c>
      <c r="H6611" s="11" t="s">
        <v>33</v>
      </c>
      <c r="I6611" s="16">
        <v>1.9120000000000001</v>
      </c>
      <c r="J6611" s="11" t="s">
        <v>630</v>
      </c>
      <c r="K6611" s="11" t="s">
        <v>35</v>
      </c>
      <c r="L6611" s="11" t="s">
        <v>36</v>
      </c>
      <c r="M6611" s="11" t="s">
        <v>66</v>
      </c>
      <c r="N6611" s="11" t="s">
        <v>67</v>
      </c>
      <c r="O6611" s="11" t="s">
        <v>1167</v>
      </c>
      <c r="P6611" s="11" t="s">
        <v>99</v>
      </c>
      <c r="Q6611" s="20">
        <v>40968.0</v>
      </c>
      <c r="R6611" s="17">
        <f t="shared" si="2"/>
        <v>1.033699817</v>
      </c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>
        <f t="shared" si="8"/>
        <v>2</v>
      </c>
      <c r="AF6611" s="19">
        <f t="shared" si="13"/>
        <v>2</v>
      </c>
      <c r="AG6611" s="9"/>
      <c r="AH6611" s="9"/>
      <c r="AI6611" s="9"/>
    </row>
    <row r="6612" ht="15.0" customHeight="1">
      <c r="A6612" s="11">
        <v>6611.0</v>
      </c>
      <c r="B6612" s="12">
        <f t="shared" ref="B6612:B6620" si="1060">DATE(2012,12,31)-308</f>
        <v>40966</v>
      </c>
      <c r="C6612" s="13">
        <v>2012.0</v>
      </c>
      <c r="D6612" s="11" t="s">
        <v>23</v>
      </c>
      <c r="E6612" s="11">
        <v>26.0</v>
      </c>
      <c r="F6612" s="21" t="s">
        <v>397</v>
      </c>
      <c r="G6612" s="15">
        <v>0.026276865491427347</v>
      </c>
      <c r="H6612" s="11" t="s">
        <v>33</v>
      </c>
      <c r="I6612" s="16">
        <v>1.592</v>
      </c>
      <c r="J6612" s="11" t="s">
        <v>1355</v>
      </c>
      <c r="K6612" s="11" t="s">
        <v>61</v>
      </c>
      <c r="L6612" s="11" t="s">
        <v>27</v>
      </c>
      <c r="M6612" s="11" t="s">
        <v>66</v>
      </c>
      <c r="N6612" s="11" t="s">
        <v>67</v>
      </c>
      <c r="O6612" s="11" t="s">
        <v>502</v>
      </c>
      <c r="P6612" s="11" t="s">
        <v>99</v>
      </c>
      <c r="Q6612" s="20">
        <v>40968.0</v>
      </c>
      <c r="R6612" s="17">
        <f t="shared" si="2"/>
        <v>21.69922531</v>
      </c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>
        <f t="shared" si="8"/>
        <v>1</v>
      </c>
      <c r="AF6612" s="19">
        <f t="shared" si="13"/>
        <v>4</v>
      </c>
      <c r="AG6612" s="9"/>
      <c r="AH6612" s="9"/>
      <c r="AI6612" s="9"/>
    </row>
    <row r="6613" ht="15.0" customHeight="1">
      <c r="A6613" s="11">
        <v>6612.0</v>
      </c>
      <c r="B6613" s="12">
        <f t="shared" si="1060"/>
        <v>40966</v>
      </c>
      <c r="C6613" s="13">
        <v>2012.0</v>
      </c>
      <c r="D6613" s="11" t="s">
        <v>23</v>
      </c>
      <c r="E6613" s="11">
        <v>10.0</v>
      </c>
      <c r="F6613" s="21" t="s">
        <v>204</v>
      </c>
      <c r="G6613" s="15">
        <v>0.045170068027210866</v>
      </c>
      <c r="H6613" s="11" t="s">
        <v>33</v>
      </c>
      <c r="I6613" s="16">
        <v>1.072</v>
      </c>
      <c r="J6613" s="11" t="s">
        <v>1355</v>
      </c>
      <c r="K6613" s="11" t="s">
        <v>61</v>
      </c>
      <c r="L6613" s="11" t="s">
        <v>27</v>
      </c>
      <c r="M6613" s="11" t="s">
        <v>28</v>
      </c>
      <c r="N6613" s="11" t="s">
        <v>62</v>
      </c>
      <c r="O6613" s="11" t="s">
        <v>1514</v>
      </c>
      <c r="P6613" s="11" t="s">
        <v>58</v>
      </c>
      <c r="Q6613" s="20">
        <v>40968.0</v>
      </c>
      <c r="R6613" s="17">
        <f t="shared" si="2"/>
        <v>1.26801415</v>
      </c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>
        <f t="shared" si="8"/>
        <v>1</v>
      </c>
      <c r="AF6613" s="19">
        <f t="shared" si="13"/>
        <v>4</v>
      </c>
      <c r="AG6613" s="9"/>
      <c r="AH6613" s="9"/>
      <c r="AI6613" s="9"/>
    </row>
    <row r="6614" ht="15.0" customHeight="1">
      <c r="A6614" s="11">
        <v>6613.0</v>
      </c>
      <c r="B6614" s="12">
        <f t="shared" si="1060"/>
        <v>40966</v>
      </c>
      <c r="C6614" s="13">
        <v>2012.0</v>
      </c>
      <c r="D6614" s="11" t="s">
        <v>102</v>
      </c>
      <c r="E6614" s="11">
        <v>32.0</v>
      </c>
      <c r="F6614" s="21" t="s">
        <v>280</v>
      </c>
      <c r="G6614" s="15">
        <v>0.09225981374513735</v>
      </c>
      <c r="H6614" s="11" t="s">
        <v>33</v>
      </c>
      <c r="I6614" s="16">
        <v>4.072</v>
      </c>
      <c r="J6614" s="11" t="s">
        <v>2452</v>
      </c>
      <c r="K6614" s="11" t="s">
        <v>65</v>
      </c>
      <c r="L6614" s="11" t="s">
        <v>41</v>
      </c>
      <c r="M6614" s="11" t="s">
        <v>28</v>
      </c>
      <c r="N6614" s="11" t="s">
        <v>56</v>
      </c>
      <c r="O6614" s="11" t="s">
        <v>281</v>
      </c>
      <c r="P6614" s="11" t="s">
        <v>38</v>
      </c>
      <c r="Q6614" s="20">
        <v>40968.0</v>
      </c>
      <c r="R6614" s="17">
        <f t="shared" si="2"/>
        <v>142.0867559</v>
      </c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>
        <f t="shared" si="8"/>
        <v>3</v>
      </c>
      <c r="AF6614" s="19">
        <f t="shared" si="13"/>
        <v>5</v>
      </c>
      <c r="AG6614" s="9"/>
      <c r="AH6614" s="9"/>
      <c r="AI6614" s="9"/>
    </row>
    <row r="6615" ht="15.0" customHeight="1">
      <c r="A6615" s="11">
        <v>6614.0</v>
      </c>
      <c r="B6615" s="12">
        <f t="shared" si="1060"/>
        <v>40966</v>
      </c>
      <c r="C6615" s="13">
        <v>2012.0</v>
      </c>
      <c r="D6615" s="11" t="s">
        <v>44</v>
      </c>
      <c r="E6615" s="11">
        <v>33.0</v>
      </c>
      <c r="F6615" s="21" t="s">
        <v>461</v>
      </c>
      <c r="G6615" s="15">
        <v>0.04922950612605788</v>
      </c>
      <c r="H6615" s="11" t="s">
        <v>45</v>
      </c>
      <c r="I6615" s="16">
        <v>11.200000000000001</v>
      </c>
      <c r="J6615" s="11" t="s">
        <v>1715</v>
      </c>
      <c r="K6615" s="11" t="s">
        <v>26</v>
      </c>
      <c r="L6615" s="11" t="s">
        <v>36</v>
      </c>
      <c r="M6615" s="11" t="s">
        <v>66</v>
      </c>
      <c r="N6615" s="11" t="s">
        <v>69</v>
      </c>
      <c r="O6615" s="11" t="s">
        <v>779</v>
      </c>
      <c r="P6615" s="11" t="s">
        <v>52</v>
      </c>
      <c r="Q6615" s="20">
        <v>40968.0</v>
      </c>
      <c r="R6615" s="17">
        <f t="shared" si="2"/>
        <v>148.22512</v>
      </c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>
        <f t="shared" si="8"/>
        <v>2</v>
      </c>
      <c r="AF6615" s="19">
        <f t="shared" si="13"/>
        <v>1</v>
      </c>
      <c r="AG6615" s="9"/>
      <c r="AH6615" s="9"/>
      <c r="AI6615" s="9"/>
    </row>
    <row r="6616" ht="15.0" customHeight="1">
      <c r="A6616" s="11">
        <v>6615.0</v>
      </c>
      <c r="B6616" s="12">
        <f t="shared" si="1060"/>
        <v>40966</v>
      </c>
      <c r="C6616" s="13">
        <v>2012.0</v>
      </c>
      <c r="D6616" s="11" t="s">
        <v>32</v>
      </c>
      <c r="E6616" s="11">
        <v>46.0</v>
      </c>
      <c r="F6616" s="21" t="s">
        <v>342</v>
      </c>
      <c r="G6616" s="15">
        <v>0.0577369458914182</v>
      </c>
      <c r="H6616" s="11" t="s">
        <v>45</v>
      </c>
      <c r="I6616" s="16">
        <v>23.368000000000002</v>
      </c>
      <c r="J6616" s="11" t="s">
        <v>1715</v>
      </c>
      <c r="K6616" s="11" t="s">
        <v>26</v>
      </c>
      <c r="L6616" s="11" t="s">
        <v>41</v>
      </c>
      <c r="M6616" s="11" t="s">
        <v>49</v>
      </c>
      <c r="N6616" s="11" t="s">
        <v>85</v>
      </c>
      <c r="O6616" s="11" t="s">
        <v>343</v>
      </c>
      <c r="P6616" s="11" t="s">
        <v>87</v>
      </c>
      <c r="Q6616" s="20">
        <v>40969.0</v>
      </c>
      <c r="R6616" s="17">
        <f t="shared" si="2"/>
        <v>477.2863893</v>
      </c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>
        <f t="shared" si="8"/>
        <v>3</v>
      </c>
      <c r="AF6616" s="19">
        <f t="shared" si="13"/>
        <v>1</v>
      </c>
      <c r="AG6616" s="9"/>
      <c r="AH6616" s="9"/>
      <c r="AI6616" s="9"/>
    </row>
    <row r="6617" ht="15.0" customHeight="1">
      <c r="A6617" s="11">
        <v>6616.0</v>
      </c>
      <c r="B6617" s="12">
        <f t="shared" si="1060"/>
        <v>40966</v>
      </c>
      <c r="C6617" s="13">
        <v>2012.0</v>
      </c>
      <c r="D6617" s="11" t="s">
        <v>32</v>
      </c>
      <c r="E6617" s="11">
        <v>43.0</v>
      </c>
      <c r="F6617" s="21" t="s">
        <v>983</v>
      </c>
      <c r="G6617" s="15">
        <v>0.07838716313515745</v>
      </c>
      <c r="H6617" s="11" t="s">
        <v>33</v>
      </c>
      <c r="I6617" s="16">
        <v>1.592</v>
      </c>
      <c r="J6617" s="11" t="s">
        <v>1841</v>
      </c>
      <c r="K6617" s="11" t="s">
        <v>61</v>
      </c>
      <c r="L6617" s="11" t="s">
        <v>36</v>
      </c>
      <c r="M6617" s="11" t="s">
        <v>66</v>
      </c>
      <c r="N6617" s="11" t="s">
        <v>67</v>
      </c>
      <c r="O6617" s="11" t="s">
        <v>2051</v>
      </c>
      <c r="P6617" s="11" t="s">
        <v>99</v>
      </c>
      <c r="Q6617" s="20">
        <v>40969.0</v>
      </c>
      <c r="R6617" s="17">
        <f t="shared" si="2"/>
        <v>70.23427107</v>
      </c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>
        <f t="shared" si="8"/>
        <v>2</v>
      </c>
      <c r="AF6617" s="19">
        <f t="shared" si="13"/>
        <v>4</v>
      </c>
      <c r="AG6617" s="9"/>
      <c r="AH6617" s="9"/>
      <c r="AI6617" s="9"/>
    </row>
    <row r="6618" ht="15.0" customHeight="1">
      <c r="A6618" s="11">
        <v>6617.0</v>
      </c>
      <c r="B6618" s="12">
        <f t="shared" si="1060"/>
        <v>40966</v>
      </c>
      <c r="C6618" s="13">
        <v>2012.0</v>
      </c>
      <c r="D6618" s="11" t="s">
        <v>39</v>
      </c>
      <c r="E6618" s="11">
        <v>36.0</v>
      </c>
      <c r="F6618" s="21" t="s">
        <v>178</v>
      </c>
      <c r="G6618" s="15">
        <v>0.07603013124174884</v>
      </c>
      <c r="H6618" s="11" t="s">
        <v>33</v>
      </c>
      <c r="I6618" s="16">
        <v>7.192</v>
      </c>
      <c r="J6618" s="11" t="s">
        <v>1292</v>
      </c>
      <c r="K6618" s="11" t="s">
        <v>61</v>
      </c>
      <c r="L6618" s="11" t="s">
        <v>27</v>
      </c>
      <c r="M6618" s="11" t="s">
        <v>66</v>
      </c>
      <c r="N6618" s="11" t="s">
        <v>80</v>
      </c>
      <c r="O6618" s="11" t="s">
        <v>1263</v>
      </c>
      <c r="P6618" s="11" t="s">
        <v>38</v>
      </c>
      <c r="Q6618" s="20">
        <v>40969.0</v>
      </c>
      <c r="R6618" s="17">
        <f t="shared" si="2"/>
        <v>180.9206921</v>
      </c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>
        <f t="shared" si="8"/>
        <v>1</v>
      </c>
      <c r="AF6618" s="19">
        <f t="shared" si="13"/>
        <v>4</v>
      </c>
      <c r="AG6618" s="9"/>
      <c r="AH6618" s="9"/>
      <c r="AI6618" s="9"/>
    </row>
    <row r="6619" ht="15.0" customHeight="1">
      <c r="A6619" s="11">
        <v>6618.0</v>
      </c>
      <c r="B6619" s="12">
        <f t="shared" si="1060"/>
        <v>40966</v>
      </c>
      <c r="C6619" s="13">
        <v>2012.0</v>
      </c>
      <c r="D6619" s="11" t="s">
        <v>32</v>
      </c>
      <c r="E6619" s="11">
        <v>33.0</v>
      </c>
      <c r="F6619" s="21" t="s">
        <v>1504</v>
      </c>
      <c r="G6619" s="15">
        <v>0.03912166285278422</v>
      </c>
      <c r="H6619" s="11" t="s">
        <v>33</v>
      </c>
      <c r="I6619" s="16">
        <v>15.991999999999999</v>
      </c>
      <c r="J6619" s="11" t="s">
        <v>2236</v>
      </c>
      <c r="K6619" s="11" t="s">
        <v>35</v>
      </c>
      <c r="L6619" s="11" t="s">
        <v>27</v>
      </c>
      <c r="M6619" s="11" t="s">
        <v>28</v>
      </c>
      <c r="N6619" s="11" t="s">
        <v>42</v>
      </c>
      <c r="O6619" s="11" t="s">
        <v>1505</v>
      </c>
      <c r="P6619" s="11" t="s">
        <v>38</v>
      </c>
      <c r="Q6619" s="20">
        <v>40969.0</v>
      </c>
      <c r="R6619" s="17">
        <f t="shared" si="2"/>
        <v>394.2560688</v>
      </c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>
        <f t="shared" si="8"/>
        <v>1</v>
      </c>
      <c r="AF6619" s="19">
        <f t="shared" si="13"/>
        <v>2</v>
      </c>
      <c r="AG6619" s="9"/>
      <c r="AH6619" s="9"/>
      <c r="AI6619" s="9"/>
    </row>
    <row r="6620" ht="15.0" customHeight="1">
      <c r="A6620" s="11">
        <v>6619.0</v>
      </c>
      <c r="B6620" s="12">
        <f t="shared" si="1060"/>
        <v>40966</v>
      </c>
      <c r="C6620" s="13">
        <v>2012.0</v>
      </c>
      <c r="D6620" s="11" t="s">
        <v>39</v>
      </c>
      <c r="E6620" s="11">
        <v>43.0</v>
      </c>
      <c r="F6620" s="21" t="s">
        <v>476</v>
      </c>
      <c r="G6620" s="15">
        <v>0.020718024167289715</v>
      </c>
      <c r="H6620" s="11" t="s">
        <v>45</v>
      </c>
      <c r="I6620" s="16">
        <v>68.504</v>
      </c>
      <c r="J6620" s="11" t="s">
        <v>1693</v>
      </c>
      <c r="K6620" s="11" t="s">
        <v>61</v>
      </c>
      <c r="L6620" s="11" t="s">
        <v>41</v>
      </c>
      <c r="M6620" s="11" t="s">
        <v>49</v>
      </c>
      <c r="N6620" s="11" t="s">
        <v>85</v>
      </c>
      <c r="O6620" s="11" t="s">
        <v>477</v>
      </c>
      <c r="P6620" s="11" t="s">
        <v>87</v>
      </c>
      <c r="Q6620" s="20">
        <v>40970.0</v>
      </c>
      <c r="R6620" s="17">
        <f t="shared" si="2"/>
        <v>336.4773698</v>
      </c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>
        <f t="shared" si="8"/>
        <v>3</v>
      </c>
      <c r="AF6620" s="19">
        <f t="shared" si="13"/>
        <v>4</v>
      </c>
      <c r="AG6620" s="9"/>
      <c r="AH6620" s="9"/>
      <c r="AI6620" s="9"/>
    </row>
    <row r="6621" ht="15.0" customHeight="1">
      <c r="A6621" s="11">
        <v>6620.0</v>
      </c>
      <c r="B6621" s="12">
        <f t="shared" ref="B6621:B6623" si="1061">DATE(2012,12,31)-306</f>
        <v>40968</v>
      </c>
      <c r="C6621" s="13">
        <v>2012.0</v>
      </c>
      <c r="D6621" s="11" t="s">
        <v>102</v>
      </c>
      <c r="E6621" s="11">
        <v>8.0</v>
      </c>
      <c r="F6621" s="21" t="s">
        <v>397</v>
      </c>
      <c r="G6621" s="15">
        <v>0.10032070965540789</v>
      </c>
      <c r="H6621" s="11" t="s">
        <v>33</v>
      </c>
      <c r="I6621" s="16">
        <v>10.096</v>
      </c>
      <c r="J6621" s="11" t="s">
        <v>2405</v>
      </c>
      <c r="K6621" s="11" t="s">
        <v>61</v>
      </c>
      <c r="L6621" s="11" t="s">
        <v>27</v>
      </c>
      <c r="M6621" s="11" t="s">
        <v>28</v>
      </c>
      <c r="N6621" s="11" t="s">
        <v>42</v>
      </c>
      <c r="O6621" s="11" t="s">
        <v>1333</v>
      </c>
      <c r="P6621" s="11" t="s">
        <v>38</v>
      </c>
      <c r="Q6621" s="20">
        <v>40970.0</v>
      </c>
      <c r="R6621" s="17">
        <f t="shared" si="2"/>
        <v>26.45416985</v>
      </c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>
        <f t="shared" si="8"/>
        <v>1</v>
      </c>
      <c r="AF6621" s="19">
        <f t="shared" si="13"/>
        <v>4</v>
      </c>
      <c r="AG6621" s="9"/>
      <c r="AH6621" s="9"/>
      <c r="AI6621" s="9"/>
    </row>
    <row r="6622" ht="15.0" customHeight="1">
      <c r="A6622" s="11">
        <v>6621.0</v>
      </c>
      <c r="B6622" s="12">
        <f t="shared" si="1061"/>
        <v>40968</v>
      </c>
      <c r="C6622" s="13">
        <v>2012.0</v>
      </c>
      <c r="D6622" s="11" t="s">
        <v>102</v>
      </c>
      <c r="E6622" s="11">
        <v>7.0</v>
      </c>
      <c r="F6622" s="21" t="s">
        <v>1038</v>
      </c>
      <c r="G6622" s="15">
        <v>0.08690169491525412</v>
      </c>
      <c r="H6622" s="11" t="s">
        <v>33</v>
      </c>
      <c r="I6622" s="16">
        <v>4.064</v>
      </c>
      <c r="J6622" s="11" t="s">
        <v>2405</v>
      </c>
      <c r="K6622" s="11" t="s">
        <v>61</v>
      </c>
      <c r="L6622" s="11" t="s">
        <v>27</v>
      </c>
      <c r="M6622" s="11" t="s">
        <v>28</v>
      </c>
      <c r="N6622" s="11" t="s">
        <v>56</v>
      </c>
      <c r="O6622" s="11" t="s">
        <v>1040</v>
      </c>
      <c r="P6622" s="11" t="s">
        <v>58</v>
      </c>
      <c r="Q6622" s="20">
        <v>40971.0</v>
      </c>
      <c r="R6622" s="17">
        <f t="shared" si="2"/>
        <v>23.40818815</v>
      </c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>
        <f t="shared" si="8"/>
        <v>1</v>
      </c>
      <c r="AF6622" s="19">
        <f t="shared" si="13"/>
        <v>4</v>
      </c>
      <c r="AG6622" s="9"/>
      <c r="AH6622" s="9"/>
      <c r="AI6622" s="9"/>
    </row>
    <row r="6623" ht="15.0" customHeight="1">
      <c r="A6623" s="11">
        <v>6622.0</v>
      </c>
      <c r="B6623" s="12">
        <f t="shared" si="1061"/>
        <v>40968</v>
      </c>
      <c r="C6623" s="13">
        <v>2012.0</v>
      </c>
      <c r="D6623" s="11" t="s">
        <v>102</v>
      </c>
      <c r="E6623" s="11">
        <v>25.0</v>
      </c>
      <c r="F6623" s="21" t="s">
        <v>336</v>
      </c>
      <c r="G6623" s="15">
        <v>0.04551724137931026</v>
      </c>
      <c r="H6623" s="11" t="s">
        <v>33</v>
      </c>
      <c r="I6623" s="16">
        <v>4.472</v>
      </c>
      <c r="J6623" s="11" t="s">
        <v>2405</v>
      </c>
      <c r="K6623" s="11" t="s">
        <v>61</v>
      </c>
      <c r="L6623" s="11" t="s">
        <v>27</v>
      </c>
      <c r="M6623" s="11" t="s">
        <v>28</v>
      </c>
      <c r="N6623" s="11" t="s">
        <v>42</v>
      </c>
      <c r="O6623" s="11" t="s">
        <v>2143</v>
      </c>
      <c r="P6623" s="11" t="s">
        <v>38</v>
      </c>
      <c r="Q6623" s="20">
        <v>40971.0</v>
      </c>
      <c r="R6623" s="17">
        <f t="shared" si="2"/>
        <v>6.803553103</v>
      </c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>
        <f t="shared" si="8"/>
        <v>1</v>
      </c>
      <c r="AF6623" s="19">
        <f t="shared" si="13"/>
        <v>4</v>
      </c>
      <c r="AG6623" s="9"/>
      <c r="AH6623" s="9"/>
      <c r="AI6623" s="9"/>
    </row>
    <row r="6624" ht="15.0" customHeight="1">
      <c r="A6624" s="11">
        <v>6623.0</v>
      </c>
      <c r="B6624" s="12">
        <f t="shared" ref="B6624:B6628" si="1062">DATE(2012,12,31)-305</f>
        <v>40969</v>
      </c>
      <c r="C6624" s="13">
        <v>2012.0</v>
      </c>
      <c r="D6624" s="11" t="s">
        <v>102</v>
      </c>
      <c r="E6624" s="11">
        <v>7.0</v>
      </c>
      <c r="F6624" s="21" t="s">
        <v>256</v>
      </c>
      <c r="G6624" s="15">
        <v>0.078125</v>
      </c>
      <c r="H6624" s="11" t="s">
        <v>33</v>
      </c>
      <c r="I6624" s="16">
        <v>5.4</v>
      </c>
      <c r="J6624" s="11" t="s">
        <v>998</v>
      </c>
      <c r="K6624" s="11" t="s">
        <v>35</v>
      </c>
      <c r="L6624" s="11" t="s">
        <v>48</v>
      </c>
      <c r="M6624" s="11" t="s">
        <v>28</v>
      </c>
      <c r="N6624" s="11" t="s">
        <v>197</v>
      </c>
      <c r="O6624" s="11" t="s">
        <v>257</v>
      </c>
      <c r="P6624" s="11" t="s">
        <v>75</v>
      </c>
      <c r="Q6624" s="20">
        <v>40971.0</v>
      </c>
      <c r="R6624" s="17">
        <f t="shared" si="2"/>
        <v>8.296875</v>
      </c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>
        <f t="shared" si="8"/>
        <v>4</v>
      </c>
      <c r="AF6624" s="19">
        <f t="shared" si="13"/>
        <v>2</v>
      </c>
      <c r="AG6624" s="9"/>
      <c r="AH6624" s="9"/>
      <c r="AI6624" s="9"/>
    </row>
    <row r="6625" ht="15.0" customHeight="1">
      <c r="A6625" s="11">
        <v>6624.0</v>
      </c>
      <c r="B6625" s="12">
        <f t="shared" si="1062"/>
        <v>40969</v>
      </c>
      <c r="C6625" s="13">
        <v>2012.0</v>
      </c>
      <c r="D6625" s="11" t="s">
        <v>32</v>
      </c>
      <c r="E6625" s="11">
        <v>46.0</v>
      </c>
      <c r="F6625" s="21" t="s">
        <v>264</v>
      </c>
      <c r="G6625" s="15">
        <v>0.05670451911935114</v>
      </c>
      <c r="H6625" s="11" t="s">
        <v>33</v>
      </c>
      <c r="I6625" s="16">
        <v>6.832</v>
      </c>
      <c r="J6625" s="11" t="s">
        <v>793</v>
      </c>
      <c r="K6625" s="11" t="s">
        <v>65</v>
      </c>
      <c r="L6625" s="11" t="s">
        <v>36</v>
      </c>
      <c r="M6625" s="11" t="s">
        <v>49</v>
      </c>
      <c r="N6625" s="11" t="s">
        <v>73</v>
      </c>
      <c r="O6625" s="11" t="s">
        <v>1838</v>
      </c>
      <c r="P6625" s="11" t="s">
        <v>99</v>
      </c>
      <c r="Q6625" s="20">
        <v>40971.0</v>
      </c>
      <c r="R6625" s="17">
        <f t="shared" si="2"/>
        <v>23.08055383</v>
      </c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>
        <f t="shared" si="8"/>
        <v>2</v>
      </c>
      <c r="AF6625" s="19">
        <f t="shared" si="13"/>
        <v>5</v>
      </c>
      <c r="AG6625" s="9"/>
      <c r="AH6625" s="9"/>
      <c r="AI6625" s="9"/>
    </row>
    <row r="6626" ht="15.0" customHeight="1">
      <c r="A6626" s="11">
        <v>6625.0</v>
      </c>
      <c r="B6626" s="12">
        <f t="shared" si="1062"/>
        <v>40969</v>
      </c>
      <c r="C6626" s="13">
        <v>2012.0</v>
      </c>
      <c r="D6626" s="11" t="s">
        <v>44</v>
      </c>
      <c r="E6626" s="11">
        <v>36.0</v>
      </c>
      <c r="F6626" s="21" t="s">
        <v>247</v>
      </c>
      <c r="G6626" s="15">
        <v>0.048817073991786045</v>
      </c>
      <c r="H6626" s="11" t="s">
        <v>33</v>
      </c>
      <c r="I6626" s="16">
        <v>1.592</v>
      </c>
      <c r="J6626" s="11" t="s">
        <v>815</v>
      </c>
      <c r="K6626" s="11" t="s">
        <v>61</v>
      </c>
      <c r="L6626" s="11" t="s">
        <v>36</v>
      </c>
      <c r="M6626" s="11" t="s">
        <v>66</v>
      </c>
      <c r="N6626" s="11" t="s">
        <v>67</v>
      </c>
      <c r="O6626" s="11" t="s">
        <v>249</v>
      </c>
      <c r="P6626" s="11" t="s">
        <v>99</v>
      </c>
      <c r="Q6626" s="20">
        <v>40971.0</v>
      </c>
      <c r="R6626" s="17">
        <f t="shared" si="2"/>
        <v>68.9683716</v>
      </c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>
        <f t="shared" si="8"/>
        <v>2</v>
      </c>
      <c r="AF6626" s="19">
        <f t="shared" si="13"/>
        <v>4</v>
      </c>
      <c r="AG6626" s="9"/>
      <c r="AH6626" s="9"/>
      <c r="AI6626" s="9"/>
    </row>
    <row r="6627" ht="15.0" customHeight="1">
      <c r="A6627" s="11">
        <v>6626.0</v>
      </c>
      <c r="B6627" s="12">
        <f t="shared" si="1062"/>
        <v>40969</v>
      </c>
      <c r="C6627" s="13">
        <v>2012.0</v>
      </c>
      <c r="D6627" s="11" t="s">
        <v>44</v>
      </c>
      <c r="E6627" s="11">
        <v>28.0</v>
      </c>
      <c r="F6627" s="21" t="s">
        <v>722</v>
      </c>
      <c r="G6627" s="15">
        <v>0.04941083432186627</v>
      </c>
      <c r="H6627" s="11" t="s">
        <v>33</v>
      </c>
      <c r="I6627" s="16">
        <v>4.016</v>
      </c>
      <c r="J6627" s="11" t="s">
        <v>815</v>
      </c>
      <c r="K6627" s="11" t="s">
        <v>61</v>
      </c>
      <c r="L6627" s="11" t="s">
        <v>36</v>
      </c>
      <c r="M6627" s="11" t="s">
        <v>49</v>
      </c>
      <c r="N6627" s="11" t="s">
        <v>73</v>
      </c>
      <c r="O6627" s="11" t="s">
        <v>723</v>
      </c>
      <c r="P6627" s="11" t="s">
        <v>38</v>
      </c>
      <c r="Q6627" s="20">
        <v>40971.0</v>
      </c>
      <c r="R6627" s="17">
        <f t="shared" si="2"/>
        <v>47.51424886</v>
      </c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>
        <f t="shared" si="8"/>
        <v>2</v>
      </c>
      <c r="AF6627" s="19">
        <f t="shared" si="13"/>
        <v>4</v>
      </c>
      <c r="AG6627" s="9"/>
      <c r="AH6627" s="9"/>
      <c r="AI6627" s="9"/>
    </row>
    <row r="6628" ht="15.0" customHeight="1">
      <c r="A6628" s="11">
        <v>6627.0</v>
      </c>
      <c r="B6628" s="12">
        <f t="shared" si="1062"/>
        <v>40969</v>
      </c>
      <c r="C6628" s="13">
        <v>2012.0</v>
      </c>
      <c r="D6628" s="11" t="s">
        <v>23</v>
      </c>
      <c r="E6628" s="11">
        <v>1.0</v>
      </c>
      <c r="F6628" s="21" t="s">
        <v>336</v>
      </c>
      <c r="G6628" s="15">
        <v>0.10035087719298247</v>
      </c>
      <c r="H6628" s="11" t="s">
        <v>33</v>
      </c>
      <c r="I6628" s="16">
        <v>4.456</v>
      </c>
      <c r="J6628" s="11" t="s">
        <v>2505</v>
      </c>
      <c r="K6628" s="11" t="s">
        <v>47</v>
      </c>
      <c r="L6628" s="11" t="s">
        <v>41</v>
      </c>
      <c r="M6628" s="11" t="s">
        <v>49</v>
      </c>
      <c r="N6628" s="11" t="s">
        <v>73</v>
      </c>
      <c r="O6628" s="11" t="s">
        <v>2479</v>
      </c>
      <c r="P6628" s="11" t="s">
        <v>38</v>
      </c>
      <c r="Q6628" s="20">
        <v>40971.0</v>
      </c>
      <c r="R6628" s="17">
        <f t="shared" si="2"/>
        <v>1.029198596</v>
      </c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>
        <f t="shared" si="8"/>
        <v>3</v>
      </c>
      <c r="AF6628" s="19">
        <f t="shared" si="13"/>
        <v>3</v>
      </c>
      <c r="AG6628" s="9"/>
      <c r="AH6628" s="9"/>
      <c r="AI6628" s="9"/>
    </row>
    <row r="6629" ht="15.0" customHeight="1">
      <c r="A6629" s="11">
        <v>6628.0</v>
      </c>
      <c r="B6629" s="12">
        <f t="shared" ref="B6629:B6637" si="1063">DATE(2012,12,31)-304</f>
        <v>40970</v>
      </c>
      <c r="C6629" s="13">
        <v>2012.0</v>
      </c>
      <c r="D6629" s="11" t="s">
        <v>44</v>
      </c>
      <c r="E6629" s="11">
        <v>50.0</v>
      </c>
      <c r="F6629" s="21" t="s">
        <v>544</v>
      </c>
      <c r="G6629" s="15">
        <v>0.022062866021274097</v>
      </c>
      <c r="H6629" s="11" t="s">
        <v>45</v>
      </c>
      <c r="I6629" s="16">
        <v>64.16000000000001</v>
      </c>
      <c r="J6629" s="11" t="s">
        <v>2374</v>
      </c>
      <c r="K6629" s="11" t="s">
        <v>61</v>
      </c>
      <c r="L6629" s="11" t="s">
        <v>48</v>
      </c>
      <c r="M6629" s="11" t="s">
        <v>49</v>
      </c>
      <c r="N6629" s="11" t="s">
        <v>85</v>
      </c>
      <c r="O6629" s="11" t="s">
        <v>545</v>
      </c>
      <c r="P6629" s="11" t="s">
        <v>87</v>
      </c>
      <c r="Q6629" s="20">
        <v>40971.0</v>
      </c>
      <c r="R6629" s="17">
        <f t="shared" si="2"/>
        <v>162.4744754</v>
      </c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>
        <f t="shared" si="8"/>
        <v>4</v>
      </c>
      <c r="AF6629" s="19">
        <f t="shared" si="13"/>
        <v>4</v>
      </c>
      <c r="AG6629" s="9"/>
      <c r="AH6629" s="9"/>
      <c r="AI6629" s="9"/>
    </row>
    <row r="6630" ht="15.0" customHeight="1">
      <c r="A6630" s="11">
        <v>6629.0</v>
      </c>
      <c r="B6630" s="12">
        <f t="shared" si="1063"/>
        <v>40970</v>
      </c>
      <c r="C6630" s="13">
        <v>2012.0</v>
      </c>
      <c r="D6630" s="11" t="s">
        <v>44</v>
      </c>
      <c r="E6630" s="11">
        <v>16.0</v>
      </c>
      <c r="F6630" s="21" t="s">
        <v>1498</v>
      </c>
      <c r="G6630" s="15">
        <v>0.017194656488549547</v>
      </c>
      <c r="H6630" s="11" t="s">
        <v>33</v>
      </c>
      <c r="I6630" s="16">
        <v>7.192</v>
      </c>
      <c r="J6630" s="11" t="s">
        <v>763</v>
      </c>
      <c r="K6630" s="11" t="s">
        <v>65</v>
      </c>
      <c r="L6630" s="11" t="s">
        <v>27</v>
      </c>
      <c r="M6630" s="11" t="s">
        <v>49</v>
      </c>
      <c r="N6630" s="11" t="s">
        <v>73</v>
      </c>
      <c r="O6630" s="11" t="s">
        <v>1500</v>
      </c>
      <c r="P6630" s="11" t="s">
        <v>99</v>
      </c>
      <c r="Q6630" s="20">
        <v>40972.0</v>
      </c>
      <c r="R6630" s="17">
        <f t="shared" si="2"/>
        <v>7.084060916</v>
      </c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>
        <f t="shared" si="8"/>
        <v>1</v>
      </c>
      <c r="AF6630" s="19">
        <f t="shared" si="13"/>
        <v>5</v>
      </c>
      <c r="AG6630" s="9"/>
      <c r="AH6630" s="9"/>
      <c r="AI6630" s="9"/>
    </row>
    <row r="6631" ht="15.0" customHeight="1">
      <c r="A6631" s="11">
        <v>6630.0</v>
      </c>
      <c r="B6631" s="12">
        <f t="shared" si="1063"/>
        <v>40970</v>
      </c>
      <c r="C6631" s="13">
        <v>2012.0</v>
      </c>
      <c r="D6631" s="11" t="s">
        <v>44</v>
      </c>
      <c r="E6631" s="11">
        <v>33.0</v>
      </c>
      <c r="F6631" s="21" t="s">
        <v>280</v>
      </c>
      <c r="G6631" s="15">
        <v>0.049065006584460585</v>
      </c>
      <c r="H6631" s="11" t="s">
        <v>33</v>
      </c>
      <c r="I6631" s="16">
        <v>4.632000000000001</v>
      </c>
      <c r="J6631" s="11" t="s">
        <v>763</v>
      </c>
      <c r="K6631" s="11" t="s">
        <v>65</v>
      </c>
      <c r="L6631" s="11" t="s">
        <v>27</v>
      </c>
      <c r="M6631" s="11" t="s">
        <v>28</v>
      </c>
      <c r="N6631" s="11" t="s">
        <v>56</v>
      </c>
      <c r="O6631" s="11" t="s">
        <v>1430</v>
      </c>
      <c r="P6631" s="11" t="s">
        <v>38</v>
      </c>
      <c r="Q6631" s="20">
        <v>40972.0</v>
      </c>
      <c r="R6631" s="17">
        <f t="shared" si="2"/>
        <v>77.94623954</v>
      </c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>
        <f t="shared" si="8"/>
        <v>1</v>
      </c>
      <c r="AF6631" s="19">
        <f t="shared" si="13"/>
        <v>5</v>
      </c>
      <c r="AG6631" s="9"/>
      <c r="AH6631" s="9"/>
      <c r="AI6631" s="9"/>
    </row>
    <row r="6632" ht="15.0" customHeight="1">
      <c r="A6632" s="11">
        <v>6631.0</v>
      </c>
      <c r="B6632" s="12">
        <f t="shared" si="1063"/>
        <v>40970</v>
      </c>
      <c r="C6632" s="13">
        <v>2012.0</v>
      </c>
      <c r="D6632" s="11" t="s">
        <v>44</v>
      </c>
      <c r="E6632" s="11">
        <v>37.0</v>
      </c>
      <c r="F6632" s="21" t="s">
        <v>137</v>
      </c>
      <c r="G6632" s="15">
        <v>0.04858976125002336</v>
      </c>
      <c r="H6632" s="11" t="s">
        <v>33</v>
      </c>
      <c r="I6632" s="16">
        <v>11.192</v>
      </c>
      <c r="J6632" s="11" t="s">
        <v>2298</v>
      </c>
      <c r="K6632" s="11" t="s">
        <v>117</v>
      </c>
      <c r="L6632" s="11" t="s">
        <v>48</v>
      </c>
      <c r="M6632" s="11" t="s">
        <v>66</v>
      </c>
      <c r="N6632" s="11" t="s">
        <v>69</v>
      </c>
      <c r="O6632" s="11" t="s">
        <v>468</v>
      </c>
      <c r="P6632" s="11" t="s">
        <v>75</v>
      </c>
      <c r="Q6632" s="20">
        <v>40972.0</v>
      </c>
      <c r="R6632" s="17">
        <f t="shared" si="2"/>
        <v>271.8350306</v>
      </c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>
        <f t="shared" si="8"/>
        <v>4</v>
      </c>
      <c r="AF6632" s="19" t="b">
        <f t="shared" si="13"/>
        <v>0</v>
      </c>
      <c r="AG6632" s="9"/>
      <c r="AH6632" s="9"/>
      <c r="AI6632" s="9"/>
    </row>
    <row r="6633" ht="15.0" customHeight="1">
      <c r="A6633" s="11">
        <v>6632.0</v>
      </c>
      <c r="B6633" s="12">
        <f t="shared" si="1063"/>
        <v>40970</v>
      </c>
      <c r="C6633" s="13">
        <v>2012.0</v>
      </c>
      <c r="D6633" s="11" t="s">
        <v>39</v>
      </c>
      <c r="E6633" s="11">
        <v>45.0</v>
      </c>
      <c r="F6633" s="21" t="s">
        <v>142</v>
      </c>
      <c r="G6633" s="15">
        <v>0.0319234220759796</v>
      </c>
      <c r="H6633" s="11" t="s">
        <v>33</v>
      </c>
      <c r="I6633" s="16">
        <v>2.64</v>
      </c>
      <c r="J6633" s="11" t="s">
        <v>227</v>
      </c>
      <c r="K6633" s="11" t="s">
        <v>35</v>
      </c>
      <c r="L6633" s="11" t="s">
        <v>27</v>
      </c>
      <c r="M6633" s="11" t="s">
        <v>66</v>
      </c>
      <c r="N6633" s="11" t="s">
        <v>80</v>
      </c>
      <c r="O6633" s="11" t="s">
        <v>837</v>
      </c>
      <c r="P6633" s="11" t="s">
        <v>99</v>
      </c>
      <c r="Q6633" s="20">
        <v>40972.0</v>
      </c>
      <c r="R6633" s="17">
        <f t="shared" si="2"/>
        <v>51.6565662</v>
      </c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>
        <f t="shared" si="8"/>
        <v>1</v>
      </c>
      <c r="AF6633" s="19">
        <f t="shared" si="13"/>
        <v>2</v>
      </c>
      <c r="AG6633" s="9"/>
      <c r="AH6633" s="9"/>
      <c r="AI6633" s="9"/>
    </row>
    <row r="6634" ht="15.0" customHeight="1">
      <c r="A6634" s="11">
        <v>6633.0</v>
      </c>
      <c r="B6634" s="12">
        <f t="shared" si="1063"/>
        <v>40970</v>
      </c>
      <c r="C6634" s="13">
        <v>2012.0</v>
      </c>
      <c r="D6634" s="11" t="s">
        <v>32</v>
      </c>
      <c r="E6634" s="11">
        <v>30.0</v>
      </c>
      <c r="F6634" s="21" t="s">
        <v>1828</v>
      </c>
      <c r="G6634" s="15">
        <v>0.06595232369868058</v>
      </c>
      <c r="H6634" s="11" t="s">
        <v>33</v>
      </c>
      <c r="I6634" s="16">
        <v>15.991999999999999</v>
      </c>
      <c r="J6634" s="11" t="s">
        <v>892</v>
      </c>
      <c r="K6634" s="11" t="s">
        <v>35</v>
      </c>
      <c r="L6634" s="11" t="s">
        <v>27</v>
      </c>
      <c r="M6634" s="11" t="s">
        <v>28</v>
      </c>
      <c r="N6634" s="11" t="s">
        <v>42</v>
      </c>
      <c r="O6634" s="11" t="s">
        <v>1830</v>
      </c>
      <c r="P6634" s="11" t="s">
        <v>38</v>
      </c>
      <c r="Q6634" s="20">
        <v>40972.0</v>
      </c>
      <c r="R6634" s="17">
        <f t="shared" si="2"/>
        <v>768.5419004</v>
      </c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>
        <f t="shared" si="8"/>
        <v>1</v>
      </c>
      <c r="AF6634" s="19">
        <f t="shared" si="13"/>
        <v>2</v>
      </c>
      <c r="AG6634" s="9"/>
      <c r="AH6634" s="9"/>
      <c r="AI6634" s="9"/>
    </row>
    <row r="6635" ht="15.0" customHeight="1">
      <c r="A6635" s="11">
        <v>6634.0</v>
      </c>
      <c r="B6635" s="12">
        <f t="shared" si="1063"/>
        <v>40970</v>
      </c>
      <c r="C6635" s="13">
        <v>2012.0</v>
      </c>
      <c r="D6635" s="11" t="s">
        <v>44</v>
      </c>
      <c r="E6635" s="11">
        <v>17.0</v>
      </c>
      <c r="F6635" s="21" t="s">
        <v>530</v>
      </c>
      <c r="G6635" s="15">
        <v>0.048396321406994854</v>
      </c>
      <c r="H6635" s="11" t="s">
        <v>24</v>
      </c>
      <c r="I6635" s="16">
        <v>4.904</v>
      </c>
      <c r="J6635" s="11" t="s">
        <v>462</v>
      </c>
      <c r="K6635" s="11" t="s">
        <v>35</v>
      </c>
      <c r="L6635" s="11" t="s">
        <v>27</v>
      </c>
      <c r="M6635" s="11" t="s">
        <v>66</v>
      </c>
      <c r="N6635" s="11" t="s">
        <v>67</v>
      </c>
      <c r="O6635" s="11" t="s">
        <v>531</v>
      </c>
      <c r="P6635" s="11" t="s">
        <v>38</v>
      </c>
      <c r="Q6635" s="20">
        <v>40972.0</v>
      </c>
      <c r="R6635" s="17">
        <f t="shared" si="2"/>
        <v>68.60681881</v>
      </c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>
        <f t="shared" si="8"/>
        <v>1</v>
      </c>
      <c r="AF6635" s="19">
        <f t="shared" si="13"/>
        <v>2</v>
      </c>
      <c r="AG6635" s="9"/>
      <c r="AH6635" s="9"/>
      <c r="AI6635" s="9"/>
    </row>
    <row r="6636" ht="15.0" customHeight="1">
      <c r="A6636" s="11">
        <v>6635.0</v>
      </c>
      <c r="B6636" s="12">
        <f t="shared" si="1063"/>
        <v>40970</v>
      </c>
      <c r="C6636" s="13">
        <v>2012.0</v>
      </c>
      <c r="D6636" s="11" t="s">
        <v>32</v>
      </c>
      <c r="E6636" s="11">
        <v>27.0</v>
      </c>
      <c r="F6636" s="21" t="s">
        <v>752</v>
      </c>
      <c r="G6636" s="15">
        <v>0.010432961916335989</v>
      </c>
      <c r="H6636" s="11" t="s">
        <v>33</v>
      </c>
      <c r="I6636" s="16">
        <v>19.592</v>
      </c>
      <c r="J6636" s="11" t="s">
        <v>1888</v>
      </c>
      <c r="K6636" s="11" t="s">
        <v>26</v>
      </c>
      <c r="L6636" s="11" t="s">
        <v>36</v>
      </c>
      <c r="M6636" s="11" t="s">
        <v>66</v>
      </c>
      <c r="N6636" s="11" t="s">
        <v>170</v>
      </c>
      <c r="O6636" s="11" t="s">
        <v>753</v>
      </c>
      <c r="P6636" s="11" t="s">
        <v>31</v>
      </c>
      <c r="Q6636" s="20">
        <v>40972.0</v>
      </c>
      <c r="R6636" s="17">
        <f t="shared" si="2"/>
        <v>141.0212195</v>
      </c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>
        <f t="shared" si="8"/>
        <v>2</v>
      </c>
      <c r="AF6636" s="19">
        <f t="shared" si="13"/>
        <v>1</v>
      </c>
      <c r="AG6636" s="9"/>
      <c r="AH6636" s="9"/>
      <c r="AI6636" s="9"/>
    </row>
    <row r="6637" ht="15.0" customHeight="1">
      <c r="A6637" s="11">
        <v>6636.0</v>
      </c>
      <c r="B6637" s="12">
        <f t="shared" si="1063"/>
        <v>40970</v>
      </c>
      <c r="C6637" s="13">
        <v>2012.0</v>
      </c>
      <c r="D6637" s="11" t="s">
        <v>32</v>
      </c>
      <c r="E6637" s="11">
        <v>3.0</v>
      </c>
      <c r="F6637" s="21" t="s">
        <v>1223</v>
      </c>
      <c r="G6637" s="15">
        <v>0.09338666666666673</v>
      </c>
      <c r="H6637" s="11" t="s">
        <v>33</v>
      </c>
      <c r="I6637" s="16">
        <v>2.2960000000000003</v>
      </c>
      <c r="J6637" s="11" t="s">
        <v>1888</v>
      </c>
      <c r="K6637" s="11" t="s">
        <v>26</v>
      </c>
      <c r="L6637" s="11" t="s">
        <v>36</v>
      </c>
      <c r="M6637" s="11" t="s">
        <v>28</v>
      </c>
      <c r="N6637" s="11" t="s">
        <v>62</v>
      </c>
      <c r="O6637" s="11" t="s">
        <v>1225</v>
      </c>
      <c r="P6637" s="11" t="s">
        <v>99</v>
      </c>
      <c r="Q6637" s="20">
        <v>40972.0</v>
      </c>
      <c r="R6637" s="17">
        <f t="shared" si="2"/>
        <v>6.349919787</v>
      </c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>
        <f t="shared" si="8"/>
        <v>2</v>
      </c>
      <c r="AF6637" s="19">
        <f t="shared" si="13"/>
        <v>1</v>
      </c>
      <c r="AG6637" s="9"/>
      <c r="AH6637" s="9"/>
      <c r="AI6637" s="9"/>
    </row>
    <row r="6638" ht="15.0" customHeight="1">
      <c r="A6638" s="11">
        <v>6637.0</v>
      </c>
      <c r="B6638" s="12">
        <f t="shared" ref="B6638:B6650" si="1064">DATE(2012,12,31)-303</f>
        <v>40971</v>
      </c>
      <c r="C6638" s="13">
        <v>2012.0</v>
      </c>
      <c r="D6638" s="11" t="s">
        <v>39</v>
      </c>
      <c r="E6638" s="11">
        <v>18.0</v>
      </c>
      <c r="F6638" s="21" t="s">
        <v>190</v>
      </c>
      <c r="G6638" s="15">
        <v>0.05243391066545132</v>
      </c>
      <c r="H6638" s="11" t="s">
        <v>33</v>
      </c>
      <c r="I6638" s="16">
        <v>7.192</v>
      </c>
      <c r="J6638" s="11" t="s">
        <v>1417</v>
      </c>
      <c r="K6638" s="11" t="s">
        <v>47</v>
      </c>
      <c r="L6638" s="11" t="s">
        <v>48</v>
      </c>
      <c r="M6638" s="11" t="s">
        <v>49</v>
      </c>
      <c r="N6638" s="11" t="s">
        <v>73</v>
      </c>
      <c r="O6638" s="11" t="s">
        <v>191</v>
      </c>
      <c r="P6638" s="11" t="s">
        <v>99</v>
      </c>
      <c r="Q6638" s="20">
        <v>40973.0</v>
      </c>
      <c r="R6638" s="17">
        <f t="shared" si="2"/>
        <v>21.80160058</v>
      </c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>
        <f t="shared" si="8"/>
        <v>4</v>
      </c>
      <c r="AF6638" s="19">
        <f t="shared" si="13"/>
        <v>3</v>
      </c>
      <c r="AG6638" s="9"/>
      <c r="AH6638" s="9"/>
      <c r="AI6638" s="9"/>
    </row>
    <row r="6639" ht="15.0" customHeight="1">
      <c r="A6639" s="11">
        <v>6638.0</v>
      </c>
      <c r="B6639" s="12">
        <f t="shared" si="1064"/>
        <v>40971</v>
      </c>
      <c r="C6639" s="13">
        <v>2012.0</v>
      </c>
      <c r="D6639" s="11" t="s">
        <v>39</v>
      </c>
      <c r="E6639" s="11">
        <v>46.0</v>
      </c>
      <c r="F6639" s="21" t="s">
        <v>178</v>
      </c>
      <c r="G6639" s="15">
        <v>0.06722986247544199</v>
      </c>
      <c r="H6639" s="11" t="s">
        <v>24</v>
      </c>
      <c r="I6639" s="16">
        <v>7.192</v>
      </c>
      <c r="J6639" s="11" t="s">
        <v>1417</v>
      </c>
      <c r="K6639" s="11" t="s">
        <v>47</v>
      </c>
      <c r="L6639" s="11" t="s">
        <v>48</v>
      </c>
      <c r="M6639" s="11" t="s">
        <v>66</v>
      </c>
      <c r="N6639" s="11" t="s">
        <v>80</v>
      </c>
      <c r="O6639" s="11" t="s">
        <v>1329</v>
      </c>
      <c r="P6639" s="11" t="s">
        <v>38</v>
      </c>
      <c r="Q6639" s="20">
        <v>40973.0</v>
      </c>
      <c r="R6639" s="17">
        <f t="shared" si="2"/>
        <v>204.2841223</v>
      </c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>
        <f t="shared" si="8"/>
        <v>4</v>
      </c>
      <c r="AF6639" s="19">
        <f t="shared" si="13"/>
        <v>3</v>
      </c>
      <c r="AG6639" s="9"/>
      <c r="AH6639" s="9"/>
      <c r="AI6639" s="9"/>
    </row>
    <row r="6640" ht="15.0" customHeight="1">
      <c r="A6640" s="11">
        <v>6639.0</v>
      </c>
      <c r="B6640" s="12">
        <f t="shared" si="1064"/>
        <v>40971</v>
      </c>
      <c r="C6640" s="13">
        <v>2012.0</v>
      </c>
      <c r="D6640" s="11" t="s">
        <v>32</v>
      </c>
      <c r="E6640" s="11">
        <v>7.0</v>
      </c>
      <c r="F6640" s="21" t="s">
        <v>694</v>
      </c>
      <c r="G6640" s="15">
        <v>0.07720558882235537</v>
      </c>
      <c r="H6640" s="11" t="s">
        <v>33</v>
      </c>
      <c r="I6640" s="16">
        <v>1.592</v>
      </c>
      <c r="J6640" s="11" t="s">
        <v>1704</v>
      </c>
      <c r="K6640" s="11" t="s">
        <v>117</v>
      </c>
      <c r="L6640" s="11" t="s">
        <v>48</v>
      </c>
      <c r="M6640" s="11" t="s">
        <v>66</v>
      </c>
      <c r="N6640" s="11" t="s">
        <v>67</v>
      </c>
      <c r="O6640" s="11" t="s">
        <v>695</v>
      </c>
      <c r="P6640" s="11" t="s">
        <v>99</v>
      </c>
      <c r="Q6640" s="20">
        <v>40973.0</v>
      </c>
      <c r="R6640" s="17">
        <f t="shared" si="2"/>
        <v>21.41621269</v>
      </c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>
        <f t="shared" si="8"/>
        <v>4</v>
      </c>
      <c r="AF6640" s="19" t="b">
        <f t="shared" si="13"/>
        <v>0</v>
      </c>
      <c r="AG6640" s="9"/>
      <c r="AH6640" s="9"/>
      <c r="AI6640" s="9"/>
    </row>
    <row r="6641" ht="15.0" customHeight="1">
      <c r="A6641" s="11">
        <v>6640.0</v>
      </c>
      <c r="B6641" s="12">
        <f t="shared" si="1064"/>
        <v>40971</v>
      </c>
      <c r="C6641" s="13">
        <v>2012.0</v>
      </c>
      <c r="D6641" s="11" t="s">
        <v>32</v>
      </c>
      <c r="E6641" s="11">
        <v>15.0</v>
      </c>
      <c r="F6641" s="21" t="s">
        <v>2065</v>
      </c>
      <c r="G6641" s="15">
        <v>0.04413324708926266</v>
      </c>
      <c r="H6641" s="11" t="s">
        <v>33</v>
      </c>
      <c r="I6641" s="16">
        <v>10.608</v>
      </c>
      <c r="J6641" s="11" t="s">
        <v>1704</v>
      </c>
      <c r="K6641" s="11" t="s">
        <v>117</v>
      </c>
      <c r="L6641" s="11" t="s">
        <v>48</v>
      </c>
      <c r="M6641" s="11" t="s">
        <v>28</v>
      </c>
      <c r="N6641" s="11" t="s">
        <v>56</v>
      </c>
      <c r="O6641" s="11" t="s">
        <v>2066</v>
      </c>
      <c r="P6641" s="11" t="s">
        <v>38</v>
      </c>
      <c r="Q6641" s="20">
        <v>40973.0</v>
      </c>
      <c r="R6641" s="17">
        <f t="shared" si="2"/>
        <v>26.08751542</v>
      </c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>
        <f t="shared" si="8"/>
        <v>4</v>
      </c>
      <c r="AF6641" s="19" t="b">
        <f t="shared" si="13"/>
        <v>0</v>
      </c>
      <c r="AG6641" s="9"/>
      <c r="AH6641" s="9"/>
      <c r="AI6641" s="9"/>
    </row>
    <row r="6642" ht="15.0" customHeight="1">
      <c r="A6642" s="11">
        <v>6641.0</v>
      </c>
      <c r="B6642" s="12">
        <f t="shared" si="1064"/>
        <v>40971</v>
      </c>
      <c r="C6642" s="13">
        <v>2012.0</v>
      </c>
      <c r="D6642" s="11" t="s">
        <v>32</v>
      </c>
      <c r="E6642" s="11">
        <v>34.0</v>
      </c>
      <c r="F6642" s="21" t="s">
        <v>290</v>
      </c>
      <c r="G6642" s="15">
        <v>0.04414893617021268</v>
      </c>
      <c r="H6642" s="11" t="s">
        <v>24</v>
      </c>
      <c r="I6642" s="16">
        <v>0.96</v>
      </c>
      <c r="J6642" s="11" t="s">
        <v>1067</v>
      </c>
      <c r="K6642" s="11" t="s">
        <v>61</v>
      </c>
      <c r="L6642" s="11" t="s">
        <v>27</v>
      </c>
      <c r="M6642" s="11" t="s">
        <v>28</v>
      </c>
      <c r="N6642" s="11" t="s">
        <v>62</v>
      </c>
      <c r="O6642" s="11" t="s">
        <v>63</v>
      </c>
      <c r="P6642" s="11" t="s">
        <v>58</v>
      </c>
      <c r="Q6642" s="20">
        <v>40973.0</v>
      </c>
      <c r="R6642" s="17">
        <f t="shared" si="2"/>
        <v>6.346851064</v>
      </c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>
        <f t="shared" si="8"/>
        <v>1</v>
      </c>
      <c r="AF6642" s="19">
        <f t="shared" si="13"/>
        <v>4</v>
      </c>
      <c r="AG6642" s="9"/>
      <c r="AH6642" s="9"/>
      <c r="AI6642" s="9"/>
    </row>
    <row r="6643" ht="15.0" customHeight="1">
      <c r="A6643" s="11">
        <v>6642.0</v>
      </c>
      <c r="B6643" s="12">
        <f t="shared" si="1064"/>
        <v>40971</v>
      </c>
      <c r="C6643" s="13">
        <v>2012.0</v>
      </c>
      <c r="D6643" s="11" t="s">
        <v>32</v>
      </c>
      <c r="E6643" s="11">
        <v>23.0</v>
      </c>
      <c r="F6643" s="21" t="s">
        <v>886</v>
      </c>
      <c r="G6643" s="15">
        <v>0.054676175566765337</v>
      </c>
      <c r="H6643" s="11" t="s">
        <v>45</v>
      </c>
      <c r="I6643" s="16">
        <v>48.0</v>
      </c>
      <c r="J6643" s="11" t="s">
        <v>1067</v>
      </c>
      <c r="K6643" s="11" t="s">
        <v>61</v>
      </c>
      <c r="L6643" s="11" t="s">
        <v>27</v>
      </c>
      <c r="M6643" s="11" t="s">
        <v>28</v>
      </c>
      <c r="N6643" s="11" t="s">
        <v>197</v>
      </c>
      <c r="O6643" s="11" t="s">
        <v>888</v>
      </c>
      <c r="P6643" s="11" t="s">
        <v>52</v>
      </c>
      <c r="Q6643" s="20">
        <v>40973.0</v>
      </c>
      <c r="R6643" s="17">
        <f t="shared" si="2"/>
        <v>89.14403664</v>
      </c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>
        <f t="shared" si="8"/>
        <v>1</v>
      </c>
      <c r="AF6643" s="19">
        <f t="shared" si="13"/>
        <v>4</v>
      </c>
      <c r="AG6643" s="9"/>
      <c r="AH6643" s="9"/>
      <c r="AI6643" s="9"/>
    </row>
    <row r="6644" ht="15.0" customHeight="1">
      <c r="A6644" s="11">
        <v>6643.0</v>
      </c>
      <c r="B6644" s="12">
        <f t="shared" si="1064"/>
        <v>40971</v>
      </c>
      <c r="C6644" s="13">
        <v>2012.0</v>
      </c>
      <c r="D6644" s="11" t="s">
        <v>32</v>
      </c>
      <c r="E6644" s="11">
        <v>8.0</v>
      </c>
      <c r="F6644" s="21" t="s">
        <v>440</v>
      </c>
      <c r="G6644" s="15">
        <v>0.05861325115562417</v>
      </c>
      <c r="H6644" s="11" t="s">
        <v>33</v>
      </c>
      <c r="I6644" s="16">
        <v>6.696</v>
      </c>
      <c r="J6644" s="11" t="s">
        <v>1067</v>
      </c>
      <c r="K6644" s="11" t="s">
        <v>61</v>
      </c>
      <c r="L6644" s="11" t="s">
        <v>27</v>
      </c>
      <c r="M6644" s="11" t="s">
        <v>28</v>
      </c>
      <c r="N6644" s="11" t="s">
        <v>442</v>
      </c>
      <c r="O6644" s="11" t="s">
        <v>443</v>
      </c>
      <c r="P6644" s="11" t="s">
        <v>99</v>
      </c>
      <c r="Q6644" s="20">
        <v>40973.0</v>
      </c>
      <c r="R6644" s="17">
        <f t="shared" si="2"/>
        <v>3.581035193</v>
      </c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>
        <f t="shared" si="8"/>
        <v>1</v>
      </c>
      <c r="AF6644" s="19">
        <f t="shared" si="13"/>
        <v>4</v>
      </c>
      <c r="AG6644" s="9"/>
      <c r="AH6644" s="9"/>
      <c r="AI6644" s="9"/>
    </row>
    <row r="6645" ht="15.0" customHeight="1">
      <c r="A6645" s="11">
        <v>6644.0</v>
      </c>
      <c r="B6645" s="12">
        <f t="shared" si="1064"/>
        <v>40971</v>
      </c>
      <c r="C6645" s="13">
        <v>2012.0</v>
      </c>
      <c r="D6645" s="11" t="s">
        <v>23</v>
      </c>
      <c r="E6645" s="11">
        <v>21.0</v>
      </c>
      <c r="F6645" s="21" t="s">
        <v>1247</v>
      </c>
      <c r="G6645" s="15">
        <v>0.061023513139695604</v>
      </c>
      <c r="H6645" s="11" t="s">
        <v>33</v>
      </c>
      <c r="I6645" s="16">
        <v>5.5760000000000005</v>
      </c>
      <c r="J6645" s="11" t="s">
        <v>919</v>
      </c>
      <c r="K6645" s="11" t="s">
        <v>61</v>
      </c>
      <c r="L6645" s="11" t="s">
        <v>48</v>
      </c>
      <c r="M6645" s="11" t="s">
        <v>28</v>
      </c>
      <c r="N6645" s="11" t="s">
        <v>42</v>
      </c>
      <c r="O6645" s="11" t="s">
        <v>2506</v>
      </c>
      <c r="P6645" s="11" t="s">
        <v>38</v>
      </c>
      <c r="Q6645" s="20">
        <v>40973.0</v>
      </c>
      <c r="R6645" s="17">
        <f t="shared" si="2"/>
        <v>8.28552852</v>
      </c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>
        <f t="shared" si="8"/>
        <v>4</v>
      </c>
      <c r="AF6645" s="19">
        <f t="shared" si="13"/>
        <v>4</v>
      </c>
      <c r="AG6645" s="9"/>
      <c r="AH6645" s="9"/>
      <c r="AI6645" s="9"/>
    </row>
    <row r="6646" ht="15.0" customHeight="1">
      <c r="A6646" s="11">
        <v>6645.0</v>
      </c>
      <c r="B6646" s="12">
        <f t="shared" si="1064"/>
        <v>40971</v>
      </c>
      <c r="C6646" s="13">
        <v>2012.0</v>
      </c>
      <c r="D6646" s="11" t="s">
        <v>102</v>
      </c>
      <c r="E6646" s="11">
        <v>26.0</v>
      </c>
      <c r="F6646" s="21" t="s">
        <v>908</v>
      </c>
      <c r="G6646" s="15">
        <v>0.09568038163387009</v>
      </c>
      <c r="H6646" s="11" t="s">
        <v>24</v>
      </c>
      <c r="I6646" s="16">
        <v>6.872</v>
      </c>
      <c r="J6646" s="11" t="s">
        <v>164</v>
      </c>
      <c r="K6646" s="11" t="s">
        <v>83</v>
      </c>
      <c r="L6646" s="11" t="s">
        <v>36</v>
      </c>
      <c r="M6646" s="11" t="s">
        <v>66</v>
      </c>
      <c r="N6646" s="11" t="s">
        <v>80</v>
      </c>
      <c r="O6646" s="11" t="s">
        <v>909</v>
      </c>
      <c r="P6646" s="11" t="s">
        <v>75</v>
      </c>
      <c r="Q6646" s="20">
        <v>40973.0</v>
      </c>
      <c r="R6646" s="17">
        <f t="shared" si="2"/>
        <v>72.55175434</v>
      </c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>
        <f t="shared" si="8"/>
        <v>2</v>
      </c>
      <c r="AF6646" s="19" t="b">
        <f t="shared" si="13"/>
        <v>0</v>
      </c>
      <c r="AG6646" s="9"/>
      <c r="AH6646" s="9"/>
      <c r="AI6646" s="9"/>
    </row>
    <row r="6647" ht="15.0" customHeight="1">
      <c r="A6647" s="11">
        <v>6646.0</v>
      </c>
      <c r="B6647" s="12">
        <f t="shared" si="1064"/>
        <v>40971</v>
      </c>
      <c r="C6647" s="13">
        <v>2012.0</v>
      </c>
      <c r="D6647" s="11" t="s">
        <v>102</v>
      </c>
      <c r="E6647" s="11">
        <v>41.0</v>
      </c>
      <c r="F6647" s="21" t="s">
        <v>270</v>
      </c>
      <c r="G6647" s="15">
        <v>0.059267706411761475</v>
      </c>
      <c r="H6647" s="11" t="s">
        <v>33</v>
      </c>
      <c r="I6647" s="16">
        <v>5.976</v>
      </c>
      <c r="J6647" s="11" t="s">
        <v>72</v>
      </c>
      <c r="K6647" s="11" t="s">
        <v>61</v>
      </c>
      <c r="L6647" s="11" t="s">
        <v>48</v>
      </c>
      <c r="M6647" s="11" t="s">
        <v>28</v>
      </c>
      <c r="N6647" s="11" t="s">
        <v>42</v>
      </c>
      <c r="O6647" s="11" t="s">
        <v>750</v>
      </c>
      <c r="P6647" s="11" t="s">
        <v>38</v>
      </c>
      <c r="Q6647" s="20">
        <v>40973.0</v>
      </c>
      <c r="R6647" s="17">
        <f t="shared" si="2"/>
        <v>99.7402007</v>
      </c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>
        <f t="shared" si="8"/>
        <v>4</v>
      </c>
      <c r="AF6647" s="19">
        <f t="shared" si="13"/>
        <v>4</v>
      </c>
      <c r="AG6647" s="9"/>
      <c r="AH6647" s="9"/>
      <c r="AI6647" s="9"/>
    </row>
    <row r="6648" ht="15.0" customHeight="1">
      <c r="A6648" s="11">
        <v>6647.0</v>
      </c>
      <c r="B6648" s="12">
        <f t="shared" si="1064"/>
        <v>40971</v>
      </c>
      <c r="C6648" s="13">
        <v>2012.0</v>
      </c>
      <c r="D6648" s="11" t="s">
        <v>39</v>
      </c>
      <c r="E6648" s="11">
        <v>42.0</v>
      </c>
      <c r="F6648" s="21" t="s">
        <v>328</v>
      </c>
      <c r="G6648" s="15">
        <v>0.03971699471421817</v>
      </c>
      <c r="H6648" s="11" t="s">
        <v>33</v>
      </c>
      <c r="I6648" s="16">
        <v>11.192</v>
      </c>
      <c r="J6648" s="11" t="s">
        <v>1385</v>
      </c>
      <c r="K6648" s="11" t="s">
        <v>61</v>
      </c>
      <c r="L6648" s="11" t="s">
        <v>48</v>
      </c>
      <c r="M6648" s="11" t="s">
        <v>49</v>
      </c>
      <c r="N6648" s="11" t="s">
        <v>73</v>
      </c>
      <c r="O6648" s="11" t="s">
        <v>330</v>
      </c>
      <c r="P6648" s="11" t="s">
        <v>75</v>
      </c>
      <c r="Q6648" s="20">
        <v>40973.0</v>
      </c>
      <c r="R6648" s="17">
        <f t="shared" si="2"/>
        <v>185.4383306</v>
      </c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>
        <f t="shared" si="8"/>
        <v>4</v>
      </c>
      <c r="AF6648" s="19">
        <f t="shared" si="13"/>
        <v>4</v>
      </c>
      <c r="AG6648" s="9"/>
      <c r="AH6648" s="9"/>
      <c r="AI6648" s="9"/>
    </row>
    <row r="6649" ht="15.0" customHeight="1">
      <c r="A6649" s="11">
        <v>6648.0</v>
      </c>
      <c r="B6649" s="12">
        <f t="shared" si="1064"/>
        <v>40971</v>
      </c>
      <c r="C6649" s="13">
        <v>2012.0</v>
      </c>
      <c r="D6649" s="11" t="s">
        <v>39</v>
      </c>
      <c r="E6649" s="11">
        <v>5.0</v>
      </c>
      <c r="F6649" s="21" t="s">
        <v>126</v>
      </c>
      <c r="G6649" s="15">
        <v>0.05765432098765428</v>
      </c>
      <c r="H6649" s="11" t="s">
        <v>33</v>
      </c>
      <c r="I6649" s="16">
        <v>6.032</v>
      </c>
      <c r="J6649" s="11" t="s">
        <v>1385</v>
      </c>
      <c r="K6649" s="11" t="s">
        <v>61</v>
      </c>
      <c r="L6649" s="11" t="s">
        <v>48</v>
      </c>
      <c r="M6649" s="11" t="s">
        <v>28</v>
      </c>
      <c r="N6649" s="11" t="s">
        <v>56</v>
      </c>
      <c r="O6649" s="11" t="s">
        <v>842</v>
      </c>
      <c r="P6649" s="11" t="s">
        <v>38</v>
      </c>
      <c r="Q6649" s="20">
        <v>40974.0</v>
      </c>
      <c r="R6649" s="17">
        <f t="shared" si="2"/>
        <v>1.760301728</v>
      </c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>
        <f t="shared" si="8"/>
        <v>4</v>
      </c>
      <c r="AF6649" s="19">
        <f t="shared" si="13"/>
        <v>4</v>
      </c>
      <c r="AG6649" s="9"/>
      <c r="AH6649" s="9"/>
      <c r="AI6649" s="9"/>
    </row>
    <row r="6650" ht="15.0" customHeight="1">
      <c r="A6650" s="11">
        <v>6649.0</v>
      </c>
      <c r="B6650" s="12">
        <f t="shared" si="1064"/>
        <v>40971</v>
      </c>
      <c r="C6650" s="13">
        <v>2012.0</v>
      </c>
      <c r="D6650" s="11" t="s">
        <v>39</v>
      </c>
      <c r="E6650" s="11">
        <v>22.0</v>
      </c>
      <c r="F6650" s="21" t="s">
        <v>119</v>
      </c>
      <c r="G6650" s="15">
        <v>0.09427937915742798</v>
      </c>
      <c r="H6650" s="11" t="s">
        <v>33</v>
      </c>
      <c r="I6650" s="16">
        <v>1.2480000000000002</v>
      </c>
      <c r="J6650" s="11" t="s">
        <v>1385</v>
      </c>
      <c r="K6650" s="11" t="s">
        <v>61</v>
      </c>
      <c r="L6650" s="11" t="s">
        <v>48</v>
      </c>
      <c r="M6650" s="11" t="s">
        <v>28</v>
      </c>
      <c r="N6650" s="11" t="s">
        <v>216</v>
      </c>
      <c r="O6650" s="11" t="s">
        <v>2355</v>
      </c>
      <c r="P6650" s="11" t="s">
        <v>58</v>
      </c>
      <c r="Q6650" s="20">
        <v>40974.0</v>
      </c>
      <c r="R6650" s="17">
        <f t="shared" si="2"/>
        <v>3.85112408</v>
      </c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>
        <f t="shared" si="8"/>
        <v>4</v>
      </c>
      <c r="AF6650" s="19">
        <f t="shared" si="13"/>
        <v>4</v>
      </c>
      <c r="AG6650" s="9"/>
      <c r="AH6650" s="9"/>
      <c r="AI6650" s="9"/>
    </row>
    <row r="6651" ht="15.0" customHeight="1">
      <c r="A6651" s="11">
        <v>6650.0</v>
      </c>
      <c r="B6651" s="12">
        <f t="shared" ref="B6651:B6657" si="1065">DATE(2012,12,31)-302</f>
        <v>40972</v>
      </c>
      <c r="C6651" s="13">
        <v>2012.0</v>
      </c>
      <c r="D6651" s="11" t="s">
        <v>39</v>
      </c>
      <c r="E6651" s="11">
        <v>40.0</v>
      </c>
      <c r="F6651" s="21" t="s">
        <v>1136</v>
      </c>
      <c r="G6651" s="15">
        <v>0.02342273307790553</v>
      </c>
      <c r="H6651" s="11" t="s">
        <v>33</v>
      </c>
      <c r="I6651" s="16">
        <v>1.592</v>
      </c>
      <c r="J6651" s="11" t="s">
        <v>724</v>
      </c>
      <c r="K6651" s="11" t="s">
        <v>65</v>
      </c>
      <c r="L6651" s="11" t="s">
        <v>48</v>
      </c>
      <c r="M6651" s="11" t="s">
        <v>66</v>
      </c>
      <c r="N6651" s="11" t="s">
        <v>67</v>
      </c>
      <c r="O6651" s="11" t="s">
        <v>1138</v>
      </c>
      <c r="P6651" s="11" t="s">
        <v>99</v>
      </c>
      <c r="Q6651" s="20">
        <v>40974.0</v>
      </c>
      <c r="R6651" s="17">
        <f t="shared" si="2"/>
        <v>21.49251249</v>
      </c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>
        <f t="shared" si="8"/>
        <v>4</v>
      </c>
      <c r="AF6651" s="19">
        <f t="shared" si="13"/>
        <v>5</v>
      </c>
      <c r="AG6651" s="9"/>
      <c r="AH6651" s="9"/>
      <c r="AI6651" s="9"/>
    </row>
    <row r="6652" ht="15.0" customHeight="1">
      <c r="A6652" s="11">
        <v>6651.0</v>
      </c>
      <c r="B6652" s="12">
        <f t="shared" si="1065"/>
        <v>40972</v>
      </c>
      <c r="C6652" s="13">
        <v>2012.0</v>
      </c>
      <c r="D6652" s="11" t="s">
        <v>39</v>
      </c>
      <c r="E6652" s="11">
        <v>7.0</v>
      </c>
      <c r="F6652" s="21" t="s">
        <v>1244</v>
      </c>
      <c r="G6652" s="15">
        <v>0.07638117758335305</v>
      </c>
      <c r="H6652" s="11" t="s">
        <v>33</v>
      </c>
      <c r="I6652" s="16">
        <v>19.592</v>
      </c>
      <c r="J6652" s="11" t="s">
        <v>724</v>
      </c>
      <c r="K6652" s="11" t="s">
        <v>65</v>
      </c>
      <c r="L6652" s="11" t="s">
        <v>48</v>
      </c>
      <c r="M6652" s="11" t="s">
        <v>49</v>
      </c>
      <c r="N6652" s="11" t="s">
        <v>50</v>
      </c>
      <c r="O6652" s="11" t="s">
        <v>1246</v>
      </c>
      <c r="P6652" s="11" t="s">
        <v>31</v>
      </c>
      <c r="Q6652" s="20">
        <v>40974.0</v>
      </c>
      <c r="R6652" s="17">
        <f t="shared" si="2"/>
        <v>149.1718288</v>
      </c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>
        <f t="shared" si="8"/>
        <v>4</v>
      </c>
      <c r="AF6652" s="19">
        <f t="shared" si="13"/>
        <v>5</v>
      </c>
      <c r="AG6652" s="9"/>
      <c r="AH6652" s="9"/>
      <c r="AI6652" s="9"/>
    </row>
    <row r="6653" ht="15.0" customHeight="1">
      <c r="A6653" s="11">
        <v>6652.0</v>
      </c>
      <c r="B6653" s="12">
        <f t="shared" si="1065"/>
        <v>40972</v>
      </c>
      <c r="C6653" s="13">
        <v>2012.0</v>
      </c>
      <c r="D6653" s="11" t="s">
        <v>39</v>
      </c>
      <c r="E6653" s="11">
        <v>24.0</v>
      </c>
      <c r="F6653" s="21" t="s">
        <v>126</v>
      </c>
      <c r="G6653" s="15">
        <v>0.06498118886380734</v>
      </c>
      <c r="H6653" s="11" t="s">
        <v>24</v>
      </c>
      <c r="I6653" s="16">
        <v>6.664000000000001</v>
      </c>
      <c r="J6653" s="11" t="s">
        <v>871</v>
      </c>
      <c r="K6653" s="11" t="s">
        <v>26</v>
      </c>
      <c r="L6653" s="11" t="s">
        <v>27</v>
      </c>
      <c r="M6653" s="11" t="s">
        <v>28</v>
      </c>
      <c r="N6653" s="11" t="s">
        <v>56</v>
      </c>
      <c r="O6653" s="11" t="s">
        <v>2216</v>
      </c>
      <c r="P6653" s="11" t="s">
        <v>38</v>
      </c>
      <c r="Q6653" s="20">
        <v>40974.0</v>
      </c>
      <c r="R6653" s="17">
        <f t="shared" si="2"/>
        <v>8.074822453</v>
      </c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>
        <f t="shared" si="8"/>
        <v>1</v>
      </c>
      <c r="AF6653" s="19">
        <f t="shared" si="13"/>
        <v>1</v>
      </c>
      <c r="AG6653" s="9"/>
      <c r="AH6653" s="9"/>
      <c r="AI6653" s="9"/>
    </row>
    <row r="6654" ht="15.0" customHeight="1">
      <c r="A6654" s="11">
        <v>6653.0</v>
      </c>
      <c r="B6654" s="12">
        <f t="shared" si="1065"/>
        <v>40972</v>
      </c>
      <c r="C6654" s="13">
        <v>2012.0</v>
      </c>
      <c r="D6654" s="11" t="s">
        <v>44</v>
      </c>
      <c r="E6654" s="11">
        <v>12.0</v>
      </c>
      <c r="F6654" s="21" t="s">
        <v>415</v>
      </c>
      <c r="G6654" s="15">
        <v>0.05653021442495124</v>
      </c>
      <c r="H6654" s="11" t="s">
        <v>33</v>
      </c>
      <c r="I6654" s="16">
        <v>1.6</v>
      </c>
      <c r="J6654" s="11" t="s">
        <v>1529</v>
      </c>
      <c r="K6654" s="11" t="s">
        <v>61</v>
      </c>
      <c r="L6654" s="11" t="s">
        <v>27</v>
      </c>
      <c r="M6654" s="11" t="s">
        <v>28</v>
      </c>
      <c r="N6654" s="11" t="s">
        <v>216</v>
      </c>
      <c r="O6654" s="11" t="s">
        <v>1856</v>
      </c>
      <c r="P6654" s="11" t="s">
        <v>58</v>
      </c>
      <c r="Q6654" s="20">
        <v>40975.0</v>
      </c>
      <c r="R6654" s="17">
        <f t="shared" si="2"/>
        <v>2.736062378</v>
      </c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>
        <f t="shared" si="8"/>
        <v>1</v>
      </c>
      <c r="AF6654" s="19">
        <f t="shared" si="13"/>
        <v>4</v>
      </c>
      <c r="AG6654" s="9"/>
      <c r="AH6654" s="9"/>
      <c r="AI6654" s="9"/>
    </row>
    <row r="6655" ht="15.0" customHeight="1">
      <c r="A6655" s="11">
        <v>6654.0</v>
      </c>
      <c r="B6655" s="12">
        <f t="shared" si="1065"/>
        <v>40972</v>
      </c>
      <c r="C6655" s="13">
        <v>2012.0</v>
      </c>
      <c r="D6655" s="11" t="s">
        <v>39</v>
      </c>
      <c r="E6655" s="11">
        <v>50.0</v>
      </c>
      <c r="F6655" s="21" t="s">
        <v>782</v>
      </c>
      <c r="G6655" s="15">
        <v>0.0496876422158785</v>
      </c>
      <c r="H6655" s="11" t="s">
        <v>33</v>
      </c>
      <c r="I6655" s="16">
        <v>2.0</v>
      </c>
      <c r="J6655" s="11" t="s">
        <v>1257</v>
      </c>
      <c r="K6655" s="11" t="s">
        <v>35</v>
      </c>
      <c r="L6655" s="11" t="s">
        <v>36</v>
      </c>
      <c r="M6655" s="11" t="s">
        <v>66</v>
      </c>
      <c r="N6655" s="11" t="s">
        <v>80</v>
      </c>
      <c r="O6655" s="11" t="s">
        <v>2226</v>
      </c>
      <c r="P6655" s="11" t="s">
        <v>38</v>
      </c>
      <c r="Q6655" s="20">
        <v>40975.0</v>
      </c>
      <c r="R6655" s="17">
        <f t="shared" si="2"/>
        <v>114.1325142</v>
      </c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>
        <f t="shared" si="8"/>
        <v>2</v>
      </c>
      <c r="AF6655" s="19">
        <f t="shared" si="13"/>
        <v>2</v>
      </c>
      <c r="AG6655" s="9"/>
      <c r="AH6655" s="9"/>
      <c r="AI6655" s="9"/>
    </row>
    <row r="6656" ht="15.0" customHeight="1">
      <c r="A6656" s="11">
        <v>6655.0</v>
      </c>
      <c r="B6656" s="12">
        <f t="shared" si="1065"/>
        <v>40972</v>
      </c>
      <c r="C6656" s="13">
        <v>2012.0</v>
      </c>
      <c r="D6656" s="11" t="s">
        <v>102</v>
      </c>
      <c r="E6656" s="11">
        <v>14.0</v>
      </c>
      <c r="F6656" s="21" t="s">
        <v>333</v>
      </c>
      <c r="G6656" s="15">
        <v>0.0624145785876992</v>
      </c>
      <c r="H6656" s="11" t="s">
        <v>33</v>
      </c>
      <c r="I6656" s="16">
        <v>0.5599999999999999</v>
      </c>
      <c r="J6656" s="11" t="s">
        <v>1693</v>
      </c>
      <c r="K6656" s="11" t="s">
        <v>61</v>
      </c>
      <c r="L6656" s="11" t="s">
        <v>41</v>
      </c>
      <c r="M6656" s="11" t="s">
        <v>28</v>
      </c>
      <c r="N6656" s="11" t="s">
        <v>62</v>
      </c>
      <c r="O6656" s="11" t="s">
        <v>480</v>
      </c>
      <c r="P6656" s="11" t="s">
        <v>58</v>
      </c>
      <c r="Q6656" s="20">
        <v>40975.0</v>
      </c>
      <c r="R6656" s="17">
        <f t="shared" si="2"/>
        <v>2.568984055</v>
      </c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>
        <f t="shared" si="8"/>
        <v>3</v>
      </c>
      <c r="AF6656" s="19">
        <f t="shared" si="13"/>
        <v>4</v>
      </c>
      <c r="AG6656" s="9"/>
      <c r="AH6656" s="9"/>
      <c r="AI6656" s="9"/>
    </row>
    <row r="6657" ht="15.0" customHeight="1">
      <c r="A6657" s="11">
        <v>6656.0</v>
      </c>
      <c r="B6657" s="12">
        <f t="shared" si="1065"/>
        <v>40972</v>
      </c>
      <c r="C6657" s="13">
        <v>2012.0</v>
      </c>
      <c r="D6657" s="11" t="s">
        <v>44</v>
      </c>
      <c r="E6657" s="11">
        <v>34.0</v>
      </c>
      <c r="F6657" s="21" t="s">
        <v>469</v>
      </c>
      <c r="G6657" s="15">
        <v>0.08616211745244017</v>
      </c>
      <c r="H6657" s="11" t="s">
        <v>33</v>
      </c>
      <c r="I6657" s="16">
        <v>3.2640000000000002</v>
      </c>
      <c r="J6657" s="11" t="s">
        <v>40</v>
      </c>
      <c r="K6657" s="11" t="s">
        <v>35</v>
      </c>
      <c r="L6657" s="11" t="s">
        <v>41</v>
      </c>
      <c r="M6657" s="11" t="s">
        <v>28</v>
      </c>
      <c r="N6657" s="11" t="s">
        <v>62</v>
      </c>
      <c r="O6657" s="11" t="s">
        <v>1354</v>
      </c>
      <c r="P6657" s="11" t="s">
        <v>99</v>
      </c>
      <c r="Q6657" s="20">
        <v>40975.0</v>
      </c>
      <c r="R6657" s="17">
        <f t="shared" si="2"/>
        <v>76.15559378</v>
      </c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>
        <f t="shared" si="8"/>
        <v>3</v>
      </c>
      <c r="AF6657" s="19">
        <f t="shared" si="13"/>
        <v>2</v>
      </c>
      <c r="AG6657" s="9"/>
      <c r="AH6657" s="9"/>
      <c r="AI6657" s="9"/>
    </row>
    <row r="6658" ht="15.0" customHeight="1">
      <c r="A6658" s="11">
        <v>6657.0</v>
      </c>
      <c r="B6658" s="12">
        <f t="shared" ref="B6658:B6662" si="1066">DATE(2012,12,31)-301</f>
        <v>40973</v>
      </c>
      <c r="C6658" s="13">
        <v>2012.0</v>
      </c>
      <c r="D6658" s="11" t="s">
        <v>23</v>
      </c>
      <c r="E6658" s="11">
        <v>17.0</v>
      </c>
      <c r="F6658" s="21" t="s">
        <v>707</v>
      </c>
      <c r="G6658" s="15">
        <v>0.019010111761575472</v>
      </c>
      <c r="H6658" s="11" t="s">
        <v>33</v>
      </c>
      <c r="I6658" s="16">
        <v>4.128</v>
      </c>
      <c r="J6658" s="11" t="s">
        <v>1681</v>
      </c>
      <c r="K6658" s="11" t="s">
        <v>61</v>
      </c>
      <c r="L6658" s="11" t="s">
        <v>41</v>
      </c>
      <c r="M6658" s="11" t="s">
        <v>49</v>
      </c>
      <c r="N6658" s="11" t="s">
        <v>73</v>
      </c>
      <c r="O6658" s="11" t="s">
        <v>975</v>
      </c>
      <c r="P6658" s="11" t="s">
        <v>38</v>
      </c>
      <c r="Q6658" s="20">
        <v>40976.0</v>
      </c>
      <c r="R6658" s="17">
        <f t="shared" si="2"/>
        <v>3.504095881</v>
      </c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>
        <f t="shared" si="8"/>
        <v>3</v>
      </c>
      <c r="AF6658" s="19">
        <f t="shared" si="13"/>
        <v>4</v>
      </c>
      <c r="AG6658" s="9"/>
      <c r="AH6658" s="9"/>
      <c r="AI6658" s="9"/>
    </row>
    <row r="6659" ht="15.0" customHeight="1">
      <c r="A6659" s="11">
        <v>6658.0</v>
      </c>
      <c r="B6659" s="12">
        <f t="shared" si="1066"/>
        <v>40973</v>
      </c>
      <c r="C6659" s="13">
        <v>2012.0</v>
      </c>
      <c r="D6659" s="11" t="s">
        <v>23</v>
      </c>
      <c r="E6659" s="11">
        <v>5.0</v>
      </c>
      <c r="F6659" s="21" t="s">
        <v>359</v>
      </c>
      <c r="G6659" s="15">
        <v>0.06592164418754003</v>
      </c>
      <c r="H6659" s="11" t="s">
        <v>33</v>
      </c>
      <c r="I6659" s="16">
        <v>4.936</v>
      </c>
      <c r="J6659" s="11" t="s">
        <v>1681</v>
      </c>
      <c r="K6659" s="11" t="s">
        <v>61</v>
      </c>
      <c r="L6659" s="11" t="s">
        <v>41</v>
      </c>
      <c r="M6659" s="11" t="s">
        <v>28</v>
      </c>
      <c r="N6659" s="11" t="s">
        <v>62</v>
      </c>
      <c r="O6659" s="11" t="s">
        <v>361</v>
      </c>
      <c r="P6659" s="11" t="s">
        <v>99</v>
      </c>
      <c r="Q6659" s="20">
        <v>40976.0</v>
      </c>
      <c r="R6659" s="17">
        <f t="shared" si="2"/>
        <v>9.587380244</v>
      </c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>
        <f t="shared" si="8"/>
        <v>3</v>
      </c>
      <c r="AF6659" s="19">
        <f t="shared" si="13"/>
        <v>4</v>
      </c>
      <c r="AG6659" s="9"/>
      <c r="AH6659" s="9"/>
      <c r="AI6659" s="9"/>
    </row>
    <row r="6660" ht="15.0" customHeight="1">
      <c r="A6660" s="11">
        <v>6659.0</v>
      </c>
      <c r="B6660" s="12">
        <f t="shared" si="1066"/>
        <v>40973</v>
      </c>
      <c r="C6660" s="13">
        <v>2012.0</v>
      </c>
      <c r="D6660" s="11" t="s">
        <v>44</v>
      </c>
      <c r="E6660" s="11">
        <v>44.0</v>
      </c>
      <c r="F6660" s="21" t="s">
        <v>1760</v>
      </c>
      <c r="G6660" s="15">
        <v>0.048411451735495326</v>
      </c>
      <c r="H6660" s="11" t="s">
        <v>33</v>
      </c>
      <c r="I6660" s="16">
        <v>1.592</v>
      </c>
      <c r="J6660" s="11" t="s">
        <v>1761</v>
      </c>
      <c r="K6660" s="11" t="s">
        <v>35</v>
      </c>
      <c r="L6660" s="11" t="s">
        <v>41</v>
      </c>
      <c r="M6660" s="11" t="s">
        <v>66</v>
      </c>
      <c r="N6660" s="11" t="s">
        <v>67</v>
      </c>
      <c r="O6660" s="11" t="s">
        <v>1762</v>
      </c>
      <c r="P6660" s="11" t="s">
        <v>99</v>
      </c>
      <c r="Q6660" s="20">
        <v>40976.0</v>
      </c>
      <c r="R6660" s="17">
        <f t="shared" si="2"/>
        <v>18.18295398</v>
      </c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>
        <f t="shared" si="8"/>
        <v>3</v>
      </c>
      <c r="AF6660" s="19">
        <f t="shared" si="13"/>
        <v>2</v>
      </c>
      <c r="AG6660" s="9"/>
      <c r="AH6660" s="9"/>
      <c r="AI6660" s="9"/>
    </row>
    <row r="6661" ht="15.0" customHeight="1">
      <c r="A6661" s="11">
        <v>6660.0</v>
      </c>
      <c r="B6661" s="12">
        <f t="shared" si="1066"/>
        <v>40973</v>
      </c>
      <c r="C6661" s="13">
        <v>2012.0</v>
      </c>
      <c r="D6661" s="11" t="s">
        <v>39</v>
      </c>
      <c r="E6661" s="11">
        <v>43.0</v>
      </c>
      <c r="F6661" s="21" t="s">
        <v>1452</v>
      </c>
      <c r="G6661" s="15">
        <v>0.05726471618099054</v>
      </c>
      <c r="H6661" s="11" t="s">
        <v>45</v>
      </c>
      <c r="I6661" s="16">
        <v>39.2</v>
      </c>
      <c r="J6661" s="11" t="s">
        <v>2080</v>
      </c>
      <c r="K6661" s="11" t="s">
        <v>65</v>
      </c>
      <c r="L6661" s="11" t="s">
        <v>48</v>
      </c>
      <c r="M6661" s="11" t="s">
        <v>66</v>
      </c>
      <c r="N6661" s="11" t="s">
        <v>170</v>
      </c>
      <c r="O6661" s="11" t="s">
        <v>1453</v>
      </c>
      <c r="P6661" s="11" t="s">
        <v>52</v>
      </c>
      <c r="Q6661" s="20">
        <v>40976.0</v>
      </c>
      <c r="R6661" s="17">
        <f t="shared" si="2"/>
        <v>1110.070797</v>
      </c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>
        <f t="shared" si="8"/>
        <v>4</v>
      </c>
      <c r="AF6661" s="19">
        <f t="shared" si="13"/>
        <v>5</v>
      </c>
      <c r="AG6661" s="9"/>
      <c r="AH6661" s="9"/>
      <c r="AI6661" s="9"/>
    </row>
    <row r="6662" ht="15.0" customHeight="1">
      <c r="A6662" s="11">
        <v>6661.0</v>
      </c>
      <c r="B6662" s="12">
        <f t="shared" si="1066"/>
        <v>40973</v>
      </c>
      <c r="C6662" s="13">
        <v>2012.0</v>
      </c>
      <c r="D6662" s="11" t="s">
        <v>39</v>
      </c>
      <c r="E6662" s="11">
        <v>14.0</v>
      </c>
      <c r="F6662" s="21" t="s">
        <v>889</v>
      </c>
      <c r="G6662" s="15">
        <v>0.038135433070866157</v>
      </c>
      <c r="H6662" s="11" t="s">
        <v>33</v>
      </c>
      <c r="I6662" s="16">
        <v>7.192</v>
      </c>
      <c r="J6662" s="11" t="s">
        <v>2080</v>
      </c>
      <c r="K6662" s="11" t="s">
        <v>65</v>
      </c>
      <c r="L6662" s="11" t="s">
        <v>48</v>
      </c>
      <c r="M6662" s="11" t="s">
        <v>28</v>
      </c>
      <c r="N6662" s="11" t="s">
        <v>62</v>
      </c>
      <c r="O6662" s="11" t="s">
        <v>890</v>
      </c>
      <c r="P6662" s="11" t="s">
        <v>99</v>
      </c>
      <c r="Q6662" s="20">
        <v>40976.0</v>
      </c>
      <c r="R6662" s="17">
        <f t="shared" si="2"/>
        <v>11.64625618</v>
      </c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>
        <f t="shared" si="8"/>
        <v>4</v>
      </c>
      <c r="AF6662" s="19">
        <f t="shared" si="13"/>
        <v>5</v>
      </c>
      <c r="AG6662" s="9"/>
      <c r="AH6662" s="9"/>
      <c r="AI6662" s="9"/>
    </row>
    <row r="6663" ht="15.0" customHeight="1">
      <c r="A6663" s="11">
        <v>6662.0</v>
      </c>
      <c r="B6663" s="12">
        <f t="shared" ref="B6663:B6666" si="1067">DATE(2012,12,31)-300</f>
        <v>40974</v>
      </c>
      <c r="C6663" s="13">
        <v>2012.0</v>
      </c>
      <c r="D6663" s="11" t="s">
        <v>32</v>
      </c>
      <c r="E6663" s="11">
        <v>24.0</v>
      </c>
      <c r="F6663" s="21" t="s">
        <v>158</v>
      </c>
      <c r="G6663" s="15">
        <v>0.015221238938052837</v>
      </c>
      <c r="H6663" s="11" t="s">
        <v>33</v>
      </c>
      <c r="I6663" s="16">
        <v>2.192</v>
      </c>
      <c r="J6663" s="11" t="s">
        <v>200</v>
      </c>
      <c r="K6663" s="11" t="s">
        <v>47</v>
      </c>
      <c r="L6663" s="11" t="s">
        <v>48</v>
      </c>
      <c r="M6663" s="11" t="s">
        <v>66</v>
      </c>
      <c r="N6663" s="11" t="s">
        <v>67</v>
      </c>
      <c r="O6663" s="11" t="s">
        <v>1270</v>
      </c>
      <c r="P6663" s="11" t="s">
        <v>99</v>
      </c>
      <c r="Q6663" s="20">
        <v>40976.0</v>
      </c>
      <c r="R6663" s="17">
        <f t="shared" si="2"/>
        <v>2.371347257</v>
      </c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>
        <f t="shared" si="8"/>
        <v>4</v>
      </c>
      <c r="AF6663" s="19">
        <f t="shared" si="13"/>
        <v>3</v>
      </c>
      <c r="AG6663" s="9"/>
      <c r="AH6663" s="9"/>
      <c r="AI6663" s="9"/>
    </row>
    <row r="6664" ht="15.0" customHeight="1">
      <c r="A6664" s="11">
        <v>6663.0</v>
      </c>
      <c r="B6664" s="12">
        <f t="shared" si="1067"/>
        <v>40974</v>
      </c>
      <c r="C6664" s="13">
        <v>2012.0</v>
      </c>
      <c r="D6664" s="11" t="s">
        <v>32</v>
      </c>
      <c r="E6664" s="11">
        <v>21.0</v>
      </c>
      <c r="F6664" s="21" t="s">
        <v>2464</v>
      </c>
      <c r="G6664" s="15">
        <v>0.07121065842826804</v>
      </c>
      <c r="H6664" s="11" t="s">
        <v>33</v>
      </c>
      <c r="I6664" s="16">
        <v>55.2</v>
      </c>
      <c r="J6664" s="11" t="s">
        <v>200</v>
      </c>
      <c r="K6664" s="11" t="s">
        <v>47</v>
      </c>
      <c r="L6664" s="11" t="s">
        <v>48</v>
      </c>
      <c r="M6664" s="11" t="s">
        <v>49</v>
      </c>
      <c r="N6664" s="11" t="s">
        <v>85</v>
      </c>
      <c r="O6664" s="11" t="s">
        <v>2404</v>
      </c>
      <c r="P6664" s="11" t="s">
        <v>31</v>
      </c>
      <c r="Q6664" s="20">
        <v>40977.0</v>
      </c>
      <c r="R6664" s="17">
        <f t="shared" si="2"/>
        <v>171.2687546</v>
      </c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>
        <f t="shared" si="8"/>
        <v>4</v>
      </c>
      <c r="AF6664" s="19">
        <f t="shared" si="13"/>
        <v>3</v>
      </c>
      <c r="AG6664" s="9"/>
      <c r="AH6664" s="9"/>
      <c r="AI6664" s="9"/>
    </row>
    <row r="6665" ht="15.0" customHeight="1">
      <c r="A6665" s="11">
        <v>6664.0</v>
      </c>
      <c r="B6665" s="12">
        <f t="shared" si="1067"/>
        <v>40974</v>
      </c>
      <c r="C6665" s="13">
        <v>2012.0</v>
      </c>
      <c r="D6665" s="11" t="s">
        <v>44</v>
      </c>
      <c r="E6665" s="11">
        <v>42.0</v>
      </c>
      <c r="F6665" s="21" t="s">
        <v>473</v>
      </c>
      <c r="G6665" s="15">
        <v>0.06863558431502678</v>
      </c>
      <c r="H6665" s="11" t="s">
        <v>33</v>
      </c>
      <c r="I6665" s="16">
        <v>8.200000000000001</v>
      </c>
      <c r="J6665" s="11" t="s">
        <v>373</v>
      </c>
      <c r="K6665" s="11" t="s">
        <v>83</v>
      </c>
      <c r="L6665" s="11" t="s">
        <v>48</v>
      </c>
      <c r="M6665" s="11" t="s">
        <v>66</v>
      </c>
      <c r="N6665" s="11" t="s">
        <v>67</v>
      </c>
      <c r="O6665" s="11" t="s">
        <v>2008</v>
      </c>
      <c r="P6665" s="11" t="s">
        <v>38</v>
      </c>
      <c r="Q6665" s="20">
        <v>40977.0</v>
      </c>
      <c r="R6665" s="17">
        <f t="shared" si="2"/>
        <v>115.582324</v>
      </c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>
        <f t="shared" si="8"/>
        <v>4</v>
      </c>
      <c r="AF6665" s="19" t="b">
        <f t="shared" si="13"/>
        <v>0</v>
      </c>
      <c r="AG6665" s="9"/>
      <c r="AH6665" s="9"/>
      <c r="AI6665" s="9"/>
    </row>
    <row r="6666" ht="15.0" customHeight="1">
      <c r="A6666" s="11">
        <v>6665.0</v>
      </c>
      <c r="B6666" s="12">
        <f t="shared" si="1067"/>
        <v>40974</v>
      </c>
      <c r="C6666" s="13">
        <v>2012.0</v>
      </c>
      <c r="D6666" s="11" t="s">
        <v>39</v>
      </c>
      <c r="E6666" s="11">
        <v>2.0</v>
      </c>
      <c r="F6666" s="21" t="s">
        <v>933</v>
      </c>
      <c r="G6666" s="15">
        <v>0.09953343701399688</v>
      </c>
      <c r="H6666" s="11" t="s">
        <v>33</v>
      </c>
      <c r="I6666" s="16">
        <v>4.0</v>
      </c>
      <c r="J6666" s="11" t="s">
        <v>133</v>
      </c>
      <c r="K6666" s="11" t="s">
        <v>65</v>
      </c>
      <c r="L6666" s="11" t="s">
        <v>41</v>
      </c>
      <c r="M6666" s="11" t="s">
        <v>66</v>
      </c>
      <c r="N6666" s="11" t="s">
        <v>80</v>
      </c>
      <c r="O6666" s="11" t="s">
        <v>1026</v>
      </c>
      <c r="P6666" s="11" t="s">
        <v>99</v>
      </c>
      <c r="Q6666" s="20">
        <v>40977.0</v>
      </c>
      <c r="R6666" s="17">
        <f t="shared" si="2"/>
        <v>11.52597201</v>
      </c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>
        <f t="shared" si="8"/>
        <v>3</v>
      </c>
      <c r="AF6666" s="19">
        <f t="shared" si="13"/>
        <v>5</v>
      </c>
      <c r="AG6666" s="9"/>
      <c r="AH6666" s="9"/>
      <c r="AI6666" s="9"/>
    </row>
    <row r="6667" ht="15.0" customHeight="1">
      <c r="A6667" s="11">
        <v>6666.0</v>
      </c>
      <c r="B6667" s="12">
        <f t="shared" ref="B6667:B6672" si="1068">DATE(2012,12,31)-299</f>
        <v>40975</v>
      </c>
      <c r="C6667" s="13">
        <v>2012.0</v>
      </c>
      <c r="D6667" s="11" t="s">
        <v>44</v>
      </c>
      <c r="E6667" s="11">
        <v>11.0</v>
      </c>
      <c r="F6667" s="21" t="s">
        <v>336</v>
      </c>
      <c r="G6667" s="15">
        <v>0.09619834710743795</v>
      </c>
      <c r="H6667" s="11" t="s">
        <v>33</v>
      </c>
      <c r="I6667" s="16">
        <v>1.816</v>
      </c>
      <c r="J6667" s="11" t="s">
        <v>786</v>
      </c>
      <c r="K6667" s="11" t="s">
        <v>35</v>
      </c>
      <c r="L6667" s="11" t="s">
        <v>48</v>
      </c>
      <c r="M6667" s="11" t="s">
        <v>28</v>
      </c>
      <c r="N6667" s="11" t="s">
        <v>62</v>
      </c>
      <c r="O6667" s="11" t="s">
        <v>1391</v>
      </c>
      <c r="P6667" s="11" t="s">
        <v>58</v>
      </c>
      <c r="Q6667" s="20">
        <v>40977.0</v>
      </c>
      <c r="R6667" s="17">
        <f t="shared" si="2"/>
        <v>6.312150744</v>
      </c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>
        <f t="shared" si="8"/>
        <v>4</v>
      </c>
      <c r="AF6667" s="19">
        <f t="shared" si="13"/>
        <v>2</v>
      </c>
      <c r="AG6667" s="9"/>
      <c r="AH6667" s="9"/>
      <c r="AI6667" s="9"/>
    </row>
    <row r="6668" ht="15.0" customHeight="1">
      <c r="A6668" s="11">
        <v>6667.0</v>
      </c>
      <c r="B6668" s="12">
        <f t="shared" si="1068"/>
        <v>40975</v>
      </c>
      <c r="C6668" s="13">
        <v>2012.0</v>
      </c>
      <c r="D6668" s="11" t="s">
        <v>44</v>
      </c>
      <c r="E6668" s="11">
        <v>10.0</v>
      </c>
      <c r="F6668" s="21" t="s">
        <v>242</v>
      </c>
      <c r="G6668" s="15">
        <v>0.06722578954265505</v>
      </c>
      <c r="H6668" s="11" t="s">
        <v>33</v>
      </c>
      <c r="I6668" s="16">
        <v>2.8000000000000003</v>
      </c>
      <c r="J6668" s="11" t="s">
        <v>786</v>
      </c>
      <c r="K6668" s="11" t="s">
        <v>35</v>
      </c>
      <c r="L6668" s="11" t="s">
        <v>48</v>
      </c>
      <c r="M6668" s="11" t="s">
        <v>28</v>
      </c>
      <c r="N6668" s="11" t="s">
        <v>197</v>
      </c>
      <c r="O6668" s="11" t="s">
        <v>1134</v>
      </c>
      <c r="P6668" s="11" t="s">
        <v>38</v>
      </c>
      <c r="Q6668" s="20">
        <v>40977.0</v>
      </c>
      <c r="R6668" s="17">
        <f t="shared" si="2"/>
        <v>47.851317</v>
      </c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>
        <f t="shared" si="8"/>
        <v>4</v>
      </c>
      <c r="AF6668" s="19">
        <f t="shared" si="13"/>
        <v>2</v>
      </c>
      <c r="AG6668" s="9"/>
      <c r="AH6668" s="9"/>
      <c r="AI6668" s="9"/>
    </row>
    <row r="6669" ht="15.0" customHeight="1">
      <c r="A6669" s="11">
        <v>6668.0</v>
      </c>
      <c r="B6669" s="12">
        <f t="shared" si="1068"/>
        <v>40975</v>
      </c>
      <c r="C6669" s="13">
        <v>2012.0</v>
      </c>
      <c r="D6669" s="11" t="s">
        <v>102</v>
      </c>
      <c r="E6669" s="11">
        <v>11.0</v>
      </c>
      <c r="F6669" s="21" t="s">
        <v>328</v>
      </c>
      <c r="G6669" s="15">
        <v>0.04873491630984812</v>
      </c>
      <c r="H6669" s="11" t="s">
        <v>33</v>
      </c>
      <c r="I6669" s="16">
        <v>2.0</v>
      </c>
      <c r="J6669" s="11" t="s">
        <v>2079</v>
      </c>
      <c r="K6669" s="11" t="s">
        <v>61</v>
      </c>
      <c r="L6669" s="11" t="s">
        <v>48</v>
      </c>
      <c r="M6669" s="11" t="s">
        <v>66</v>
      </c>
      <c r="N6669" s="11" t="s">
        <v>80</v>
      </c>
      <c r="O6669" s="11" t="s">
        <v>81</v>
      </c>
      <c r="P6669" s="11" t="s">
        <v>38</v>
      </c>
      <c r="Q6669" s="20">
        <v>40978.0</v>
      </c>
      <c r="R6669" s="17">
        <f t="shared" si="2"/>
        <v>59.54919424</v>
      </c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>
        <f t="shared" si="8"/>
        <v>4</v>
      </c>
      <c r="AF6669" s="19">
        <f t="shared" si="13"/>
        <v>4</v>
      </c>
      <c r="AG6669" s="9"/>
      <c r="AH6669" s="9"/>
      <c r="AI6669" s="9"/>
    </row>
    <row r="6670" ht="15.0" customHeight="1">
      <c r="A6670" s="11">
        <v>6669.0</v>
      </c>
      <c r="B6670" s="12">
        <f t="shared" si="1068"/>
        <v>40975</v>
      </c>
      <c r="C6670" s="13">
        <v>2012.0</v>
      </c>
      <c r="D6670" s="11" t="s">
        <v>102</v>
      </c>
      <c r="E6670" s="11">
        <v>41.0</v>
      </c>
      <c r="F6670" s="21" t="s">
        <v>425</v>
      </c>
      <c r="G6670" s="15">
        <v>0.013937677053824487</v>
      </c>
      <c r="H6670" s="11" t="s">
        <v>33</v>
      </c>
      <c r="I6670" s="16">
        <v>7.192</v>
      </c>
      <c r="J6670" s="11" t="s">
        <v>2079</v>
      </c>
      <c r="K6670" s="11" t="s">
        <v>61</v>
      </c>
      <c r="L6670" s="11" t="s">
        <v>48</v>
      </c>
      <c r="M6670" s="11" t="s">
        <v>49</v>
      </c>
      <c r="N6670" s="11" t="s">
        <v>73</v>
      </c>
      <c r="O6670" s="11" t="s">
        <v>2448</v>
      </c>
      <c r="P6670" s="11" t="s">
        <v>99</v>
      </c>
      <c r="Q6670" s="20">
        <v>40978.0</v>
      </c>
      <c r="R6670" s="17">
        <f t="shared" si="2"/>
        <v>11.64342391</v>
      </c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>
        <f t="shared" si="8"/>
        <v>4</v>
      </c>
      <c r="AF6670" s="19">
        <f t="shared" si="13"/>
        <v>4</v>
      </c>
      <c r="AG6670" s="9"/>
      <c r="AH6670" s="9"/>
      <c r="AI6670" s="9"/>
    </row>
    <row r="6671" ht="15.0" customHeight="1">
      <c r="A6671" s="11">
        <v>6670.0</v>
      </c>
      <c r="B6671" s="12">
        <f t="shared" si="1068"/>
        <v>40975</v>
      </c>
      <c r="C6671" s="13">
        <v>2012.0</v>
      </c>
      <c r="D6671" s="11" t="s">
        <v>102</v>
      </c>
      <c r="E6671" s="11">
        <v>2.0</v>
      </c>
      <c r="F6671" s="21" t="s">
        <v>267</v>
      </c>
      <c r="G6671" s="15">
        <v>0.05315649867374018</v>
      </c>
      <c r="H6671" s="11" t="s">
        <v>33</v>
      </c>
      <c r="I6671" s="16">
        <v>15.991999999999999</v>
      </c>
      <c r="J6671" s="11" t="s">
        <v>2079</v>
      </c>
      <c r="K6671" s="11" t="s">
        <v>61</v>
      </c>
      <c r="L6671" s="11" t="s">
        <v>48</v>
      </c>
      <c r="M6671" s="11" t="s">
        <v>28</v>
      </c>
      <c r="N6671" s="11" t="s">
        <v>29</v>
      </c>
      <c r="O6671" s="11" t="s">
        <v>269</v>
      </c>
      <c r="P6671" s="11" t="s">
        <v>38</v>
      </c>
      <c r="Q6671" s="20">
        <v>40978.0</v>
      </c>
      <c r="R6671" s="17">
        <f t="shared" si="2"/>
        <v>3.794948753</v>
      </c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>
        <f t="shared" si="8"/>
        <v>4</v>
      </c>
      <c r="AF6671" s="19">
        <f t="shared" si="13"/>
        <v>4</v>
      </c>
      <c r="AG6671" s="9"/>
      <c r="AH6671" s="9"/>
      <c r="AI6671" s="9"/>
    </row>
    <row r="6672" ht="15.0" customHeight="1">
      <c r="A6672" s="11">
        <v>6671.0</v>
      </c>
      <c r="B6672" s="12">
        <f t="shared" si="1068"/>
        <v>40975</v>
      </c>
      <c r="C6672" s="13">
        <v>2012.0</v>
      </c>
      <c r="D6672" s="11" t="s">
        <v>44</v>
      </c>
      <c r="E6672" s="11">
        <v>25.0</v>
      </c>
      <c r="F6672" s="21" t="s">
        <v>135</v>
      </c>
      <c r="G6672" s="15">
        <v>0.06448618784530386</v>
      </c>
      <c r="H6672" s="11" t="s">
        <v>33</v>
      </c>
      <c r="I6672" s="16">
        <v>4.328</v>
      </c>
      <c r="J6672" s="11" t="s">
        <v>1058</v>
      </c>
      <c r="K6672" s="11" t="s">
        <v>61</v>
      </c>
      <c r="L6672" s="11" t="s">
        <v>41</v>
      </c>
      <c r="M6672" s="11" t="s">
        <v>28</v>
      </c>
      <c r="N6672" s="11" t="s">
        <v>56</v>
      </c>
      <c r="O6672" s="11" t="s">
        <v>1271</v>
      </c>
      <c r="P6672" s="11" t="s">
        <v>38</v>
      </c>
      <c r="Q6672" s="20">
        <v>40979.0</v>
      </c>
      <c r="R6672" s="17">
        <f t="shared" si="2"/>
        <v>10.91931722</v>
      </c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>
        <f t="shared" si="8"/>
        <v>3</v>
      </c>
      <c r="AF6672" s="19">
        <f t="shared" si="13"/>
        <v>4</v>
      </c>
      <c r="AG6672" s="9"/>
      <c r="AH6672" s="9"/>
      <c r="AI6672" s="9"/>
    </row>
    <row r="6673" ht="15.0" customHeight="1">
      <c r="A6673" s="11">
        <v>6672.0</v>
      </c>
      <c r="B6673" s="12">
        <f t="shared" ref="B6673:B6676" si="1069">DATE(2012,12,31)-298</f>
        <v>40976</v>
      </c>
      <c r="C6673" s="13">
        <v>2012.0</v>
      </c>
      <c r="D6673" s="11" t="s">
        <v>44</v>
      </c>
      <c r="E6673" s="11">
        <v>17.0</v>
      </c>
      <c r="F6673" s="21" t="s">
        <v>158</v>
      </c>
      <c r="G6673" s="15">
        <v>0.10562449637389183</v>
      </c>
      <c r="H6673" s="11" t="s">
        <v>33</v>
      </c>
      <c r="I6673" s="16">
        <v>2.192</v>
      </c>
      <c r="J6673" s="11" t="s">
        <v>2189</v>
      </c>
      <c r="K6673" s="11" t="s">
        <v>35</v>
      </c>
      <c r="L6673" s="11" t="s">
        <v>27</v>
      </c>
      <c r="M6673" s="11" t="s">
        <v>66</v>
      </c>
      <c r="N6673" s="11" t="s">
        <v>67</v>
      </c>
      <c r="O6673" s="11" t="s">
        <v>1270</v>
      </c>
      <c r="P6673" s="11" t="s">
        <v>99</v>
      </c>
      <c r="Q6673" s="20">
        <v>40979.0</v>
      </c>
      <c r="R6673" s="17">
        <f t="shared" si="2"/>
        <v>11.7234741</v>
      </c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>
        <f t="shared" si="8"/>
        <v>1</v>
      </c>
      <c r="AF6673" s="19">
        <f t="shared" si="13"/>
        <v>2</v>
      </c>
      <c r="AG6673" s="9"/>
      <c r="AH6673" s="9"/>
      <c r="AI6673" s="9"/>
    </row>
    <row r="6674" ht="15.0" customHeight="1">
      <c r="A6674" s="11">
        <v>6673.0</v>
      </c>
      <c r="B6674" s="12">
        <f t="shared" si="1069"/>
        <v>40976</v>
      </c>
      <c r="C6674" s="13">
        <v>2012.0</v>
      </c>
      <c r="D6674" s="11" t="s">
        <v>44</v>
      </c>
      <c r="E6674" s="11">
        <v>19.0</v>
      </c>
      <c r="F6674" s="21" t="s">
        <v>264</v>
      </c>
      <c r="G6674" s="15">
        <v>0.013585771658060948</v>
      </c>
      <c r="H6674" s="11" t="s">
        <v>33</v>
      </c>
      <c r="I6674" s="16">
        <v>6.632</v>
      </c>
      <c r="J6674" s="11" t="s">
        <v>2189</v>
      </c>
      <c r="K6674" s="11" t="s">
        <v>35</v>
      </c>
      <c r="L6674" s="11" t="s">
        <v>27</v>
      </c>
      <c r="M6674" s="11" t="s">
        <v>28</v>
      </c>
      <c r="N6674" s="11" t="s">
        <v>236</v>
      </c>
      <c r="O6674" s="11" t="s">
        <v>265</v>
      </c>
      <c r="P6674" s="11" t="s">
        <v>38</v>
      </c>
      <c r="Q6674" s="20">
        <v>40979.0</v>
      </c>
      <c r="R6674" s="17">
        <f t="shared" si="2"/>
        <v>2.335828893</v>
      </c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>
        <f t="shared" si="8"/>
        <v>1</v>
      </c>
      <c r="AF6674" s="19">
        <f t="shared" si="13"/>
        <v>2</v>
      </c>
      <c r="AG6674" s="9"/>
      <c r="AH6674" s="9"/>
      <c r="AI6674" s="9"/>
    </row>
    <row r="6675" ht="15.0" customHeight="1">
      <c r="A6675" s="11">
        <v>6674.0</v>
      </c>
      <c r="B6675" s="12">
        <f t="shared" si="1069"/>
        <v>40976</v>
      </c>
      <c r="C6675" s="13">
        <v>2012.0</v>
      </c>
      <c r="D6675" s="11" t="s">
        <v>23</v>
      </c>
      <c r="E6675" s="11">
        <v>31.0</v>
      </c>
      <c r="F6675" s="21" t="s">
        <v>137</v>
      </c>
      <c r="G6675" s="15">
        <v>0.032334628758437275</v>
      </c>
      <c r="H6675" s="11" t="s">
        <v>45</v>
      </c>
      <c r="I6675" s="16">
        <v>53.016</v>
      </c>
      <c r="J6675" s="11" t="s">
        <v>1550</v>
      </c>
      <c r="K6675" s="11" t="s">
        <v>61</v>
      </c>
      <c r="L6675" s="11" t="s">
        <v>27</v>
      </c>
      <c r="M6675" s="11" t="s">
        <v>49</v>
      </c>
      <c r="N6675" s="11" t="s">
        <v>156</v>
      </c>
      <c r="O6675" s="11" t="s">
        <v>1553</v>
      </c>
      <c r="P6675" s="11" t="s">
        <v>87</v>
      </c>
      <c r="Q6675" s="20">
        <v>40979.0</v>
      </c>
      <c r="R6675" s="17">
        <f t="shared" si="2"/>
        <v>152.9724125</v>
      </c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>
        <f t="shared" si="8"/>
        <v>1</v>
      </c>
      <c r="AF6675" s="19">
        <f t="shared" si="13"/>
        <v>4</v>
      </c>
      <c r="AG6675" s="9"/>
      <c r="AH6675" s="9"/>
      <c r="AI6675" s="9"/>
    </row>
    <row r="6676" ht="15.0" customHeight="1">
      <c r="A6676" s="11">
        <v>6675.0</v>
      </c>
      <c r="B6676" s="12">
        <f t="shared" si="1069"/>
        <v>40976</v>
      </c>
      <c r="C6676" s="13">
        <v>2012.0</v>
      </c>
      <c r="D6676" s="11" t="s">
        <v>102</v>
      </c>
      <c r="E6676" s="11">
        <v>12.0</v>
      </c>
      <c r="F6676" s="21" t="s">
        <v>344</v>
      </c>
      <c r="G6676" s="15">
        <v>0.039672897196261526</v>
      </c>
      <c r="H6676" s="11" t="s">
        <v>33</v>
      </c>
      <c r="I6676" s="16">
        <v>3.608</v>
      </c>
      <c r="J6676" s="11" t="s">
        <v>1667</v>
      </c>
      <c r="K6676" s="11" t="s">
        <v>26</v>
      </c>
      <c r="L6676" s="11" t="s">
        <v>48</v>
      </c>
      <c r="M6676" s="11" t="s">
        <v>28</v>
      </c>
      <c r="N6676" s="11" t="s">
        <v>29</v>
      </c>
      <c r="O6676" s="11" t="s">
        <v>929</v>
      </c>
      <c r="P6676" s="11" t="s">
        <v>38</v>
      </c>
      <c r="Q6676" s="20">
        <v>40979.0</v>
      </c>
      <c r="R6676" s="17">
        <f t="shared" si="2"/>
        <v>6.522541682</v>
      </c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>
        <f t="shared" si="8"/>
        <v>4</v>
      </c>
      <c r="AF6676" s="19">
        <f t="shared" si="13"/>
        <v>1</v>
      </c>
      <c r="AG6676" s="9"/>
      <c r="AH6676" s="9"/>
      <c r="AI6676" s="9"/>
    </row>
    <row r="6677" ht="15.0" customHeight="1">
      <c r="A6677" s="11">
        <v>6676.0</v>
      </c>
      <c r="B6677" s="12">
        <f t="shared" ref="B6677:B6681" si="1070">DATE(2012,12,31)-297</f>
        <v>40977</v>
      </c>
      <c r="C6677" s="13">
        <v>2012.0</v>
      </c>
      <c r="D6677" s="11" t="s">
        <v>39</v>
      </c>
      <c r="E6677" s="11">
        <v>35.0</v>
      </c>
      <c r="F6677" s="21" t="s">
        <v>2599</v>
      </c>
      <c r="G6677" s="15">
        <v>0.05874599655087453</v>
      </c>
      <c r="H6677" s="11" t="s">
        <v>24</v>
      </c>
      <c r="I6677" s="16">
        <v>12.72</v>
      </c>
      <c r="J6677" s="11" t="s">
        <v>1355</v>
      </c>
      <c r="K6677" s="11" t="s">
        <v>61</v>
      </c>
      <c r="L6677" s="11" t="s">
        <v>27</v>
      </c>
      <c r="M6677" s="11" t="s">
        <v>49</v>
      </c>
      <c r="N6677" s="11" t="s">
        <v>73</v>
      </c>
      <c r="O6677" s="11" t="s">
        <v>2600</v>
      </c>
      <c r="P6677" s="11" t="s">
        <v>75</v>
      </c>
      <c r="Q6677" s="20">
        <v>40979.0</v>
      </c>
      <c r="R6677" s="17">
        <f t="shared" si="2"/>
        <v>89.77680685</v>
      </c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>
        <f t="shared" si="8"/>
        <v>1</v>
      </c>
      <c r="AF6677" s="19">
        <f t="shared" si="13"/>
        <v>4</v>
      </c>
      <c r="AG6677" s="9"/>
      <c r="AH6677" s="9"/>
      <c r="AI6677" s="9"/>
    </row>
    <row r="6678" ht="15.0" customHeight="1">
      <c r="A6678" s="11">
        <v>6677.0</v>
      </c>
      <c r="B6678" s="12">
        <f t="shared" si="1070"/>
        <v>40977</v>
      </c>
      <c r="C6678" s="13">
        <v>2012.0</v>
      </c>
      <c r="D6678" s="11" t="s">
        <v>39</v>
      </c>
      <c r="E6678" s="11">
        <v>8.0</v>
      </c>
      <c r="F6678" s="21" t="s">
        <v>128</v>
      </c>
      <c r="G6678" s="15">
        <v>0.04076406619385338</v>
      </c>
      <c r="H6678" s="11" t="s">
        <v>33</v>
      </c>
      <c r="I6678" s="16">
        <v>7.192</v>
      </c>
      <c r="J6678" s="11" t="s">
        <v>1355</v>
      </c>
      <c r="K6678" s="11" t="s">
        <v>61</v>
      </c>
      <c r="L6678" s="11" t="s">
        <v>27</v>
      </c>
      <c r="M6678" s="11" t="s">
        <v>66</v>
      </c>
      <c r="N6678" s="11" t="s">
        <v>80</v>
      </c>
      <c r="O6678" s="11" t="s">
        <v>875</v>
      </c>
      <c r="P6678" s="11" t="s">
        <v>38</v>
      </c>
      <c r="Q6678" s="20">
        <v>40979.0</v>
      </c>
      <c r="R6678" s="17">
        <f t="shared" si="2"/>
        <v>41.35074263</v>
      </c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>
        <f t="shared" si="8"/>
        <v>1</v>
      </c>
      <c r="AF6678" s="19">
        <f t="shared" si="13"/>
        <v>4</v>
      </c>
      <c r="AG6678" s="9"/>
      <c r="AH6678" s="9"/>
      <c r="AI6678" s="9"/>
    </row>
    <row r="6679" ht="15.0" customHeight="1">
      <c r="A6679" s="11">
        <v>6678.0</v>
      </c>
      <c r="B6679" s="12">
        <f t="shared" si="1070"/>
        <v>40977</v>
      </c>
      <c r="C6679" s="13">
        <v>2012.0</v>
      </c>
      <c r="D6679" s="11" t="s">
        <v>44</v>
      </c>
      <c r="E6679" s="11">
        <v>41.0</v>
      </c>
      <c r="F6679" s="21" t="s">
        <v>158</v>
      </c>
      <c r="G6679" s="15">
        <v>0.10657342657342644</v>
      </c>
      <c r="H6679" s="11" t="s">
        <v>33</v>
      </c>
      <c r="I6679" s="16">
        <v>5.896000000000001</v>
      </c>
      <c r="J6679" s="11" t="s">
        <v>1961</v>
      </c>
      <c r="K6679" s="11" t="s">
        <v>65</v>
      </c>
      <c r="L6679" s="11" t="s">
        <v>27</v>
      </c>
      <c r="M6679" s="11" t="s">
        <v>28</v>
      </c>
      <c r="N6679" s="11" t="s">
        <v>56</v>
      </c>
      <c r="O6679" s="11" t="s">
        <v>860</v>
      </c>
      <c r="P6679" s="11" t="s">
        <v>38</v>
      </c>
      <c r="Q6679" s="20">
        <v>40979.0</v>
      </c>
      <c r="R6679" s="17">
        <f t="shared" si="2"/>
        <v>28.59322406</v>
      </c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>
        <f t="shared" si="8"/>
        <v>1</v>
      </c>
      <c r="AF6679" s="19">
        <f t="shared" si="13"/>
        <v>5</v>
      </c>
      <c r="AG6679" s="9"/>
      <c r="AH6679" s="9"/>
      <c r="AI6679" s="9"/>
    </row>
    <row r="6680" ht="15.0" customHeight="1">
      <c r="A6680" s="11">
        <v>6679.0</v>
      </c>
      <c r="B6680" s="12">
        <f t="shared" si="1070"/>
        <v>40977</v>
      </c>
      <c r="C6680" s="13">
        <v>2012.0</v>
      </c>
      <c r="D6680" s="11" t="s">
        <v>44</v>
      </c>
      <c r="E6680" s="11">
        <v>27.0</v>
      </c>
      <c r="F6680" s="21" t="s">
        <v>591</v>
      </c>
      <c r="G6680" s="15">
        <v>0.06889911775987721</v>
      </c>
      <c r="H6680" s="11" t="s">
        <v>33</v>
      </c>
      <c r="I6680" s="16">
        <v>7.5760000000000005</v>
      </c>
      <c r="J6680" s="11" t="s">
        <v>1961</v>
      </c>
      <c r="K6680" s="11" t="s">
        <v>65</v>
      </c>
      <c r="L6680" s="11" t="s">
        <v>27</v>
      </c>
      <c r="M6680" s="11" t="s">
        <v>28</v>
      </c>
      <c r="N6680" s="11" t="s">
        <v>29</v>
      </c>
      <c r="O6680" s="11" t="s">
        <v>592</v>
      </c>
      <c r="P6680" s="11" t="s">
        <v>38</v>
      </c>
      <c r="Q6680" s="20">
        <v>40979.0</v>
      </c>
      <c r="R6680" s="17">
        <f t="shared" si="2"/>
        <v>33.44886809</v>
      </c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>
        <f t="shared" si="8"/>
        <v>1</v>
      </c>
      <c r="AF6680" s="19">
        <f t="shared" si="13"/>
        <v>5</v>
      </c>
      <c r="AG6680" s="9"/>
      <c r="AH6680" s="9"/>
      <c r="AI6680" s="9"/>
    </row>
    <row r="6681" ht="15.0" customHeight="1">
      <c r="A6681" s="11">
        <v>6680.0</v>
      </c>
      <c r="B6681" s="12">
        <f t="shared" si="1070"/>
        <v>40977</v>
      </c>
      <c r="C6681" s="13">
        <v>2012.0</v>
      </c>
      <c r="D6681" s="11" t="s">
        <v>44</v>
      </c>
      <c r="E6681" s="11">
        <v>23.0</v>
      </c>
      <c r="F6681" s="21" t="s">
        <v>166</v>
      </c>
      <c r="G6681" s="15">
        <v>0.11059288537549414</v>
      </c>
      <c r="H6681" s="11" t="s">
        <v>33</v>
      </c>
      <c r="I6681" s="16">
        <v>1.304</v>
      </c>
      <c r="J6681" s="11" t="s">
        <v>1816</v>
      </c>
      <c r="K6681" s="11" t="s">
        <v>47</v>
      </c>
      <c r="L6681" s="11" t="s">
        <v>41</v>
      </c>
      <c r="M6681" s="11" t="s">
        <v>28</v>
      </c>
      <c r="N6681" s="11" t="s">
        <v>62</v>
      </c>
      <c r="O6681" s="11" t="s">
        <v>2220</v>
      </c>
      <c r="P6681" s="11" t="s">
        <v>58</v>
      </c>
      <c r="Q6681" s="20">
        <v>40979.0</v>
      </c>
      <c r="R6681" s="17">
        <f t="shared" si="2"/>
        <v>4.977122213</v>
      </c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>
        <f t="shared" si="8"/>
        <v>3</v>
      </c>
      <c r="AF6681" s="19">
        <f t="shared" si="13"/>
        <v>3</v>
      </c>
      <c r="AG6681" s="9"/>
      <c r="AH6681" s="9"/>
      <c r="AI6681" s="9"/>
    </row>
    <row r="6682" ht="15.0" customHeight="1">
      <c r="A6682" s="11">
        <v>6681.0</v>
      </c>
      <c r="B6682" s="12">
        <f t="shared" ref="B6682:B6689" si="1071">DATE(2012,12,31)-296</f>
        <v>40978</v>
      </c>
      <c r="C6682" s="13">
        <v>2012.0</v>
      </c>
      <c r="D6682" s="11" t="s">
        <v>23</v>
      </c>
      <c r="E6682" s="11">
        <v>10.0</v>
      </c>
      <c r="F6682" s="21" t="s">
        <v>726</v>
      </c>
      <c r="G6682" s="15">
        <v>0.06972903225806447</v>
      </c>
      <c r="H6682" s="11" t="s">
        <v>33</v>
      </c>
      <c r="I6682" s="16">
        <v>7.192</v>
      </c>
      <c r="J6682" s="11" t="s">
        <v>2297</v>
      </c>
      <c r="K6682" s="11" t="s">
        <v>47</v>
      </c>
      <c r="L6682" s="11" t="s">
        <v>41</v>
      </c>
      <c r="M6682" s="11" t="s">
        <v>49</v>
      </c>
      <c r="N6682" s="11" t="s">
        <v>73</v>
      </c>
      <c r="O6682" s="11" t="s">
        <v>2601</v>
      </c>
      <c r="P6682" s="11" t="s">
        <v>99</v>
      </c>
      <c r="Q6682" s="20">
        <v>40980.0</v>
      </c>
      <c r="R6682" s="17">
        <f t="shared" si="2"/>
        <v>10.05436862</v>
      </c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>
        <f t="shared" si="8"/>
        <v>3</v>
      </c>
      <c r="AF6682" s="19">
        <f t="shared" si="13"/>
        <v>3</v>
      </c>
      <c r="AG6682" s="9"/>
      <c r="AH6682" s="9"/>
      <c r="AI6682" s="9"/>
    </row>
    <row r="6683" ht="15.0" customHeight="1">
      <c r="A6683" s="11">
        <v>6682.0</v>
      </c>
      <c r="B6683" s="12">
        <f t="shared" si="1071"/>
        <v>40978</v>
      </c>
      <c r="C6683" s="13">
        <v>2012.0</v>
      </c>
      <c r="D6683" s="11" t="s">
        <v>32</v>
      </c>
      <c r="E6683" s="11">
        <v>46.0</v>
      </c>
      <c r="F6683" s="21" t="s">
        <v>933</v>
      </c>
      <c r="G6683" s="15">
        <v>0.07635765379113021</v>
      </c>
      <c r="H6683" s="11" t="s">
        <v>33</v>
      </c>
      <c r="I6683" s="16">
        <v>11.104000000000001</v>
      </c>
      <c r="J6683" s="11" t="s">
        <v>1754</v>
      </c>
      <c r="K6683" s="11" t="s">
        <v>35</v>
      </c>
      <c r="L6683" s="11" t="s">
        <v>41</v>
      </c>
      <c r="M6683" s="11" t="s">
        <v>28</v>
      </c>
      <c r="N6683" s="11" t="s">
        <v>56</v>
      </c>
      <c r="O6683" s="11" t="s">
        <v>989</v>
      </c>
      <c r="P6683" s="11" t="s">
        <v>38</v>
      </c>
      <c r="Q6683" s="20">
        <v>40980.0</v>
      </c>
      <c r="R6683" s="17">
        <f t="shared" si="2"/>
        <v>197.1939463</v>
      </c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>
        <f t="shared" si="8"/>
        <v>3</v>
      </c>
      <c r="AF6683" s="19">
        <f t="shared" si="13"/>
        <v>2</v>
      </c>
      <c r="AG6683" s="9"/>
      <c r="AH6683" s="9"/>
      <c r="AI6683" s="9"/>
    </row>
    <row r="6684" ht="15.0" customHeight="1">
      <c r="A6684" s="11">
        <v>6683.0</v>
      </c>
      <c r="B6684" s="12">
        <f t="shared" si="1071"/>
        <v>40978</v>
      </c>
      <c r="C6684" s="13">
        <v>2012.0</v>
      </c>
      <c r="D6684" s="11" t="s">
        <v>32</v>
      </c>
      <c r="E6684" s="11">
        <v>36.0</v>
      </c>
      <c r="F6684" s="21" t="s">
        <v>1015</v>
      </c>
      <c r="G6684" s="15">
        <v>0.06454382826475845</v>
      </c>
      <c r="H6684" s="11" t="s">
        <v>24</v>
      </c>
      <c r="I6684" s="16">
        <v>3.968</v>
      </c>
      <c r="J6684" s="11" t="s">
        <v>1754</v>
      </c>
      <c r="K6684" s="11" t="s">
        <v>35</v>
      </c>
      <c r="L6684" s="11" t="s">
        <v>41</v>
      </c>
      <c r="M6684" s="11" t="s">
        <v>28</v>
      </c>
      <c r="N6684" s="11" t="s">
        <v>56</v>
      </c>
      <c r="O6684" s="11" t="s">
        <v>2173</v>
      </c>
      <c r="P6684" s="11" t="s">
        <v>38</v>
      </c>
      <c r="Q6684" s="20">
        <v>40980.0</v>
      </c>
      <c r="R6684" s="17">
        <f t="shared" si="2"/>
        <v>13.50050347</v>
      </c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>
        <f t="shared" si="8"/>
        <v>3</v>
      </c>
      <c r="AF6684" s="19">
        <f t="shared" si="13"/>
        <v>2</v>
      </c>
      <c r="AG6684" s="9"/>
      <c r="AH6684" s="9"/>
      <c r="AI6684" s="9"/>
    </row>
    <row r="6685" ht="15.0" customHeight="1">
      <c r="A6685" s="11">
        <v>6684.0</v>
      </c>
      <c r="B6685" s="12">
        <f t="shared" si="1071"/>
        <v>40978</v>
      </c>
      <c r="C6685" s="13">
        <v>2012.0</v>
      </c>
      <c r="D6685" s="11" t="s">
        <v>102</v>
      </c>
      <c r="E6685" s="11">
        <v>14.0</v>
      </c>
      <c r="F6685" s="21" t="s">
        <v>1596</v>
      </c>
      <c r="G6685" s="15">
        <v>0.02645839769333741</v>
      </c>
      <c r="H6685" s="11" t="s">
        <v>33</v>
      </c>
      <c r="I6685" s="16">
        <v>19.592</v>
      </c>
      <c r="J6685" s="11" t="s">
        <v>998</v>
      </c>
      <c r="K6685" s="11" t="s">
        <v>35</v>
      </c>
      <c r="L6685" s="11" t="s">
        <v>48</v>
      </c>
      <c r="M6685" s="11" t="s">
        <v>49</v>
      </c>
      <c r="N6685" s="11" t="s">
        <v>73</v>
      </c>
      <c r="O6685" s="11" t="s">
        <v>1597</v>
      </c>
      <c r="P6685" s="11" t="s">
        <v>31</v>
      </c>
      <c r="Q6685" s="20">
        <v>40980.0</v>
      </c>
      <c r="R6685" s="17">
        <f t="shared" si="2"/>
        <v>51.22853795</v>
      </c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>
        <f t="shared" si="8"/>
        <v>4</v>
      </c>
      <c r="AF6685" s="19">
        <f t="shared" si="13"/>
        <v>2</v>
      </c>
      <c r="AG6685" s="9"/>
      <c r="AH6685" s="9"/>
      <c r="AI6685" s="9"/>
    </row>
    <row r="6686" ht="15.0" customHeight="1">
      <c r="A6686" s="11">
        <v>6685.0</v>
      </c>
      <c r="B6686" s="12">
        <f t="shared" si="1071"/>
        <v>40978</v>
      </c>
      <c r="C6686" s="13">
        <v>2012.0</v>
      </c>
      <c r="D6686" s="11" t="s">
        <v>102</v>
      </c>
      <c r="E6686" s="11">
        <v>3.0</v>
      </c>
      <c r="F6686" s="21" t="s">
        <v>1559</v>
      </c>
      <c r="G6686" s="15">
        <v>0.15000000000000013</v>
      </c>
      <c r="H6686" s="11" t="s">
        <v>33</v>
      </c>
      <c r="I6686" s="16">
        <v>0.5599999999999999</v>
      </c>
      <c r="J6686" s="11" t="s">
        <v>998</v>
      </c>
      <c r="K6686" s="11" t="s">
        <v>35</v>
      </c>
      <c r="L6686" s="11" t="s">
        <v>48</v>
      </c>
      <c r="M6686" s="11" t="s">
        <v>28</v>
      </c>
      <c r="N6686" s="11" t="s">
        <v>216</v>
      </c>
      <c r="O6686" s="11" t="s">
        <v>1561</v>
      </c>
      <c r="P6686" s="11" t="s">
        <v>58</v>
      </c>
      <c r="Q6686" s="20">
        <v>40980.0</v>
      </c>
      <c r="R6686" s="17">
        <f t="shared" si="2"/>
        <v>0.714</v>
      </c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>
        <f t="shared" si="8"/>
        <v>4</v>
      </c>
      <c r="AF6686" s="19">
        <f t="shared" si="13"/>
        <v>2</v>
      </c>
      <c r="AG6686" s="9"/>
      <c r="AH6686" s="9"/>
      <c r="AI6686" s="9"/>
    </row>
    <row r="6687" ht="15.0" customHeight="1">
      <c r="A6687" s="11">
        <v>6686.0</v>
      </c>
      <c r="B6687" s="12">
        <f t="shared" si="1071"/>
        <v>40978</v>
      </c>
      <c r="C6687" s="13">
        <v>2012.0</v>
      </c>
      <c r="D6687" s="11" t="s">
        <v>102</v>
      </c>
      <c r="E6687" s="11">
        <v>26.0</v>
      </c>
      <c r="F6687" s="21" t="s">
        <v>100</v>
      </c>
      <c r="G6687" s="15">
        <v>0.029752467179719164</v>
      </c>
      <c r="H6687" s="11" t="s">
        <v>33</v>
      </c>
      <c r="I6687" s="16">
        <v>4.792000000000001</v>
      </c>
      <c r="J6687" s="11" t="s">
        <v>1257</v>
      </c>
      <c r="K6687" s="11" t="s">
        <v>35</v>
      </c>
      <c r="L6687" s="11" t="s">
        <v>36</v>
      </c>
      <c r="M6687" s="11" t="s">
        <v>66</v>
      </c>
      <c r="N6687" s="11" t="s">
        <v>80</v>
      </c>
      <c r="O6687" s="11" t="s">
        <v>101</v>
      </c>
      <c r="P6687" s="11" t="s">
        <v>38</v>
      </c>
      <c r="Q6687" s="20">
        <v>40981.0</v>
      </c>
      <c r="R6687" s="17">
        <f t="shared" si="2"/>
        <v>159.4194316</v>
      </c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>
        <f t="shared" si="8"/>
        <v>2</v>
      </c>
      <c r="AF6687" s="19">
        <f t="shared" si="13"/>
        <v>2</v>
      </c>
      <c r="AG6687" s="9"/>
      <c r="AH6687" s="9"/>
      <c r="AI6687" s="9"/>
    </row>
    <row r="6688" ht="15.0" customHeight="1">
      <c r="A6688" s="11">
        <v>6687.0</v>
      </c>
      <c r="B6688" s="12">
        <f t="shared" si="1071"/>
        <v>40978</v>
      </c>
      <c r="C6688" s="13">
        <v>2012.0</v>
      </c>
      <c r="D6688" s="11" t="s">
        <v>23</v>
      </c>
      <c r="E6688" s="11">
        <v>47.0</v>
      </c>
      <c r="F6688" s="21" t="s">
        <v>186</v>
      </c>
      <c r="G6688" s="15">
        <v>0.07287014853857211</v>
      </c>
      <c r="H6688" s="11" t="s">
        <v>33</v>
      </c>
      <c r="I6688" s="16">
        <v>0.792</v>
      </c>
      <c r="J6688" s="11" t="s">
        <v>2568</v>
      </c>
      <c r="K6688" s="11" t="s">
        <v>117</v>
      </c>
      <c r="L6688" s="11" t="s">
        <v>48</v>
      </c>
      <c r="M6688" s="11" t="s">
        <v>28</v>
      </c>
      <c r="N6688" s="11" t="s">
        <v>188</v>
      </c>
      <c r="O6688" s="11" t="s">
        <v>189</v>
      </c>
      <c r="P6688" s="11" t="s">
        <v>38</v>
      </c>
      <c r="Q6688" s="20">
        <v>40981.0</v>
      </c>
      <c r="R6688" s="17">
        <f t="shared" si="2"/>
        <v>14.09979078</v>
      </c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>
        <f t="shared" si="8"/>
        <v>4</v>
      </c>
      <c r="AF6688" s="19" t="b">
        <f t="shared" si="13"/>
        <v>0</v>
      </c>
      <c r="AG6688" s="9"/>
      <c r="AH6688" s="9"/>
      <c r="AI6688" s="9"/>
    </row>
    <row r="6689" ht="15.0" customHeight="1">
      <c r="A6689" s="11">
        <v>6688.0</v>
      </c>
      <c r="B6689" s="12">
        <f t="shared" si="1071"/>
        <v>40978</v>
      </c>
      <c r="C6689" s="13">
        <v>2012.0</v>
      </c>
      <c r="D6689" s="11" t="s">
        <v>39</v>
      </c>
      <c r="E6689" s="11">
        <v>26.0</v>
      </c>
      <c r="F6689" s="21" t="s">
        <v>513</v>
      </c>
      <c r="G6689" s="15">
        <v>0.07584510290596773</v>
      </c>
      <c r="H6689" s="11" t="s">
        <v>45</v>
      </c>
      <c r="I6689" s="16">
        <v>24.0</v>
      </c>
      <c r="J6689" s="11" t="s">
        <v>1901</v>
      </c>
      <c r="K6689" s="11" t="s">
        <v>35</v>
      </c>
      <c r="L6689" s="11" t="s">
        <v>27</v>
      </c>
      <c r="M6689" s="11" t="s">
        <v>49</v>
      </c>
      <c r="N6689" s="11" t="s">
        <v>50</v>
      </c>
      <c r="O6689" s="11" t="s">
        <v>515</v>
      </c>
      <c r="P6689" s="11" t="s">
        <v>52</v>
      </c>
      <c r="Q6689" s="20">
        <v>40981.0</v>
      </c>
      <c r="R6689" s="17">
        <f t="shared" si="2"/>
        <v>319.110686</v>
      </c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>
        <f t="shared" si="8"/>
        <v>1</v>
      </c>
      <c r="AF6689" s="19">
        <f t="shared" si="13"/>
        <v>2</v>
      </c>
      <c r="AG6689" s="9"/>
      <c r="AH6689" s="9"/>
      <c r="AI6689" s="9"/>
    </row>
    <row r="6690" ht="15.0" customHeight="1">
      <c r="A6690" s="11">
        <v>6689.0</v>
      </c>
      <c r="B6690" s="12">
        <f t="shared" ref="B6690:B6694" si="1072">DATE(2012,12,31)-295</f>
        <v>40979</v>
      </c>
      <c r="C6690" s="13">
        <v>2012.0</v>
      </c>
      <c r="D6690" s="11" t="s">
        <v>44</v>
      </c>
      <c r="E6690" s="11">
        <v>7.0</v>
      </c>
      <c r="F6690" s="21" t="s">
        <v>1127</v>
      </c>
      <c r="G6690" s="15">
        <v>0.07439451921433785</v>
      </c>
      <c r="H6690" s="11" t="s">
        <v>45</v>
      </c>
      <c r="I6690" s="16">
        <v>23.76</v>
      </c>
      <c r="J6690" s="11" t="s">
        <v>88</v>
      </c>
      <c r="K6690" s="11" t="s">
        <v>35</v>
      </c>
      <c r="L6690" s="11" t="s">
        <v>48</v>
      </c>
      <c r="M6690" s="11" t="s">
        <v>66</v>
      </c>
      <c r="N6690" s="11" t="s">
        <v>69</v>
      </c>
      <c r="O6690" s="11" t="s">
        <v>1128</v>
      </c>
      <c r="P6690" s="11" t="s">
        <v>52</v>
      </c>
      <c r="Q6690" s="20">
        <v>40981.0</v>
      </c>
      <c r="R6690" s="17">
        <f t="shared" si="2"/>
        <v>1329.761858</v>
      </c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>
        <f t="shared" si="8"/>
        <v>4</v>
      </c>
      <c r="AF6690" s="19">
        <f t="shared" si="13"/>
        <v>2</v>
      </c>
      <c r="AG6690" s="9"/>
      <c r="AH6690" s="9"/>
      <c r="AI6690" s="9"/>
    </row>
    <row r="6691" ht="15.0" customHeight="1">
      <c r="A6691" s="11">
        <v>6690.0</v>
      </c>
      <c r="B6691" s="12">
        <f t="shared" si="1072"/>
        <v>40979</v>
      </c>
      <c r="C6691" s="13">
        <v>2012.0</v>
      </c>
      <c r="D6691" s="11" t="s">
        <v>44</v>
      </c>
      <c r="E6691" s="11">
        <v>9.0</v>
      </c>
      <c r="F6691" s="21" t="s">
        <v>933</v>
      </c>
      <c r="G6691" s="15">
        <v>0.05076202958247534</v>
      </c>
      <c r="H6691" s="11" t="s">
        <v>24</v>
      </c>
      <c r="I6691" s="16">
        <v>3.8880000000000003</v>
      </c>
      <c r="J6691" s="11" t="s">
        <v>88</v>
      </c>
      <c r="K6691" s="11" t="s">
        <v>35</v>
      </c>
      <c r="L6691" s="11" t="s">
        <v>48</v>
      </c>
      <c r="M6691" s="11" t="s">
        <v>28</v>
      </c>
      <c r="N6691" s="11" t="s">
        <v>56</v>
      </c>
      <c r="O6691" s="11" t="s">
        <v>1566</v>
      </c>
      <c r="P6691" s="11" t="s">
        <v>38</v>
      </c>
      <c r="Q6691" s="20">
        <v>40981.0</v>
      </c>
      <c r="R6691" s="17">
        <f t="shared" si="2"/>
        <v>25.73573985</v>
      </c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>
        <f t="shared" si="8"/>
        <v>4</v>
      </c>
      <c r="AF6691" s="19">
        <f t="shared" si="13"/>
        <v>2</v>
      </c>
      <c r="AG6691" s="9"/>
      <c r="AH6691" s="9"/>
      <c r="AI6691" s="9"/>
    </row>
    <row r="6692" ht="15.0" customHeight="1">
      <c r="A6692" s="11">
        <v>6691.0</v>
      </c>
      <c r="B6692" s="12">
        <f t="shared" si="1072"/>
        <v>40979</v>
      </c>
      <c r="C6692" s="13">
        <v>2012.0</v>
      </c>
      <c r="D6692" s="11" t="s">
        <v>102</v>
      </c>
      <c r="E6692" s="11">
        <v>42.0</v>
      </c>
      <c r="F6692" s="21" t="s">
        <v>2517</v>
      </c>
      <c r="G6692" s="15">
        <v>0.02013636119611319</v>
      </c>
      <c r="H6692" s="11" t="s">
        <v>33</v>
      </c>
      <c r="I6692" s="16">
        <v>2.3920000000000003</v>
      </c>
      <c r="J6692" s="11" t="s">
        <v>665</v>
      </c>
      <c r="K6692" s="11" t="s">
        <v>65</v>
      </c>
      <c r="L6692" s="11" t="s">
        <v>36</v>
      </c>
      <c r="M6692" s="11" t="s">
        <v>28</v>
      </c>
      <c r="N6692" s="11" t="s">
        <v>42</v>
      </c>
      <c r="O6692" s="11" t="s">
        <v>2518</v>
      </c>
      <c r="P6692" s="11" t="s">
        <v>38</v>
      </c>
      <c r="Q6692" s="20">
        <v>40981.0</v>
      </c>
      <c r="R6692" s="17">
        <f t="shared" si="2"/>
        <v>36.75272536</v>
      </c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>
        <f t="shared" si="8"/>
        <v>2</v>
      </c>
      <c r="AF6692" s="19">
        <f t="shared" si="13"/>
        <v>5</v>
      </c>
      <c r="AG6692" s="9"/>
      <c r="AH6692" s="9"/>
      <c r="AI6692" s="9"/>
    </row>
    <row r="6693" ht="15.0" customHeight="1">
      <c r="A6693" s="11">
        <v>6692.0</v>
      </c>
      <c r="B6693" s="12">
        <f t="shared" si="1072"/>
        <v>40979</v>
      </c>
      <c r="C6693" s="13">
        <v>2012.0</v>
      </c>
      <c r="D6693" s="11" t="s">
        <v>102</v>
      </c>
      <c r="E6693" s="11">
        <v>19.0</v>
      </c>
      <c r="F6693" s="21" t="s">
        <v>629</v>
      </c>
      <c r="G6693" s="15">
        <v>0.06107329842931951</v>
      </c>
      <c r="H6693" s="11" t="s">
        <v>33</v>
      </c>
      <c r="I6693" s="16">
        <v>4.768</v>
      </c>
      <c r="J6693" s="11" t="s">
        <v>665</v>
      </c>
      <c r="K6693" s="11" t="s">
        <v>65</v>
      </c>
      <c r="L6693" s="11" t="s">
        <v>36</v>
      </c>
      <c r="M6693" s="11" t="s">
        <v>28</v>
      </c>
      <c r="N6693" s="11" t="s">
        <v>56</v>
      </c>
      <c r="O6693" s="11" t="s">
        <v>1958</v>
      </c>
      <c r="P6693" s="11" t="s">
        <v>38</v>
      </c>
      <c r="Q6693" s="20">
        <v>40981.0</v>
      </c>
      <c r="R6693" s="17">
        <f t="shared" si="2"/>
        <v>8.762063979</v>
      </c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>
        <f t="shared" si="8"/>
        <v>2</v>
      </c>
      <c r="AF6693" s="19">
        <f t="shared" si="13"/>
        <v>5</v>
      </c>
      <c r="AG6693" s="9"/>
      <c r="AH6693" s="9"/>
      <c r="AI6693" s="9"/>
    </row>
    <row r="6694" ht="15.0" customHeight="1">
      <c r="A6694" s="11">
        <v>6693.0</v>
      </c>
      <c r="B6694" s="12">
        <f t="shared" si="1072"/>
        <v>40979</v>
      </c>
      <c r="C6694" s="13">
        <v>2012.0</v>
      </c>
      <c r="D6694" s="11" t="s">
        <v>23</v>
      </c>
      <c r="E6694" s="11">
        <v>39.0</v>
      </c>
      <c r="F6694" s="21" t="s">
        <v>350</v>
      </c>
      <c r="G6694" s="15">
        <v>0.05274291710388237</v>
      </c>
      <c r="H6694" s="11" t="s">
        <v>33</v>
      </c>
      <c r="I6694" s="16">
        <v>13.536000000000001</v>
      </c>
      <c r="J6694" s="11" t="s">
        <v>1054</v>
      </c>
      <c r="K6694" s="11" t="s">
        <v>61</v>
      </c>
      <c r="L6694" s="11" t="s">
        <v>48</v>
      </c>
      <c r="M6694" s="11" t="s">
        <v>28</v>
      </c>
      <c r="N6694" s="11" t="s">
        <v>56</v>
      </c>
      <c r="O6694" s="11" t="s">
        <v>1815</v>
      </c>
      <c r="P6694" s="11" t="s">
        <v>38</v>
      </c>
      <c r="Q6694" s="20">
        <v>40981.0</v>
      </c>
      <c r="R6694" s="17">
        <f t="shared" si="2"/>
        <v>47.61293001</v>
      </c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>
        <f t="shared" si="8"/>
        <v>4</v>
      </c>
      <c r="AF6694" s="19">
        <f t="shared" si="13"/>
        <v>4</v>
      </c>
      <c r="AG6694" s="9"/>
      <c r="AH6694" s="9"/>
      <c r="AI6694" s="9"/>
    </row>
    <row r="6695" ht="15.0" customHeight="1">
      <c r="A6695" s="11">
        <v>6694.0</v>
      </c>
      <c r="B6695" s="12">
        <f t="shared" ref="B6695:B6699" si="1073">DATE(2012,12,31)-294</f>
        <v>40980</v>
      </c>
      <c r="C6695" s="13">
        <v>2012.0</v>
      </c>
      <c r="D6695" s="11" t="s">
        <v>32</v>
      </c>
      <c r="E6695" s="11">
        <v>32.0</v>
      </c>
      <c r="F6695" s="21" t="s">
        <v>506</v>
      </c>
      <c r="G6695" s="15">
        <v>0.07468825910931165</v>
      </c>
      <c r="H6695" s="11" t="s">
        <v>33</v>
      </c>
      <c r="I6695" s="16">
        <v>7.752</v>
      </c>
      <c r="J6695" s="11" t="s">
        <v>91</v>
      </c>
      <c r="K6695" s="11" t="s">
        <v>35</v>
      </c>
      <c r="L6695" s="11" t="s">
        <v>27</v>
      </c>
      <c r="M6695" s="11" t="s">
        <v>28</v>
      </c>
      <c r="N6695" s="11" t="s">
        <v>29</v>
      </c>
      <c r="O6695" s="11" t="s">
        <v>1800</v>
      </c>
      <c r="P6695" s="11" t="s">
        <v>38</v>
      </c>
      <c r="Q6695" s="20">
        <v>40982.0</v>
      </c>
      <c r="R6695" s="17">
        <f t="shared" si="2"/>
        <v>17.070151</v>
      </c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>
        <f t="shared" si="8"/>
        <v>1</v>
      </c>
      <c r="AF6695" s="19">
        <f t="shared" si="13"/>
        <v>2</v>
      </c>
      <c r="AG6695" s="9"/>
      <c r="AH6695" s="9"/>
      <c r="AI6695" s="9"/>
    </row>
    <row r="6696" ht="15.0" customHeight="1">
      <c r="A6696" s="11">
        <v>6695.0</v>
      </c>
      <c r="B6696" s="12">
        <f t="shared" si="1073"/>
        <v>40980</v>
      </c>
      <c r="C6696" s="13">
        <v>2012.0</v>
      </c>
      <c r="D6696" s="11" t="s">
        <v>39</v>
      </c>
      <c r="E6696" s="11">
        <v>14.0</v>
      </c>
      <c r="F6696" s="21" t="s">
        <v>865</v>
      </c>
      <c r="G6696" s="15">
        <v>0.057963920104038134</v>
      </c>
      <c r="H6696" s="11" t="s">
        <v>45</v>
      </c>
      <c r="I6696" s="16">
        <v>12.472000000000001</v>
      </c>
      <c r="J6696" s="11" t="s">
        <v>248</v>
      </c>
      <c r="K6696" s="11" t="s">
        <v>117</v>
      </c>
      <c r="L6696" s="11" t="s">
        <v>48</v>
      </c>
      <c r="M6696" s="11" t="s">
        <v>66</v>
      </c>
      <c r="N6696" s="11" t="s">
        <v>69</v>
      </c>
      <c r="O6696" s="11" t="s">
        <v>1675</v>
      </c>
      <c r="P6696" s="11" t="s">
        <v>52</v>
      </c>
      <c r="Q6696" s="20">
        <v>40982.0</v>
      </c>
      <c r="R6696" s="17">
        <f t="shared" si="2"/>
        <v>163.7522477</v>
      </c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>
        <f t="shared" si="8"/>
        <v>4</v>
      </c>
      <c r="AF6696" s="19" t="b">
        <f t="shared" si="13"/>
        <v>0</v>
      </c>
      <c r="AG6696" s="9"/>
      <c r="AH6696" s="9"/>
      <c r="AI6696" s="9"/>
    </row>
    <row r="6697" ht="15.0" customHeight="1">
      <c r="A6697" s="11">
        <v>6696.0</v>
      </c>
      <c r="B6697" s="12">
        <f t="shared" si="1073"/>
        <v>40980</v>
      </c>
      <c r="C6697" s="13">
        <v>2012.0</v>
      </c>
      <c r="D6697" s="11" t="s">
        <v>32</v>
      </c>
      <c r="E6697" s="11">
        <v>27.0</v>
      </c>
      <c r="F6697" s="21" t="s">
        <v>128</v>
      </c>
      <c r="G6697" s="15">
        <v>0.057679515205179964</v>
      </c>
      <c r="H6697" s="11" t="s">
        <v>33</v>
      </c>
      <c r="I6697" s="16">
        <v>6.152000000000001</v>
      </c>
      <c r="J6697" s="11" t="s">
        <v>567</v>
      </c>
      <c r="K6697" s="11" t="s">
        <v>35</v>
      </c>
      <c r="L6697" s="11" t="s">
        <v>36</v>
      </c>
      <c r="M6697" s="11" t="s">
        <v>66</v>
      </c>
      <c r="N6697" s="11" t="s">
        <v>80</v>
      </c>
      <c r="O6697" s="11" t="s">
        <v>589</v>
      </c>
      <c r="P6697" s="11" t="s">
        <v>38</v>
      </c>
      <c r="Q6697" s="20">
        <v>40982.0</v>
      </c>
      <c r="R6697" s="17">
        <f t="shared" si="2"/>
        <v>196.4248204</v>
      </c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>
        <f t="shared" si="8"/>
        <v>2</v>
      </c>
      <c r="AF6697" s="19">
        <f t="shared" si="13"/>
        <v>2</v>
      </c>
      <c r="AG6697" s="9"/>
      <c r="AH6697" s="9"/>
      <c r="AI6697" s="9"/>
    </row>
    <row r="6698" ht="15.0" customHeight="1">
      <c r="A6698" s="11">
        <v>6697.0</v>
      </c>
      <c r="B6698" s="12">
        <f t="shared" si="1073"/>
        <v>40980</v>
      </c>
      <c r="C6698" s="13">
        <v>2012.0</v>
      </c>
      <c r="D6698" s="11" t="s">
        <v>102</v>
      </c>
      <c r="E6698" s="11">
        <v>34.0</v>
      </c>
      <c r="F6698" s="21" t="s">
        <v>1789</v>
      </c>
      <c r="G6698" s="15">
        <v>0.09142011490917537</v>
      </c>
      <c r="H6698" s="11" t="s">
        <v>33</v>
      </c>
      <c r="I6698" s="16">
        <v>15.991999999999999</v>
      </c>
      <c r="J6698" s="11" t="s">
        <v>46</v>
      </c>
      <c r="K6698" s="11" t="s">
        <v>47</v>
      </c>
      <c r="L6698" s="11" t="s">
        <v>48</v>
      </c>
      <c r="M6698" s="11" t="s">
        <v>28</v>
      </c>
      <c r="N6698" s="11" t="s">
        <v>42</v>
      </c>
      <c r="O6698" s="11" t="s">
        <v>1790</v>
      </c>
      <c r="P6698" s="11" t="s">
        <v>38</v>
      </c>
      <c r="Q6698" s="20">
        <v>40983.0</v>
      </c>
      <c r="R6698" s="17">
        <f t="shared" si="2"/>
        <v>1144.99964</v>
      </c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>
        <f t="shared" si="8"/>
        <v>4</v>
      </c>
      <c r="AF6698" s="19">
        <f t="shared" si="13"/>
        <v>3</v>
      </c>
      <c r="AG6698" s="9"/>
      <c r="AH6698" s="9"/>
      <c r="AI6698" s="9"/>
    </row>
    <row r="6699" ht="15.0" customHeight="1">
      <c r="A6699" s="11">
        <v>6698.0</v>
      </c>
      <c r="B6699" s="12">
        <f t="shared" si="1073"/>
        <v>40980</v>
      </c>
      <c r="C6699" s="13">
        <v>2012.0</v>
      </c>
      <c r="D6699" s="11" t="s">
        <v>102</v>
      </c>
      <c r="E6699" s="11">
        <v>19.0</v>
      </c>
      <c r="F6699" s="21" t="s">
        <v>290</v>
      </c>
      <c r="G6699" s="15">
        <v>0.10975661375661376</v>
      </c>
      <c r="H6699" s="11" t="s">
        <v>33</v>
      </c>
      <c r="I6699" s="16">
        <v>4.328</v>
      </c>
      <c r="J6699" s="11" t="s">
        <v>46</v>
      </c>
      <c r="K6699" s="11" t="s">
        <v>47</v>
      </c>
      <c r="L6699" s="11" t="s">
        <v>48</v>
      </c>
      <c r="M6699" s="11" t="s">
        <v>28</v>
      </c>
      <c r="N6699" s="11" t="s">
        <v>42</v>
      </c>
      <c r="O6699" s="11" t="s">
        <v>1475</v>
      </c>
      <c r="P6699" s="11" t="s">
        <v>38</v>
      </c>
      <c r="Q6699" s="20">
        <v>40983.0</v>
      </c>
      <c r="R6699" s="17">
        <f t="shared" si="2"/>
        <v>9.233604402</v>
      </c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>
        <f t="shared" si="8"/>
        <v>4</v>
      </c>
      <c r="AF6699" s="19">
        <f t="shared" si="13"/>
        <v>3</v>
      </c>
      <c r="AG6699" s="9"/>
      <c r="AH6699" s="9"/>
      <c r="AI6699" s="9"/>
    </row>
    <row r="6700" ht="15.0" customHeight="1">
      <c r="A6700" s="11">
        <v>6699.0</v>
      </c>
      <c r="B6700" s="12">
        <f t="shared" ref="B6700:B6703" si="1074">DATE(2012,12,31)-293</f>
        <v>40981</v>
      </c>
      <c r="C6700" s="13">
        <v>2012.0</v>
      </c>
      <c r="D6700" s="11" t="s">
        <v>32</v>
      </c>
      <c r="E6700" s="11">
        <v>10.0</v>
      </c>
      <c r="F6700" s="21" t="s">
        <v>425</v>
      </c>
      <c r="G6700" s="15">
        <v>0.09814702044367113</v>
      </c>
      <c r="H6700" s="11" t="s">
        <v>33</v>
      </c>
      <c r="I6700" s="16">
        <v>5.336</v>
      </c>
      <c r="J6700" s="11" t="s">
        <v>823</v>
      </c>
      <c r="K6700" s="11" t="s">
        <v>61</v>
      </c>
      <c r="L6700" s="11" t="s">
        <v>41</v>
      </c>
      <c r="M6700" s="11" t="s">
        <v>49</v>
      </c>
      <c r="N6700" s="11" t="s">
        <v>73</v>
      </c>
      <c r="O6700" s="11" t="s">
        <v>2268</v>
      </c>
      <c r="P6700" s="11" t="s">
        <v>99</v>
      </c>
      <c r="Q6700" s="20">
        <v>40983.0</v>
      </c>
      <c r="R6700" s="17">
        <f t="shared" si="2"/>
        <v>20.34941063</v>
      </c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>
        <f t="shared" si="8"/>
        <v>3</v>
      </c>
      <c r="AF6700" s="19">
        <f t="shared" si="13"/>
        <v>4</v>
      </c>
      <c r="AG6700" s="9"/>
      <c r="AH6700" s="9"/>
      <c r="AI6700" s="9"/>
    </row>
    <row r="6701" ht="15.0" customHeight="1">
      <c r="A6701" s="11">
        <v>6700.0</v>
      </c>
      <c r="B6701" s="12">
        <f t="shared" si="1074"/>
        <v>40981</v>
      </c>
      <c r="C6701" s="13">
        <v>2012.0</v>
      </c>
      <c r="D6701" s="11" t="s">
        <v>102</v>
      </c>
      <c r="E6701" s="11">
        <v>20.0</v>
      </c>
      <c r="F6701" s="21" t="s">
        <v>610</v>
      </c>
      <c r="G6701" s="15">
        <v>0.05747720364741636</v>
      </c>
      <c r="H6701" s="11" t="s">
        <v>33</v>
      </c>
      <c r="I6701" s="16">
        <v>4.072</v>
      </c>
      <c r="J6701" s="11" t="s">
        <v>462</v>
      </c>
      <c r="K6701" s="11" t="s">
        <v>35</v>
      </c>
      <c r="L6701" s="11" t="s">
        <v>27</v>
      </c>
      <c r="M6701" s="11" t="s">
        <v>28</v>
      </c>
      <c r="N6701" s="11" t="s">
        <v>56</v>
      </c>
      <c r="O6701" s="11" t="s">
        <v>1797</v>
      </c>
      <c r="P6701" s="11" t="s">
        <v>38</v>
      </c>
      <c r="Q6701" s="20">
        <v>40983.0</v>
      </c>
      <c r="R6701" s="17">
        <f t="shared" si="2"/>
        <v>14.25848486</v>
      </c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>
        <f t="shared" si="8"/>
        <v>1</v>
      </c>
      <c r="AF6701" s="19">
        <f t="shared" si="13"/>
        <v>2</v>
      </c>
      <c r="AG6701" s="9"/>
      <c r="AH6701" s="9"/>
      <c r="AI6701" s="9"/>
    </row>
    <row r="6702" ht="15.0" customHeight="1">
      <c r="A6702" s="11">
        <v>6701.0</v>
      </c>
      <c r="B6702" s="12">
        <f t="shared" si="1074"/>
        <v>40981</v>
      </c>
      <c r="C6702" s="13">
        <v>2012.0</v>
      </c>
      <c r="D6702" s="11" t="s">
        <v>23</v>
      </c>
      <c r="E6702" s="11">
        <v>29.0</v>
      </c>
      <c r="F6702" s="21" t="s">
        <v>496</v>
      </c>
      <c r="G6702" s="15">
        <v>0.08442645355269487</v>
      </c>
      <c r="H6702" s="11" t="s">
        <v>45</v>
      </c>
      <c r="I6702" s="16">
        <v>48.160000000000004</v>
      </c>
      <c r="J6702" s="11" t="s">
        <v>1799</v>
      </c>
      <c r="K6702" s="11" t="s">
        <v>117</v>
      </c>
      <c r="L6702" s="11" t="s">
        <v>48</v>
      </c>
      <c r="M6702" s="11" t="s">
        <v>49</v>
      </c>
      <c r="N6702" s="11" t="s">
        <v>156</v>
      </c>
      <c r="O6702" s="11" t="s">
        <v>497</v>
      </c>
      <c r="P6702" s="11" t="s">
        <v>87</v>
      </c>
      <c r="Q6702" s="20">
        <v>40983.0</v>
      </c>
      <c r="R6702" s="17">
        <f t="shared" si="2"/>
        <v>593.8776252</v>
      </c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>
        <f t="shared" si="8"/>
        <v>4</v>
      </c>
      <c r="AF6702" s="19" t="b">
        <f t="shared" si="13"/>
        <v>0</v>
      </c>
      <c r="AG6702" s="9"/>
      <c r="AH6702" s="9"/>
      <c r="AI6702" s="9"/>
    </row>
    <row r="6703" ht="15.0" customHeight="1">
      <c r="A6703" s="11">
        <v>6702.0</v>
      </c>
      <c r="B6703" s="12">
        <f t="shared" si="1074"/>
        <v>40981</v>
      </c>
      <c r="C6703" s="13">
        <v>2012.0</v>
      </c>
      <c r="D6703" s="11" t="s">
        <v>23</v>
      </c>
      <c r="E6703" s="11">
        <v>13.0</v>
      </c>
      <c r="F6703" s="21" t="s">
        <v>128</v>
      </c>
      <c r="G6703" s="15">
        <v>0.02122706695258516</v>
      </c>
      <c r="H6703" s="11" t="s">
        <v>33</v>
      </c>
      <c r="I6703" s="16">
        <v>6.464</v>
      </c>
      <c r="J6703" s="11" t="s">
        <v>1799</v>
      </c>
      <c r="K6703" s="11" t="s">
        <v>117</v>
      </c>
      <c r="L6703" s="11" t="s">
        <v>48</v>
      </c>
      <c r="M6703" s="11" t="s">
        <v>66</v>
      </c>
      <c r="N6703" s="11" t="s">
        <v>80</v>
      </c>
      <c r="O6703" s="11" t="s">
        <v>1508</v>
      </c>
      <c r="P6703" s="11" t="s">
        <v>38</v>
      </c>
      <c r="Q6703" s="20">
        <v>40983.0</v>
      </c>
      <c r="R6703" s="17">
        <f t="shared" si="2"/>
        <v>34.87955224</v>
      </c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>
        <f t="shared" si="8"/>
        <v>4</v>
      </c>
      <c r="AF6703" s="19" t="b">
        <f t="shared" si="13"/>
        <v>0</v>
      </c>
      <c r="AG6703" s="9"/>
      <c r="AH6703" s="9"/>
      <c r="AI6703" s="9"/>
    </row>
    <row r="6704" ht="15.0" customHeight="1">
      <c r="A6704" s="11">
        <v>6703.0</v>
      </c>
      <c r="B6704" s="12">
        <f t="shared" ref="B6704:B6708" si="1075">DATE(2012,12,31)-292</f>
        <v>40982</v>
      </c>
      <c r="C6704" s="13">
        <v>2012.0</v>
      </c>
      <c r="D6704" s="11" t="s">
        <v>39</v>
      </c>
      <c r="E6704" s="11">
        <v>45.0</v>
      </c>
      <c r="F6704" s="21" t="s">
        <v>415</v>
      </c>
      <c r="G6704" s="15">
        <v>0.01748358862144419</v>
      </c>
      <c r="H6704" s="11" t="s">
        <v>33</v>
      </c>
      <c r="I6704" s="16">
        <v>4.104</v>
      </c>
      <c r="J6704" s="11" t="s">
        <v>786</v>
      </c>
      <c r="K6704" s="11" t="s">
        <v>35</v>
      </c>
      <c r="L6704" s="11" t="s">
        <v>48</v>
      </c>
      <c r="M6704" s="11" t="s">
        <v>28</v>
      </c>
      <c r="N6704" s="11" t="s">
        <v>197</v>
      </c>
      <c r="O6704" s="11" t="s">
        <v>1788</v>
      </c>
      <c r="P6704" s="11" t="s">
        <v>38</v>
      </c>
      <c r="Q6704" s="20">
        <v>40983.0</v>
      </c>
      <c r="R6704" s="17">
        <f t="shared" si="2"/>
        <v>3.140122451</v>
      </c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>
        <f t="shared" si="8"/>
        <v>4</v>
      </c>
      <c r="AF6704" s="19">
        <f t="shared" si="13"/>
        <v>2</v>
      </c>
      <c r="AG6704" s="9"/>
      <c r="AH6704" s="9"/>
      <c r="AI6704" s="9"/>
    </row>
    <row r="6705" ht="15.0" customHeight="1">
      <c r="A6705" s="11">
        <v>6704.0</v>
      </c>
      <c r="B6705" s="12">
        <f t="shared" si="1075"/>
        <v>40982</v>
      </c>
      <c r="C6705" s="13">
        <v>2012.0</v>
      </c>
      <c r="D6705" s="11" t="s">
        <v>102</v>
      </c>
      <c r="E6705" s="11">
        <v>43.0</v>
      </c>
      <c r="F6705" s="21" t="s">
        <v>2310</v>
      </c>
      <c r="G6705" s="15">
        <v>0.043643688891072556</v>
      </c>
      <c r="H6705" s="11" t="s">
        <v>45</v>
      </c>
      <c r="I6705" s="16">
        <v>37.272000000000006</v>
      </c>
      <c r="J6705" s="11" t="s">
        <v>2185</v>
      </c>
      <c r="K6705" s="11" t="s">
        <v>26</v>
      </c>
      <c r="L6705" s="11" t="s">
        <v>36</v>
      </c>
      <c r="M6705" s="11" t="s">
        <v>49</v>
      </c>
      <c r="N6705" s="11" t="s">
        <v>85</v>
      </c>
      <c r="O6705" s="11" t="s">
        <v>2312</v>
      </c>
      <c r="P6705" s="11" t="s">
        <v>87</v>
      </c>
      <c r="Q6705" s="20">
        <v>40984.0</v>
      </c>
      <c r="R6705" s="17">
        <f t="shared" si="2"/>
        <v>84.9512184</v>
      </c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>
        <f t="shared" si="8"/>
        <v>2</v>
      </c>
      <c r="AF6705" s="19">
        <f t="shared" si="13"/>
        <v>1</v>
      </c>
      <c r="AG6705" s="9"/>
      <c r="AH6705" s="9"/>
      <c r="AI6705" s="9"/>
    </row>
    <row r="6706" ht="15.0" customHeight="1">
      <c r="A6706" s="11">
        <v>6705.0</v>
      </c>
      <c r="B6706" s="12">
        <f t="shared" si="1075"/>
        <v>40982</v>
      </c>
      <c r="C6706" s="13">
        <v>2012.0</v>
      </c>
      <c r="D6706" s="11" t="s">
        <v>23</v>
      </c>
      <c r="E6706" s="11">
        <v>18.0</v>
      </c>
      <c r="F6706" s="21" t="s">
        <v>397</v>
      </c>
      <c r="G6706" s="15">
        <v>0.025023505708529205</v>
      </c>
      <c r="H6706" s="11" t="s">
        <v>33</v>
      </c>
      <c r="I6706" s="16">
        <v>10.096</v>
      </c>
      <c r="J6706" s="11" t="s">
        <v>884</v>
      </c>
      <c r="K6706" s="11" t="s">
        <v>35</v>
      </c>
      <c r="L6706" s="11" t="s">
        <v>48</v>
      </c>
      <c r="M6706" s="11" t="s">
        <v>28</v>
      </c>
      <c r="N6706" s="11" t="s">
        <v>42</v>
      </c>
      <c r="O6706" s="11" t="s">
        <v>1333</v>
      </c>
      <c r="P6706" s="11" t="s">
        <v>38</v>
      </c>
      <c r="Q6706" s="20">
        <v>40984.0</v>
      </c>
      <c r="R6706" s="17">
        <f t="shared" si="2"/>
        <v>14.53104967</v>
      </c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>
        <f t="shared" si="8"/>
        <v>4</v>
      </c>
      <c r="AF6706" s="19">
        <f t="shared" si="13"/>
        <v>2</v>
      </c>
      <c r="AG6706" s="9"/>
      <c r="AH6706" s="9"/>
      <c r="AI6706" s="9"/>
    </row>
    <row r="6707" ht="15.0" customHeight="1">
      <c r="A6707" s="11">
        <v>6706.0</v>
      </c>
      <c r="B6707" s="12">
        <f t="shared" si="1075"/>
        <v>40982</v>
      </c>
      <c r="C6707" s="13">
        <v>2012.0</v>
      </c>
      <c r="D6707" s="11" t="s">
        <v>44</v>
      </c>
      <c r="E6707" s="11">
        <v>43.0</v>
      </c>
      <c r="F6707" s="21" t="s">
        <v>352</v>
      </c>
      <c r="G6707" s="15">
        <v>0.05881661891117475</v>
      </c>
      <c r="H6707" s="11" t="s">
        <v>33</v>
      </c>
      <c r="I6707" s="16">
        <v>2.3920000000000003</v>
      </c>
      <c r="J6707" s="11" t="s">
        <v>25</v>
      </c>
      <c r="K6707" s="11" t="s">
        <v>26</v>
      </c>
      <c r="L6707" s="11" t="s">
        <v>27</v>
      </c>
      <c r="M6707" s="11" t="s">
        <v>28</v>
      </c>
      <c r="N6707" s="11" t="s">
        <v>42</v>
      </c>
      <c r="O6707" s="11" t="s">
        <v>594</v>
      </c>
      <c r="P6707" s="11" t="s">
        <v>38</v>
      </c>
      <c r="Q6707" s="20">
        <v>40984.0</v>
      </c>
      <c r="R6707" s="17">
        <f t="shared" si="2"/>
        <v>77.27868505</v>
      </c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>
        <f t="shared" si="8"/>
        <v>1</v>
      </c>
      <c r="AF6707" s="19">
        <f t="shared" si="13"/>
        <v>1</v>
      </c>
      <c r="AG6707" s="9"/>
      <c r="AH6707" s="9"/>
      <c r="AI6707" s="9"/>
    </row>
    <row r="6708" ht="15.0" customHeight="1">
      <c r="A6708" s="11">
        <v>6707.0</v>
      </c>
      <c r="B6708" s="12">
        <f t="shared" si="1075"/>
        <v>40982</v>
      </c>
      <c r="C6708" s="13">
        <v>2012.0</v>
      </c>
      <c r="D6708" s="11" t="s">
        <v>44</v>
      </c>
      <c r="E6708" s="11">
        <v>50.0</v>
      </c>
      <c r="F6708" s="21" t="s">
        <v>1584</v>
      </c>
      <c r="G6708" s="15">
        <v>0.06683122225830906</v>
      </c>
      <c r="H6708" s="11" t="s">
        <v>45</v>
      </c>
      <c r="I6708" s="16">
        <v>25.744</v>
      </c>
      <c r="J6708" s="11" t="s">
        <v>25</v>
      </c>
      <c r="K6708" s="11" t="s">
        <v>26</v>
      </c>
      <c r="L6708" s="11" t="s">
        <v>27</v>
      </c>
      <c r="M6708" s="11" t="s">
        <v>49</v>
      </c>
      <c r="N6708" s="11" t="s">
        <v>156</v>
      </c>
      <c r="O6708" s="11" t="s">
        <v>1585</v>
      </c>
      <c r="P6708" s="11" t="s">
        <v>87</v>
      </c>
      <c r="Q6708" s="20">
        <v>40984.0</v>
      </c>
      <c r="R6708" s="17">
        <f t="shared" si="2"/>
        <v>460.8509999</v>
      </c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>
        <f t="shared" si="8"/>
        <v>1</v>
      </c>
      <c r="AF6708" s="19">
        <f t="shared" si="13"/>
        <v>1</v>
      </c>
      <c r="AG6708" s="9"/>
      <c r="AH6708" s="9"/>
      <c r="AI6708" s="9"/>
    </row>
    <row r="6709" ht="15.0" customHeight="1">
      <c r="A6709" s="11">
        <v>6708.0</v>
      </c>
      <c r="B6709" s="12">
        <f t="shared" ref="B6709:B6717" si="1076">DATE(2012,12,31)-291</f>
        <v>40983</v>
      </c>
      <c r="C6709" s="13">
        <v>2012.0</v>
      </c>
      <c r="D6709" s="11" t="s">
        <v>23</v>
      </c>
      <c r="E6709" s="11">
        <v>32.0</v>
      </c>
      <c r="F6709" s="21" t="s">
        <v>333</v>
      </c>
      <c r="G6709" s="15">
        <v>0.03918283963227796</v>
      </c>
      <c r="H6709" s="11" t="s">
        <v>33</v>
      </c>
      <c r="I6709" s="16">
        <v>1.2640000000000002</v>
      </c>
      <c r="J6709" s="11" t="s">
        <v>2297</v>
      </c>
      <c r="K6709" s="11" t="s">
        <v>47</v>
      </c>
      <c r="L6709" s="11" t="s">
        <v>41</v>
      </c>
      <c r="M6709" s="11" t="s">
        <v>28</v>
      </c>
      <c r="N6709" s="11" t="s">
        <v>216</v>
      </c>
      <c r="O6709" s="11" t="s">
        <v>643</v>
      </c>
      <c r="P6709" s="11" t="s">
        <v>58</v>
      </c>
      <c r="Q6709" s="20">
        <v>40984.0</v>
      </c>
      <c r="R6709" s="17">
        <f t="shared" si="2"/>
        <v>3.685694627</v>
      </c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>
        <f t="shared" si="8"/>
        <v>3</v>
      </c>
      <c r="AF6709" s="19">
        <f t="shared" si="13"/>
        <v>3</v>
      </c>
      <c r="AG6709" s="9"/>
      <c r="AH6709" s="9"/>
      <c r="AI6709" s="9"/>
    </row>
    <row r="6710" ht="15.0" customHeight="1">
      <c r="A6710" s="11">
        <v>6709.0</v>
      </c>
      <c r="B6710" s="12">
        <f t="shared" si="1076"/>
        <v>40983</v>
      </c>
      <c r="C6710" s="13">
        <v>2012.0</v>
      </c>
      <c r="D6710" s="11" t="s">
        <v>23</v>
      </c>
      <c r="E6710" s="11">
        <v>50.0</v>
      </c>
      <c r="F6710" s="21" t="s">
        <v>419</v>
      </c>
      <c r="G6710" s="15">
        <v>0.022577777777777724</v>
      </c>
      <c r="H6710" s="11" t="s">
        <v>24</v>
      </c>
      <c r="I6710" s="16">
        <v>4.4</v>
      </c>
      <c r="J6710" s="11" t="s">
        <v>2297</v>
      </c>
      <c r="K6710" s="11" t="s">
        <v>47</v>
      </c>
      <c r="L6710" s="11" t="s">
        <v>41</v>
      </c>
      <c r="M6710" s="11" t="s">
        <v>66</v>
      </c>
      <c r="N6710" s="11" t="s">
        <v>67</v>
      </c>
      <c r="O6710" s="11" t="s">
        <v>420</v>
      </c>
      <c r="P6710" s="11" t="s">
        <v>38</v>
      </c>
      <c r="Q6710" s="20">
        <v>40984.0</v>
      </c>
      <c r="R6710" s="17">
        <f t="shared" si="2"/>
        <v>37.23978667</v>
      </c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>
        <f t="shared" si="8"/>
        <v>3</v>
      </c>
      <c r="AF6710" s="19">
        <f t="shared" si="13"/>
        <v>3</v>
      </c>
      <c r="AG6710" s="9"/>
      <c r="AH6710" s="9"/>
      <c r="AI6710" s="9"/>
    </row>
    <row r="6711" ht="15.0" customHeight="1">
      <c r="A6711" s="11">
        <v>6710.0</v>
      </c>
      <c r="B6711" s="12">
        <f t="shared" si="1076"/>
        <v>40983</v>
      </c>
      <c r="C6711" s="13">
        <v>2012.0</v>
      </c>
      <c r="D6711" s="11" t="s">
        <v>23</v>
      </c>
      <c r="E6711" s="11">
        <v>23.0</v>
      </c>
      <c r="F6711" s="21" t="s">
        <v>523</v>
      </c>
      <c r="G6711" s="15">
        <v>0.11655696202531643</v>
      </c>
      <c r="H6711" s="11" t="s">
        <v>33</v>
      </c>
      <c r="I6711" s="16">
        <v>0.792</v>
      </c>
      <c r="J6711" s="11" t="s">
        <v>485</v>
      </c>
      <c r="K6711" s="11" t="s">
        <v>47</v>
      </c>
      <c r="L6711" s="11" t="s">
        <v>48</v>
      </c>
      <c r="M6711" s="11" t="s">
        <v>28</v>
      </c>
      <c r="N6711" s="11" t="s">
        <v>188</v>
      </c>
      <c r="O6711" s="11" t="s">
        <v>2175</v>
      </c>
      <c r="P6711" s="11" t="s">
        <v>38</v>
      </c>
      <c r="Q6711" s="20">
        <v>40984.0</v>
      </c>
      <c r="R6711" s="17">
        <f t="shared" si="2"/>
        <v>8.134743494</v>
      </c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>
        <f t="shared" si="8"/>
        <v>4</v>
      </c>
      <c r="AF6711" s="19">
        <f t="shared" si="13"/>
        <v>3</v>
      </c>
      <c r="AG6711" s="9"/>
      <c r="AH6711" s="9"/>
      <c r="AI6711" s="9"/>
    </row>
    <row r="6712" ht="15.0" customHeight="1">
      <c r="A6712" s="11">
        <v>6711.0</v>
      </c>
      <c r="B6712" s="12">
        <f t="shared" si="1076"/>
        <v>40983</v>
      </c>
      <c r="C6712" s="13">
        <v>2012.0</v>
      </c>
      <c r="D6712" s="11" t="s">
        <v>23</v>
      </c>
      <c r="E6712" s="11">
        <v>11.0</v>
      </c>
      <c r="F6712" s="21" t="s">
        <v>1435</v>
      </c>
      <c r="G6712" s="15">
        <v>0.05103448275862071</v>
      </c>
      <c r="H6712" s="11" t="s">
        <v>33</v>
      </c>
      <c r="I6712" s="16">
        <v>0.5599999999999999</v>
      </c>
      <c r="J6712" s="11" t="s">
        <v>485</v>
      </c>
      <c r="K6712" s="11" t="s">
        <v>47</v>
      </c>
      <c r="L6712" s="11" t="s">
        <v>48</v>
      </c>
      <c r="M6712" s="11" t="s">
        <v>28</v>
      </c>
      <c r="N6712" s="11" t="s">
        <v>216</v>
      </c>
      <c r="O6712" s="11" t="s">
        <v>1436</v>
      </c>
      <c r="P6712" s="11" t="s">
        <v>58</v>
      </c>
      <c r="Q6712" s="20">
        <v>40985.0</v>
      </c>
      <c r="R6712" s="17">
        <f t="shared" si="2"/>
        <v>0.7022344828</v>
      </c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>
        <f t="shared" si="8"/>
        <v>4</v>
      </c>
      <c r="AF6712" s="19">
        <f t="shared" si="13"/>
        <v>3</v>
      </c>
      <c r="AG6712" s="9"/>
      <c r="AH6712" s="9"/>
      <c r="AI6712" s="9"/>
    </row>
    <row r="6713" ht="15.0" customHeight="1">
      <c r="A6713" s="11">
        <v>6712.0</v>
      </c>
      <c r="B6713" s="12">
        <f t="shared" si="1076"/>
        <v>40983</v>
      </c>
      <c r="C6713" s="13">
        <v>2012.0</v>
      </c>
      <c r="D6713" s="11" t="s">
        <v>23</v>
      </c>
      <c r="E6713" s="11">
        <v>3.0</v>
      </c>
      <c r="F6713" s="21" t="s">
        <v>163</v>
      </c>
      <c r="G6713" s="15">
        <v>0.10586740331491701</v>
      </c>
      <c r="H6713" s="11" t="s">
        <v>45</v>
      </c>
      <c r="I6713" s="16">
        <v>20.976</v>
      </c>
      <c r="J6713" s="11" t="s">
        <v>2039</v>
      </c>
      <c r="K6713" s="11" t="s">
        <v>83</v>
      </c>
      <c r="L6713" s="11" t="s">
        <v>41</v>
      </c>
      <c r="M6713" s="11" t="s">
        <v>49</v>
      </c>
      <c r="N6713" s="11" t="s">
        <v>156</v>
      </c>
      <c r="O6713" s="11" t="s">
        <v>2437</v>
      </c>
      <c r="P6713" s="11" t="s">
        <v>87</v>
      </c>
      <c r="Q6713" s="20">
        <v>40985.0</v>
      </c>
      <c r="R6713" s="17">
        <f t="shared" si="2"/>
        <v>34.26673764</v>
      </c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>
        <f t="shared" si="8"/>
        <v>3</v>
      </c>
      <c r="AF6713" s="19" t="b">
        <f t="shared" si="13"/>
        <v>0</v>
      </c>
      <c r="AG6713" s="9"/>
      <c r="AH6713" s="9"/>
      <c r="AI6713" s="9"/>
    </row>
    <row r="6714" ht="15.0" customHeight="1">
      <c r="A6714" s="11">
        <v>6713.0</v>
      </c>
      <c r="B6714" s="12">
        <f t="shared" si="1076"/>
        <v>40983</v>
      </c>
      <c r="C6714" s="13">
        <v>2012.0</v>
      </c>
      <c r="D6714" s="11" t="s">
        <v>23</v>
      </c>
      <c r="E6714" s="11">
        <v>8.0</v>
      </c>
      <c r="F6714" s="21" t="s">
        <v>994</v>
      </c>
      <c r="G6714" s="15">
        <v>0.03811023622047244</v>
      </c>
      <c r="H6714" s="11" t="s">
        <v>33</v>
      </c>
      <c r="I6714" s="16">
        <v>14.76</v>
      </c>
      <c r="J6714" s="11" t="s">
        <v>2039</v>
      </c>
      <c r="K6714" s="11" t="s">
        <v>83</v>
      </c>
      <c r="L6714" s="11" t="s">
        <v>41</v>
      </c>
      <c r="M6714" s="11" t="s">
        <v>49</v>
      </c>
      <c r="N6714" s="11" t="s">
        <v>73</v>
      </c>
      <c r="O6714" s="11" t="s">
        <v>995</v>
      </c>
      <c r="P6714" s="11" t="s">
        <v>75</v>
      </c>
      <c r="Q6714" s="20">
        <v>40985.0</v>
      </c>
      <c r="R6714" s="17">
        <f t="shared" si="2"/>
        <v>16.2944126</v>
      </c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>
        <f t="shared" si="8"/>
        <v>3</v>
      </c>
      <c r="AF6714" s="19" t="b">
        <f t="shared" si="13"/>
        <v>0</v>
      </c>
      <c r="AG6714" s="9"/>
      <c r="AH6714" s="9"/>
      <c r="AI6714" s="9"/>
    </row>
    <row r="6715" ht="15.0" customHeight="1">
      <c r="A6715" s="11">
        <v>6714.0</v>
      </c>
      <c r="B6715" s="12">
        <f t="shared" si="1076"/>
        <v>40983</v>
      </c>
      <c r="C6715" s="13">
        <v>2012.0</v>
      </c>
      <c r="D6715" s="11" t="s">
        <v>23</v>
      </c>
      <c r="E6715" s="11">
        <v>17.0</v>
      </c>
      <c r="F6715" s="21" t="s">
        <v>1047</v>
      </c>
      <c r="G6715" s="15">
        <v>0.08779318313113808</v>
      </c>
      <c r="H6715" s="11" t="s">
        <v>33</v>
      </c>
      <c r="I6715" s="16">
        <v>11.112000000000002</v>
      </c>
      <c r="J6715" s="11" t="s">
        <v>844</v>
      </c>
      <c r="K6715" s="11" t="s">
        <v>117</v>
      </c>
      <c r="L6715" s="11" t="s">
        <v>27</v>
      </c>
      <c r="M6715" s="11" t="s">
        <v>28</v>
      </c>
      <c r="N6715" s="11" t="s">
        <v>62</v>
      </c>
      <c r="O6715" s="11" t="s">
        <v>1049</v>
      </c>
      <c r="P6715" s="11" t="s">
        <v>58</v>
      </c>
      <c r="Q6715" s="20">
        <v>40985.0</v>
      </c>
      <c r="R6715" s="17">
        <f t="shared" si="2"/>
        <v>55.45122798</v>
      </c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>
        <f t="shared" si="8"/>
        <v>1</v>
      </c>
      <c r="AF6715" s="19" t="b">
        <f t="shared" si="13"/>
        <v>0</v>
      </c>
      <c r="AG6715" s="9"/>
      <c r="AH6715" s="9"/>
      <c r="AI6715" s="9"/>
    </row>
    <row r="6716" ht="15.0" customHeight="1">
      <c r="A6716" s="11">
        <v>6715.0</v>
      </c>
      <c r="B6716" s="12">
        <f t="shared" si="1076"/>
        <v>40983</v>
      </c>
      <c r="C6716" s="13">
        <v>2012.0</v>
      </c>
      <c r="D6716" s="11" t="s">
        <v>23</v>
      </c>
      <c r="E6716" s="11">
        <v>8.0</v>
      </c>
      <c r="F6716" s="21" t="s">
        <v>894</v>
      </c>
      <c r="G6716" s="15">
        <v>0.07870967741935497</v>
      </c>
      <c r="H6716" s="11" t="s">
        <v>33</v>
      </c>
      <c r="I6716" s="16">
        <v>5.016</v>
      </c>
      <c r="J6716" s="11" t="s">
        <v>1442</v>
      </c>
      <c r="K6716" s="11" t="s">
        <v>35</v>
      </c>
      <c r="L6716" s="11" t="s">
        <v>41</v>
      </c>
      <c r="M6716" s="11" t="s">
        <v>28</v>
      </c>
      <c r="N6716" s="11" t="s">
        <v>42</v>
      </c>
      <c r="O6716" s="11" t="s">
        <v>89</v>
      </c>
      <c r="P6716" s="11" t="s">
        <v>38</v>
      </c>
      <c r="Q6716" s="20">
        <v>40985.0</v>
      </c>
      <c r="R6716" s="17">
        <f t="shared" si="2"/>
        <v>2.472743226</v>
      </c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>
        <f t="shared" si="8"/>
        <v>3</v>
      </c>
      <c r="AF6716" s="19">
        <f t="shared" si="13"/>
        <v>2</v>
      </c>
      <c r="AG6716" s="9"/>
      <c r="AH6716" s="9"/>
      <c r="AI6716" s="9"/>
    </row>
    <row r="6717" ht="15.0" customHeight="1">
      <c r="A6717" s="11">
        <v>6716.0</v>
      </c>
      <c r="B6717" s="12">
        <f t="shared" si="1076"/>
        <v>40983</v>
      </c>
      <c r="C6717" s="13">
        <v>2012.0</v>
      </c>
      <c r="D6717" s="11" t="s">
        <v>23</v>
      </c>
      <c r="E6717" s="11">
        <v>21.0</v>
      </c>
      <c r="F6717" s="21" t="s">
        <v>810</v>
      </c>
      <c r="G6717" s="15">
        <v>0.050915059499384435</v>
      </c>
      <c r="H6717" s="11" t="s">
        <v>33</v>
      </c>
      <c r="I6717" s="16">
        <v>2.3920000000000003</v>
      </c>
      <c r="J6717" s="11" t="s">
        <v>744</v>
      </c>
      <c r="K6717" s="11" t="s">
        <v>61</v>
      </c>
      <c r="L6717" s="11" t="s">
        <v>36</v>
      </c>
      <c r="M6717" s="11" t="s">
        <v>28</v>
      </c>
      <c r="N6717" s="11" t="s">
        <v>42</v>
      </c>
      <c r="O6717" s="11" t="s">
        <v>811</v>
      </c>
      <c r="P6717" s="11" t="s">
        <v>38</v>
      </c>
      <c r="Q6717" s="20">
        <v>40985.0</v>
      </c>
      <c r="R6717" s="17">
        <f t="shared" si="2"/>
        <v>11.77624594</v>
      </c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>
        <f t="shared" si="8"/>
        <v>2</v>
      </c>
      <c r="AF6717" s="19">
        <f t="shared" si="13"/>
        <v>4</v>
      </c>
      <c r="AG6717" s="9"/>
      <c r="AH6717" s="9"/>
      <c r="AI6717" s="9"/>
    </row>
    <row r="6718" ht="15.0" customHeight="1">
      <c r="A6718" s="11">
        <v>6717.0</v>
      </c>
      <c r="B6718" s="12">
        <f t="shared" ref="B6718:B6721" si="1077">DATE(2012,12,31)-290</f>
        <v>40984</v>
      </c>
      <c r="C6718" s="13">
        <v>2012.0</v>
      </c>
      <c r="D6718" s="11" t="s">
        <v>39</v>
      </c>
      <c r="E6718" s="11">
        <v>7.0</v>
      </c>
      <c r="F6718" s="21" t="s">
        <v>115</v>
      </c>
      <c r="G6718" s="15">
        <v>0.02171546675852557</v>
      </c>
      <c r="H6718" s="11" t="s">
        <v>33</v>
      </c>
      <c r="I6718" s="16">
        <v>5.688000000000001</v>
      </c>
      <c r="J6718" s="11" t="s">
        <v>1409</v>
      </c>
      <c r="K6718" s="11" t="s">
        <v>26</v>
      </c>
      <c r="L6718" s="11" t="s">
        <v>41</v>
      </c>
      <c r="M6718" s="11" t="s">
        <v>66</v>
      </c>
      <c r="N6718" s="11" t="s">
        <v>69</v>
      </c>
      <c r="O6718" s="11" t="s">
        <v>1833</v>
      </c>
      <c r="P6718" s="11" t="s">
        <v>75</v>
      </c>
      <c r="Q6718" s="20">
        <v>40985.0</v>
      </c>
      <c r="R6718" s="17">
        <f t="shared" si="2"/>
        <v>18.50131709</v>
      </c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>
        <f t="shared" si="8"/>
        <v>3</v>
      </c>
      <c r="AF6718" s="19">
        <f t="shared" si="13"/>
        <v>1</v>
      </c>
      <c r="AG6718" s="9"/>
      <c r="AH6718" s="9"/>
      <c r="AI6718" s="9"/>
    </row>
    <row r="6719" ht="15.0" customHeight="1">
      <c r="A6719" s="11">
        <v>6718.0</v>
      </c>
      <c r="B6719" s="12">
        <f t="shared" si="1077"/>
        <v>40984</v>
      </c>
      <c r="C6719" s="13">
        <v>2012.0</v>
      </c>
      <c r="D6719" s="11" t="s">
        <v>23</v>
      </c>
      <c r="E6719" s="11">
        <v>13.0</v>
      </c>
      <c r="F6719" s="21" t="s">
        <v>158</v>
      </c>
      <c r="G6719" s="15">
        <v>0.06675526024363225</v>
      </c>
      <c r="H6719" s="11" t="s">
        <v>33</v>
      </c>
      <c r="I6719" s="16">
        <v>1.072</v>
      </c>
      <c r="J6719" s="11" t="s">
        <v>1460</v>
      </c>
      <c r="K6719" s="11" t="s">
        <v>35</v>
      </c>
      <c r="L6719" s="11" t="s">
        <v>36</v>
      </c>
      <c r="M6719" s="11" t="s">
        <v>28</v>
      </c>
      <c r="N6719" s="11" t="s">
        <v>56</v>
      </c>
      <c r="O6719" s="11" t="s">
        <v>1604</v>
      </c>
      <c r="P6719" s="11" t="s">
        <v>58</v>
      </c>
      <c r="Q6719" s="20">
        <v>40986.0</v>
      </c>
      <c r="R6719" s="17">
        <f t="shared" si="2"/>
        <v>5.625599291</v>
      </c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>
        <f t="shared" si="8"/>
        <v>2</v>
      </c>
      <c r="AF6719" s="19">
        <f t="shared" si="13"/>
        <v>2</v>
      </c>
      <c r="AG6719" s="9"/>
      <c r="AH6719" s="9"/>
      <c r="AI6719" s="9"/>
    </row>
    <row r="6720" ht="15.0" customHeight="1">
      <c r="A6720" s="11">
        <v>6719.0</v>
      </c>
      <c r="B6720" s="12">
        <f t="shared" si="1077"/>
        <v>40984</v>
      </c>
      <c r="C6720" s="13">
        <v>2012.0</v>
      </c>
      <c r="D6720" s="11" t="s">
        <v>32</v>
      </c>
      <c r="E6720" s="11">
        <v>32.0</v>
      </c>
      <c r="F6720" s="21" t="s">
        <v>1158</v>
      </c>
      <c r="G6720" s="15">
        <v>0.08087636932707354</v>
      </c>
      <c r="H6720" s="11" t="s">
        <v>33</v>
      </c>
      <c r="I6720" s="16">
        <v>5.464</v>
      </c>
      <c r="J6720" s="11" t="s">
        <v>1983</v>
      </c>
      <c r="K6720" s="11" t="s">
        <v>35</v>
      </c>
      <c r="L6720" s="11" t="s">
        <v>27</v>
      </c>
      <c r="M6720" s="11" t="s">
        <v>28</v>
      </c>
      <c r="N6720" s="11" t="s">
        <v>42</v>
      </c>
      <c r="O6720" s="11" t="s">
        <v>1577</v>
      </c>
      <c r="P6720" s="11" t="s">
        <v>38</v>
      </c>
      <c r="Q6720" s="20">
        <v>40986.0</v>
      </c>
      <c r="R6720" s="17">
        <f t="shared" si="2"/>
        <v>9.500061847</v>
      </c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>
        <f t="shared" si="8"/>
        <v>1</v>
      </c>
      <c r="AF6720" s="19">
        <f t="shared" si="13"/>
        <v>2</v>
      </c>
      <c r="AG6720" s="9"/>
      <c r="AH6720" s="9"/>
      <c r="AI6720" s="9"/>
    </row>
    <row r="6721" ht="15.0" customHeight="1">
      <c r="A6721" s="11">
        <v>6720.0</v>
      </c>
      <c r="B6721" s="12">
        <f t="shared" si="1077"/>
        <v>40984</v>
      </c>
      <c r="C6721" s="13">
        <v>2012.0</v>
      </c>
      <c r="D6721" s="11" t="s">
        <v>32</v>
      </c>
      <c r="E6721" s="11">
        <v>13.0</v>
      </c>
      <c r="F6721" s="21" t="s">
        <v>950</v>
      </c>
      <c r="G6721" s="15">
        <v>0.012588932806323979</v>
      </c>
      <c r="H6721" s="11" t="s">
        <v>33</v>
      </c>
      <c r="I6721" s="16">
        <v>6.152000000000001</v>
      </c>
      <c r="J6721" s="11" t="s">
        <v>1983</v>
      </c>
      <c r="K6721" s="11" t="s">
        <v>35</v>
      </c>
      <c r="L6721" s="11" t="s">
        <v>27</v>
      </c>
      <c r="M6721" s="11" t="s">
        <v>28</v>
      </c>
      <c r="N6721" s="11" t="s">
        <v>29</v>
      </c>
      <c r="O6721" s="11" t="s">
        <v>951</v>
      </c>
      <c r="P6721" s="11" t="s">
        <v>38</v>
      </c>
      <c r="Q6721" s="20">
        <v>40986.0</v>
      </c>
      <c r="R6721" s="17">
        <f t="shared" si="2"/>
        <v>2.515923399</v>
      </c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>
        <f t="shared" si="8"/>
        <v>1</v>
      </c>
      <c r="AF6721" s="19">
        <f t="shared" si="13"/>
        <v>2</v>
      </c>
      <c r="AG6721" s="9"/>
      <c r="AH6721" s="9"/>
      <c r="AI6721" s="9"/>
    </row>
    <row r="6722" ht="15.0" customHeight="1">
      <c r="A6722" s="11">
        <v>6721.0</v>
      </c>
      <c r="B6722" s="12">
        <f t="shared" ref="B6722:B6728" si="1078">DATE(2012,12,31)-289</f>
        <v>40985</v>
      </c>
      <c r="C6722" s="13">
        <v>2012.0</v>
      </c>
      <c r="D6722" s="11" t="s">
        <v>102</v>
      </c>
      <c r="E6722" s="11">
        <v>8.0</v>
      </c>
      <c r="F6722" s="21" t="s">
        <v>2517</v>
      </c>
      <c r="G6722" s="15">
        <v>0.04924666847973893</v>
      </c>
      <c r="H6722" s="11" t="s">
        <v>33</v>
      </c>
      <c r="I6722" s="16">
        <v>2.3920000000000003</v>
      </c>
      <c r="J6722" s="11" t="s">
        <v>919</v>
      </c>
      <c r="K6722" s="11" t="s">
        <v>61</v>
      </c>
      <c r="L6722" s="11" t="s">
        <v>48</v>
      </c>
      <c r="M6722" s="11" t="s">
        <v>28</v>
      </c>
      <c r="N6722" s="11" t="s">
        <v>42</v>
      </c>
      <c r="O6722" s="11" t="s">
        <v>2518</v>
      </c>
      <c r="P6722" s="11" t="s">
        <v>38</v>
      </c>
      <c r="Q6722" s="20">
        <v>40986.0</v>
      </c>
      <c r="R6722" s="17">
        <f t="shared" si="2"/>
        <v>17.21624133</v>
      </c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>
        <f t="shared" si="8"/>
        <v>4</v>
      </c>
      <c r="AF6722" s="19">
        <f t="shared" si="13"/>
        <v>4</v>
      </c>
      <c r="AG6722" s="9"/>
      <c r="AH6722" s="9"/>
      <c r="AI6722" s="9"/>
    </row>
    <row r="6723" ht="15.0" customHeight="1">
      <c r="A6723" s="11">
        <v>6722.0</v>
      </c>
      <c r="B6723" s="12">
        <f t="shared" si="1078"/>
        <v>40985</v>
      </c>
      <c r="C6723" s="13">
        <v>2012.0</v>
      </c>
      <c r="D6723" s="11" t="s">
        <v>102</v>
      </c>
      <c r="E6723" s="11">
        <v>5.0</v>
      </c>
      <c r="F6723" s="21" t="s">
        <v>881</v>
      </c>
      <c r="G6723" s="15">
        <v>0.046838407494145196</v>
      </c>
      <c r="H6723" s="11" t="s">
        <v>33</v>
      </c>
      <c r="I6723" s="16">
        <v>3.2</v>
      </c>
      <c r="J6723" s="11" t="s">
        <v>1092</v>
      </c>
      <c r="K6723" s="11" t="s">
        <v>26</v>
      </c>
      <c r="L6723" s="11" t="s">
        <v>41</v>
      </c>
      <c r="M6723" s="11" t="s">
        <v>49</v>
      </c>
      <c r="N6723" s="11" t="s">
        <v>73</v>
      </c>
      <c r="O6723" s="11" t="s">
        <v>883</v>
      </c>
      <c r="P6723" s="11" t="s">
        <v>58</v>
      </c>
      <c r="Q6723" s="20">
        <v>40986.0</v>
      </c>
      <c r="R6723" s="17">
        <f t="shared" si="2"/>
        <v>1.906323185</v>
      </c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>
        <f t="shared" si="8"/>
        <v>3</v>
      </c>
      <c r="AF6723" s="19">
        <f t="shared" si="13"/>
        <v>1</v>
      </c>
      <c r="AG6723" s="9"/>
      <c r="AH6723" s="9"/>
      <c r="AI6723" s="9"/>
    </row>
    <row r="6724" ht="15.0" customHeight="1">
      <c r="A6724" s="11">
        <v>6723.0</v>
      </c>
      <c r="B6724" s="12">
        <f t="shared" si="1078"/>
        <v>40985</v>
      </c>
      <c r="C6724" s="13">
        <v>2012.0</v>
      </c>
      <c r="D6724" s="11" t="s">
        <v>102</v>
      </c>
      <c r="E6724" s="11">
        <v>37.0</v>
      </c>
      <c r="F6724" s="21" t="s">
        <v>1182</v>
      </c>
      <c r="G6724" s="15">
        <v>0.08836363636363635</v>
      </c>
      <c r="H6724" s="11" t="s">
        <v>33</v>
      </c>
      <c r="I6724" s="16">
        <v>0.76</v>
      </c>
      <c r="J6724" s="11" t="s">
        <v>1092</v>
      </c>
      <c r="K6724" s="11" t="s">
        <v>26</v>
      </c>
      <c r="L6724" s="11" t="s">
        <v>41</v>
      </c>
      <c r="M6724" s="11" t="s">
        <v>28</v>
      </c>
      <c r="N6724" s="11" t="s">
        <v>56</v>
      </c>
      <c r="O6724" s="11" t="s">
        <v>1183</v>
      </c>
      <c r="P6724" s="11" t="s">
        <v>58</v>
      </c>
      <c r="Q6724" s="20">
        <v>40986.0</v>
      </c>
      <c r="R6724" s="17">
        <f t="shared" si="2"/>
        <v>17.72221091</v>
      </c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>
        <f t="shared" si="8"/>
        <v>3</v>
      </c>
      <c r="AF6724" s="19">
        <f t="shared" si="13"/>
        <v>1</v>
      </c>
      <c r="AG6724" s="9"/>
      <c r="AH6724" s="9"/>
      <c r="AI6724" s="9"/>
    </row>
    <row r="6725" ht="15.0" customHeight="1">
      <c r="A6725" s="11">
        <v>6724.0</v>
      </c>
      <c r="B6725" s="12">
        <f t="shared" si="1078"/>
        <v>40985</v>
      </c>
      <c r="C6725" s="13">
        <v>2012.0</v>
      </c>
      <c r="D6725" s="11" t="s">
        <v>102</v>
      </c>
      <c r="E6725" s="11">
        <v>37.0</v>
      </c>
      <c r="F6725" s="21" t="s">
        <v>124</v>
      </c>
      <c r="G6725" s="15">
        <v>0.05750888773719575</v>
      </c>
      <c r="H6725" s="11" t="s">
        <v>33</v>
      </c>
      <c r="I6725" s="16">
        <v>28.0</v>
      </c>
      <c r="J6725" s="11" t="s">
        <v>1092</v>
      </c>
      <c r="K6725" s="11" t="s">
        <v>26</v>
      </c>
      <c r="L6725" s="11" t="s">
        <v>41</v>
      </c>
      <c r="M6725" s="11" t="s">
        <v>28</v>
      </c>
      <c r="N6725" s="11" t="s">
        <v>29</v>
      </c>
      <c r="O6725" s="11" t="s">
        <v>1313</v>
      </c>
      <c r="P6725" s="11" t="s">
        <v>31</v>
      </c>
      <c r="Q6725" s="20">
        <v>40986.0</v>
      </c>
      <c r="R6725" s="17">
        <f t="shared" si="2"/>
        <v>596.1256285</v>
      </c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>
        <f t="shared" si="8"/>
        <v>3</v>
      </c>
      <c r="AF6725" s="19">
        <f t="shared" si="13"/>
        <v>1</v>
      </c>
      <c r="AG6725" s="9"/>
      <c r="AH6725" s="9"/>
      <c r="AI6725" s="9"/>
    </row>
    <row r="6726" ht="15.0" customHeight="1">
      <c r="A6726" s="11">
        <v>6725.0</v>
      </c>
      <c r="B6726" s="12">
        <f t="shared" si="1078"/>
        <v>40985</v>
      </c>
      <c r="C6726" s="13">
        <v>2012.0</v>
      </c>
      <c r="D6726" s="11" t="s">
        <v>23</v>
      </c>
      <c r="E6726" s="11">
        <v>18.0</v>
      </c>
      <c r="F6726" s="21" t="s">
        <v>183</v>
      </c>
      <c r="G6726" s="15">
        <v>0.09922720247295215</v>
      </c>
      <c r="H6726" s="11" t="s">
        <v>33</v>
      </c>
      <c r="I6726" s="16">
        <v>5.2</v>
      </c>
      <c r="J6726" s="11" t="s">
        <v>2434</v>
      </c>
      <c r="K6726" s="11" t="s">
        <v>65</v>
      </c>
      <c r="L6726" s="11" t="s">
        <v>27</v>
      </c>
      <c r="M6726" s="11" t="s">
        <v>66</v>
      </c>
      <c r="N6726" s="11" t="s">
        <v>67</v>
      </c>
      <c r="O6726" s="11" t="s">
        <v>941</v>
      </c>
      <c r="P6726" s="11" t="s">
        <v>38</v>
      </c>
      <c r="Q6726" s="20">
        <v>40986.0</v>
      </c>
      <c r="R6726" s="17">
        <f t="shared" si="2"/>
        <v>28.9148068</v>
      </c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>
        <f t="shared" si="8"/>
        <v>1</v>
      </c>
      <c r="AF6726" s="19">
        <f t="shared" si="13"/>
        <v>5</v>
      </c>
      <c r="AG6726" s="9"/>
      <c r="AH6726" s="9"/>
      <c r="AI6726" s="9"/>
    </row>
    <row r="6727" ht="15.0" customHeight="1">
      <c r="A6727" s="11">
        <v>6726.0</v>
      </c>
      <c r="B6727" s="12">
        <f t="shared" si="1078"/>
        <v>40985</v>
      </c>
      <c r="C6727" s="13">
        <v>2012.0</v>
      </c>
      <c r="D6727" s="11" t="s">
        <v>23</v>
      </c>
      <c r="E6727" s="11">
        <v>36.0</v>
      </c>
      <c r="F6727" s="21" t="s">
        <v>158</v>
      </c>
      <c r="G6727" s="15">
        <v>0.09839326702371834</v>
      </c>
      <c r="H6727" s="11" t="s">
        <v>24</v>
      </c>
      <c r="I6727" s="16">
        <v>5.28</v>
      </c>
      <c r="J6727" s="11" t="s">
        <v>2434</v>
      </c>
      <c r="K6727" s="11" t="s">
        <v>65</v>
      </c>
      <c r="L6727" s="11" t="s">
        <v>27</v>
      </c>
      <c r="M6727" s="11" t="s">
        <v>28</v>
      </c>
      <c r="N6727" s="11" t="s">
        <v>56</v>
      </c>
      <c r="O6727" s="11" t="s">
        <v>543</v>
      </c>
      <c r="P6727" s="11" t="s">
        <v>38</v>
      </c>
      <c r="Q6727" s="20">
        <v>40987.0</v>
      </c>
      <c r="R6727" s="17">
        <f t="shared" si="2"/>
        <v>23.18932517</v>
      </c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>
        <f t="shared" si="8"/>
        <v>1</v>
      </c>
      <c r="AF6727" s="19">
        <f t="shared" si="13"/>
        <v>5</v>
      </c>
      <c r="AG6727" s="9"/>
      <c r="AH6727" s="9"/>
      <c r="AI6727" s="9"/>
    </row>
    <row r="6728" ht="15.0" customHeight="1">
      <c r="A6728" s="11">
        <v>6727.0</v>
      </c>
      <c r="B6728" s="12">
        <f t="shared" si="1078"/>
        <v>40985</v>
      </c>
      <c r="C6728" s="13">
        <v>2012.0</v>
      </c>
      <c r="D6728" s="11" t="s">
        <v>32</v>
      </c>
      <c r="E6728" s="11">
        <v>11.0</v>
      </c>
      <c r="F6728" s="21" t="s">
        <v>948</v>
      </c>
      <c r="G6728" s="15">
        <v>0.10498422712933753</v>
      </c>
      <c r="H6728" s="11" t="s">
        <v>24</v>
      </c>
      <c r="I6728" s="16">
        <v>3.944</v>
      </c>
      <c r="J6728" s="11" t="s">
        <v>2058</v>
      </c>
      <c r="K6728" s="11" t="s">
        <v>83</v>
      </c>
      <c r="L6728" s="11" t="s">
        <v>27</v>
      </c>
      <c r="M6728" s="11" t="s">
        <v>66</v>
      </c>
      <c r="N6728" s="11" t="s">
        <v>67</v>
      </c>
      <c r="O6728" s="11" t="s">
        <v>1295</v>
      </c>
      <c r="P6728" s="11" t="s">
        <v>99</v>
      </c>
      <c r="Q6728" s="20">
        <v>40987.0</v>
      </c>
      <c r="R6728" s="17">
        <f t="shared" si="2"/>
        <v>5.957224984</v>
      </c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>
        <f t="shared" si="8"/>
        <v>1</v>
      </c>
      <c r="AF6728" s="19" t="b">
        <f t="shared" si="13"/>
        <v>0</v>
      </c>
      <c r="AG6728" s="9"/>
      <c r="AH6728" s="9"/>
      <c r="AI6728" s="9"/>
    </row>
    <row r="6729" ht="15.0" customHeight="1">
      <c r="A6729" s="11">
        <v>6728.0</v>
      </c>
      <c r="B6729" s="12">
        <f t="shared" ref="B6729:B6731" si="1079">DATE(2012,12,31)-288</f>
        <v>40986</v>
      </c>
      <c r="C6729" s="13">
        <v>2012.0</v>
      </c>
      <c r="D6729" s="11" t="s">
        <v>39</v>
      </c>
      <c r="E6729" s="11">
        <v>20.0</v>
      </c>
      <c r="F6729" s="21" t="s">
        <v>1156</v>
      </c>
      <c r="G6729" s="15">
        <v>0.07508244279328616</v>
      </c>
      <c r="H6729" s="11" t="s">
        <v>33</v>
      </c>
      <c r="I6729" s="16">
        <v>6.464</v>
      </c>
      <c r="J6729" s="11" t="s">
        <v>323</v>
      </c>
      <c r="K6729" s="11" t="s">
        <v>61</v>
      </c>
      <c r="L6729" s="11" t="s">
        <v>48</v>
      </c>
      <c r="M6729" s="11" t="s">
        <v>66</v>
      </c>
      <c r="N6729" s="11" t="s">
        <v>80</v>
      </c>
      <c r="O6729" s="11" t="s">
        <v>2588</v>
      </c>
      <c r="P6729" s="11" t="s">
        <v>38</v>
      </c>
      <c r="Q6729" s="20">
        <v>40988.0</v>
      </c>
      <c r="R6729" s="17">
        <f t="shared" si="2"/>
        <v>234.5923895</v>
      </c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>
        <f t="shared" si="8"/>
        <v>4</v>
      </c>
      <c r="AF6729" s="19">
        <f t="shared" si="13"/>
        <v>4</v>
      </c>
      <c r="AG6729" s="9"/>
      <c r="AH6729" s="9"/>
      <c r="AI6729" s="9"/>
    </row>
    <row r="6730" ht="15.0" customHeight="1">
      <c r="A6730" s="11">
        <v>6729.0</v>
      </c>
      <c r="B6730" s="12">
        <f t="shared" si="1079"/>
        <v>40986</v>
      </c>
      <c r="C6730" s="13">
        <v>2012.0</v>
      </c>
      <c r="D6730" s="11" t="s">
        <v>39</v>
      </c>
      <c r="E6730" s="11">
        <v>46.0</v>
      </c>
      <c r="F6730" s="21" t="s">
        <v>158</v>
      </c>
      <c r="G6730" s="15">
        <v>0.10758335792269084</v>
      </c>
      <c r="H6730" s="11" t="s">
        <v>33</v>
      </c>
      <c r="I6730" s="16">
        <v>8.040000000000001</v>
      </c>
      <c r="J6730" s="11" t="s">
        <v>323</v>
      </c>
      <c r="K6730" s="11" t="s">
        <v>61</v>
      </c>
      <c r="L6730" s="11" t="s">
        <v>48</v>
      </c>
      <c r="M6730" s="11" t="s">
        <v>28</v>
      </c>
      <c r="N6730" s="11" t="s">
        <v>56</v>
      </c>
      <c r="O6730" s="11" t="s">
        <v>646</v>
      </c>
      <c r="P6730" s="11" t="s">
        <v>38</v>
      </c>
      <c r="Q6730" s="20">
        <v>40988.0</v>
      </c>
      <c r="R6730" s="17">
        <f t="shared" si="2"/>
        <v>32.53751077</v>
      </c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>
        <f t="shared" si="8"/>
        <v>4</v>
      </c>
      <c r="AF6730" s="19">
        <f t="shared" si="13"/>
        <v>4</v>
      </c>
      <c r="AG6730" s="9"/>
      <c r="AH6730" s="9"/>
      <c r="AI6730" s="9"/>
    </row>
    <row r="6731" ht="15.0" customHeight="1">
      <c r="A6731" s="11">
        <v>6730.0</v>
      </c>
      <c r="B6731" s="12">
        <f t="shared" si="1079"/>
        <v>40986</v>
      </c>
      <c r="C6731" s="13">
        <v>2012.0</v>
      </c>
      <c r="D6731" s="11" t="s">
        <v>102</v>
      </c>
      <c r="E6731" s="11">
        <v>1.0</v>
      </c>
      <c r="F6731" s="21" t="s">
        <v>1005</v>
      </c>
      <c r="G6731" s="15">
        <v>0.12433333333333325</v>
      </c>
      <c r="H6731" s="11" t="s">
        <v>33</v>
      </c>
      <c r="I6731" s="16">
        <v>1.6079999999999999</v>
      </c>
      <c r="J6731" s="11" t="s">
        <v>871</v>
      </c>
      <c r="K6731" s="11" t="s">
        <v>26</v>
      </c>
      <c r="L6731" s="11" t="s">
        <v>27</v>
      </c>
      <c r="M6731" s="11" t="s">
        <v>28</v>
      </c>
      <c r="N6731" s="11" t="s">
        <v>56</v>
      </c>
      <c r="O6731" s="11" t="s">
        <v>1007</v>
      </c>
      <c r="P6731" s="11" t="s">
        <v>58</v>
      </c>
      <c r="Q6731" s="20">
        <v>40988.0</v>
      </c>
      <c r="R6731" s="17">
        <f t="shared" si="2"/>
        <v>1.306494667</v>
      </c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>
        <f t="shared" si="8"/>
        <v>1</v>
      </c>
      <c r="AF6731" s="19">
        <f t="shared" si="13"/>
        <v>1</v>
      </c>
      <c r="AG6731" s="9"/>
      <c r="AH6731" s="9"/>
      <c r="AI6731" s="9"/>
    </row>
    <row r="6732" ht="15.0" customHeight="1">
      <c r="A6732" s="11">
        <v>6731.0</v>
      </c>
      <c r="B6732" s="12">
        <f t="shared" ref="B6732:B6737" si="1080">DATE(2012,12,31)-287</f>
        <v>40987</v>
      </c>
      <c r="C6732" s="13">
        <v>2012.0</v>
      </c>
      <c r="D6732" s="11" t="s">
        <v>39</v>
      </c>
      <c r="E6732" s="11">
        <v>25.0</v>
      </c>
      <c r="F6732" s="21" t="s">
        <v>431</v>
      </c>
      <c r="G6732" s="15">
        <v>0.020701129452649868</v>
      </c>
      <c r="H6732" s="11" t="s">
        <v>33</v>
      </c>
      <c r="I6732" s="16">
        <v>11.192</v>
      </c>
      <c r="J6732" s="11" t="s">
        <v>2490</v>
      </c>
      <c r="K6732" s="11" t="s">
        <v>65</v>
      </c>
      <c r="L6732" s="11" t="s">
        <v>36</v>
      </c>
      <c r="M6732" s="11" t="s">
        <v>66</v>
      </c>
      <c r="N6732" s="11" t="s">
        <v>80</v>
      </c>
      <c r="O6732" s="11" t="s">
        <v>1589</v>
      </c>
      <c r="P6732" s="11" t="s">
        <v>75</v>
      </c>
      <c r="Q6732" s="20">
        <v>40988.0</v>
      </c>
      <c r="R6732" s="17">
        <f t="shared" si="2"/>
        <v>93.33501675</v>
      </c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>
        <f t="shared" si="8"/>
        <v>2</v>
      </c>
      <c r="AF6732" s="19">
        <f t="shared" si="13"/>
        <v>5</v>
      </c>
      <c r="AG6732" s="9"/>
      <c r="AH6732" s="9"/>
      <c r="AI6732" s="9"/>
    </row>
    <row r="6733" ht="15.0" customHeight="1">
      <c r="A6733" s="11">
        <v>6732.0</v>
      </c>
      <c r="B6733" s="12">
        <f t="shared" si="1080"/>
        <v>40987</v>
      </c>
      <c r="C6733" s="13">
        <v>2012.0</v>
      </c>
      <c r="D6733" s="11" t="s">
        <v>23</v>
      </c>
      <c r="E6733" s="11">
        <v>24.0</v>
      </c>
      <c r="F6733" s="21" t="s">
        <v>619</v>
      </c>
      <c r="G6733" s="15">
        <v>0.08123660850933581</v>
      </c>
      <c r="H6733" s="11" t="s">
        <v>33</v>
      </c>
      <c r="I6733" s="16">
        <v>39.2</v>
      </c>
      <c r="J6733" s="11" t="s">
        <v>1972</v>
      </c>
      <c r="K6733" s="11" t="s">
        <v>61</v>
      </c>
      <c r="L6733" s="11" t="s">
        <v>27</v>
      </c>
      <c r="M6733" s="11" t="s">
        <v>28</v>
      </c>
      <c r="N6733" s="11" t="s">
        <v>197</v>
      </c>
      <c r="O6733" s="11" t="s">
        <v>620</v>
      </c>
      <c r="P6733" s="11" t="s">
        <v>31</v>
      </c>
      <c r="Q6733" s="20">
        <v>40988.0</v>
      </c>
      <c r="R6733" s="17">
        <f t="shared" si="2"/>
        <v>121.9199021</v>
      </c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>
        <f t="shared" si="8"/>
        <v>1</v>
      </c>
      <c r="AF6733" s="19">
        <f t="shared" si="13"/>
        <v>4</v>
      </c>
      <c r="AG6733" s="9"/>
      <c r="AH6733" s="9"/>
      <c r="AI6733" s="9"/>
    </row>
    <row r="6734" ht="15.0" customHeight="1">
      <c r="A6734" s="11">
        <v>6733.0</v>
      </c>
      <c r="B6734" s="12">
        <f t="shared" si="1080"/>
        <v>40987</v>
      </c>
      <c r="C6734" s="13">
        <v>2012.0</v>
      </c>
      <c r="D6734" s="11" t="s">
        <v>23</v>
      </c>
      <c r="E6734" s="11">
        <v>43.0</v>
      </c>
      <c r="F6734" s="21" t="s">
        <v>128</v>
      </c>
      <c r="G6734" s="15">
        <v>0.04857659428812159</v>
      </c>
      <c r="H6734" s="11" t="s">
        <v>33</v>
      </c>
      <c r="I6734" s="16">
        <v>6.464</v>
      </c>
      <c r="J6734" s="11" t="s">
        <v>1972</v>
      </c>
      <c r="K6734" s="11" t="s">
        <v>61</v>
      </c>
      <c r="L6734" s="11" t="s">
        <v>27</v>
      </c>
      <c r="M6734" s="11" t="s">
        <v>66</v>
      </c>
      <c r="N6734" s="11" t="s">
        <v>80</v>
      </c>
      <c r="O6734" s="11" t="s">
        <v>2243</v>
      </c>
      <c r="P6734" s="11" t="s">
        <v>38</v>
      </c>
      <c r="Q6734" s="20">
        <v>40988.0</v>
      </c>
      <c r="R6734" s="17">
        <f t="shared" si="2"/>
        <v>263.2931076</v>
      </c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>
        <f t="shared" si="8"/>
        <v>1</v>
      </c>
      <c r="AF6734" s="19">
        <f t="shared" si="13"/>
        <v>4</v>
      </c>
      <c r="AG6734" s="9"/>
      <c r="AH6734" s="9"/>
      <c r="AI6734" s="9"/>
    </row>
    <row r="6735" ht="15.0" customHeight="1">
      <c r="A6735" s="11">
        <v>6734.0</v>
      </c>
      <c r="B6735" s="12">
        <f t="shared" si="1080"/>
        <v>40987</v>
      </c>
      <c r="C6735" s="13">
        <v>2012.0</v>
      </c>
      <c r="D6735" s="11" t="s">
        <v>23</v>
      </c>
      <c r="E6735" s="11">
        <v>44.0</v>
      </c>
      <c r="F6735" s="21" t="s">
        <v>128</v>
      </c>
      <c r="G6735" s="15">
        <v>0.09183135489152676</v>
      </c>
      <c r="H6735" s="11" t="s">
        <v>33</v>
      </c>
      <c r="I6735" s="16">
        <v>7.040000000000001</v>
      </c>
      <c r="J6735" s="11" t="s">
        <v>1972</v>
      </c>
      <c r="K6735" s="11" t="s">
        <v>61</v>
      </c>
      <c r="L6735" s="11" t="s">
        <v>27</v>
      </c>
      <c r="M6735" s="11" t="s">
        <v>66</v>
      </c>
      <c r="N6735" s="11" t="s">
        <v>80</v>
      </c>
      <c r="O6735" s="11" t="s">
        <v>765</v>
      </c>
      <c r="P6735" s="11" t="s">
        <v>38</v>
      </c>
      <c r="Q6735" s="20">
        <v>40988.0</v>
      </c>
      <c r="R6735" s="17">
        <f t="shared" si="2"/>
        <v>509.3554663</v>
      </c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>
        <f t="shared" si="8"/>
        <v>1</v>
      </c>
      <c r="AF6735" s="19">
        <f t="shared" si="13"/>
        <v>4</v>
      </c>
      <c r="AG6735" s="9"/>
      <c r="AH6735" s="9"/>
      <c r="AI6735" s="9"/>
    </row>
    <row r="6736" ht="15.0" customHeight="1">
      <c r="A6736" s="11">
        <v>6735.0</v>
      </c>
      <c r="B6736" s="12">
        <f t="shared" si="1080"/>
        <v>40987</v>
      </c>
      <c r="C6736" s="13">
        <v>2012.0</v>
      </c>
      <c r="D6736" s="11" t="s">
        <v>32</v>
      </c>
      <c r="E6736" s="11">
        <v>46.0</v>
      </c>
      <c r="F6736" s="21" t="s">
        <v>758</v>
      </c>
      <c r="G6736" s="15">
        <v>0.06420993858179788</v>
      </c>
      <c r="H6736" s="11" t="s">
        <v>33</v>
      </c>
      <c r="I6736" s="16">
        <v>2.0</v>
      </c>
      <c r="J6736" s="11" t="s">
        <v>1259</v>
      </c>
      <c r="K6736" s="11" t="s">
        <v>65</v>
      </c>
      <c r="L6736" s="11" t="s">
        <v>41</v>
      </c>
      <c r="M6736" s="11" t="s">
        <v>28</v>
      </c>
      <c r="N6736" s="11" t="s">
        <v>236</v>
      </c>
      <c r="O6736" s="11" t="s">
        <v>1171</v>
      </c>
      <c r="P6736" s="11" t="s">
        <v>38</v>
      </c>
      <c r="Q6736" s="20">
        <v>40989.0</v>
      </c>
      <c r="R6736" s="17">
        <f t="shared" si="2"/>
        <v>10.76158571</v>
      </c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>
        <f t="shared" si="8"/>
        <v>3</v>
      </c>
      <c r="AF6736" s="19">
        <f t="shared" si="13"/>
        <v>5</v>
      </c>
      <c r="AG6736" s="9"/>
      <c r="AH6736" s="9"/>
      <c r="AI6736" s="9"/>
    </row>
    <row r="6737" ht="15.0" customHeight="1">
      <c r="A6737" s="11">
        <v>6736.0</v>
      </c>
      <c r="B6737" s="12">
        <f t="shared" si="1080"/>
        <v>40987</v>
      </c>
      <c r="C6737" s="13">
        <v>2012.0</v>
      </c>
      <c r="D6737" s="11" t="s">
        <v>23</v>
      </c>
      <c r="E6737" s="11">
        <v>16.0</v>
      </c>
      <c r="F6737" s="21" t="s">
        <v>629</v>
      </c>
      <c r="G6737" s="15">
        <v>0.025116279069767482</v>
      </c>
      <c r="H6737" s="11" t="s">
        <v>33</v>
      </c>
      <c r="I6737" s="16">
        <v>4.768</v>
      </c>
      <c r="J6737" s="11" t="s">
        <v>1372</v>
      </c>
      <c r="K6737" s="11" t="s">
        <v>61</v>
      </c>
      <c r="L6737" s="11" t="s">
        <v>36</v>
      </c>
      <c r="M6737" s="11" t="s">
        <v>28</v>
      </c>
      <c r="N6737" s="11" t="s">
        <v>56</v>
      </c>
      <c r="O6737" s="11" t="s">
        <v>1958</v>
      </c>
      <c r="P6737" s="11" t="s">
        <v>38</v>
      </c>
      <c r="Q6737" s="20">
        <v>40989.0</v>
      </c>
      <c r="R6737" s="17">
        <f t="shared" si="2"/>
        <v>3.053335814</v>
      </c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>
        <f t="shared" si="8"/>
        <v>2</v>
      </c>
      <c r="AF6737" s="19">
        <f t="shared" si="13"/>
        <v>4</v>
      </c>
      <c r="AG6737" s="9"/>
      <c r="AH6737" s="9"/>
      <c r="AI6737" s="9"/>
    </row>
    <row r="6738" ht="15.0" customHeight="1">
      <c r="A6738" s="11">
        <v>6737.0</v>
      </c>
      <c r="B6738" s="12">
        <f t="shared" ref="B6738:B6742" si="1081">DATE(2012,12,31)-286</f>
        <v>40988</v>
      </c>
      <c r="C6738" s="13">
        <v>2012.0</v>
      </c>
      <c r="D6738" s="11" t="s">
        <v>23</v>
      </c>
      <c r="E6738" s="11">
        <v>33.0</v>
      </c>
      <c r="F6738" s="21" t="s">
        <v>415</v>
      </c>
      <c r="G6738" s="15">
        <v>0.04588657573582214</v>
      </c>
      <c r="H6738" s="11" t="s">
        <v>33</v>
      </c>
      <c r="I6738" s="16">
        <v>4.208</v>
      </c>
      <c r="J6738" s="11" t="s">
        <v>2075</v>
      </c>
      <c r="K6738" s="11" t="s">
        <v>35</v>
      </c>
      <c r="L6738" s="11" t="s">
        <v>48</v>
      </c>
      <c r="M6738" s="11" t="s">
        <v>28</v>
      </c>
      <c r="N6738" s="11" t="s">
        <v>42</v>
      </c>
      <c r="O6738" s="11" t="s">
        <v>971</v>
      </c>
      <c r="P6738" s="11" t="s">
        <v>38</v>
      </c>
      <c r="Q6738" s="20">
        <v>40989.0</v>
      </c>
      <c r="R6738" s="17">
        <f t="shared" si="2"/>
        <v>6.098693008</v>
      </c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>
        <f t="shared" si="8"/>
        <v>4</v>
      </c>
      <c r="AF6738" s="19">
        <f t="shared" si="13"/>
        <v>2</v>
      </c>
      <c r="AG6738" s="9"/>
      <c r="AH6738" s="9"/>
      <c r="AI6738" s="9"/>
    </row>
    <row r="6739" ht="15.0" customHeight="1">
      <c r="A6739" s="11">
        <v>6738.0</v>
      </c>
      <c r="B6739" s="12">
        <f t="shared" si="1081"/>
        <v>40988</v>
      </c>
      <c r="C6739" s="13">
        <v>2012.0</v>
      </c>
      <c r="D6739" s="11" t="s">
        <v>23</v>
      </c>
      <c r="E6739" s="11">
        <v>42.0</v>
      </c>
      <c r="F6739" s="21" t="s">
        <v>336</v>
      </c>
      <c r="G6739" s="15">
        <v>0.029592724396994893</v>
      </c>
      <c r="H6739" s="11" t="s">
        <v>33</v>
      </c>
      <c r="I6739" s="16">
        <v>1.816</v>
      </c>
      <c r="J6739" s="11" t="s">
        <v>2136</v>
      </c>
      <c r="K6739" s="11" t="s">
        <v>61</v>
      </c>
      <c r="L6739" s="11" t="s">
        <v>27</v>
      </c>
      <c r="M6739" s="11" t="s">
        <v>28</v>
      </c>
      <c r="N6739" s="11" t="s">
        <v>62</v>
      </c>
      <c r="O6739" s="11" t="s">
        <v>1391</v>
      </c>
      <c r="P6739" s="11" t="s">
        <v>58</v>
      </c>
      <c r="Q6739" s="20">
        <v>40989.0</v>
      </c>
      <c r="R6739" s="17">
        <f t="shared" si="2"/>
        <v>7.262528051</v>
      </c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>
        <f t="shared" si="8"/>
        <v>1</v>
      </c>
      <c r="AF6739" s="19">
        <f t="shared" si="13"/>
        <v>4</v>
      </c>
      <c r="AG6739" s="9"/>
      <c r="AH6739" s="9"/>
      <c r="AI6739" s="9"/>
    </row>
    <row r="6740" ht="15.0" customHeight="1">
      <c r="A6740" s="11">
        <v>6739.0</v>
      </c>
      <c r="B6740" s="12">
        <f t="shared" si="1081"/>
        <v>40988</v>
      </c>
      <c r="C6740" s="13">
        <v>2012.0</v>
      </c>
      <c r="D6740" s="11" t="s">
        <v>39</v>
      </c>
      <c r="E6740" s="11">
        <v>16.0</v>
      </c>
      <c r="F6740" s="21" t="s">
        <v>1944</v>
      </c>
      <c r="G6740" s="15">
        <v>0.07149321266968334</v>
      </c>
      <c r="H6740" s="11" t="s">
        <v>33</v>
      </c>
      <c r="I6740" s="16">
        <v>1.04</v>
      </c>
      <c r="J6740" s="11" t="s">
        <v>2319</v>
      </c>
      <c r="K6740" s="11" t="s">
        <v>61</v>
      </c>
      <c r="L6740" s="11" t="s">
        <v>48</v>
      </c>
      <c r="M6740" s="11" t="s">
        <v>28</v>
      </c>
      <c r="N6740" s="11" t="s">
        <v>62</v>
      </c>
      <c r="O6740" s="11" t="s">
        <v>2028</v>
      </c>
      <c r="P6740" s="11" t="s">
        <v>58</v>
      </c>
      <c r="Q6740" s="20">
        <v>40989.0</v>
      </c>
      <c r="R6740" s="17">
        <f t="shared" si="2"/>
        <v>2.934081448</v>
      </c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>
        <f t="shared" si="8"/>
        <v>4</v>
      </c>
      <c r="AF6740" s="19">
        <f t="shared" si="13"/>
        <v>4</v>
      </c>
      <c r="AG6740" s="9"/>
      <c r="AH6740" s="9"/>
      <c r="AI6740" s="9"/>
    </row>
    <row r="6741" ht="15.0" customHeight="1">
      <c r="A6741" s="11">
        <v>6740.0</v>
      </c>
      <c r="B6741" s="12">
        <f t="shared" si="1081"/>
        <v>40988</v>
      </c>
      <c r="C6741" s="13">
        <v>2012.0</v>
      </c>
      <c r="D6741" s="11" t="s">
        <v>44</v>
      </c>
      <c r="E6741" s="11">
        <v>40.0</v>
      </c>
      <c r="F6741" s="21" t="s">
        <v>178</v>
      </c>
      <c r="G6741" s="15">
        <v>0.011538576779026215</v>
      </c>
      <c r="H6741" s="11" t="s">
        <v>33</v>
      </c>
      <c r="I6741" s="16">
        <v>3.192</v>
      </c>
      <c r="J6741" s="11" t="s">
        <v>1089</v>
      </c>
      <c r="K6741" s="11" t="s">
        <v>35</v>
      </c>
      <c r="L6741" s="11" t="s">
        <v>48</v>
      </c>
      <c r="M6741" s="11" t="s">
        <v>66</v>
      </c>
      <c r="N6741" s="11" t="s">
        <v>80</v>
      </c>
      <c r="O6741" s="11" t="s">
        <v>2197</v>
      </c>
      <c r="P6741" s="11" t="s">
        <v>38</v>
      </c>
      <c r="Q6741" s="20">
        <v>40990.0</v>
      </c>
      <c r="R6741" s="17">
        <f t="shared" si="2"/>
        <v>30.45251953</v>
      </c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>
        <f t="shared" si="8"/>
        <v>4</v>
      </c>
      <c r="AF6741" s="19">
        <f t="shared" si="13"/>
        <v>2</v>
      </c>
      <c r="AG6741" s="9"/>
      <c r="AH6741" s="9"/>
      <c r="AI6741" s="9"/>
    </row>
    <row r="6742" ht="15.0" customHeight="1">
      <c r="A6742" s="11">
        <v>6741.0</v>
      </c>
      <c r="B6742" s="12">
        <f t="shared" si="1081"/>
        <v>40988</v>
      </c>
      <c r="C6742" s="13">
        <v>2012.0</v>
      </c>
      <c r="D6742" s="11" t="s">
        <v>32</v>
      </c>
      <c r="E6742" s="11">
        <v>6.0</v>
      </c>
      <c r="F6742" s="21" t="s">
        <v>473</v>
      </c>
      <c r="G6742" s="15">
        <v>0.007708502024291598</v>
      </c>
      <c r="H6742" s="11" t="s">
        <v>33</v>
      </c>
      <c r="I6742" s="16">
        <v>5.696000000000001</v>
      </c>
      <c r="J6742" s="11" t="s">
        <v>106</v>
      </c>
      <c r="K6742" s="11" t="s">
        <v>35</v>
      </c>
      <c r="L6742" s="11" t="s">
        <v>48</v>
      </c>
      <c r="M6742" s="11" t="s">
        <v>66</v>
      </c>
      <c r="N6742" s="11" t="s">
        <v>67</v>
      </c>
      <c r="O6742" s="11" t="s">
        <v>475</v>
      </c>
      <c r="P6742" s="11" t="s">
        <v>38</v>
      </c>
      <c r="Q6742" s="20">
        <v>40990.0</v>
      </c>
      <c r="R6742" s="17">
        <f t="shared" si="2"/>
        <v>1.889323012</v>
      </c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>
        <f t="shared" si="8"/>
        <v>4</v>
      </c>
      <c r="AF6742" s="19">
        <f t="shared" si="13"/>
        <v>2</v>
      </c>
      <c r="AG6742" s="9"/>
      <c r="AH6742" s="9"/>
      <c r="AI6742" s="9"/>
    </row>
    <row r="6743" ht="15.0" customHeight="1">
      <c r="A6743" s="11">
        <v>6742.0</v>
      </c>
      <c r="B6743" s="12">
        <f t="shared" ref="B6743:B6745" si="1082">DATE(2012,12,31)-285</f>
        <v>40989</v>
      </c>
      <c r="C6743" s="13">
        <v>2012.0</v>
      </c>
      <c r="D6743" s="11" t="s">
        <v>23</v>
      </c>
      <c r="E6743" s="11">
        <v>16.0</v>
      </c>
      <c r="F6743" s="21" t="s">
        <v>668</v>
      </c>
      <c r="G6743" s="15">
        <v>0.09986320109439122</v>
      </c>
      <c r="H6743" s="11" t="s">
        <v>33</v>
      </c>
      <c r="I6743" s="16">
        <v>5.2</v>
      </c>
      <c r="J6743" s="11" t="s">
        <v>2375</v>
      </c>
      <c r="K6743" s="11" t="s">
        <v>117</v>
      </c>
      <c r="L6743" s="11" t="s">
        <v>48</v>
      </c>
      <c r="M6743" s="11" t="s">
        <v>28</v>
      </c>
      <c r="N6743" s="11" t="s">
        <v>29</v>
      </c>
      <c r="O6743" s="11" t="s">
        <v>1509</v>
      </c>
      <c r="P6743" s="11" t="s">
        <v>75</v>
      </c>
      <c r="Q6743" s="20">
        <v>40990.0</v>
      </c>
      <c r="R6743" s="17">
        <f t="shared" si="2"/>
        <v>13.14199726</v>
      </c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>
        <f t="shared" si="8"/>
        <v>4</v>
      </c>
      <c r="AF6743" s="19" t="b">
        <f t="shared" si="13"/>
        <v>0</v>
      </c>
      <c r="AG6743" s="9"/>
      <c r="AH6743" s="9"/>
      <c r="AI6743" s="9"/>
    </row>
    <row r="6744" ht="15.0" customHeight="1">
      <c r="A6744" s="11">
        <v>6743.0</v>
      </c>
      <c r="B6744" s="12">
        <f t="shared" si="1082"/>
        <v>40989</v>
      </c>
      <c r="C6744" s="13">
        <v>2012.0</v>
      </c>
      <c r="D6744" s="11" t="s">
        <v>44</v>
      </c>
      <c r="E6744" s="11">
        <v>22.0</v>
      </c>
      <c r="F6744" s="21" t="s">
        <v>2235</v>
      </c>
      <c r="G6744" s="15">
        <v>0.04877805486284276</v>
      </c>
      <c r="H6744" s="11" t="s">
        <v>24</v>
      </c>
      <c r="I6744" s="16">
        <v>3.2</v>
      </c>
      <c r="J6744" s="11" t="s">
        <v>320</v>
      </c>
      <c r="K6744" s="11" t="s">
        <v>65</v>
      </c>
      <c r="L6744" s="11" t="s">
        <v>27</v>
      </c>
      <c r="M6744" s="11" t="s">
        <v>66</v>
      </c>
      <c r="N6744" s="11" t="s">
        <v>67</v>
      </c>
      <c r="O6744" s="11" t="s">
        <v>68</v>
      </c>
      <c r="P6744" s="11" t="s">
        <v>38</v>
      </c>
      <c r="Q6744" s="20">
        <v>40991.0</v>
      </c>
      <c r="R6744" s="17">
        <f t="shared" si="2"/>
        <v>46.51475312</v>
      </c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>
        <f t="shared" si="8"/>
        <v>1</v>
      </c>
      <c r="AF6744" s="19">
        <f t="shared" si="13"/>
        <v>5</v>
      </c>
      <c r="AG6744" s="9"/>
      <c r="AH6744" s="9"/>
      <c r="AI6744" s="9"/>
    </row>
    <row r="6745" ht="15.0" customHeight="1">
      <c r="A6745" s="11">
        <v>6744.0</v>
      </c>
      <c r="B6745" s="12">
        <f t="shared" si="1082"/>
        <v>40989</v>
      </c>
      <c r="C6745" s="13">
        <v>2012.0</v>
      </c>
      <c r="D6745" s="11" t="s">
        <v>44</v>
      </c>
      <c r="E6745" s="11">
        <v>25.0</v>
      </c>
      <c r="F6745" s="21" t="s">
        <v>100</v>
      </c>
      <c r="G6745" s="15">
        <v>0.06063860329776927</v>
      </c>
      <c r="H6745" s="11" t="s">
        <v>24</v>
      </c>
      <c r="I6745" s="16">
        <v>4.208</v>
      </c>
      <c r="J6745" s="11" t="s">
        <v>320</v>
      </c>
      <c r="K6745" s="11" t="s">
        <v>65</v>
      </c>
      <c r="L6745" s="11" t="s">
        <v>27</v>
      </c>
      <c r="M6745" s="11" t="s">
        <v>66</v>
      </c>
      <c r="N6745" s="11" t="s">
        <v>80</v>
      </c>
      <c r="O6745" s="11" t="s">
        <v>1810</v>
      </c>
      <c r="P6745" s="11" t="s">
        <v>38</v>
      </c>
      <c r="Q6745" s="20">
        <v>40991.0</v>
      </c>
      <c r="R6745" s="17">
        <f t="shared" si="2"/>
        <v>312.3923777</v>
      </c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>
        <f t="shared" si="8"/>
        <v>1</v>
      </c>
      <c r="AF6745" s="19">
        <f t="shared" si="13"/>
        <v>5</v>
      </c>
      <c r="AG6745" s="9"/>
      <c r="AH6745" s="9"/>
      <c r="AI6745" s="9"/>
    </row>
    <row r="6746" ht="15.0" customHeight="1">
      <c r="A6746" s="11">
        <v>6745.0</v>
      </c>
      <c r="B6746" s="12">
        <f t="shared" ref="B6746:B6748" si="1083">DATE(2012,12,31)-284</f>
        <v>40990</v>
      </c>
      <c r="C6746" s="13">
        <v>2012.0</v>
      </c>
      <c r="D6746" s="11" t="s">
        <v>102</v>
      </c>
      <c r="E6746" s="11">
        <v>7.0</v>
      </c>
      <c r="F6746" s="21" t="s">
        <v>1548</v>
      </c>
      <c r="G6746" s="15">
        <v>0.01679681274900413</v>
      </c>
      <c r="H6746" s="11" t="s">
        <v>33</v>
      </c>
      <c r="I6746" s="16">
        <v>1.592</v>
      </c>
      <c r="J6746" s="11" t="s">
        <v>1618</v>
      </c>
      <c r="K6746" s="11" t="s">
        <v>65</v>
      </c>
      <c r="L6746" s="11" t="s">
        <v>41</v>
      </c>
      <c r="M6746" s="11" t="s">
        <v>66</v>
      </c>
      <c r="N6746" s="11" t="s">
        <v>67</v>
      </c>
      <c r="O6746" s="11" t="s">
        <v>1549</v>
      </c>
      <c r="P6746" s="11" t="s">
        <v>99</v>
      </c>
      <c r="Q6746" s="20">
        <v>40992.0</v>
      </c>
      <c r="R6746" s="17">
        <f t="shared" si="2"/>
        <v>2.072592319</v>
      </c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>
        <f t="shared" si="8"/>
        <v>3</v>
      </c>
      <c r="AF6746" s="19">
        <f t="shared" si="13"/>
        <v>5</v>
      </c>
      <c r="AG6746" s="9"/>
      <c r="AH6746" s="9"/>
      <c r="AI6746" s="9"/>
    </row>
    <row r="6747" ht="15.0" customHeight="1">
      <c r="A6747" s="11">
        <v>6746.0</v>
      </c>
      <c r="B6747" s="12">
        <f t="shared" si="1083"/>
        <v>40990</v>
      </c>
      <c r="C6747" s="13">
        <v>2012.0</v>
      </c>
      <c r="D6747" s="11" t="s">
        <v>102</v>
      </c>
      <c r="E6747" s="11">
        <v>29.0</v>
      </c>
      <c r="F6747" s="21" t="s">
        <v>473</v>
      </c>
      <c r="G6747" s="15">
        <v>0.040995123563931014</v>
      </c>
      <c r="H6747" s="11" t="s">
        <v>33</v>
      </c>
      <c r="I6747" s="16">
        <v>3.2</v>
      </c>
      <c r="J6747" s="11" t="s">
        <v>1520</v>
      </c>
      <c r="K6747" s="11" t="s">
        <v>35</v>
      </c>
      <c r="L6747" s="11" t="s">
        <v>41</v>
      </c>
      <c r="M6747" s="11" t="s">
        <v>66</v>
      </c>
      <c r="N6747" s="11" t="s">
        <v>67</v>
      </c>
      <c r="O6747" s="11" t="s">
        <v>1019</v>
      </c>
      <c r="P6747" s="11" t="s">
        <v>38</v>
      </c>
      <c r="Q6747" s="20">
        <v>40992.0</v>
      </c>
      <c r="R6747" s="17">
        <f t="shared" si="2"/>
        <v>47.56664187</v>
      </c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>
        <f t="shared" si="8"/>
        <v>3</v>
      </c>
      <c r="AF6747" s="19">
        <f t="shared" si="13"/>
        <v>2</v>
      </c>
      <c r="AG6747" s="9"/>
      <c r="AH6747" s="9"/>
      <c r="AI6747" s="9"/>
    </row>
    <row r="6748" ht="15.0" customHeight="1">
      <c r="A6748" s="11">
        <v>6747.0</v>
      </c>
      <c r="B6748" s="12">
        <f t="shared" si="1083"/>
        <v>40990</v>
      </c>
      <c r="C6748" s="13">
        <v>2012.0</v>
      </c>
      <c r="D6748" s="11" t="s">
        <v>102</v>
      </c>
      <c r="E6748" s="11">
        <v>9.0</v>
      </c>
      <c r="F6748" s="21" t="s">
        <v>284</v>
      </c>
      <c r="G6748" s="15">
        <v>0.04990099009900986</v>
      </c>
      <c r="H6748" s="11" t="s">
        <v>33</v>
      </c>
      <c r="I6748" s="16">
        <v>1.192</v>
      </c>
      <c r="J6748" s="11" t="s">
        <v>403</v>
      </c>
      <c r="K6748" s="11" t="s">
        <v>61</v>
      </c>
      <c r="L6748" s="11" t="s">
        <v>48</v>
      </c>
      <c r="M6748" s="11" t="s">
        <v>28</v>
      </c>
      <c r="N6748" s="11" t="s">
        <v>42</v>
      </c>
      <c r="O6748" s="11" t="s">
        <v>2299</v>
      </c>
      <c r="P6748" s="11" t="s">
        <v>38</v>
      </c>
      <c r="Q6748" s="20">
        <v>40992.0</v>
      </c>
      <c r="R6748" s="17">
        <f t="shared" si="2"/>
        <v>0.957699802</v>
      </c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>
        <f t="shared" si="8"/>
        <v>4</v>
      </c>
      <c r="AF6748" s="19">
        <f t="shared" si="13"/>
        <v>4</v>
      </c>
      <c r="AG6748" s="9"/>
      <c r="AH6748" s="9"/>
      <c r="AI6748" s="9"/>
    </row>
    <row r="6749" ht="15.0" customHeight="1">
      <c r="A6749" s="11">
        <v>6748.0</v>
      </c>
      <c r="B6749" s="12">
        <f t="shared" ref="B6749:B6763" si="1084">DATE(2012,12,31)-283</f>
        <v>40991</v>
      </c>
      <c r="C6749" s="13">
        <v>2012.0</v>
      </c>
      <c r="D6749" s="11" t="s">
        <v>23</v>
      </c>
      <c r="E6749" s="11">
        <v>21.0</v>
      </c>
      <c r="F6749" s="21" t="s">
        <v>1273</v>
      </c>
      <c r="G6749" s="15">
        <v>0.06323604420515735</v>
      </c>
      <c r="H6749" s="11" t="s">
        <v>33</v>
      </c>
      <c r="I6749" s="16">
        <v>2.984</v>
      </c>
      <c r="J6749" s="11" t="s">
        <v>1607</v>
      </c>
      <c r="K6749" s="11" t="s">
        <v>35</v>
      </c>
      <c r="L6749" s="11" t="s">
        <v>48</v>
      </c>
      <c r="M6749" s="11" t="s">
        <v>49</v>
      </c>
      <c r="N6749" s="11" t="s">
        <v>73</v>
      </c>
      <c r="O6749" s="11" t="s">
        <v>1403</v>
      </c>
      <c r="P6749" s="11" t="s">
        <v>99</v>
      </c>
      <c r="Q6749" s="20">
        <v>40992.0</v>
      </c>
      <c r="R6749" s="17">
        <f t="shared" si="2"/>
        <v>20.90482444</v>
      </c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>
        <f t="shared" si="8"/>
        <v>4</v>
      </c>
      <c r="AF6749" s="19">
        <f t="shared" si="13"/>
        <v>2</v>
      </c>
      <c r="AG6749" s="9"/>
      <c r="AH6749" s="9"/>
      <c r="AI6749" s="9"/>
    </row>
    <row r="6750" ht="15.0" customHeight="1">
      <c r="A6750" s="11">
        <v>6749.0</v>
      </c>
      <c r="B6750" s="12">
        <f t="shared" si="1084"/>
        <v>40991</v>
      </c>
      <c r="C6750" s="13">
        <v>2012.0</v>
      </c>
      <c r="D6750" s="11" t="s">
        <v>44</v>
      </c>
      <c r="E6750" s="11">
        <v>50.0</v>
      </c>
      <c r="F6750" s="21" t="s">
        <v>2272</v>
      </c>
      <c r="G6750" s="15">
        <v>0.011846131846131836</v>
      </c>
      <c r="H6750" s="11" t="s">
        <v>33</v>
      </c>
      <c r="I6750" s="16">
        <v>4.064</v>
      </c>
      <c r="J6750" s="11" t="s">
        <v>1209</v>
      </c>
      <c r="K6750" s="11" t="s">
        <v>65</v>
      </c>
      <c r="L6750" s="11" t="s">
        <v>48</v>
      </c>
      <c r="M6750" s="11" t="s">
        <v>28</v>
      </c>
      <c r="N6750" s="11" t="s">
        <v>29</v>
      </c>
      <c r="O6750" s="11" t="s">
        <v>2273</v>
      </c>
      <c r="P6750" s="11" t="s">
        <v>38</v>
      </c>
      <c r="Q6750" s="20">
        <v>40992.0</v>
      </c>
      <c r="R6750" s="17">
        <f t="shared" si="2"/>
        <v>32.74346658</v>
      </c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>
        <f t="shared" si="8"/>
        <v>4</v>
      </c>
      <c r="AF6750" s="19">
        <f t="shared" si="13"/>
        <v>5</v>
      </c>
      <c r="AG6750" s="9"/>
      <c r="AH6750" s="9"/>
      <c r="AI6750" s="9"/>
    </row>
    <row r="6751" ht="15.0" customHeight="1">
      <c r="A6751" s="11">
        <v>6750.0</v>
      </c>
      <c r="B6751" s="12">
        <f t="shared" si="1084"/>
        <v>40991</v>
      </c>
      <c r="C6751" s="13">
        <v>2012.0</v>
      </c>
      <c r="D6751" s="11" t="s">
        <v>102</v>
      </c>
      <c r="E6751" s="11">
        <v>5.0</v>
      </c>
      <c r="F6751" s="21" t="s">
        <v>336</v>
      </c>
      <c r="G6751" s="15">
        <v>0.10743142144638403</v>
      </c>
      <c r="H6751" s="11" t="s">
        <v>33</v>
      </c>
      <c r="I6751" s="16">
        <v>6.792000000000001</v>
      </c>
      <c r="J6751" s="11" t="s">
        <v>2598</v>
      </c>
      <c r="K6751" s="11" t="s">
        <v>117</v>
      </c>
      <c r="L6751" s="11" t="s">
        <v>48</v>
      </c>
      <c r="M6751" s="11" t="s">
        <v>28</v>
      </c>
      <c r="N6751" s="11" t="s">
        <v>42</v>
      </c>
      <c r="O6751" s="11" t="s">
        <v>338</v>
      </c>
      <c r="P6751" s="11" t="s">
        <v>38</v>
      </c>
      <c r="Q6751" s="20">
        <v>40992.0</v>
      </c>
      <c r="R6751" s="17">
        <f t="shared" si="2"/>
        <v>3.845185436</v>
      </c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>
        <f t="shared" si="8"/>
        <v>4</v>
      </c>
      <c r="AF6751" s="19" t="b">
        <f t="shared" si="13"/>
        <v>0</v>
      </c>
      <c r="AG6751" s="9"/>
      <c r="AH6751" s="9"/>
      <c r="AI6751" s="9"/>
    </row>
    <row r="6752" ht="15.0" customHeight="1">
      <c r="A6752" s="11">
        <v>6751.0</v>
      </c>
      <c r="B6752" s="12">
        <f t="shared" si="1084"/>
        <v>40991</v>
      </c>
      <c r="C6752" s="13">
        <v>2012.0</v>
      </c>
      <c r="D6752" s="11" t="s">
        <v>39</v>
      </c>
      <c r="E6752" s="11">
        <v>12.0</v>
      </c>
      <c r="F6752" s="21" t="s">
        <v>130</v>
      </c>
      <c r="G6752" s="15">
        <v>0.01570680628272266</v>
      </c>
      <c r="H6752" s="11" t="s">
        <v>24</v>
      </c>
      <c r="I6752" s="16">
        <v>5.2</v>
      </c>
      <c r="J6752" s="11" t="s">
        <v>1288</v>
      </c>
      <c r="K6752" s="11" t="s">
        <v>47</v>
      </c>
      <c r="L6752" s="11" t="s">
        <v>48</v>
      </c>
      <c r="M6752" s="11" t="s">
        <v>66</v>
      </c>
      <c r="N6752" s="11" t="s">
        <v>67</v>
      </c>
      <c r="O6752" s="11" t="s">
        <v>1305</v>
      </c>
      <c r="P6752" s="11" t="s">
        <v>38</v>
      </c>
      <c r="Q6752" s="20">
        <v>40992.0</v>
      </c>
      <c r="R6752" s="17">
        <f t="shared" si="2"/>
        <v>5.905759162</v>
      </c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>
        <f t="shared" si="8"/>
        <v>4</v>
      </c>
      <c r="AF6752" s="19">
        <f t="shared" si="13"/>
        <v>3</v>
      </c>
      <c r="AG6752" s="9"/>
      <c r="AH6752" s="9"/>
      <c r="AI6752" s="9"/>
    </row>
    <row r="6753" ht="15.0" customHeight="1">
      <c r="A6753" s="11">
        <v>6752.0</v>
      </c>
      <c r="B6753" s="12">
        <f t="shared" si="1084"/>
        <v>40991</v>
      </c>
      <c r="C6753" s="13">
        <v>2012.0</v>
      </c>
      <c r="D6753" s="11" t="s">
        <v>39</v>
      </c>
      <c r="E6753" s="11">
        <v>34.0</v>
      </c>
      <c r="F6753" s="21" t="s">
        <v>186</v>
      </c>
      <c r="G6753" s="15">
        <v>0.09049902786779018</v>
      </c>
      <c r="H6753" s="11" t="s">
        <v>33</v>
      </c>
      <c r="I6753" s="16">
        <v>0.9359999999999999</v>
      </c>
      <c r="J6753" s="11" t="s">
        <v>1288</v>
      </c>
      <c r="K6753" s="11" t="s">
        <v>47</v>
      </c>
      <c r="L6753" s="11" t="s">
        <v>48</v>
      </c>
      <c r="M6753" s="11" t="s">
        <v>28</v>
      </c>
      <c r="N6753" s="11" t="s">
        <v>62</v>
      </c>
      <c r="O6753" s="11" t="s">
        <v>1358</v>
      </c>
      <c r="P6753" s="11" t="s">
        <v>58</v>
      </c>
      <c r="Q6753" s="20">
        <v>40993.0</v>
      </c>
      <c r="R6753" s="17">
        <f t="shared" si="2"/>
        <v>12.70027157</v>
      </c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>
        <f t="shared" si="8"/>
        <v>4</v>
      </c>
      <c r="AF6753" s="19">
        <f t="shared" si="13"/>
        <v>3</v>
      </c>
      <c r="AG6753" s="9"/>
      <c r="AH6753" s="9"/>
      <c r="AI6753" s="9"/>
    </row>
    <row r="6754" ht="15.0" customHeight="1">
      <c r="A6754" s="11">
        <v>6753.0</v>
      </c>
      <c r="B6754" s="12">
        <f t="shared" si="1084"/>
        <v>40991</v>
      </c>
      <c r="C6754" s="13">
        <v>2012.0</v>
      </c>
      <c r="D6754" s="11" t="s">
        <v>102</v>
      </c>
      <c r="E6754" s="11">
        <v>33.0</v>
      </c>
      <c r="F6754" s="21" t="s">
        <v>115</v>
      </c>
      <c r="G6754" s="15">
        <v>0.05763285707549383</v>
      </c>
      <c r="H6754" s="11" t="s">
        <v>33</v>
      </c>
      <c r="I6754" s="16">
        <v>7.256</v>
      </c>
      <c r="J6754" s="11" t="s">
        <v>546</v>
      </c>
      <c r="K6754" s="11" t="s">
        <v>61</v>
      </c>
      <c r="L6754" s="11" t="s">
        <v>36</v>
      </c>
      <c r="M6754" s="11" t="s">
        <v>28</v>
      </c>
      <c r="N6754" s="11" t="s">
        <v>42</v>
      </c>
      <c r="O6754" s="11" t="s">
        <v>772</v>
      </c>
      <c r="P6754" s="11" t="s">
        <v>38</v>
      </c>
      <c r="Q6754" s="20">
        <v>40993.0</v>
      </c>
      <c r="R6754" s="17">
        <f t="shared" si="2"/>
        <v>230.3559939</v>
      </c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>
        <f t="shared" si="8"/>
        <v>2</v>
      </c>
      <c r="AF6754" s="19">
        <f t="shared" si="13"/>
        <v>4</v>
      </c>
      <c r="AG6754" s="9"/>
      <c r="AH6754" s="9"/>
      <c r="AI6754" s="9"/>
    </row>
    <row r="6755" ht="15.0" customHeight="1">
      <c r="A6755" s="11">
        <v>6754.0</v>
      </c>
      <c r="B6755" s="12">
        <f t="shared" si="1084"/>
        <v>40991</v>
      </c>
      <c r="C6755" s="13">
        <v>2012.0</v>
      </c>
      <c r="D6755" s="11" t="s">
        <v>44</v>
      </c>
      <c r="E6755" s="11">
        <v>13.0</v>
      </c>
      <c r="F6755" s="21" t="s">
        <v>178</v>
      </c>
      <c r="G6755" s="15">
        <v>0.04023695093327372</v>
      </c>
      <c r="H6755" s="11" t="s">
        <v>33</v>
      </c>
      <c r="I6755" s="16">
        <v>2.0</v>
      </c>
      <c r="J6755" s="11" t="s">
        <v>1112</v>
      </c>
      <c r="K6755" s="11" t="s">
        <v>35</v>
      </c>
      <c r="L6755" s="11" t="s">
        <v>27</v>
      </c>
      <c r="M6755" s="11" t="s">
        <v>66</v>
      </c>
      <c r="N6755" s="11" t="s">
        <v>80</v>
      </c>
      <c r="O6755" s="11" t="s">
        <v>2356</v>
      </c>
      <c r="P6755" s="11" t="s">
        <v>38</v>
      </c>
      <c r="Q6755" s="20">
        <v>40993.0</v>
      </c>
      <c r="R6755" s="17">
        <f t="shared" si="2"/>
        <v>34.55146977</v>
      </c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>
        <f t="shared" si="8"/>
        <v>1</v>
      </c>
      <c r="AF6755" s="19">
        <f t="shared" si="13"/>
        <v>2</v>
      </c>
      <c r="AG6755" s="9"/>
      <c r="AH6755" s="9"/>
      <c r="AI6755" s="9"/>
    </row>
    <row r="6756" ht="15.0" customHeight="1">
      <c r="A6756" s="11">
        <v>6755.0</v>
      </c>
      <c r="B6756" s="12">
        <f t="shared" si="1084"/>
        <v>40991</v>
      </c>
      <c r="C6756" s="13">
        <v>2012.0</v>
      </c>
      <c r="D6756" s="11" t="s">
        <v>32</v>
      </c>
      <c r="E6756" s="11">
        <v>35.0</v>
      </c>
      <c r="F6756" s="21" t="s">
        <v>552</v>
      </c>
      <c r="G6756" s="15">
        <v>0.04204511278195488</v>
      </c>
      <c r="H6756" s="11" t="s">
        <v>33</v>
      </c>
      <c r="I6756" s="16">
        <v>2.8160000000000003</v>
      </c>
      <c r="J6756" s="11" t="s">
        <v>1123</v>
      </c>
      <c r="K6756" s="11" t="s">
        <v>61</v>
      </c>
      <c r="L6756" s="11" t="s">
        <v>48</v>
      </c>
      <c r="M6756" s="11" t="s">
        <v>66</v>
      </c>
      <c r="N6756" s="11" t="s">
        <v>67</v>
      </c>
      <c r="O6756" s="11" t="s">
        <v>1445</v>
      </c>
      <c r="P6756" s="11" t="s">
        <v>99</v>
      </c>
      <c r="Q6756" s="20">
        <v>40993.0</v>
      </c>
      <c r="R6756" s="17">
        <f t="shared" si="2"/>
        <v>10.71376746</v>
      </c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>
        <f t="shared" si="8"/>
        <v>4</v>
      </c>
      <c r="AF6756" s="19">
        <f t="shared" si="13"/>
        <v>4</v>
      </c>
      <c r="AG6756" s="9"/>
      <c r="AH6756" s="9"/>
      <c r="AI6756" s="9"/>
    </row>
    <row r="6757" ht="15.0" customHeight="1">
      <c r="A6757" s="11">
        <v>6756.0</v>
      </c>
      <c r="B6757" s="12">
        <f t="shared" si="1084"/>
        <v>40991</v>
      </c>
      <c r="C6757" s="13">
        <v>2012.0</v>
      </c>
      <c r="D6757" s="11" t="s">
        <v>32</v>
      </c>
      <c r="E6757" s="11">
        <v>31.0</v>
      </c>
      <c r="F6757" s="21" t="s">
        <v>493</v>
      </c>
      <c r="G6757" s="15">
        <v>0.010386182864934488</v>
      </c>
      <c r="H6757" s="11" t="s">
        <v>24</v>
      </c>
      <c r="I6757" s="16">
        <v>15.991999999999999</v>
      </c>
      <c r="J6757" s="11" t="s">
        <v>2084</v>
      </c>
      <c r="K6757" s="11" t="s">
        <v>61</v>
      </c>
      <c r="L6757" s="11" t="s">
        <v>48</v>
      </c>
      <c r="M6757" s="11" t="s">
        <v>28</v>
      </c>
      <c r="N6757" s="11" t="s">
        <v>42</v>
      </c>
      <c r="O6757" s="11" t="s">
        <v>495</v>
      </c>
      <c r="P6757" s="11" t="s">
        <v>38</v>
      </c>
      <c r="Q6757" s="20">
        <v>40993.0</v>
      </c>
      <c r="R6757" s="17">
        <f t="shared" si="2"/>
        <v>135.6839712</v>
      </c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>
        <f t="shared" si="8"/>
        <v>4</v>
      </c>
      <c r="AF6757" s="19">
        <f t="shared" si="13"/>
        <v>4</v>
      </c>
      <c r="AG6757" s="9"/>
      <c r="AH6757" s="9"/>
      <c r="AI6757" s="9"/>
    </row>
    <row r="6758" ht="15.0" customHeight="1">
      <c r="A6758" s="11">
        <v>6757.0</v>
      </c>
      <c r="B6758" s="12">
        <f t="shared" si="1084"/>
        <v>40991</v>
      </c>
      <c r="C6758" s="13">
        <v>2012.0</v>
      </c>
      <c r="D6758" s="11" t="s">
        <v>32</v>
      </c>
      <c r="E6758" s="11">
        <v>34.0</v>
      </c>
      <c r="F6758" s="21" t="s">
        <v>394</v>
      </c>
      <c r="G6758" s="15">
        <v>0.04956377691882928</v>
      </c>
      <c r="H6758" s="11" t="s">
        <v>45</v>
      </c>
      <c r="I6758" s="16">
        <v>28.872000000000003</v>
      </c>
      <c r="J6758" s="11" t="s">
        <v>2084</v>
      </c>
      <c r="K6758" s="11" t="s">
        <v>61</v>
      </c>
      <c r="L6758" s="11" t="s">
        <v>48</v>
      </c>
      <c r="M6758" s="11" t="s">
        <v>49</v>
      </c>
      <c r="N6758" s="11" t="s">
        <v>156</v>
      </c>
      <c r="O6758" s="11" t="s">
        <v>1194</v>
      </c>
      <c r="P6758" s="11" t="s">
        <v>87</v>
      </c>
      <c r="Q6758" s="20">
        <v>40993.0</v>
      </c>
      <c r="R6758" s="17">
        <f t="shared" si="2"/>
        <v>238.8712351</v>
      </c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>
        <f t="shared" si="8"/>
        <v>4</v>
      </c>
      <c r="AF6758" s="19">
        <f t="shared" si="13"/>
        <v>4</v>
      </c>
      <c r="AG6758" s="9"/>
      <c r="AH6758" s="9"/>
      <c r="AI6758" s="9"/>
    </row>
    <row r="6759" ht="15.0" customHeight="1">
      <c r="A6759" s="11">
        <v>6758.0</v>
      </c>
      <c r="B6759" s="12">
        <f t="shared" si="1084"/>
        <v>40991</v>
      </c>
      <c r="C6759" s="13">
        <v>2012.0</v>
      </c>
      <c r="D6759" s="11" t="s">
        <v>32</v>
      </c>
      <c r="E6759" s="11">
        <v>1.0</v>
      </c>
      <c r="F6759" s="21" t="s">
        <v>1656</v>
      </c>
      <c r="G6759" s="15">
        <v>0.04810004340277785</v>
      </c>
      <c r="H6759" s="11" t="s">
        <v>45</v>
      </c>
      <c r="I6759" s="16">
        <v>6.984000000000001</v>
      </c>
      <c r="J6759" s="11" t="s">
        <v>2084</v>
      </c>
      <c r="K6759" s="11" t="s">
        <v>61</v>
      </c>
      <c r="L6759" s="11" t="s">
        <v>48</v>
      </c>
      <c r="M6759" s="11" t="s">
        <v>66</v>
      </c>
      <c r="N6759" s="11" t="s">
        <v>69</v>
      </c>
      <c r="O6759" s="11" t="s">
        <v>1658</v>
      </c>
      <c r="P6759" s="11" t="s">
        <v>87</v>
      </c>
      <c r="Q6759" s="20">
        <v>40993.0</v>
      </c>
      <c r="R6759" s="17">
        <f t="shared" si="2"/>
        <v>168.7870927</v>
      </c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>
        <f t="shared" si="8"/>
        <v>4</v>
      </c>
      <c r="AF6759" s="19">
        <f t="shared" si="13"/>
        <v>4</v>
      </c>
      <c r="AG6759" s="9"/>
      <c r="AH6759" s="9"/>
      <c r="AI6759" s="9"/>
    </row>
    <row r="6760" ht="15.0" customHeight="1">
      <c r="A6760" s="11">
        <v>6759.0</v>
      </c>
      <c r="B6760" s="12">
        <f t="shared" si="1084"/>
        <v>40991</v>
      </c>
      <c r="C6760" s="13">
        <v>2012.0</v>
      </c>
      <c r="D6760" s="11" t="s">
        <v>32</v>
      </c>
      <c r="E6760" s="11">
        <v>10.0</v>
      </c>
      <c r="F6760" s="21" t="s">
        <v>142</v>
      </c>
      <c r="G6760" s="15">
        <v>0.07077394636015333</v>
      </c>
      <c r="H6760" s="11" t="s">
        <v>33</v>
      </c>
      <c r="I6760" s="16">
        <v>4.792000000000001</v>
      </c>
      <c r="J6760" s="11" t="s">
        <v>2084</v>
      </c>
      <c r="K6760" s="11" t="s">
        <v>61</v>
      </c>
      <c r="L6760" s="11" t="s">
        <v>48</v>
      </c>
      <c r="M6760" s="11" t="s">
        <v>66</v>
      </c>
      <c r="N6760" s="11" t="s">
        <v>80</v>
      </c>
      <c r="O6760" s="11" t="s">
        <v>757</v>
      </c>
      <c r="P6760" s="11" t="s">
        <v>58</v>
      </c>
      <c r="Q6760" s="20">
        <v>40993.0</v>
      </c>
      <c r="R6760" s="17">
        <f t="shared" si="2"/>
        <v>25.74699549</v>
      </c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>
        <f t="shared" si="8"/>
        <v>4</v>
      </c>
      <c r="AF6760" s="19">
        <f t="shared" si="13"/>
        <v>4</v>
      </c>
      <c r="AG6760" s="9"/>
      <c r="AH6760" s="9"/>
      <c r="AI6760" s="9"/>
    </row>
    <row r="6761" ht="15.0" customHeight="1">
      <c r="A6761" s="11">
        <v>6760.0</v>
      </c>
      <c r="B6761" s="12">
        <f t="shared" si="1084"/>
        <v>40991</v>
      </c>
      <c r="C6761" s="13">
        <v>2012.0</v>
      </c>
      <c r="D6761" s="11" t="s">
        <v>23</v>
      </c>
      <c r="E6761" s="11">
        <v>39.0</v>
      </c>
      <c r="F6761" s="21" t="s">
        <v>1479</v>
      </c>
      <c r="G6761" s="15">
        <v>0.06616838865684746</v>
      </c>
      <c r="H6761" s="11" t="s">
        <v>33</v>
      </c>
      <c r="I6761" s="16">
        <v>3.6</v>
      </c>
      <c r="J6761" s="11" t="s">
        <v>1221</v>
      </c>
      <c r="K6761" s="11" t="s">
        <v>61</v>
      </c>
      <c r="L6761" s="11" t="s">
        <v>41</v>
      </c>
      <c r="M6761" s="11" t="s">
        <v>28</v>
      </c>
      <c r="N6761" s="11" t="s">
        <v>197</v>
      </c>
      <c r="O6761" s="11" t="s">
        <v>1480</v>
      </c>
      <c r="P6761" s="11" t="s">
        <v>38</v>
      </c>
      <c r="Q6761" s="20">
        <v>40993.0</v>
      </c>
      <c r="R6761" s="17">
        <f t="shared" si="2"/>
        <v>28.1083315</v>
      </c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>
        <f t="shared" si="8"/>
        <v>3</v>
      </c>
      <c r="AF6761" s="19">
        <f t="shared" si="13"/>
        <v>4</v>
      </c>
      <c r="AG6761" s="9"/>
      <c r="AH6761" s="9"/>
      <c r="AI6761" s="9"/>
    </row>
    <row r="6762" ht="15.0" customHeight="1">
      <c r="A6762" s="11">
        <v>6761.0</v>
      </c>
      <c r="B6762" s="12">
        <f t="shared" si="1084"/>
        <v>40991</v>
      </c>
      <c r="C6762" s="13">
        <v>2012.0</v>
      </c>
      <c r="D6762" s="11" t="s">
        <v>23</v>
      </c>
      <c r="E6762" s="11">
        <v>3.0</v>
      </c>
      <c r="F6762" s="21" t="s">
        <v>96</v>
      </c>
      <c r="G6762" s="15">
        <v>0.05455337690631819</v>
      </c>
      <c r="H6762" s="11" t="s">
        <v>33</v>
      </c>
      <c r="I6762" s="16">
        <v>1.592</v>
      </c>
      <c r="J6762" s="11" t="s">
        <v>1221</v>
      </c>
      <c r="K6762" s="11" t="s">
        <v>61</v>
      </c>
      <c r="L6762" s="11" t="s">
        <v>41</v>
      </c>
      <c r="M6762" s="11" t="s">
        <v>66</v>
      </c>
      <c r="N6762" s="11" t="s">
        <v>67</v>
      </c>
      <c r="O6762" s="11" t="s">
        <v>98</v>
      </c>
      <c r="P6762" s="11" t="s">
        <v>99</v>
      </c>
      <c r="Q6762" s="20">
        <v>40993.0</v>
      </c>
      <c r="R6762" s="17">
        <f t="shared" si="2"/>
        <v>4.734796688</v>
      </c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>
        <f t="shared" si="8"/>
        <v>3</v>
      </c>
      <c r="AF6762" s="19">
        <f t="shared" si="13"/>
        <v>4</v>
      </c>
      <c r="AG6762" s="9"/>
      <c r="AH6762" s="9"/>
      <c r="AI6762" s="9"/>
    </row>
    <row r="6763" ht="15.0" customHeight="1">
      <c r="A6763" s="11">
        <v>6762.0</v>
      </c>
      <c r="B6763" s="12">
        <f t="shared" si="1084"/>
        <v>40991</v>
      </c>
      <c r="C6763" s="13">
        <v>2012.0</v>
      </c>
      <c r="D6763" s="11" t="s">
        <v>23</v>
      </c>
      <c r="E6763" s="11">
        <v>45.0</v>
      </c>
      <c r="F6763" s="21" t="s">
        <v>319</v>
      </c>
      <c r="G6763" s="15">
        <v>0.04867614061331346</v>
      </c>
      <c r="H6763" s="11" t="s">
        <v>33</v>
      </c>
      <c r="I6763" s="16">
        <v>1.192</v>
      </c>
      <c r="J6763" s="11" t="s">
        <v>1221</v>
      </c>
      <c r="K6763" s="11" t="s">
        <v>61</v>
      </c>
      <c r="L6763" s="11" t="s">
        <v>41</v>
      </c>
      <c r="M6763" s="11" t="s">
        <v>28</v>
      </c>
      <c r="N6763" s="11" t="s">
        <v>42</v>
      </c>
      <c r="O6763" s="11" t="s">
        <v>1503</v>
      </c>
      <c r="P6763" s="11" t="s">
        <v>38</v>
      </c>
      <c r="Q6763" s="20">
        <v>40993.0</v>
      </c>
      <c r="R6763" s="17">
        <f t="shared" si="2"/>
        <v>6.191215677</v>
      </c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>
        <f t="shared" si="8"/>
        <v>3</v>
      </c>
      <c r="AF6763" s="19">
        <f t="shared" si="13"/>
        <v>4</v>
      </c>
      <c r="AG6763" s="9"/>
      <c r="AH6763" s="9"/>
      <c r="AI6763" s="9"/>
    </row>
    <row r="6764" ht="15.0" customHeight="1">
      <c r="A6764" s="11">
        <v>6763.0</v>
      </c>
      <c r="B6764" s="12">
        <f t="shared" ref="B6764:B6772" si="1085">DATE(2012,12,31)-282</f>
        <v>40992</v>
      </c>
      <c r="C6764" s="13">
        <v>2012.0</v>
      </c>
      <c r="D6764" s="11" t="s">
        <v>39</v>
      </c>
      <c r="E6764" s="11">
        <v>7.0</v>
      </c>
      <c r="F6764" s="21" t="s">
        <v>218</v>
      </c>
      <c r="G6764" s="15">
        <v>0.10854676258992792</v>
      </c>
      <c r="H6764" s="11" t="s">
        <v>33</v>
      </c>
      <c r="I6764" s="16">
        <v>3.8560000000000003</v>
      </c>
      <c r="J6764" s="11" t="s">
        <v>2276</v>
      </c>
      <c r="K6764" s="11" t="s">
        <v>65</v>
      </c>
      <c r="L6764" s="11" t="s">
        <v>36</v>
      </c>
      <c r="M6764" s="11" t="s">
        <v>28</v>
      </c>
      <c r="N6764" s="11" t="s">
        <v>56</v>
      </c>
      <c r="O6764" s="11" t="s">
        <v>560</v>
      </c>
      <c r="P6764" s="11" t="s">
        <v>38</v>
      </c>
      <c r="Q6764" s="20">
        <v>40994.0</v>
      </c>
      <c r="R6764" s="17">
        <f t="shared" si="2"/>
        <v>6.725123223</v>
      </c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>
        <f t="shared" si="8"/>
        <v>2</v>
      </c>
      <c r="AF6764" s="19">
        <f t="shared" si="13"/>
        <v>5</v>
      </c>
      <c r="AG6764" s="9"/>
      <c r="AH6764" s="9"/>
      <c r="AI6764" s="9"/>
    </row>
    <row r="6765" ht="15.0" customHeight="1">
      <c r="A6765" s="11">
        <v>6764.0</v>
      </c>
      <c r="B6765" s="12">
        <f t="shared" si="1085"/>
        <v>40992</v>
      </c>
      <c r="C6765" s="13">
        <v>2012.0</v>
      </c>
      <c r="D6765" s="11" t="s">
        <v>23</v>
      </c>
      <c r="E6765" s="11">
        <v>42.0</v>
      </c>
      <c r="F6765" s="21" t="s">
        <v>264</v>
      </c>
      <c r="G6765" s="15">
        <v>0.0906086531410414</v>
      </c>
      <c r="H6765" s="11" t="s">
        <v>33</v>
      </c>
      <c r="I6765" s="16">
        <v>6.632</v>
      </c>
      <c r="J6765" s="11" t="s">
        <v>2542</v>
      </c>
      <c r="K6765" s="11" t="s">
        <v>61</v>
      </c>
      <c r="L6765" s="11" t="s">
        <v>36</v>
      </c>
      <c r="M6765" s="11" t="s">
        <v>28</v>
      </c>
      <c r="N6765" s="11" t="s">
        <v>236</v>
      </c>
      <c r="O6765" s="11" t="s">
        <v>265</v>
      </c>
      <c r="P6765" s="11" t="s">
        <v>38</v>
      </c>
      <c r="Q6765" s="20">
        <v>40994.0</v>
      </c>
      <c r="R6765" s="17">
        <f t="shared" si="2"/>
        <v>33.70931845</v>
      </c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>
        <f t="shared" si="8"/>
        <v>2</v>
      </c>
      <c r="AF6765" s="19">
        <f t="shared" si="13"/>
        <v>4</v>
      </c>
      <c r="AG6765" s="9"/>
      <c r="AH6765" s="9"/>
      <c r="AI6765" s="9"/>
    </row>
    <row r="6766" ht="15.0" customHeight="1">
      <c r="A6766" s="11">
        <v>6765.0</v>
      </c>
      <c r="B6766" s="12">
        <f t="shared" si="1085"/>
        <v>40992</v>
      </c>
      <c r="C6766" s="13">
        <v>2012.0</v>
      </c>
      <c r="D6766" s="11" t="s">
        <v>23</v>
      </c>
      <c r="E6766" s="11">
        <v>25.0</v>
      </c>
      <c r="F6766" s="21" t="s">
        <v>676</v>
      </c>
      <c r="G6766" s="15">
        <v>0.1075577763897564</v>
      </c>
      <c r="H6766" s="11" t="s">
        <v>33</v>
      </c>
      <c r="I6766" s="16">
        <v>2.8800000000000003</v>
      </c>
      <c r="J6766" s="11" t="s">
        <v>1179</v>
      </c>
      <c r="K6766" s="11" t="s">
        <v>61</v>
      </c>
      <c r="L6766" s="11" t="s">
        <v>41</v>
      </c>
      <c r="M6766" s="11" t="s">
        <v>28</v>
      </c>
      <c r="N6766" s="11" t="s">
        <v>442</v>
      </c>
      <c r="O6766" s="11" t="s">
        <v>1689</v>
      </c>
      <c r="P6766" s="11" t="s">
        <v>99</v>
      </c>
      <c r="Q6766" s="20">
        <v>40994.0</v>
      </c>
      <c r="R6766" s="17">
        <f t="shared" si="2"/>
        <v>15.36785509</v>
      </c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>
        <f t="shared" si="8"/>
        <v>3</v>
      </c>
      <c r="AF6766" s="19">
        <f t="shared" si="13"/>
        <v>4</v>
      </c>
      <c r="AG6766" s="9"/>
      <c r="AH6766" s="9"/>
      <c r="AI6766" s="9"/>
    </row>
    <row r="6767" ht="15.0" customHeight="1">
      <c r="A6767" s="11">
        <v>6766.0</v>
      </c>
      <c r="B6767" s="12">
        <f t="shared" si="1085"/>
        <v>40992</v>
      </c>
      <c r="C6767" s="13">
        <v>2012.0</v>
      </c>
      <c r="D6767" s="11" t="s">
        <v>102</v>
      </c>
      <c r="E6767" s="11">
        <v>8.0</v>
      </c>
      <c r="F6767" s="21" t="s">
        <v>810</v>
      </c>
      <c r="G6767" s="15">
        <v>0.103728813559322</v>
      </c>
      <c r="H6767" s="11" t="s">
        <v>33</v>
      </c>
      <c r="I6767" s="16">
        <v>2.696</v>
      </c>
      <c r="J6767" s="11" t="s">
        <v>681</v>
      </c>
      <c r="K6767" s="11" t="s">
        <v>61</v>
      </c>
      <c r="L6767" s="11" t="s">
        <v>41</v>
      </c>
      <c r="M6767" s="11" t="s">
        <v>28</v>
      </c>
      <c r="N6767" s="11" t="s">
        <v>442</v>
      </c>
      <c r="O6767" s="11" t="s">
        <v>1111</v>
      </c>
      <c r="P6767" s="11" t="s">
        <v>99</v>
      </c>
      <c r="Q6767" s="20">
        <v>40994.0</v>
      </c>
      <c r="R6767" s="17">
        <f t="shared" si="2"/>
        <v>9.324805424</v>
      </c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>
        <f t="shared" si="8"/>
        <v>3</v>
      </c>
      <c r="AF6767" s="19">
        <f t="shared" si="13"/>
        <v>4</v>
      </c>
      <c r="AG6767" s="9"/>
      <c r="AH6767" s="9"/>
      <c r="AI6767" s="9"/>
    </row>
    <row r="6768" ht="15.0" customHeight="1">
      <c r="A6768" s="11">
        <v>6767.0</v>
      </c>
      <c r="B6768" s="12">
        <f t="shared" si="1085"/>
        <v>40992</v>
      </c>
      <c r="C6768" s="13">
        <v>2012.0</v>
      </c>
      <c r="D6768" s="11" t="s">
        <v>23</v>
      </c>
      <c r="E6768" s="11">
        <v>50.0</v>
      </c>
      <c r="F6768" s="21" t="s">
        <v>1611</v>
      </c>
      <c r="G6768" s="15">
        <v>0.070297350259862</v>
      </c>
      <c r="H6768" s="11" t="s">
        <v>33</v>
      </c>
      <c r="I6768" s="16">
        <v>11.192</v>
      </c>
      <c r="J6768" s="11" t="s">
        <v>850</v>
      </c>
      <c r="K6768" s="11" t="s">
        <v>61</v>
      </c>
      <c r="L6768" s="11" t="s">
        <v>36</v>
      </c>
      <c r="M6768" s="11" t="s">
        <v>28</v>
      </c>
      <c r="N6768" s="11" t="s">
        <v>197</v>
      </c>
      <c r="O6768" s="11" t="s">
        <v>1612</v>
      </c>
      <c r="P6768" s="11" t="s">
        <v>75</v>
      </c>
      <c r="Q6768" s="20">
        <v>40994.0</v>
      </c>
      <c r="R6768" s="17">
        <f t="shared" si="2"/>
        <v>76.70790622</v>
      </c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>
        <f t="shared" si="8"/>
        <v>2</v>
      </c>
      <c r="AF6768" s="19">
        <f t="shared" si="13"/>
        <v>4</v>
      </c>
      <c r="AG6768" s="9"/>
      <c r="AH6768" s="9"/>
      <c r="AI6768" s="9"/>
    </row>
    <row r="6769" ht="15.0" customHeight="1">
      <c r="A6769" s="11">
        <v>6768.0</v>
      </c>
      <c r="B6769" s="12">
        <f t="shared" si="1085"/>
        <v>40992</v>
      </c>
      <c r="C6769" s="13">
        <v>2012.0</v>
      </c>
      <c r="D6769" s="11" t="s">
        <v>32</v>
      </c>
      <c r="E6769" s="11">
        <v>8.0</v>
      </c>
      <c r="F6769" s="21" t="s">
        <v>1158</v>
      </c>
      <c r="G6769" s="15">
        <v>0.12733153638814027</v>
      </c>
      <c r="H6769" s="11" t="s">
        <v>33</v>
      </c>
      <c r="I6769" s="16">
        <v>4.376</v>
      </c>
      <c r="J6769" s="11" t="s">
        <v>2427</v>
      </c>
      <c r="K6769" s="11" t="s">
        <v>65</v>
      </c>
      <c r="L6769" s="11" t="s">
        <v>27</v>
      </c>
      <c r="M6769" s="11" t="s">
        <v>28</v>
      </c>
      <c r="N6769" s="11" t="s">
        <v>42</v>
      </c>
      <c r="O6769" s="11" t="s">
        <v>1530</v>
      </c>
      <c r="P6769" s="11" t="s">
        <v>38</v>
      </c>
      <c r="Q6769" s="20">
        <v>40995.0</v>
      </c>
      <c r="R6769" s="17">
        <f t="shared" si="2"/>
        <v>4.122485822</v>
      </c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>
        <f t="shared" si="8"/>
        <v>1</v>
      </c>
      <c r="AF6769" s="19">
        <f t="shared" si="13"/>
        <v>5</v>
      </c>
      <c r="AG6769" s="9"/>
      <c r="AH6769" s="9"/>
      <c r="AI6769" s="9"/>
    </row>
    <row r="6770" ht="15.0" customHeight="1">
      <c r="A6770" s="11">
        <v>6769.0</v>
      </c>
      <c r="B6770" s="12">
        <f t="shared" si="1085"/>
        <v>40992</v>
      </c>
      <c r="C6770" s="13">
        <v>2012.0</v>
      </c>
      <c r="D6770" s="11" t="s">
        <v>32</v>
      </c>
      <c r="E6770" s="11">
        <v>6.0</v>
      </c>
      <c r="F6770" s="21" t="s">
        <v>629</v>
      </c>
      <c r="G6770" s="15">
        <v>0.07651567944250877</v>
      </c>
      <c r="H6770" s="11" t="s">
        <v>33</v>
      </c>
      <c r="I6770" s="16">
        <v>9.208</v>
      </c>
      <c r="J6770" s="11" t="s">
        <v>2427</v>
      </c>
      <c r="K6770" s="11" t="s">
        <v>65</v>
      </c>
      <c r="L6770" s="11" t="s">
        <v>27</v>
      </c>
      <c r="M6770" s="11" t="s">
        <v>28</v>
      </c>
      <c r="N6770" s="11" t="s">
        <v>42</v>
      </c>
      <c r="O6770" s="11" t="s">
        <v>1041</v>
      </c>
      <c r="P6770" s="11" t="s">
        <v>38</v>
      </c>
      <c r="Q6770" s="20">
        <v>40995.0</v>
      </c>
      <c r="R6770" s="17">
        <f t="shared" si="2"/>
        <v>4.055943136</v>
      </c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>
        <f t="shared" si="8"/>
        <v>1</v>
      </c>
      <c r="AF6770" s="19">
        <f t="shared" si="13"/>
        <v>5</v>
      </c>
      <c r="AG6770" s="9"/>
      <c r="AH6770" s="9"/>
      <c r="AI6770" s="9"/>
    </row>
    <row r="6771" ht="15.0" customHeight="1">
      <c r="A6771" s="11">
        <v>6770.0</v>
      </c>
      <c r="B6771" s="12">
        <f t="shared" si="1085"/>
        <v>40992</v>
      </c>
      <c r="C6771" s="13">
        <v>2012.0</v>
      </c>
      <c r="D6771" s="11" t="s">
        <v>32</v>
      </c>
      <c r="E6771" s="11">
        <v>46.0</v>
      </c>
      <c r="F6771" s="21" t="s">
        <v>610</v>
      </c>
      <c r="G6771" s="15">
        <v>0.05898463593854384</v>
      </c>
      <c r="H6771" s="11" t="s">
        <v>33</v>
      </c>
      <c r="I6771" s="16">
        <v>2.2800000000000002</v>
      </c>
      <c r="J6771" s="11" t="s">
        <v>2427</v>
      </c>
      <c r="K6771" s="11" t="s">
        <v>65</v>
      </c>
      <c r="L6771" s="11" t="s">
        <v>27</v>
      </c>
      <c r="M6771" s="11" t="s">
        <v>49</v>
      </c>
      <c r="N6771" s="11" t="s">
        <v>73</v>
      </c>
      <c r="O6771" s="11" t="s">
        <v>612</v>
      </c>
      <c r="P6771" s="11" t="s">
        <v>99</v>
      </c>
      <c r="Q6771" s="20">
        <v>40995.0</v>
      </c>
      <c r="R6771" s="17">
        <f t="shared" si="2"/>
        <v>33.23666266</v>
      </c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>
        <f t="shared" si="8"/>
        <v>1</v>
      </c>
      <c r="AF6771" s="19">
        <f t="shared" si="13"/>
        <v>5</v>
      </c>
      <c r="AG6771" s="9"/>
      <c r="AH6771" s="9"/>
      <c r="AI6771" s="9"/>
    </row>
    <row r="6772" ht="15.0" customHeight="1">
      <c r="A6772" s="11">
        <v>6771.0</v>
      </c>
      <c r="B6772" s="12">
        <f t="shared" si="1085"/>
        <v>40992</v>
      </c>
      <c r="C6772" s="13">
        <v>2012.0</v>
      </c>
      <c r="D6772" s="11" t="s">
        <v>32</v>
      </c>
      <c r="E6772" s="11">
        <v>31.0</v>
      </c>
      <c r="F6772" s="21" t="s">
        <v>1828</v>
      </c>
      <c r="G6772" s="15">
        <v>0.03899660800510796</v>
      </c>
      <c r="H6772" s="11" t="s">
        <v>33</v>
      </c>
      <c r="I6772" s="16">
        <v>15.991999999999999</v>
      </c>
      <c r="J6772" s="11" t="s">
        <v>2427</v>
      </c>
      <c r="K6772" s="11" t="s">
        <v>65</v>
      </c>
      <c r="L6772" s="11" t="s">
        <v>27</v>
      </c>
      <c r="M6772" s="11" t="s">
        <v>28</v>
      </c>
      <c r="N6772" s="11" t="s">
        <v>42</v>
      </c>
      <c r="O6772" s="11" t="s">
        <v>1830</v>
      </c>
      <c r="P6772" s="11" t="s">
        <v>38</v>
      </c>
      <c r="Q6772" s="20">
        <v>40995.0</v>
      </c>
      <c r="R6772" s="17">
        <f t="shared" si="2"/>
        <v>469.5539454</v>
      </c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>
        <f t="shared" si="8"/>
        <v>1</v>
      </c>
      <c r="AF6772" s="19">
        <f t="shared" si="13"/>
        <v>5</v>
      </c>
      <c r="AG6772" s="9"/>
      <c r="AH6772" s="9"/>
      <c r="AI6772" s="9"/>
    </row>
    <row r="6773" ht="15.0" customHeight="1">
      <c r="A6773" s="11">
        <v>6772.0</v>
      </c>
      <c r="B6773" s="12">
        <f>DATE(2012,12,31)-281</f>
        <v>40993</v>
      </c>
      <c r="C6773" s="13">
        <v>2012.0</v>
      </c>
      <c r="D6773" s="11" t="s">
        <v>102</v>
      </c>
      <c r="E6773" s="11">
        <v>35.0</v>
      </c>
      <c r="F6773" s="21" t="s">
        <v>306</v>
      </c>
      <c r="G6773" s="15">
        <v>0.043801472593400635</v>
      </c>
      <c r="H6773" s="11" t="s">
        <v>33</v>
      </c>
      <c r="I6773" s="16">
        <v>4.776</v>
      </c>
      <c r="J6773" s="11" t="s">
        <v>1170</v>
      </c>
      <c r="K6773" s="11" t="s">
        <v>61</v>
      </c>
      <c r="L6773" s="11" t="s">
        <v>27</v>
      </c>
      <c r="M6773" s="11" t="s">
        <v>28</v>
      </c>
      <c r="N6773" s="11" t="s">
        <v>56</v>
      </c>
      <c r="O6773" s="11" t="s">
        <v>1866</v>
      </c>
      <c r="P6773" s="11" t="s">
        <v>38</v>
      </c>
      <c r="Q6773" s="20">
        <v>40995.0</v>
      </c>
      <c r="R6773" s="17">
        <f t="shared" si="2"/>
        <v>30.71692149</v>
      </c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>
        <f t="shared" si="8"/>
        <v>1</v>
      </c>
      <c r="AF6773" s="19">
        <f t="shared" si="13"/>
        <v>4</v>
      </c>
      <c r="AG6773" s="9"/>
      <c r="AH6773" s="9"/>
      <c r="AI6773" s="9"/>
    </row>
    <row r="6774" ht="15.0" customHeight="1">
      <c r="A6774" s="11">
        <v>6773.0</v>
      </c>
      <c r="B6774" s="12">
        <f t="shared" ref="B6774:B6778" si="1086">DATE(2012,12,31)-280</f>
        <v>40994</v>
      </c>
      <c r="C6774" s="13">
        <v>2012.0</v>
      </c>
      <c r="D6774" s="11" t="s">
        <v>102</v>
      </c>
      <c r="E6774" s="11">
        <v>39.0</v>
      </c>
      <c r="F6774" s="21" t="s">
        <v>96</v>
      </c>
      <c r="G6774" s="15">
        <v>0.06829735405291894</v>
      </c>
      <c r="H6774" s="11" t="s">
        <v>33</v>
      </c>
      <c r="I6774" s="16">
        <v>1.592</v>
      </c>
      <c r="J6774" s="11" t="s">
        <v>806</v>
      </c>
      <c r="K6774" s="11" t="s">
        <v>83</v>
      </c>
      <c r="L6774" s="11" t="s">
        <v>27</v>
      </c>
      <c r="M6774" s="11" t="s">
        <v>66</v>
      </c>
      <c r="N6774" s="11" t="s">
        <v>67</v>
      </c>
      <c r="O6774" s="11" t="s">
        <v>98</v>
      </c>
      <c r="P6774" s="11" t="s">
        <v>99</v>
      </c>
      <c r="Q6774" s="20">
        <v>40996.0</v>
      </c>
      <c r="R6774" s="17">
        <f t="shared" si="2"/>
        <v>75.75487874</v>
      </c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>
        <f t="shared" si="8"/>
        <v>1</v>
      </c>
      <c r="AF6774" s="19" t="b">
        <f t="shared" si="13"/>
        <v>0</v>
      </c>
      <c r="AG6774" s="9"/>
      <c r="AH6774" s="9"/>
      <c r="AI6774" s="9"/>
    </row>
    <row r="6775" ht="15.0" customHeight="1">
      <c r="A6775" s="11">
        <v>6774.0</v>
      </c>
      <c r="B6775" s="12">
        <f t="shared" si="1086"/>
        <v>40994</v>
      </c>
      <c r="C6775" s="13">
        <v>2012.0</v>
      </c>
      <c r="D6775" s="11" t="s">
        <v>102</v>
      </c>
      <c r="E6775" s="11">
        <v>13.0</v>
      </c>
      <c r="F6775" s="21" t="s">
        <v>122</v>
      </c>
      <c r="G6775" s="15">
        <v>0.0776378896882495</v>
      </c>
      <c r="H6775" s="11" t="s">
        <v>45</v>
      </c>
      <c r="I6775" s="16">
        <v>36.0</v>
      </c>
      <c r="J6775" s="11" t="s">
        <v>806</v>
      </c>
      <c r="K6775" s="11" t="s">
        <v>83</v>
      </c>
      <c r="L6775" s="11" t="s">
        <v>27</v>
      </c>
      <c r="M6775" s="11" t="s">
        <v>28</v>
      </c>
      <c r="N6775" s="11" t="s">
        <v>29</v>
      </c>
      <c r="O6775" s="11" t="s">
        <v>1420</v>
      </c>
      <c r="P6775" s="11" t="s">
        <v>52</v>
      </c>
      <c r="Q6775" s="20">
        <v>40996.0</v>
      </c>
      <c r="R6775" s="17">
        <f t="shared" si="2"/>
        <v>23.88917866</v>
      </c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>
        <f t="shared" si="8"/>
        <v>1</v>
      </c>
      <c r="AF6775" s="19" t="b">
        <f t="shared" si="13"/>
        <v>0</v>
      </c>
      <c r="AG6775" s="9"/>
      <c r="AH6775" s="9"/>
      <c r="AI6775" s="9"/>
    </row>
    <row r="6776" ht="15.0" customHeight="1">
      <c r="A6776" s="11">
        <v>6775.0</v>
      </c>
      <c r="B6776" s="12">
        <f t="shared" si="1086"/>
        <v>40994</v>
      </c>
      <c r="C6776" s="13">
        <v>2012.0</v>
      </c>
      <c r="D6776" s="11" t="s">
        <v>44</v>
      </c>
      <c r="E6776" s="11">
        <v>4.0</v>
      </c>
      <c r="F6776" s="21" t="s">
        <v>933</v>
      </c>
      <c r="G6776" s="15">
        <v>0.07807660961695201</v>
      </c>
      <c r="H6776" s="11" t="s">
        <v>33</v>
      </c>
      <c r="I6776" s="16">
        <v>2.64</v>
      </c>
      <c r="J6776" s="11" t="s">
        <v>1468</v>
      </c>
      <c r="K6776" s="11" t="s">
        <v>83</v>
      </c>
      <c r="L6776" s="11" t="s">
        <v>27</v>
      </c>
      <c r="M6776" s="11" t="s">
        <v>66</v>
      </c>
      <c r="N6776" s="11" t="s">
        <v>80</v>
      </c>
      <c r="O6776" s="11" t="s">
        <v>1695</v>
      </c>
      <c r="P6776" s="11" t="s">
        <v>99</v>
      </c>
      <c r="Q6776" s="20">
        <v>40996.0</v>
      </c>
      <c r="R6776" s="17">
        <f t="shared" si="2"/>
        <v>17.66405216</v>
      </c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>
        <f t="shared" si="8"/>
        <v>1</v>
      </c>
      <c r="AF6776" s="19" t="b">
        <f t="shared" si="13"/>
        <v>0</v>
      </c>
      <c r="AG6776" s="9"/>
      <c r="AH6776" s="9"/>
      <c r="AI6776" s="9"/>
    </row>
    <row r="6777" ht="15.0" customHeight="1">
      <c r="A6777" s="11">
        <v>6776.0</v>
      </c>
      <c r="B6777" s="12">
        <f t="shared" si="1086"/>
        <v>40994</v>
      </c>
      <c r="C6777" s="13">
        <v>2012.0</v>
      </c>
      <c r="D6777" s="11" t="s">
        <v>39</v>
      </c>
      <c r="E6777" s="11">
        <v>7.0</v>
      </c>
      <c r="F6777" s="21" t="s">
        <v>810</v>
      </c>
      <c r="G6777" s="15">
        <v>0.05280575539568358</v>
      </c>
      <c r="H6777" s="11" t="s">
        <v>33</v>
      </c>
      <c r="I6777" s="16">
        <v>2.696</v>
      </c>
      <c r="J6777" s="11" t="s">
        <v>1564</v>
      </c>
      <c r="K6777" s="11" t="s">
        <v>35</v>
      </c>
      <c r="L6777" s="11" t="s">
        <v>27</v>
      </c>
      <c r="M6777" s="11" t="s">
        <v>28</v>
      </c>
      <c r="N6777" s="11" t="s">
        <v>442</v>
      </c>
      <c r="O6777" s="11" t="s">
        <v>1111</v>
      </c>
      <c r="P6777" s="11" t="s">
        <v>99</v>
      </c>
      <c r="Q6777" s="20">
        <v>40996.0</v>
      </c>
      <c r="R6777" s="17">
        <f t="shared" si="2"/>
        <v>4.171443453</v>
      </c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>
        <f t="shared" si="8"/>
        <v>1</v>
      </c>
      <c r="AF6777" s="19">
        <f t="shared" si="13"/>
        <v>2</v>
      </c>
      <c r="AG6777" s="9"/>
      <c r="AH6777" s="9"/>
      <c r="AI6777" s="9"/>
    </row>
    <row r="6778" ht="15.0" customHeight="1">
      <c r="A6778" s="11">
        <v>6777.0</v>
      </c>
      <c r="B6778" s="12">
        <f t="shared" si="1086"/>
        <v>40994</v>
      </c>
      <c r="C6778" s="13">
        <v>2012.0</v>
      </c>
      <c r="D6778" s="11" t="s">
        <v>39</v>
      </c>
      <c r="E6778" s="11">
        <v>4.0</v>
      </c>
      <c r="F6778" s="21" t="s">
        <v>718</v>
      </c>
      <c r="G6778" s="15">
        <v>0.0852763819095477</v>
      </c>
      <c r="H6778" s="11" t="s">
        <v>33</v>
      </c>
      <c r="I6778" s="16">
        <v>6.024000000000001</v>
      </c>
      <c r="J6778" s="11" t="s">
        <v>968</v>
      </c>
      <c r="K6778" s="11" t="s">
        <v>47</v>
      </c>
      <c r="L6778" s="11" t="s">
        <v>36</v>
      </c>
      <c r="M6778" s="11" t="s">
        <v>66</v>
      </c>
      <c r="N6778" s="11" t="s">
        <v>67</v>
      </c>
      <c r="O6778" s="11" t="s">
        <v>813</v>
      </c>
      <c r="P6778" s="11" t="s">
        <v>38</v>
      </c>
      <c r="Q6778" s="20">
        <v>40996.0</v>
      </c>
      <c r="R6778" s="17">
        <f t="shared" si="2"/>
        <v>12.41828784</v>
      </c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>
        <f t="shared" si="8"/>
        <v>2</v>
      </c>
      <c r="AF6778" s="19">
        <f t="shared" si="13"/>
        <v>3</v>
      </c>
      <c r="AG6778" s="9"/>
      <c r="AH6778" s="9"/>
      <c r="AI6778" s="9"/>
    </row>
    <row r="6779" ht="15.0" customHeight="1">
      <c r="A6779" s="11">
        <v>6778.0</v>
      </c>
      <c r="B6779" s="12">
        <f t="shared" ref="B6779:B6783" si="1087">DATE(2012,12,31)-279</f>
        <v>40995</v>
      </c>
      <c r="C6779" s="13">
        <v>2012.0</v>
      </c>
      <c r="D6779" s="11" t="s">
        <v>102</v>
      </c>
      <c r="E6779" s="11">
        <v>37.0</v>
      </c>
      <c r="F6779" s="21" t="s">
        <v>137</v>
      </c>
      <c r="G6779" s="15">
        <v>0.012731476615869713</v>
      </c>
      <c r="H6779" s="11" t="s">
        <v>45</v>
      </c>
      <c r="I6779" s="16">
        <v>53.016</v>
      </c>
      <c r="J6779" s="11" t="s">
        <v>759</v>
      </c>
      <c r="K6779" s="11" t="s">
        <v>61</v>
      </c>
      <c r="L6779" s="11" t="s">
        <v>41</v>
      </c>
      <c r="M6779" s="11" t="s">
        <v>49</v>
      </c>
      <c r="N6779" s="11" t="s">
        <v>156</v>
      </c>
      <c r="O6779" s="11" t="s">
        <v>1553</v>
      </c>
      <c r="P6779" s="11" t="s">
        <v>87</v>
      </c>
      <c r="Q6779" s="20">
        <v>40996.0</v>
      </c>
      <c r="R6779" s="17">
        <f t="shared" si="2"/>
        <v>71.75862535</v>
      </c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>
        <f t="shared" si="8"/>
        <v>3</v>
      </c>
      <c r="AF6779" s="19">
        <f t="shared" si="13"/>
        <v>4</v>
      </c>
      <c r="AG6779" s="9"/>
      <c r="AH6779" s="9"/>
      <c r="AI6779" s="9"/>
    </row>
    <row r="6780" ht="15.0" customHeight="1">
      <c r="A6780" s="11">
        <v>6779.0</v>
      </c>
      <c r="B6780" s="12">
        <f t="shared" si="1087"/>
        <v>40995</v>
      </c>
      <c r="C6780" s="13">
        <v>2012.0</v>
      </c>
      <c r="D6780" s="11" t="s">
        <v>32</v>
      </c>
      <c r="E6780" s="11">
        <v>11.0</v>
      </c>
      <c r="F6780" s="21" t="s">
        <v>221</v>
      </c>
      <c r="G6780" s="15">
        <v>0.08111298482293428</v>
      </c>
      <c r="H6780" s="11" t="s">
        <v>33</v>
      </c>
      <c r="I6780" s="16">
        <v>6.840000000000001</v>
      </c>
      <c r="J6780" s="11" t="s">
        <v>1876</v>
      </c>
      <c r="K6780" s="11" t="s">
        <v>61</v>
      </c>
      <c r="L6780" s="11" t="s">
        <v>27</v>
      </c>
      <c r="M6780" s="11" t="s">
        <v>49</v>
      </c>
      <c r="N6780" s="11" t="s">
        <v>73</v>
      </c>
      <c r="O6780" s="11" t="s">
        <v>223</v>
      </c>
      <c r="P6780" s="11" t="s">
        <v>38</v>
      </c>
      <c r="Q6780" s="20">
        <v>40996.0</v>
      </c>
      <c r="R6780" s="17">
        <f t="shared" si="2"/>
        <v>26.51907926</v>
      </c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>
        <f t="shared" si="8"/>
        <v>1</v>
      </c>
      <c r="AF6780" s="19">
        <f t="shared" si="13"/>
        <v>4</v>
      </c>
      <c r="AG6780" s="9"/>
      <c r="AH6780" s="9"/>
      <c r="AI6780" s="9"/>
    </row>
    <row r="6781" ht="15.0" customHeight="1">
      <c r="A6781" s="11">
        <v>6780.0</v>
      </c>
      <c r="B6781" s="12">
        <f t="shared" si="1087"/>
        <v>40995</v>
      </c>
      <c r="C6781" s="13">
        <v>2012.0</v>
      </c>
      <c r="D6781" s="11" t="s">
        <v>102</v>
      </c>
      <c r="E6781" s="11">
        <v>13.0</v>
      </c>
      <c r="F6781" s="21" t="s">
        <v>1074</v>
      </c>
      <c r="G6781" s="15">
        <v>0.07635000000000006</v>
      </c>
      <c r="H6781" s="11" t="s">
        <v>33</v>
      </c>
      <c r="I6781" s="16">
        <v>2.3920000000000003</v>
      </c>
      <c r="J6781" s="11" t="s">
        <v>1805</v>
      </c>
      <c r="K6781" s="11" t="s">
        <v>65</v>
      </c>
      <c r="L6781" s="11" t="s">
        <v>27</v>
      </c>
      <c r="M6781" s="11" t="s">
        <v>28</v>
      </c>
      <c r="N6781" s="11" t="s">
        <v>42</v>
      </c>
      <c r="O6781" s="11" t="s">
        <v>84</v>
      </c>
      <c r="P6781" s="11" t="s">
        <v>38</v>
      </c>
      <c r="Q6781" s="20">
        <v>40997.0</v>
      </c>
      <c r="R6781" s="17">
        <f t="shared" si="2"/>
        <v>5.6416542</v>
      </c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>
        <f t="shared" si="8"/>
        <v>1</v>
      </c>
      <c r="AF6781" s="19">
        <f t="shared" si="13"/>
        <v>5</v>
      </c>
      <c r="AG6781" s="9"/>
      <c r="AH6781" s="9"/>
      <c r="AI6781" s="9"/>
    </row>
    <row r="6782" ht="15.0" customHeight="1">
      <c r="A6782" s="11">
        <v>6781.0</v>
      </c>
      <c r="B6782" s="12">
        <f t="shared" si="1087"/>
        <v>40995</v>
      </c>
      <c r="C6782" s="13">
        <v>2012.0</v>
      </c>
      <c r="D6782" s="11" t="s">
        <v>102</v>
      </c>
      <c r="E6782" s="11">
        <v>31.0</v>
      </c>
      <c r="F6782" s="21" t="s">
        <v>473</v>
      </c>
      <c r="G6782" s="15">
        <v>0.05058374083129598</v>
      </c>
      <c r="H6782" s="11" t="s">
        <v>33</v>
      </c>
      <c r="I6782" s="16">
        <v>5.696000000000001</v>
      </c>
      <c r="J6782" s="11" t="s">
        <v>1805</v>
      </c>
      <c r="K6782" s="11" t="s">
        <v>65</v>
      </c>
      <c r="L6782" s="11" t="s">
        <v>27</v>
      </c>
      <c r="M6782" s="11" t="s">
        <v>66</v>
      </c>
      <c r="N6782" s="11" t="s">
        <v>67</v>
      </c>
      <c r="O6782" s="11" t="s">
        <v>475</v>
      </c>
      <c r="P6782" s="11" t="s">
        <v>38</v>
      </c>
      <c r="Q6782" s="20">
        <v>40997.0</v>
      </c>
      <c r="R6782" s="17">
        <f t="shared" si="2"/>
        <v>62.85515402</v>
      </c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>
        <f t="shared" si="8"/>
        <v>1</v>
      </c>
      <c r="AF6782" s="19">
        <f t="shared" si="13"/>
        <v>5</v>
      </c>
      <c r="AG6782" s="9"/>
      <c r="AH6782" s="9"/>
      <c r="AI6782" s="9"/>
    </row>
    <row r="6783" ht="15.0" customHeight="1">
      <c r="A6783" s="11">
        <v>6782.0</v>
      </c>
      <c r="B6783" s="12">
        <f t="shared" si="1087"/>
        <v>40995</v>
      </c>
      <c r="C6783" s="13">
        <v>2012.0</v>
      </c>
      <c r="D6783" s="11" t="s">
        <v>102</v>
      </c>
      <c r="E6783" s="11">
        <v>35.0</v>
      </c>
      <c r="F6783" s="21" t="s">
        <v>128</v>
      </c>
      <c r="G6783" s="15">
        <v>0.08359279945186142</v>
      </c>
      <c r="H6783" s="11" t="s">
        <v>33</v>
      </c>
      <c r="I6783" s="16">
        <v>7.192</v>
      </c>
      <c r="J6783" s="11" t="s">
        <v>1805</v>
      </c>
      <c r="K6783" s="11" t="s">
        <v>65</v>
      </c>
      <c r="L6783" s="11" t="s">
        <v>27</v>
      </c>
      <c r="M6783" s="11" t="s">
        <v>66</v>
      </c>
      <c r="N6783" s="11" t="s">
        <v>80</v>
      </c>
      <c r="O6783" s="11" t="s">
        <v>214</v>
      </c>
      <c r="P6783" s="11" t="s">
        <v>38</v>
      </c>
      <c r="Q6783" s="20">
        <v>40997.0</v>
      </c>
      <c r="R6783" s="17">
        <f t="shared" si="2"/>
        <v>368.9528702</v>
      </c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>
        <f t="shared" si="8"/>
        <v>1</v>
      </c>
      <c r="AF6783" s="19">
        <f t="shared" si="13"/>
        <v>5</v>
      </c>
      <c r="AG6783" s="9"/>
      <c r="AH6783" s="9"/>
      <c r="AI6783" s="9"/>
    </row>
    <row r="6784" ht="15.0" customHeight="1">
      <c r="A6784" s="11">
        <v>6783.0</v>
      </c>
      <c r="B6784" s="12">
        <f t="shared" ref="B6784:B6803" si="1088">DATE(2012,12,31)-278</f>
        <v>40996</v>
      </c>
      <c r="C6784" s="13">
        <v>2012.0</v>
      </c>
      <c r="D6784" s="11" t="s">
        <v>23</v>
      </c>
      <c r="E6784" s="11">
        <v>41.0</v>
      </c>
      <c r="F6784" s="21" t="s">
        <v>304</v>
      </c>
      <c r="G6784" s="15">
        <v>0.025832463046272545</v>
      </c>
      <c r="H6784" s="11" t="s">
        <v>33</v>
      </c>
      <c r="I6784" s="16">
        <v>1.192</v>
      </c>
      <c r="J6784" s="11" t="s">
        <v>819</v>
      </c>
      <c r="K6784" s="11" t="s">
        <v>61</v>
      </c>
      <c r="L6784" s="11" t="s">
        <v>41</v>
      </c>
      <c r="M6784" s="11" t="s">
        <v>28</v>
      </c>
      <c r="N6784" s="11" t="s">
        <v>42</v>
      </c>
      <c r="O6784" s="11" t="s">
        <v>2377</v>
      </c>
      <c r="P6784" s="11" t="s">
        <v>38</v>
      </c>
      <c r="Q6784" s="20">
        <v>40997.0</v>
      </c>
      <c r="R6784" s="17">
        <f t="shared" si="2"/>
        <v>20.04836791</v>
      </c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>
        <f t="shared" si="8"/>
        <v>3</v>
      </c>
      <c r="AF6784" s="19">
        <f t="shared" si="13"/>
        <v>4</v>
      </c>
      <c r="AG6784" s="9"/>
      <c r="AH6784" s="9"/>
      <c r="AI6784" s="9"/>
    </row>
    <row r="6785" ht="15.0" customHeight="1">
      <c r="A6785" s="11">
        <v>6784.0</v>
      </c>
      <c r="B6785" s="12">
        <f t="shared" si="1088"/>
        <v>40996</v>
      </c>
      <c r="C6785" s="13">
        <v>2012.0</v>
      </c>
      <c r="D6785" s="11" t="s">
        <v>23</v>
      </c>
      <c r="E6785" s="11">
        <v>30.0</v>
      </c>
      <c r="F6785" s="21" t="s">
        <v>872</v>
      </c>
      <c r="G6785" s="15">
        <v>0.025261638397690363</v>
      </c>
      <c r="H6785" s="11" t="s">
        <v>33</v>
      </c>
      <c r="I6785" s="16">
        <v>3.2</v>
      </c>
      <c r="J6785" s="11" t="s">
        <v>819</v>
      </c>
      <c r="K6785" s="11" t="s">
        <v>61</v>
      </c>
      <c r="L6785" s="11" t="s">
        <v>41</v>
      </c>
      <c r="M6785" s="11" t="s">
        <v>66</v>
      </c>
      <c r="N6785" s="11" t="s">
        <v>67</v>
      </c>
      <c r="O6785" s="11" t="s">
        <v>874</v>
      </c>
      <c r="P6785" s="11" t="s">
        <v>38</v>
      </c>
      <c r="Q6785" s="20">
        <v>40997.0</v>
      </c>
      <c r="R6785" s="17">
        <f t="shared" si="2"/>
        <v>13.64633706</v>
      </c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>
        <f t="shared" si="8"/>
        <v>3</v>
      </c>
      <c r="AF6785" s="19">
        <f t="shared" si="13"/>
        <v>4</v>
      </c>
      <c r="AG6785" s="9"/>
      <c r="AH6785" s="9"/>
      <c r="AI6785" s="9"/>
    </row>
    <row r="6786" ht="15.0" customHeight="1">
      <c r="A6786" s="11">
        <v>6785.0</v>
      </c>
      <c r="B6786" s="12">
        <f t="shared" si="1088"/>
        <v>40996</v>
      </c>
      <c r="C6786" s="13">
        <v>2012.0</v>
      </c>
      <c r="D6786" s="11" t="s">
        <v>23</v>
      </c>
      <c r="E6786" s="11">
        <v>27.0</v>
      </c>
      <c r="F6786" s="21" t="s">
        <v>319</v>
      </c>
      <c r="G6786" s="15">
        <v>0.1111111111111111</v>
      </c>
      <c r="H6786" s="11" t="s">
        <v>33</v>
      </c>
      <c r="I6786" s="16">
        <v>0.4</v>
      </c>
      <c r="J6786" s="11" t="s">
        <v>819</v>
      </c>
      <c r="K6786" s="11" t="s">
        <v>61</v>
      </c>
      <c r="L6786" s="11" t="s">
        <v>41</v>
      </c>
      <c r="M6786" s="11" t="s">
        <v>28</v>
      </c>
      <c r="N6786" s="11" t="s">
        <v>188</v>
      </c>
      <c r="O6786" s="11" t="s">
        <v>437</v>
      </c>
      <c r="P6786" s="11" t="s">
        <v>38</v>
      </c>
      <c r="Q6786" s="20">
        <v>40997.0</v>
      </c>
      <c r="R6786" s="17">
        <f t="shared" si="2"/>
        <v>8.444444444</v>
      </c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>
        <f t="shared" si="8"/>
        <v>3</v>
      </c>
      <c r="AF6786" s="19">
        <f t="shared" si="13"/>
        <v>4</v>
      </c>
      <c r="AG6786" s="9"/>
      <c r="AH6786" s="9"/>
      <c r="AI6786" s="9"/>
    </row>
    <row r="6787" ht="15.0" customHeight="1">
      <c r="A6787" s="11">
        <v>6786.0</v>
      </c>
      <c r="B6787" s="12">
        <f t="shared" si="1088"/>
        <v>40996</v>
      </c>
      <c r="C6787" s="13">
        <v>2012.0</v>
      </c>
      <c r="D6787" s="11" t="s">
        <v>23</v>
      </c>
      <c r="E6787" s="11">
        <v>46.0</v>
      </c>
      <c r="F6787" s="21" t="s">
        <v>1084</v>
      </c>
      <c r="G6787" s="15">
        <v>0.033463324048282256</v>
      </c>
      <c r="H6787" s="11" t="s">
        <v>24</v>
      </c>
      <c r="I6787" s="16">
        <v>5.792000000000001</v>
      </c>
      <c r="J6787" s="11" t="s">
        <v>819</v>
      </c>
      <c r="K6787" s="11" t="s">
        <v>61</v>
      </c>
      <c r="L6787" s="11" t="s">
        <v>41</v>
      </c>
      <c r="M6787" s="11" t="s">
        <v>49</v>
      </c>
      <c r="N6787" s="11" t="s">
        <v>73</v>
      </c>
      <c r="O6787" s="11" t="s">
        <v>2532</v>
      </c>
      <c r="P6787" s="11" t="s">
        <v>38</v>
      </c>
      <c r="Q6787" s="20">
        <v>40997.0</v>
      </c>
      <c r="R6787" s="17">
        <f t="shared" si="2"/>
        <v>6.96679636</v>
      </c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>
        <f t="shared" si="8"/>
        <v>3</v>
      </c>
      <c r="AF6787" s="19">
        <f t="shared" si="13"/>
        <v>4</v>
      </c>
      <c r="AG6787" s="9"/>
      <c r="AH6787" s="9"/>
      <c r="AI6787" s="9"/>
    </row>
    <row r="6788" ht="15.0" customHeight="1">
      <c r="A6788" s="11">
        <v>6787.0</v>
      </c>
      <c r="B6788" s="12">
        <f t="shared" si="1088"/>
        <v>40996</v>
      </c>
      <c r="C6788" s="13">
        <v>2012.0</v>
      </c>
      <c r="D6788" s="11" t="s">
        <v>32</v>
      </c>
      <c r="E6788" s="11">
        <v>27.0</v>
      </c>
      <c r="F6788" s="21" t="s">
        <v>1207</v>
      </c>
      <c r="G6788" s="15">
        <v>0.02222160499950398</v>
      </c>
      <c r="H6788" s="11" t="s">
        <v>45</v>
      </c>
      <c r="I6788" s="16">
        <v>44.19200000000001</v>
      </c>
      <c r="J6788" s="11" t="s">
        <v>2569</v>
      </c>
      <c r="K6788" s="11" t="s">
        <v>83</v>
      </c>
      <c r="L6788" s="11" t="s">
        <v>36</v>
      </c>
      <c r="M6788" s="11" t="s">
        <v>28</v>
      </c>
      <c r="N6788" s="11" t="s">
        <v>197</v>
      </c>
      <c r="O6788" s="11" t="s">
        <v>2133</v>
      </c>
      <c r="P6788" s="11" t="s">
        <v>52</v>
      </c>
      <c r="Q6788" s="20">
        <v>40998.0</v>
      </c>
      <c r="R6788" s="17">
        <f t="shared" si="2"/>
        <v>109.5190025</v>
      </c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>
        <f t="shared" si="8"/>
        <v>2</v>
      </c>
      <c r="AF6788" s="19" t="b">
        <f t="shared" si="13"/>
        <v>0</v>
      </c>
      <c r="AG6788" s="9"/>
      <c r="AH6788" s="9"/>
      <c r="AI6788" s="9"/>
    </row>
    <row r="6789" ht="15.0" customHeight="1">
      <c r="A6789" s="11">
        <v>6788.0</v>
      </c>
      <c r="B6789" s="12">
        <f t="shared" si="1088"/>
        <v>40996</v>
      </c>
      <c r="C6789" s="13">
        <v>2012.0</v>
      </c>
      <c r="D6789" s="11" t="s">
        <v>32</v>
      </c>
      <c r="E6789" s="11">
        <v>37.0</v>
      </c>
      <c r="F6789" s="21" t="s">
        <v>137</v>
      </c>
      <c r="G6789" s="15">
        <v>0.012731476615869713</v>
      </c>
      <c r="H6789" s="11" t="s">
        <v>45</v>
      </c>
      <c r="I6789" s="16">
        <v>53.016</v>
      </c>
      <c r="J6789" s="11" t="s">
        <v>2569</v>
      </c>
      <c r="K6789" s="11" t="s">
        <v>83</v>
      </c>
      <c r="L6789" s="11" t="s">
        <v>36</v>
      </c>
      <c r="M6789" s="11" t="s">
        <v>49</v>
      </c>
      <c r="N6789" s="11" t="s">
        <v>156</v>
      </c>
      <c r="O6789" s="11" t="s">
        <v>1553</v>
      </c>
      <c r="P6789" s="11" t="s">
        <v>87</v>
      </c>
      <c r="Q6789" s="20">
        <v>40998.0</v>
      </c>
      <c r="R6789" s="17">
        <f t="shared" si="2"/>
        <v>71.75862535</v>
      </c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>
        <f t="shared" si="8"/>
        <v>2</v>
      </c>
      <c r="AF6789" s="19" t="b">
        <f t="shared" si="13"/>
        <v>0</v>
      </c>
      <c r="AG6789" s="9"/>
      <c r="AH6789" s="9"/>
      <c r="AI6789" s="9"/>
    </row>
    <row r="6790" ht="15.0" customHeight="1">
      <c r="A6790" s="11">
        <v>6789.0</v>
      </c>
      <c r="B6790" s="12">
        <f t="shared" si="1088"/>
        <v>40996</v>
      </c>
      <c r="C6790" s="13">
        <v>2012.0</v>
      </c>
      <c r="D6790" s="11" t="s">
        <v>32</v>
      </c>
      <c r="E6790" s="11">
        <v>31.0</v>
      </c>
      <c r="F6790" s="21" t="s">
        <v>158</v>
      </c>
      <c r="G6790" s="15">
        <v>0.055977283483199254</v>
      </c>
      <c r="H6790" s="11" t="s">
        <v>33</v>
      </c>
      <c r="I6790" s="16">
        <v>1.072</v>
      </c>
      <c r="J6790" s="11" t="s">
        <v>2569</v>
      </c>
      <c r="K6790" s="11" t="s">
        <v>83</v>
      </c>
      <c r="L6790" s="11" t="s">
        <v>36</v>
      </c>
      <c r="M6790" s="11" t="s">
        <v>28</v>
      </c>
      <c r="N6790" s="11" t="s">
        <v>56</v>
      </c>
      <c r="O6790" s="11" t="s">
        <v>1604</v>
      </c>
      <c r="P6790" s="11" t="s">
        <v>58</v>
      </c>
      <c r="Q6790" s="20">
        <v>40998.0</v>
      </c>
      <c r="R6790" s="17">
        <f t="shared" si="2"/>
        <v>11.16590069</v>
      </c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>
        <f t="shared" si="8"/>
        <v>2</v>
      </c>
      <c r="AF6790" s="19" t="b">
        <f t="shared" si="13"/>
        <v>0</v>
      </c>
      <c r="AG6790" s="9"/>
      <c r="AH6790" s="9"/>
      <c r="AI6790" s="9"/>
    </row>
    <row r="6791" ht="15.0" customHeight="1">
      <c r="A6791" s="11">
        <v>6790.0</v>
      </c>
      <c r="B6791" s="12">
        <f t="shared" si="1088"/>
        <v>40996</v>
      </c>
      <c r="C6791" s="13">
        <v>2012.0</v>
      </c>
      <c r="D6791" s="11" t="s">
        <v>32</v>
      </c>
      <c r="E6791" s="11">
        <v>41.0</v>
      </c>
      <c r="F6791" s="21" t="s">
        <v>119</v>
      </c>
      <c r="G6791" s="15">
        <v>0.058126582278481</v>
      </c>
      <c r="H6791" s="11" t="s">
        <v>33</v>
      </c>
      <c r="I6791" s="16">
        <v>0.6080000000000001</v>
      </c>
      <c r="J6791" s="11" t="s">
        <v>2569</v>
      </c>
      <c r="K6791" s="11" t="s">
        <v>83</v>
      </c>
      <c r="L6791" s="11" t="s">
        <v>36</v>
      </c>
      <c r="M6791" s="11" t="s">
        <v>28</v>
      </c>
      <c r="N6791" s="11" t="s">
        <v>216</v>
      </c>
      <c r="O6791" s="11" t="s">
        <v>2010</v>
      </c>
      <c r="P6791" s="11" t="s">
        <v>58</v>
      </c>
      <c r="Q6791" s="20">
        <v>40998.0</v>
      </c>
      <c r="R6791" s="17">
        <f t="shared" si="2"/>
        <v>4.325082734</v>
      </c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>
        <f t="shared" si="8"/>
        <v>2</v>
      </c>
      <c r="AF6791" s="19" t="b">
        <f t="shared" si="13"/>
        <v>0</v>
      </c>
      <c r="AG6791" s="9"/>
      <c r="AH6791" s="9"/>
      <c r="AI6791" s="9"/>
    </row>
    <row r="6792" ht="15.0" customHeight="1">
      <c r="A6792" s="11">
        <v>6791.0</v>
      </c>
      <c r="B6792" s="12">
        <f t="shared" si="1088"/>
        <v>40996</v>
      </c>
      <c r="C6792" s="13">
        <v>2012.0</v>
      </c>
      <c r="D6792" s="11" t="s">
        <v>32</v>
      </c>
      <c r="E6792" s="11">
        <v>26.0</v>
      </c>
      <c r="F6792" s="21" t="s">
        <v>264</v>
      </c>
      <c r="G6792" s="15">
        <v>0.05850384148807124</v>
      </c>
      <c r="H6792" s="11" t="s">
        <v>24</v>
      </c>
      <c r="I6792" s="16">
        <v>6.632</v>
      </c>
      <c r="J6792" s="11" t="s">
        <v>2075</v>
      </c>
      <c r="K6792" s="11" t="s">
        <v>35</v>
      </c>
      <c r="L6792" s="11" t="s">
        <v>48</v>
      </c>
      <c r="M6792" s="11" t="s">
        <v>28</v>
      </c>
      <c r="N6792" s="11" t="s">
        <v>236</v>
      </c>
      <c r="O6792" s="11" t="s">
        <v>265</v>
      </c>
      <c r="P6792" s="11" t="s">
        <v>38</v>
      </c>
      <c r="Q6792" s="20">
        <v>40998.0</v>
      </c>
      <c r="R6792" s="17">
        <f t="shared" si="2"/>
        <v>13.62156642</v>
      </c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>
        <f t="shared" si="8"/>
        <v>4</v>
      </c>
      <c r="AF6792" s="19">
        <f t="shared" si="13"/>
        <v>2</v>
      </c>
      <c r="AG6792" s="9"/>
      <c r="AH6792" s="9"/>
      <c r="AI6792" s="9"/>
    </row>
    <row r="6793" ht="15.0" customHeight="1">
      <c r="A6793" s="11">
        <v>6792.0</v>
      </c>
      <c r="B6793" s="12">
        <f t="shared" si="1088"/>
        <v>40996</v>
      </c>
      <c r="C6793" s="13">
        <v>2012.0</v>
      </c>
      <c r="D6793" s="11" t="s">
        <v>44</v>
      </c>
      <c r="E6793" s="11">
        <v>31.0</v>
      </c>
      <c r="F6793" s="21" t="s">
        <v>1207</v>
      </c>
      <c r="G6793" s="15">
        <v>0.06682462884411441</v>
      </c>
      <c r="H6793" s="11" t="s">
        <v>45</v>
      </c>
      <c r="I6793" s="16">
        <v>24.0</v>
      </c>
      <c r="J6793" s="11" t="s">
        <v>1417</v>
      </c>
      <c r="K6793" s="11" t="s">
        <v>47</v>
      </c>
      <c r="L6793" s="11" t="s">
        <v>48</v>
      </c>
      <c r="M6793" s="11" t="s">
        <v>49</v>
      </c>
      <c r="N6793" s="11" t="s">
        <v>50</v>
      </c>
      <c r="O6793" s="11" t="s">
        <v>1677</v>
      </c>
      <c r="P6793" s="11" t="s">
        <v>52</v>
      </c>
      <c r="Q6793" s="20">
        <v>40998.0</v>
      </c>
      <c r="R6793" s="17">
        <f t="shared" si="2"/>
        <v>376.3496272</v>
      </c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>
        <f t="shared" si="8"/>
        <v>4</v>
      </c>
      <c r="AF6793" s="19">
        <f t="shared" si="13"/>
        <v>3</v>
      </c>
      <c r="AG6793" s="9"/>
      <c r="AH6793" s="9"/>
      <c r="AI6793" s="9"/>
    </row>
    <row r="6794" ht="15.0" customHeight="1">
      <c r="A6794" s="11">
        <v>6793.0</v>
      </c>
      <c r="B6794" s="12">
        <f t="shared" si="1088"/>
        <v>40996</v>
      </c>
      <c r="C6794" s="13">
        <v>2012.0</v>
      </c>
      <c r="D6794" s="11" t="s">
        <v>44</v>
      </c>
      <c r="E6794" s="11">
        <v>40.0</v>
      </c>
      <c r="F6794" s="21" t="s">
        <v>1670</v>
      </c>
      <c r="G6794" s="15">
        <v>0.021231060606060514</v>
      </c>
      <c r="H6794" s="11" t="s">
        <v>33</v>
      </c>
      <c r="I6794" s="16">
        <v>1.4320000000000002</v>
      </c>
      <c r="J6794" s="11" t="s">
        <v>1417</v>
      </c>
      <c r="K6794" s="11" t="s">
        <v>47</v>
      </c>
      <c r="L6794" s="11" t="s">
        <v>48</v>
      </c>
      <c r="M6794" s="11" t="s">
        <v>28</v>
      </c>
      <c r="N6794" s="11" t="s">
        <v>56</v>
      </c>
      <c r="O6794" s="11" t="s">
        <v>1671</v>
      </c>
      <c r="P6794" s="11" t="s">
        <v>58</v>
      </c>
      <c r="Q6794" s="20">
        <v>40998.0</v>
      </c>
      <c r="R6794" s="17">
        <f t="shared" si="2"/>
        <v>8.777599848</v>
      </c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>
        <f t="shared" si="8"/>
        <v>4</v>
      </c>
      <c r="AF6794" s="19">
        <f t="shared" si="13"/>
        <v>3</v>
      </c>
      <c r="AG6794" s="9"/>
      <c r="AH6794" s="9"/>
      <c r="AI6794" s="9"/>
    </row>
    <row r="6795" ht="15.0" customHeight="1">
      <c r="A6795" s="11">
        <v>6794.0</v>
      </c>
      <c r="B6795" s="12">
        <f t="shared" si="1088"/>
        <v>40996</v>
      </c>
      <c r="C6795" s="13">
        <v>2012.0</v>
      </c>
      <c r="D6795" s="11" t="s">
        <v>102</v>
      </c>
      <c r="E6795" s="11">
        <v>43.0</v>
      </c>
      <c r="F6795" s="21" t="s">
        <v>668</v>
      </c>
      <c r="G6795" s="15">
        <v>0.05779867256637177</v>
      </c>
      <c r="H6795" s="11" t="s">
        <v>33</v>
      </c>
      <c r="I6795" s="16">
        <v>1.0</v>
      </c>
      <c r="J6795" s="11" t="s">
        <v>1423</v>
      </c>
      <c r="K6795" s="11" t="s">
        <v>61</v>
      </c>
      <c r="L6795" s="11" t="s">
        <v>48</v>
      </c>
      <c r="M6795" s="11" t="s">
        <v>28</v>
      </c>
      <c r="N6795" s="11" t="s">
        <v>56</v>
      </c>
      <c r="O6795" s="11" t="s">
        <v>669</v>
      </c>
      <c r="P6795" s="11" t="s">
        <v>58</v>
      </c>
      <c r="Q6795" s="20">
        <v>40998.0</v>
      </c>
      <c r="R6795" s="17">
        <f t="shared" si="2"/>
        <v>19.69200774</v>
      </c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>
        <f t="shared" si="8"/>
        <v>4</v>
      </c>
      <c r="AF6795" s="19">
        <f t="shared" si="13"/>
        <v>4</v>
      </c>
      <c r="AG6795" s="9"/>
      <c r="AH6795" s="9"/>
      <c r="AI6795" s="9"/>
    </row>
    <row r="6796" ht="15.0" customHeight="1">
      <c r="A6796" s="11">
        <v>6795.0</v>
      </c>
      <c r="B6796" s="12">
        <f t="shared" si="1088"/>
        <v>40996</v>
      </c>
      <c r="C6796" s="13">
        <v>2012.0</v>
      </c>
      <c r="D6796" s="11" t="s">
        <v>102</v>
      </c>
      <c r="E6796" s="11">
        <v>50.0</v>
      </c>
      <c r="F6796" s="21" t="s">
        <v>1156</v>
      </c>
      <c r="G6796" s="15">
        <v>0.0832807689596015</v>
      </c>
      <c r="H6796" s="11" t="s">
        <v>33</v>
      </c>
      <c r="I6796" s="16">
        <v>6.464</v>
      </c>
      <c r="J6796" s="11" t="s">
        <v>1423</v>
      </c>
      <c r="K6796" s="11" t="s">
        <v>61</v>
      </c>
      <c r="L6796" s="11" t="s">
        <v>48</v>
      </c>
      <c r="M6796" s="11" t="s">
        <v>66</v>
      </c>
      <c r="N6796" s="11" t="s">
        <v>80</v>
      </c>
      <c r="O6796" s="11" t="s">
        <v>2588</v>
      </c>
      <c r="P6796" s="11" t="s">
        <v>38</v>
      </c>
      <c r="Q6796" s="20">
        <v>40998.0</v>
      </c>
      <c r="R6796" s="17">
        <f t="shared" si="2"/>
        <v>649.7119209</v>
      </c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>
        <f t="shared" si="8"/>
        <v>4</v>
      </c>
      <c r="AF6796" s="19">
        <f t="shared" si="13"/>
        <v>4</v>
      </c>
      <c r="AG6796" s="9"/>
      <c r="AH6796" s="9"/>
      <c r="AI6796" s="9"/>
    </row>
    <row r="6797" ht="15.0" customHeight="1">
      <c r="A6797" s="11">
        <v>6796.0</v>
      </c>
      <c r="B6797" s="12">
        <f t="shared" si="1088"/>
        <v>40996</v>
      </c>
      <c r="C6797" s="13">
        <v>2012.0</v>
      </c>
      <c r="D6797" s="11" t="s">
        <v>102</v>
      </c>
      <c r="E6797" s="11">
        <v>19.0</v>
      </c>
      <c r="F6797" s="21" t="s">
        <v>199</v>
      </c>
      <c r="G6797" s="15">
        <v>0.011508282476024352</v>
      </c>
      <c r="H6797" s="11" t="s">
        <v>33</v>
      </c>
      <c r="I6797" s="16">
        <v>6.36</v>
      </c>
      <c r="J6797" s="11" t="s">
        <v>1338</v>
      </c>
      <c r="K6797" s="11" t="s">
        <v>61</v>
      </c>
      <c r="L6797" s="11" t="s">
        <v>36</v>
      </c>
      <c r="M6797" s="11" t="s">
        <v>28</v>
      </c>
      <c r="N6797" s="11" t="s">
        <v>62</v>
      </c>
      <c r="O6797" s="11" t="s">
        <v>1924</v>
      </c>
      <c r="P6797" s="11" t="s">
        <v>99</v>
      </c>
      <c r="Q6797" s="20">
        <v>40998.0</v>
      </c>
      <c r="R6797" s="17">
        <f t="shared" si="2"/>
        <v>2.609618134</v>
      </c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>
        <f t="shared" si="8"/>
        <v>2</v>
      </c>
      <c r="AF6797" s="19">
        <f t="shared" si="13"/>
        <v>4</v>
      </c>
      <c r="AG6797" s="9"/>
      <c r="AH6797" s="9"/>
      <c r="AI6797" s="9"/>
    </row>
    <row r="6798" ht="15.0" customHeight="1">
      <c r="A6798" s="11">
        <v>6797.0</v>
      </c>
      <c r="B6798" s="12">
        <f t="shared" si="1088"/>
        <v>40996</v>
      </c>
      <c r="C6798" s="13">
        <v>2012.0</v>
      </c>
      <c r="D6798" s="11" t="s">
        <v>102</v>
      </c>
      <c r="E6798" s="11">
        <v>30.0</v>
      </c>
      <c r="F6798" s="21" t="s">
        <v>2411</v>
      </c>
      <c r="G6798" s="15">
        <v>0.05959977888336099</v>
      </c>
      <c r="H6798" s="11" t="s">
        <v>33</v>
      </c>
      <c r="I6798" s="16">
        <v>1.592</v>
      </c>
      <c r="J6798" s="11" t="s">
        <v>1338</v>
      </c>
      <c r="K6798" s="11" t="s">
        <v>61</v>
      </c>
      <c r="L6798" s="11" t="s">
        <v>36</v>
      </c>
      <c r="M6798" s="11" t="s">
        <v>66</v>
      </c>
      <c r="N6798" s="11" t="s">
        <v>67</v>
      </c>
      <c r="O6798" s="11" t="s">
        <v>2412</v>
      </c>
      <c r="P6798" s="11" t="s">
        <v>99</v>
      </c>
      <c r="Q6798" s="20">
        <v>40998.0</v>
      </c>
      <c r="R6798" s="17">
        <f t="shared" si="2"/>
        <v>50.69509512</v>
      </c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>
        <f t="shared" si="8"/>
        <v>2</v>
      </c>
      <c r="AF6798" s="19">
        <f t="shared" si="13"/>
        <v>4</v>
      </c>
      <c r="AG6798" s="9"/>
      <c r="AH6798" s="9"/>
      <c r="AI6798" s="9"/>
    </row>
    <row r="6799" ht="15.0" customHeight="1">
      <c r="A6799" s="11">
        <v>6798.0</v>
      </c>
      <c r="B6799" s="12">
        <f t="shared" si="1088"/>
        <v>40996</v>
      </c>
      <c r="C6799" s="13">
        <v>2012.0</v>
      </c>
      <c r="D6799" s="11" t="s">
        <v>23</v>
      </c>
      <c r="E6799" s="11">
        <v>3.0</v>
      </c>
      <c r="F6799" s="21" t="s">
        <v>1097</v>
      </c>
      <c r="G6799" s="15">
        <v>0.10081207448117471</v>
      </c>
      <c r="H6799" s="11" t="s">
        <v>45</v>
      </c>
      <c r="I6799" s="16">
        <v>48.0</v>
      </c>
      <c r="J6799" s="11" t="s">
        <v>1761</v>
      </c>
      <c r="K6799" s="11" t="s">
        <v>35</v>
      </c>
      <c r="L6799" s="11" t="s">
        <v>41</v>
      </c>
      <c r="M6799" s="11" t="s">
        <v>49</v>
      </c>
      <c r="N6799" s="11" t="s">
        <v>85</v>
      </c>
      <c r="O6799" s="11" t="s">
        <v>1098</v>
      </c>
      <c r="P6799" s="11" t="s">
        <v>52</v>
      </c>
      <c r="Q6799" s="20">
        <v>40998.0</v>
      </c>
      <c r="R6799" s="17">
        <f t="shared" si="2"/>
        <v>110.510196</v>
      </c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>
        <f t="shared" si="8"/>
        <v>3</v>
      </c>
      <c r="AF6799" s="19">
        <f t="shared" si="13"/>
        <v>2</v>
      </c>
      <c r="AG6799" s="9"/>
      <c r="AH6799" s="9"/>
      <c r="AI6799" s="9"/>
    </row>
    <row r="6800" ht="15.0" customHeight="1">
      <c r="A6800" s="11">
        <v>6799.0</v>
      </c>
      <c r="B6800" s="12">
        <f t="shared" si="1088"/>
        <v>40996</v>
      </c>
      <c r="C6800" s="13">
        <v>2012.0</v>
      </c>
      <c r="D6800" s="11" t="s">
        <v>23</v>
      </c>
      <c r="E6800" s="11">
        <v>30.0</v>
      </c>
      <c r="F6800" s="21" t="s">
        <v>400</v>
      </c>
      <c r="G6800" s="15">
        <v>0.03972707247622619</v>
      </c>
      <c r="H6800" s="11" t="s">
        <v>45</v>
      </c>
      <c r="I6800" s="16">
        <v>47.136</v>
      </c>
      <c r="J6800" s="11" t="s">
        <v>1750</v>
      </c>
      <c r="K6800" s="11" t="s">
        <v>65</v>
      </c>
      <c r="L6800" s="11" t="s">
        <v>36</v>
      </c>
      <c r="M6800" s="11" t="s">
        <v>49</v>
      </c>
      <c r="N6800" s="11" t="s">
        <v>50</v>
      </c>
      <c r="O6800" s="11" t="s">
        <v>123</v>
      </c>
      <c r="P6800" s="11" t="s">
        <v>52</v>
      </c>
      <c r="Q6800" s="20">
        <v>40998.0</v>
      </c>
      <c r="R6800" s="17">
        <f t="shared" si="2"/>
        <v>426.0385281</v>
      </c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>
        <f t="shared" si="8"/>
        <v>2</v>
      </c>
      <c r="AF6800" s="19">
        <f t="shared" si="13"/>
        <v>5</v>
      </c>
      <c r="AG6800" s="9"/>
      <c r="AH6800" s="9"/>
      <c r="AI6800" s="9"/>
    </row>
    <row r="6801" ht="15.0" customHeight="1">
      <c r="A6801" s="11">
        <v>6800.0</v>
      </c>
      <c r="B6801" s="12">
        <f t="shared" si="1088"/>
        <v>40996</v>
      </c>
      <c r="C6801" s="13">
        <v>2012.0</v>
      </c>
      <c r="D6801" s="11" t="s">
        <v>23</v>
      </c>
      <c r="E6801" s="11">
        <v>3.0</v>
      </c>
      <c r="F6801" s="21" t="s">
        <v>306</v>
      </c>
      <c r="G6801" s="15">
        <v>0.0897082228116712</v>
      </c>
      <c r="H6801" s="11" t="s">
        <v>33</v>
      </c>
      <c r="I6801" s="16">
        <v>8.936</v>
      </c>
      <c r="J6801" s="11" t="s">
        <v>1750</v>
      </c>
      <c r="K6801" s="11" t="s">
        <v>65</v>
      </c>
      <c r="L6801" s="11" t="s">
        <v>36</v>
      </c>
      <c r="M6801" s="11" t="s">
        <v>49</v>
      </c>
      <c r="N6801" s="11" t="s">
        <v>73</v>
      </c>
      <c r="O6801" s="11" t="s">
        <v>125</v>
      </c>
      <c r="P6801" s="11" t="s">
        <v>31</v>
      </c>
      <c r="Q6801" s="20">
        <v>40998.0</v>
      </c>
      <c r="R6801" s="17">
        <f t="shared" si="2"/>
        <v>6.157213581</v>
      </c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>
        <f t="shared" si="8"/>
        <v>2</v>
      </c>
      <c r="AF6801" s="19">
        <f t="shared" si="13"/>
        <v>5</v>
      </c>
      <c r="AG6801" s="9"/>
      <c r="AH6801" s="9"/>
      <c r="AI6801" s="9"/>
    </row>
    <row r="6802" ht="15.0" customHeight="1">
      <c r="A6802" s="11">
        <v>6801.0</v>
      </c>
      <c r="B6802" s="12">
        <f t="shared" si="1088"/>
        <v>40996</v>
      </c>
      <c r="C6802" s="13">
        <v>2012.0</v>
      </c>
      <c r="D6802" s="11" t="s">
        <v>23</v>
      </c>
      <c r="E6802" s="11">
        <v>12.0</v>
      </c>
      <c r="F6802" s="21" t="s">
        <v>290</v>
      </c>
      <c r="G6802" s="15">
        <v>0.05319444444444432</v>
      </c>
      <c r="H6802" s="11" t="s">
        <v>24</v>
      </c>
      <c r="I6802" s="16">
        <v>4.136</v>
      </c>
      <c r="J6802" s="11" t="s">
        <v>756</v>
      </c>
      <c r="K6802" s="11" t="s">
        <v>65</v>
      </c>
      <c r="L6802" s="11" t="s">
        <v>27</v>
      </c>
      <c r="M6802" s="11" t="s">
        <v>28</v>
      </c>
      <c r="N6802" s="11" t="s">
        <v>56</v>
      </c>
      <c r="O6802" s="11" t="s">
        <v>699</v>
      </c>
      <c r="P6802" s="11" t="s">
        <v>38</v>
      </c>
      <c r="Q6802" s="20">
        <v>40998.0</v>
      </c>
      <c r="R6802" s="17">
        <f t="shared" si="2"/>
        <v>2.901012222</v>
      </c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>
        <f t="shared" si="8"/>
        <v>1</v>
      </c>
      <c r="AF6802" s="19">
        <f t="shared" si="13"/>
        <v>5</v>
      </c>
      <c r="AG6802" s="9"/>
      <c r="AH6802" s="9"/>
      <c r="AI6802" s="9"/>
    </row>
    <row r="6803" ht="15.0" customHeight="1">
      <c r="A6803" s="11">
        <v>6802.0</v>
      </c>
      <c r="B6803" s="12">
        <f t="shared" si="1088"/>
        <v>40996</v>
      </c>
      <c r="C6803" s="13">
        <v>2012.0</v>
      </c>
      <c r="D6803" s="11" t="s">
        <v>23</v>
      </c>
      <c r="E6803" s="11">
        <v>43.0</v>
      </c>
      <c r="F6803" s="21" t="s">
        <v>142</v>
      </c>
      <c r="G6803" s="15">
        <v>0.02624603027469681</v>
      </c>
      <c r="H6803" s="11" t="s">
        <v>33</v>
      </c>
      <c r="I6803" s="16">
        <v>2.64</v>
      </c>
      <c r="J6803" s="11" t="s">
        <v>756</v>
      </c>
      <c r="K6803" s="11" t="s">
        <v>65</v>
      </c>
      <c r="L6803" s="11" t="s">
        <v>27</v>
      </c>
      <c r="M6803" s="11" t="s">
        <v>66</v>
      </c>
      <c r="N6803" s="11" t="s">
        <v>80</v>
      </c>
      <c r="O6803" s="11" t="s">
        <v>837</v>
      </c>
      <c r="P6803" s="11" t="s">
        <v>99</v>
      </c>
      <c r="Q6803" s="20">
        <v>40998.0</v>
      </c>
      <c r="R6803" s="17">
        <f t="shared" si="2"/>
        <v>40.58528645</v>
      </c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>
        <f t="shared" si="8"/>
        <v>1</v>
      </c>
      <c r="AF6803" s="19">
        <f t="shared" si="13"/>
        <v>5</v>
      </c>
      <c r="AG6803" s="9"/>
      <c r="AH6803" s="9"/>
      <c r="AI6803" s="9"/>
    </row>
    <row r="6804" ht="15.0" customHeight="1">
      <c r="A6804" s="11">
        <v>6803.0</v>
      </c>
      <c r="B6804" s="12">
        <f t="shared" ref="B6804:B6809" si="1089">DATE(2012,12,31)-277</f>
        <v>40997</v>
      </c>
      <c r="C6804" s="13">
        <v>2012.0</v>
      </c>
      <c r="D6804" s="11" t="s">
        <v>32</v>
      </c>
      <c r="E6804" s="11">
        <v>10.0</v>
      </c>
      <c r="F6804" s="21" t="s">
        <v>1557</v>
      </c>
      <c r="G6804" s="15">
        <v>0.0880866865526268</v>
      </c>
      <c r="H6804" s="11" t="s">
        <v>45</v>
      </c>
      <c r="I6804" s="16">
        <v>35.0</v>
      </c>
      <c r="J6804" s="11" t="s">
        <v>1470</v>
      </c>
      <c r="K6804" s="11" t="s">
        <v>65</v>
      </c>
      <c r="L6804" s="11" t="s">
        <v>27</v>
      </c>
      <c r="M6804" s="11" t="s">
        <v>49</v>
      </c>
      <c r="N6804" s="11" t="s">
        <v>85</v>
      </c>
      <c r="O6804" s="11" t="s">
        <v>1558</v>
      </c>
      <c r="P6804" s="11" t="s">
        <v>87</v>
      </c>
      <c r="Q6804" s="20">
        <v>40999.0</v>
      </c>
      <c r="R6804" s="17">
        <f t="shared" si="2"/>
        <v>131.9538565</v>
      </c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>
        <f t="shared" si="8"/>
        <v>1</v>
      </c>
      <c r="AF6804" s="19">
        <f t="shared" si="13"/>
        <v>5</v>
      </c>
      <c r="AG6804" s="9"/>
      <c r="AH6804" s="9"/>
      <c r="AI6804" s="9"/>
    </row>
    <row r="6805" ht="15.0" customHeight="1">
      <c r="A6805" s="11">
        <v>6804.0</v>
      </c>
      <c r="B6805" s="12">
        <f t="shared" si="1089"/>
        <v>40997</v>
      </c>
      <c r="C6805" s="13">
        <v>2012.0</v>
      </c>
      <c r="D6805" s="11" t="s">
        <v>102</v>
      </c>
      <c r="E6805" s="11">
        <v>23.0</v>
      </c>
      <c r="F6805" s="21" t="s">
        <v>948</v>
      </c>
      <c r="G6805" s="15">
        <v>0.0883006535947714</v>
      </c>
      <c r="H6805" s="11" t="s">
        <v>33</v>
      </c>
      <c r="I6805" s="16">
        <v>1.192</v>
      </c>
      <c r="J6805" s="11" t="s">
        <v>850</v>
      </c>
      <c r="K6805" s="11" t="s">
        <v>61</v>
      </c>
      <c r="L6805" s="11" t="s">
        <v>36</v>
      </c>
      <c r="M6805" s="11" t="s">
        <v>28</v>
      </c>
      <c r="N6805" s="11" t="s">
        <v>42</v>
      </c>
      <c r="O6805" s="11" t="s">
        <v>2507</v>
      </c>
      <c r="P6805" s="11" t="s">
        <v>38</v>
      </c>
      <c r="Q6805" s="20">
        <v>40999.0</v>
      </c>
      <c r="R6805" s="17">
        <f t="shared" si="2"/>
        <v>9.853646536</v>
      </c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>
        <f t="shared" si="8"/>
        <v>2</v>
      </c>
      <c r="AF6805" s="19">
        <f t="shared" si="13"/>
        <v>4</v>
      </c>
      <c r="AG6805" s="9"/>
      <c r="AH6805" s="9"/>
      <c r="AI6805" s="9"/>
    </row>
    <row r="6806" ht="15.0" customHeight="1">
      <c r="A6806" s="11">
        <v>6805.0</v>
      </c>
      <c r="B6806" s="12">
        <f t="shared" si="1089"/>
        <v>40997</v>
      </c>
      <c r="C6806" s="13">
        <v>2012.0</v>
      </c>
      <c r="D6806" s="11" t="s">
        <v>39</v>
      </c>
      <c r="E6806" s="11">
        <v>29.0</v>
      </c>
      <c r="F6806" s="21" t="s">
        <v>886</v>
      </c>
      <c r="G6806" s="15">
        <v>0.005935584314488797</v>
      </c>
      <c r="H6806" s="11" t="s">
        <v>45</v>
      </c>
      <c r="I6806" s="16">
        <v>48.0</v>
      </c>
      <c r="J6806" s="11" t="s">
        <v>1276</v>
      </c>
      <c r="K6806" s="11" t="s">
        <v>47</v>
      </c>
      <c r="L6806" s="11" t="s">
        <v>36</v>
      </c>
      <c r="M6806" s="11" t="s">
        <v>28</v>
      </c>
      <c r="N6806" s="11" t="s">
        <v>197</v>
      </c>
      <c r="O6806" s="11" t="s">
        <v>888</v>
      </c>
      <c r="P6806" s="11" t="s">
        <v>52</v>
      </c>
      <c r="Q6806" s="20">
        <v>40999.0</v>
      </c>
      <c r="R6806" s="17">
        <f t="shared" si="2"/>
        <v>12.12758587</v>
      </c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>
        <f t="shared" si="8"/>
        <v>2</v>
      </c>
      <c r="AF6806" s="19">
        <f t="shared" si="13"/>
        <v>3</v>
      </c>
      <c r="AG6806" s="9"/>
      <c r="AH6806" s="9"/>
      <c r="AI6806" s="9"/>
    </row>
    <row r="6807" ht="15.0" customHeight="1">
      <c r="A6807" s="11">
        <v>6806.0</v>
      </c>
      <c r="B6807" s="12">
        <f t="shared" si="1089"/>
        <v>40997</v>
      </c>
      <c r="C6807" s="13">
        <v>2012.0</v>
      </c>
      <c r="D6807" s="11" t="s">
        <v>102</v>
      </c>
      <c r="E6807" s="11">
        <v>50.0</v>
      </c>
      <c r="F6807" s="21" t="s">
        <v>96</v>
      </c>
      <c r="G6807" s="15">
        <v>0.022624957029907116</v>
      </c>
      <c r="H6807" s="11" t="s">
        <v>33</v>
      </c>
      <c r="I6807" s="16">
        <v>1.592</v>
      </c>
      <c r="J6807" s="11" t="s">
        <v>120</v>
      </c>
      <c r="K6807" s="11" t="s">
        <v>35</v>
      </c>
      <c r="L6807" s="11" t="s">
        <v>48</v>
      </c>
      <c r="M6807" s="11" t="s">
        <v>66</v>
      </c>
      <c r="N6807" s="11" t="s">
        <v>67</v>
      </c>
      <c r="O6807" s="11" t="s">
        <v>98</v>
      </c>
      <c r="P6807" s="11" t="s">
        <v>99</v>
      </c>
      <c r="Q6807" s="20">
        <v>40999.0</v>
      </c>
      <c r="R6807" s="17">
        <f t="shared" si="2"/>
        <v>32.16345791</v>
      </c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>
        <f t="shared" si="8"/>
        <v>4</v>
      </c>
      <c r="AF6807" s="19">
        <f t="shared" si="13"/>
        <v>2</v>
      </c>
      <c r="AG6807" s="9"/>
      <c r="AH6807" s="9"/>
      <c r="AI6807" s="9"/>
    </row>
    <row r="6808" ht="15.0" customHeight="1">
      <c r="A6808" s="11">
        <v>6807.0</v>
      </c>
      <c r="B6808" s="12">
        <f t="shared" si="1089"/>
        <v>40997</v>
      </c>
      <c r="C6808" s="13">
        <v>2012.0</v>
      </c>
      <c r="D6808" s="11" t="s">
        <v>102</v>
      </c>
      <c r="E6808" s="11">
        <v>28.0</v>
      </c>
      <c r="F6808" s="21" t="s">
        <v>158</v>
      </c>
      <c r="G6808" s="15">
        <v>0.11003816793893113</v>
      </c>
      <c r="H6808" s="11" t="s">
        <v>33</v>
      </c>
      <c r="I6808" s="16">
        <v>7.336</v>
      </c>
      <c r="J6808" s="11" t="s">
        <v>2169</v>
      </c>
      <c r="K6808" s="11" t="s">
        <v>26</v>
      </c>
      <c r="L6808" s="11" t="s">
        <v>48</v>
      </c>
      <c r="M6808" s="11" t="s">
        <v>28</v>
      </c>
      <c r="N6808" s="11" t="s">
        <v>56</v>
      </c>
      <c r="O6808" s="11" t="s">
        <v>241</v>
      </c>
      <c r="P6808" s="11" t="s">
        <v>38</v>
      </c>
      <c r="Q6808" s="20">
        <v>41000.0</v>
      </c>
      <c r="R6808" s="17">
        <f t="shared" si="2"/>
        <v>20.52607969</v>
      </c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>
        <f t="shared" si="8"/>
        <v>4</v>
      </c>
      <c r="AF6808" s="19">
        <f t="shared" si="13"/>
        <v>1</v>
      </c>
      <c r="AG6808" s="9"/>
      <c r="AH6808" s="9"/>
      <c r="AI6808" s="9"/>
    </row>
    <row r="6809" ht="15.0" customHeight="1">
      <c r="A6809" s="11">
        <v>6808.0</v>
      </c>
      <c r="B6809" s="12">
        <f t="shared" si="1089"/>
        <v>40997</v>
      </c>
      <c r="C6809" s="13">
        <v>2012.0</v>
      </c>
      <c r="D6809" s="11" t="s">
        <v>102</v>
      </c>
      <c r="E6809" s="11">
        <v>32.0</v>
      </c>
      <c r="F6809" s="21" t="s">
        <v>1136</v>
      </c>
      <c r="G6809" s="15">
        <v>0.07117861177356606</v>
      </c>
      <c r="H6809" s="11" t="s">
        <v>33</v>
      </c>
      <c r="I6809" s="16">
        <v>7.192</v>
      </c>
      <c r="J6809" s="11" t="s">
        <v>2169</v>
      </c>
      <c r="K6809" s="11" t="s">
        <v>26</v>
      </c>
      <c r="L6809" s="11" t="s">
        <v>48</v>
      </c>
      <c r="M6809" s="11" t="s">
        <v>28</v>
      </c>
      <c r="N6809" s="11" t="s">
        <v>62</v>
      </c>
      <c r="O6809" s="11" t="s">
        <v>1176</v>
      </c>
      <c r="P6809" s="11" t="s">
        <v>99</v>
      </c>
      <c r="Q6809" s="20">
        <v>41000.0</v>
      </c>
      <c r="R6809" s="17">
        <f t="shared" si="2"/>
        <v>52.67160328</v>
      </c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>
        <f t="shared" si="8"/>
        <v>4</v>
      </c>
      <c r="AF6809" s="19">
        <f t="shared" si="13"/>
        <v>1</v>
      </c>
      <c r="AG6809" s="9"/>
      <c r="AH6809" s="9"/>
      <c r="AI6809" s="9"/>
    </row>
    <row r="6810" ht="15.0" customHeight="1">
      <c r="A6810" s="11">
        <v>6809.0</v>
      </c>
      <c r="B6810" s="12">
        <f t="shared" ref="B6810:B6816" si="1090">DATE(2012,12,31)-276</f>
        <v>40998</v>
      </c>
      <c r="C6810" s="13">
        <v>2012.0</v>
      </c>
      <c r="D6810" s="11" t="s">
        <v>39</v>
      </c>
      <c r="E6810" s="11">
        <v>37.0</v>
      </c>
      <c r="F6810" s="21" t="s">
        <v>103</v>
      </c>
      <c r="G6810" s="15">
        <v>0.08934594816947747</v>
      </c>
      <c r="H6810" s="11" t="s">
        <v>33</v>
      </c>
      <c r="I6810" s="16">
        <v>3.08</v>
      </c>
      <c r="J6810" s="11" t="s">
        <v>2538</v>
      </c>
      <c r="K6810" s="11" t="s">
        <v>35</v>
      </c>
      <c r="L6810" s="11" t="s">
        <v>48</v>
      </c>
      <c r="M6810" s="11" t="s">
        <v>66</v>
      </c>
      <c r="N6810" s="11" t="s">
        <v>67</v>
      </c>
      <c r="O6810" s="11" t="s">
        <v>1696</v>
      </c>
      <c r="P6810" s="11" t="s">
        <v>99</v>
      </c>
      <c r="Q6810" s="20">
        <v>41000.0</v>
      </c>
      <c r="R6810" s="17">
        <f t="shared" si="2"/>
        <v>19.77940601</v>
      </c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>
        <f t="shared" si="8"/>
        <v>4</v>
      </c>
      <c r="AF6810" s="19">
        <f t="shared" si="13"/>
        <v>2</v>
      </c>
      <c r="AG6810" s="9"/>
      <c r="AH6810" s="9"/>
      <c r="AI6810" s="9"/>
    </row>
    <row r="6811" ht="15.0" customHeight="1">
      <c r="A6811" s="11">
        <v>6810.0</v>
      </c>
      <c r="B6811" s="12">
        <f t="shared" si="1090"/>
        <v>40998</v>
      </c>
      <c r="C6811" s="13">
        <v>2012.0</v>
      </c>
      <c r="D6811" s="11" t="s">
        <v>32</v>
      </c>
      <c r="E6811" s="11">
        <v>35.0</v>
      </c>
      <c r="F6811" s="21" t="s">
        <v>583</v>
      </c>
      <c r="G6811" s="15">
        <v>0.09664966709165608</v>
      </c>
      <c r="H6811" s="11" t="s">
        <v>33</v>
      </c>
      <c r="I6811" s="16">
        <v>55.2</v>
      </c>
      <c r="J6811" s="11" t="s">
        <v>2527</v>
      </c>
      <c r="K6811" s="11" t="s">
        <v>61</v>
      </c>
      <c r="L6811" s="11" t="s">
        <v>36</v>
      </c>
      <c r="M6811" s="11" t="s">
        <v>49</v>
      </c>
      <c r="N6811" s="11" t="s">
        <v>85</v>
      </c>
      <c r="O6811" s="11" t="s">
        <v>585</v>
      </c>
      <c r="P6811" s="11" t="s">
        <v>31</v>
      </c>
      <c r="Q6811" s="20">
        <v>41000.0</v>
      </c>
      <c r="R6811" s="17">
        <f t="shared" si="2"/>
        <v>246.5243059</v>
      </c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>
        <f t="shared" si="8"/>
        <v>2</v>
      </c>
      <c r="AF6811" s="19">
        <f t="shared" si="13"/>
        <v>4</v>
      </c>
      <c r="AG6811" s="9"/>
      <c r="AH6811" s="9"/>
      <c r="AI6811" s="9"/>
    </row>
    <row r="6812" ht="15.0" customHeight="1">
      <c r="A6812" s="11">
        <v>6811.0</v>
      </c>
      <c r="B6812" s="12">
        <f t="shared" si="1090"/>
        <v>40998</v>
      </c>
      <c r="C6812" s="13">
        <v>2012.0</v>
      </c>
      <c r="D6812" s="11" t="s">
        <v>39</v>
      </c>
      <c r="E6812" s="11">
        <v>11.0</v>
      </c>
      <c r="F6812" s="21" t="s">
        <v>178</v>
      </c>
      <c r="G6812" s="15">
        <v>0.0420151792724417</v>
      </c>
      <c r="H6812" s="11" t="s">
        <v>33</v>
      </c>
      <c r="I6812" s="16">
        <v>7.192</v>
      </c>
      <c r="J6812" s="11" t="s">
        <v>1752</v>
      </c>
      <c r="K6812" s="11" t="s">
        <v>83</v>
      </c>
      <c r="L6812" s="11" t="s">
        <v>41</v>
      </c>
      <c r="M6812" s="11" t="s">
        <v>66</v>
      </c>
      <c r="N6812" s="11" t="s">
        <v>80</v>
      </c>
      <c r="O6812" s="11" t="s">
        <v>1506</v>
      </c>
      <c r="P6812" s="11" t="s">
        <v>38</v>
      </c>
      <c r="Q6812" s="20">
        <v>41000.0</v>
      </c>
      <c r="R6812" s="17">
        <f t="shared" si="2"/>
        <v>30.75897662</v>
      </c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>
        <f t="shared" si="8"/>
        <v>3</v>
      </c>
      <c r="AF6812" s="19" t="b">
        <f t="shared" si="13"/>
        <v>0</v>
      </c>
      <c r="AG6812" s="9"/>
      <c r="AH6812" s="9"/>
      <c r="AI6812" s="9"/>
    </row>
    <row r="6813" ht="15.0" customHeight="1">
      <c r="A6813" s="11">
        <v>6812.0</v>
      </c>
      <c r="B6813" s="12">
        <f t="shared" si="1090"/>
        <v>40998</v>
      </c>
      <c r="C6813" s="13">
        <v>2012.0</v>
      </c>
      <c r="D6813" s="11" t="s">
        <v>44</v>
      </c>
      <c r="E6813" s="11">
        <v>33.0</v>
      </c>
      <c r="F6813" s="21" t="s">
        <v>169</v>
      </c>
      <c r="G6813" s="15">
        <v>0.09121569398305579</v>
      </c>
      <c r="H6813" s="11" t="s">
        <v>33</v>
      </c>
      <c r="I6813" s="16">
        <v>19.592</v>
      </c>
      <c r="J6813" s="11" t="s">
        <v>181</v>
      </c>
      <c r="K6813" s="11" t="s">
        <v>65</v>
      </c>
      <c r="L6813" s="11" t="s">
        <v>48</v>
      </c>
      <c r="M6813" s="11" t="s">
        <v>66</v>
      </c>
      <c r="N6813" s="11" t="s">
        <v>170</v>
      </c>
      <c r="O6813" s="11" t="s">
        <v>171</v>
      </c>
      <c r="P6813" s="11" t="s">
        <v>31</v>
      </c>
      <c r="Q6813" s="20">
        <v>41000.0</v>
      </c>
      <c r="R6813" s="17">
        <f t="shared" si="2"/>
        <v>2108.568617</v>
      </c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>
        <f t="shared" si="8"/>
        <v>4</v>
      </c>
      <c r="AF6813" s="19">
        <f t="shared" si="13"/>
        <v>5</v>
      </c>
      <c r="AG6813" s="9"/>
      <c r="AH6813" s="9"/>
      <c r="AI6813" s="9"/>
    </row>
    <row r="6814" ht="15.0" customHeight="1">
      <c r="A6814" s="11">
        <v>6813.0</v>
      </c>
      <c r="B6814" s="12">
        <f t="shared" si="1090"/>
        <v>40998</v>
      </c>
      <c r="C6814" s="13">
        <v>2012.0</v>
      </c>
      <c r="D6814" s="11" t="s">
        <v>39</v>
      </c>
      <c r="E6814" s="11">
        <v>14.0</v>
      </c>
      <c r="F6814" s="21" t="s">
        <v>1223</v>
      </c>
      <c r="G6814" s="15">
        <v>0.09880322209436147</v>
      </c>
      <c r="H6814" s="11" t="s">
        <v>33</v>
      </c>
      <c r="I6814" s="16">
        <v>6.656000000000001</v>
      </c>
      <c r="J6814" s="11" t="s">
        <v>1715</v>
      </c>
      <c r="K6814" s="11" t="s">
        <v>26</v>
      </c>
      <c r="L6814" s="11" t="s">
        <v>36</v>
      </c>
      <c r="M6814" s="11" t="s">
        <v>28</v>
      </c>
      <c r="N6814" s="11" t="s">
        <v>56</v>
      </c>
      <c r="O6814" s="11" t="s">
        <v>2376</v>
      </c>
      <c r="P6814" s="11" t="s">
        <v>58</v>
      </c>
      <c r="Q6814" s="20">
        <v>41001.0</v>
      </c>
      <c r="R6814" s="17">
        <f t="shared" si="2"/>
        <v>30.95070214</v>
      </c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>
        <f t="shared" si="8"/>
        <v>2</v>
      </c>
      <c r="AF6814" s="19">
        <f t="shared" si="13"/>
        <v>1</v>
      </c>
      <c r="AG6814" s="9"/>
      <c r="AH6814" s="9"/>
      <c r="AI6814" s="9"/>
    </row>
    <row r="6815" ht="15.0" customHeight="1">
      <c r="A6815" s="11">
        <v>6814.0</v>
      </c>
      <c r="B6815" s="12">
        <f t="shared" si="1090"/>
        <v>40998</v>
      </c>
      <c r="C6815" s="13">
        <v>2012.0</v>
      </c>
      <c r="D6815" s="11" t="s">
        <v>44</v>
      </c>
      <c r="E6815" s="11">
        <v>27.0</v>
      </c>
      <c r="F6815" s="21" t="s">
        <v>415</v>
      </c>
      <c r="G6815" s="15">
        <v>0.07616390584132524</v>
      </c>
      <c r="H6815" s="11" t="s">
        <v>33</v>
      </c>
      <c r="I6815" s="16">
        <v>0.664</v>
      </c>
      <c r="J6815" s="11" t="s">
        <v>222</v>
      </c>
      <c r="K6815" s="11" t="s">
        <v>65</v>
      </c>
      <c r="L6815" s="11" t="s">
        <v>48</v>
      </c>
      <c r="M6815" s="11" t="s">
        <v>28</v>
      </c>
      <c r="N6815" s="11" t="s">
        <v>62</v>
      </c>
      <c r="O6815" s="11" t="s">
        <v>1493</v>
      </c>
      <c r="P6815" s="11" t="s">
        <v>58</v>
      </c>
      <c r="Q6815" s="20">
        <v>41001.0</v>
      </c>
      <c r="R6815" s="17">
        <f t="shared" si="2"/>
        <v>8.070632119</v>
      </c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>
        <f t="shared" si="8"/>
        <v>4</v>
      </c>
      <c r="AF6815" s="19">
        <f t="shared" si="13"/>
        <v>5</v>
      </c>
      <c r="AG6815" s="9"/>
      <c r="AH6815" s="9"/>
      <c r="AI6815" s="9"/>
    </row>
    <row r="6816" ht="15.0" customHeight="1">
      <c r="A6816" s="11">
        <v>6815.0</v>
      </c>
      <c r="B6816" s="12">
        <f t="shared" si="1090"/>
        <v>40998</v>
      </c>
      <c r="C6816" s="13">
        <v>2012.0</v>
      </c>
      <c r="D6816" s="11" t="s">
        <v>44</v>
      </c>
      <c r="E6816" s="11">
        <v>20.0</v>
      </c>
      <c r="F6816" s="21" t="s">
        <v>483</v>
      </c>
      <c r="G6816" s="15">
        <v>0.1187500000000001</v>
      </c>
      <c r="H6816" s="11" t="s">
        <v>33</v>
      </c>
      <c r="I6816" s="16">
        <v>0.5599999999999999</v>
      </c>
      <c r="J6816" s="11" t="s">
        <v>803</v>
      </c>
      <c r="K6816" s="11" t="s">
        <v>61</v>
      </c>
      <c r="L6816" s="11" t="s">
        <v>48</v>
      </c>
      <c r="M6816" s="11" t="s">
        <v>28</v>
      </c>
      <c r="N6816" s="11" t="s">
        <v>216</v>
      </c>
      <c r="O6816" s="11" t="s">
        <v>484</v>
      </c>
      <c r="P6816" s="11" t="s">
        <v>58</v>
      </c>
      <c r="Q6816" s="20">
        <v>41001.0</v>
      </c>
      <c r="R6816" s="17">
        <f t="shared" si="2"/>
        <v>2.679</v>
      </c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>
        <f t="shared" si="8"/>
        <v>4</v>
      </c>
      <c r="AF6816" s="19">
        <f t="shared" si="13"/>
        <v>4</v>
      </c>
      <c r="AG6816" s="9"/>
      <c r="AH6816" s="9"/>
      <c r="AI6816" s="9"/>
    </row>
    <row r="6817" ht="15.0" customHeight="1">
      <c r="A6817" s="11">
        <v>6816.0</v>
      </c>
      <c r="B6817" s="12">
        <f t="shared" ref="B6817:B6820" si="1091">DATE(2012,12,31)-275</f>
        <v>40999</v>
      </c>
      <c r="C6817" s="13">
        <v>2012.0</v>
      </c>
      <c r="D6817" s="11" t="s">
        <v>23</v>
      </c>
      <c r="E6817" s="11">
        <v>1.0</v>
      </c>
      <c r="F6817" s="21" t="s">
        <v>565</v>
      </c>
      <c r="G6817" s="15">
        <v>0.09289780681287921</v>
      </c>
      <c r="H6817" s="11" t="s">
        <v>33</v>
      </c>
      <c r="I6817" s="16">
        <v>15.991999999999999</v>
      </c>
      <c r="J6817" s="11" t="s">
        <v>665</v>
      </c>
      <c r="K6817" s="11" t="s">
        <v>65</v>
      </c>
      <c r="L6817" s="11" t="s">
        <v>36</v>
      </c>
      <c r="M6817" s="11" t="s">
        <v>28</v>
      </c>
      <c r="N6817" s="11" t="s">
        <v>29</v>
      </c>
      <c r="O6817" s="11" t="s">
        <v>566</v>
      </c>
      <c r="P6817" s="11" t="s">
        <v>38</v>
      </c>
      <c r="Q6817" s="20">
        <v>41001.0</v>
      </c>
      <c r="R6817" s="17">
        <f t="shared" si="2"/>
        <v>18.05859046</v>
      </c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>
        <f t="shared" si="8"/>
        <v>2</v>
      </c>
      <c r="AF6817" s="19">
        <f t="shared" si="13"/>
        <v>5</v>
      </c>
      <c r="AG6817" s="9"/>
      <c r="AH6817" s="9"/>
      <c r="AI6817" s="9"/>
    </row>
    <row r="6818" ht="15.0" customHeight="1">
      <c r="A6818" s="11">
        <v>6817.0</v>
      </c>
      <c r="B6818" s="12">
        <f t="shared" si="1091"/>
        <v>40999</v>
      </c>
      <c r="C6818" s="13">
        <v>2012.0</v>
      </c>
      <c r="D6818" s="11" t="s">
        <v>44</v>
      </c>
      <c r="E6818" s="11">
        <v>21.0</v>
      </c>
      <c r="F6818" s="21" t="s">
        <v>1782</v>
      </c>
      <c r="G6818" s="15">
        <v>0.014792924037460986</v>
      </c>
      <c r="H6818" s="11" t="s">
        <v>33</v>
      </c>
      <c r="I6818" s="16">
        <v>7.192</v>
      </c>
      <c r="J6818" s="11" t="s">
        <v>1490</v>
      </c>
      <c r="K6818" s="11" t="s">
        <v>61</v>
      </c>
      <c r="L6818" s="11" t="s">
        <v>48</v>
      </c>
      <c r="M6818" s="11" t="s">
        <v>49</v>
      </c>
      <c r="N6818" s="11" t="s">
        <v>73</v>
      </c>
      <c r="O6818" s="11" t="s">
        <v>2134</v>
      </c>
      <c r="P6818" s="11" t="s">
        <v>99</v>
      </c>
      <c r="Q6818" s="20">
        <v>41002.0</v>
      </c>
      <c r="R6818" s="17">
        <f t="shared" si="2"/>
        <v>7.002851896</v>
      </c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>
        <f t="shared" si="8"/>
        <v>4</v>
      </c>
      <c r="AF6818" s="19">
        <f t="shared" si="13"/>
        <v>4</v>
      </c>
      <c r="AG6818" s="9"/>
      <c r="AH6818" s="9"/>
      <c r="AI6818" s="9"/>
    </row>
    <row r="6819" ht="15.0" customHeight="1">
      <c r="A6819" s="11">
        <v>6818.0</v>
      </c>
      <c r="B6819" s="12">
        <f t="shared" si="1091"/>
        <v>40999</v>
      </c>
      <c r="C6819" s="13">
        <v>2012.0</v>
      </c>
      <c r="D6819" s="11" t="s">
        <v>102</v>
      </c>
      <c r="E6819" s="11">
        <v>23.0</v>
      </c>
      <c r="F6819" s="21" t="s">
        <v>389</v>
      </c>
      <c r="G6819" s="15">
        <v>0.042987194809629474</v>
      </c>
      <c r="H6819" s="11" t="s">
        <v>45</v>
      </c>
      <c r="I6819" s="16">
        <v>44.912000000000006</v>
      </c>
      <c r="J6819" s="11" t="s">
        <v>423</v>
      </c>
      <c r="K6819" s="11" t="s">
        <v>35</v>
      </c>
      <c r="L6819" s="11" t="s">
        <v>48</v>
      </c>
      <c r="M6819" s="11" t="s">
        <v>66</v>
      </c>
      <c r="N6819" s="11" t="s">
        <v>69</v>
      </c>
      <c r="O6819" s="11" t="s">
        <v>390</v>
      </c>
      <c r="P6819" s="11" t="s">
        <v>87</v>
      </c>
      <c r="Q6819" s="20">
        <v>41002.0</v>
      </c>
      <c r="R6819" s="17">
        <f t="shared" si="2"/>
        <v>120.476428</v>
      </c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>
        <f t="shared" si="8"/>
        <v>4</v>
      </c>
      <c r="AF6819" s="19">
        <f t="shared" si="13"/>
        <v>2</v>
      </c>
      <c r="AG6819" s="9"/>
      <c r="AH6819" s="9"/>
      <c r="AI6819" s="9"/>
    </row>
    <row r="6820" ht="15.0" customHeight="1">
      <c r="A6820" s="11">
        <v>6819.0</v>
      </c>
      <c r="B6820" s="12">
        <f t="shared" si="1091"/>
        <v>40999</v>
      </c>
      <c r="C6820" s="13">
        <v>2012.0</v>
      </c>
      <c r="D6820" s="11" t="s">
        <v>32</v>
      </c>
      <c r="E6820" s="11">
        <v>4.0</v>
      </c>
      <c r="F6820" s="21" t="s">
        <v>2260</v>
      </c>
      <c r="G6820" s="15">
        <v>0.049969822286800136</v>
      </c>
      <c r="H6820" s="11" t="s">
        <v>33</v>
      </c>
      <c r="I6820" s="16">
        <v>7.992000000000001</v>
      </c>
      <c r="J6820" s="11" t="s">
        <v>1425</v>
      </c>
      <c r="K6820" s="11" t="s">
        <v>47</v>
      </c>
      <c r="L6820" s="11" t="s">
        <v>48</v>
      </c>
      <c r="M6820" s="11" t="s">
        <v>28</v>
      </c>
      <c r="N6820" s="11" t="s">
        <v>29</v>
      </c>
      <c r="O6820" s="11" t="s">
        <v>2261</v>
      </c>
      <c r="P6820" s="11" t="s">
        <v>38</v>
      </c>
      <c r="Q6820" s="20">
        <v>41002.0</v>
      </c>
      <c r="R6820" s="17">
        <f t="shared" si="2"/>
        <v>42.47394919</v>
      </c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>
        <f t="shared" si="8"/>
        <v>4</v>
      </c>
      <c r="AF6820" s="19">
        <f t="shared" si="13"/>
        <v>3</v>
      </c>
      <c r="AG6820" s="9"/>
      <c r="AH6820" s="9"/>
      <c r="AI6820" s="9"/>
    </row>
    <row r="6821" ht="15.0" customHeight="1">
      <c r="A6821" s="11">
        <v>6820.0</v>
      </c>
      <c r="B6821" s="12">
        <f t="shared" ref="B6821:B6825" si="1092">DATE(2012,12,31)-274</f>
        <v>41000</v>
      </c>
      <c r="C6821" s="13">
        <v>2012.0</v>
      </c>
      <c r="D6821" s="11" t="s">
        <v>32</v>
      </c>
      <c r="E6821" s="11">
        <v>4.0</v>
      </c>
      <c r="F6821" s="21" t="s">
        <v>1551</v>
      </c>
      <c r="G6821" s="15">
        <v>0.037222222222222316</v>
      </c>
      <c r="H6821" s="11" t="s">
        <v>24</v>
      </c>
      <c r="I6821" s="16">
        <v>1.592</v>
      </c>
      <c r="J6821" s="11" t="s">
        <v>839</v>
      </c>
      <c r="K6821" s="11" t="s">
        <v>83</v>
      </c>
      <c r="L6821" s="11" t="s">
        <v>36</v>
      </c>
      <c r="M6821" s="11" t="s">
        <v>66</v>
      </c>
      <c r="N6821" s="11" t="s">
        <v>67</v>
      </c>
      <c r="O6821" s="11" t="s">
        <v>1598</v>
      </c>
      <c r="P6821" s="11" t="s">
        <v>99</v>
      </c>
      <c r="Q6821" s="20">
        <v>41002.0</v>
      </c>
      <c r="R6821" s="17">
        <f t="shared" si="2"/>
        <v>1.548146667</v>
      </c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>
        <f t="shared" si="8"/>
        <v>2</v>
      </c>
      <c r="AF6821" s="19" t="b">
        <f t="shared" si="13"/>
        <v>0</v>
      </c>
      <c r="AG6821" s="9"/>
      <c r="AH6821" s="9"/>
      <c r="AI6821" s="9"/>
    </row>
    <row r="6822" ht="15.0" customHeight="1">
      <c r="A6822" s="11">
        <v>6821.0</v>
      </c>
      <c r="B6822" s="12">
        <f t="shared" si="1092"/>
        <v>41000</v>
      </c>
      <c r="C6822" s="13">
        <v>2012.0</v>
      </c>
      <c r="D6822" s="11" t="s">
        <v>23</v>
      </c>
      <c r="E6822" s="11">
        <v>34.0</v>
      </c>
      <c r="F6822" s="21" t="s">
        <v>676</v>
      </c>
      <c r="G6822" s="15">
        <v>0.07078117418728784</v>
      </c>
      <c r="H6822" s="11" t="s">
        <v>33</v>
      </c>
      <c r="I6822" s="16">
        <v>1.1119999999999999</v>
      </c>
      <c r="J6822" s="11" t="s">
        <v>1101</v>
      </c>
      <c r="K6822" s="11" t="s">
        <v>65</v>
      </c>
      <c r="L6822" s="11" t="s">
        <v>48</v>
      </c>
      <c r="M6822" s="11" t="s">
        <v>28</v>
      </c>
      <c r="N6822" s="11" t="s">
        <v>236</v>
      </c>
      <c r="O6822" s="11" t="s">
        <v>677</v>
      </c>
      <c r="P6822" s="11" t="s">
        <v>38</v>
      </c>
      <c r="Q6822" s="20">
        <v>41002.0</v>
      </c>
      <c r="R6822" s="17">
        <f t="shared" si="2"/>
        <v>13.55544423</v>
      </c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>
        <f t="shared" si="8"/>
        <v>4</v>
      </c>
      <c r="AF6822" s="19">
        <f t="shared" si="13"/>
        <v>5</v>
      </c>
      <c r="AG6822" s="9"/>
      <c r="AH6822" s="9"/>
      <c r="AI6822" s="9"/>
    </row>
    <row r="6823" ht="15.0" customHeight="1">
      <c r="A6823" s="11">
        <v>6822.0</v>
      </c>
      <c r="B6823" s="12">
        <f t="shared" si="1092"/>
        <v>41000</v>
      </c>
      <c r="C6823" s="13">
        <v>2012.0</v>
      </c>
      <c r="D6823" s="11" t="s">
        <v>23</v>
      </c>
      <c r="E6823" s="11">
        <v>36.0</v>
      </c>
      <c r="F6823" s="21" t="s">
        <v>1227</v>
      </c>
      <c r="G6823" s="15">
        <v>0.11507430997876861</v>
      </c>
      <c r="H6823" s="11" t="s">
        <v>33</v>
      </c>
      <c r="I6823" s="16">
        <v>4.16</v>
      </c>
      <c r="J6823" s="11" t="s">
        <v>1101</v>
      </c>
      <c r="K6823" s="11" t="s">
        <v>65</v>
      </c>
      <c r="L6823" s="11" t="s">
        <v>48</v>
      </c>
      <c r="M6823" s="11" t="s">
        <v>28</v>
      </c>
      <c r="N6823" s="11" t="s">
        <v>62</v>
      </c>
      <c r="O6823" s="11" t="s">
        <v>2038</v>
      </c>
      <c r="P6823" s="11" t="s">
        <v>58</v>
      </c>
      <c r="Q6823" s="20">
        <v>41002.0</v>
      </c>
      <c r="R6823" s="17">
        <f t="shared" si="2"/>
        <v>9.59259448</v>
      </c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>
        <f t="shared" si="8"/>
        <v>4</v>
      </c>
      <c r="AF6823" s="19">
        <f t="shared" si="13"/>
        <v>5</v>
      </c>
      <c r="AG6823" s="9"/>
      <c r="AH6823" s="9"/>
      <c r="AI6823" s="9"/>
    </row>
    <row r="6824" ht="15.0" customHeight="1">
      <c r="A6824" s="11">
        <v>6823.0</v>
      </c>
      <c r="B6824" s="12">
        <f t="shared" si="1092"/>
        <v>41000</v>
      </c>
      <c r="C6824" s="13">
        <v>2012.0</v>
      </c>
      <c r="D6824" s="11" t="s">
        <v>102</v>
      </c>
      <c r="E6824" s="11">
        <v>6.0</v>
      </c>
      <c r="F6824" s="21" t="s">
        <v>1828</v>
      </c>
      <c r="G6824" s="15">
        <v>0.021466510773342388</v>
      </c>
      <c r="H6824" s="11" t="s">
        <v>24</v>
      </c>
      <c r="I6824" s="16">
        <v>15.991999999999999</v>
      </c>
      <c r="J6824" s="11" t="s">
        <v>1936</v>
      </c>
      <c r="K6824" s="11" t="s">
        <v>35</v>
      </c>
      <c r="L6824" s="11" t="s">
        <v>27</v>
      </c>
      <c r="M6824" s="11" t="s">
        <v>28</v>
      </c>
      <c r="N6824" s="11" t="s">
        <v>42</v>
      </c>
      <c r="O6824" s="11" t="s">
        <v>1830</v>
      </c>
      <c r="P6824" s="11" t="s">
        <v>38</v>
      </c>
      <c r="Q6824" s="20">
        <v>41003.0</v>
      </c>
      <c r="R6824" s="17">
        <f t="shared" si="2"/>
        <v>50.30444961</v>
      </c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>
        <f t="shared" si="8"/>
        <v>1</v>
      </c>
      <c r="AF6824" s="19">
        <f t="shared" si="13"/>
        <v>2</v>
      </c>
      <c r="AG6824" s="9"/>
      <c r="AH6824" s="9"/>
      <c r="AI6824" s="9"/>
    </row>
    <row r="6825" ht="15.0" customHeight="1">
      <c r="A6825" s="11">
        <v>6824.0</v>
      </c>
      <c r="B6825" s="12">
        <f t="shared" si="1092"/>
        <v>41000</v>
      </c>
      <c r="C6825" s="13">
        <v>2012.0</v>
      </c>
      <c r="D6825" s="11" t="s">
        <v>23</v>
      </c>
      <c r="E6825" s="11">
        <v>35.0</v>
      </c>
      <c r="F6825" s="21" t="s">
        <v>2323</v>
      </c>
      <c r="G6825" s="15">
        <v>0.08167231638418072</v>
      </c>
      <c r="H6825" s="11" t="s">
        <v>33</v>
      </c>
      <c r="I6825" s="16">
        <v>1.544</v>
      </c>
      <c r="J6825" s="11" t="s">
        <v>395</v>
      </c>
      <c r="K6825" s="11" t="s">
        <v>35</v>
      </c>
      <c r="L6825" s="11" t="s">
        <v>27</v>
      </c>
      <c r="M6825" s="11" t="s">
        <v>28</v>
      </c>
      <c r="N6825" s="11" t="s">
        <v>62</v>
      </c>
      <c r="O6825" s="11" t="s">
        <v>2325</v>
      </c>
      <c r="P6825" s="11" t="s">
        <v>58</v>
      </c>
      <c r="Q6825" s="20">
        <v>41003.0</v>
      </c>
      <c r="R6825" s="17">
        <f t="shared" si="2"/>
        <v>13.27534499</v>
      </c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>
        <f t="shared" si="8"/>
        <v>1</v>
      </c>
      <c r="AF6825" s="19">
        <f t="shared" si="13"/>
        <v>2</v>
      </c>
      <c r="AG6825" s="9"/>
      <c r="AH6825" s="9"/>
      <c r="AI6825" s="9"/>
    </row>
    <row r="6826" ht="15.0" customHeight="1">
      <c r="A6826" s="11">
        <v>6825.0</v>
      </c>
      <c r="B6826" s="12">
        <f>DATE(2012,12,31)-273</f>
        <v>41001</v>
      </c>
      <c r="C6826" s="13">
        <v>2012.0</v>
      </c>
      <c r="D6826" s="11" t="s">
        <v>102</v>
      </c>
      <c r="E6826" s="11">
        <v>44.0</v>
      </c>
      <c r="F6826" s="21" t="s">
        <v>344</v>
      </c>
      <c r="G6826" s="15">
        <v>0.09750798722044726</v>
      </c>
      <c r="H6826" s="11" t="s">
        <v>33</v>
      </c>
      <c r="I6826" s="16">
        <v>3.608</v>
      </c>
      <c r="J6826" s="11" t="s">
        <v>1599</v>
      </c>
      <c r="K6826" s="11" t="s">
        <v>35</v>
      </c>
      <c r="L6826" s="11" t="s">
        <v>36</v>
      </c>
      <c r="M6826" s="11" t="s">
        <v>28</v>
      </c>
      <c r="N6826" s="11" t="s">
        <v>29</v>
      </c>
      <c r="O6826" s="11" t="s">
        <v>929</v>
      </c>
      <c r="P6826" s="11" t="s">
        <v>38</v>
      </c>
      <c r="Q6826" s="20">
        <v>41003.0</v>
      </c>
      <c r="R6826" s="17">
        <f t="shared" si="2"/>
        <v>57.84251808</v>
      </c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>
        <f t="shared" si="8"/>
        <v>2</v>
      </c>
      <c r="AF6826" s="19">
        <f t="shared" si="13"/>
        <v>2</v>
      </c>
      <c r="AG6826" s="9"/>
      <c r="AH6826" s="9"/>
      <c r="AI6826" s="9"/>
    </row>
    <row r="6827" ht="15.0" customHeight="1">
      <c r="A6827" s="11">
        <v>6826.0</v>
      </c>
      <c r="B6827" s="12">
        <f t="shared" ref="B6827:B6831" si="1093">DATE(2012,12,31)-272</f>
        <v>41002</v>
      </c>
      <c r="C6827" s="13">
        <v>2012.0</v>
      </c>
      <c r="D6827" s="11" t="s">
        <v>23</v>
      </c>
      <c r="E6827" s="11">
        <v>18.0</v>
      </c>
      <c r="F6827" s="21" t="s">
        <v>137</v>
      </c>
      <c r="G6827" s="15">
        <v>0.08680443048437742</v>
      </c>
      <c r="H6827" s="11" t="s">
        <v>45</v>
      </c>
      <c r="I6827" s="16">
        <v>45.760000000000005</v>
      </c>
      <c r="J6827" s="11" t="s">
        <v>786</v>
      </c>
      <c r="K6827" s="11" t="s">
        <v>35</v>
      </c>
      <c r="L6827" s="11" t="s">
        <v>48</v>
      </c>
      <c r="M6827" s="11" t="s">
        <v>49</v>
      </c>
      <c r="N6827" s="11" t="s">
        <v>50</v>
      </c>
      <c r="O6827" s="11" t="s">
        <v>2602</v>
      </c>
      <c r="P6827" s="11" t="s">
        <v>52</v>
      </c>
      <c r="Q6827" s="20">
        <v>41003.0</v>
      </c>
      <c r="R6827" s="17">
        <f t="shared" si="2"/>
        <v>239.7503648</v>
      </c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>
        <f t="shared" si="8"/>
        <v>4</v>
      </c>
      <c r="AF6827" s="19">
        <f t="shared" si="13"/>
        <v>2</v>
      </c>
      <c r="AG6827" s="9"/>
      <c r="AH6827" s="9"/>
      <c r="AI6827" s="9"/>
    </row>
    <row r="6828" ht="15.0" customHeight="1">
      <c r="A6828" s="11">
        <v>6827.0</v>
      </c>
      <c r="B6828" s="12">
        <f t="shared" si="1093"/>
        <v>41002</v>
      </c>
      <c r="C6828" s="13">
        <v>2012.0</v>
      </c>
      <c r="D6828" s="11" t="s">
        <v>23</v>
      </c>
      <c r="E6828" s="11">
        <v>39.0</v>
      </c>
      <c r="F6828" s="21" t="s">
        <v>2454</v>
      </c>
      <c r="G6828" s="15">
        <v>0.024988956900359776</v>
      </c>
      <c r="H6828" s="11" t="s">
        <v>33</v>
      </c>
      <c r="I6828" s="16">
        <v>28.0</v>
      </c>
      <c r="J6828" s="11" t="s">
        <v>786</v>
      </c>
      <c r="K6828" s="11" t="s">
        <v>35</v>
      </c>
      <c r="L6828" s="11" t="s">
        <v>48</v>
      </c>
      <c r="M6828" s="11" t="s">
        <v>28</v>
      </c>
      <c r="N6828" s="11" t="s">
        <v>29</v>
      </c>
      <c r="O6828" s="11" t="s">
        <v>2455</v>
      </c>
      <c r="P6828" s="11" t="s">
        <v>31</v>
      </c>
      <c r="Q6828" s="20">
        <v>41003.0</v>
      </c>
      <c r="R6828" s="17">
        <f t="shared" si="2"/>
        <v>38.61043731</v>
      </c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>
        <f t="shared" si="8"/>
        <v>4</v>
      </c>
      <c r="AF6828" s="19">
        <f t="shared" si="13"/>
        <v>2</v>
      </c>
      <c r="AG6828" s="9"/>
      <c r="AH6828" s="9"/>
      <c r="AI6828" s="9"/>
    </row>
    <row r="6829" ht="15.0" customHeight="1">
      <c r="A6829" s="11">
        <v>6828.0</v>
      </c>
      <c r="B6829" s="12">
        <f t="shared" si="1093"/>
        <v>41002</v>
      </c>
      <c r="C6829" s="13">
        <v>2012.0</v>
      </c>
      <c r="D6829" s="11" t="s">
        <v>39</v>
      </c>
      <c r="E6829" s="11">
        <v>42.0</v>
      </c>
      <c r="F6829" s="21" t="s">
        <v>1158</v>
      </c>
      <c r="G6829" s="15">
        <v>0.051840796019900576</v>
      </c>
      <c r="H6829" s="11" t="s">
        <v>33</v>
      </c>
      <c r="I6829" s="16">
        <v>5.464</v>
      </c>
      <c r="J6829" s="11" t="s">
        <v>357</v>
      </c>
      <c r="K6829" s="11" t="s">
        <v>65</v>
      </c>
      <c r="L6829" s="11" t="s">
        <v>48</v>
      </c>
      <c r="M6829" s="11" t="s">
        <v>28</v>
      </c>
      <c r="N6829" s="11" t="s">
        <v>42</v>
      </c>
      <c r="O6829" s="11" t="s">
        <v>1577</v>
      </c>
      <c r="P6829" s="11" t="s">
        <v>38</v>
      </c>
      <c r="Q6829" s="20">
        <v>41003.0</v>
      </c>
      <c r="R6829" s="17">
        <f t="shared" si="2"/>
        <v>7.903855124</v>
      </c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>
        <f t="shared" si="8"/>
        <v>4</v>
      </c>
      <c r="AF6829" s="19">
        <f t="shared" si="13"/>
        <v>5</v>
      </c>
      <c r="AG6829" s="9"/>
      <c r="AH6829" s="9"/>
      <c r="AI6829" s="9"/>
    </row>
    <row r="6830" ht="15.0" customHeight="1">
      <c r="A6830" s="11">
        <v>6829.0</v>
      </c>
      <c r="B6830" s="12">
        <f t="shared" si="1093"/>
        <v>41002</v>
      </c>
      <c r="C6830" s="13">
        <v>2012.0</v>
      </c>
      <c r="D6830" s="11" t="s">
        <v>39</v>
      </c>
      <c r="E6830" s="11">
        <v>8.0</v>
      </c>
      <c r="F6830" s="21" t="s">
        <v>122</v>
      </c>
      <c r="G6830" s="15">
        <v>0.0804101457096602</v>
      </c>
      <c r="H6830" s="11" t="s">
        <v>33</v>
      </c>
      <c r="I6830" s="16">
        <v>3.2</v>
      </c>
      <c r="J6830" s="11" t="s">
        <v>403</v>
      </c>
      <c r="K6830" s="11" t="s">
        <v>61</v>
      </c>
      <c r="L6830" s="11" t="s">
        <v>41</v>
      </c>
      <c r="M6830" s="11" t="s">
        <v>66</v>
      </c>
      <c r="N6830" s="11" t="s">
        <v>67</v>
      </c>
      <c r="O6830" s="11" t="s">
        <v>1485</v>
      </c>
      <c r="P6830" s="11" t="s">
        <v>38</v>
      </c>
      <c r="Q6830" s="20">
        <v>41004.0</v>
      </c>
      <c r="R6830" s="17">
        <f t="shared" si="2"/>
        <v>13.70188883</v>
      </c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>
        <f t="shared" si="8"/>
        <v>3</v>
      </c>
      <c r="AF6830" s="19">
        <f t="shared" si="13"/>
        <v>4</v>
      </c>
      <c r="AG6830" s="9"/>
      <c r="AH6830" s="9"/>
      <c r="AI6830" s="9"/>
    </row>
    <row r="6831" ht="15.0" customHeight="1">
      <c r="A6831" s="11">
        <v>6830.0</v>
      </c>
      <c r="B6831" s="12">
        <f t="shared" si="1093"/>
        <v>41002</v>
      </c>
      <c r="C6831" s="13">
        <v>2012.0</v>
      </c>
      <c r="D6831" s="11" t="s">
        <v>44</v>
      </c>
      <c r="E6831" s="11">
        <v>47.0</v>
      </c>
      <c r="F6831" s="21" t="s">
        <v>302</v>
      </c>
      <c r="G6831" s="15">
        <v>0.08302207173951776</v>
      </c>
      <c r="H6831" s="11" t="s">
        <v>45</v>
      </c>
      <c r="I6831" s="16">
        <v>21.224000000000004</v>
      </c>
      <c r="J6831" s="11" t="s">
        <v>288</v>
      </c>
      <c r="K6831" s="11" t="s">
        <v>61</v>
      </c>
      <c r="L6831" s="11" t="s">
        <v>27</v>
      </c>
      <c r="M6831" s="11" t="s">
        <v>66</v>
      </c>
      <c r="N6831" s="11" t="s">
        <v>69</v>
      </c>
      <c r="O6831" s="11" t="s">
        <v>303</v>
      </c>
      <c r="P6831" s="11" t="s">
        <v>52</v>
      </c>
      <c r="Q6831" s="20">
        <v>41004.0</v>
      </c>
      <c r="R6831" s="17">
        <f t="shared" si="2"/>
        <v>1196.1757</v>
      </c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>
        <f t="shared" si="8"/>
        <v>1</v>
      </c>
      <c r="AF6831" s="19">
        <f t="shared" si="13"/>
        <v>4</v>
      </c>
      <c r="AG6831" s="9"/>
      <c r="AH6831" s="9"/>
      <c r="AI6831" s="9"/>
    </row>
    <row r="6832" ht="15.0" customHeight="1">
      <c r="A6832" s="11">
        <v>6831.0</v>
      </c>
      <c r="B6832" s="12">
        <f t="shared" ref="B6832:B6837" si="1094">DATE(2012,12,31)-271</f>
        <v>41003</v>
      </c>
      <c r="C6832" s="13">
        <v>2012.0</v>
      </c>
      <c r="D6832" s="11" t="s">
        <v>102</v>
      </c>
      <c r="E6832" s="11">
        <v>49.0</v>
      </c>
      <c r="F6832" s="21" t="s">
        <v>552</v>
      </c>
      <c r="G6832" s="15">
        <v>0.10450261780104711</v>
      </c>
      <c r="H6832" s="11" t="s">
        <v>33</v>
      </c>
      <c r="I6832" s="16">
        <v>6.384</v>
      </c>
      <c r="J6832" s="11" t="s">
        <v>507</v>
      </c>
      <c r="K6832" s="11" t="s">
        <v>61</v>
      </c>
      <c r="L6832" s="11" t="s">
        <v>48</v>
      </c>
      <c r="M6832" s="11" t="s">
        <v>49</v>
      </c>
      <c r="N6832" s="11" t="s">
        <v>73</v>
      </c>
      <c r="O6832" s="11" t="s">
        <v>1343</v>
      </c>
      <c r="P6832" s="11" t="s">
        <v>58</v>
      </c>
      <c r="Q6832" s="20">
        <v>41004.0</v>
      </c>
      <c r="R6832" s="17">
        <f t="shared" si="2"/>
        <v>37.53566827</v>
      </c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>
        <f t="shared" si="8"/>
        <v>4</v>
      </c>
      <c r="AF6832" s="19">
        <f t="shared" si="13"/>
        <v>4</v>
      </c>
      <c r="AG6832" s="9"/>
      <c r="AH6832" s="9"/>
      <c r="AI6832" s="9"/>
    </row>
    <row r="6833" ht="15.0" customHeight="1">
      <c r="A6833" s="11">
        <v>6832.0</v>
      </c>
      <c r="B6833" s="12">
        <f t="shared" si="1094"/>
        <v>41003</v>
      </c>
      <c r="C6833" s="13">
        <v>2012.0</v>
      </c>
      <c r="D6833" s="11" t="s">
        <v>102</v>
      </c>
      <c r="E6833" s="11">
        <v>6.0</v>
      </c>
      <c r="F6833" s="21" t="s">
        <v>1369</v>
      </c>
      <c r="G6833" s="15">
        <v>0.06344186046511614</v>
      </c>
      <c r="H6833" s="11" t="s">
        <v>33</v>
      </c>
      <c r="I6833" s="16">
        <v>1.536</v>
      </c>
      <c r="J6833" s="11" t="s">
        <v>507</v>
      </c>
      <c r="K6833" s="11" t="s">
        <v>61</v>
      </c>
      <c r="L6833" s="11" t="s">
        <v>48</v>
      </c>
      <c r="M6833" s="11" t="s">
        <v>28</v>
      </c>
      <c r="N6833" s="11" t="s">
        <v>442</v>
      </c>
      <c r="O6833" s="11" t="s">
        <v>1776</v>
      </c>
      <c r="P6833" s="11" t="s">
        <v>58</v>
      </c>
      <c r="Q6833" s="20">
        <v>41004.0</v>
      </c>
      <c r="R6833" s="17">
        <f t="shared" si="2"/>
        <v>1.277465302</v>
      </c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>
        <f t="shared" si="8"/>
        <v>4</v>
      </c>
      <c r="AF6833" s="19">
        <f t="shared" si="13"/>
        <v>4</v>
      </c>
      <c r="AG6833" s="9"/>
      <c r="AH6833" s="9"/>
      <c r="AI6833" s="9"/>
    </row>
    <row r="6834" ht="15.0" customHeight="1">
      <c r="A6834" s="11">
        <v>6833.0</v>
      </c>
      <c r="B6834" s="12">
        <f t="shared" si="1094"/>
        <v>41003</v>
      </c>
      <c r="C6834" s="13">
        <v>2012.0</v>
      </c>
      <c r="D6834" s="11" t="s">
        <v>39</v>
      </c>
      <c r="E6834" s="11">
        <v>16.0</v>
      </c>
      <c r="F6834" s="21" t="s">
        <v>256</v>
      </c>
      <c r="G6834" s="15">
        <v>0.056211031175059926</v>
      </c>
      <c r="H6834" s="11" t="s">
        <v>33</v>
      </c>
      <c r="I6834" s="16">
        <v>5.736000000000001</v>
      </c>
      <c r="J6834" s="11" t="s">
        <v>1876</v>
      </c>
      <c r="K6834" s="11" t="s">
        <v>61</v>
      </c>
      <c r="L6834" s="11" t="s">
        <v>48</v>
      </c>
      <c r="M6834" s="11" t="s">
        <v>28</v>
      </c>
      <c r="N6834" s="11" t="s">
        <v>42</v>
      </c>
      <c r="O6834" s="11" t="s">
        <v>1946</v>
      </c>
      <c r="P6834" s="11" t="s">
        <v>38</v>
      </c>
      <c r="Q6834" s="20">
        <v>41005.0</v>
      </c>
      <c r="R6834" s="17">
        <f t="shared" si="2"/>
        <v>13.27344806</v>
      </c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>
        <f t="shared" si="8"/>
        <v>4</v>
      </c>
      <c r="AF6834" s="19">
        <f t="shared" si="13"/>
        <v>4</v>
      </c>
      <c r="AG6834" s="9"/>
      <c r="AH6834" s="9"/>
      <c r="AI6834" s="9"/>
    </row>
    <row r="6835" ht="15.0" customHeight="1">
      <c r="A6835" s="11">
        <v>6834.0</v>
      </c>
      <c r="B6835" s="12">
        <f t="shared" si="1094"/>
        <v>41003</v>
      </c>
      <c r="C6835" s="13">
        <v>2012.0</v>
      </c>
      <c r="D6835" s="11" t="s">
        <v>39</v>
      </c>
      <c r="E6835" s="11">
        <v>46.0</v>
      </c>
      <c r="F6835" s="21" t="s">
        <v>810</v>
      </c>
      <c r="G6835" s="15">
        <v>0.018597442851607946</v>
      </c>
      <c r="H6835" s="11" t="s">
        <v>33</v>
      </c>
      <c r="I6835" s="16">
        <v>5.2</v>
      </c>
      <c r="J6835" s="11" t="s">
        <v>1876</v>
      </c>
      <c r="K6835" s="11" t="s">
        <v>61</v>
      </c>
      <c r="L6835" s="11" t="s">
        <v>48</v>
      </c>
      <c r="M6835" s="11" t="s">
        <v>66</v>
      </c>
      <c r="N6835" s="11" t="s">
        <v>67</v>
      </c>
      <c r="O6835" s="11" t="s">
        <v>1974</v>
      </c>
      <c r="P6835" s="11" t="s">
        <v>38</v>
      </c>
      <c r="Q6835" s="20">
        <v>41005.0</v>
      </c>
      <c r="R6835" s="17">
        <f t="shared" si="2"/>
        <v>9.421464549</v>
      </c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>
        <f t="shared" si="8"/>
        <v>4</v>
      </c>
      <c r="AF6835" s="19">
        <f t="shared" si="13"/>
        <v>4</v>
      </c>
      <c r="AG6835" s="9"/>
      <c r="AH6835" s="9"/>
      <c r="AI6835" s="9"/>
    </row>
    <row r="6836" ht="15.0" customHeight="1">
      <c r="A6836" s="11">
        <v>6835.0</v>
      </c>
      <c r="B6836" s="12">
        <f t="shared" si="1094"/>
        <v>41003</v>
      </c>
      <c r="C6836" s="13">
        <v>2012.0</v>
      </c>
      <c r="D6836" s="11" t="s">
        <v>39</v>
      </c>
      <c r="E6836" s="11">
        <v>9.0</v>
      </c>
      <c r="F6836" s="21" t="s">
        <v>694</v>
      </c>
      <c r="G6836" s="15">
        <v>0.05943490889886464</v>
      </c>
      <c r="H6836" s="11" t="s">
        <v>33</v>
      </c>
      <c r="I6836" s="16">
        <v>1.592</v>
      </c>
      <c r="J6836" s="11" t="s">
        <v>1876</v>
      </c>
      <c r="K6836" s="11" t="s">
        <v>61</v>
      </c>
      <c r="L6836" s="11" t="s">
        <v>48</v>
      </c>
      <c r="M6836" s="11" t="s">
        <v>66</v>
      </c>
      <c r="N6836" s="11" t="s">
        <v>67</v>
      </c>
      <c r="O6836" s="11" t="s">
        <v>695</v>
      </c>
      <c r="P6836" s="11" t="s">
        <v>99</v>
      </c>
      <c r="Q6836" s="20">
        <v>41005.0</v>
      </c>
      <c r="R6836" s="17">
        <f t="shared" si="2"/>
        <v>21.17023907</v>
      </c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>
        <f t="shared" si="8"/>
        <v>4</v>
      </c>
      <c r="AF6836" s="19">
        <f t="shared" si="13"/>
        <v>4</v>
      </c>
      <c r="AG6836" s="9"/>
      <c r="AH6836" s="9"/>
      <c r="AI6836" s="9"/>
    </row>
    <row r="6837" ht="15.0" customHeight="1">
      <c r="A6837" s="11">
        <v>6836.0</v>
      </c>
      <c r="B6837" s="12">
        <f t="shared" si="1094"/>
        <v>41003</v>
      </c>
      <c r="C6837" s="13">
        <v>2012.0</v>
      </c>
      <c r="D6837" s="11" t="s">
        <v>23</v>
      </c>
      <c r="E6837" s="11">
        <v>21.0</v>
      </c>
      <c r="F6837" s="21" t="s">
        <v>428</v>
      </c>
      <c r="G6837" s="15">
        <v>0.07625915492957747</v>
      </c>
      <c r="H6837" s="11" t="s">
        <v>33</v>
      </c>
      <c r="I6837" s="16">
        <v>8.728</v>
      </c>
      <c r="J6837" s="11" t="s">
        <v>1384</v>
      </c>
      <c r="K6837" s="11" t="s">
        <v>35</v>
      </c>
      <c r="L6837" s="11" t="s">
        <v>48</v>
      </c>
      <c r="M6837" s="11" t="s">
        <v>28</v>
      </c>
      <c r="N6837" s="11" t="s">
        <v>42</v>
      </c>
      <c r="O6837" s="11" t="s">
        <v>1642</v>
      </c>
      <c r="P6837" s="11" t="s">
        <v>38</v>
      </c>
      <c r="Q6837" s="20">
        <v>41005.0</v>
      </c>
      <c r="R6837" s="17">
        <f t="shared" si="2"/>
        <v>25.00751216</v>
      </c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>
        <f t="shared" si="8"/>
        <v>4</v>
      </c>
      <c r="AF6837" s="19">
        <f t="shared" si="13"/>
        <v>2</v>
      </c>
      <c r="AG6837" s="9"/>
      <c r="AH6837" s="9"/>
      <c r="AI6837" s="9"/>
    </row>
    <row r="6838" ht="15.0" customHeight="1">
      <c r="A6838" s="11">
        <v>6837.0</v>
      </c>
      <c r="B6838" s="12">
        <f t="shared" ref="B6838:B6842" si="1095">DATE(2012,12,31)-270</f>
        <v>41004</v>
      </c>
      <c r="C6838" s="13">
        <v>2012.0</v>
      </c>
      <c r="D6838" s="11" t="s">
        <v>39</v>
      </c>
      <c r="E6838" s="11">
        <v>24.0</v>
      </c>
      <c r="F6838" s="21" t="s">
        <v>2004</v>
      </c>
      <c r="G6838" s="15">
        <v>0.09506896551724144</v>
      </c>
      <c r="H6838" s="11" t="s">
        <v>33</v>
      </c>
      <c r="I6838" s="16">
        <v>11.776000000000002</v>
      </c>
      <c r="J6838" s="11" t="s">
        <v>843</v>
      </c>
      <c r="K6838" s="11" t="s">
        <v>61</v>
      </c>
      <c r="L6838" s="11" t="s">
        <v>36</v>
      </c>
      <c r="M6838" s="11" t="s">
        <v>28</v>
      </c>
      <c r="N6838" s="11" t="s">
        <v>42</v>
      </c>
      <c r="O6838" s="11" t="s">
        <v>2005</v>
      </c>
      <c r="P6838" s="11" t="s">
        <v>38</v>
      </c>
      <c r="Q6838" s="20">
        <v>41005.0</v>
      </c>
      <c r="R6838" s="17">
        <f t="shared" si="2"/>
        <v>79.83663559</v>
      </c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>
        <f t="shared" si="8"/>
        <v>2</v>
      </c>
      <c r="AF6838" s="19">
        <f t="shared" si="13"/>
        <v>4</v>
      </c>
      <c r="AG6838" s="9"/>
      <c r="AH6838" s="9"/>
      <c r="AI6838" s="9"/>
    </row>
    <row r="6839" ht="15.0" customHeight="1">
      <c r="A6839" s="11">
        <v>6838.0</v>
      </c>
      <c r="B6839" s="12">
        <f t="shared" si="1095"/>
        <v>41004</v>
      </c>
      <c r="C6839" s="13">
        <v>2012.0</v>
      </c>
      <c r="D6839" s="11" t="s">
        <v>23</v>
      </c>
      <c r="E6839" s="11">
        <v>43.0</v>
      </c>
      <c r="F6839" s="21" t="s">
        <v>284</v>
      </c>
      <c r="G6839" s="15">
        <v>0.08603773584905673</v>
      </c>
      <c r="H6839" s="11" t="s">
        <v>33</v>
      </c>
      <c r="I6839" s="16">
        <v>1.192</v>
      </c>
      <c r="J6839" s="11" t="s">
        <v>174</v>
      </c>
      <c r="K6839" s="11" t="s">
        <v>35</v>
      </c>
      <c r="L6839" s="11" t="s">
        <v>36</v>
      </c>
      <c r="M6839" s="11" t="s">
        <v>28</v>
      </c>
      <c r="N6839" s="11" t="s">
        <v>42</v>
      </c>
      <c r="O6839" s="11" t="s">
        <v>1344</v>
      </c>
      <c r="P6839" s="11" t="s">
        <v>38</v>
      </c>
      <c r="Q6839" s="20">
        <v>41005.0</v>
      </c>
      <c r="R6839" s="17">
        <f t="shared" si="2"/>
        <v>7.501802264</v>
      </c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>
        <f t="shared" si="8"/>
        <v>2</v>
      </c>
      <c r="AF6839" s="19">
        <f t="shared" si="13"/>
        <v>2</v>
      </c>
      <c r="AG6839" s="9"/>
      <c r="AH6839" s="9"/>
      <c r="AI6839" s="9"/>
    </row>
    <row r="6840" ht="15.0" customHeight="1">
      <c r="A6840" s="11">
        <v>6839.0</v>
      </c>
      <c r="B6840" s="12">
        <f t="shared" si="1095"/>
        <v>41004</v>
      </c>
      <c r="C6840" s="13">
        <v>2012.0</v>
      </c>
      <c r="D6840" s="11" t="s">
        <v>23</v>
      </c>
      <c r="E6840" s="11">
        <v>47.0</v>
      </c>
      <c r="F6840" s="21" t="s">
        <v>758</v>
      </c>
      <c r="G6840" s="15">
        <v>0.07119386637458912</v>
      </c>
      <c r="H6840" s="11" t="s">
        <v>33</v>
      </c>
      <c r="I6840" s="16">
        <v>0.4</v>
      </c>
      <c r="J6840" s="11" t="s">
        <v>546</v>
      </c>
      <c r="K6840" s="11" t="s">
        <v>61</v>
      </c>
      <c r="L6840" s="11" t="s">
        <v>48</v>
      </c>
      <c r="M6840" s="11" t="s">
        <v>28</v>
      </c>
      <c r="N6840" s="11" t="s">
        <v>188</v>
      </c>
      <c r="O6840" s="11" t="s">
        <v>1867</v>
      </c>
      <c r="P6840" s="11" t="s">
        <v>38</v>
      </c>
      <c r="Q6840" s="20">
        <v>41005.0</v>
      </c>
      <c r="R6840" s="17">
        <f t="shared" si="2"/>
        <v>12.07447974</v>
      </c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>
        <f t="shared" si="8"/>
        <v>4</v>
      </c>
      <c r="AF6840" s="19">
        <f t="shared" si="13"/>
        <v>4</v>
      </c>
      <c r="AG6840" s="9"/>
      <c r="AH6840" s="9"/>
      <c r="AI6840" s="9"/>
    </row>
    <row r="6841" ht="15.0" customHeight="1">
      <c r="A6841" s="11">
        <v>6840.0</v>
      </c>
      <c r="B6841" s="12">
        <f t="shared" si="1095"/>
        <v>41004</v>
      </c>
      <c r="C6841" s="13">
        <v>2012.0</v>
      </c>
      <c r="D6841" s="11" t="s">
        <v>23</v>
      </c>
      <c r="E6841" s="11">
        <v>26.0</v>
      </c>
      <c r="F6841" s="21" t="s">
        <v>1369</v>
      </c>
      <c r="G6841" s="15">
        <v>0.08940133037694005</v>
      </c>
      <c r="H6841" s="11" t="s">
        <v>33</v>
      </c>
      <c r="I6841" s="16">
        <v>1.536</v>
      </c>
      <c r="J6841" s="11" t="s">
        <v>546</v>
      </c>
      <c r="K6841" s="11" t="s">
        <v>61</v>
      </c>
      <c r="L6841" s="11" t="s">
        <v>48</v>
      </c>
      <c r="M6841" s="11" t="s">
        <v>28</v>
      </c>
      <c r="N6841" s="11" t="s">
        <v>442</v>
      </c>
      <c r="O6841" s="11" t="s">
        <v>1776</v>
      </c>
      <c r="P6841" s="11" t="s">
        <v>58</v>
      </c>
      <c r="Q6841" s="20">
        <v>41005.0</v>
      </c>
      <c r="R6841" s="17">
        <f t="shared" si="2"/>
        <v>7.343067672</v>
      </c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>
        <f t="shared" si="8"/>
        <v>4</v>
      </c>
      <c r="AF6841" s="19">
        <f t="shared" si="13"/>
        <v>4</v>
      </c>
      <c r="AG6841" s="9"/>
      <c r="AH6841" s="9"/>
      <c r="AI6841" s="9"/>
    </row>
    <row r="6842" ht="15.0" customHeight="1">
      <c r="A6842" s="11">
        <v>6841.0</v>
      </c>
      <c r="B6842" s="12">
        <f t="shared" si="1095"/>
        <v>41004</v>
      </c>
      <c r="C6842" s="13">
        <v>2012.0</v>
      </c>
      <c r="D6842" s="11" t="s">
        <v>32</v>
      </c>
      <c r="E6842" s="11">
        <v>30.0</v>
      </c>
      <c r="F6842" s="21" t="s">
        <v>158</v>
      </c>
      <c r="G6842" s="15">
        <v>0.06667917448405244</v>
      </c>
      <c r="H6842" s="11" t="s">
        <v>33</v>
      </c>
      <c r="I6842" s="16">
        <v>6.984000000000001</v>
      </c>
      <c r="J6842" s="11" t="s">
        <v>1887</v>
      </c>
      <c r="K6842" s="11" t="s">
        <v>61</v>
      </c>
      <c r="L6842" s="11" t="s">
        <v>36</v>
      </c>
      <c r="M6842" s="11" t="s">
        <v>28</v>
      </c>
      <c r="N6842" s="11" t="s">
        <v>56</v>
      </c>
      <c r="O6842" s="11" t="s">
        <v>160</v>
      </c>
      <c r="P6842" s="11" t="s">
        <v>38</v>
      </c>
      <c r="Q6842" s="20">
        <v>41005.0</v>
      </c>
      <c r="R6842" s="17">
        <f t="shared" si="2"/>
        <v>13.26808886</v>
      </c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>
        <f t="shared" si="8"/>
        <v>2</v>
      </c>
      <c r="AF6842" s="19">
        <f t="shared" si="13"/>
        <v>4</v>
      </c>
      <c r="AG6842" s="9"/>
      <c r="AH6842" s="9"/>
      <c r="AI6842" s="9"/>
    </row>
    <row r="6843" ht="15.0" customHeight="1">
      <c r="A6843" s="11">
        <v>6842.0</v>
      </c>
      <c r="B6843" s="12">
        <f t="shared" ref="B6843:B6847" si="1096">DATE(2012,12,31)-269</f>
        <v>41005</v>
      </c>
      <c r="C6843" s="13">
        <v>2012.0</v>
      </c>
      <c r="D6843" s="11" t="s">
        <v>32</v>
      </c>
      <c r="E6843" s="11">
        <v>29.0</v>
      </c>
      <c r="F6843" s="21" t="s">
        <v>1227</v>
      </c>
      <c r="G6843" s="15">
        <v>0.08625336927223708</v>
      </c>
      <c r="H6843" s="11" t="s">
        <v>33</v>
      </c>
      <c r="I6843" s="16">
        <v>4.0</v>
      </c>
      <c r="J6843" s="11" t="s">
        <v>876</v>
      </c>
      <c r="K6843" s="11" t="s">
        <v>35</v>
      </c>
      <c r="L6843" s="11" t="s">
        <v>48</v>
      </c>
      <c r="M6843" s="11" t="s">
        <v>28</v>
      </c>
      <c r="N6843" s="11" t="s">
        <v>197</v>
      </c>
      <c r="O6843" s="11" t="s">
        <v>1890</v>
      </c>
      <c r="P6843" s="11" t="s">
        <v>38</v>
      </c>
      <c r="Q6843" s="20">
        <v>41006.0</v>
      </c>
      <c r="R6843" s="17">
        <f t="shared" si="2"/>
        <v>5.847978437</v>
      </c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>
        <f t="shared" si="8"/>
        <v>4</v>
      </c>
      <c r="AF6843" s="19">
        <f t="shared" si="13"/>
        <v>2</v>
      </c>
      <c r="AG6843" s="9"/>
      <c r="AH6843" s="9"/>
      <c r="AI6843" s="9"/>
    </row>
    <row r="6844" ht="15.0" customHeight="1">
      <c r="A6844" s="11">
        <v>6843.0</v>
      </c>
      <c r="B6844" s="12">
        <f t="shared" si="1096"/>
        <v>41005</v>
      </c>
      <c r="C6844" s="13">
        <v>2012.0</v>
      </c>
      <c r="D6844" s="11" t="s">
        <v>32</v>
      </c>
      <c r="E6844" s="11">
        <v>33.0</v>
      </c>
      <c r="F6844" s="21" t="s">
        <v>1273</v>
      </c>
      <c r="G6844" s="15">
        <v>0.024372163388804907</v>
      </c>
      <c r="H6844" s="11" t="s">
        <v>33</v>
      </c>
      <c r="I6844" s="16">
        <v>1.1119999999999999</v>
      </c>
      <c r="J6844" s="11" t="s">
        <v>876</v>
      </c>
      <c r="K6844" s="11" t="s">
        <v>35</v>
      </c>
      <c r="L6844" s="11" t="s">
        <v>48</v>
      </c>
      <c r="M6844" s="11" t="s">
        <v>28</v>
      </c>
      <c r="N6844" s="11" t="s">
        <v>236</v>
      </c>
      <c r="O6844" s="11" t="s">
        <v>1274</v>
      </c>
      <c r="P6844" s="11" t="s">
        <v>38</v>
      </c>
      <c r="Q6844" s="20">
        <v>41006.0</v>
      </c>
      <c r="R6844" s="17">
        <f t="shared" si="2"/>
        <v>12.57389156</v>
      </c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>
        <f t="shared" si="8"/>
        <v>4</v>
      </c>
      <c r="AF6844" s="19">
        <f t="shared" si="13"/>
        <v>2</v>
      </c>
      <c r="AG6844" s="9"/>
      <c r="AH6844" s="9"/>
      <c r="AI6844" s="9"/>
    </row>
    <row r="6845" ht="15.0" customHeight="1">
      <c r="A6845" s="11">
        <v>6844.0</v>
      </c>
      <c r="B6845" s="12">
        <f t="shared" si="1096"/>
        <v>41005</v>
      </c>
      <c r="C6845" s="13">
        <v>2012.0</v>
      </c>
      <c r="D6845" s="11" t="s">
        <v>32</v>
      </c>
      <c r="E6845" s="11">
        <v>38.0</v>
      </c>
      <c r="F6845" s="21" t="s">
        <v>834</v>
      </c>
      <c r="G6845" s="15">
        <v>0.020396131051645856</v>
      </c>
      <c r="H6845" s="11" t="s">
        <v>45</v>
      </c>
      <c r="I6845" s="16">
        <v>38.608000000000004</v>
      </c>
      <c r="J6845" s="11" t="s">
        <v>876</v>
      </c>
      <c r="K6845" s="11" t="s">
        <v>35</v>
      </c>
      <c r="L6845" s="11" t="s">
        <v>48</v>
      </c>
      <c r="M6845" s="11" t="s">
        <v>66</v>
      </c>
      <c r="N6845" s="11" t="s">
        <v>69</v>
      </c>
      <c r="O6845" s="11" t="s">
        <v>835</v>
      </c>
      <c r="P6845" s="11" t="s">
        <v>87</v>
      </c>
      <c r="Q6845" s="20">
        <v>41006.0</v>
      </c>
      <c r="R6845" s="17">
        <f t="shared" si="2"/>
        <v>311.5061935</v>
      </c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>
        <f t="shared" si="8"/>
        <v>4</v>
      </c>
      <c r="AF6845" s="19">
        <f t="shared" si="13"/>
        <v>2</v>
      </c>
      <c r="AG6845" s="9"/>
      <c r="AH6845" s="9"/>
      <c r="AI6845" s="9"/>
    </row>
    <row r="6846" ht="15.0" customHeight="1">
      <c r="A6846" s="11">
        <v>6845.0</v>
      </c>
      <c r="B6846" s="12">
        <f t="shared" si="1096"/>
        <v>41005</v>
      </c>
      <c r="C6846" s="13">
        <v>2012.0</v>
      </c>
      <c r="D6846" s="11" t="s">
        <v>32</v>
      </c>
      <c r="E6846" s="11">
        <v>45.0</v>
      </c>
      <c r="F6846" s="21" t="s">
        <v>1254</v>
      </c>
      <c r="G6846" s="15">
        <v>0.043092454835281686</v>
      </c>
      <c r="H6846" s="11" t="s">
        <v>33</v>
      </c>
      <c r="I6846" s="16">
        <v>5.04</v>
      </c>
      <c r="J6846" s="11" t="s">
        <v>876</v>
      </c>
      <c r="K6846" s="11" t="s">
        <v>35</v>
      </c>
      <c r="L6846" s="11" t="s">
        <v>48</v>
      </c>
      <c r="M6846" s="11" t="s">
        <v>66</v>
      </c>
      <c r="N6846" s="11" t="s">
        <v>69</v>
      </c>
      <c r="O6846" s="11" t="s">
        <v>1394</v>
      </c>
      <c r="P6846" s="11" t="s">
        <v>75</v>
      </c>
      <c r="Q6846" s="20">
        <v>41006.0</v>
      </c>
      <c r="R6846" s="17">
        <f t="shared" si="2"/>
        <v>46.56312115</v>
      </c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>
        <f t="shared" si="8"/>
        <v>4</v>
      </c>
      <c r="AF6846" s="19">
        <f t="shared" si="13"/>
        <v>2</v>
      </c>
      <c r="AG6846" s="9"/>
      <c r="AH6846" s="9"/>
      <c r="AI6846" s="9"/>
    </row>
    <row r="6847" ht="15.0" customHeight="1">
      <c r="A6847" s="11">
        <v>6846.0</v>
      </c>
      <c r="B6847" s="12">
        <f t="shared" si="1096"/>
        <v>41005</v>
      </c>
      <c r="C6847" s="13">
        <v>2012.0</v>
      </c>
      <c r="D6847" s="11" t="s">
        <v>23</v>
      </c>
      <c r="E6847" s="11">
        <v>46.0</v>
      </c>
      <c r="F6847" s="21" t="s">
        <v>137</v>
      </c>
      <c r="G6847" s="15">
        <v>0.049917005120960554</v>
      </c>
      <c r="H6847" s="11" t="s">
        <v>45</v>
      </c>
      <c r="I6847" s="16">
        <v>53.016</v>
      </c>
      <c r="J6847" s="11" t="s">
        <v>2283</v>
      </c>
      <c r="K6847" s="11" t="s">
        <v>65</v>
      </c>
      <c r="L6847" s="11" t="s">
        <v>41</v>
      </c>
      <c r="M6847" s="11" t="s">
        <v>49</v>
      </c>
      <c r="N6847" s="11" t="s">
        <v>156</v>
      </c>
      <c r="O6847" s="11" t="s">
        <v>1553</v>
      </c>
      <c r="P6847" s="11" t="s">
        <v>87</v>
      </c>
      <c r="Q6847" s="20">
        <v>41006.0</v>
      </c>
      <c r="R6847" s="17">
        <f t="shared" si="2"/>
        <v>349.1402993</v>
      </c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>
        <f t="shared" si="8"/>
        <v>3</v>
      </c>
      <c r="AF6847" s="19">
        <f t="shared" si="13"/>
        <v>5</v>
      </c>
      <c r="AG6847" s="9"/>
      <c r="AH6847" s="9"/>
      <c r="AI6847" s="9"/>
    </row>
    <row r="6848" ht="15.0" customHeight="1">
      <c r="A6848" s="11">
        <v>6847.0</v>
      </c>
      <c r="B6848" s="12">
        <f t="shared" ref="B6848:B6851" si="1097">DATE(2012,12,31)-268</f>
        <v>41006</v>
      </c>
      <c r="C6848" s="13">
        <v>2012.0</v>
      </c>
      <c r="D6848" s="11" t="s">
        <v>32</v>
      </c>
      <c r="E6848" s="11">
        <v>2.0</v>
      </c>
      <c r="F6848" s="21" t="s">
        <v>1166</v>
      </c>
      <c r="G6848" s="15">
        <v>0.03300970873786406</v>
      </c>
      <c r="H6848" s="11" t="s">
        <v>33</v>
      </c>
      <c r="I6848" s="16">
        <v>0.5599999999999999</v>
      </c>
      <c r="J6848" s="11" t="s">
        <v>1114</v>
      </c>
      <c r="K6848" s="11" t="s">
        <v>47</v>
      </c>
      <c r="L6848" s="11" t="s">
        <v>27</v>
      </c>
      <c r="M6848" s="11" t="s">
        <v>28</v>
      </c>
      <c r="N6848" s="11" t="s">
        <v>216</v>
      </c>
      <c r="O6848" s="11" t="s">
        <v>1406</v>
      </c>
      <c r="P6848" s="11" t="s">
        <v>58</v>
      </c>
      <c r="Q6848" s="20">
        <v>41007.0</v>
      </c>
      <c r="R6848" s="17">
        <f t="shared" si="2"/>
        <v>0.328776699</v>
      </c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>
        <f t="shared" si="8"/>
        <v>1</v>
      </c>
      <c r="AF6848" s="19">
        <f t="shared" si="13"/>
        <v>3</v>
      </c>
      <c r="AG6848" s="9"/>
      <c r="AH6848" s="9"/>
      <c r="AI6848" s="9"/>
    </row>
    <row r="6849" ht="15.0" customHeight="1">
      <c r="A6849" s="11">
        <v>6848.0</v>
      </c>
      <c r="B6849" s="12">
        <f t="shared" si="1097"/>
        <v>41006</v>
      </c>
      <c r="C6849" s="13">
        <v>2012.0</v>
      </c>
      <c r="D6849" s="11" t="s">
        <v>44</v>
      </c>
      <c r="E6849" s="11">
        <v>27.0</v>
      </c>
      <c r="F6849" s="21" t="s">
        <v>1156</v>
      </c>
      <c r="G6849" s="15">
        <v>0.039414056270645814</v>
      </c>
      <c r="H6849" s="11" t="s">
        <v>33</v>
      </c>
      <c r="I6849" s="16">
        <v>7.192</v>
      </c>
      <c r="J6849" s="11" t="s">
        <v>1137</v>
      </c>
      <c r="K6849" s="11" t="s">
        <v>83</v>
      </c>
      <c r="L6849" s="11" t="s">
        <v>41</v>
      </c>
      <c r="M6849" s="11" t="s">
        <v>66</v>
      </c>
      <c r="N6849" s="11" t="s">
        <v>80</v>
      </c>
      <c r="O6849" s="11" t="s">
        <v>2237</v>
      </c>
      <c r="P6849" s="11" t="s">
        <v>38</v>
      </c>
      <c r="Q6849" s="20">
        <v>41007.0</v>
      </c>
      <c r="R6849" s="17">
        <f t="shared" si="2"/>
        <v>166.189053</v>
      </c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>
        <f t="shared" si="8"/>
        <v>3</v>
      </c>
      <c r="AF6849" s="19" t="b">
        <f t="shared" si="13"/>
        <v>0</v>
      </c>
      <c r="AG6849" s="9"/>
      <c r="AH6849" s="9"/>
      <c r="AI6849" s="9"/>
    </row>
    <row r="6850" ht="15.0" customHeight="1">
      <c r="A6850" s="11">
        <v>6849.0</v>
      </c>
      <c r="B6850" s="12">
        <f t="shared" si="1097"/>
        <v>41006</v>
      </c>
      <c r="C6850" s="13">
        <v>2012.0</v>
      </c>
      <c r="D6850" s="11" t="s">
        <v>32</v>
      </c>
      <c r="E6850" s="11">
        <v>21.0</v>
      </c>
      <c r="F6850" s="21" t="s">
        <v>1254</v>
      </c>
      <c r="G6850" s="15">
        <v>0.04451309097758525</v>
      </c>
      <c r="H6850" s="11" t="s">
        <v>33</v>
      </c>
      <c r="I6850" s="16">
        <v>5.368</v>
      </c>
      <c r="J6850" s="11" t="s">
        <v>116</v>
      </c>
      <c r="K6850" s="11" t="s">
        <v>117</v>
      </c>
      <c r="L6850" s="11" t="s">
        <v>48</v>
      </c>
      <c r="M6850" s="11" t="s">
        <v>28</v>
      </c>
      <c r="N6850" s="11" t="s">
        <v>236</v>
      </c>
      <c r="O6850" s="11" t="s">
        <v>1565</v>
      </c>
      <c r="P6850" s="11" t="s">
        <v>38</v>
      </c>
      <c r="Q6850" s="20">
        <v>41008.0</v>
      </c>
      <c r="R6850" s="17">
        <f t="shared" si="2"/>
        <v>22.58006663</v>
      </c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>
        <f t="shared" si="8"/>
        <v>4</v>
      </c>
      <c r="AF6850" s="19" t="b">
        <f t="shared" si="13"/>
        <v>0</v>
      </c>
      <c r="AG6850" s="9"/>
      <c r="AH6850" s="9"/>
      <c r="AI6850" s="9"/>
    </row>
    <row r="6851" ht="15.0" customHeight="1">
      <c r="A6851" s="11">
        <v>6850.0</v>
      </c>
      <c r="B6851" s="12">
        <f t="shared" si="1097"/>
        <v>41006</v>
      </c>
      <c r="C6851" s="13">
        <v>2012.0</v>
      </c>
      <c r="D6851" s="11" t="s">
        <v>44</v>
      </c>
      <c r="E6851" s="11">
        <v>50.0</v>
      </c>
      <c r="F6851" s="21" t="s">
        <v>481</v>
      </c>
      <c r="G6851" s="15">
        <v>0.09269227591904168</v>
      </c>
      <c r="H6851" s="11" t="s">
        <v>33</v>
      </c>
      <c r="I6851" s="16">
        <v>1.592</v>
      </c>
      <c r="J6851" s="11" t="s">
        <v>2080</v>
      </c>
      <c r="K6851" s="11" t="s">
        <v>65</v>
      </c>
      <c r="L6851" s="11" t="s">
        <v>48</v>
      </c>
      <c r="M6851" s="11" t="s">
        <v>66</v>
      </c>
      <c r="N6851" s="11" t="s">
        <v>67</v>
      </c>
      <c r="O6851" s="11" t="s">
        <v>1631</v>
      </c>
      <c r="P6851" s="11" t="s">
        <v>99</v>
      </c>
      <c r="Q6851" s="20">
        <v>41009.0</v>
      </c>
      <c r="R6851" s="17">
        <f t="shared" si="2"/>
        <v>203.6071117</v>
      </c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>
        <f t="shared" si="8"/>
        <v>4</v>
      </c>
      <c r="AF6851" s="19">
        <f t="shared" si="13"/>
        <v>5</v>
      </c>
      <c r="AG6851" s="9"/>
      <c r="AH6851" s="9"/>
      <c r="AI6851" s="9"/>
    </row>
    <row r="6852" ht="15.0" customHeight="1">
      <c r="A6852" s="11">
        <v>6851.0</v>
      </c>
      <c r="B6852" s="12">
        <f t="shared" ref="B6852:B6854" si="1098">DATE(2012,12,31)-267</f>
        <v>41007</v>
      </c>
      <c r="C6852" s="13">
        <v>2012.0</v>
      </c>
      <c r="D6852" s="11" t="s">
        <v>32</v>
      </c>
      <c r="E6852" s="11">
        <v>32.0</v>
      </c>
      <c r="F6852" s="21" t="s">
        <v>619</v>
      </c>
      <c r="G6852" s="15">
        <v>0.0780446770726237</v>
      </c>
      <c r="H6852" s="11" t="s">
        <v>45</v>
      </c>
      <c r="I6852" s="16">
        <v>24.0</v>
      </c>
      <c r="J6852" s="11" t="s">
        <v>1995</v>
      </c>
      <c r="K6852" s="11" t="s">
        <v>65</v>
      </c>
      <c r="L6852" s="11" t="s">
        <v>36</v>
      </c>
      <c r="M6852" s="11" t="s">
        <v>49</v>
      </c>
      <c r="N6852" s="11" t="s">
        <v>50</v>
      </c>
      <c r="O6852" s="11" t="s">
        <v>1028</v>
      </c>
      <c r="P6852" s="11" t="s">
        <v>52</v>
      </c>
      <c r="Q6852" s="20">
        <v>41009.0</v>
      </c>
      <c r="R6852" s="17">
        <f t="shared" si="2"/>
        <v>153.9665389</v>
      </c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>
        <f t="shared" si="8"/>
        <v>2</v>
      </c>
      <c r="AF6852" s="19">
        <f t="shared" si="13"/>
        <v>5</v>
      </c>
      <c r="AG6852" s="9"/>
      <c r="AH6852" s="9"/>
      <c r="AI6852" s="9"/>
    </row>
    <row r="6853" ht="15.0" customHeight="1">
      <c r="A6853" s="11">
        <v>6852.0</v>
      </c>
      <c r="B6853" s="12">
        <f t="shared" si="1098"/>
        <v>41007</v>
      </c>
      <c r="C6853" s="13">
        <v>2012.0</v>
      </c>
      <c r="D6853" s="11" t="s">
        <v>32</v>
      </c>
      <c r="E6853" s="11">
        <v>46.0</v>
      </c>
      <c r="F6853" s="21" t="s">
        <v>707</v>
      </c>
      <c r="G6853" s="15">
        <v>0.09608823529411774</v>
      </c>
      <c r="H6853" s="11" t="s">
        <v>33</v>
      </c>
      <c r="I6853" s="16">
        <v>4.128</v>
      </c>
      <c r="J6853" s="11" t="s">
        <v>1995</v>
      </c>
      <c r="K6853" s="11" t="s">
        <v>65</v>
      </c>
      <c r="L6853" s="11" t="s">
        <v>36</v>
      </c>
      <c r="M6853" s="11" t="s">
        <v>49</v>
      </c>
      <c r="N6853" s="11" t="s">
        <v>73</v>
      </c>
      <c r="O6853" s="11" t="s">
        <v>975</v>
      </c>
      <c r="P6853" s="11" t="s">
        <v>38</v>
      </c>
      <c r="Q6853" s="20">
        <v>41009.0</v>
      </c>
      <c r="R6853" s="17">
        <f t="shared" si="2"/>
        <v>47.24927576</v>
      </c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>
        <f t="shared" si="8"/>
        <v>2</v>
      </c>
      <c r="AF6853" s="19">
        <f t="shared" si="13"/>
        <v>5</v>
      </c>
      <c r="AG6853" s="9"/>
      <c r="AH6853" s="9"/>
      <c r="AI6853" s="9"/>
    </row>
    <row r="6854" ht="15.0" customHeight="1">
      <c r="A6854" s="11">
        <v>6853.0</v>
      </c>
      <c r="B6854" s="12">
        <f t="shared" si="1098"/>
        <v>41007</v>
      </c>
      <c r="C6854" s="13">
        <v>2012.0</v>
      </c>
      <c r="D6854" s="11" t="s">
        <v>23</v>
      </c>
      <c r="E6854" s="11">
        <v>49.0</v>
      </c>
      <c r="F6854" s="21" t="s">
        <v>838</v>
      </c>
      <c r="G6854" s="15">
        <v>0.035467745681314444</v>
      </c>
      <c r="H6854" s="11" t="s">
        <v>33</v>
      </c>
      <c r="I6854" s="16">
        <v>15.991999999999999</v>
      </c>
      <c r="J6854" s="11" t="s">
        <v>859</v>
      </c>
      <c r="K6854" s="11" t="s">
        <v>26</v>
      </c>
      <c r="L6854" s="11" t="s">
        <v>48</v>
      </c>
      <c r="M6854" s="11" t="s">
        <v>66</v>
      </c>
      <c r="N6854" s="11" t="s">
        <v>67</v>
      </c>
      <c r="O6854" s="11" t="s">
        <v>845</v>
      </c>
      <c r="P6854" s="11" t="s">
        <v>38</v>
      </c>
      <c r="Q6854" s="20">
        <v>41009.0</v>
      </c>
      <c r="R6854" s="17">
        <f t="shared" si="2"/>
        <v>174.1853621</v>
      </c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>
        <f t="shared" si="8"/>
        <v>4</v>
      </c>
      <c r="AF6854" s="19">
        <f t="shared" si="13"/>
        <v>1</v>
      </c>
      <c r="AG6854" s="9"/>
      <c r="AH6854" s="9"/>
      <c r="AI6854" s="9"/>
    </row>
    <row r="6855" ht="15.0" customHeight="1">
      <c r="A6855" s="11">
        <v>6854.0</v>
      </c>
      <c r="B6855" s="12">
        <f t="shared" ref="B6855:B6865" si="1099">DATE(2012,12,31)-266</f>
        <v>41008</v>
      </c>
      <c r="C6855" s="13">
        <v>2012.0</v>
      </c>
      <c r="D6855" s="11" t="s">
        <v>23</v>
      </c>
      <c r="E6855" s="11">
        <v>33.0</v>
      </c>
      <c r="F6855" s="21" t="s">
        <v>810</v>
      </c>
      <c r="G6855" s="15">
        <v>0.05901247401247408</v>
      </c>
      <c r="H6855" s="11" t="s">
        <v>33</v>
      </c>
      <c r="I6855" s="16">
        <v>2.3920000000000003</v>
      </c>
      <c r="J6855" s="11" t="s">
        <v>648</v>
      </c>
      <c r="K6855" s="11" t="s">
        <v>35</v>
      </c>
      <c r="L6855" s="11" t="s">
        <v>27</v>
      </c>
      <c r="M6855" s="11" t="s">
        <v>28</v>
      </c>
      <c r="N6855" s="11" t="s">
        <v>42</v>
      </c>
      <c r="O6855" s="11" t="s">
        <v>811</v>
      </c>
      <c r="P6855" s="11" t="s">
        <v>38</v>
      </c>
      <c r="Q6855" s="20">
        <v>41009.0</v>
      </c>
      <c r="R6855" s="17">
        <f t="shared" si="2"/>
        <v>21.36794474</v>
      </c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>
        <f t="shared" si="8"/>
        <v>1</v>
      </c>
      <c r="AF6855" s="19">
        <f t="shared" si="13"/>
        <v>2</v>
      </c>
      <c r="AG6855" s="9"/>
      <c r="AH6855" s="9"/>
      <c r="AI6855" s="9"/>
    </row>
    <row r="6856" ht="15.0" customHeight="1">
      <c r="A6856" s="11">
        <v>6855.0</v>
      </c>
      <c r="B6856" s="12">
        <f t="shared" si="1099"/>
        <v>41008</v>
      </c>
      <c r="C6856" s="13">
        <v>2012.0</v>
      </c>
      <c r="D6856" s="11" t="s">
        <v>23</v>
      </c>
      <c r="E6856" s="11">
        <v>30.0</v>
      </c>
      <c r="F6856" s="21" t="s">
        <v>2327</v>
      </c>
      <c r="G6856" s="15">
        <v>0.01866093035762301</v>
      </c>
      <c r="H6856" s="11" t="s">
        <v>24</v>
      </c>
      <c r="I6856" s="16">
        <v>4.960000000000001</v>
      </c>
      <c r="J6856" s="11" t="s">
        <v>648</v>
      </c>
      <c r="K6856" s="11" t="s">
        <v>35</v>
      </c>
      <c r="L6856" s="11" t="s">
        <v>27</v>
      </c>
      <c r="M6856" s="11" t="s">
        <v>49</v>
      </c>
      <c r="N6856" s="11" t="s">
        <v>73</v>
      </c>
      <c r="O6856" s="11" t="s">
        <v>2328</v>
      </c>
      <c r="P6856" s="11" t="s">
        <v>58</v>
      </c>
      <c r="Q6856" s="20">
        <v>41009.0</v>
      </c>
      <c r="R6856" s="17">
        <f t="shared" si="2"/>
        <v>6.810493143</v>
      </c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>
        <f t="shared" si="8"/>
        <v>1</v>
      </c>
      <c r="AF6856" s="19">
        <f t="shared" si="13"/>
        <v>2</v>
      </c>
      <c r="AG6856" s="9"/>
      <c r="AH6856" s="9"/>
      <c r="AI6856" s="9"/>
    </row>
    <row r="6857" ht="15.0" customHeight="1">
      <c r="A6857" s="11">
        <v>6856.0</v>
      </c>
      <c r="B6857" s="12">
        <f t="shared" si="1099"/>
        <v>41008</v>
      </c>
      <c r="C6857" s="13">
        <v>2012.0</v>
      </c>
      <c r="D6857" s="11" t="s">
        <v>39</v>
      </c>
      <c r="E6857" s="11">
        <v>48.0</v>
      </c>
      <c r="F6857" s="21" t="s">
        <v>242</v>
      </c>
      <c r="G6857" s="15">
        <v>0.07758927613941016</v>
      </c>
      <c r="H6857" s="11" t="s">
        <v>45</v>
      </c>
      <c r="I6857" s="16">
        <v>37.392</v>
      </c>
      <c r="J6857" s="11" t="s">
        <v>180</v>
      </c>
      <c r="K6857" s="11" t="s">
        <v>35</v>
      </c>
      <c r="L6857" s="11" t="s">
        <v>36</v>
      </c>
      <c r="M6857" s="11" t="s">
        <v>49</v>
      </c>
      <c r="N6857" s="11" t="s">
        <v>156</v>
      </c>
      <c r="O6857" s="11" t="s">
        <v>244</v>
      </c>
      <c r="P6857" s="11" t="s">
        <v>87</v>
      </c>
      <c r="Q6857" s="20">
        <v>41009.0</v>
      </c>
      <c r="R6857" s="17">
        <f t="shared" si="2"/>
        <v>266.9530428</v>
      </c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>
        <f t="shared" si="8"/>
        <v>2</v>
      </c>
      <c r="AF6857" s="19">
        <f t="shared" si="13"/>
        <v>2</v>
      </c>
      <c r="AG6857" s="9"/>
      <c r="AH6857" s="9"/>
      <c r="AI6857" s="9"/>
    </row>
    <row r="6858" ht="15.0" customHeight="1">
      <c r="A6858" s="11">
        <v>6857.0</v>
      </c>
      <c r="B6858" s="12">
        <f t="shared" si="1099"/>
        <v>41008</v>
      </c>
      <c r="C6858" s="13">
        <v>2012.0</v>
      </c>
      <c r="D6858" s="11" t="s">
        <v>23</v>
      </c>
      <c r="E6858" s="11">
        <v>8.0</v>
      </c>
      <c r="F6858" s="21" t="s">
        <v>1219</v>
      </c>
      <c r="G6858" s="15">
        <v>0.007418791477471068</v>
      </c>
      <c r="H6858" s="11" t="s">
        <v>33</v>
      </c>
      <c r="I6858" s="16">
        <v>6.5760000000000005</v>
      </c>
      <c r="J6858" s="11" t="s">
        <v>2298</v>
      </c>
      <c r="K6858" s="11" t="s">
        <v>117</v>
      </c>
      <c r="L6858" s="11" t="s">
        <v>48</v>
      </c>
      <c r="M6858" s="11" t="s">
        <v>28</v>
      </c>
      <c r="N6858" s="11" t="s">
        <v>29</v>
      </c>
      <c r="O6858" s="11" t="s">
        <v>1735</v>
      </c>
      <c r="P6858" s="11" t="s">
        <v>38</v>
      </c>
      <c r="Q6858" s="20">
        <v>41009.0</v>
      </c>
      <c r="R6858" s="17">
        <f t="shared" si="2"/>
        <v>2.108242487</v>
      </c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>
        <f t="shared" si="8"/>
        <v>4</v>
      </c>
      <c r="AF6858" s="19" t="b">
        <f t="shared" si="13"/>
        <v>0</v>
      </c>
      <c r="AG6858" s="9"/>
      <c r="AH6858" s="9"/>
      <c r="AI6858" s="9"/>
    </row>
    <row r="6859" ht="15.0" customHeight="1">
      <c r="A6859" s="11">
        <v>6858.0</v>
      </c>
      <c r="B6859" s="12">
        <f t="shared" si="1099"/>
        <v>41008</v>
      </c>
      <c r="C6859" s="13">
        <v>2012.0</v>
      </c>
      <c r="D6859" s="11" t="s">
        <v>23</v>
      </c>
      <c r="E6859" s="11">
        <v>29.0</v>
      </c>
      <c r="F6859" s="21" t="s">
        <v>933</v>
      </c>
      <c r="G6859" s="15">
        <v>0.06748149423308666</v>
      </c>
      <c r="H6859" s="11" t="s">
        <v>33</v>
      </c>
      <c r="I6859" s="16">
        <v>4.0</v>
      </c>
      <c r="J6859" s="11" t="s">
        <v>2298</v>
      </c>
      <c r="K6859" s="11" t="s">
        <v>117</v>
      </c>
      <c r="L6859" s="11" t="s">
        <v>48</v>
      </c>
      <c r="M6859" s="11" t="s">
        <v>66</v>
      </c>
      <c r="N6859" s="11" t="s">
        <v>80</v>
      </c>
      <c r="O6859" s="11" t="s">
        <v>1026</v>
      </c>
      <c r="P6859" s="11" t="s">
        <v>99</v>
      </c>
      <c r="Q6859" s="20">
        <v>41010.0</v>
      </c>
      <c r="R6859" s="17">
        <f t="shared" si="2"/>
        <v>109.6641763</v>
      </c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>
        <f t="shared" si="8"/>
        <v>4</v>
      </c>
      <c r="AF6859" s="19" t="b">
        <f t="shared" si="13"/>
        <v>0</v>
      </c>
      <c r="AG6859" s="9"/>
      <c r="AH6859" s="9"/>
      <c r="AI6859" s="9"/>
    </row>
    <row r="6860" ht="15.0" customHeight="1">
      <c r="A6860" s="11">
        <v>6859.0</v>
      </c>
      <c r="B6860" s="12">
        <f t="shared" si="1099"/>
        <v>41008</v>
      </c>
      <c r="C6860" s="13">
        <v>2012.0</v>
      </c>
      <c r="D6860" s="11" t="s">
        <v>44</v>
      </c>
      <c r="E6860" s="11">
        <v>3.0</v>
      </c>
      <c r="F6860" s="21" t="s">
        <v>656</v>
      </c>
      <c r="G6860" s="15">
        <v>0.04426122037317189</v>
      </c>
      <c r="H6860" s="11" t="s">
        <v>45</v>
      </c>
      <c r="I6860" s="16">
        <v>47.392</v>
      </c>
      <c r="J6860" s="11" t="s">
        <v>2276</v>
      </c>
      <c r="K6860" s="11" t="s">
        <v>65</v>
      </c>
      <c r="L6860" s="11" t="s">
        <v>27</v>
      </c>
      <c r="M6860" s="11" t="s">
        <v>49</v>
      </c>
      <c r="N6860" s="11" t="s">
        <v>85</v>
      </c>
      <c r="O6860" s="11" t="s">
        <v>658</v>
      </c>
      <c r="P6860" s="11" t="s">
        <v>87</v>
      </c>
      <c r="Q6860" s="20">
        <v>41010.0</v>
      </c>
      <c r="R6860" s="17">
        <f t="shared" si="2"/>
        <v>33.55407708</v>
      </c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>
        <f t="shared" si="8"/>
        <v>1</v>
      </c>
      <c r="AF6860" s="19">
        <f t="shared" si="13"/>
        <v>5</v>
      </c>
      <c r="AG6860" s="9"/>
      <c r="AH6860" s="9"/>
      <c r="AI6860" s="9"/>
    </row>
    <row r="6861" ht="15.0" customHeight="1">
      <c r="A6861" s="11">
        <v>6860.0</v>
      </c>
      <c r="B6861" s="12">
        <f t="shared" si="1099"/>
        <v>41008</v>
      </c>
      <c r="C6861" s="13">
        <v>2012.0</v>
      </c>
      <c r="D6861" s="11" t="s">
        <v>102</v>
      </c>
      <c r="E6861" s="11">
        <v>27.0</v>
      </c>
      <c r="F6861" s="21" t="s">
        <v>126</v>
      </c>
      <c r="G6861" s="15">
        <v>0.09870370370370357</v>
      </c>
      <c r="H6861" s="11" t="s">
        <v>33</v>
      </c>
      <c r="I6861" s="16">
        <v>3.976</v>
      </c>
      <c r="J6861" s="11" t="s">
        <v>2035</v>
      </c>
      <c r="K6861" s="11" t="s">
        <v>35</v>
      </c>
      <c r="L6861" s="11" t="s">
        <v>27</v>
      </c>
      <c r="M6861" s="11" t="s">
        <v>28</v>
      </c>
      <c r="N6861" s="11" t="s">
        <v>42</v>
      </c>
      <c r="O6861" s="11" t="s">
        <v>1609</v>
      </c>
      <c r="P6861" s="11" t="s">
        <v>38</v>
      </c>
      <c r="Q6861" s="20">
        <v>41010.0</v>
      </c>
      <c r="R6861" s="17">
        <f t="shared" si="2"/>
        <v>13.45094593</v>
      </c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>
        <f t="shared" si="8"/>
        <v>1</v>
      </c>
      <c r="AF6861" s="19">
        <f t="shared" si="13"/>
        <v>2</v>
      </c>
      <c r="AG6861" s="9"/>
      <c r="AH6861" s="9"/>
      <c r="AI6861" s="9"/>
    </row>
    <row r="6862" ht="15.0" customHeight="1">
      <c r="A6862" s="11">
        <v>6861.0</v>
      </c>
      <c r="B6862" s="12">
        <f t="shared" si="1099"/>
        <v>41008</v>
      </c>
      <c r="C6862" s="13">
        <v>2012.0</v>
      </c>
      <c r="D6862" s="11" t="s">
        <v>102</v>
      </c>
      <c r="E6862" s="11">
        <v>43.0</v>
      </c>
      <c r="F6862" s="21" t="s">
        <v>96</v>
      </c>
      <c r="G6862" s="15">
        <v>0.012922182757507113</v>
      </c>
      <c r="H6862" s="11" t="s">
        <v>33</v>
      </c>
      <c r="I6862" s="16">
        <v>1.592</v>
      </c>
      <c r="J6862" s="11" t="s">
        <v>2035</v>
      </c>
      <c r="K6862" s="11" t="s">
        <v>35</v>
      </c>
      <c r="L6862" s="11" t="s">
        <v>27</v>
      </c>
      <c r="M6862" s="11" t="s">
        <v>66</v>
      </c>
      <c r="N6862" s="11" t="s">
        <v>67</v>
      </c>
      <c r="O6862" s="11" t="s">
        <v>98</v>
      </c>
      <c r="P6862" s="11" t="s">
        <v>99</v>
      </c>
      <c r="Q6862" s="20">
        <v>41010.0</v>
      </c>
      <c r="R6862" s="17">
        <f t="shared" si="2"/>
        <v>15.8011417</v>
      </c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>
        <f t="shared" si="8"/>
        <v>1</v>
      </c>
      <c r="AF6862" s="19">
        <f t="shared" si="13"/>
        <v>2</v>
      </c>
      <c r="AG6862" s="9"/>
      <c r="AH6862" s="9"/>
      <c r="AI6862" s="9"/>
    </row>
    <row r="6863" ht="15.0" customHeight="1">
      <c r="A6863" s="11">
        <v>6862.0</v>
      </c>
      <c r="B6863" s="12">
        <f t="shared" si="1099"/>
        <v>41008</v>
      </c>
      <c r="C6863" s="13">
        <v>2012.0</v>
      </c>
      <c r="D6863" s="11" t="s">
        <v>102</v>
      </c>
      <c r="E6863" s="11">
        <v>49.0</v>
      </c>
      <c r="F6863" s="21" t="s">
        <v>2556</v>
      </c>
      <c r="G6863" s="15">
        <v>0.06613248516728845</v>
      </c>
      <c r="H6863" s="11" t="s">
        <v>33</v>
      </c>
      <c r="I6863" s="16">
        <v>2.8800000000000003</v>
      </c>
      <c r="J6863" s="11" t="s">
        <v>1767</v>
      </c>
      <c r="K6863" s="11" t="s">
        <v>35</v>
      </c>
      <c r="L6863" s="11" t="s">
        <v>27</v>
      </c>
      <c r="M6863" s="11" t="s">
        <v>66</v>
      </c>
      <c r="N6863" s="11" t="s">
        <v>67</v>
      </c>
      <c r="O6863" s="11" t="s">
        <v>2558</v>
      </c>
      <c r="P6863" s="11" t="s">
        <v>99</v>
      </c>
      <c r="Q6863" s="20">
        <v>41010.0</v>
      </c>
      <c r="R6863" s="17">
        <f t="shared" si="2"/>
        <v>100.9697557</v>
      </c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>
        <f t="shared" si="8"/>
        <v>1</v>
      </c>
      <c r="AF6863" s="19">
        <f t="shared" si="13"/>
        <v>2</v>
      </c>
      <c r="AG6863" s="9"/>
      <c r="AH6863" s="9"/>
      <c r="AI6863" s="9"/>
    </row>
    <row r="6864" ht="15.0" customHeight="1">
      <c r="A6864" s="11">
        <v>6863.0</v>
      </c>
      <c r="B6864" s="12">
        <f t="shared" si="1099"/>
        <v>41008</v>
      </c>
      <c r="C6864" s="13">
        <v>2012.0</v>
      </c>
      <c r="D6864" s="11" t="s">
        <v>39</v>
      </c>
      <c r="E6864" s="11">
        <v>47.0</v>
      </c>
      <c r="F6864" s="21" t="s">
        <v>93</v>
      </c>
      <c r="G6864" s="15">
        <v>0.034719827586206835</v>
      </c>
      <c r="H6864" s="11" t="s">
        <v>33</v>
      </c>
      <c r="I6864" s="16">
        <v>1.1119999999999999</v>
      </c>
      <c r="J6864" s="11" t="s">
        <v>771</v>
      </c>
      <c r="K6864" s="11" t="s">
        <v>61</v>
      </c>
      <c r="L6864" s="11" t="s">
        <v>48</v>
      </c>
      <c r="M6864" s="11" t="s">
        <v>28</v>
      </c>
      <c r="N6864" s="11" t="s">
        <v>236</v>
      </c>
      <c r="O6864" s="11" t="s">
        <v>833</v>
      </c>
      <c r="P6864" s="11" t="s">
        <v>38</v>
      </c>
      <c r="Q6864" s="20">
        <v>41010.0</v>
      </c>
      <c r="R6864" s="17">
        <f t="shared" si="2"/>
        <v>12.44053086</v>
      </c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>
        <f t="shared" si="8"/>
        <v>4</v>
      </c>
      <c r="AF6864" s="19">
        <f t="shared" si="13"/>
        <v>4</v>
      </c>
      <c r="AG6864" s="9"/>
      <c r="AH6864" s="9"/>
      <c r="AI6864" s="9"/>
    </row>
    <row r="6865" ht="15.0" customHeight="1">
      <c r="A6865" s="11">
        <v>6864.0</v>
      </c>
      <c r="B6865" s="12">
        <f t="shared" si="1099"/>
        <v>41008</v>
      </c>
      <c r="C6865" s="13">
        <v>2012.0</v>
      </c>
      <c r="D6865" s="11" t="s">
        <v>102</v>
      </c>
      <c r="E6865" s="11">
        <v>8.0</v>
      </c>
      <c r="F6865" s="21" t="s">
        <v>422</v>
      </c>
      <c r="G6865" s="15">
        <v>0.03995450021328013</v>
      </c>
      <c r="H6865" s="11" t="s">
        <v>33</v>
      </c>
      <c r="I6865" s="16">
        <v>28.0</v>
      </c>
      <c r="J6865" s="11" t="s">
        <v>1039</v>
      </c>
      <c r="K6865" s="11" t="s">
        <v>35</v>
      </c>
      <c r="L6865" s="11" t="s">
        <v>48</v>
      </c>
      <c r="M6865" s="11" t="s">
        <v>28</v>
      </c>
      <c r="N6865" s="11" t="s">
        <v>29</v>
      </c>
      <c r="O6865" s="11" t="s">
        <v>1571</v>
      </c>
      <c r="P6865" s="11" t="s">
        <v>31</v>
      </c>
      <c r="Q6865" s="20">
        <v>41010.0</v>
      </c>
      <c r="R6865" s="17">
        <f t="shared" si="2"/>
        <v>26.97727854</v>
      </c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>
        <f t="shared" si="8"/>
        <v>4</v>
      </c>
      <c r="AF6865" s="19">
        <f t="shared" si="13"/>
        <v>2</v>
      </c>
      <c r="AG6865" s="9"/>
      <c r="AH6865" s="9"/>
      <c r="AI6865" s="9"/>
    </row>
    <row r="6866" ht="15.0" customHeight="1">
      <c r="A6866" s="11">
        <v>6865.0</v>
      </c>
      <c r="B6866" s="12">
        <f t="shared" ref="B6866:B6870" si="1100">DATE(2012,12,31)-265</f>
        <v>41009</v>
      </c>
      <c r="C6866" s="13">
        <v>2012.0</v>
      </c>
      <c r="D6866" s="11" t="s">
        <v>44</v>
      </c>
      <c r="E6866" s="11">
        <v>8.0</v>
      </c>
      <c r="F6866" s="21" t="s">
        <v>1273</v>
      </c>
      <c r="G6866" s="15">
        <v>0.02006134969325164</v>
      </c>
      <c r="H6866" s="11" t="s">
        <v>33</v>
      </c>
      <c r="I6866" s="16">
        <v>2.984</v>
      </c>
      <c r="J6866" s="11" t="s">
        <v>1938</v>
      </c>
      <c r="K6866" s="11" t="s">
        <v>26</v>
      </c>
      <c r="L6866" s="11" t="s">
        <v>41</v>
      </c>
      <c r="M6866" s="11" t="s">
        <v>49</v>
      </c>
      <c r="N6866" s="11" t="s">
        <v>73</v>
      </c>
      <c r="O6866" s="11" t="s">
        <v>1403</v>
      </c>
      <c r="P6866" s="11" t="s">
        <v>99</v>
      </c>
      <c r="Q6866" s="20">
        <v>41010.0</v>
      </c>
      <c r="R6866" s="17">
        <f t="shared" si="2"/>
        <v>2.563519509</v>
      </c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>
        <f t="shared" si="8"/>
        <v>3</v>
      </c>
      <c r="AF6866" s="19">
        <f t="shared" si="13"/>
        <v>1</v>
      </c>
      <c r="AG6866" s="9"/>
      <c r="AH6866" s="9"/>
      <c r="AI6866" s="9"/>
    </row>
    <row r="6867" ht="15.0" customHeight="1">
      <c r="A6867" s="11">
        <v>6866.0</v>
      </c>
      <c r="B6867" s="12">
        <f t="shared" si="1100"/>
        <v>41009</v>
      </c>
      <c r="C6867" s="13">
        <v>2012.0</v>
      </c>
      <c r="D6867" s="11" t="s">
        <v>44</v>
      </c>
      <c r="E6867" s="11">
        <v>42.0</v>
      </c>
      <c r="F6867" s="21" t="s">
        <v>583</v>
      </c>
      <c r="G6867" s="15">
        <v>0.04371002132196165</v>
      </c>
      <c r="H6867" s="11" t="s">
        <v>24</v>
      </c>
      <c r="I6867" s="16">
        <v>55.2</v>
      </c>
      <c r="J6867" s="11" t="s">
        <v>1938</v>
      </c>
      <c r="K6867" s="11" t="s">
        <v>26</v>
      </c>
      <c r="L6867" s="11" t="s">
        <v>41</v>
      </c>
      <c r="M6867" s="11" t="s">
        <v>49</v>
      </c>
      <c r="N6867" s="11" t="s">
        <v>85</v>
      </c>
      <c r="O6867" s="11" t="s">
        <v>585</v>
      </c>
      <c r="P6867" s="11" t="s">
        <v>31</v>
      </c>
      <c r="Q6867" s="20">
        <v>41011.0</v>
      </c>
      <c r="R6867" s="17">
        <f t="shared" si="2"/>
        <v>133.306823</v>
      </c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>
        <f t="shared" si="8"/>
        <v>3</v>
      </c>
      <c r="AF6867" s="19">
        <f t="shared" si="13"/>
        <v>1</v>
      </c>
      <c r="AG6867" s="9"/>
      <c r="AH6867" s="9"/>
      <c r="AI6867" s="9"/>
    </row>
    <row r="6868" ht="15.0" customHeight="1">
      <c r="A6868" s="11">
        <v>6867.0</v>
      </c>
      <c r="B6868" s="12">
        <f t="shared" si="1100"/>
        <v>41009</v>
      </c>
      <c r="C6868" s="13">
        <v>2012.0</v>
      </c>
      <c r="D6868" s="11" t="s">
        <v>102</v>
      </c>
      <c r="E6868" s="11">
        <v>31.0</v>
      </c>
      <c r="F6868" s="21" t="s">
        <v>333</v>
      </c>
      <c r="G6868" s="15">
        <v>0.0528451882845189</v>
      </c>
      <c r="H6868" s="11" t="s">
        <v>33</v>
      </c>
      <c r="I6868" s="16">
        <v>0.6480000000000001</v>
      </c>
      <c r="J6868" s="11" t="s">
        <v>826</v>
      </c>
      <c r="K6868" s="11" t="s">
        <v>35</v>
      </c>
      <c r="L6868" s="11" t="s">
        <v>27</v>
      </c>
      <c r="M6868" s="11" t="s">
        <v>28</v>
      </c>
      <c r="N6868" s="11" t="s">
        <v>62</v>
      </c>
      <c r="O6868" s="11" t="s">
        <v>1910</v>
      </c>
      <c r="P6868" s="11" t="s">
        <v>58</v>
      </c>
      <c r="Q6868" s="20">
        <v>41011.0</v>
      </c>
      <c r="R6868" s="17">
        <f t="shared" si="2"/>
        <v>4.785026109</v>
      </c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>
        <f t="shared" si="8"/>
        <v>1</v>
      </c>
      <c r="AF6868" s="19">
        <f t="shared" si="13"/>
        <v>2</v>
      </c>
      <c r="AG6868" s="9"/>
      <c r="AH6868" s="9"/>
      <c r="AI6868" s="9"/>
    </row>
    <row r="6869" ht="15.0" customHeight="1">
      <c r="A6869" s="11">
        <v>6868.0</v>
      </c>
      <c r="B6869" s="12">
        <f t="shared" si="1100"/>
        <v>41009</v>
      </c>
      <c r="C6869" s="13">
        <v>2012.0</v>
      </c>
      <c r="D6869" s="11" t="s">
        <v>102</v>
      </c>
      <c r="E6869" s="11">
        <v>50.0</v>
      </c>
      <c r="F6869" s="21" t="s">
        <v>142</v>
      </c>
      <c r="G6869" s="15">
        <v>0.05008726926535148</v>
      </c>
      <c r="H6869" s="11" t="s">
        <v>33</v>
      </c>
      <c r="I6869" s="16">
        <v>1.0</v>
      </c>
      <c r="J6869" s="11" t="s">
        <v>826</v>
      </c>
      <c r="K6869" s="11" t="s">
        <v>35</v>
      </c>
      <c r="L6869" s="11" t="s">
        <v>27</v>
      </c>
      <c r="M6869" s="11" t="s">
        <v>66</v>
      </c>
      <c r="N6869" s="11" t="s">
        <v>80</v>
      </c>
      <c r="O6869" s="11" t="s">
        <v>1661</v>
      </c>
      <c r="P6869" s="11" t="s">
        <v>99</v>
      </c>
      <c r="Q6869" s="20">
        <v>41011.0</v>
      </c>
      <c r="R6869" s="17">
        <f t="shared" si="2"/>
        <v>89.9567356</v>
      </c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>
        <f t="shared" si="8"/>
        <v>1</v>
      </c>
      <c r="AF6869" s="19">
        <f t="shared" si="13"/>
        <v>2</v>
      </c>
      <c r="AG6869" s="9"/>
      <c r="AH6869" s="9"/>
      <c r="AI6869" s="9"/>
    </row>
    <row r="6870" ht="15.0" customHeight="1">
      <c r="A6870" s="11">
        <v>6869.0</v>
      </c>
      <c r="B6870" s="12">
        <f t="shared" si="1100"/>
        <v>41009</v>
      </c>
      <c r="C6870" s="13">
        <v>2012.0</v>
      </c>
      <c r="D6870" s="11" t="s">
        <v>102</v>
      </c>
      <c r="E6870" s="11">
        <v>8.0</v>
      </c>
      <c r="F6870" s="21" t="s">
        <v>135</v>
      </c>
      <c r="G6870" s="15">
        <v>0.02998307952622683</v>
      </c>
      <c r="H6870" s="11" t="s">
        <v>33</v>
      </c>
      <c r="I6870" s="16">
        <v>4.5280000000000005</v>
      </c>
      <c r="J6870" s="11" t="s">
        <v>2347</v>
      </c>
      <c r="K6870" s="11" t="s">
        <v>61</v>
      </c>
      <c r="L6870" s="11" t="s">
        <v>48</v>
      </c>
      <c r="M6870" s="11" t="s">
        <v>28</v>
      </c>
      <c r="N6870" s="11" t="s">
        <v>56</v>
      </c>
      <c r="O6870" s="11" t="s">
        <v>590</v>
      </c>
      <c r="P6870" s="11" t="s">
        <v>38</v>
      </c>
      <c r="Q6870" s="20">
        <v>41011.0</v>
      </c>
      <c r="R6870" s="17">
        <f t="shared" si="2"/>
        <v>1.718869983</v>
      </c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>
        <f t="shared" si="8"/>
        <v>4</v>
      </c>
      <c r="AF6870" s="19">
        <f t="shared" si="13"/>
        <v>4</v>
      </c>
      <c r="AG6870" s="9"/>
      <c r="AH6870" s="9"/>
      <c r="AI6870" s="9"/>
    </row>
    <row r="6871" ht="15.0" customHeight="1">
      <c r="A6871" s="11">
        <v>6870.0</v>
      </c>
      <c r="B6871" s="12">
        <f t="shared" ref="B6871:B6877" si="1101">DATE(2012,12,31)-264</f>
        <v>41010</v>
      </c>
      <c r="C6871" s="13">
        <v>2012.0</v>
      </c>
      <c r="D6871" s="11" t="s">
        <v>44</v>
      </c>
      <c r="E6871" s="11">
        <v>32.0</v>
      </c>
      <c r="F6871" s="21" t="s">
        <v>137</v>
      </c>
      <c r="G6871" s="15">
        <v>0.07508417894475329</v>
      </c>
      <c r="H6871" s="11" t="s">
        <v>33</v>
      </c>
      <c r="I6871" s="16">
        <v>11.192</v>
      </c>
      <c r="J6871" s="11" t="s">
        <v>1605</v>
      </c>
      <c r="K6871" s="11" t="s">
        <v>61</v>
      </c>
      <c r="L6871" s="11" t="s">
        <v>48</v>
      </c>
      <c r="M6871" s="11" t="s">
        <v>66</v>
      </c>
      <c r="N6871" s="11" t="s">
        <v>69</v>
      </c>
      <c r="O6871" s="11" t="s">
        <v>468</v>
      </c>
      <c r="P6871" s="11" t="s">
        <v>75</v>
      </c>
      <c r="Q6871" s="20">
        <v>41011.0</v>
      </c>
      <c r="R6871" s="17">
        <f t="shared" si="2"/>
        <v>363.4068254</v>
      </c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>
        <f t="shared" si="8"/>
        <v>4</v>
      </c>
      <c r="AF6871" s="19">
        <f t="shared" si="13"/>
        <v>4</v>
      </c>
      <c r="AG6871" s="9"/>
      <c r="AH6871" s="9"/>
      <c r="AI6871" s="9"/>
    </row>
    <row r="6872" ht="15.0" customHeight="1">
      <c r="A6872" s="11">
        <v>6871.0</v>
      </c>
      <c r="B6872" s="12">
        <f t="shared" si="1101"/>
        <v>41010</v>
      </c>
      <c r="C6872" s="13">
        <v>2012.0</v>
      </c>
      <c r="D6872" s="11" t="s">
        <v>44</v>
      </c>
      <c r="E6872" s="11">
        <v>29.0</v>
      </c>
      <c r="F6872" s="21" t="s">
        <v>413</v>
      </c>
      <c r="G6872" s="15">
        <v>0.07238278741168921</v>
      </c>
      <c r="H6872" s="11" t="s">
        <v>33</v>
      </c>
      <c r="I6872" s="16">
        <v>7.56</v>
      </c>
      <c r="J6872" s="11" t="s">
        <v>1605</v>
      </c>
      <c r="K6872" s="11" t="s">
        <v>61</v>
      </c>
      <c r="L6872" s="11" t="s">
        <v>48</v>
      </c>
      <c r="M6872" s="11" t="s">
        <v>28</v>
      </c>
      <c r="N6872" s="11" t="s">
        <v>29</v>
      </c>
      <c r="O6872" s="11" t="s">
        <v>660</v>
      </c>
      <c r="P6872" s="11" t="s">
        <v>38</v>
      </c>
      <c r="Q6872" s="20">
        <v>41011.0</v>
      </c>
      <c r="R6872" s="17">
        <f t="shared" si="2"/>
        <v>20.90849197</v>
      </c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>
        <f t="shared" si="8"/>
        <v>4</v>
      </c>
      <c r="AF6872" s="19">
        <f t="shared" si="13"/>
        <v>4</v>
      </c>
      <c r="AG6872" s="9"/>
      <c r="AH6872" s="9"/>
      <c r="AI6872" s="9"/>
    </row>
    <row r="6873" ht="15.0" customHeight="1">
      <c r="A6873" s="11">
        <v>6872.0</v>
      </c>
      <c r="B6873" s="12">
        <f t="shared" si="1101"/>
        <v>41010</v>
      </c>
      <c r="C6873" s="13">
        <v>2012.0</v>
      </c>
      <c r="D6873" s="11" t="s">
        <v>102</v>
      </c>
      <c r="E6873" s="11">
        <v>5.0</v>
      </c>
      <c r="F6873" s="21" t="s">
        <v>752</v>
      </c>
      <c r="G6873" s="15">
        <v>0.03115572477981609</v>
      </c>
      <c r="H6873" s="11" t="s">
        <v>24</v>
      </c>
      <c r="I6873" s="16">
        <v>19.592</v>
      </c>
      <c r="J6873" s="11" t="s">
        <v>459</v>
      </c>
      <c r="K6873" s="11" t="s">
        <v>65</v>
      </c>
      <c r="L6873" s="11" t="s">
        <v>41</v>
      </c>
      <c r="M6873" s="11" t="s">
        <v>66</v>
      </c>
      <c r="N6873" s="11" t="s">
        <v>170</v>
      </c>
      <c r="O6873" s="11" t="s">
        <v>753</v>
      </c>
      <c r="P6873" s="11" t="s">
        <v>31</v>
      </c>
      <c r="Q6873" s="20">
        <v>41012.0</v>
      </c>
      <c r="R6873" s="17">
        <f t="shared" si="2"/>
        <v>78.48413705</v>
      </c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>
        <f t="shared" si="8"/>
        <v>3</v>
      </c>
      <c r="AF6873" s="19">
        <f t="shared" si="13"/>
        <v>5</v>
      </c>
      <c r="AG6873" s="9"/>
      <c r="AH6873" s="9"/>
      <c r="AI6873" s="9"/>
    </row>
    <row r="6874" ht="15.0" customHeight="1">
      <c r="A6874" s="11">
        <v>6873.0</v>
      </c>
      <c r="B6874" s="12">
        <f t="shared" si="1101"/>
        <v>41010</v>
      </c>
      <c r="C6874" s="13">
        <v>2012.0</v>
      </c>
      <c r="D6874" s="11" t="s">
        <v>44</v>
      </c>
      <c r="E6874" s="11">
        <v>33.0</v>
      </c>
      <c r="F6874" s="21" t="s">
        <v>333</v>
      </c>
      <c r="G6874" s="15">
        <v>0.02967098703888334</v>
      </c>
      <c r="H6874" s="11" t="s">
        <v>33</v>
      </c>
      <c r="I6874" s="16">
        <v>1.6239999999999999</v>
      </c>
      <c r="J6874" s="11" t="s">
        <v>588</v>
      </c>
      <c r="K6874" s="11" t="s">
        <v>47</v>
      </c>
      <c r="L6874" s="11" t="s">
        <v>27</v>
      </c>
      <c r="M6874" s="11" t="s">
        <v>28</v>
      </c>
      <c r="N6874" s="11" t="s">
        <v>62</v>
      </c>
      <c r="O6874" s="11" t="s">
        <v>335</v>
      </c>
      <c r="P6874" s="11" t="s">
        <v>58</v>
      </c>
      <c r="Q6874" s="20">
        <v>41012.0</v>
      </c>
      <c r="R6874" s="17">
        <f t="shared" si="2"/>
        <v>2.887699143</v>
      </c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>
        <f t="shared" si="8"/>
        <v>1</v>
      </c>
      <c r="AF6874" s="19">
        <f t="shared" si="13"/>
        <v>3</v>
      </c>
      <c r="AG6874" s="9"/>
      <c r="AH6874" s="9"/>
      <c r="AI6874" s="9"/>
    </row>
    <row r="6875" ht="15.0" customHeight="1">
      <c r="A6875" s="11">
        <v>6874.0</v>
      </c>
      <c r="B6875" s="12">
        <f t="shared" si="1101"/>
        <v>41010</v>
      </c>
      <c r="C6875" s="13">
        <v>2012.0</v>
      </c>
      <c r="D6875" s="11" t="s">
        <v>39</v>
      </c>
      <c r="E6875" s="11">
        <v>1.0</v>
      </c>
      <c r="F6875" s="21" t="s">
        <v>1127</v>
      </c>
      <c r="G6875" s="15">
        <v>0.03604106673437956</v>
      </c>
      <c r="H6875" s="11" t="s">
        <v>45</v>
      </c>
      <c r="I6875" s="16">
        <v>23.76</v>
      </c>
      <c r="J6875" s="11" t="s">
        <v>1025</v>
      </c>
      <c r="K6875" s="11" t="s">
        <v>117</v>
      </c>
      <c r="L6875" s="11" t="s">
        <v>48</v>
      </c>
      <c r="M6875" s="11" t="s">
        <v>66</v>
      </c>
      <c r="N6875" s="11" t="s">
        <v>69</v>
      </c>
      <c r="O6875" s="11" t="s">
        <v>1128</v>
      </c>
      <c r="P6875" s="11" t="s">
        <v>52</v>
      </c>
      <c r="Q6875" s="20">
        <v>41012.0</v>
      </c>
      <c r="R6875" s="17">
        <f t="shared" si="2"/>
        <v>92.76466002</v>
      </c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>
        <f t="shared" si="8"/>
        <v>4</v>
      </c>
      <c r="AF6875" s="19" t="b">
        <f t="shared" si="13"/>
        <v>0</v>
      </c>
      <c r="AG6875" s="9"/>
      <c r="AH6875" s="9"/>
      <c r="AI6875" s="9"/>
    </row>
    <row r="6876" ht="15.0" customHeight="1">
      <c r="A6876" s="11">
        <v>6875.0</v>
      </c>
      <c r="B6876" s="12">
        <f t="shared" si="1101"/>
        <v>41010</v>
      </c>
      <c r="C6876" s="13">
        <v>2012.0</v>
      </c>
      <c r="D6876" s="11" t="s">
        <v>39</v>
      </c>
      <c r="E6876" s="11">
        <v>34.0</v>
      </c>
      <c r="F6876" s="21" t="s">
        <v>328</v>
      </c>
      <c r="G6876" s="15">
        <v>0.011152758873416322</v>
      </c>
      <c r="H6876" s="11" t="s">
        <v>33</v>
      </c>
      <c r="I6876" s="16">
        <v>7.192</v>
      </c>
      <c r="J6876" s="11" t="s">
        <v>982</v>
      </c>
      <c r="K6876" s="11" t="s">
        <v>61</v>
      </c>
      <c r="L6876" s="11" t="s">
        <v>48</v>
      </c>
      <c r="M6876" s="11" t="s">
        <v>66</v>
      </c>
      <c r="N6876" s="11" t="s">
        <v>80</v>
      </c>
      <c r="O6876" s="11" t="s">
        <v>1651</v>
      </c>
      <c r="P6876" s="11" t="s">
        <v>38</v>
      </c>
      <c r="Q6876" s="20">
        <v>41012.0</v>
      </c>
      <c r="R6876" s="17">
        <f t="shared" si="2"/>
        <v>42.13280325</v>
      </c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>
        <f t="shared" si="8"/>
        <v>4</v>
      </c>
      <c r="AF6876" s="19">
        <f t="shared" si="13"/>
        <v>4</v>
      </c>
      <c r="AG6876" s="9"/>
      <c r="AH6876" s="9"/>
      <c r="AI6876" s="9"/>
    </row>
    <row r="6877" ht="15.0" customHeight="1">
      <c r="A6877" s="11">
        <v>6876.0</v>
      </c>
      <c r="B6877" s="12">
        <f t="shared" si="1101"/>
        <v>41010</v>
      </c>
      <c r="C6877" s="13">
        <v>2012.0</v>
      </c>
      <c r="D6877" s="11" t="s">
        <v>102</v>
      </c>
      <c r="E6877" s="11">
        <v>25.0</v>
      </c>
      <c r="F6877" s="21" t="s">
        <v>2192</v>
      </c>
      <c r="G6877" s="15">
        <v>0.05852185981956969</v>
      </c>
      <c r="H6877" s="11" t="s">
        <v>33</v>
      </c>
      <c r="I6877" s="16">
        <v>5.5040000000000004</v>
      </c>
      <c r="J6877" s="11" t="s">
        <v>1936</v>
      </c>
      <c r="K6877" s="11" t="s">
        <v>35</v>
      </c>
      <c r="L6877" s="11" t="s">
        <v>27</v>
      </c>
      <c r="M6877" s="11" t="s">
        <v>28</v>
      </c>
      <c r="N6877" s="11" t="s">
        <v>29</v>
      </c>
      <c r="O6877" s="11" t="s">
        <v>2193</v>
      </c>
      <c r="P6877" s="11" t="s">
        <v>38</v>
      </c>
      <c r="Q6877" s="20">
        <v>41012.0</v>
      </c>
      <c r="R6877" s="17">
        <f t="shared" si="2"/>
        <v>95.27382187</v>
      </c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>
        <f t="shared" si="8"/>
        <v>1</v>
      </c>
      <c r="AF6877" s="19">
        <f t="shared" si="13"/>
        <v>2</v>
      </c>
      <c r="AG6877" s="9"/>
      <c r="AH6877" s="9"/>
      <c r="AI6877" s="9"/>
    </row>
    <row r="6878" ht="15.0" customHeight="1">
      <c r="A6878" s="11">
        <v>6877.0</v>
      </c>
      <c r="B6878" s="12">
        <f t="shared" ref="B6878:B6883" si="1102">DATE(2012,12,31)-263</f>
        <v>41011</v>
      </c>
      <c r="C6878" s="13">
        <v>2012.0</v>
      </c>
      <c r="D6878" s="11" t="s">
        <v>32</v>
      </c>
      <c r="E6878" s="11">
        <v>23.0</v>
      </c>
      <c r="F6878" s="21" t="s">
        <v>186</v>
      </c>
      <c r="G6878" s="15">
        <v>0.01722831505483544</v>
      </c>
      <c r="H6878" s="11" t="s">
        <v>33</v>
      </c>
      <c r="I6878" s="16">
        <v>4.272</v>
      </c>
      <c r="J6878" s="11" t="s">
        <v>2472</v>
      </c>
      <c r="K6878" s="11" t="s">
        <v>47</v>
      </c>
      <c r="L6878" s="11" t="s">
        <v>36</v>
      </c>
      <c r="M6878" s="11" t="s">
        <v>28</v>
      </c>
      <c r="N6878" s="11" t="s">
        <v>42</v>
      </c>
      <c r="O6878" s="11" t="s">
        <v>1483</v>
      </c>
      <c r="P6878" s="11" t="s">
        <v>38</v>
      </c>
      <c r="Q6878" s="20">
        <v>41012.0</v>
      </c>
      <c r="R6878" s="17">
        <f t="shared" si="2"/>
        <v>1.698229472</v>
      </c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>
        <f t="shared" si="8"/>
        <v>2</v>
      </c>
      <c r="AF6878" s="19">
        <f t="shared" si="13"/>
        <v>3</v>
      </c>
      <c r="AG6878" s="9"/>
      <c r="AH6878" s="9"/>
      <c r="AI6878" s="9"/>
    </row>
    <row r="6879" ht="15.0" customHeight="1">
      <c r="A6879" s="11">
        <v>6878.0</v>
      </c>
      <c r="B6879" s="12">
        <f t="shared" si="1102"/>
        <v>41011</v>
      </c>
      <c r="C6879" s="13">
        <v>2012.0</v>
      </c>
      <c r="D6879" s="11" t="s">
        <v>39</v>
      </c>
      <c r="E6879" s="11">
        <v>35.0</v>
      </c>
      <c r="F6879" s="21" t="s">
        <v>384</v>
      </c>
      <c r="G6879" s="15">
        <v>0.08294275175584853</v>
      </c>
      <c r="H6879" s="11" t="s">
        <v>33</v>
      </c>
      <c r="I6879" s="16">
        <v>0.792</v>
      </c>
      <c r="J6879" s="11" t="s">
        <v>2441</v>
      </c>
      <c r="K6879" s="11" t="s">
        <v>35</v>
      </c>
      <c r="L6879" s="11" t="s">
        <v>48</v>
      </c>
      <c r="M6879" s="11" t="s">
        <v>28</v>
      </c>
      <c r="N6879" s="11" t="s">
        <v>197</v>
      </c>
      <c r="O6879" s="11" t="s">
        <v>386</v>
      </c>
      <c r="P6879" s="11" t="s">
        <v>38</v>
      </c>
      <c r="Q6879" s="20">
        <v>41013.0</v>
      </c>
      <c r="R6879" s="17">
        <f t="shared" si="2"/>
        <v>602.1471257</v>
      </c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>
        <f t="shared" si="8"/>
        <v>4</v>
      </c>
      <c r="AF6879" s="19">
        <f t="shared" si="13"/>
        <v>2</v>
      </c>
      <c r="AG6879" s="9"/>
      <c r="AH6879" s="9"/>
      <c r="AI6879" s="9"/>
    </row>
    <row r="6880" ht="15.0" customHeight="1">
      <c r="A6880" s="11">
        <v>6879.0</v>
      </c>
      <c r="B6880" s="12">
        <f t="shared" si="1102"/>
        <v>41011</v>
      </c>
      <c r="C6880" s="13">
        <v>2012.0</v>
      </c>
      <c r="D6880" s="11" t="s">
        <v>39</v>
      </c>
      <c r="E6880" s="11">
        <v>46.0</v>
      </c>
      <c r="F6880" s="21" t="s">
        <v>2113</v>
      </c>
      <c r="G6880" s="15">
        <v>0.0577283480890711</v>
      </c>
      <c r="H6880" s="11" t="s">
        <v>33</v>
      </c>
      <c r="I6880" s="16">
        <v>4.008</v>
      </c>
      <c r="J6880" s="11" t="s">
        <v>897</v>
      </c>
      <c r="K6880" s="11" t="s">
        <v>26</v>
      </c>
      <c r="L6880" s="11" t="s">
        <v>36</v>
      </c>
      <c r="M6880" s="11" t="s">
        <v>28</v>
      </c>
      <c r="N6880" s="11" t="s">
        <v>236</v>
      </c>
      <c r="O6880" s="11" t="s">
        <v>2114</v>
      </c>
      <c r="P6880" s="11" t="s">
        <v>38</v>
      </c>
      <c r="Q6880" s="20">
        <v>41013.0</v>
      </c>
      <c r="R6880" s="17">
        <f t="shared" si="2"/>
        <v>223.0281618</v>
      </c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>
        <f t="shared" si="8"/>
        <v>2</v>
      </c>
      <c r="AF6880" s="19">
        <f t="shared" si="13"/>
        <v>1</v>
      </c>
      <c r="AG6880" s="9"/>
      <c r="AH6880" s="9"/>
      <c r="AI6880" s="9"/>
    </row>
    <row r="6881" ht="15.0" customHeight="1">
      <c r="A6881" s="11">
        <v>6880.0</v>
      </c>
      <c r="B6881" s="12">
        <f t="shared" si="1102"/>
        <v>41011</v>
      </c>
      <c r="C6881" s="13">
        <v>2012.0</v>
      </c>
      <c r="D6881" s="11" t="s">
        <v>39</v>
      </c>
      <c r="E6881" s="11">
        <v>10.0</v>
      </c>
      <c r="F6881" s="21" t="s">
        <v>610</v>
      </c>
      <c r="G6881" s="15">
        <v>0.015993665874901</v>
      </c>
      <c r="H6881" s="11" t="s">
        <v>33</v>
      </c>
      <c r="I6881" s="16">
        <v>2.2800000000000002</v>
      </c>
      <c r="J6881" s="11" t="s">
        <v>746</v>
      </c>
      <c r="K6881" s="11" t="s">
        <v>65</v>
      </c>
      <c r="L6881" s="11" t="s">
        <v>48</v>
      </c>
      <c r="M6881" s="11" t="s">
        <v>49</v>
      </c>
      <c r="N6881" s="11" t="s">
        <v>73</v>
      </c>
      <c r="O6881" s="11" t="s">
        <v>612</v>
      </c>
      <c r="P6881" s="11" t="s">
        <v>99</v>
      </c>
      <c r="Q6881" s="20">
        <v>41013.0</v>
      </c>
      <c r="R6881" s="17">
        <f t="shared" si="2"/>
        <v>1.987692795</v>
      </c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>
        <f t="shared" si="8"/>
        <v>4</v>
      </c>
      <c r="AF6881" s="19">
        <f t="shared" si="13"/>
        <v>5</v>
      </c>
      <c r="AG6881" s="9"/>
      <c r="AH6881" s="9"/>
      <c r="AI6881" s="9"/>
    </row>
    <row r="6882" ht="15.0" customHeight="1">
      <c r="A6882" s="11">
        <v>6881.0</v>
      </c>
      <c r="B6882" s="12">
        <f t="shared" si="1102"/>
        <v>41011</v>
      </c>
      <c r="C6882" s="13">
        <v>2012.0</v>
      </c>
      <c r="D6882" s="11" t="s">
        <v>39</v>
      </c>
      <c r="E6882" s="11">
        <v>33.0</v>
      </c>
      <c r="F6882" s="21" t="s">
        <v>2094</v>
      </c>
      <c r="G6882" s="15">
        <v>0.0586927293411935</v>
      </c>
      <c r="H6882" s="11" t="s">
        <v>33</v>
      </c>
      <c r="I6882" s="16">
        <v>8.6</v>
      </c>
      <c r="J6882" s="11" t="s">
        <v>746</v>
      </c>
      <c r="K6882" s="11" t="s">
        <v>65</v>
      </c>
      <c r="L6882" s="11" t="s">
        <v>48</v>
      </c>
      <c r="M6882" s="11" t="s">
        <v>28</v>
      </c>
      <c r="N6882" s="11" t="s">
        <v>56</v>
      </c>
      <c r="O6882" s="11" t="s">
        <v>2096</v>
      </c>
      <c r="P6882" s="11" t="s">
        <v>38</v>
      </c>
      <c r="Q6882" s="20">
        <v>41013.0</v>
      </c>
      <c r="R6882" s="17">
        <f t="shared" si="2"/>
        <v>106.8383752</v>
      </c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>
        <f t="shared" si="8"/>
        <v>4</v>
      </c>
      <c r="AF6882" s="19">
        <f t="shared" si="13"/>
        <v>5</v>
      </c>
      <c r="AG6882" s="9"/>
      <c r="AH6882" s="9"/>
      <c r="AI6882" s="9"/>
    </row>
    <row r="6883" ht="15.0" customHeight="1">
      <c r="A6883" s="11">
        <v>6882.0</v>
      </c>
      <c r="B6883" s="12">
        <f t="shared" si="1102"/>
        <v>41011</v>
      </c>
      <c r="C6883" s="13">
        <v>2012.0</v>
      </c>
      <c r="D6883" s="11" t="s">
        <v>39</v>
      </c>
      <c r="E6883" s="11">
        <v>47.0</v>
      </c>
      <c r="F6883" s="21" t="s">
        <v>1219</v>
      </c>
      <c r="G6883" s="15">
        <v>0.085055595909929</v>
      </c>
      <c r="H6883" s="11" t="s">
        <v>33</v>
      </c>
      <c r="I6883" s="16">
        <v>6.5760000000000005</v>
      </c>
      <c r="J6883" s="11" t="s">
        <v>1257</v>
      </c>
      <c r="K6883" s="11" t="s">
        <v>35</v>
      </c>
      <c r="L6883" s="11" t="s">
        <v>48</v>
      </c>
      <c r="M6883" s="11" t="s">
        <v>28</v>
      </c>
      <c r="N6883" s="11" t="s">
        <v>29</v>
      </c>
      <c r="O6883" s="11" t="s">
        <v>1735</v>
      </c>
      <c r="P6883" s="11" t="s">
        <v>38</v>
      </c>
      <c r="Q6883" s="20">
        <v>41013.0</v>
      </c>
      <c r="R6883" s="17">
        <f t="shared" si="2"/>
        <v>139.276497</v>
      </c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>
        <f t="shared" si="8"/>
        <v>4</v>
      </c>
      <c r="AF6883" s="19">
        <f t="shared" si="13"/>
        <v>2</v>
      </c>
      <c r="AG6883" s="9"/>
      <c r="AH6883" s="9"/>
      <c r="AI6883" s="9"/>
    </row>
    <row r="6884" ht="15.0" customHeight="1">
      <c r="A6884" s="11">
        <v>6883.0</v>
      </c>
      <c r="B6884" s="12">
        <f t="shared" ref="B6884:B6897" si="1103">DATE(2012,12,31)-262</f>
        <v>41012</v>
      </c>
      <c r="C6884" s="13">
        <v>2012.0</v>
      </c>
      <c r="D6884" s="11" t="s">
        <v>23</v>
      </c>
      <c r="E6884" s="11">
        <v>24.0</v>
      </c>
      <c r="F6884" s="21" t="s">
        <v>2469</v>
      </c>
      <c r="G6884" s="15">
        <v>0.021135920875168655</v>
      </c>
      <c r="H6884" s="11" t="s">
        <v>33</v>
      </c>
      <c r="I6884" s="16">
        <v>0.792</v>
      </c>
      <c r="J6884" s="11" t="s">
        <v>1448</v>
      </c>
      <c r="K6884" s="11" t="s">
        <v>61</v>
      </c>
      <c r="L6884" s="11" t="s">
        <v>27</v>
      </c>
      <c r="M6884" s="11" t="s">
        <v>28</v>
      </c>
      <c r="N6884" s="11" t="s">
        <v>197</v>
      </c>
      <c r="O6884" s="11" t="s">
        <v>2470</v>
      </c>
      <c r="P6884" s="11" t="s">
        <v>38</v>
      </c>
      <c r="Q6884" s="20">
        <v>41013.0</v>
      </c>
      <c r="R6884" s="17">
        <f t="shared" si="2"/>
        <v>27.61179794</v>
      </c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>
        <f t="shared" si="8"/>
        <v>1</v>
      </c>
      <c r="AF6884" s="19">
        <f t="shared" si="13"/>
        <v>4</v>
      </c>
      <c r="AG6884" s="9"/>
      <c r="AH6884" s="9"/>
      <c r="AI6884" s="9"/>
    </row>
    <row r="6885" ht="15.0" customHeight="1">
      <c r="A6885" s="11">
        <v>6884.0</v>
      </c>
      <c r="B6885" s="12">
        <f t="shared" si="1103"/>
        <v>41012</v>
      </c>
      <c r="C6885" s="13">
        <v>2012.0</v>
      </c>
      <c r="D6885" s="11" t="s">
        <v>23</v>
      </c>
      <c r="E6885" s="11">
        <v>22.0</v>
      </c>
      <c r="F6885" s="21" t="s">
        <v>119</v>
      </c>
      <c r="G6885" s="15">
        <v>0.1265096359743041</v>
      </c>
      <c r="H6885" s="11" t="s">
        <v>33</v>
      </c>
      <c r="I6885" s="16">
        <v>1.192</v>
      </c>
      <c r="J6885" s="11" t="s">
        <v>1448</v>
      </c>
      <c r="K6885" s="11" t="s">
        <v>61</v>
      </c>
      <c r="L6885" s="11" t="s">
        <v>27</v>
      </c>
      <c r="M6885" s="11" t="s">
        <v>28</v>
      </c>
      <c r="N6885" s="11" t="s">
        <v>42</v>
      </c>
      <c r="O6885" s="11" t="s">
        <v>1129</v>
      </c>
      <c r="P6885" s="11" t="s">
        <v>38</v>
      </c>
      <c r="Q6885" s="20">
        <v>41013.0</v>
      </c>
      <c r="R6885" s="17">
        <f t="shared" si="2"/>
        <v>5.160581071</v>
      </c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>
        <f t="shared" si="8"/>
        <v>1</v>
      </c>
      <c r="AF6885" s="19">
        <f t="shared" si="13"/>
        <v>4</v>
      </c>
      <c r="AG6885" s="9"/>
      <c r="AH6885" s="9"/>
      <c r="AI6885" s="9"/>
    </row>
    <row r="6886" ht="15.0" customHeight="1">
      <c r="A6886" s="11">
        <v>6885.0</v>
      </c>
      <c r="B6886" s="12">
        <f t="shared" si="1103"/>
        <v>41012</v>
      </c>
      <c r="C6886" s="13">
        <v>2012.0</v>
      </c>
      <c r="D6886" s="11" t="s">
        <v>32</v>
      </c>
      <c r="E6886" s="11">
        <v>48.0</v>
      </c>
      <c r="F6886" s="21" t="s">
        <v>299</v>
      </c>
      <c r="G6886" s="15">
        <v>0.094876350540216</v>
      </c>
      <c r="H6886" s="11" t="s">
        <v>33</v>
      </c>
      <c r="I6886" s="16">
        <v>7.384</v>
      </c>
      <c r="J6886" s="11" t="s">
        <v>1831</v>
      </c>
      <c r="K6886" s="11" t="s">
        <v>61</v>
      </c>
      <c r="L6886" s="11" t="s">
        <v>27</v>
      </c>
      <c r="M6886" s="11" t="s">
        <v>28</v>
      </c>
      <c r="N6886" s="11" t="s">
        <v>197</v>
      </c>
      <c r="O6886" s="11" t="s">
        <v>301</v>
      </c>
      <c r="P6886" s="11" t="s">
        <v>38</v>
      </c>
      <c r="Q6886" s="20">
        <v>41014.0</v>
      </c>
      <c r="R6886" s="17">
        <f t="shared" si="2"/>
        <v>35.76686613</v>
      </c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>
        <f t="shared" si="8"/>
        <v>1</v>
      </c>
      <c r="AF6886" s="19">
        <f t="shared" si="13"/>
        <v>4</v>
      </c>
      <c r="AG6886" s="9"/>
      <c r="AH6886" s="9"/>
      <c r="AI6886" s="9"/>
    </row>
    <row r="6887" ht="15.0" customHeight="1">
      <c r="A6887" s="11">
        <v>6886.0</v>
      </c>
      <c r="B6887" s="12">
        <f t="shared" si="1103"/>
        <v>41012</v>
      </c>
      <c r="C6887" s="13">
        <v>2012.0</v>
      </c>
      <c r="D6887" s="11" t="s">
        <v>32</v>
      </c>
      <c r="E6887" s="11">
        <v>9.0</v>
      </c>
      <c r="F6887" s="21" t="s">
        <v>1261</v>
      </c>
      <c r="G6887" s="15">
        <v>0.02536090518923148</v>
      </c>
      <c r="H6887" s="11" t="s">
        <v>24</v>
      </c>
      <c r="I6887" s="16">
        <v>3.2</v>
      </c>
      <c r="J6887" s="11" t="s">
        <v>1831</v>
      </c>
      <c r="K6887" s="11" t="s">
        <v>61</v>
      </c>
      <c r="L6887" s="11" t="s">
        <v>27</v>
      </c>
      <c r="M6887" s="11" t="s">
        <v>66</v>
      </c>
      <c r="N6887" s="11" t="s">
        <v>67</v>
      </c>
      <c r="O6887" s="11" t="s">
        <v>1262</v>
      </c>
      <c r="P6887" s="11" t="s">
        <v>38</v>
      </c>
      <c r="Q6887" s="20">
        <v>41014.0</v>
      </c>
      <c r="R6887" s="17">
        <f t="shared" si="2"/>
        <v>6.335154116</v>
      </c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>
        <f t="shared" si="8"/>
        <v>1</v>
      </c>
      <c r="AF6887" s="19">
        <f t="shared" si="13"/>
        <v>4</v>
      </c>
      <c r="AG6887" s="9"/>
      <c r="AH6887" s="9"/>
      <c r="AI6887" s="9"/>
    </row>
    <row r="6888" ht="15.0" customHeight="1">
      <c r="A6888" s="11">
        <v>6887.0</v>
      </c>
      <c r="B6888" s="12">
        <f t="shared" si="1103"/>
        <v>41012</v>
      </c>
      <c r="C6888" s="13">
        <v>2012.0</v>
      </c>
      <c r="D6888" s="11" t="s">
        <v>32</v>
      </c>
      <c r="E6888" s="11">
        <v>30.0</v>
      </c>
      <c r="F6888" s="21" t="s">
        <v>137</v>
      </c>
      <c r="G6888" s="15">
        <v>0.06859130010371557</v>
      </c>
      <c r="H6888" s="11" t="s">
        <v>45</v>
      </c>
      <c r="I6888" s="16">
        <v>53.016</v>
      </c>
      <c r="J6888" s="11" t="s">
        <v>1961</v>
      </c>
      <c r="K6888" s="11" t="s">
        <v>65</v>
      </c>
      <c r="L6888" s="11" t="s">
        <v>27</v>
      </c>
      <c r="M6888" s="11" t="s">
        <v>49</v>
      </c>
      <c r="N6888" s="11" t="s">
        <v>156</v>
      </c>
      <c r="O6888" s="11" t="s">
        <v>1553</v>
      </c>
      <c r="P6888" s="11" t="s">
        <v>87</v>
      </c>
      <c r="Q6888" s="20">
        <v>41014.0</v>
      </c>
      <c r="R6888" s="17">
        <f t="shared" si="2"/>
        <v>314.1492519</v>
      </c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>
        <f t="shared" si="8"/>
        <v>1</v>
      </c>
      <c r="AF6888" s="19">
        <f t="shared" si="13"/>
        <v>5</v>
      </c>
      <c r="AG6888" s="9"/>
      <c r="AH6888" s="9"/>
      <c r="AI6888" s="9"/>
    </row>
    <row r="6889" ht="15.0" customHeight="1">
      <c r="A6889" s="11">
        <v>6888.0</v>
      </c>
      <c r="B6889" s="12">
        <f t="shared" si="1103"/>
        <v>41012</v>
      </c>
      <c r="C6889" s="13">
        <v>2012.0</v>
      </c>
      <c r="D6889" s="11" t="s">
        <v>32</v>
      </c>
      <c r="E6889" s="11">
        <v>43.0</v>
      </c>
      <c r="F6889" s="21" t="s">
        <v>1828</v>
      </c>
      <c r="G6889" s="15">
        <v>0.07450792137385116</v>
      </c>
      <c r="H6889" s="11" t="s">
        <v>33</v>
      </c>
      <c r="I6889" s="16">
        <v>15.991999999999999</v>
      </c>
      <c r="J6889" s="11" t="s">
        <v>2452</v>
      </c>
      <c r="K6889" s="11" t="s">
        <v>65</v>
      </c>
      <c r="L6889" s="11" t="s">
        <v>41</v>
      </c>
      <c r="M6889" s="11" t="s">
        <v>28</v>
      </c>
      <c r="N6889" s="11" t="s">
        <v>42</v>
      </c>
      <c r="O6889" s="11" t="s">
        <v>1830</v>
      </c>
      <c r="P6889" s="11" t="s">
        <v>38</v>
      </c>
      <c r="Q6889" s="20">
        <v>41014.0</v>
      </c>
      <c r="R6889" s="17">
        <f t="shared" si="2"/>
        <v>1243.961307</v>
      </c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>
        <f t="shared" si="8"/>
        <v>3</v>
      </c>
      <c r="AF6889" s="19">
        <f t="shared" si="13"/>
        <v>5</v>
      </c>
      <c r="AG6889" s="9"/>
      <c r="AH6889" s="9"/>
      <c r="AI6889" s="9"/>
    </row>
    <row r="6890" ht="15.0" customHeight="1">
      <c r="A6890" s="11">
        <v>6889.0</v>
      </c>
      <c r="B6890" s="12">
        <f t="shared" si="1103"/>
        <v>41012</v>
      </c>
      <c r="C6890" s="13">
        <v>2012.0</v>
      </c>
      <c r="D6890" s="11" t="s">
        <v>32</v>
      </c>
      <c r="E6890" s="11">
        <v>46.0</v>
      </c>
      <c r="F6890" s="21" t="s">
        <v>304</v>
      </c>
      <c r="G6890" s="15">
        <v>0.05323073588381933</v>
      </c>
      <c r="H6890" s="11" t="s">
        <v>33</v>
      </c>
      <c r="I6890" s="16">
        <v>4.184</v>
      </c>
      <c r="J6890" s="11" t="s">
        <v>2452</v>
      </c>
      <c r="K6890" s="11" t="s">
        <v>65</v>
      </c>
      <c r="L6890" s="11" t="s">
        <v>41</v>
      </c>
      <c r="M6890" s="11" t="s">
        <v>28</v>
      </c>
      <c r="N6890" s="11" t="s">
        <v>42</v>
      </c>
      <c r="O6890" s="11" t="s">
        <v>2410</v>
      </c>
      <c r="P6890" s="11" t="s">
        <v>38</v>
      </c>
      <c r="Q6890" s="20">
        <v>41014.0</v>
      </c>
      <c r="R6890" s="17">
        <f t="shared" si="2"/>
        <v>46.50151918</v>
      </c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>
        <f t="shared" si="8"/>
        <v>3</v>
      </c>
      <c r="AF6890" s="19">
        <f t="shared" si="13"/>
        <v>5</v>
      </c>
      <c r="AG6890" s="9"/>
      <c r="AH6890" s="9"/>
      <c r="AI6890" s="9"/>
    </row>
    <row r="6891" ht="15.0" customHeight="1">
      <c r="A6891" s="11">
        <v>6890.0</v>
      </c>
      <c r="B6891" s="12">
        <f t="shared" si="1103"/>
        <v>41012</v>
      </c>
      <c r="C6891" s="13">
        <v>2012.0</v>
      </c>
      <c r="D6891" s="11" t="s">
        <v>32</v>
      </c>
      <c r="E6891" s="11">
        <v>41.0</v>
      </c>
      <c r="F6891" s="21" t="s">
        <v>1710</v>
      </c>
      <c r="G6891" s="15">
        <v>0.04107418596844571</v>
      </c>
      <c r="H6891" s="11" t="s">
        <v>45</v>
      </c>
      <c r="I6891" s="16">
        <v>41.552</v>
      </c>
      <c r="J6891" s="11" t="s">
        <v>2452</v>
      </c>
      <c r="K6891" s="11" t="s">
        <v>65</v>
      </c>
      <c r="L6891" s="11" t="s">
        <v>41</v>
      </c>
      <c r="M6891" s="11" t="s">
        <v>49</v>
      </c>
      <c r="N6891" s="11" t="s">
        <v>85</v>
      </c>
      <c r="O6891" s="11" t="s">
        <v>1711</v>
      </c>
      <c r="P6891" s="11" t="s">
        <v>87</v>
      </c>
      <c r="Q6891" s="20">
        <v>41014.0</v>
      </c>
      <c r="R6891" s="17">
        <f t="shared" si="2"/>
        <v>211.2014927</v>
      </c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>
        <f t="shared" si="8"/>
        <v>3</v>
      </c>
      <c r="AF6891" s="19">
        <f t="shared" si="13"/>
        <v>5</v>
      </c>
      <c r="AG6891" s="9"/>
      <c r="AH6891" s="9"/>
      <c r="AI6891" s="9"/>
    </row>
    <row r="6892" ht="15.0" customHeight="1">
      <c r="A6892" s="11">
        <v>6891.0</v>
      </c>
      <c r="B6892" s="12">
        <f t="shared" si="1103"/>
        <v>41012</v>
      </c>
      <c r="C6892" s="13">
        <v>2012.0</v>
      </c>
      <c r="D6892" s="11" t="s">
        <v>102</v>
      </c>
      <c r="E6892" s="11">
        <v>1.0</v>
      </c>
      <c r="F6892" s="21" t="s">
        <v>1479</v>
      </c>
      <c r="G6892" s="15">
        <v>0.058823529411764726</v>
      </c>
      <c r="H6892" s="11" t="s">
        <v>33</v>
      </c>
      <c r="I6892" s="16">
        <v>3.6</v>
      </c>
      <c r="J6892" s="11" t="s">
        <v>611</v>
      </c>
      <c r="K6892" s="11" t="s">
        <v>65</v>
      </c>
      <c r="L6892" s="11" t="s">
        <v>48</v>
      </c>
      <c r="M6892" s="11" t="s">
        <v>28</v>
      </c>
      <c r="N6892" s="11" t="s">
        <v>197</v>
      </c>
      <c r="O6892" s="11" t="s">
        <v>1480</v>
      </c>
      <c r="P6892" s="11" t="s">
        <v>38</v>
      </c>
      <c r="Q6892" s="20">
        <v>41014.0</v>
      </c>
      <c r="R6892" s="17">
        <f t="shared" si="2"/>
        <v>0.8470588235</v>
      </c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>
        <f t="shared" si="8"/>
        <v>4</v>
      </c>
      <c r="AF6892" s="19">
        <f t="shared" si="13"/>
        <v>5</v>
      </c>
      <c r="AG6892" s="9"/>
      <c r="AH6892" s="9"/>
      <c r="AI6892" s="9"/>
    </row>
    <row r="6893" ht="15.0" customHeight="1">
      <c r="A6893" s="11">
        <v>6892.0</v>
      </c>
      <c r="B6893" s="12">
        <f t="shared" si="1103"/>
        <v>41012</v>
      </c>
      <c r="C6893" s="13">
        <v>2012.0</v>
      </c>
      <c r="D6893" s="11" t="s">
        <v>102</v>
      </c>
      <c r="E6893" s="11">
        <v>36.0</v>
      </c>
      <c r="F6893" s="21" t="s">
        <v>322</v>
      </c>
      <c r="G6893" s="15">
        <v>0.08506744868035201</v>
      </c>
      <c r="H6893" s="11" t="s">
        <v>33</v>
      </c>
      <c r="I6893" s="16">
        <v>2.3920000000000003</v>
      </c>
      <c r="J6893" s="11" t="s">
        <v>611</v>
      </c>
      <c r="K6893" s="11" t="s">
        <v>65</v>
      </c>
      <c r="L6893" s="11" t="s">
        <v>48</v>
      </c>
      <c r="M6893" s="11" t="s">
        <v>28</v>
      </c>
      <c r="N6893" s="11" t="s">
        <v>42</v>
      </c>
      <c r="O6893" s="11" t="s">
        <v>2146</v>
      </c>
      <c r="P6893" s="11" t="s">
        <v>38</v>
      </c>
      <c r="Q6893" s="20">
        <v>41014.0</v>
      </c>
      <c r="R6893" s="17">
        <f t="shared" si="2"/>
        <v>26.54036345</v>
      </c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>
        <f t="shared" si="8"/>
        <v>4</v>
      </c>
      <c r="AF6893" s="19">
        <f t="shared" si="13"/>
        <v>5</v>
      </c>
      <c r="AG6893" s="9"/>
      <c r="AH6893" s="9"/>
      <c r="AI6893" s="9"/>
    </row>
    <row r="6894" ht="15.0" customHeight="1">
      <c r="A6894" s="11">
        <v>6893.0</v>
      </c>
      <c r="B6894" s="12">
        <f t="shared" si="1103"/>
        <v>41012</v>
      </c>
      <c r="C6894" s="13">
        <v>2012.0</v>
      </c>
      <c r="D6894" s="11" t="s">
        <v>102</v>
      </c>
      <c r="E6894" s="11">
        <v>11.0</v>
      </c>
      <c r="F6894" s="21" t="s">
        <v>122</v>
      </c>
      <c r="G6894" s="15">
        <v>0.043168809622563316</v>
      </c>
      <c r="H6894" s="11" t="s">
        <v>33</v>
      </c>
      <c r="I6894" s="16">
        <v>0.792</v>
      </c>
      <c r="J6894" s="11" t="s">
        <v>611</v>
      </c>
      <c r="K6894" s="11" t="s">
        <v>65</v>
      </c>
      <c r="L6894" s="11" t="s">
        <v>48</v>
      </c>
      <c r="M6894" s="11" t="s">
        <v>66</v>
      </c>
      <c r="N6894" s="11" t="s">
        <v>80</v>
      </c>
      <c r="O6894" s="11" t="s">
        <v>1854</v>
      </c>
      <c r="P6894" s="11" t="s">
        <v>58</v>
      </c>
      <c r="Q6894" s="20">
        <v>41014.0</v>
      </c>
      <c r="R6894" s="17">
        <f t="shared" si="2"/>
        <v>9.958699029</v>
      </c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>
        <f t="shared" si="8"/>
        <v>4</v>
      </c>
      <c r="AF6894" s="19">
        <f t="shared" si="13"/>
        <v>5</v>
      </c>
      <c r="AG6894" s="9"/>
      <c r="AH6894" s="9"/>
      <c r="AI6894" s="9"/>
    </row>
    <row r="6895" ht="15.0" customHeight="1">
      <c r="A6895" s="11">
        <v>6894.0</v>
      </c>
      <c r="B6895" s="12">
        <f t="shared" si="1103"/>
        <v>41012</v>
      </c>
      <c r="C6895" s="13">
        <v>2012.0</v>
      </c>
      <c r="D6895" s="11" t="s">
        <v>32</v>
      </c>
      <c r="E6895" s="11">
        <v>4.0</v>
      </c>
      <c r="F6895" s="21" t="s">
        <v>1015</v>
      </c>
      <c r="G6895" s="15">
        <v>0.1131288343558283</v>
      </c>
      <c r="H6895" s="11" t="s">
        <v>33</v>
      </c>
      <c r="I6895" s="16">
        <v>6.112</v>
      </c>
      <c r="J6895" s="11" t="s">
        <v>1199</v>
      </c>
      <c r="K6895" s="11" t="s">
        <v>83</v>
      </c>
      <c r="L6895" s="11" t="s">
        <v>36</v>
      </c>
      <c r="M6895" s="11" t="s">
        <v>28</v>
      </c>
      <c r="N6895" s="11" t="s">
        <v>56</v>
      </c>
      <c r="O6895" s="11" t="s">
        <v>1016</v>
      </c>
      <c r="P6895" s="11" t="s">
        <v>38</v>
      </c>
      <c r="Q6895" s="20">
        <v>41014.0</v>
      </c>
      <c r="R6895" s="17">
        <f t="shared" si="2"/>
        <v>3.270780859</v>
      </c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>
        <f t="shared" si="8"/>
        <v>2</v>
      </c>
      <c r="AF6895" s="19" t="b">
        <f t="shared" si="13"/>
        <v>0</v>
      </c>
      <c r="AG6895" s="9"/>
      <c r="AH6895" s="9"/>
      <c r="AI6895" s="9"/>
    </row>
    <row r="6896" ht="15.0" customHeight="1">
      <c r="A6896" s="11">
        <v>6895.0</v>
      </c>
      <c r="B6896" s="12">
        <f t="shared" si="1103"/>
        <v>41012</v>
      </c>
      <c r="C6896" s="13">
        <v>2012.0</v>
      </c>
      <c r="D6896" s="11" t="s">
        <v>32</v>
      </c>
      <c r="E6896" s="11">
        <v>34.0</v>
      </c>
      <c r="F6896" s="21" t="s">
        <v>1195</v>
      </c>
      <c r="G6896" s="15">
        <v>0.10939096267190566</v>
      </c>
      <c r="H6896" s="11" t="s">
        <v>33</v>
      </c>
      <c r="I6896" s="16">
        <v>4.5280000000000005</v>
      </c>
      <c r="J6896" s="11" t="s">
        <v>1199</v>
      </c>
      <c r="K6896" s="11" t="s">
        <v>83</v>
      </c>
      <c r="L6896" s="11" t="s">
        <v>36</v>
      </c>
      <c r="M6896" s="11" t="s">
        <v>28</v>
      </c>
      <c r="N6896" s="11" t="s">
        <v>56</v>
      </c>
      <c r="O6896" s="11" t="s">
        <v>79</v>
      </c>
      <c r="P6896" s="11" t="s">
        <v>38</v>
      </c>
      <c r="Q6896" s="20">
        <v>41014.0</v>
      </c>
      <c r="R6896" s="17">
        <f t="shared" si="2"/>
        <v>19.83564448</v>
      </c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>
        <f t="shared" si="8"/>
        <v>2</v>
      </c>
      <c r="AF6896" s="19" t="b">
        <f t="shared" si="13"/>
        <v>0</v>
      </c>
      <c r="AG6896" s="9"/>
      <c r="AH6896" s="9"/>
      <c r="AI6896" s="9"/>
    </row>
    <row r="6897" ht="15.0" customHeight="1">
      <c r="A6897" s="11">
        <v>6896.0</v>
      </c>
      <c r="B6897" s="12">
        <f t="shared" si="1103"/>
        <v>41012</v>
      </c>
      <c r="C6897" s="13">
        <v>2012.0</v>
      </c>
      <c r="D6897" s="11" t="s">
        <v>23</v>
      </c>
      <c r="E6897" s="11">
        <v>30.0</v>
      </c>
      <c r="F6897" s="21" t="s">
        <v>178</v>
      </c>
      <c r="G6897" s="15">
        <v>0.03598347502972997</v>
      </c>
      <c r="H6897" s="11" t="s">
        <v>33</v>
      </c>
      <c r="I6897" s="16">
        <v>7.040000000000001</v>
      </c>
      <c r="J6897" s="11" t="s">
        <v>1257</v>
      </c>
      <c r="K6897" s="11" t="s">
        <v>35</v>
      </c>
      <c r="L6897" s="11" t="s">
        <v>36</v>
      </c>
      <c r="M6897" s="11" t="s">
        <v>66</v>
      </c>
      <c r="N6897" s="11" t="s">
        <v>80</v>
      </c>
      <c r="O6897" s="11" t="s">
        <v>812</v>
      </c>
      <c r="P6897" s="11" t="s">
        <v>38</v>
      </c>
      <c r="Q6897" s="20">
        <v>41014.0</v>
      </c>
      <c r="R6897" s="17">
        <f t="shared" si="2"/>
        <v>71.3926538</v>
      </c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>
        <f t="shared" si="8"/>
        <v>2</v>
      </c>
      <c r="AF6897" s="19">
        <f t="shared" si="13"/>
        <v>2</v>
      </c>
      <c r="AG6897" s="9"/>
      <c r="AH6897" s="9"/>
      <c r="AI6897" s="9"/>
    </row>
    <row r="6898" ht="15.0" customHeight="1">
      <c r="A6898" s="11">
        <v>6897.0</v>
      </c>
      <c r="B6898" s="12">
        <f t="shared" ref="B6898:B6906" si="1104">DATE(2012,12,31)-261</f>
        <v>41013</v>
      </c>
      <c r="C6898" s="13">
        <v>2012.0</v>
      </c>
      <c r="D6898" s="11" t="s">
        <v>39</v>
      </c>
      <c r="E6898" s="11">
        <v>4.0</v>
      </c>
      <c r="F6898" s="21" t="s">
        <v>122</v>
      </c>
      <c r="G6898" s="15">
        <v>0.04783092324805351</v>
      </c>
      <c r="H6898" s="11" t="s">
        <v>33</v>
      </c>
      <c r="I6898" s="16">
        <v>2.0</v>
      </c>
      <c r="J6898" s="11" t="s">
        <v>403</v>
      </c>
      <c r="K6898" s="11" t="s">
        <v>61</v>
      </c>
      <c r="L6898" s="11" t="s">
        <v>48</v>
      </c>
      <c r="M6898" s="11" t="s">
        <v>66</v>
      </c>
      <c r="N6898" s="11" t="s">
        <v>80</v>
      </c>
      <c r="O6898" s="11" t="s">
        <v>1381</v>
      </c>
      <c r="P6898" s="11" t="s">
        <v>58</v>
      </c>
      <c r="Q6898" s="20">
        <v>41014.0</v>
      </c>
      <c r="R6898" s="17">
        <f t="shared" si="2"/>
        <v>4.09432703</v>
      </c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>
        <f t="shared" si="8"/>
        <v>4</v>
      </c>
      <c r="AF6898" s="19">
        <f t="shared" si="13"/>
        <v>4</v>
      </c>
      <c r="AG6898" s="9"/>
      <c r="AH6898" s="9"/>
      <c r="AI6898" s="9"/>
    </row>
    <row r="6899" ht="15.0" customHeight="1">
      <c r="A6899" s="11">
        <v>6898.0</v>
      </c>
      <c r="B6899" s="12">
        <f t="shared" si="1104"/>
        <v>41013</v>
      </c>
      <c r="C6899" s="13">
        <v>2012.0</v>
      </c>
      <c r="D6899" s="11" t="s">
        <v>32</v>
      </c>
      <c r="E6899" s="11">
        <v>4.0</v>
      </c>
      <c r="F6899" s="21" t="s">
        <v>2210</v>
      </c>
      <c r="G6899" s="15">
        <v>0.10126582278481021</v>
      </c>
      <c r="H6899" s="11" t="s">
        <v>33</v>
      </c>
      <c r="I6899" s="16">
        <v>0.6000000000000001</v>
      </c>
      <c r="J6899" s="11" t="s">
        <v>2099</v>
      </c>
      <c r="K6899" s="11" t="s">
        <v>83</v>
      </c>
      <c r="L6899" s="11" t="s">
        <v>48</v>
      </c>
      <c r="M6899" s="11" t="s">
        <v>28</v>
      </c>
      <c r="N6899" s="11" t="s">
        <v>197</v>
      </c>
      <c r="O6899" s="11" t="s">
        <v>2265</v>
      </c>
      <c r="P6899" s="11" t="s">
        <v>31</v>
      </c>
      <c r="Q6899" s="20">
        <v>41014.0</v>
      </c>
      <c r="R6899" s="17">
        <f t="shared" si="2"/>
        <v>1.437974684</v>
      </c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>
        <f t="shared" si="8"/>
        <v>4</v>
      </c>
      <c r="AF6899" s="19" t="b">
        <f t="shared" si="13"/>
        <v>0</v>
      </c>
      <c r="AG6899" s="9"/>
      <c r="AH6899" s="9"/>
      <c r="AI6899" s="9"/>
    </row>
    <row r="6900" ht="15.0" customHeight="1">
      <c r="A6900" s="11">
        <v>6899.0</v>
      </c>
      <c r="B6900" s="12">
        <f t="shared" si="1104"/>
        <v>41013</v>
      </c>
      <c r="C6900" s="13">
        <v>2012.0</v>
      </c>
      <c r="D6900" s="11" t="s">
        <v>39</v>
      </c>
      <c r="E6900" s="11">
        <v>4.0</v>
      </c>
      <c r="F6900" s="21" t="s">
        <v>979</v>
      </c>
      <c r="G6900" s="15">
        <v>0.06791841754637698</v>
      </c>
      <c r="H6900" s="11" t="s">
        <v>33</v>
      </c>
      <c r="I6900" s="16">
        <v>9.432</v>
      </c>
      <c r="J6900" s="11" t="s">
        <v>491</v>
      </c>
      <c r="K6900" s="11" t="s">
        <v>47</v>
      </c>
      <c r="L6900" s="11" t="s">
        <v>48</v>
      </c>
      <c r="M6900" s="11" t="s">
        <v>28</v>
      </c>
      <c r="N6900" s="11" t="s">
        <v>197</v>
      </c>
      <c r="O6900" s="11" t="s">
        <v>980</v>
      </c>
      <c r="P6900" s="11" t="s">
        <v>75</v>
      </c>
      <c r="Q6900" s="20">
        <v>41015.0</v>
      </c>
      <c r="R6900" s="17">
        <f t="shared" si="2"/>
        <v>61.76718231</v>
      </c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>
        <f t="shared" si="8"/>
        <v>4</v>
      </c>
      <c r="AF6900" s="19">
        <f t="shared" si="13"/>
        <v>3</v>
      </c>
      <c r="AG6900" s="9"/>
      <c r="AH6900" s="9"/>
      <c r="AI6900" s="9"/>
    </row>
    <row r="6901" ht="15.0" customHeight="1">
      <c r="A6901" s="11">
        <v>6900.0</v>
      </c>
      <c r="B6901" s="12">
        <f t="shared" si="1104"/>
        <v>41013</v>
      </c>
      <c r="C6901" s="13">
        <v>2012.0</v>
      </c>
      <c r="D6901" s="11" t="s">
        <v>102</v>
      </c>
      <c r="E6901" s="11">
        <v>25.0</v>
      </c>
      <c r="F6901" s="21" t="s">
        <v>319</v>
      </c>
      <c r="G6901" s="15">
        <v>0.11668757841907147</v>
      </c>
      <c r="H6901" s="11" t="s">
        <v>33</v>
      </c>
      <c r="I6901" s="16">
        <v>0.4</v>
      </c>
      <c r="J6901" s="11" t="s">
        <v>535</v>
      </c>
      <c r="K6901" s="11" t="s">
        <v>35</v>
      </c>
      <c r="L6901" s="11" t="s">
        <v>41</v>
      </c>
      <c r="M6901" s="11" t="s">
        <v>28</v>
      </c>
      <c r="N6901" s="11" t="s">
        <v>188</v>
      </c>
      <c r="O6901" s="11" t="s">
        <v>1198</v>
      </c>
      <c r="P6901" s="11" t="s">
        <v>38</v>
      </c>
      <c r="Q6901" s="20">
        <v>41015.0</v>
      </c>
      <c r="R6901" s="17">
        <f t="shared" si="2"/>
        <v>8.214805521</v>
      </c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>
        <f t="shared" si="8"/>
        <v>3</v>
      </c>
      <c r="AF6901" s="19">
        <f t="shared" si="13"/>
        <v>2</v>
      </c>
      <c r="AG6901" s="9"/>
      <c r="AH6901" s="9"/>
      <c r="AI6901" s="9"/>
    </row>
    <row r="6902" ht="15.0" customHeight="1">
      <c r="A6902" s="11">
        <v>6901.0</v>
      </c>
      <c r="B6902" s="12">
        <f t="shared" si="1104"/>
        <v>41013</v>
      </c>
      <c r="C6902" s="13">
        <v>2012.0</v>
      </c>
      <c r="D6902" s="11" t="s">
        <v>102</v>
      </c>
      <c r="E6902" s="11">
        <v>19.0</v>
      </c>
      <c r="F6902" s="21" t="s">
        <v>2089</v>
      </c>
      <c r="G6902" s="15">
        <v>0.07500748542543634</v>
      </c>
      <c r="H6902" s="11" t="s">
        <v>45</v>
      </c>
      <c r="I6902" s="16">
        <v>36.56</v>
      </c>
      <c r="J6902" s="11" t="s">
        <v>535</v>
      </c>
      <c r="K6902" s="11" t="s">
        <v>35</v>
      </c>
      <c r="L6902" s="11" t="s">
        <v>41</v>
      </c>
      <c r="M6902" s="11" t="s">
        <v>49</v>
      </c>
      <c r="N6902" s="11" t="s">
        <v>85</v>
      </c>
      <c r="O6902" s="11" t="s">
        <v>2090</v>
      </c>
      <c r="P6902" s="11" t="s">
        <v>87</v>
      </c>
      <c r="Q6902" s="20">
        <v>41015.0</v>
      </c>
      <c r="R6902" s="17">
        <f t="shared" si="2"/>
        <v>787.8531244</v>
      </c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>
        <f t="shared" si="8"/>
        <v>3</v>
      </c>
      <c r="AF6902" s="19">
        <f t="shared" si="13"/>
        <v>2</v>
      </c>
      <c r="AG6902" s="9"/>
      <c r="AH6902" s="9"/>
      <c r="AI6902" s="9"/>
    </row>
    <row r="6903" ht="15.0" customHeight="1">
      <c r="A6903" s="11">
        <v>6902.0</v>
      </c>
      <c r="B6903" s="12">
        <f t="shared" si="1104"/>
        <v>41013</v>
      </c>
      <c r="C6903" s="13">
        <v>2012.0</v>
      </c>
      <c r="D6903" s="11" t="s">
        <v>32</v>
      </c>
      <c r="E6903" s="11">
        <v>38.0</v>
      </c>
      <c r="F6903" s="21" t="s">
        <v>473</v>
      </c>
      <c r="G6903" s="15">
        <v>0.02307100743399128</v>
      </c>
      <c r="H6903" s="11" t="s">
        <v>24</v>
      </c>
      <c r="I6903" s="16">
        <v>8.200000000000001</v>
      </c>
      <c r="J6903" s="11" t="s">
        <v>588</v>
      </c>
      <c r="K6903" s="11" t="s">
        <v>47</v>
      </c>
      <c r="L6903" s="11" t="s">
        <v>27</v>
      </c>
      <c r="M6903" s="11" t="s">
        <v>66</v>
      </c>
      <c r="N6903" s="11" t="s">
        <v>67</v>
      </c>
      <c r="O6903" s="11" t="s">
        <v>2008</v>
      </c>
      <c r="P6903" s="11" t="s">
        <v>38</v>
      </c>
      <c r="Q6903" s="20">
        <v>41015.0</v>
      </c>
      <c r="R6903" s="17">
        <f t="shared" si="2"/>
        <v>35.16944373</v>
      </c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>
        <f t="shared" si="8"/>
        <v>1</v>
      </c>
      <c r="AF6903" s="19">
        <f t="shared" si="13"/>
        <v>3</v>
      </c>
      <c r="AG6903" s="9"/>
      <c r="AH6903" s="9"/>
      <c r="AI6903" s="9"/>
    </row>
    <row r="6904" ht="15.0" customHeight="1">
      <c r="A6904" s="11">
        <v>6903.0</v>
      </c>
      <c r="B6904" s="12">
        <f t="shared" si="1104"/>
        <v>41013</v>
      </c>
      <c r="C6904" s="13">
        <v>2012.0</v>
      </c>
      <c r="D6904" s="11" t="s">
        <v>32</v>
      </c>
      <c r="E6904" s="11">
        <v>19.0</v>
      </c>
      <c r="F6904" s="21" t="s">
        <v>1760</v>
      </c>
      <c r="G6904" s="15">
        <v>0.08478114478114465</v>
      </c>
      <c r="H6904" s="11" t="s">
        <v>33</v>
      </c>
      <c r="I6904" s="16">
        <v>1.592</v>
      </c>
      <c r="J6904" s="11" t="s">
        <v>1744</v>
      </c>
      <c r="K6904" s="11" t="s">
        <v>61</v>
      </c>
      <c r="L6904" s="11" t="s">
        <v>36</v>
      </c>
      <c r="M6904" s="11" t="s">
        <v>66</v>
      </c>
      <c r="N6904" s="11" t="s">
        <v>67</v>
      </c>
      <c r="O6904" s="11" t="s">
        <v>1762</v>
      </c>
      <c r="P6904" s="11" t="s">
        <v>99</v>
      </c>
      <c r="Q6904" s="20">
        <v>41015.0</v>
      </c>
      <c r="R6904" s="17">
        <f t="shared" si="2"/>
        <v>13.82712646</v>
      </c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>
        <f t="shared" si="8"/>
        <v>2</v>
      </c>
      <c r="AF6904" s="19">
        <f t="shared" si="13"/>
        <v>4</v>
      </c>
      <c r="AG6904" s="9"/>
      <c r="AH6904" s="9"/>
      <c r="AI6904" s="9"/>
    </row>
    <row r="6905" ht="15.0" customHeight="1">
      <c r="A6905" s="11">
        <v>6904.0</v>
      </c>
      <c r="B6905" s="12">
        <f t="shared" si="1104"/>
        <v>41013</v>
      </c>
      <c r="C6905" s="13">
        <v>2012.0</v>
      </c>
      <c r="D6905" s="11" t="s">
        <v>32</v>
      </c>
      <c r="E6905" s="11">
        <v>6.0</v>
      </c>
      <c r="F6905" s="21" t="s">
        <v>1659</v>
      </c>
      <c r="G6905" s="15">
        <v>0.007201735357917433</v>
      </c>
      <c r="H6905" s="11" t="s">
        <v>33</v>
      </c>
      <c r="I6905" s="16">
        <v>1.368</v>
      </c>
      <c r="J6905" s="11" t="s">
        <v>1744</v>
      </c>
      <c r="K6905" s="11" t="s">
        <v>61</v>
      </c>
      <c r="L6905" s="11" t="s">
        <v>36</v>
      </c>
      <c r="M6905" s="11" t="s">
        <v>28</v>
      </c>
      <c r="N6905" s="11" t="s">
        <v>56</v>
      </c>
      <c r="O6905" s="11" t="s">
        <v>2342</v>
      </c>
      <c r="P6905" s="11" t="s">
        <v>58</v>
      </c>
      <c r="Q6905" s="20">
        <v>41015.0</v>
      </c>
      <c r="R6905" s="17">
        <f t="shared" si="2"/>
        <v>0.3296090239</v>
      </c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>
        <f t="shared" si="8"/>
        <v>2</v>
      </c>
      <c r="AF6905" s="19">
        <f t="shared" si="13"/>
        <v>4</v>
      </c>
      <c r="AG6905" s="9"/>
      <c r="AH6905" s="9"/>
      <c r="AI6905" s="9"/>
    </row>
    <row r="6906" ht="15.0" customHeight="1">
      <c r="A6906" s="11">
        <v>6905.0</v>
      </c>
      <c r="B6906" s="12">
        <f t="shared" si="1104"/>
        <v>41013</v>
      </c>
      <c r="C6906" s="13">
        <v>2012.0</v>
      </c>
      <c r="D6906" s="11" t="s">
        <v>32</v>
      </c>
      <c r="E6906" s="11">
        <v>5.0</v>
      </c>
      <c r="F6906" s="21" t="s">
        <v>290</v>
      </c>
      <c r="G6906" s="15">
        <v>0.03259911894273121</v>
      </c>
      <c r="H6906" s="11" t="s">
        <v>24</v>
      </c>
      <c r="I6906" s="16">
        <v>0.96</v>
      </c>
      <c r="J6906" s="11" t="s">
        <v>1744</v>
      </c>
      <c r="K6906" s="11" t="s">
        <v>61</v>
      </c>
      <c r="L6906" s="11" t="s">
        <v>36</v>
      </c>
      <c r="M6906" s="11" t="s">
        <v>28</v>
      </c>
      <c r="N6906" s="11" t="s">
        <v>62</v>
      </c>
      <c r="O6906" s="11" t="s">
        <v>63</v>
      </c>
      <c r="P6906" s="11" t="s">
        <v>58</v>
      </c>
      <c r="Q6906" s="20">
        <v>41015.0</v>
      </c>
      <c r="R6906" s="17">
        <f t="shared" si="2"/>
        <v>0.715876652</v>
      </c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>
        <f t="shared" si="8"/>
        <v>2</v>
      </c>
      <c r="AF6906" s="19">
        <f t="shared" si="13"/>
        <v>4</v>
      </c>
      <c r="AG6906" s="9"/>
      <c r="AH6906" s="9"/>
      <c r="AI6906" s="9"/>
    </row>
    <row r="6907" ht="15.0" customHeight="1">
      <c r="A6907" s="11">
        <v>6906.0</v>
      </c>
      <c r="B6907" s="12">
        <f t="shared" ref="B6907:B6915" si="1105">DATE(2012,12,31)-260</f>
        <v>41014</v>
      </c>
      <c r="C6907" s="13">
        <v>2012.0</v>
      </c>
      <c r="D6907" s="11" t="s">
        <v>44</v>
      </c>
      <c r="E6907" s="11">
        <v>15.0</v>
      </c>
      <c r="F6907" s="21" t="s">
        <v>178</v>
      </c>
      <c r="G6907" s="15">
        <v>0.058866135760333595</v>
      </c>
      <c r="H6907" s="11" t="s">
        <v>33</v>
      </c>
      <c r="I6907" s="16">
        <v>4.208</v>
      </c>
      <c r="J6907" s="11" t="s">
        <v>796</v>
      </c>
      <c r="K6907" s="11" t="s">
        <v>117</v>
      </c>
      <c r="L6907" s="11" t="s">
        <v>48</v>
      </c>
      <c r="M6907" s="11" t="s">
        <v>66</v>
      </c>
      <c r="N6907" s="11" t="s">
        <v>80</v>
      </c>
      <c r="O6907" s="11" t="s">
        <v>1081</v>
      </c>
      <c r="P6907" s="11" t="s">
        <v>38</v>
      </c>
      <c r="Q6907" s="20">
        <v>41015.0</v>
      </c>
      <c r="R6907" s="17">
        <f t="shared" si="2"/>
        <v>58.4368839</v>
      </c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>
        <f t="shared" si="8"/>
        <v>4</v>
      </c>
      <c r="AF6907" s="19" t="b">
        <f t="shared" si="13"/>
        <v>0</v>
      </c>
      <c r="AG6907" s="9"/>
      <c r="AH6907" s="9"/>
      <c r="AI6907" s="9"/>
    </row>
    <row r="6908" ht="15.0" customHeight="1">
      <c r="A6908" s="11">
        <v>6907.0</v>
      </c>
      <c r="B6908" s="12">
        <f t="shared" si="1105"/>
        <v>41014</v>
      </c>
      <c r="C6908" s="13">
        <v>2012.0</v>
      </c>
      <c r="D6908" s="11" t="s">
        <v>44</v>
      </c>
      <c r="E6908" s="11">
        <v>18.0</v>
      </c>
      <c r="F6908" s="21" t="s">
        <v>1156</v>
      </c>
      <c r="G6908" s="15">
        <v>0.011075257478294425</v>
      </c>
      <c r="H6908" s="11" t="s">
        <v>33</v>
      </c>
      <c r="I6908" s="16">
        <v>7.192</v>
      </c>
      <c r="J6908" s="11" t="s">
        <v>796</v>
      </c>
      <c r="K6908" s="11" t="s">
        <v>117</v>
      </c>
      <c r="L6908" s="11" t="s">
        <v>48</v>
      </c>
      <c r="M6908" s="11" t="s">
        <v>66</v>
      </c>
      <c r="N6908" s="11" t="s">
        <v>80</v>
      </c>
      <c r="O6908" s="11" t="s">
        <v>2237</v>
      </c>
      <c r="P6908" s="11" t="s">
        <v>38</v>
      </c>
      <c r="Q6908" s="20">
        <v>41015.0</v>
      </c>
      <c r="R6908" s="17">
        <f t="shared" si="2"/>
        <v>31.15904079</v>
      </c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>
        <f t="shared" si="8"/>
        <v>4</v>
      </c>
      <c r="AF6908" s="19" t="b">
        <f t="shared" si="13"/>
        <v>0</v>
      </c>
      <c r="AG6908" s="9"/>
      <c r="AH6908" s="9"/>
      <c r="AI6908" s="9"/>
    </row>
    <row r="6909" ht="15.0" customHeight="1">
      <c r="A6909" s="11">
        <v>6908.0</v>
      </c>
      <c r="B6909" s="12">
        <f t="shared" si="1105"/>
        <v>41014</v>
      </c>
      <c r="C6909" s="13">
        <v>2012.0</v>
      </c>
      <c r="D6909" s="11" t="s">
        <v>23</v>
      </c>
      <c r="E6909" s="11">
        <v>5.0</v>
      </c>
      <c r="F6909" s="21" t="s">
        <v>126</v>
      </c>
      <c r="G6909" s="15">
        <v>0.1238390092879256</v>
      </c>
      <c r="H6909" s="11" t="s">
        <v>33</v>
      </c>
      <c r="I6909" s="16">
        <v>3.8000000000000003</v>
      </c>
      <c r="J6909" s="11" t="s">
        <v>116</v>
      </c>
      <c r="K6909" s="11" t="s">
        <v>117</v>
      </c>
      <c r="L6909" s="11" t="s">
        <v>48</v>
      </c>
      <c r="M6909" s="11" t="s">
        <v>28</v>
      </c>
      <c r="N6909" s="11" t="s">
        <v>56</v>
      </c>
      <c r="O6909" s="11" t="s">
        <v>313</v>
      </c>
      <c r="P6909" s="11" t="s">
        <v>38</v>
      </c>
      <c r="Q6909" s="20">
        <v>41015.0</v>
      </c>
      <c r="R6909" s="17">
        <f t="shared" si="2"/>
        <v>3.504643963</v>
      </c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>
        <f t="shared" si="8"/>
        <v>4</v>
      </c>
      <c r="AF6909" s="19" t="b">
        <f t="shared" si="13"/>
        <v>0</v>
      </c>
      <c r="AG6909" s="9"/>
      <c r="AH6909" s="9"/>
      <c r="AI6909" s="9"/>
    </row>
    <row r="6910" ht="15.0" customHeight="1">
      <c r="A6910" s="11">
        <v>6909.0</v>
      </c>
      <c r="B6910" s="12">
        <f t="shared" si="1105"/>
        <v>41014</v>
      </c>
      <c r="C6910" s="13">
        <v>2012.0</v>
      </c>
      <c r="D6910" s="11" t="s">
        <v>102</v>
      </c>
      <c r="E6910" s="11">
        <v>29.0</v>
      </c>
      <c r="F6910" s="21" t="s">
        <v>1166</v>
      </c>
      <c r="G6910" s="15">
        <v>0.035410292072322755</v>
      </c>
      <c r="H6910" s="11" t="s">
        <v>24</v>
      </c>
      <c r="I6910" s="16">
        <v>2.408</v>
      </c>
      <c r="J6910" s="11" t="s">
        <v>1294</v>
      </c>
      <c r="K6910" s="11" t="s">
        <v>47</v>
      </c>
      <c r="L6910" s="11" t="s">
        <v>27</v>
      </c>
      <c r="M6910" s="11" t="s">
        <v>28</v>
      </c>
      <c r="N6910" s="11" t="s">
        <v>56</v>
      </c>
      <c r="O6910" s="11" t="s">
        <v>2060</v>
      </c>
      <c r="P6910" s="11" t="s">
        <v>58</v>
      </c>
      <c r="Q6910" s="20">
        <v>41016.0</v>
      </c>
      <c r="R6910" s="17">
        <f t="shared" si="2"/>
        <v>4.911690793</v>
      </c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>
        <f t="shared" si="8"/>
        <v>1</v>
      </c>
      <c r="AF6910" s="19">
        <f t="shared" si="13"/>
        <v>3</v>
      </c>
      <c r="AG6910" s="9"/>
      <c r="AH6910" s="9"/>
      <c r="AI6910" s="9"/>
    </row>
    <row r="6911" ht="15.0" customHeight="1">
      <c r="A6911" s="11">
        <v>6910.0</v>
      </c>
      <c r="B6911" s="12">
        <f t="shared" si="1105"/>
        <v>41014</v>
      </c>
      <c r="C6911" s="13">
        <v>2012.0</v>
      </c>
      <c r="D6911" s="11" t="s">
        <v>32</v>
      </c>
      <c r="E6911" s="11">
        <v>10.0</v>
      </c>
      <c r="F6911" s="21" t="s">
        <v>238</v>
      </c>
      <c r="G6911" s="15">
        <v>0.09360134003350085</v>
      </c>
      <c r="H6911" s="11" t="s">
        <v>33</v>
      </c>
      <c r="I6911" s="16">
        <v>4.112</v>
      </c>
      <c r="J6911" s="11" t="s">
        <v>1393</v>
      </c>
      <c r="K6911" s="11" t="s">
        <v>117</v>
      </c>
      <c r="L6911" s="11" t="s">
        <v>36</v>
      </c>
      <c r="M6911" s="11" t="s">
        <v>66</v>
      </c>
      <c r="N6911" s="11" t="s">
        <v>67</v>
      </c>
      <c r="O6911" s="11" t="s">
        <v>240</v>
      </c>
      <c r="P6911" s="11" t="s">
        <v>99</v>
      </c>
      <c r="Q6911" s="20">
        <v>41016.0</v>
      </c>
      <c r="R6911" s="17">
        <f t="shared" si="2"/>
        <v>5.064955712</v>
      </c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>
        <f t="shared" si="8"/>
        <v>2</v>
      </c>
      <c r="AF6911" s="19" t="b">
        <f t="shared" si="13"/>
        <v>0</v>
      </c>
      <c r="AG6911" s="9"/>
      <c r="AH6911" s="9"/>
      <c r="AI6911" s="9"/>
    </row>
    <row r="6912" ht="15.0" customHeight="1">
      <c r="A6912" s="11">
        <v>6911.0</v>
      </c>
      <c r="B6912" s="12">
        <f t="shared" si="1105"/>
        <v>41014</v>
      </c>
      <c r="C6912" s="13">
        <v>2012.0</v>
      </c>
      <c r="D6912" s="11" t="s">
        <v>23</v>
      </c>
      <c r="E6912" s="11">
        <v>19.0</v>
      </c>
      <c r="F6912" s="21" t="s">
        <v>103</v>
      </c>
      <c r="G6912" s="15">
        <v>0.0948829953198127</v>
      </c>
      <c r="H6912" s="11" t="s">
        <v>33</v>
      </c>
      <c r="I6912" s="16">
        <v>3.936</v>
      </c>
      <c r="J6912" s="11" t="s">
        <v>2298</v>
      </c>
      <c r="K6912" s="11" t="s">
        <v>117</v>
      </c>
      <c r="L6912" s="11" t="s">
        <v>48</v>
      </c>
      <c r="M6912" s="11" t="s">
        <v>28</v>
      </c>
      <c r="N6912" s="11" t="s">
        <v>42</v>
      </c>
      <c r="O6912" s="11" t="s">
        <v>2543</v>
      </c>
      <c r="P6912" s="11" t="s">
        <v>38</v>
      </c>
      <c r="Q6912" s="20">
        <v>41016.0</v>
      </c>
      <c r="R6912" s="17">
        <f t="shared" si="2"/>
        <v>11.00984324</v>
      </c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>
        <f t="shared" si="8"/>
        <v>4</v>
      </c>
      <c r="AF6912" s="19" t="b">
        <f t="shared" si="13"/>
        <v>0</v>
      </c>
      <c r="AG6912" s="9"/>
      <c r="AH6912" s="9"/>
      <c r="AI6912" s="9"/>
    </row>
    <row r="6913" ht="15.0" customHeight="1">
      <c r="A6913" s="11">
        <v>6912.0</v>
      </c>
      <c r="B6913" s="12">
        <f t="shared" si="1105"/>
        <v>41014</v>
      </c>
      <c r="C6913" s="13">
        <v>2012.0</v>
      </c>
      <c r="D6913" s="11" t="s">
        <v>23</v>
      </c>
      <c r="E6913" s="11">
        <v>20.0</v>
      </c>
      <c r="F6913" s="21" t="s">
        <v>178</v>
      </c>
      <c r="G6913" s="15">
        <v>0.026015795514412573</v>
      </c>
      <c r="H6913" s="11" t="s">
        <v>33</v>
      </c>
      <c r="I6913" s="16">
        <v>7.192</v>
      </c>
      <c r="J6913" s="11" t="s">
        <v>2298</v>
      </c>
      <c r="K6913" s="11" t="s">
        <v>117</v>
      </c>
      <c r="L6913" s="11" t="s">
        <v>48</v>
      </c>
      <c r="M6913" s="11" t="s">
        <v>66</v>
      </c>
      <c r="N6913" s="11" t="s">
        <v>80</v>
      </c>
      <c r="O6913" s="11" t="s">
        <v>1213</v>
      </c>
      <c r="P6913" s="11" t="s">
        <v>38</v>
      </c>
      <c r="Q6913" s="20">
        <v>41016.0</v>
      </c>
      <c r="R6913" s="17">
        <f t="shared" si="2"/>
        <v>34.47592409</v>
      </c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>
        <f t="shared" si="8"/>
        <v>4</v>
      </c>
      <c r="AF6913" s="19" t="b">
        <f t="shared" si="13"/>
        <v>0</v>
      </c>
      <c r="AG6913" s="9"/>
      <c r="AH6913" s="9"/>
      <c r="AI6913" s="9"/>
    </row>
    <row r="6914" ht="15.0" customHeight="1">
      <c r="A6914" s="11">
        <v>6913.0</v>
      </c>
      <c r="B6914" s="12">
        <f t="shared" si="1105"/>
        <v>41014</v>
      </c>
      <c r="C6914" s="13">
        <v>2012.0</v>
      </c>
      <c r="D6914" s="11" t="s">
        <v>39</v>
      </c>
      <c r="E6914" s="11">
        <v>32.0</v>
      </c>
      <c r="F6914" s="21" t="s">
        <v>2219</v>
      </c>
      <c r="G6914" s="15">
        <v>0.021072796934865832</v>
      </c>
      <c r="H6914" s="11" t="s">
        <v>24</v>
      </c>
      <c r="I6914" s="16">
        <v>4.4</v>
      </c>
      <c r="J6914" s="11" t="s">
        <v>2531</v>
      </c>
      <c r="K6914" s="11" t="s">
        <v>35</v>
      </c>
      <c r="L6914" s="11" t="s">
        <v>48</v>
      </c>
      <c r="M6914" s="11" t="s">
        <v>66</v>
      </c>
      <c r="N6914" s="11" t="s">
        <v>67</v>
      </c>
      <c r="O6914" s="11" t="s">
        <v>531</v>
      </c>
      <c r="P6914" s="11" t="s">
        <v>38</v>
      </c>
      <c r="Q6914" s="20">
        <v>41017.0</v>
      </c>
      <c r="R6914" s="17">
        <f t="shared" si="2"/>
        <v>55.99463602</v>
      </c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>
        <f t="shared" si="8"/>
        <v>4</v>
      </c>
      <c r="AF6914" s="19">
        <f t="shared" si="13"/>
        <v>2</v>
      </c>
      <c r="AG6914" s="9"/>
      <c r="AH6914" s="9"/>
      <c r="AI6914" s="9"/>
    </row>
    <row r="6915" ht="15.0" customHeight="1">
      <c r="A6915" s="11">
        <v>6914.0</v>
      </c>
      <c r="B6915" s="12">
        <f t="shared" si="1105"/>
        <v>41014</v>
      </c>
      <c r="C6915" s="13">
        <v>2012.0</v>
      </c>
      <c r="D6915" s="11" t="s">
        <v>39</v>
      </c>
      <c r="E6915" s="11">
        <v>9.0</v>
      </c>
      <c r="F6915" s="21" t="s">
        <v>199</v>
      </c>
      <c r="G6915" s="15">
        <v>0.03965576592082632</v>
      </c>
      <c r="H6915" s="11" t="s">
        <v>33</v>
      </c>
      <c r="I6915" s="16">
        <v>7.192</v>
      </c>
      <c r="J6915" s="11" t="s">
        <v>2531</v>
      </c>
      <c r="K6915" s="11" t="s">
        <v>35</v>
      </c>
      <c r="L6915" s="11" t="s">
        <v>48</v>
      </c>
      <c r="M6915" s="11" t="s">
        <v>28</v>
      </c>
      <c r="N6915" s="11" t="s">
        <v>62</v>
      </c>
      <c r="O6915" s="11" t="s">
        <v>201</v>
      </c>
      <c r="P6915" s="11" t="s">
        <v>99</v>
      </c>
      <c r="Q6915" s="20">
        <v>41017.0</v>
      </c>
      <c r="R6915" s="17">
        <f t="shared" si="2"/>
        <v>4.425266231</v>
      </c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>
        <f t="shared" si="8"/>
        <v>4</v>
      </c>
      <c r="AF6915" s="19">
        <f t="shared" si="13"/>
        <v>2</v>
      </c>
      <c r="AG6915" s="9"/>
      <c r="AH6915" s="9"/>
      <c r="AI6915" s="9"/>
    </row>
    <row r="6916" ht="15.0" customHeight="1">
      <c r="A6916" s="11">
        <v>6915.0</v>
      </c>
      <c r="B6916" s="12">
        <f t="shared" ref="B6916:B6918" si="1106">DATE(2012,12,31)-259</f>
        <v>41015</v>
      </c>
      <c r="C6916" s="13">
        <v>2012.0</v>
      </c>
      <c r="D6916" s="11" t="s">
        <v>32</v>
      </c>
      <c r="E6916" s="11">
        <v>10.0</v>
      </c>
      <c r="F6916" s="21" t="s">
        <v>299</v>
      </c>
      <c r="G6916" s="15">
        <v>0.06498245614035085</v>
      </c>
      <c r="H6916" s="11" t="s">
        <v>33</v>
      </c>
      <c r="I6916" s="16">
        <v>2.9440000000000004</v>
      </c>
      <c r="J6916" s="11" t="s">
        <v>1979</v>
      </c>
      <c r="K6916" s="11" t="s">
        <v>61</v>
      </c>
      <c r="L6916" s="11" t="s">
        <v>48</v>
      </c>
      <c r="M6916" s="11" t="s">
        <v>49</v>
      </c>
      <c r="N6916" s="11" t="s">
        <v>73</v>
      </c>
      <c r="O6916" s="11" t="s">
        <v>1949</v>
      </c>
      <c r="P6916" s="11" t="s">
        <v>58</v>
      </c>
      <c r="Q6916" s="20">
        <v>41017.0</v>
      </c>
      <c r="R6916" s="17">
        <f t="shared" si="2"/>
        <v>5.194957474</v>
      </c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>
        <f t="shared" si="8"/>
        <v>4</v>
      </c>
      <c r="AF6916" s="19">
        <f t="shared" si="13"/>
        <v>4</v>
      </c>
      <c r="AG6916" s="9"/>
      <c r="AH6916" s="9"/>
      <c r="AI6916" s="9"/>
    </row>
    <row r="6917" ht="15.0" customHeight="1">
      <c r="A6917" s="11">
        <v>6916.0</v>
      </c>
      <c r="B6917" s="12">
        <f t="shared" si="1106"/>
        <v>41015</v>
      </c>
      <c r="C6917" s="13">
        <v>2012.0</v>
      </c>
      <c r="D6917" s="11" t="s">
        <v>32</v>
      </c>
      <c r="E6917" s="11">
        <v>13.0</v>
      </c>
      <c r="F6917" s="21" t="s">
        <v>130</v>
      </c>
      <c r="G6917" s="15">
        <v>0.03564889098631431</v>
      </c>
      <c r="H6917" s="11" t="s">
        <v>33</v>
      </c>
      <c r="I6917" s="16">
        <v>6.992000000000001</v>
      </c>
      <c r="J6917" s="11" t="s">
        <v>2101</v>
      </c>
      <c r="K6917" s="11" t="s">
        <v>65</v>
      </c>
      <c r="L6917" s="11" t="s">
        <v>36</v>
      </c>
      <c r="M6917" s="11" t="s">
        <v>28</v>
      </c>
      <c r="N6917" s="11" t="s">
        <v>56</v>
      </c>
      <c r="O6917" s="11" t="s">
        <v>776</v>
      </c>
      <c r="P6917" s="11" t="s">
        <v>38</v>
      </c>
      <c r="Q6917" s="20">
        <v>41017.0</v>
      </c>
      <c r="R6917" s="17">
        <f t="shared" si="2"/>
        <v>14.56941655</v>
      </c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>
        <f t="shared" si="8"/>
        <v>2</v>
      </c>
      <c r="AF6917" s="19">
        <f t="shared" si="13"/>
        <v>5</v>
      </c>
      <c r="AG6917" s="9"/>
      <c r="AH6917" s="9"/>
      <c r="AI6917" s="9"/>
    </row>
    <row r="6918" ht="15.0" customHeight="1">
      <c r="A6918" s="11">
        <v>6917.0</v>
      </c>
      <c r="B6918" s="12">
        <f t="shared" si="1106"/>
        <v>41015</v>
      </c>
      <c r="C6918" s="13">
        <v>2012.0</v>
      </c>
      <c r="D6918" s="11" t="s">
        <v>32</v>
      </c>
      <c r="E6918" s="11">
        <v>23.0</v>
      </c>
      <c r="F6918" s="21" t="s">
        <v>705</v>
      </c>
      <c r="G6918" s="15">
        <v>0.06043956043956028</v>
      </c>
      <c r="H6918" s="11" t="s">
        <v>33</v>
      </c>
      <c r="I6918" s="16">
        <v>0.4</v>
      </c>
      <c r="J6918" s="11" t="s">
        <v>2603</v>
      </c>
      <c r="K6918" s="11" t="s">
        <v>26</v>
      </c>
      <c r="L6918" s="11" t="s">
        <v>41</v>
      </c>
      <c r="M6918" s="11" t="s">
        <v>28</v>
      </c>
      <c r="N6918" s="11" t="s">
        <v>188</v>
      </c>
      <c r="O6918" s="11" t="s">
        <v>706</v>
      </c>
      <c r="P6918" s="11" t="s">
        <v>38</v>
      </c>
      <c r="Q6918" s="20">
        <v>41017.0</v>
      </c>
      <c r="R6918" s="17">
        <f t="shared" si="2"/>
        <v>5.167582418</v>
      </c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>
        <f t="shared" si="8"/>
        <v>3</v>
      </c>
      <c r="AF6918" s="19">
        <f t="shared" si="13"/>
        <v>1</v>
      </c>
      <c r="AG6918" s="9"/>
      <c r="AH6918" s="9"/>
      <c r="AI6918" s="9"/>
    </row>
    <row r="6919" ht="15.0" customHeight="1">
      <c r="A6919" s="11">
        <v>6918.0</v>
      </c>
      <c r="B6919" s="12">
        <f t="shared" ref="B6919:B6925" si="1107">DATE(2012,12,31)-258</f>
        <v>41016</v>
      </c>
      <c r="C6919" s="13">
        <v>2012.0</v>
      </c>
      <c r="D6919" s="11" t="s">
        <v>102</v>
      </c>
      <c r="E6919" s="11">
        <v>5.0</v>
      </c>
      <c r="F6919" s="21" t="s">
        <v>2113</v>
      </c>
      <c r="G6919" s="15">
        <v>0.047480314960629856</v>
      </c>
      <c r="H6919" s="11" t="s">
        <v>33</v>
      </c>
      <c r="I6919" s="16">
        <v>15.991999999999999</v>
      </c>
      <c r="J6919" s="11" t="s">
        <v>2527</v>
      </c>
      <c r="K6919" s="11" t="s">
        <v>61</v>
      </c>
      <c r="L6919" s="11" t="s">
        <v>36</v>
      </c>
      <c r="M6919" s="11" t="s">
        <v>28</v>
      </c>
      <c r="N6919" s="11" t="s">
        <v>236</v>
      </c>
      <c r="O6919" s="11" t="s">
        <v>2170</v>
      </c>
      <c r="P6919" s="11" t="s">
        <v>38</v>
      </c>
      <c r="Q6919" s="20">
        <v>41017.0</v>
      </c>
      <c r="R6919" s="17">
        <f t="shared" si="2"/>
        <v>20.67729732</v>
      </c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>
        <f t="shared" si="8"/>
        <v>2</v>
      </c>
      <c r="AF6919" s="19">
        <f t="shared" si="13"/>
        <v>4</v>
      </c>
      <c r="AG6919" s="9"/>
      <c r="AH6919" s="9"/>
      <c r="AI6919" s="9"/>
    </row>
    <row r="6920" ht="15.0" customHeight="1">
      <c r="A6920" s="11">
        <v>6919.0</v>
      </c>
      <c r="B6920" s="12">
        <f t="shared" si="1107"/>
        <v>41016</v>
      </c>
      <c r="C6920" s="13">
        <v>2012.0</v>
      </c>
      <c r="D6920" s="11" t="s">
        <v>102</v>
      </c>
      <c r="E6920" s="11">
        <v>40.0</v>
      </c>
      <c r="F6920" s="21" t="s">
        <v>178</v>
      </c>
      <c r="G6920" s="15">
        <v>0.09251675430456746</v>
      </c>
      <c r="H6920" s="11" t="s">
        <v>33</v>
      </c>
      <c r="I6920" s="16">
        <v>4.5040000000000004</v>
      </c>
      <c r="J6920" s="11" t="s">
        <v>2358</v>
      </c>
      <c r="K6920" s="11" t="s">
        <v>35</v>
      </c>
      <c r="L6920" s="11" t="s">
        <v>48</v>
      </c>
      <c r="M6920" s="11" t="s">
        <v>66</v>
      </c>
      <c r="N6920" s="11" t="s">
        <v>80</v>
      </c>
      <c r="O6920" s="11" t="s">
        <v>1250</v>
      </c>
      <c r="P6920" s="11" t="s">
        <v>38</v>
      </c>
      <c r="Q6920" s="20">
        <v>41017.0</v>
      </c>
      <c r="R6920" s="17">
        <f t="shared" si="2"/>
        <v>244.2908598</v>
      </c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>
        <f t="shared" si="8"/>
        <v>4</v>
      </c>
      <c r="AF6920" s="19">
        <f t="shared" si="13"/>
        <v>2</v>
      </c>
      <c r="AG6920" s="9"/>
      <c r="AH6920" s="9"/>
      <c r="AI6920" s="9"/>
    </row>
    <row r="6921" ht="15.0" customHeight="1">
      <c r="A6921" s="11">
        <v>6920.0</v>
      </c>
      <c r="B6921" s="12">
        <f t="shared" si="1107"/>
        <v>41016</v>
      </c>
      <c r="C6921" s="13">
        <v>2012.0</v>
      </c>
      <c r="D6921" s="11" t="s">
        <v>39</v>
      </c>
      <c r="E6921" s="11">
        <v>42.0</v>
      </c>
      <c r="F6921" s="21" t="s">
        <v>948</v>
      </c>
      <c r="G6921" s="15">
        <v>0.05281644091546003</v>
      </c>
      <c r="H6921" s="11" t="s">
        <v>33</v>
      </c>
      <c r="I6921" s="16">
        <v>1.192</v>
      </c>
      <c r="J6921" s="11" t="s">
        <v>1829</v>
      </c>
      <c r="K6921" s="11" t="s">
        <v>83</v>
      </c>
      <c r="L6921" s="11" t="s">
        <v>36</v>
      </c>
      <c r="M6921" s="11" t="s">
        <v>28</v>
      </c>
      <c r="N6921" s="11" t="s">
        <v>42</v>
      </c>
      <c r="O6921" s="11" t="s">
        <v>2507</v>
      </c>
      <c r="P6921" s="11" t="s">
        <v>38</v>
      </c>
      <c r="Q6921" s="20">
        <v>41017.0</v>
      </c>
      <c r="R6921" s="17">
        <f t="shared" si="2"/>
        <v>10.71075169</v>
      </c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>
        <f t="shared" si="8"/>
        <v>2</v>
      </c>
      <c r="AF6921" s="19" t="b">
        <f t="shared" si="13"/>
        <v>0</v>
      </c>
      <c r="AG6921" s="9"/>
      <c r="AH6921" s="9"/>
      <c r="AI6921" s="9"/>
    </row>
    <row r="6922" ht="15.0" customHeight="1">
      <c r="A6922" s="11">
        <v>6921.0</v>
      </c>
      <c r="B6922" s="12">
        <f t="shared" si="1107"/>
        <v>41016</v>
      </c>
      <c r="C6922" s="13">
        <v>2012.0</v>
      </c>
      <c r="D6922" s="11" t="s">
        <v>39</v>
      </c>
      <c r="E6922" s="11">
        <v>10.0</v>
      </c>
      <c r="F6922" s="21" t="s">
        <v>93</v>
      </c>
      <c r="G6922" s="15">
        <v>0.0653070683661645</v>
      </c>
      <c r="H6922" s="11" t="s">
        <v>33</v>
      </c>
      <c r="I6922" s="16">
        <v>4.664000000000001</v>
      </c>
      <c r="J6922" s="11" t="s">
        <v>1829</v>
      </c>
      <c r="K6922" s="11" t="s">
        <v>83</v>
      </c>
      <c r="L6922" s="11" t="s">
        <v>36</v>
      </c>
      <c r="M6922" s="11" t="s">
        <v>28</v>
      </c>
      <c r="N6922" s="11" t="s">
        <v>56</v>
      </c>
      <c r="O6922" s="11" t="s">
        <v>95</v>
      </c>
      <c r="P6922" s="11" t="s">
        <v>58</v>
      </c>
      <c r="Q6922" s="20">
        <v>41017.0</v>
      </c>
      <c r="R6922" s="17">
        <f t="shared" si="2"/>
        <v>5.267929363</v>
      </c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>
        <f t="shared" si="8"/>
        <v>2</v>
      </c>
      <c r="AF6922" s="19" t="b">
        <f t="shared" si="13"/>
        <v>0</v>
      </c>
      <c r="AG6922" s="9"/>
      <c r="AH6922" s="9"/>
      <c r="AI6922" s="9"/>
    </row>
    <row r="6923" ht="15.0" customHeight="1">
      <c r="A6923" s="11">
        <v>6922.0</v>
      </c>
      <c r="B6923" s="12">
        <f t="shared" si="1107"/>
        <v>41016</v>
      </c>
      <c r="C6923" s="13">
        <v>2012.0</v>
      </c>
      <c r="D6923" s="11" t="s">
        <v>39</v>
      </c>
      <c r="E6923" s="11">
        <v>32.0</v>
      </c>
      <c r="F6923" s="21" t="s">
        <v>1156</v>
      </c>
      <c r="G6923" s="15">
        <v>0.02050895973022785</v>
      </c>
      <c r="H6923" s="11" t="s">
        <v>33</v>
      </c>
      <c r="I6923" s="16">
        <v>7.192</v>
      </c>
      <c r="J6923" s="11" t="s">
        <v>1829</v>
      </c>
      <c r="K6923" s="11" t="s">
        <v>83</v>
      </c>
      <c r="L6923" s="11" t="s">
        <v>36</v>
      </c>
      <c r="M6923" s="11" t="s">
        <v>66</v>
      </c>
      <c r="N6923" s="11" t="s">
        <v>80</v>
      </c>
      <c r="O6923" s="11" t="s">
        <v>2237</v>
      </c>
      <c r="P6923" s="11" t="s">
        <v>38</v>
      </c>
      <c r="Q6923" s="20">
        <v>41018.0</v>
      </c>
      <c r="R6923" s="17">
        <f t="shared" si="2"/>
        <v>102.4625987</v>
      </c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>
        <f t="shared" si="8"/>
        <v>2</v>
      </c>
      <c r="AF6923" s="19" t="b">
        <f t="shared" si="13"/>
        <v>0</v>
      </c>
      <c r="AG6923" s="9"/>
      <c r="AH6923" s="9"/>
      <c r="AI6923" s="9"/>
    </row>
    <row r="6924" ht="15.0" customHeight="1">
      <c r="A6924" s="11">
        <v>6923.0</v>
      </c>
      <c r="B6924" s="12">
        <f t="shared" si="1107"/>
        <v>41016</v>
      </c>
      <c r="C6924" s="13">
        <v>2012.0</v>
      </c>
      <c r="D6924" s="11" t="s">
        <v>102</v>
      </c>
      <c r="E6924" s="11">
        <v>37.0</v>
      </c>
      <c r="F6924" s="21" t="s">
        <v>2461</v>
      </c>
      <c r="G6924" s="15">
        <v>0.0880876243233035</v>
      </c>
      <c r="H6924" s="11" t="s">
        <v>33</v>
      </c>
      <c r="I6924" s="16">
        <v>10.232</v>
      </c>
      <c r="J6924" s="11" t="s">
        <v>2075</v>
      </c>
      <c r="K6924" s="11" t="s">
        <v>35</v>
      </c>
      <c r="L6924" s="11" t="s">
        <v>48</v>
      </c>
      <c r="M6924" s="11" t="s">
        <v>28</v>
      </c>
      <c r="N6924" s="11" t="s">
        <v>42</v>
      </c>
      <c r="O6924" s="11" t="s">
        <v>2462</v>
      </c>
      <c r="P6924" s="11" t="s">
        <v>38</v>
      </c>
      <c r="Q6924" s="20">
        <v>41018.0</v>
      </c>
      <c r="R6924" s="17">
        <f t="shared" si="2"/>
        <v>63.8046851</v>
      </c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>
        <f t="shared" si="8"/>
        <v>4</v>
      </c>
      <c r="AF6924" s="19">
        <f t="shared" si="13"/>
        <v>2</v>
      </c>
      <c r="AG6924" s="9"/>
      <c r="AH6924" s="9"/>
      <c r="AI6924" s="9"/>
    </row>
    <row r="6925" ht="15.0" customHeight="1">
      <c r="A6925" s="11">
        <v>6924.0</v>
      </c>
      <c r="B6925" s="12">
        <f t="shared" si="1107"/>
        <v>41016</v>
      </c>
      <c r="C6925" s="13">
        <v>2012.0</v>
      </c>
      <c r="D6925" s="11" t="s">
        <v>23</v>
      </c>
      <c r="E6925" s="11">
        <v>42.0</v>
      </c>
      <c r="F6925" s="21" t="s">
        <v>304</v>
      </c>
      <c r="G6925" s="15">
        <v>0.03144249512670565</v>
      </c>
      <c r="H6925" s="11" t="s">
        <v>33</v>
      </c>
      <c r="I6925" s="16">
        <v>1.192</v>
      </c>
      <c r="J6925" s="11" t="s">
        <v>2012</v>
      </c>
      <c r="K6925" s="11" t="s">
        <v>61</v>
      </c>
      <c r="L6925" s="11" t="s">
        <v>41</v>
      </c>
      <c r="M6925" s="11" t="s">
        <v>28</v>
      </c>
      <c r="N6925" s="11" t="s">
        <v>42</v>
      </c>
      <c r="O6925" s="11" t="s">
        <v>2377</v>
      </c>
      <c r="P6925" s="11" t="s">
        <v>38</v>
      </c>
      <c r="Q6925" s="20">
        <v>41018.0</v>
      </c>
      <c r="R6925" s="17">
        <f t="shared" si="2"/>
        <v>24.99653209</v>
      </c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>
        <f t="shared" si="8"/>
        <v>3</v>
      </c>
      <c r="AF6925" s="19">
        <f t="shared" si="13"/>
        <v>4</v>
      </c>
      <c r="AG6925" s="9"/>
      <c r="AH6925" s="9"/>
      <c r="AI6925" s="9"/>
    </row>
    <row r="6926" ht="15.0" customHeight="1">
      <c r="A6926" s="11">
        <v>6925.0</v>
      </c>
      <c r="B6926" s="12">
        <f t="shared" ref="B6926:B6932" si="1108">DATE(2012,12,31)-257</f>
        <v>41017</v>
      </c>
      <c r="C6926" s="13">
        <v>2012.0</v>
      </c>
      <c r="D6926" s="11" t="s">
        <v>44</v>
      </c>
      <c r="E6926" s="11">
        <v>7.0</v>
      </c>
      <c r="F6926" s="21" t="s">
        <v>158</v>
      </c>
      <c r="G6926" s="15">
        <v>0.05134099616858237</v>
      </c>
      <c r="H6926" s="11" t="s">
        <v>33</v>
      </c>
      <c r="I6926" s="16">
        <v>4.720000000000001</v>
      </c>
      <c r="J6926" s="11" t="s">
        <v>1594</v>
      </c>
      <c r="K6926" s="11" t="s">
        <v>61</v>
      </c>
      <c r="L6926" s="11" t="s">
        <v>48</v>
      </c>
      <c r="M6926" s="11" t="s">
        <v>28</v>
      </c>
      <c r="N6926" s="11" t="s">
        <v>56</v>
      </c>
      <c r="O6926" s="11" t="s">
        <v>1849</v>
      </c>
      <c r="P6926" s="11" t="s">
        <v>38</v>
      </c>
      <c r="Q6926" s="20">
        <v>41019.0</v>
      </c>
      <c r="R6926" s="17">
        <f t="shared" si="2"/>
        <v>2.54240613</v>
      </c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>
        <f t="shared" si="8"/>
        <v>4</v>
      </c>
      <c r="AF6926" s="19">
        <f t="shared" si="13"/>
        <v>4</v>
      </c>
      <c r="AG6926" s="9"/>
      <c r="AH6926" s="9"/>
      <c r="AI6926" s="9"/>
    </row>
    <row r="6927" ht="15.0" customHeight="1">
      <c r="A6927" s="11">
        <v>6926.0</v>
      </c>
      <c r="B6927" s="12">
        <f t="shared" si="1108"/>
        <v>41017</v>
      </c>
      <c r="C6927" s="13">
        <v>2012.0</v>
      </c>
      <c r="D6927" s="11" t="s">
        <v>23</v>
      </c>
      <c r="E6927" s="11">
        <v>1.0</v>
      </c>
      <c r="F6927" s="21" t="s">
        <v>322</v>
      </c>
      <c r="G6927" s="15">
        <v>0.13128205128205128</v>
      </c>
      <c r="H6927" s="11" t="s">
        <v>33</v>
      </c>
      <c r="I6927" s="16">
        <v>4.952000000000001</v>
      </c>
      <c r="J6927" s="11" t="s">
        <v>1490</v>
      </c>
      <c r="K6927" s="11" t="s">
        <v>61</v>
      </c>
      <c r="L6927" s="11" t="s">
        <v>48</v>
      </c>
      <c r="M6927" s="11" t="s">
        <v>28</v>
      </c>
      <c r="N6927" s="11" t="s">
        <v>42</v>
      </c>
      <c r="O6927" s="11" t="s">
        <v>324</v>
      </c>
      <c r="P6927" s="11" t="s">
        <v>38</v>
      </c>
      <c r="Q6927" s="20">
        <v>41019.0</v>
      </c>
      <c r="R6927" s="17">
        <f t="shared" si="2"/>
        <v>1.779134359</v>
      </c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>
        <f t="shared" si="8"/>
        <v>4</v>
      </c>
      <c r="AF6927" s="19">
        <f t="shared" si="13"/>
        <v>4</v>
      </c>
      <c r="AG6927" s="9"/>
      <c r="AH6927" s="9"/>
      <c r="AI6927" s="9"/>
    </row>
    <row r="6928" ht="15.0" customHeight="1">
      <c r="A6928" s="11">
        <v>6927.0</v>
      </c>
      <c r="B6928" s="12">
        <f t="shared" si="1108"/>
        <v>41017</v>
      </c>
      <c r="C6928" s="13">
        <v>2012.0</v>
      </c>
      <c r="D6928" s="11" t="s">
        <v>23</v>
      </c>
      <c r="E6928" s="11">
        <v>11.0</v>
      </c>
      <c r="F6928" s="21" t="s">
        <v>192</v>
      </c>
      <c r="G6928" s="15">
        <v>0.029607793075004402</v>
      </c>
      <c r="H6928" s="11" t="s">
        <v>33</v>
      </c>
      <c r="I6928" s="16">
        <v>15.991999999999999</v>
      </c>
      <c r="J6928" s="11" t="s">
        <v>1490</v>
      </c>
      <c r="K6928" s="11" t="s">
        <v>61</v>
      </c>
      <c r="L6928" s="11" t="s">
        <v>48</v>
      </c>
      <c r="M6928" s="11" t="s">
        <v>28</v>
      </c>
      <c r="N6928" s="11" t="s">
        <v>42</v>
      </c>
      <c r="O6928" s="11" t="s">
        <v>194</v>
      </c>
      <c r="P6928" s="11" t="s">
        <v>38</v>
      </c>
      <c r="Q6928" s="20">
        <v>41019.0</v>
      </c>
      <c r="R6928" s="17">
        <f t="shared" si="2"/>
        <v>292.5810135</v>
      </c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>
        <f t="shared" si="8"/>
        <v>4</v>
      </c>
      <c r="AF6928" s="19">
        <f t="shared" si="13"/>
        <v>4</v>
      </c>
      <c r="AG6928" s="9"/>
      <c r="AH6928" s="9"/>
      <c r="AI6928" s="9"/>
    </row>
    <row r="6929" ht="15.0" customHeight="1">
      <c r="A6929" s="11">
        <v>6928.0</v>
      </c>
      <c r="B6929" s="12">
        <f t="shared" si="1108"/>
        <v>41017</v>
      </c>
      <c r="C6929" s="13">
        <v>2012.0</v>
      </c>
      <c r="D6929" s="11" t="s">
        <v>23</v>
      </c>
      <c r="E6929" s="11">
        <v>16.0</v>
      </c>
      <c r="F6929" s="21" t="s">
        <v>290</v>
      </c>
      <c r="G6929" s="15">
        <v>0.09572692793931718</v>
      </c>
      <c r="H6929" s="11" t="s">
        <v>33</v>
      </c>
      <c r="I6929" s="16">
        <v>4.328</v>
      </c>
      <c r="J6929" s="11" t="s">
        <v>1490</v>
      </c>
      <c r="K6929" s="11" t="s">
        <v>61</v>
      </c>
      <c r="L6929" s="11" t="s">
        <v>48</v>
      </c>
      <c r="M6929" s="11" t="s">
        <v>28</v>
      </c>
      <c r="N6929" s="11" t="s">
        <v>42</v>
      </c>
      <c r="O6929" s="11" t="s">
        <v>1475</v>
      </c>
      <c r="P6929" s="11" t="s">
        <v>38</v>
      </c>
      <c r="Q6929" s="20">
        <v>41019.0</v>
      </c>
      <c r="R6929" s="17">
        <f t="shared" si="2"/>
        <v>6.847155702</v>
      </c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>
        <f t="shared" si="8"/>
        <v>4</v>
      </c>
      <c r="AF6929" s="19">
        <f t="shared" si="13"/>
        <v>4</v>
      </c>
      <c r="AG6929" s="9"/>
      <c r="AH6929" s="9"/>
      <c r="AI6929" s="9"/>
    </row>
    <row r="6930" ht="15.0" customHeight="1">
      <c r="A6930" s="11">
        <v>6929.0</v>
      </c>
      <c r="B6930" s="12">
        <f t="shared" si="1108"/>
        <v>41017</v>
      </c>
      <c r="C6930" s="13">
        <v>2012.0</v>
      </c>
      <c r="D6930" s="11" t="s">
        <v>39</v>
      </c>
      <c r="E6930" s="11">
        <v>1.0</v>
      </c>
      <c r="F6930" s="21" t="s">
        <v>687</v>
      </c>
      <c r="G6930" s="15">
        <v>0.03520630395184918</v>
      </c>
      <c r="H6930" s="11" t="s">
        <v>33</v>
      </c>
      <c r="I6930" s="16">
        <v>11.192</v>
      </c>
      <c r="J6930" s="11" t="s">
        <v>930</v>
      </c>
      <c r="K6930" s="11" t="s">
        <v>61</v>
      </c>
      <c r="L6930" s="11" t="s">
        <v>27</v>
      </c>
      <c r="M6930" s="11" t="s">
        <v>66</v>
      </c>
      <c r="N6930" s="11" t="s">
        <v>69</v>
      </c>
      <c r="O6930" s="11" t="s">
        <v>688</v>
      </c>
      <c r="P6930" s="11" t="s">
        <v>75</v>
      </c>
      <c r="Q6930" s="20">
        <v>41020.0</v>
      </c>
      <c r="R6930" s="17">
        <f t="shared" si="2"/>
        <v>68.62384601</v>
      </c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>
        <f t="shared" si="8"/>
        <v>1</v>
      </c>
      <c r="AF6930" s="19">
        <f t="shared" si="13"/>
        <v>4</v>
      </c>
      <c r="AG6930" s="9"/>
      <c r="AH6930" s="9"/>
      <c r="AI6930" s="9"/>
    </row>
    <row r="6931" ht="15.0" customHeight="1">
      <c r="A6931" s="11">
        <v>6930.0</v>
      </c>
      <c r="B6931" s="12">
        <f t="shared" si="1108"/>
        <v>41017</v>
      </c>
      <c r="C6931" s="13">
        <v>2012.0</v>
      </c>
      <c r="D6931" s="11" t="s">
        <v>23</v>
      </c>
      <c r="E6931" s="11">
        <v>44.0</v>
      </c>
      <c r="F6931" s="21" t="s">
        <v>810</v>
      </c>
      <c r="G6931" s="15">
        <v>0.03196172248803824</v>
      </c>
      <c r="H6931" s="11" t="s">
        <v>33</v>
      </c>
      <c r="I6931" s="16">
        <v>5.968</v>
      </c>
      <c r="J6931" s="11" t="s">
        <v>945</v>
      </c>
      <c r="K6931" s="11" t="s">
        <v>65</v>
      </c>
      <c r="L6931" s="11" t="s">
        <v>27</v>
      </c>
      <c r="M6931" s="11" t="s">
        <v>28</v>
      </c>
      <c r="N6931" s="11" t="s">
        <v>29</v>
      </c>
      <c r="O6931" s="11" t="s">
        <v>1813</v>
      </c>
      <c r="P6931" s="11" t="s">
        <v>38</v>
      </c>
      <c r="Q6931" s="20">
        <v>41020.0</v>
      </c>
      <c r="R6931" s="17">
        <f t="shared" si="2"/>
        <v>15.51958967</v>
      </c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>
        <f t="shared" si="8"/>
        <v>1</v>
      </c>
      <c r="AF6931" s="19">
        <f t="shared" si="13"/>
        <v>5</v>
      </c>
      <c r="AG6931" s="9"/>
      <c r="AH6931" s="9"/>
      <c r="AI6931" s="9"/>
    </row>
    <row r="6932" ht="15.0" customHeight="1">
      <c r="A6932" s="11">
        <v>6931.0</v>
      </c>
      <c r="B6932" s="12">
        <f t="shared" si="1108"/>
        <v>41017</v>
      </c>
      <c r="C6932" s="13">
        <v>2012.0</v>
      </c>
      <c r="D6932" s="11" t="s">
        <v>39</v>
      </c>
      <c r="E6932" s="11">
        <v>48.0</v>
      </c>
      <c r="F6932" s="21" t="s">
        <v>1573</v>
      </c>
      <c r="G6932" s="15">
        <v>0.06982665125788978</v>
      </c>
      <c r="H6932" s="11" t="s">
        <v>33</v>
      </c>
      <c r="I6932" s="16">
        <v>4.752000000000001</v>
      </c>
      <c r="J6932" s="11" t="s">
        <v>1020</v>
      </c>
      <c r="K6932" s="11" t="s">
        <v>47</v>
      </c>
      <c r="L6932" s="11" t="s">
        <v>27</v>
      </c>
      <c r="M6932" s="11" t="s">
        <v>28</v>
      </c>
      <c r="N6932" s="11" t="s">
        <v>197</v>
      </c>
      <c r="O6932" s="11" t="s">
        <v>1574</v>
      </c>
      <c r="P6932" s="11" t="s">
        <v>75</v>
      </c>
      <c r="Q6932" s="20">
        <v>41020.0</v>
      </c>
      <c r="R6932" s="17">
        <f t="shared" si="2"/>
        <v>73.0632562</v>
      </c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>
        <f t="shared" si="8"/>
        <v>1</v>
      </c>
      <c r="AF6932" s="19">
        <f t="shared" si="13"/>
        <v>3</v>
      </c>
      <c r="AG6932" s="9"/>
      <c r="AH6932" s="9"/>
      <c r="AI6932" s="9"/>
    </row>
    <row r="6933" ht="15.0" customHeight="1">
      <c r="A6933" s="11">
        <v>6932.0</v>
      </c>
      <c r="B6933" s="12">
        <f>DATE(2012,12,31)-255</f>
        <v>41019</v>
      </c>
      <c r="C6933" s="13">
        <v>2012.0</v>
      </c>
      <c r="D6933" s="11" t="s">
        <v>102</v>
      </c>
      <c r="E6933" s="11">
        <v>32.0</v>
      </c>
      <c r="F6933" s="21" t="s">
        <v>1219</v>
      </c>
      <c r="G6933" s="15">
        <v>0.022682649400647455</v>
      </c>
      <c r="H6933" s="11" t="s">
        <v>33</v>
      </c>
      <c r="I6933" s="16">
        <v>6.5760000000000005</v>
      </c>
      <c r="J6933" s="11" t="s">
        <v>721</v>
      </c>
      <c r="K6933" s="11" t="s">
        <v>61</v>
      </c>
      <c r="L6933" s="11" t="s">
        <v>41</v>
      </c>
      <c r="M6933" s="11" t="s">
        <v>28</v>
      </c>
      <c r="N6933" s="11" t="s">
        <v>29</v>
      </c>
      <c r="O6933" s="11" t="s">
        <v>1735</v>
      </c>
      <c r="P6933" s="11" t="s">
        <v>38</v>
      </c>
      <c r="Q6933" s="20">
        <v>41020.0</v>
      </c>
      <c r="R6933" s="17">
        <f t="shared" si="2"/>
        <v>25.335975</v>
      </c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>
        <f t="shared" si="8"/>
        <v>3</v>
      </c>
      <c r="AF6933" s="19">
        <f t="shared" si="13"/>
        <v>4</v>
      </c>
      <c r="AG6933" s="9"/>
      <c r="AH6933" s="9"/>
      <c r="AI6933" s="9"/>
    </row>
    <row r="6934" ht="15.0" customHeight="1">
      <c r="A6934" s="11">
        <v>6933.0</v>
      </c>
      <c r="B6934" s="12">
        <f t="shared" ref="B6934:B6938" si="1109">DATE(2012,12,31)-254</f>
        <v>41020</v>
      </c>
      <c r="C6934" s="13">
        <v>2012.0</v>
      </c>
      <c r="D6934" s="11" t="s">
        <v>32</v>
      </c>
      <c r="E6934" s="11">
        <v>7.0</v>
      </c>
      <c r="F6934" s="21" t="s">
        <v>128</v>
      </c>
      <c r="G6934" s="15">
        <v>0.012516674077367708</v>
      </c>
      <c r="H6934" s="11" t="s">
        <v>33</v>
      </c>
      <c r="I6934" s="16">
        <v>7.040000000000001</v>
      </c>
      <c r="J6934" s="11" t="s">
        <v>1802</v>
      </c>
      <c r="K6934" s="11" t="s">
        <v>61</v>
      </c>
      <c r="L6934" s="11" t="s">
        <v>48</v>
      </c>
      <c r="M6934" s="11" t="s">
        <v>66</v>
      </c>
      <c r="N6934" s="11" t="s">
        <v>80</v>
      </c>
      <c r="O6934" s="11" t="s">
        <v>765</v>
      </c>
      <c r="P6934" s="11" t="s">
        <v>38</v>
      </c>
      <c r="Q6934" s="20">
        <v>41021.0</v>
      </c>
      <c r="R6934" s="17">
        <f t="shared" si="2"/>
        <v>11.11906225</v>
      </c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>
        <f t="shared" si="8"/>
        <v>4</v>
      </c>
      <c r="AF6934" s="19">
        <f t="shared" si="13"/>
        <v>4</v>
      </c>
      <c r="AG6934" s="9"/>
      <c r="AH6934" s="9"/>
      <c r="AI6934" s="9"/>
    </row>
    <row r="6935" ht="15.0" customHeight="1">
      <c r="A6935" s="11">
        <v>6934.0</v>
      </c>
      <c r="B6935" s="12">
        <f t="shared" si="1109"/>
        <v>41020</v>
      </c>
      <c r="C6935" s="13">
        <v>2012.0</v>
      </c>
      <c r="D6935" s="11" t="s">
        <v>32</v>
      </c>
      <c r="E6935" s="11">
        <v>48.0</v>
      </c>
      <c r="F6935" s="21" t="s">
        <v>115</v>
      </c>
      <c r="G6935" s="15">
        <v>0.07481126212973421</v>
      </c>
      <c r="H6935" s="11" t="s">
        <v>33</v>
      </c>
      <c r="I6935" s="16">
        <v>3.192</v>
      </c>
      <c r="J6935" s="11" t="s">
        <v>448</v>
      </c>
      <c r="K6935" s="11" t="s">
        <v>83</v>
      </c>
      <c r="L6935" s="11" t="s">
        <v>36</v>
      </c>
      <c r="M6935" s="11" t="s">
        <v>28</v>
      </c>
      <c r="N6935" s="11" t="s">
        <v>197</v>
      </c>
      <c r="O6935" s="11" t="s">
        <v>1239</v>
      </c>
      <c r="P6935" s="11" t="s">
        <v>38</v>
      </c>
      <c r="Q6935" s="20">
        <v>41021.0</v>
      </c>
      <c r="R6935" s="17">
        <f t="shared" si="2"/>
        <v>434.3835139</v>
      </c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>
        <f t="shared" si="8"/>
        <v>2</v>
      </c>
      <c r="AF6935" s="19" t="b">
        <f t="shared" si="13"/>
        <v>0</v>
      </c>
      <c r="AG6935" s="9"/>
      <c r="AH6935" s="9"/>
      <c r="AI6935" s="9"/>
    </row>
    <row r="6936" ht="15.0" customHeight="1">
      <c r="A6936" s="11">
        <v>6935.0</v>
      </c>
      <c r="B6936" s="12">
        <f t="shared" si="1109"/>
        <v>41020</v>
      </c>
      <c r="C6936" s="13">
        <v>2012.0</v>
      </c>
      <c r="D6936" s="11" t="s">
        <v>32</v>
      </c>
      <c r="E6936" s="11">
        <v>20.0</v>
      </c>
      <c r="F6936" s="21" t="s">
        <v>743</v>
      </c>
      <c r="G6936" s="15">
        <v>0.051638105767458996</v>
      </c>
      <c r="H6936" s="11" t="s">
        <v>45</v>
      </c>
      <c r="I6936" s="16">
        <v>11.352</v>
      </c>
      <c r="J6936" s="11" t="s">
        <v>448</v>
      </c>
      <c r="K6936" s="11" t="s">
        <v>83</v>
      </c>
      <c r="L6936" s="11" t="s">
        <v>36</v>
      </c>
      <c r="M6936" s="11" t="s">
        <v>49</v>
      </c>
      <c r="N6936" s="11" t="s">
        <v>50</v>
      </c>
      <c r="O6936" s="11" t="s">
        <v>2249</v>
      </c>
      <c r="P6936" s="11" t="s">
        <v>52</v>
      </c>
      <c r="Q6936" s="20">
        <v>41021.0</v>
      </c>
      <c r="R6936" s="17">
        <f t="shared" si="2"/>
        <v>53.15378745</v>
      </c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>
        <f t="shared" si="8"/>
        <v>2</v>
      </c>
      <c r="AF6936" s="19" t="b">
        <f t="shared" si="13"/>
        <v>0</v>
      </c>
      <c r="AG6936" s="9"/>
      <c r="AH6936" s="9"/>
      <c r="AI6936" s="9"/>
    </row>
    <row r="6937" ht="15.0" customHeight="1">
      <c r="A6937" s="11">
        <v>6936.0</v>
      </c>
      <c r="B6937" s="12">
        <f t="shared" si="1109"/>
        <v>41020</v>
      </c>
      <c r="C6937" s="13">
        <v>2012.0</v>
      </c>
      <c r="D6937" s="11" t="s">
        <v>32</v>
      </c>
      <c r="E6937" s="11">
        <v>41.0</v>
      </c>
      <c r="F6937" s="21" t="s">
        <v>948</v>
      </c>
      <c r="G6937" s="15">
        <v>0.05085579196217507</v>
      </c>
      <c r="H6937" s="11" t="s">
        <v>33</v>
      </c>
      <c r="I6937" s="16">
        <v>3.944</v>
      </c>
      <c r="J6937" s="11" t="s">
        <v>448</v>
      </c>
      <c r="K6937" s="11" t="s">
        <v>83</v>
      </c>
      <c r="L6937" s="11" t="s">
        <v>36</v>
      </c>
      <c r="M6937" s="11" t="s">
        <v>66</v>
      </c>
      <c r="N6937" s="11" t="s">
        <v>67</v>
      </c>
      <c r="O6937" s="11" t="s">
        <v>1295</v>
      </c>
      <c r="P6937" s="11" t="s">
        <v>99</v>
      </c>
      <c r="Q6937" s="20">
        <v>41021.0</v>
      </c>
      <c r="R6937" s="17">
        <f t="shared" si="2"/>
        <v>10.2089951</v>
      </c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>
        <f t="shared" si="8"/>
        <v>2</v>
      </c>
      <c r="AF6937" s="19" t="b">
        <f t="shared" si="13"/>
        <v>0</v>
      </c>
      <c r="AG6937" s="9"/>
      <c r="AH6937" s="9"/>
      <c r="AI6937" s="9"/>
    </row>
    <row r="6938" ht="15.0" customHeight="1">
      <c r="A6938" s="11">
        <v>6937.0</v>
      </c>
      <c r="B6938" s="12">
        <f t="shared" si="1109"/>
        <v>41020</v>
      </c>
      <c r="C6938" s="13">
        <v>2012.0</v>
      </c>
      <c r="D6938" s="11" t="s">
        <v>102</v>
      </c>
      <c r="E6938" s="11">
        <v>24.0</v>
      </c>
      <c r="F6938" s="21" t="s">
        <v>130</v>
      </c>
      <c r="G6938" s="15">
        <v>0.07741855567942525</v>
      </c>
      <c r="H6938" s="11" t="s">
        <v>33</v>
      </c>
      <c r="I6938" s="16">
        <v>3.2</v>
      </c>
      <c r="J6938" s="11" t="s">
        <v>1355</v>
      </c>
      <c r="K6938" s="11" t="s">
        <v>61</v>
      </c>
      <c r="L6938" s="11" t="s">
        <v>27</v>
      </c>
      <c r="M6938" s="11" t="s">
        <v>66</v>
      </c>
      <c r="N6938" s="11" t="s">
        <v>67</v>
      </c>
      <c r="O6938" s="11" t="s">
        <v>1464</v>
      </c>
      <c r="P6938" s="11" t="s">
        <v>38</v>
      </c>
      <c r="Q6938" s="20">
        <v>41021.0</v>
      </c>
      <c r="R6938" s="17">
        <f t="shared" si="2"/>
        <v>57.66134027</v>
      </c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>
        <f t="shared" si="8"/>
        <v>1</v>
      </c>
      <c r="AF6938" s="19">
        <f t="shared" si="13"/>
        <v>4</v>
      </c>
      <c r="AG6938" s="9"/>
      <c r="AH6938" s="9"/>
      <c r="AI6938" s="9"/>
    </row>
    <row r="6939" ht="15.0" customHeight="1">
      <c r="A6939" s="11">
        <v>6938.0</v>
      </c>
      <c r="B6939" s="12">
        <f t="shared" ref="B6939:B6945" si="1110">DATE(2012,12,31)-253</f>
        <v>41021</v>
      </c>
      <c r="C6939" s="13">
        <v>2012.0</v>
      </c>
      <c r="D6939" s="11" t="s">
        <v>32</v>
      </c>
      <c r="E6939" s="11">
        <v>1.0</v>
      </c>
      <c r="F6939" s="21" t="s">
        <v>2332</v>
      </c>
      <c r="G6939" s="15">
        <v>0.0704607046070461</v>
      </c>
      <c r="H6939" s="11" t="s">
        <v>33</v>
      </c>
      <c r="I6939" s="16">
        <v>4.4</v>
      </c>
      <c r="J6939" s="11" t="s">
        <v>78</v>
      </c>
      <c r="K6939" s="11" t="s">
        <v>35</v>
      </c>
      <c r="L6939" s="11" t="s">
        <v>36</v>
      </c>
      <c r="M6939" s="11" t="s">
        <v>66</v>
      </c>
      <c r="N6939" s="11" t="s">
        <v>67</v>
      </c>
      <c r="O6939" s="11" t="s">
        <v>2333</v>
      </c>
      <c r="P6939" s="11" t="s">
        <v>38</v>
      </c>
      <c r="Q6939" s="20">
        <v>41023.0</v>
      </c>
      <c r="R6939" s="17">
        <f t="shared" si="2"/>
        <v>2.416802168</v>
      </c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>
        <f t="shared" si="8"/>
        <v>2</v>
      </c>
      <c r="AF6939" s="19">
        <f t="shared" si="13"/>
        <v>2</v>
      </c>
      <c r="AG6939" s="9"/>
      <c r="AH6939" s="9"/>
      <c r="AI6939" s="9"/>
    </row>
    <row r="6940" ht="15.0" customHeight="1">
      <c r="A6940" s="11">
        <v>6939.0</v>
      </c>
      <c r="B6940" s="12">
        <f t="shared" si="1110"/>
        <v>41021</v>
      </c>
      <c r="C6940" s="13">
        <v>2012.0</v>
      </c>
      <c r="D6940" s="11" t="s">
        <v>32</v>
      </c>
      <c r="E6940" s="11">
        <v>18.0</v>
      </c>
      <c r="F6940" s="21" t="s">
        <v>306</v>
      </c>
      <c r="G6940" s="15">
        <v>0.009644099545089603</v>
      </c>
      <c r="H6940" s="11" t="s">
        <v>33</v>
      </c>
      <c r="I6940" s="16">
        <v>11.896</v>
      </c>
      <c r="J6940" s="11" t="s">
        <v>78</v>
      </c>
      <c r="K6940" s="11" t="s">
        <v>35</v>
      </c>
      <c r="L6940" s="11" t="s">
        <v>36</v>
      </c>
      <c r="M6940" s="11" t="s">
        <v>49</v>
      </c>
      <c r="N6940" s="11" t="s">
        <v>73</v>
      </c>
      <c r="O6940" s="11" t="s">
        <v>2149</v>
      </c>
      <c r="P6940" s="11" t="s">
        <v>31</v>
      </c>
      <c r="Q6940" s="20">
        <v>41023.0</v>
      </c>
      <c r="R6940" s="17">
        <f t="shared" si="2"/>
        <v>3.569242665</v>
      </c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>
        <f t="shared" si="8"/>
        <v>2</v>
      </c>
      <c r="AF6940" s="19">
        <f t="shared" si="13"/>
        <v>2</v>
      </c>
      <c r="AG6940" s="9"/>
      <c r="AH6940" s="9"/>
      <c r="AI6940" s="9"/>
    </row>
    <row r="6941" ht="15.0" customHeight="1">
      <c r="A6941" s="11">
        <v>6940.0</v>
      </c>
      <c r="B6941" s="12">
        <f t="shared" si="1110"/>
        <v>41021</v>
      </c>
      <c r="C6941" s="13">
        <v>2012.0</v>
      </c>
      <c r="D6941" s="11" t="s">
        <v>32</v>
      </c>
      <c r="E6941" s="11">
        <v>9.0</v>
      </c>
      <c r="F6941" s="21" t="s">
        <v>702</v>
      </c>
      <c r="G6941" s="15">
        <v>0.05223744292237436</v>
      </c>
      <c r="H6941" s="11" t="s">
        <v>33</v>
      </c>
      <c r="I6941" s="16">
        <v>5.5120000000000005</v>
      </c>
      <c r="J6941" s="11" t="s">
        <v>2303</v>
      </c>
      <c r="K6941" s="11" t="s">
        <v>83</v>
      </c>
      <c r="L6941" s="11" t="s">
        <v>27</v>
      </c>
      <c r="M6941" s="11" t="s">
        <v>28</v>
      </c>
      <c r="N6941" s="11" t="s">
        <v>197</v>
      </c>
      <c r="O6941" s="11" t="s">
        <v>704</v>
      </c>
      <c r="P6941" s="11" t="s">
        <v>38</v>
      </c>
      <c r="Q6941" s="20">
        <v>41023.0</v>
      </c>
      <c r="R6941" s="17">
        <f t="shared" si="2"/>
        <v>2.168480731</v>
      </c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>
        <f t="shared" si="8"/>
        <v>1</v>
      </c>
      <c r="AF6941" s="19" t="b">
        <f t="shared" si="13"/>
        <v>0</v>
      </c>
      <c r="AG6941" s="9"/>
      <c r="AH6941" s="9"/>
      <c r="AI6941" s="9"/>
    </row>
    <row r="6942" ht="15.0" customHeight="1">
      <c r="A6942" s="11">
        <v>6941.0</v>
      </c>
      <c r="B6942" s="12">
        <f t="shared" si="1110"/>
        <v>41021</v>
      </c>
      <c r="C6942" s="13">
        <v>2012.0</v>
      </c>
      <c r="D6942" s="11" t="s">
        <v>44</v>
      </c>
      <c r="E6942" s="11">
        <v>35.0</v>
      </c>
      <c r="F6942" s="21" t="s">
        <v>438</v>
      </c>
      <c r="G6942" s="15">
        <v>0.08346558626806998</v>
      </c>
      <c r="H6942" s="11" t="s">
        <v>45</v>
      </c>
      <c r="I6942" s="16">
        <v>23.28</v>
      </c>
      <c r="J6942" s="11" t="s">
        <v>1196</v>
      </c>
      <c r="K6942" s="11" t="s">
        <v>61</v>
      </c>
      <c r="L6942" s="11" t="s">
        <v>41</v>
      </c>
      <c r="M6942" s="11" t="s">
        <v>49</v>
      </c>
      <c r="N6942" s="11" t="s">
        <v>85</v>
      </c>
      <c r="O6942" s="11" t="s">
        <v>439</v>
      </c>
      <c r="P6942" s="11" t="s">
        <v>87</v>
      </c>
      <c r="Q6942" s="20">
        <v>41023.0</v>
      </c>
      <c r="R6942" s="17">
        <f t="shared" si="2"/>
        <v>638.201243</v>
      </c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>
        <f t="shared" si="8"/>
        <v>3</v>
      </c>
      <c r="AF6942" s="19">
        <f t="shared" si="13"/>
        <v>4</v>
      </c>
      <c r="AG6942" s="9"/>
      <c r="AH6942" s="9"/>
      <c r="AI6942" s="9"/>
    </row>
    <row r="6943" ht="15.0" customHeight="1">
      <c r="A6943" s="11">
        <v>6942.0</v>
      </c>
      <c r="B6943" s="12">
        <f t="shared" si="1110"/>
        <v>41021</v>
      </c>
      <c r="C6943" s="13">
        <v>2012.0</v>
      </c>
      <c r="D6943" s="11" t="s">
        <v>44</v>
      </c>
      <c r="E6943" s="11">
        <v>49.0</v>
      </c>
      <c r="F6943" s="21" t="s">
        <v>1913</v>
      </c>
      <c r="G6943" s="15">
        <v>0.07364818166858642</v>
      </c>
      <c r="H6943" s="11" t="s">
        <v>33</v>
      </c>
      <c r="I6943" s="16">
        <v>4.344</v>
      </c>
      <c r="J6943" s="11" t="s">
        <v>1196</v>
      </c>
      <c r="K6943" s="11" t="s">
        <v>61</v>
      </c>
      <c r="L6943" s="11" t="s">
        <v>41</v>
      </c>
      <c r="M6943" s="11" t="s">
        <v>28</v>
      </c>
      <c r="N6943" s="11" t="s">
        <v>56</v>
      </c>
      <c r="O6943" s="11" t="s">
        <v>1914</v>
      </c>
      <c r="P6943" s="11" t="s">
        <v>38</v>
      </c>
      <c r="Q6943" s="20">
        <v>41023.0</v>
      </c>
      <c r="R6943" s="17">
        <f t="shared" si="2"/>
        <v>41.45980198</v>
      </c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>
        <f t="shared" si="8"/>
        <v>3</v>
      </c>
      <c r="AF6943" s="19">
        <f t="shared" si="13"/>
        <v>4</v>
      </c>
      <c r="AG6943" s="9"/>
      <c r="AH6943" s="9"/>
      <c r="AI6943" s="9"/>
    </row>
    <row r="6944" ht="15.0" customHeight="1">
      <c r="A6944" s="11">
        <v>6943.0</v>
      </c>
      <c r="B6944" s="12">
        <f t="shared" si="1110"/>
        <v>41021</v>
      </c>
      <c r="C6944" s="13">
        <v>2012.0</v>
      </c>
      <c r="D6944" s="11" t="s">
        <v>44</v>
      </c>
      <c r="E6944" s="11">
        <v>49.0</v>
      </c>
      <c r="F6944" s="21" t="s">
        <v>284</v>
      </c>
      <c r="G6944" s="15">
        <v>0.11304964539007088</v>
      </c>
      <c r="H6944" s="11" t="s">
        <v>33</v>
      </c>
      <c r="I6944" s="16">
        <v>2.048</v>
      </c>
      <c r="J6944" s="11" t="s">
        <v>1196</v>
      </c>
      <c r="K6944" s="11" t="s">
        <v>61</v>
      </c>
      <c r="L6944" s="11" t="s">
        <v>41</v>
      </c>
      <c r="M6944" s="11" t="s">
        <v>28</v>
      </c>
      <c r="N6944" s="11" t="s">
        <v>442</v>
      </c>
      <c r="O6944" s="11" t="s">
        <v>692</v>
      </c>
      <c r="P6944" s="11" t="s">
        <v>99</v>
      </c>
      <c r="Q6944" s="20">
        <v>41023.0</v>
      </c>
      <c r="R6944" s="17">
        <f t="shared" si="2"/>
        <v>11.31039092</v>
      </c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>
        <f t="shared" si="8"/>
        <v>3</v>
      </c>
      <c r="AF6944" s="19">
        <f t="shared" si="13"/>
        <v>4</v>
      </c>
      <c r="AG6944" s="9"/>
      <c r="AH6944" s="9"/>
      <c r="AI6944" s="9"/>
    </row>
    <row r="6945" ht="15.0" customHeight="1">
      <c r="A6945" s="11">
        <v>6944.0</v>
      </c>
      <c r="B6945" s="12">
        <f t="shared" si="1110"/>
        <v>41021</v>
      </c>
      <c r="C6945" s="13">
        <v>2012.0</v>
      </c>
      <c r="D6945" s="11" t="s">
        <v>39</v>
      </c>
      <c r="E6945" s="11">
        <v>20.0</v>
      </c>
      <c r="F6945" s="21" t="s">
        <v>280</v>
      </c>
      <c r="G6945" s="15">
        <v>0.05878179514667179</v>
      </c>
      <c r="H6945" s="11" t="s">
        <v>24</v>
      </c>
      <c r="I6945" s="16">
        <v>5.784000000000001</v>
      </c>
      <c r="J6945" s="11" t="s">
        <v>2253</v>
      </c>
      <c r="K6945" s="11" t="s">
        <v>83</v>
      </c>
      <c r="L6945" s="11" t="s">
        <v>36</v>
      </c>
      <c r="M6945" s="11" t="s">
        <v>28</v>
      </c>
      <c r="N6945" s="11" t="s">
        <v>56</v>
      </c>
      <c r="O6945" s="11" t="s">
        <v>2248</v>
      </c>
      <c r="P6945" s="11" t="s">
        <v>38</v>
      </c>
      <c r="Q6945" s="20">
        <v>41023.0</v>
      </c>
      <c r="R6945" s="17">
        <f t="shared" si="2"/>
        <v>56.77051724</v>
      </c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>
        <f t="shared" si="8"/>
        <v>2</v>
      </c>
      <c r="AF6945" s="19" t="b">
        <f t="shared" si="13"/>
        <v>0</v>
      </c>
      <c r="AG6945" s="9"/>
      <c r="AH6945" s="9"/>
      <c r="AI6945" s="9"/>
    </row>
    <row r="6946" ht="15.0" customHeight="1">
      <c r="A6946" s="11">
        <v>6945.0</v>
      </c>
      <c r="B6946" s="12">
        <f t="shared" ref="B6946:B6951" si="1111">DATE(2012,12,31)-252</f>
        <v>41022</v>
      </c>
      <c r="C6946" s="13">
        <v>2012.0</v>
      </c>
      <c r="D6946" s="11" t="s">
        <v>102</v>
      </c>
      <c r="E6946" s="11">
        <v>30.0</v>
      </c>
      <c r="F6946" s="21" t="s">
        <v>336</v>
      </c>
      <c r="G6946" s="15">
        <v>0.06373861810390989</v>
      </c>
      <c r="H6946" s="11" t="s">
        <v>33</v>
      </c>
      <c r="I6946" s="16">
        <v>0.8</v>
      </c>
      <c r="J6946" s="11" t="s">
        <v>1801</v>
      </c>
      <c r="K6946" s="11" t="s">
        <v>26</v>
      </c>
      <c r="L6946" s="11" t="s">
        <v>48</v>
      </c>
      <c r="M6946" s="11" t="s">
        <v>28</v>
      </c>
      <c r="N6946" s="11" t="s">
        <v>62</v>
      </c>
      <c r="O6946" s="11" t="s">
        <v>2107</v>
      </c>
      <c r="P6946" s="11" t="s">
        <v>58</v>
      </c>
      <c r="Q6946" s="20">
        <v>41023.0</v>
      </c>
      <c r="R6946" s="17">
        <f t="shared" si="2"/>
        <v>11.14151044</v>
      </c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>
        <f t="shared" si="8"/>
        <v>4</v>
      </c>
      <c r="AF6946" s="19">
        <f t="shared" si="13"/>
        <v>1</v>
      </c>
      <c r="AG6946" s="9"/>
      <c r="AH6946" s="9"/>
      <c r="AI6946" s="9"/>
    </row>
    <row r="6947" ht="15.0" customHeight="1">
      <c r="A6947" s="11">
        <v>6946.0</v>
      </c>
      <c r="B6947" s="12">
        <f t="shared" si="1111"/>
        <v>41022</v>
      </c>
      <c r="C6947" s="13">
        <v>2012.0</v>
      </c>
      <c r="D6947" s="11" t="s">
        <v>32</v>
      </c>
      <c r="E6947" s="11">
        <v>40.0</v>
      </c>
      <c r="F6947" s="21" t="s">
        <v>1327</v>
      </c>
      <c r="G6947" s="15">
        <v>0.09189860483395557</v>
      </c>
      <c r="H6947" s="11" t="s">
        <v>33</v>
      </c>
      <c r="I6947" s="16">
        <v>15.991999999999999</v>
      </c>
      <c r="J6947" s="11" t="s">
        <v>2539</v>
      </c>
      <c r="K6947" s="11" t="s">
        <v>35</v>
      </c>
      <c r="L6947" s="11" t="s">
        <v>36</v>
      </c>
      <c r="M6947" s="11" t="s">
        <v>28</v>
      </c>
      <c r="N6947" s="11" t="s">
        <v>42</v>
      </c>
      <c r="O6947" s="11" t="s">
        <v>1328</v>
      </c>
      <c r="P6947" s="11" t="s">
        <v>38</v>
      </c>
      <c r="Q6947" s="20">
        <v>41024.0</v>
      </c>
      <c r="R6947" s="17">
        <f t="shared" si="2"/>
        <v>637.0403935</v>
      </c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>
        <f t="shared" si="8"/>
        <v>2</v>
      </c>
      <c r="AF6947" s="19">
        <f t="shared" si="13"/>
        <v>2</v>
      </c>
      <c r="AG6947" s="9"/>
      <c r="AH6947" s="9"/>
      <c r="AI6947" s="9"/>
    </row>
    <row r="6948" ht="15.0" customHeight="1">
      <c r="A6948" s="11">
        <v>6947.0</v>
      </c>
      <c r="B6948" s="12">
        <f t="shared" si="1111"/>
        <v>41022</v>
      </c>
      <c r="C6948" s="13">
        <v>2012.0</v>
      </c>
      <c r="D6948" s="11" t="s">
        <v>32</v>
      </c>
      <c r="E6948" s="11">
        <v>36.0</v>
      </c>
      <c r="F6948" s="21" t="s">
        <v>552</v>
      </c>
      <c r="G6948" s="15">
        <v>0.051700975081256685</v>
      </c>
      <c r="H6948" s="11" t="s">
        <v>33</v>
      </c>
      <c r="I6948" s="16">
        <v>3.3840000000000003</v>
      </c>
      <c r="J6948" s="11" t="s">
        <v>2539</v>
      </c>
      <c r="K6948" s="11" t="s">
        <v>35</v>
      </c>
      <c r="L6948" s="11" t="s">
        <v>36</v>
      </c>
      <c r="M6948" s="11" t="s">
        <v>28</v>
      </c>
      <c r="N6948" s="11" t="s">
        <v>56</v>
      </c>
      <c r="O6948" s="11" t="s">
        <v>2551</v>
      </c>
      <c r="P6948" s="11" t="s">
        <v>58</v>
      </c>
      <c r="Q6948" s="20">
        <v>41024.0</v>
      </c>
      <c r="R6948" s="17">
        <f t="shared" si="2"/>
        <v>13.57584884</v>
      </c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>
        <f t="shared" si="8"/>
        <v>2</v>
      </c>
      <c r="AF6948" s="19">
        <f t="shared" si="13"/>
        <v>2</v>
      </c>
      <c r="AG6948" s="9"/>
      <c r="AH6948" s="9"/>
      <c r="AI6948" s="9"/>
    </row>
    <row r="6949" ht="15.0" customHeight="1">
      <c r="A6949" s="11">
        <v>6948.0</v>
      </c>
      <c r="B6949" s="12">
        <f t="shared" si="1111"/>
        <v>41022</v>
      </c>
      <c r="C6949" s="13">
        <v>2012.0</v>
      </c>
      <c r="D6949" s="11" t="s">
        <v>102</v>
      </c>
      <c r="E6949" s="11">
        <v>10.0</v>
      </c>
      <c r="F6949" s="21" t="s">
        <v>447</v>
      </c>
      <c r="G6949" s="15">
        <v>0.08441566356848992</v>
      </c>
      <c r="H6949" s="11" t="s">
        <v>33</v>
      </c>
      <c r="I6949" s="16">
        <v>19.592</v>
      </c>
      <c r="J6949" s="11" t="s">
        <v>2324</v>
      </c>
      <c r="K6949" s="11" t="s">
        <v>61</v>
      </c>
      <c r="L6949" s="11" t="s">
        <v>41</v>
      </c>
      <c r="M6949" s="11" t="s">
        <v>49</v>
      </c>
      <c r="N6949" s="11" t="s">
        <v>50</v>
      </c>
      <c r="O6949" s="11" t="s">
        <v>449</v>
      </c>
      <c r="P6949" s="11" t="s">
        <v>31</v>
      </c>
      <c r="Q6949" s="20">
        <v>41024.0</v>
      </c>
      <c r="R6949" s="17">
        <f t="shared" si="2"/>
        <v>202.9008136</v>
      </c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>
        <f t="shared" si="8"/>
        <v>3</v>
      </c>
      <c r="AF6949" s="19">
        <f t="shared" si="13"/>
        <v>4</v>
      </c>
      <c r="AG6949" s="9"/>
      <c r="AH6949" s="9"/>
      <c r="AI6949" s="9"/>
    </row>
    <row r="6950" ht="15.0" customHeight="1">
      <c r="A6950" s="11">
        <v>6949.0</v>
      </c>
      <c r="B6950" s="12">
        <f t="shared" si="1111"/>
        <v>41022</v>
      </c>
      <c r="C6950" s="13">
        <v>2012.0</v>
      </c>
      <c r="D6950" s="11" t="s">
        <v>102</v>
      </c>
      <c r="E6950" s="11">
        <v>11.0</v>
      </c>
      <c r="F6950" s="21" t="s">
        <v>869</v>
      </c>
      <c r="G6950" s="15">
        <v>0.03504060449977718</v>
      </c>
      <c r="H6950" s="11" t="s">
        <v>24</v>
      </c>
      <c r="I6950" s="16">
        <v>1.0</v>
      </c>
      <c r="J6950" s="11" t="s">
        <v>2324</v>
      </c>
      <c r="K6950" s="11" t="s">
        <v>61</v>
      </c>
      <c r="L6950" s="11" t="s">
        <v>41</v>
      </c>
      <c r="M6950" s="11" t="s">
        <v>66</v>
      </c>
      <c r="N6950" s="11" t="s">
        <v>80</v>
      </c>
      <c r="O6950" s="11" t="s">
        <v>2349</v>
      </c>
      <c r="P6950" s="11" t="s">
        <v>99</v>
      </c>
      <c r="Q6950" s="20">
        <v>41024.0</v>
      </c>
      <c r="R6950" s="17">
        <f t="shared" si="2"/>
        <v>33.1449078</v>
      </c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>
        <f t="shared" si="8"/>
        <v>3</v>
      </c>
      <c r="AF6950" s="19">
        <f t="shared" si="13"/>
        <v>4</v>
      </c>
      <c r="AG6950" s="9"/>
      <c r="AH6950" s="9"/>
      <c r="AI6950" s="9"/>
    </row>
    <row r="6951" ht="15.0" customHeight="1">
      <c r="A6951" s="11">
        <v>6950.0</v>
      </c>
      <c r="B6951" s="12">
        <f t="shared" si="1111"/>
        <v>41022</v>
      </c>
      <c r="C6951" s="13">
        <v>2012.0</v>
      </c>
      <c r="D6951" s="11" t="s">
        <v>102</v>
      </c>
      <c r="E6951" s="11">
        <v>37.0</v>
      </c>
      <c r="F6951" s="21" t="s">
        <v>1156</v>
      </c>
      <c r="G6951" s="15">
        <v>0.05726559947729499</v>
      </c>
      <c r="H6951" s="11" t="s">
        <v>33</v>
      </c>
      <c r="I6951" s="16">
        <v>3.12</v>
      </c>
      <c r="J6951" s="11" t="s">
        <v>2324</v>
      </c>
      <c r="K6951" s="11" t="s">
        <v>61</v>
      </c>
      <c r="L6951" s="11" t="s">
        <v>41</v>
      </c>
      <c r="M6951" s="11" t="s">
        <v>66</v>
      </c>
      <c r="N6951" s="11" t="s">
        <v>80</v>
      </c>
      <c r="O6951" s="11" t="s">
        <v>1157</v>
      </c>
      <c r="P6951" s="11" t="s">
        <v>38</v>
      </c>
      <c r="Q6951" s="20">
        <v>41024.0</v>
      </c>
      <c r="R6951" s="17">
        <f t="shared" si="2"/>
        <v>330.5038261</v>
      </c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>
        <f t="shared" si="8"/>
        <v>3</v>
      </c>
      <c r="AF6951" s="19">
        <f t="shared" si="13"/>
        <v>4</v>
      </c>
      <c r="AG6951" s="9"/>
      <c r="AH6951" s="9"/>
      <c r="AI6951" s="9"/>
    </row>
    <row r="6952" ht="15.0" customHeight="1">
      <c r="A6952" s="11">
        <v>6951.0</v>
      </c>
      <c r="B6952" s="12">
        <f t="shared" ref="B6952:B6958" si="1112">DATE(2012,12,31)-251</f>
        <v>41023</v>
      </c>
      <c r="C6952" s="13">
        <v>2012.0</v>
      </c>
      <c r="D6952" s="11" t="s">
        <v>23</v>
      </c>
      <c r="E6952" s="11">
        <v>7.0</v>
      </c>
      <c r="F6952" s="21" t="s">
        <v>158</v>
      </c>
      <c r="G6952" s="15">
        <v>0.0559404096834264</v>
      </c>
      <c r="H6952" s="11" t="s">
        <v>33</v>
      </c>
      <c r="I6952" s="16">
        <v>5.896000000000001</v>
      </c>
      <c r="J6952" s="11" t="s">
        <v>928</v>
      </c>
      <c r="K6952" s="11" t="s">
        <v>61</v>
      </c>
      <c r="L6952" s="11" t="s">
        <v>36</v>
      </c>
      <c r="M6952" s="11" t="s">
        <v>28</v>
      </c>
      <c r="N6952" s="11" t="s">
        <v>56</v>
      </c>
      <c r="O6952" s="11" t="s">
        <v>860</v>
      </c>
      <c r="P6952" s="11" t="s">
        <v>38</v>
      </c>
      <c r="Q6952" s="20">
        <v>41024.0</v>
      </c>
      <c r="R6952" s="17">
        <f t="shared" si="2"/>
        <v>2.835955009</v>
      </c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>
        <f t="shared" si="8"/>
        <v>2</v>
      </c>
      <c r="AF6952" s="19">
        <f t="shared" si="13"/>
        <v>4</v>
      </c>
      <c r="AG6952" s="9"/>
      <c r="AH6952" s="9"/>
      <c r="AI6952" s="9"/>
    </row>
    <row r="6953" ht="15.0" customHeight="1">
      <c r="A6953" s="11">
        <v>6952.0</v>
      </c>
      <c r="B6953" s="12">
        <f t="shared" si="1112"/>
        <v>41023</v>
      </c>
      <c r="C6953" s="13">
        <v>2012.0</v>
      </c>
      <c r="D6953" s="11" t="s">
        <v>32</v>
      </c>
      <c r="E6953" s="11">
        <v>27.0</v>
      </c>
      <c r="F6953" s="21" t="s">
        <v>702</v>
      </c>
      <c r="G6953" s="15">
        <v>0.08087449392712551</v>
      </c>
      <c r="H6953" s="11" t="s">
        <v>33</v>
      </c>
      <c r="I6953" s="16">
        <v>5.5120000000000005</v>
      </c>
      <c r="J6953" s="11" t="s">
        <v>1068</v>
      </c>
      <c r="K6953" s="11" t="s">
        <v>35</v>
      </c>
      <c r="L6953" s="11" t="s">
        <v>36</v>
      </c>
      <c r="M6953" s="11" t="s">
        <v>28</v>
      </c>
      <c r="N6953" s="11" t="s">
        <v>197</v>
      </c>
      <c r="O6953" s="11" t="s">
        <v>704</v>
      </c>
      <c r="P6953" s="11" t="s">
        <v>38</v>
      </c>
      <c r="Q6953" s="20">
        <v>41024.0</v>
      </c>
      <c r="R6953" s="17">
        <f t="shared" si="2"/>
        <v>9.180225555</v>
      </c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>
        <f t="shared" si="8"/>
        <v>2</v>
      </c>
      <c r="AF6953" s="19">
        <f t="shared" si="13"/>
        <v>2</v>
      </c>
      <c r="AG6953" s="9"/>
      <c r="AH6953" s="9"/>
      <c r="AI6953" s="9"/>
    </row>
    <row r="6954" ht="15.0" customHeight="1">
      <c r="A6954" s="11">
        <v>6953.0</v>
      </c>
      <c r="B6954" s="12">
        <f t="shared" si="1112"/>
        <v>41023</v>
      </c>
      <c r="C6954" s="13">
        <v>2012.0</v>
      </c>
      <c r="D6954" s="11" t="s">
        <v>102</v>
      </c>
      <c r="E6954" s="11">
        <v>11.0</v>
      </c>
      <c r="F6954" s="21" t="s">
        <v>1043</v>
      </c>
      <c r="G6954" s="15">
        <v>0.02341563786008216</v>
      </c>
      <c r="H6954" s="11" t="s">
        <v>33</v>
      </c>
      <c r="I6954" s="16">
        <v>7.768000000000001</v>
      </c>
      <c r="J6954" s="11" t="s">
        <v>2228</v>
      </c>
      <c r="K6954" s="11" t="s">
        <v>26</v>
      </c>
      <c r="L6954" s="11" t="s">
        <v>27</v>
      </c>
      <c r="M6954" s="11" t="s">
        <v>28</v>
      </c>
      <c r="N6954" s="11" t="s">
        <v>29</v>
      </c>
      <c r="O6954" s="11" t="s">
        <v>1044</v>
      </c>
      <c r="P6954" s="11" t="s">
        <v>38</v>
      </c>
      <c r="Q6954" s="20">
        <v>41025.0</v>
      </c>
      <c r="R6954" s="17">
        <f t="shared" si="2"/>
        <v>15.55894206</v>
      </c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>
        <f t="shared" si="8"/>
        <v>1</v>
      </c>
      <c r="AF6954" s="19">
        <f t="shared" si="13"/>
        <v>1</v>
      </c>
      <c r="AG6954" s="9"/>
      <c r="AH6954" s="9"/>
      <c r="AI6954" s="9"/>
    </row>
    <row r="6955" ht="15.0" customHeight="1">
      <c r="A6955" s="11">
        <v>6954.0</v>
      </c>
      <c r="B6955" s="12">
        <f t="shared" si="1112"/>
        <v>41023</v>
      </c>
      <c r="C6955" s="13">
        <v>2012.0</v>
      </c>
      <c r="D6955" s="11" t="s">
        <v>44</v>
      </c>
      <c r="E6955" s="11">
        <v>13.0</v>
      </c>
      <c r="F6955" s="21" t="s">
        <v>2467</v>
      </c>
      <c r="G6955" s="15">
        <v>0.06790121636564685</v>
      </c>
      <c r="H6955" s="11" t="s">
        <v>33</v>
      </c>
      <c r="I6955" s="16">
        <v>11.192</v>
      </c>
      <c r="J6955" s="11" t="s">
        <v>60</v>
      </c>
      <c r="K6955" s="11" t="s">
        <v>61</v>
      </c>
      <c r="L6955" s="11" t="s">
        <v>27</v>
      </c>
      <c r="M6955" s="11" t="s">
        <v>66</v>
      </c>
      <c r="N6955" s="11" t="s">
        <v>69</v>
      </c>
      <c r="O6955" s="11" t="s">
        <v>2468</v>
      </c>
      <c r="P6955" s="11" t="s">
        <v>75</v>
      </c>
      <c r="Q6955" s="20">
        <v>41025.0</v>
      </c>
      <c r="R6955" s="17">
        <f t="shared" si="2"/>
        <v>85.85375476</v>
      </c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>
        <f t="shared" si="8"/>
        <v>1</v>
      </c>
      <c r="AF6955" s="19">
        <f t="shared" si="13"/>
        <v>4</v>
      </c>
      <c r="AG6955" s="9"/>
      <c r="AH6955" s="9"/>
      <c r="AI6955" s="9"/>
    </row>
    <row r="6956" ht="15.0" customHeight="1">
      <c r="A6956" s="11">
        <v>6955.0</v>
      </c>
      <c r="B6956" s="12">
        <f t="shared" si="1112"/>
        <v>41023</v>
      </c>
      <c r="C6956" s="13">
        <v>2012.0</v>
      </c>
      <c r="D6956" s="11" t="s">
        <v>39</v>
      </c>
      <c r="E6956" s="11">
        <v>47.0</v>
      </c>
      <c r="F6956" s="21" t="s">
        <v>287</v>
      </c>
      <c r="G6956" s="15">
        <v>0.01074702732141233</v>
      </c>
      <c r="H6956" s="11" t="s">
        <v>33</v>
      </c>
      <c r="I6956" s="16">
        <v>2.0</v>
      </c>
      <c r="J6956" s="11" t="s">
        <v>1240</v>
      </c>
      <c r="K6956" s="11" t="s">
        <v>35</v>
      </c>
      <c r="L6956" s="11" t="s">
        <v>41</v>
      </c>
      <c r="M6956" s="11" t="s">
        <v>66</v>
      </c>
      <c r="N6956" s="11" t="s">
        <v>80</v>
      </c>
      <c r="O6956" s="11" t="s">
        <v>2487</v>
      </c>
      <c r="P6956" s="11" t="s">
        <v>38</v>
      </c>
      <c r="Q6956" s="20">
        <v>41025.0</v>
      </c>
      <c r="R6956" s="17">
        <f t="shared" si="2"/>
        <v>58.56377598</v>
      </c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>
        <f t="shared" si="8"/>
        <v>3</v>
      </c>
      <c r="AF6956" s="19">
        <f t="shared" si="13"/>
        <v>2</v>
      </c>
      <c r="AG6956" s="9"/>
      <c r="AH6956" s="9"/>
      <c r="AI6956" s="9"/>
    </row>
    <row r="6957" ht="15.0" customHeight="1">
      <c r="A6957" s="11">
        <v>6956.0</v>
      </c>
      <c r="B6957" s="12">
        <f t="shared" si="1112"/>
        <v>41023</v>
      </c>
      <c r="C6957" s="13">
        <v>2012.0</v>
      </c>
      <c r="D6957" s="11" t="s">
        <v>39</v>
      </c>
      <c r="E6957" s="11">
        <v>50.0</v>
      </c>
      <c r="F6957" s="21" t="s">
        <v>678</v>
      </c>
      <c r="G6957" s="15">
        <v>0.09554155415541551</v>
      </c>
      <c r="H6957" s="11" t="s">
        <v>33</v>
      </c>
      <c r="I6957" s="16">
        <v>1.4560000000000002</v>
      </c>
      <c r="J6957" s="11" t="s">
        <v>1240</v>
      </c>
      <c r="K6957" s="11" t="s">
        <v>35</v>
      </c>
      <c r="L6957" s="11" t="s">
        <v>41</v>
      </c>
      <c r="M6957" s="11" t="s">
        <v>28</v>
      </c>
      <c r="N6957" s="11" t="s">
        <v>216</v>
      </c>
      <c r="O6957" s="11" t="s">
        <v>2566</v>
      </c>
      <c r="P6957" s="11" t="s">
        <v>58</v>
      </c>
      <c r="Q6957" s="20">
        <v>41025.0</v>
      </c>
      <c r="R6957" s="17">
        <f t="shared" si="2"/>
        <v>28.80157475</v>
      </c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>
        <f t="shared" si="8"/>
        <v>3</v>
      </c>
      <c r="AF6957" s="19">
        <f t="shared" si="13"/>
        <v>2</v>
      </c>
      <c r="AG6957" s="9"/>
      <c r="AH6957" s="9"/>
      <c r="AI6957" s="9"/>
    </row>
    <row r="6958" ht="15.0" customHeight="1">
      <c r="A6958" s="11">
        <v>6957.0</v>
      </c>
      <c r="B6958" s="12">
        <f t="shared" si="1112"/>
        <v>41023</v>
      </c>
      <c r="C6958" s="13">
        <v>2012.0</v>
      </c>
      <c r="D6958" s="11" t="s">
        <v>32</v>
      </c>
      <c r="E6958" s="11">
        <v>48.0</v>
      </c>
      <c r="F6958" s="21" t="s">
        <v>151</v>
      </c>
      <c r="G6958" s="15">
        <v>0.028649318463444828</v>
      </c>
      <c r="H6958" s="11" t="s">
        <v>33</v>
      </c>
      <c r="I6958" s="16">
        <v>3.176</v>
      </c>
      <c r="J6958" s="11" t="s">
        <v>200</v>
      </c>
      <c r="K6958" s="11" t="s">
        <v>47</v>
      </c>
      <c r="L6958" s="11" t="s">
        <v>48</v>
      </c>
      <c r="M6958" s="11" t="s">
        <v>28</v>
      </c>
      <c r="N6958" s="11" t="s">
        <v>62</v>
      </c>
      <c r="O6958" s="11" t="s">
        <v>209</v>
      </c>
      <c r="P6958" s="11" t="s">
        <v>58</v>
      </c>
      <c r="Q6958" s="20">
        <v>41025.0</v>
      </c>
      <c r="R6958" s="17">
        <f t="shared" si="2"/>
        <v>4.491525551</v>
      </c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>
        <f t="shared" si="8"/>
        <v>4</v>
      </c>
      <c r="AF6958" s="19">
        <f t="shared" si="13"/>
        <v>3</v>
      </c>
      <c r="AG6958" s="9"/>
      <c r="AH6958" s="9"/>
      <c r="AI6958" s="9"/>
    </row>
    <row r="6959" ht="15.0" customHeight="1">
      <c r="A6959" s="11">
        <v>6958.0</v>
      </c>
      <c r="B6959" s="12">
        <f t="shared" ref="B6959:B6970" si="1113">DATE(2012,12,31)-250</f>
        <v>41024</v>
      </c>
      <c r="C6959" s="13">
        <v>2012.0</v>
      </c>
      <c r="D6959" s="11" t="s">
        <v>23</v>
      </c>
      <c r="E6959" s="11">
        <v>25.0</v>
      </c>
      <c r="F6959" s="21" t="s">
        <v>96</v>
      </c>
      <c r="G6959" s="15">
        <v>0.06847493127372692</v>
      </c>
      <c r="H6959" s="11" t="s">
        <v>33</v>
      </c>
      <c r="I6959" s="16">
        <v>1.592</v>
      </c>
      <c r="J6959" s="11" t="s">
        <v>1811</v>
      </c>
      <c r="K6959" s="11" t="s">
        <v>65</v>
      </c>
      <c r="L6959" s="11" t="s">
        <v>48</v>
      </c>
      <c r="M6959" s="11" t="s">
        <v>66</v>
      </c>
      <c r="N6959" s="11" t="s">
        <v>67</v>
      </c>
      <c r="O6959" s="11" t="s">
        <v>98</v>
      </c>
      <c r="P6959" s="11" t="s">
        <v>99</v>
      </c>
      <c r="Q6959" s="20">
        <v>41025.0</v>
      </c>
      <c r="R6959" s="17">
        <f t="shared" si="2"/>
        <v>48.72621329</v>
      </c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>
        <f t="shared" si="8"/>
        <v>4</v>
      </c>
      <c r="AF6959" s="19">
        <f t="shared" si="13"/>
        <v>5</v>
      </c>
      <c r="AG6959" s="9"/>
      <c r="AH6959" s="9"/>
      <c r="AI6959" s="9"/>
    </row>
    <row r="6960" ht="15.0" customHeight="1">
      <c r="A6960" s="11">
        <v>6959.0</v>
      </c>
      <c r="B6960" s="12">
        <f t="shared" si="1113"/>
        <v>41024</v>
      </c>
      <c r="C6960" s="13">
        <v>2012.0</v>
      </c>
      <c r="D6960" s="11" t="s">
        <v>39</v>
      </c>
      <c r="E6960" s="11">
        <v>9.0</v>
      </c>
      <c r="F6960" s="21" t="s">
        <v>1173</v>
      </c>
      <c r="G6960" s="15">
        <v>0.08379114135891998</v>
      </c>
      <c r="H6960" s="11" t="s">
        <v>33</v>
      </c>
      <c r="I6960" s="16">
        <v>15.991999999999999</v>
      </c>
      <c r="J6960" s="11" t="s">
        <v>751</v>
      </c>
      <c r="K6960" s="11" t="s">
        <v>61</v>
      </c>
      <c r="L6960" s="11" t="s">
        <v>41</v>
      </c>
      <c r="M6960" s="11" t="s">
        <v>28</v>
      </c>
      <c r="N6960" s="11" t="s">
        <v>197</v>
      </c>
      <c r="O6960" s="11" t="s">
        <v>1174</v>
      </c>
      <c r="P6960" s="11" t="s">
        <v>38</v>
      </c>
      <c r="Q6960" s="20">
        <v>41025.0</v>
      </c>
      <c r="R6960" s="17">
        <f t="shared" si="2"/>
        <v>275.2364708</v>
      </c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>
        <f t="shared" si="8"/>
        <v>3</v>
      </c>
      <c r="AF6960" s="19">
        <f t="shared" si="13"/>
        <v>4</v>
      </c>
      <c r="AG6960" s="9"/>
      <c r="AH6960" s="9"/>
      <c r="AI6960" s="9"/>
    </row>
    <row r="6961" ht="15.0" customHeight="1">
      <c r="A6961" s="11">
        <v>6960.0</v>
      </c>
      <c r="B6961" s="12">
        <f t="shared" si="1113"/>
        <v>41024</v>
      </c>
      <c r="C6961" s="13">
        <v>2012.0</v>
      </c>
      <c r="D6961" s="11" t="s">
        <v>39</v>
      </c>
      <c r="E6961" s="11">
        <v>22.0</v>
      </c>
      <c r="F6961" s="21" t="s">
        <v>306</v>
      </c>
      <c r="G6961" s="15">
        <v>0.027904139433551307</v>
      </c>
      <c r="H6961" s="11" t="s">
        <v>33</v>
      </c>
      <c r="I6961" s="16">
        <v>8.392000000000001</v>
      </c>
      <c r="J6961" s="11" t="s">
        <v>751</v>
      </c>
      <c r="K6961" s="11" t="s">
        <v>61</v>
      </c>
      <c r="L6961" s="11" t="s">
        <v>41</v>
      </c>
      <c r="M6961" s="11" t="s">
        <v>49</v>
      </c>
      <c r="N6961" s="11" t="s">
        <v>73</v>
      </c>
      <c r="O6961" s="11" t="s">
        <v>1135</v>
      </c>
      <c r="P6961" s="11" t="s">
        <v>38</v>
      </c>
      <c r="Q6961" s="20">
        <v>41026.0</v>
      </c>
      <c r="R6961" s="17">
        <f t="shared" si="2"/>
        <v>12.45060378</v>
      </c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>
        <f t="shared" si="8"/>
        <v>3</v>
      </c>
      <c r="AF6961" s="19">
        <f t="shared" si="13"/>
        <v>4</v>
      </c>
      <c r="AG6961" s="9"/>
      <c r="AH6961" s="9"/>
      <c r="AI6961" s="9"/>
    </row>
    <row r="6962" ht="15.0" customHeight="1">
      <c r="A6962" s="11">
        <v>6961.0</v>
      </c>
      <c r="B6962" s="12">
        <f t="shared" si="1113"/>
        <v>41024</v>
      </c>
      <c r="C6962" s="13">
        <v>2012.0</v>
      </c>
      <c r="D6962" s="11" t="s">
        <v>39</v>
      </c>
      <c r="E6962" s="11">
        <v>15.0</v>
      </c>
      <c r="F6962" s="21" t="s">
        <v>218</v>
      </c>
      <c r="G6962" s="15">
        <v>0.08829694323144098</v>
      </c>
      <c r="H6962" s="11" t="s">
        <v>33</v>
      </c>
      <c r="I6962" s="16">
        <v>0.768</v>
      </c>
      <c r="J6962" s="11" t="s">
        <v>751</v>
      </c>
      <c r="K6962" s="11" t="s">
        <v>61</v>
      </c>
      <c r="L6962" s="11" t="s">
        <v>41</v>
      </c>
      <c r="M6962" s="11" t="s">
        <v>49</v>
      </c>
      <c r="N6962" s="11" t="s">
        <v>73</v>
      </c>
      <c r="O6962" s="11" t="s">
        <v>220</v>
      </c>
      <c r="P6962" s="11" t="s">
        <v>58</v>
      </c>
      <c r="Q6962" s="20">
        <v>41026.0</v>
      </c>
      <c r="R6962" s="17">
        <f t="shared" si="2"/>
        <v>11.06078148</v>
      </c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>
        <f t="shared" si="8"/>
        <v>3</v>
      </c>
      <c r="AF6962" s="19">
        <f t="shared" si="13"/>
        <v>4</v>
      </c>
      <c r="AG6962" s="9"/>
      <c r="AH6962" s="9"/>
      <c r="AI6962" s="9"/>
    </row>
    <row r="6963" ht="15.0" customHeight="1">
      <c r="A6963" s="11">
        <v>6962.0</v>
      </c>
      <c r="B6963" s="12">
        <f t="shared" si="1113"/>
        <v>41024</v>
      </c>
      <c r="C6963" s="13">
        <v>2012.0</v>
      </c>
      <c r="D6963" s="11" t="s">
        <v>23</v>
      </c>
      <c r="E6963" s="11">
        <v>3.0</v>
      </c>
      <c r="F6963" s="21" t="s">
        <v>483</v>
      </c>
      <c r="G6963" s="15">
        <v>0.14222222222222214</v>
      </c>
      <c r="H6963" s="11" t="s">
        <v>33</v>
      </c>
      <c r="I6963" s="16">
        <v>0.5599999999999999</v>
      </c>
      <c r="J6963" s="11" t="s">
        <v>1823</v>
      </c>
      <c r="K6963" s="11" t="s">
        <v>26</v>
      </c>
      <c r="L6963" s="11" t="s">
        <v>36</v>
      </c>
      <c r="M6963" s="11" t="s">
        <v>28</v>
      </c>
      <c r="N6963" s="11" t="s">
        <v>216</v>
      </c>
      <c r="O6963" s="11" t="s">
        <v>484</v>
      </c>
      <c r="P6963" s="11" t="s">
        <v>58</v>
      </c>
      <c r="Q6963" s="20">
        <v>41026.0</v>
      </c>
      <c r="R6963" s="17">
        <f t="shared" si="2"/>
        <v>0.5489777778</v>
      </c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>
        <f t="shared" si="8"/>
        <v>2</v>
      </c>
      <c r="AF6963" s="19">
        <f t="shared" si="13"/>
        <v>1</v>
      </c>
      <c r="AG6963" s="9"/>
      <c r="AH6963" s="9"/>
      <c r="AI6963" s="9"/>
    </row>
    <row r="6964" ht="15.0" customHeight="1">
      <c r="A6964" s="11">
        <v>6963.0</v>
      </c>
      <c r="B6964" s="12">
        <f t="shared" si="1113"/>
        <v>41024</v>
      </c>
      <c r="C6964" s="13">
        <v>2012.0</v>
      </c>
      <c r="D6964" s="11" t="s">
        <v>39</v>
      </c>
      <c r="E6964" s="11">
        <v>31.0</v>
      </c>
      <c r="F6964" s="21" t="s">
        <v>523</v>
      </c>
      <c r="G6964" s="15">
        <v>0.073201581027668</v>
      </c>
      <c r="H6964" s="11" t="s">
        <v>33</v>
      </c>
      <c r="I6964" s="16">
        <v>0.792</v>
      </c>
      <c r="J6964" s="11" t="s">
        <v>998</v>
      </c>
      <c r="K6964" s="11" t="s">
        <v>35</v>
      </c>
      <c r="L6964" s="11" t="s">
        <v>48</v>
      </c>
      <c r="M6964" s="11" t="s">
        <v>28</v>
      </c>
      <c r="N6964" s="11" t="s">
        <v>188</v>
      </c>
      <c r="O6964" s="11" t="s">
        <v>2175</v>
      </c>
      <c r="P6964" s="11" t="s">
        <v>38</v>
      </c>
      <c r="Q6964" s="20">
        <v>41026.0</v>
      </c>
      <c r="R6964" s="17">
        <f t="shared" si="2"/>
        <v>6.865722688</v>
      </c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>
        <f t="shared" si="8"/>
        <v>4</v>
      </c>
      <c r="AF6964" s="19">
        <f t="shared" si="13"/>
        <v>2</v>
      </c>
      <c r="AG6964" s="9"/>
      <c r="AH6964" s="9"/>
      <c r="AI6964" s="9"/>
    </row>
    <row r="6965" ht="15.0" customHeight="1">
      <c r="A6965" s="11">
        <v>6964.0</v>
      </c>
      <c r="B6965" s="12">
        <f t="shared" si="1113"/>
        <v>41024</v>
      </c>
      <c r="C6965" s="13">
        <v>2012.0</v>
      </c>
      <c r="D6965" s="11" t="s">
        <v>39</v>
      </c>
      <c r="E6965" s="11">
        <v>7.0</v>
      </c>
      <c r="F6965" s="21" t="s">
        <v>297</v>
      </c>
      <c r="G6965" s="15">
        <v>0.01748571428571434</v>
      </c>
      <c r="H6965" s="11" t="s">
        <v>33</v>
      </c>
      <c r="I6965" s="16">
        <v>2.9760000000000004</v>
      </c>
      <c r="J6965" s="11" t="s">
        <v>998</v>
      </c>
      <c r="K6965" s="11" t="s">
        <v>35</v>
      </c>
      <c r="L6965" s="11" t="s">
        <v>48</v>
      </c>
      <c r="M6965" s="11" t="s">
        <v>49</v>
      </c>
      <c r="N6965" s="11" t="s">
        <v>73</v>
      </c>
      <c r="O6965" s="11" t="s">
        <v>2178</v>
      </c>
      <c r="P6965" s="11" t="s">
        <v>99</v>
      </c>
      <c r="Q6965" s="20">
        <v>41026.0</v>
      </c>
      <c r="R6965" s="17">
        <f t="shared" si="2"/>
        <v>1.202597486</v>
      </c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>
        <f t="shared" si="8"/>
        <v>4</v>
      </c>
      <c r="AF6965" s="19">
        <f t="shared" si="13"/>
        <v>2</v>
      </c>
      <c r="AG6965" s="9"/>
      <c r="AH6965" s="9"/>
      <c r="AI6965" s="9"/>
    </row>
    <row r="6966" ht="15.0" customHeight="1">
      <c r="A6966" s="11">
        <v>6965.0</v>
      </c>
      <c r="B6966" s="12">
        <f t="shared" si="1113"/>
        <v>41024</v>
      </c>
      <c r="C6966" s="13">
        <v>2012.0</v>
      </c>
      <c r="D6966" s="11" t="s">
        <v>39</v>
      </c>
      <c r="E6966" s="11">
        <v>3.0</v>
      </c>
      <c r="F6966" s="21" t="s">
        <v>1521</v>
      </c>
      <c r="G6966" s="15">
        <v>0.09605095541401282</v>
      </c>
      <c r="H6966" s="11" t="s">
        <v>45</v>
      </c>
      <c r="I6966" s="16">
        <v>71.44</v>
      </c>
      <c r="J6966" s="11" t="s">
        <v>998</v>
      </c>
      <c r="K6966" s="11" t="s">
        <v>35</v>
      </c>
      <c r="L6966" s="11" t="s">
        <v>48</v>
      </c>
      <c r="M6966" s="11" t="s">
        <v>49</v>
      </c>
      <c r="N6966" s="11" t="s">
        <v>85</v>
      </c>
      <c r="O6966" s="11" t="s">
        <v>1522</v>
      </c>
      <c r="P6966" s="11" t="s">
        <v>87</v>
      </c>
      <c r="Q6966" s="20">
        <v>41026.0</v>
      </c>
      <c r="R6966" s="17">
        <f t="shared" si="2"/>
        <v>27.26310318</v>
      </c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>
        <f t="shared" si="8"/>
        <v>4</v>
      </c>
      <c r="AF6966" s="19">
        <f t="shared" si="13"/>
        <v>2</v>
      </c>
      <c r="AG6966" s="9"/>
      <c r="AH6966" s="9"/>
      <c r="AI6966" s="9"/>
    </row>
    <row r="6967" ht="15.0" customHeight="1">
      <c r="A6967" s="11">
        <v>6966.0</v>
      </c>
      <c r="B6967" s="12">
        <f t="shared" si="1113"/>
        <v>41024</v>
      </c>
      <c r="C6967" s="13">
        <v>2012.0</v>
      </c>
      <c r="D6967" s="11" t="s">
        <v>39</v>
      </c>
      <c r="E6967" s="11">
        <v>11.0</v>
      </c>
      <c r="F6967" s="21" t="s">
        <v>523</v>
      </c>
      <c r="G6967" s="15">
        <v>0.05871866295264616</v>
      </c>
      <c r="H6967" s="11" t="s">
        <v>33</v>
      </c>
      <c r="I6967" s="16">
        <v>0.792</v>
      </c>
      <c r="J6967" s="11" t="s">
        <v>1120</v>
      </c>
      <c r="K6967" s="11" t="s">
        <v>35</v>
      </c>
      <c r="L6967" s="11" t="s">
        <v>36</v>
      </c>
      <c r="M6967" s="11" t="s">
        <v>28</v>
      </c>
      <c r="N6967" s="11" t="s">
        <v>188</v>
      </c>
      <c r="O6967" s="11" t="s">
        <v>1495</v>
      </c>
      <c r="P6967" s="11" t="s">
        <v>38</v>
      </c>
      <c r="Q6967" s="20">
        <v>41026.0</v>
      </c>
      <c r="R6967" s="17">
        <f t="shared" si="2"/>
        <v>1.984221058</v>
      </c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>
        <f t="shared" si="8"/>
        <v>2</v>
      </c>
      <c r="AF6967" s="19">
        <f t="shared" si="13"/>
        <v>2</v>
      </c>
      <c r="AG6967" s="9"/>
      <c r="AH6967" s="9"/>
      <c r="AI6967" s="9"/>
    </row>
    <row r="6968" ht="15.0" customHeight="1">
      <c r="A6968" s="11">
        <v>6967.0</v>
      </c>
      <c r="B6968" s="12">
        <f t="shared" si="1113"/>
        <v>41024</v>
      </c>
      <c r="C6968" s="13">
        <v>2012.0</v>
      </c>
      <c r="D6968" s="11" t="s">
        <v>23</v>
      </c>
      <c r="E6968" s="11">
        <v>5.0</v>
      </c>
      <c r="F6968" s="21" t="s">
        <v>881</v>
      </c>
      <c r="G6968" s="15">
        <v>0.06651376146788987</v>
      </c>
      <c r="H6968" s="11" t="s">
        <v>24</v>
      </c>
      <c r="I6968" s="16">
        <v>3.2</v>
      </c>
      <c r="J6968" s="11" t="s">
        <v>1192</v>
      </c>
      <c r="K6968" s="11" t="s">
        <v>35</v>
      </c>
      <c r="L6968" s="11" t="s">
        <v>27</v>
      </c>
      <c r="M6968" s="11" t="s">
        <v>49</v>
      </c>
      <c r="N6968" s="11" t="s">
        <v>73</v>
      </c>
      <c r="O6968" s="11" t="s">
        <v>883</v>
      </c>
      <c r="P6968" s="11" t="s">
        <v>58</v>
      </c>
      <c r="Q6968" s="20">
        <v>41026.0</v>
      </c>
      <c r="R6968" s="17">
        <f t="shared" si="2"/>
        <v>2.707110092</v>
      </c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>
        <f t="shared" si="8"/>
        <v>1</v>
      </c>
      <c r="AF6968" s="19">
        <f t="shared" si="13"/>
        <v>2</v>
      </c>
      <c r="AG6968" s="9"/>
      <c r="AH6968" s="9"/>
      <c r="AI6968" s="9"/>
    </row>
    <row r="6969" ht="15.0" customHeight="1">
      <c r="A6969" s="11">
        <v>6968.0</v>
      </c>
      <c r="B6969" s="12">
        <f t="shared" si="1113"/>
        <v>41024</v>
      </c>
      <c r="C6969" s="13">
        <v>2012.0</v>
      </c>
      <c r="D6969" s="11" t="s">
        <v>23</v>
      </c>
      <c r="E6969" s="11">
        <v>39.0</v>
      </c>
      <c r="F6969" s="21" t="s">
        <v>924</v>
      </c>
      <c r="G6969" s="15">
        <v>0.049773514521715974</v>
      </c>
      <c r="H6969" s="11" t="s">
        <v>33</v>
      </c>
      <c r="I6969" s="16">
        <v>1.72</v>
      </c>
      <c r="J6969" s="11" t="s">
        <v>1192</v>
      </c>
      <c r="K6969" s="11" t="s">
        <v>35</v>
      </c>
      <c r="L6969" s="11" t="s">
        <v>27</v>
      </c>
      <c r="M6969" s="11" t="s">
        <v>28</v>
      </c>
      <c r="N6969" s="11" t="s">
        <v>56</v>
      </c>
      <c r="O6969" s="11" t="s">
        <v>57</v>
      </c>
      <c r="P6969" s="11" t="s">
        <v>58</v>
      </c>
      <c r="Q6969" s="20">
        <v>41026.0</v>
      </c>
      <c r="R6969" s="17">
        <f t="shared" si="2"/>
        <v>17.75023075</v>
      </c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>
        <f t="shared" si="8"/>
        <v>1</v>
      </c>
      <c r="AF6969" s="19">
        <f t="shared" si="13"/>
        <v>2</v>
      </c>
      <c r="AG6969" s="9"/>
      <c r="AH6969" s="9"/>
      <c r="AI6969" s="9"/>
    </row>
    <row r="6970" ht="15.0" customHeight="1">
      <c r="A6970" s="11">
        <v>6969.0</v>
      </c>
      <c r="B6970" s="12">
        <f t="shared" si="1113"/>
        <v>41024</v>
      </c>
      <c r="C6970" s="13">
        <v>2012.0</v>
      </c>
      <c r="D6970" s="11" t="s">
        <v>23</v>
      </c>
      <c r="E6970" s="11">
        <v>7.0</v>
      </c>
      <c r="F6970" s="21" t="s">
        <v>1015</v>
      </c>
      <c r="G6970" s="15">
        <v>0.12355029585798821</v>
      </c>
      <c r="H6970" s="11" t="s">
        <v>33</v>
      </c>
      <c r="I6970" s="16">
        <v>4.5360000000000005</v>
      </c>
      <c r="J6970" s="11" t="s">
        <v>1192</v>
      </c>
      <c r="K6970" s="11" t="s">
        <v>35</v>
      </c>
      <c r="L6970" s="11" t="s">
        <v>27</v>
      </c>
      <c r="M6970" s="11" t="s">
        <v>28</v>
      </c>
      <c r="N6970" s="11" t="s">
        <v>56</v>
      </c>
      <c r="O6970" s="11" t="s">
        <v>1617</v>
      </c>
      <c r="P6970" s="11" t="s">
        <v>38</v>
      </c>
      <c r="Q6970" s="20">
        <v>41026.0</v>
      </c>
      <c r="R6970" s="17">
        <f t="shared" si="2"/>
        <v>5.490080947</v>
      </c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>
        <f t="shared" si="8"/>
        <v>1</v>
      </c>
      <c r="AF6970" s="19">
        <f t="shared" si="13"/>
        <v>2</v>
      </c>
      <c r="AG6970" s="9"/>
      <c r="AH6970" s="9"/>
      <c r="AI6970" s="9"/>
    </row>
    <row r="6971" ht="15.0" customHeight="1">
      <c r="A6971" s="11">
        <v>6970.0</v>
      </c>
      <c r="B6971" s="12">
        <f t="shared" ref="B6971:B6974" si="1114">DATE(2012,12,31)-249</f>
        <v>41025</v>
      </c>
      <c r="C6971" s="13">
        <v>2012.0</v>
      </c>
      <c r="D6971" s="11" t="s">
        <v>102</v>
      </c>
      <c r="E6971" s="11">
        <v>21.0</v>
      </c>
      <c r="F6971" s="21" t="s">
        <v>128</v>
      </c>
      <c r="G6971" s="15">
        <v>0.09214383561643834</v>
      </c>
      <c r="H6971" s="11" t="s">
        <v>33</v>
      </c>
      <c r="I6971" s="16">
        <v>7.040000000000001</v>
      </c>
      <c r="J6971" s="11" t="s">
        <v>841</v>
      </c>
      <c r="K6971" s="11" t="s">
        <v>61</v>
      </c>
      <c r="L6971" s="11" t="s">
        <v>41</v>
      </c>
      <c r="M6971" s="11" t="s">
        <v>66</v>
      </c>
      <c r="N6971" s="11" t="s">
        <v>80</v>
      </c>
      <c r="O6971" s="11" t="s">
        <v>765</v>
      </c>
      <c r="P6971" s="11" t="s">
        <v>38</v>
      </c>
      <c r="Q6971" s="20">
        <v>41026.0</v>
      </c>
      <c r="R6971" s="17">
        <f t="shared" si="2"/>
        <v>244.2677796</v>
      </c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>
        <f t="shared" si="8"/>
        <v>3</v>
      </c>
      <c r="AF6971" s="19">
        <f t="shared" si="13"/>
        <v>4</v>
      </c>
      <c r="AG6971" s="9"/>
      <c r="AH6971" s="9"/>
      <c r="AI6971" s="9"/>
    </row>
    <row r="6972" ht="15.0" customHeight="1">
      <c r="A6972" s="11">
        <v>6971.0</v>
      </c>
      <c r="B6972" s="12">
        <f t="shared" si="1114"/>
        <v>41025</v>
      </c>
      <c r="C6972" s="13">
        <v>2012.0</v>
      </c>
      <c r="D6972" s="11" t="s">
        <v>23</v>
      </c>
      <c r="E6972" s="11">
        <v>40.0</v>
      </c>
      <c r="F6972" s="21" t="s">
        <v>1359</v>
      </c>
      <c r="G6972" s="15">
        <v>0.06577957070174911</v>
      </c>
      <c r="H6972" s="11" t="s">
        <v>33</v>
      </c>
      <c r="I6972" s="16">
        <v>3.2</v>
      </c>
      <c r="J6972" s="11" t="s">
        <v>2191</v>
      </c>
      <c r="K6972" s="11" t="s">
        <v>35</v>
      </c>
      <c r="L6972" s="11" t="s">
        <v>48</v>
      </c>
      <c r="M6972" s="11" t="s">
        <v>66</v>
      </c>
      <c r="N6972" s="11" t="s">
        <v>67</v>
      </c>
      <c r="O6972" s="11" t="s">
        <v>1361</v>
      </c>
      <c r="P6972" s="11" t="s">
        <v>38</v>
      </c>
      <c r="Q6972" s="20">
        <v>41026.0</v>
      </c>
      <c r="R6972" s="17">
        <f t="shared" si="2"/>
        <v>204.1271638</v>
      </c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>
        <f t="shared" si="8"/>
        <v>4</v>
      </c>
      <c r="AF6972" s="19">
        <f t="shared" si="13"/>
        <v>2</v>
      </c>
      <c r="AG6972" s="9"/>
      <c r="AH6972" s="9"/>
      <c r="AI6972" s="9"/>
    </row>
    <row r="6973" ht="15.0" customHeight="1">
      <c r="A6973" s="11">
        <v>6972.0</v>
      </c>
      <c r="B6973" s="12">
        <f t="shared" si="1114"/>
        <v>41025</v>
      </c>
      <c r="C6973" s="13">
        <v>2012.0</v>
      </c>
      <c r="D6973" s="11" t="s">
        <v>23</v>
      </c>
      <c r="E6973" s="11">
        <v>5.0</v>
      </c>
      <c r="F6973" s="21" t="s">
        <v>948</v>
      </c>
      <c r="G6973" s="15">
        <v>0.058697318007662834</v>
      </c>
      <c r="H6973" s="11" t="s">
        <v>33</v>
      </c>
      <c r="I6973" s="16">
        <v>0.568</v>
      </c>
      <c r="J6973" s="11" t="s">
        <v>2191</v>
      </c>
      <c r="K6973" s="11" t="s">
        <v>35</v>
      </c>
      <c r="L6973" s="11" t="s">
        <v>48</v>
      </c>
      <c r="M6973" s="11" t="s">
        <v>28</v>
      </c>
      <c r="N6973" s="11" t="s">
        <v>62</v>
      </c>
      <c r="O6973" s="11" t="s">
        <v>949</v>
      </c>
      <c r="P6973" s="11" t="s">
        <v>58</v>
      </c>
      <c r="Q6973" s="20">
        <v>41027.0</v>
      </c>
      <c r="R6973" s="17">
        <f t="shared" si="2"/>
        <v>1.442075709</v>
      </c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>
        <f t="shared" si="8"/>
        <v>4</v>
      </c>
      <c r="AF6973" s="19">
        <f t="shared" si="13"/>
        <v>2</v>
      </c>
      <c r="AG6973" s="9"/>
      <c r="AH6973" s="9"/>
      <c r="AI6973" s="9"/>
    </row>
    <row r="6974" ht="15.0" customHeight="1">
      <c r="A6974" s="11">
        <v>6973.0</v>
      </c>
      <c r="B6974" s="12">
        <f t="shared" si="1114"/>
        <v>41025</v>
      </c>
      <c r="C6974" s="13">
        <v>2012.0</v>
      </c>
      <c r="D6974" s="11" t="s">
        <v>23</v>
      </c>
      <c r="E6974" s="11">
        <v>36.0</v>
      </c>
      <c r="F6974" s="21" t="s">
        <v>1396</v>
      </c>
      <c r="G6974" s="15">
        <v>0.03273105600832318</v>
      </c>
      <c r="H6974" s="11" t="s">
        <v>33</v>
      </c>
      <c r="I6974" s="16">
        <v>7.024</v>
      </c>
      <c r="J6974" s="11" t="s">
        <v>2156</v>
      </c>
      <c r="K6974" s="11" t="s">
        <v>65</v>
      </c>
      <c r="L6974" s="11" t="s">
        <v>27</v>
      </c>
      <c r="M6974" s="11" t="s">
        <v>28</v>
      </c>
      <c r="N6974" s="11" t="s">
        <v>29</v>
      </c>
      <c r="O6974" s="11" t="s">
        <v>1397</v>
      </c>
      <c r="P6974" s="11" t="s">
        <v>38</v>
      </c>
      <c r="Q6974" s="20">
        <v>41027.0</v>
      </c>
      <c r="R6974" s="17">
        <f t="shared" si="2"/>
        <v>18.25816859</v>
      </c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>
        <f t="shared" si="8"/>
        <v>1</v>
      </c>
      <c r="AF6974" s="19">
        <f t="shared" si="13"/>
        <v>5</v>
      </c>
      <c r="AG6974" s="9"/>
      <c r="AH6974" s="9"/>
      <c r="AI6974" s="9"/>
    </row>
    <row r="6975" ht="15.0" customHeight="1">
      <c r="A6975" s="11">
        <v>6974.0</v>
      </c>
      <c r="B6975" s="12">
        <f t="shared" ref="B6975:B6985" si="1115">DATE(2012,12,31)-248</f>
        <v>41026</v>
      </c>
      <c r="C6975" s="13">
        <v>2012.0</v>
      </c>
      <c r="D6975" s="11" t="s">
        <v>32</v>
      </c>
      <c r="E6975" s="11">
        <v>47.0</v>
      </c>
      <c r="F6975" s="21" t="s">
        <v>558</v>
      </c>
      <c r="G6975" s="15">
        <v>0.026636248933750228</v>
      </c>
      <c r="H6975" s="11" t="s">
        <v>33</v>
      </c>
      <c r="I6975" s="16">
        <v>1.592</v>
      </c>
      <c r="J6975" s="11" t="s">
        <v>626</v>
      </c>
      <c r="K6975" s="11" t="s">
        <v>61</v>
      </c>
      <c r="L6975" s="11" t="s">
        <v>27</v>
      </c>
      <c r="M6975" s="11" t="s">
        <v>66</v>
      </c>
      <c r="N6975" s="11" t="s">
        <v>67</v>
      </c>
      <c r="O6975" s="11" t="s">
        <v>559</v>
      </c>
      <c r="P6975" s="11" t="s">
        <v>99</v>
      </c>
      <c r="Q6975" s="20">
        <v>41027.0</v>
      </c>
      <c r="R6975" s="17">
        <f t="shared" si="2"/>
        <v>37.34913516</v>
      </c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>
        <f t="shared" si="8"/>
        <v>1</v>
      </c>
      <c r="AF6975" s="19">
        <f t="shared" si="13"/>
        <v>4</v>
      </c>
      <c r="AG6975" s="9"/>
      <c r="AH6975" s="9"/>
      <c r="AI6975" s="9"/>
    </row>
    <row r="6976" ht="15.0" customHeight="1">
      <c r="A6976" s="11">
        <v>6975.0</v>
      </c>
      <c r="B6976" s="12">
        <f t="shared" si="1115"/>
        <v>41026</v>
      </c>
      <c r="C6976" s="13">
        <v>2012.0</v>
      </c>
      <c r="D6976" s="11" t="s">
        <v>32</v>
      </c>
      <c r="E6976" s="11">
        <v>34.0</v>
      </c>
      <c r="F6976" s="21" t="s">
        <v>558</v>
      </c>
      <c r="G6976" s="15">
        <v>0.04165454717159322</v>
      </c>
      <c r="H6976" s="11" t="s">
        <v>24</v>
      </c>
      <c r="I6976" s="16">
        <v>1.592</v>
      </c>
      <c r="J6976" s="11" t="s">
        <v>239</v>
      </c>
      <c r="K6976" s="11" t="s">
        <v>61</v>
      </c>
      <c r="L6976" s="11" t="s">
        <v>41</v>
      </c>
      <c r="M6976" s="11" t="s">
        <v>66</v>
      </c>
      <c r="N6976" s="11" t="s">
        <v>67</v>
      </c>
      <c r="O6976" s="11" t="s">
        <v>559</v>
      </c>
      <c r="P6976" s="11" t="s">
        <v>99</v>
      </c>
      <c r="Q6976" s="20">
        <v>41027.0</v>
      </c>
      <c r="R6976" s="17">
        <f t="shared" si="2"/>
        <v>42.27070123</v>
      </c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>
        <f t="shared" si="8"/>
        <v>3</v>
      </c>
      <c r="AF6976" s="19">
        <f t="shared" si="13"/>
        <v>4</v>
      </c>
      <c r="AG6976" s="9"/>
      <c r="AH6976" s="9"/>
      <c r="AI6976" s="9"/>
    </row>
    <row r="6977" ht="15.0" customHeight="1">
      <c r="A6977" s="11">
        <v>6976.0</v>
      </c>
      <c r="B6977" s="12">
        <f t="shared" si="1115"/>
        <v>41026</v>
      </c>
      <c r="C6977" s="13">
        <v>2012.0</v>
      </c>
      <c r="D6977" s="11" t="s">
        <v>44</v>
      </c>
      <c r="E6977" s="11">
        <v>18.0</v>
      </c>
      <c r="F6977" s="21" t="s">
        <v>100</v>
      </c>
      <c r="G6977" s="15">
        <v>0.0660706285081426</v>
      </c>
      <c r="H6977" s="11" t="s">
        <v>33</v>
      </c>
      <c r="I6977" s="16">
        <v>4.208</v>
      </c>
      <c r="J6977" s="11" t="s">
        <v>1252</v>
      </c>
      <c r="K6977" s="11" t="s">
        <v>35</v>
      </c>
      <c r="L6977" s="11" t="s">
        <v>27</v>
      </c>
      <c r="M6977" s="11" t="s">
        <v>66</v>
      </c>
      <c r="N6977" s="11" t="s">
        <v>80</v>
      </c>
      <c r="O6977" s="11" t="s">
        <v>1810</v>
      </c>
      <c r="P6977" s="11" t="s">
        <v>38</v>
      </c>
      <c r="Q6977" s="20">
        <v>41027.0</v>
      </c>
      <c r="R6977" s="17">
        <f t="shared" si="2"/>
        <v>245.1489886</v>
      </c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>
        <f t="shared" si="8"/>
        <v>1</v>
      </c>
      <c r="AF6977" s="19">
        <f t="shared" si="13"/>
        <v>2</v>
      </c>
      <c r="AG6977" s="9"/>
      <c r="AH6977" s="9"/>
      <c r="AI6977" s="9"/>
    </row>
    <row r="6978" ht="15.0" customHeight="1">
      <c r="A6978" s="11">
        <v>6977.0</v>
      </c>
      <c r="B6978" s="12">
        <f t="shared" si="1115"/>
        <v>41026</v>
      </c>
      <c r="C6978" s="13">
        <v>2012.0</v>
      </c>
      <c r="D6978" s="11" t="s">
        <v>44</v>
      </c>
      <c r="E6978" s="11">
        <v>21.0</v>
      </c>
      <c r="F6978" s="21" t="s">
        <v>1764</v>
      </c>
      <c r="G6978" s="15">
        <v>0.0763290521866364</v>
      </c>
      <c r="H6978" s="11" t="s">
        <v>33</v>
      </c>
      <c r="I6978" s="16">
        <v>4.4</v>
      </c>
      <c r="J6978" s="11" t="s">
        <v>1252</v>
      </c>
      <c r="K6978" s="11" t="s">
        <v>35</v>
      </c>
      <c r="L6978" s="11" t="s">
        <v>27</v>
      </c>
      <c r="M6978" s="11" t="s">
        <v>66</v>
      </c>
      <c r="N6978" s="11" t="s">
        <v>67</v>
      </c>
      <c r="O6978" s="11" t="s">
        <v>1765</v>
      </c>
      <c r="P6978" s="11" t="s">
        <v>38</v>
      </c>
      <c r="Q6978" s="20">
        <v>41028.0</v>
      </c>
      <c r="R6978" s="17">
        <f t="shared" si="2"/>
        <v>86.732702</v>
      </c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>
        <f t="shared" si="8"/>
        <v>1</v>
      </c>
      <c r="AF6978" s="19">
        <f t="shared" si="13"/>
        <v>2</v>
      </c>
      <c r="AG6978" s="9"/>
      <c r="AH6978" s="9"/>
      <c r="AI6978" s="9"/>
    </row>
    <row r="6979" ht="15.0" customHeight="1">
      <c r="A6979" s="11">
        <v>6978.0</v>
      </c>
      <c r="B6979" s="12">
        <f t="shared" si="1115"/>
        <v>41026</v>
      </c>
      <c r="C6979" s="13">
        <v>2012.0</v>
      </c>
      <c r="D6979" s="11" t="s">
        <v>102</v>
      </c>
      <c r="E6979" s="11">
        <v>3.0</v>
      </c>
      <c r="F6979" s="21" t="s">
        <v>122</v>
      </c>
      <c r="G6979" s="15">
        <v>0.015627906976744228</v>
      </c>
      <c r="H6979" s="11" t="s">
        <v>33</v>
      </c>
      <c r="I6979" s="16">
        <v>0.792</v>
      </c>
      <c r="J6979" s="11" t="s">
        <v>268</v>
      </c>
      <c r="K6979" s="11" t="s">
        <v>65</v>
      </c>
      <c r="L6979" s="11" t="s">
        <v>48</v>
      </c>
      <c r="M6979" s="11" t="s">
        <v>66</v>
      </c>
      <c r="N6979" s="11" t="s">
        <v>80</v>
      </c>
      <c r="O6979" s="11" t="s">
        <v>1854</v>
      </c>
      <c r="P6979" s="11" t="s">
        <v>58</v>
      </c>
      <c r="Q6979" s="20">
        <v>41028.0</v>
      </c>
      <c r="R6979" s="17">
        <f t="shared" si="2"/>
        <v>0.9922470698</v>
      </c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>
        <f t="shared" si="8"/>
        <v>4</v>
      </c>
      <c r="AF6979" s="19">
        <f t="shared" si="13"/>
        <v>5</v>
      </c>
      <c r="AG6979" s="9"/>
      <c r="AH6979" s="9"/>
      <c r="AI6979" s="9"/>
    </row>
    <row r="6980" ht="15.0" customHeight="1">
      <c r="A6980" s="11">
        <v>6979.0</v>
      </c>
      <c r="B6980" s="12">
        <f t="shared" si="1115"/>
        <v>41026</v>
      </c>
      <c r="C6980" s="13">
        <v>2012.0</v>
      </c>
      <c r="D6980" s="11" t="s">
        <v>32</v>
      </c>
      <c r="E6980" s="11">
        <v>25.0</v>
      </c>
      <c r="F6980" s="21" t="s">
        <v>473</v>
      </c>
      <c r="G6980" s="15">
        <v>0.09442983246261935</v>
      </c>
      <c r="H6980" s="11" t="s">
        <v>33</v>
      </c>
      <c r="I6980" s="16">
        <v>7.864000000000001</v>
      </c>
      <c r="J6980" s="11" t="s">
        <v>1634</v>
      </c>
      <c r="K6980" s="11" t="s">
        <v>65</v>
      </c>
      <c r="L6980" s="11" t="s">
        <v>41</v>
      </c>
      <c r="M6980" s="11" t="s">
        <v>28</v>
      </c>
      <c r="N6980" s="11" t="s">
        <v>236</v>
      </c>
      <c r="O6980" s="11" t="s">
        <v>2171</v>
      </c>
      <c r="P6980" s="11" t="s">
        <v>38</v>
      </c>
      <c r="Q6980" s="20">
        <v>41028.0</v>
      </c>
      <c r="R6980" s="17">
        <f t="shared" si="2"/>
        <v>94.93635408</v>
      </c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>
        <f t="shared" si="8"/>
        <v>3</v>
      </c>
      <c r="AF6980" s="19">
        <f t="shared" si="13"/>
        <v>5</v>
      </c>
      <c r="AG6980" s="9"/>
      <c r="AH6980" s="9"/>
      <c r="AI6980" s="9"/>
    </row>
    <row r="6981" ht="15.0" customHeight="1">
      <c r="A6981" s="11">
        <v>6980.0</v>
      </c>
      <c r="B6981" s="12">
        <f t="shared" si="1115"/>
        <v>41026</v>
      </c>
      <c r="C6981" s="13">
        <v>2012.0</v>
      </c>
      <c r="D6981" s="11" t="s">
        <v>32</v>
      </c>
      <c r="E6981" s="11">
        <v>50.0</v>
      </c>
      <c r="F6981" s="21" t="s">
        <v>186</v>
      </c>
      <c r="G6981" s="15">
        <v>0.0370079476390838</v>
      </c>
      <c r="H6981" s="11" t="s">
        <v>33</v>
      </c>
      <c r="I6981" s="16">
        <v>0.984</v>
      </c>
      <c r="J6981" s="11" t="s">
        <v>571</v>
      </c>
      <c r="K6981" s="11" t="s">
        <v>65</v>
      </c>
      <c r="L6981" s="11" t="s">
        <v>27</v>
      </c>
      <c r="M6981" s="11" t="s">
        <v>28</v>
      </c>
      <c r="N6981" s="11" t="s">
        <v>62</v>
      </c>
      <c r="O6981" s="11" t="s">
        <v>2420</v>
      </c>
      <c r="P6981" s="11" t="s">
        <v>58</v>
      </c>
      <c r="Q6981" s="20">
        <v>41028.0</v>
      </c>
      <c r="R6981" s="17">
        <f t="shared" si="2"/>
        <v>7.623045086</v>
      </c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>
        <f t="shared" si="8"/>
        <v>1</v>
      </c>
      <c r="AF6981" s="19">
        <f t="shared" si="13"/>
        <v>5</v>
      </c>
      <c r="AG6981" s="9"/>
      <c r="AH6981" s="9"/>
      <c r="AI6981" s="9"/>
    </row>
    <row r="6982" ht="15.0" customHeight="1">
      <c r="A6982" s="11">
        <v>6981.0</v>
      </c>
      <c r="B6982" s="12">
        <f t="shared" si="1115"/>
        <v>41026</v>
      </c>
      <c r="C6982" s="13">
        <v>2012.0</v>
      </c>
      <c r="D6982" s="11" t="s">
        <v>32</v>
      </c>
      <c r="E6982" s="11">
        <v>4.0</v>
      </c>
      <c r="F6982" s="21" t="s">
        <v>151</v>
      </c>
      <c r="G6982" s="15">
        <v>0.12499999999999993</v>
      </c>
      <c r="H6982" s="11" t="s">
        <v>33</v>
      </c>
      <c r="I6982" s="16">
        <v>4.0</v>
      </c>
      <c r="J6982" s="11" t="s">
        <v>571</v>
      </c>
      <c r="K6982" s="11" t="s">
        <v>65</v>
      </c>
      <c r="L6982" s="11" t="s">
        <v>27</v>
      </c>
      <c r="M6982" s="11" t="s">
        <v>28</v>
      </c>
      <c r="N6982" s="11" t="s">
        <v>62</v>
      </c>
      <c r="O6982" s="11" t="s">
        <v>2132</v>
      </c>
      <c r="P6982" s="11" t="s">
        <v>58</v>
      </c>
      <c r="Q6982" s="20">
        <v>41028.0</v>
      </c>
      <c r="R6982" s="17">
        <f t="shared" si="2"/>
        <v>2.1</v>
      </c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>
        <f t="shared" si="8"/>
        <v>1</v>
      </c>
      <c r="AF6982" s="19">
        <f t="shared" si="13"/>
        <v>5</v>
      </c>
      <c r="AG6982" s="9"/>
      <c r="AH6982" s="9"/>
      <c r="AI6982" s="9"/>
    </row>
    <row r="6983" ht="15.0" customHeight="1">
      <c r="A6983" s="11">
        <v>6982.0</v>
      </c>
      <c r="B6983" s="12">
        <f t="shared" si="1115"/>
        <v>41026</v>
      </c>
      <c r="C6983" s="13">
        <v>2012.0</v>
      </c>
      <c r="D6983" s="11" t="s">
        <v>39</v>
      </c>
      <c r="E6983" s="11">
        <v>30.0</v>
      </c>
      <c r="F6983" s="21" t="s">
        <v>1615</v>
      </c>
      <c r="G6983" s="15">
        <v>0.06623141251445319</v>
      </c>
      <c r="H6983" s="11" t="s">
        <v>33</v>
      </c>
      <c r="I6983" s="16">
        <v>1.592</v>
      </c>
      <c r="J6983" s="11" t="s">
        <v>1017</v>
      </c>
      <c r="K6983" s="11" t="s">
        <v>117</v>
      </c>
      <c r="L6983" s="11" t="s">
        <v>48</v>
      </c>
      <c r="M6983" s="11" t="s">
        <v>66</v>
      </c>
      <c r="N6983" s="11" t="s">
        <v>67</v>
      </c>
      <c r="O6983" s="11" t="s">
        <v>1616</v>
      </c>
      <c r="P6983" s="11" t="s">
        <v>99</v>
      </c>
      <c r="Q6983" s="20">
        <v>41028.0</v>
      </c>
      <c r="R6983" s="17">
        <f t="shared" si="2"/>
        <v>229.9946732</v>
      </c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>
        <f t="shared" si="8"/>
        <v>4</v>
      </c>
      <c r="AF6983" s="19" t="b">
        <f t="shared" si="13"/>
        <v>0</v>
      </c>
      <c r="AG6983" s="9"/>
      <c r="AH6983" s="9"/>
      <c r="AI6983" s="9"/>
    </row>
    <row r="6984" ht="15.0" customHeight="1">
      <c r="A6984" s="11">
        <v>6983.0</v>
      </c>
      <c r="B6984" s="12">
        <f t="shared" si="1115"/>
        <v>41026</v>
      </c>
      <c r="C6984" s="13">
        <v>2012.0</v>
      </c>
      <c r="D6984" s="11" t="s">
        <v>39</v>
      </c>
      <c r="E6984" s="11">
        <v>1.0</v>
      </c>
      <c r="F6984" s="21" t="s">
        <v>2212</v>
      </c>
      <c r="G6984" s="15">
        <v>0.039623529411764814</v>
      </c>
      <c r="H6984" s="11" t="s">
        <v>33</v>
      </c>
      <c r="I6984" s="16">
        <v>3.416</v>
      </c>
      <c r="J6984" s="11" t="s">
        <v>1017</v>
      </c>
      <c r="K6984" s="11" t="s">
        <v>117</v>
      </c>
      <c r="L6984" s="11" t="s">
        <v>48</v>
      </c>
      <c r="M6984" s="11" t="s">
        <v>28</v>
      </c>
      <c r="N6984" s="11" t="s">
        <v>62</v>
      </c>
      <c r="O6984" s="11" t="s">
        <v>2213</v>
      </c>
      <c r="P6984" s="11" t="s">
        <v>58</v>
      </c>
      <c r="Q6984" s="20">
        <v>41028.0</v>
      </c>
      <c r="R6984" s="17">
        <f t="shared" si="2"/>
        <v>1.617273976</v>
      </c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>
        <f t="shared" si="8"/>
        <v>4</v>
      </c>
      <c r="AF6984" s="19" t="b">
        <f t="shared" si="13"/>
        <v>0</v>
      </c>
      <c r="AG6984" s="9"/>
      <c r="AH6984" s="9"/>
      <c r="AI6984" s="9"/>
    </row>
    <row r="6985" ht="15.0" customHeight="1">
      <c r="A6985" s="11">
        <v>6984.0</v>
      </c>
      <c r="B6985" s="12">
        <f t="shared" si="1115"/>
        <v>41026</v>
      </c>
      <c r="C6985" s="13">
        <v>2012.0</v>
      </c>
      <c r="D6985" s="11" t="s">
        <v>44</v>
      </c>
      <c r="E6985" s="11">
        <v>34.0</v>
      </c>
      <c r="F6985" s="21" t="s">
        <v>147</v>
      </c>
      <c r="G6985" s="15">
        <v>0.08954758190327605</v>
      </c>
      <c r="H6985" s="11" t="s">
        <v>33</v>
      </c>
      <c r="I6985" s="16">
        <v>0.5599999999999999</v>
      </c>
      <c r="J6985" s="11" t="s">
        <v>1560</v>
      </c>
      <c r="K6985" s="11" t="s">
        <v>26</v>
      </c>
      <c r="L6985" s="11" t="s">
        <v>48</v>
      </c>
      <c r="M6985" s="11" t="s">
        <v>28</v>
      </c>
      <c r="N6985" s="11" t="s">
        <v>62</v>
      </c>
      <c r="O6985" s="11" t="s">
        <v>1107</v>
      </c>
      <c r="P6985" s="11" t="s">
        <v>58</v>
      </c>
      <c r="Q6985" s="20">
        <v>41028.0</v>
      </c>
      <c r="R6985" s="17">
        <f t="shared" si="2"/>
        <v>5.22599688</v>
      </c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>
        <f t="shared" si="8"/>
        <v>4</v>
      </c>
      <c r="AF6985" s="19">
        <f t="shared" si="13"/>
        <v>1</v>
      </c>
      <c r="AG6985" s="9"/>
      <c r="AH6985" s="9"/>
      <c r="AI6985" s="9"/>
    </row>
    <row r="6986" ht="15.0" customHeight="1">
      <c r="A6986" s="11">
        <v>6985.0</v>
      </c>
      <c r="B6986" s="12">
        <f t="shared" ref="B6986:B6991" si="1116">DATE(2012,12,31)-247</f>
        <v>41027</v>
      </c>
      <c r="C6986" s="13">
        <v>2012.0</v>
      </c>
      <c r="D6986" s="11" t="s">
        <v>32</v>
      </c>
      <c r="E6986" s="11">
        <v>36.0</v>
      </c>
      <c r="F6986" s="21" t="s">
        <v>186</v>
      </c>
      <c r="G6986" s="15">
        <v>0.042122552116235036</v>
      </c>
      <c r="H6986" s="11" t="s">
        <v>24</v>
      </c>
      <c r="I6986" s="16">
        <v>4.032</v>
      </c>
      <c r="J6986" s="11" t="s">
        <v>34</v>
      </c>
      <c r="K6986" s="11" t="s">
        <v>35</v>
      </c>
      <c r="L6986" s="11" t="s">
        <v>36</v>
      </c>
      <c r="M6986" s="11" t="s">
        <v>28</v>
      </c>
      <c r="N6986" s="11" t="s">
        <v>42</v>
      </c>
      <c r="O6986" s="11" t="s">
        <v>864</v>
      </c>
      <c r="P6986" s="11" t="s">
        <v>38</v>
      </c>
      <c r="Q6986" s="20">
        <v>41028.0</v>
      </c>
      <c r="R6986" s="17">
        <f t="shared" si="2"/>
        <v>6.387126822</v>
      </c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>
        <f t="shared" si="8"/>
        <v>2</v>
      </c>
      <c r="AF6986" s="19">
        <f t="shared" si="13"/>
        <v>2</v>
      </c>
      <c r="AG6986" s="9"/>
      <c r="AH6986" s="9"/>
      <c r="AI6986" s="9"/>
    </row>
    <row r="6987" ht="15.0" customHeight="1">
      <c r="A6987" s="11">
        <v>6986.0</v>
      </c>
      <c r="B6987" s="12">
        <f t="shared" si="1116"/>
        <v>41027</v>
      </c>
      <c r="C6987" s="13">
        <v>2012.0</v>
      </c>
      <c r="D6987" s="11" t="s">
        <v>32</v>
      </c>
      <c r="E6987" s="11">
        <v>31.0</v>
      </c>
      <c r="F6987" s="21" t="s">
        <v>2219</v>
      </c>
      <c r="G6987" s="15">
        <v>0.07545611262749602</v>
      </c>
      <c r="H6987" s="11" t="s">
        <v>33</v>
      </c>
      <c r="I6987" s="16">
        <v>4.4</v>
      </c>
      <c r="J6987" s="11" t="s">
        <v>34</v>
      </c>
      <c r="K6987" s="11" t="s">
        <v>35</v>
      </c>
      <c r="L6987" s="11" t="s">
        <v>36</v>
      </c>
      <c r="M6987" s="11" t="s">
        <v>66</v>
      </c>
      <c r="N6987" s="11" t="s">
        <v>67</v>
      </c>
      <c r="O6987" s="11" t="s">
        <v>531</v>
      </c>
      <c r="P6987" s="11" t="s">
        <v>38</v>
      </c>
      <c r="Q6987" s="20">
        <v>41029.0</v>
      </c>
      <c r="R6987" s="17">
        <f t="shared" si="2"/>
        <v>194.2466707</v>
      </c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>
        <f t="shared" si="8"/>
        <v>2</v>
      </c>
      <c r="AF6987" s="19">
        <f t="shared" si="13"/>
        <v>2</v>
      </c>
      <c r="AG6987" s="9"/>
      <c r="AH6987" s="9"/>
      <c r="AI6987" s="9"/>
    </row>
    <row r="6988" ht="15.0" customHeight="1">
      <c r="A6988" s="11">
        <v>6987.0</v>
      </c>
      <c r="B6988" s="12">
        <f t="shared" si="1116"/>
        <v>41027</v>
      </c>
      <c r="C6988" s="13">
        <v>2012.0</v>
      </c>
      <c r="D6988" s="11" t="s">
        <v>39</v>
      </c>
      <c r="E6988" s="11">
        <v>9.0</v>
      </c>
      <c r="F6988" s="21" t="s">
        <v>881</v>
      </c>
      <c r="G6988" s="15">
        <v>0.07702349869451687</v>
      </c>
      <c r="H6988" s="11" t="s">
        <v>24</v>
      </c>
      <c r="I6988" s="16">
        <v>3.2</v>
      </c>
      <c r="J6988" s="11" t="s">
        <v>1999</v>
      </c>
      <c r="K6988" s="11" t="s">
        <v>65</v>
      </c>
      <c r="L6988" s="11" t="s">
        <v>41</v>
      </c>
      <c r="M6988" s="11" t="s">
        <v>49</v>
      </c>
      <c r="N6988" s="11" t="s">
        <v>73</v>
      </c>
      <c r="O6988" s="11" t="s">
        <v>883</v>
      </c>
      <c r="P6988" s="11" t="s">
        <v>58</v>
      </c>
      <c r="Q6988" s="20">
        <v>41029.0</v>
      </c>
      <c r="R6988" s="17">
        <f t="shared" si="2"/>
        <v>5.445561358</v>
      </c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>
        <f t="shared" si="8"/>
        <v>3</v>
      </c>
      <c r="AF6988" s="19">
        <f t="shared" si="13"/>
        <v>5</v>
      </c>
      <c r="AG6988" s="9"/>
      <c r="AH6988" s="9"/>
      <c r="AI6988" s="9"/>
    </row>
    <row r="6989" ht="15.0" customHeight="1">
      <c r="A6989" s="11">
        <v>6988.0</v>
      </c>
      <c r="B6989" s="12">
        <f t="shared" si="1116"/>
        <v>41027</v>
      </c>
      <c r="C6989" s="13">
        <v>2012.0</v>
      </c>
      <c r="D6989" s="11" t="s">
        <v>102</v>
      </c>
      <c r="E6989" s="11">
        <v>37.0</v>
      </c>
      <c r="F6989" s="21" t="s">
        <v>461</v>
      </c>
      <c r="G6989" s="15">
        <v>0.040769492293744235</v>
      </c>
      <c r="H6989" s="11" t="s">
        <v>45</v>
      </c>
      <c r="I6989" s="16">
        <v>22.400000000000002</v>
      </c>
      <c r="J6989" s="11" t="s">
        <v>900</v>
      </c>
      <c r="K6989" s="11" t="s">
        <v>61</v>
      </c>
      <c r="L6989" s="11" t="s">
        <v>48</v>
      </c>
      <c r="M6989" s="11" t="s">
        <v>66</v>
      </c>
      <c r="N6989" s="11" t="s">
        <v>69</v>
      </c>
      <c r="O6989" s="11" t="s">
        <v>1600</v>
      </c>
      <c r="P6989" s="11" t="s">
        <v>52</v>
      </c>
      <c r="Q6989" s="20">
        <v>41030.0</v>
      </c>
      <c r="R6989" s="17">
        <f t="shared" si="2"/>
        <v>138.0332701</v>
      </c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>
        <f t="shared" si="8"/>
        <v>4</v>
      </c>
      <c r="AF6989" s="19">
        <f t="shared" si="13"/>
        <v>4</v>
      </c>
      <c r="AG6989" s="9"/>
      <c r="AH6989" s="9"/>
      <c r="AI6989" s="9"/>
    </row>
    <row r="6990" ht="15.0" customHeight="1">
      <c r="A6990" s="11">
        <v>6989.0</v>
      </c>
      <c r="B6990" s="12">
        <f t="shared" si="1116"/>
        <v>41027</v>
      </c>
      <c r="C6990" s="13">
        <v>2012.0</v>
      </c>
      <c r="D6990" s="11" t="s">
        <v>23</v>
      </c>
      <c r="E6990" s="11">
        <v>37.0</v>
      </c>
      <c r="F6990" s="21" t="s">
        <v>490</v>
      </c>
      <c r="G6990" s="15">
        <v>0.0502948765204572</v>
      </c>
      <c r="H6990" s="11" t="s">
        <v>24</v>
      </c>
      <c r="I6990" s="16">
        <v>11.440000000000001</v>
      </c>
      <c r="J6990" s="11" t="s">
        <v>300</v>
      </c>
      <c r="K6990" s="11" t="s">
        <v>35</v>
      </c>
      <c r="L6990" s="11" t="s">
        <v>36</v>
      </c>
      <c r="M6990" s="11" t="s">
        <v>28</v>
      </c>
      <c r="N6990" s="11" t="s">
        <v>56</v>
      </c>
      <c r="O6990" s="11" t="s">
        <v>492</v>
      </c>
      <c r="P6990" s="11" t="s">
        <v>38</v>
      </c>
      <c r="Q6990" s="20">
        <v>41030.0</v>
      </c>
      <c r="R6990" s="17">
        <f t="shared" si="2"/>
        <v>103.6698113</v>
      </c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>
        <f t="shared" si="8"/>
        <v>2</v>
      </c>
      <c r="AF6990" s="19">
        <f t="shared" si="13"/>
        <v>2</v>
      </c>
      <c r="AG6990" s="9"/>
      <c r="AH6990" s="9"/>
      <c r="AI6990" s="9"/>
    </row>
    <row r="6991" ht="15.0" customHeight="1">
      <c r="A6991" s="11">
        <v>6990.0</v>
      </c>
      <c r="B6991" s="12">
        <f t="shared" si="1116"/>
        <v>41027</v>
      </c>
      <c r="C6991" s="13">
        <v>2012.0</v>
      </c>
      <c r="D6991" s="11" t="s">
        <v>44</v>
      </c>
      <c r="E6991" s="11">
        <v>7.0</v>
      </c>
      <c r="F6991" s="21" t="s">
        <v>834</v>
      </c>
      <c r="G6991" s="15">
        <v>0.0506330637074672</v>
      </c>
      <c r="H6991" s="11" t="s">
        <v>45</v>
      </c>
      <c r="I6991" s="16">
        <v>34.016000000000005</v>
      </c>
      <c r="J6991" s="11" t="s">
        <v>1360</v>
      </c>
      <c r="K6991" s="11" t="s">
        <v>65</v>
      </c>
      <c r="L6991" s="11" t="s">
        <v>27</v>
      </c>
      <c r="M6991" s="11" t="s">
        <v>49</v>
      </c>
      <c r="N6991" s="11" t="s">
        <v>85</v>
      </c>
      <c r="O6991" s="11" t="s">
        <v>1115</v>
      </c>
      <c r="P6991" s="11" t="s">
        <v>87</v>
      </c>
      <c r="Q6991" s="20">
        <v>41030.0</v>
      </c>
      <c r="R6991" s="17">
        <f t="shared" si="2"/>
        <v>143.813901</v>
      </c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>
        <f t="shared" si="8"/>
        <v>1</v>
      </c>
      <c r="AF6991" s="19">
        <f t="shared" si="13"/>
        <v>5</v>
      </c>
      <c r="AG6991" s="9"/>
      <c r="AH6991" s="9"/>
      <c r="AI6991" s="9"/>
    </row>
    <row r="6992" ht="15.0" customHeight="1">
      <c r="A6992" s="11">
        <v>6991.0</v>
      </c>
      <c r="B6992" s="12">
        <f t="shared" ref="B6992:B7000" si="1117">DATE(2012,12,31)-246</f>
        <v>41028</v>
      </c>
      <c r="C6992" s="13">
        <v>2012.0</v>
      </c>
      <c r="D6992" s="11" t="s">
        <v>44</v>
      </c>
      <c r="E6992" s="11">
        <v>14.0</v>
      </c>
      <c r="F6992" s="21" t="s">
        <v>1592</v>
      </c>
      <c r="G6992" s="15">
        <v>0.09322575090403697</v>
      </c>
      <c r="H6992" s="11" t="s">
        <v>45</v>
      </c>
      <c r="I6992" s="16">
        <v>33.528</v>
      </c>
      <c r="J6992" s="11" t="s">
        <v>2191</v>
      </c>
      <c r="K6992" s="11" t="s">
        <v>35</v>
      </c>
      <c r="L6992" s="11" t="s">
        <v>48</v>
      </c>
      <c r="M6992" s="11" t="s">
        <v>49</v>
      </c>
      <c r="N6992" s="11" t="s">
        <v>156</v>
      </c>
      <c r="O6992" s="11" t="s">
        <v>1593</v>
      </c>
      <c r="P6992" s="11" t="s">
        <v>87</v>
      </c>
      <c r="Q6992" s="20">
        <v>41030.0</v>
      </c>
      <c r="R6992" s="17">
        <f t="shared" si="2"/>
        <v>343.6420507</v>
      </c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>
        <f t="shared" si="8"/>
        <v>4</v>
      </c>
      <c r="AF6992" s="19">
        <f t="shared" si="13"/>
        <v>2</v>
      </c>
      <c r="AG6992" s="9"/>
      <c r="AH6992" s="9"/>
      <c r="AI6992" s="9"/>
    </row>
    <row r="6993" ht="15.0" customHeight="1">
      <c r="A6993" s="11">
        <v>6992.0</v>
      </c>
      <c r="B6993" s="12">
        <f t="shared" si="1117"/>
        <v>41028</v>
      </c>
      <c r="C6993" s="13">
        <v>2012.0</v>
      </c>
      <c r="D6993" s="11" t="s">
        <v>102</v>
      </c>
      <c r="E6993" s="11">
        <v>30.0</v>
      </c>
      <c r="F6993" s="21" t="s">
        <v>869</v>
      </c>
      <c r="G6993" s="15">
        <v>0.04868918003870933</v>
      </c>
      <c r="H6993" s="11" t="s">
        <v>33</v>
      </c>
      <c r="I6993" s="16">
        <v>1.0</v>
      </c>
      <c r="J6993" s="11" t="s">
        <v>1837</v>
      </c>
      <c r="K6993" s="11" t="s">
        <v>35</v>
      </c>
      <c r="L6993" s="11" t="s">
        <v>48</v>
      </c>
      <c r="M6993" s="11" t="s">
        <v>66</v>
      </c>
      <c r="N6993" s="11" t="s">
        <v>80</v>
      </c>
      <c r="O6993" s="11" t="s">
        <v>2349</v>
      </c>
      <c r="P6993" s="11" t="s">
        <v>99</v>
      </c>
      <c r="Q6993" s="20">
        <v>41030.0</v>
      </c>
      <c r="R6993" s="17">
        <f t="shared" si="2"/>
        <v>125.5207061</v>
      </c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>
        <f t="shared" si="8"/>
        <v>4</v>
      </c>
      <c r="AF6993" s="19">
        <f t="shared" si="13"/>
        <v>2</v>
      </c>
      <c r="AG6993" s="9"/>
      <c r="AH6993" s="9"/>
      <c r="AI6993" s="9"/>
    </row>
    <row r="6994" ht="15.0" customHeight="1">
      <c r="A6994" s="11">
        <v>6993.0</v>
      </c>
      <c r="B6994" s="12">
        <f t="shared" si="1117"/>
        <v>41028</v>
      </c>
      <c r="C6994" s="13">
        <v>2012.0</v>
      </c>
      <c r="D6994" s="11" t="s">
        <v>44</v>
      </c>
      <c r="E6994" s="11">
        <v>35.0</v>
      </c>
      <c r="F6994" s="21" t="s">
        <v>1265</v>
      </c>
      <c r="G6994" s="15">
        <v>0.0849823592575548</v>
      </c>
      <c r="H6994" s="11" t="s">
        <v>33</v>
      </c>
      <c r="I6994" s="16">
        <v>5.0</v>
      </c>
      <c r="J6994" s="11" t="s">
        <v>1466</v>
      </c>
      <c r="K6994" s="11" t="s">
        <v>65</v>
      </c>
      <c r="L6994" s="11" t="s">
        <v>48</v>
      </c>
      <c r="M6994" s="11" t="s">
        <v>28</v>
      </c>
      <c r="N6994" s="11" t="s">
        <v>29</v>
      </c>
      <c r="O6994" s="11" t="s">
        <v>2019</v>
      </c>
      <c r="P6994" s="11" t="s">
        <v>38</v>
      </c>
      <c r="Q6994" s="20">
        <v>41030.0</v>
      </c>
      <c r="R6994" s="17">
        <f t="shared" si="2"/>
        <v>50.6919773</v>
      </c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>
        <f t="shared" si="8"/>
        <v>4</v>
      </c>
      <c r="AF6994" s="19">
        <f t="shared" si="13"/>
        <v>5</v>
      </c>
      <c r="AG6994" s="9"/>
      <c r="AH6994" s="9"/>
      <c r="AI6994" s="9"/>
    </row>
    <row r="6995" ht="15.0" customHeight="1">
      <c r="A6995" s="11">
        <v>6994.0</v>
      </c>
      <c r="B6995" s="12">
        <f t="shared" si="1117"/>
        <v>41028</v>
      </c>
      <c r="C6995" s="13">
        <v>2012.0</v>
      </c>
      <c r="D6995" s="11" t="s">
        <v>44</v>
      </c>
      <c r="E6995" s="11">
        <v>7.0</v>
      </c>
      <c r="F6995" s="21" t="s">
        <v>476</v>
      </c>
      <c r="G6995" s="15">
        <v>0.04456564799094498</v>
      </c>
      <c r="H6995" s="11" t="s">
        <v>45</v>
      </c>
      <c r="I6995" s="16">
        <v>68.504</v>
      </c>
      <c r="J6995" s="11" t="s">
        <v>1466</v>
      </c>
      <c r="K6995" s="11" t="s">
        <v>65</v>
      </c>
      <c r="L6995" s="11" t="s">
        <v>48</v>
      </c>
      <c r="M6995" s="11" t="s">
        <v>49</v>
      </c>
      <c r="N6995" s="11" t="s">
        <v>85</v>
      </c>
      <c r="O6995" s="11" t="s">
        <v>477</v>
      </c>
      <c r="P6995" s="11" t="s">
        <v>87</v>
      </c>
      <c r="Q6995" s="20">
        <v>41030.0</v>
      </c>
      <c r="R6995" s="17">
        <f t="shared" si="2"/>
        <v>120.3809066</v>
      </c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>
        <f t="shared" si="8"/>
        <v>4</v>
      </c>
      <c r="AF6995" s="19">
        <f t="shared" si="13"/>
        <v>5</v>
      </c>
      <c r="AG6995" s="9"/>
      <c r="AH6995" s="9"/>
      <c r="AI6995" s="9"/>
    </row>
    <row r="6996" ht="15.0" customHeight="1">
      <c r="A6996" s="11">
        <v>6995.0</v>
      </c>
      <c r="B6996" s="12">
        <f t="shared" si="1117"/>
        <v>41028</v>
      </c>
      <c r="C6996" s="13">
        <v>2012.0</v>
      </c>
      <c r="D6996" s="11" t="s">
        <v>32</v>
      </c>
      <c r="E6996" s="11">
        <v>41.0</v>
      </c>
      <c r="F6996" s="21" t="s">
        <v>178</v>
      </c>
      <c r="G6996" s="15">
        <v>0.039944610140605026</v>
      </c>
      <c r="H6996" s="11" t="s">
        <v>33</v>
      </c>
      <c r="I6996" s="16">
        <v>2.0</v>
      </c>
      <c r="J6996" s="11" t="s">
        <v>1442</v>
      </c>
      <c r="K6996" s="11" t="s">
        <v>35</v>
      </c>
      <c r="L6996" s="11" t="s">
        <v>41</v>
      </c>
      <c r="M6996" s="11" t="s">
        <v>66</v>
      </c>
      <c r="N6996" s="11" t="s">
        <v>80</v>
      </c>
      <c r="O6996" s="11" t="s">
        <v>2552</v>
      </c>
      <c r="P6996" s="11" t="s">
        <v>38</v>
      </c>
      <c r="Q6996" s="20">
        <v>41030.0</v>
      </c>
      <c r="R6996" s="17">
        <f t="shared" si="2"/>
        <v>108.0062314</v>
      </c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>
        <f t="shared" si="8"/>
        <v>3</v>
      </c>
      <c r="AF6996" s="19">
        <f t="shared" si="13"/>
        <v>2</v>
      </c>
      <c r="AG6996" s="9"/>
      <c r="AH6996" s="9"/>
      <c r="AI6996" s="9"/>
    </row>
    <row r="6997" ht="15.0" customHeight="1">
      <c r="A6997" s="11">
        <v>6996.0</v>
      </c>
      <c r="B6997" s="12">
        <f t="shared" si="1117"/>
        <v>41028</v>
      </c>
      <c r="C6997" s="13">
        <v>2012.0</v>
      </c>
      <c r="D6997" s="11" t="s">
        <v>39</v>
      </c>
      <c r="E6997" s="11">
        <v>10.0</v>
      </c>
      <c r="F6997" s="21" t="s">
        <v>948</v>
      </c>
      <c r="G6997" s="15">
        <v>0.03352941176470585</v>
      </c>
      <c r="H6997" s="11" t="s">
        <v>33</v>
      </c>
      <c r="I6997" s="16">
        <v>4.576</v>
      </c>
      <c r="J6997" s="11" t="s">
        <v>429</v>
      </c>
      <c r="K6997" s="11" t="s">
        <v>83</v>
      </c>
      <c r="L6997" s="11" t="s">
        <v>27</v>
      </c>
      <c r="M6997" s="11" t="s">
        <v>49</v>
      </c>
      <c r="N6997" s="11" t="s">
        <v>73</v>
      </c>
      <c r="O6997" s="11" t="s">
        <v>1873</v>
      </c>
      <c r="P6997" s="11" t="s">
        <v>99</v>
      </c>
      <c r="Q6997" s="20">
        <v>41031.0</v>
      </c>
      <c r="R6997" s="17">
        <f t="shared" si="2"/>
        <v>1.762842353</v>
      </c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>
        <f t="shared" si="8"/>
        <v>1</v>
      </c>
      <c r="AF6997" s="19" t="b">
        <f t="shared" si="13"/>
        <v>0</v>
      </c>
      <c r="AG6997" s="9"/>
      <c r="AH6997" s="9"/>
      <c r="AI6997" s="9"/>
    </row>
    <row r="6998" ht="15.0" customHeight="1">
      <c r="A6998" s="11">
        <v>6997.0</v>
      </c>
      <c r="B6998" s="12">
        <f t="shared" si="1117"/>
        <v>41028</v>
      </c>
      <c r="C6998" s="13">
        <v>2012.0</v>
      </c>
      <c r="D6998" s="11" t="s">
        <v>39</v>
      </c>
      <c r="E6998" s="11">
        <v>45.0</v>
      </c>
      <c r="F6998" s="21" t="s">
        <v>142</v>
      </c>
      <c r="G6998" s="15">
        <v>0.03163860763285603</v>
      </c>
      <c r="H6998" s="11" t="s">
        <v>33</v>
      </c>
      <c r="I6998" s="16">
        <v>0.792</v>
      </c>
      <c r="J6998" s="11" t="s">
        <v>429</v>
      </c>
      <c r="K6998" s="11" t="s">
        <v>83</v>
      </c>
      <c r="L6998" s="11" t="s">
        <v>27</v>
      </c>
      <c r="M6998" s="11" t="s">
        <v>66</v>
      </c>
      <c r="N6998" s="11" t="s">
        <v>80</v>
      </c>
      <c r="O6998" s="11" t="s">
        <v>1046</v>
      </c>
      <c r="P6998" s="11" t="s">
        <v>99</v>
      </c>
      <c r="Q6998" s="20">
        <v>41031.0</v>
      </c>
      <c r="R6998" s="17">
        <f t="shared" si="2"/>
        <v>51.13722841</v>
      </c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>
        <f t="shared" si="8"/>
        <v>1</v>
      </c>
      <c r="AF6998" s="19" t="b">
        <f t="shared" si="13"/>
        <v>0</v>
      </c>
      <c r="AG6998" s="9"/>
      <c r="AH6998" s="9"/>
      <c r="AI6998" s="9"/>
    </row>
    <row r="6999" ht="15.0" customHeight="1">
      <c r="A6999" s="11">
        <v>6998.0</v>
      </c>
      <c r="B6999" s="12">
        <f t="shared" si="1117"/>
        <v>41028</v>
      </c>
      <c r="C6999" s="13">
        <v>2012.0</v>
      </c>
      <c r="D6999" s="11" t="s">
        <v>102</v>
      </c>
      <c r="E6999" s="11">
        <v>1.0</v>
      </c>
      <c r="F6999" s="21" t="s">
        <v>881</v>
      </c>
      <c r="G6999" s="15">
        <v>0.115702479338843</v>
      </c>
      <c r="H6999" s="11" t="s">
        <v>33</v>
      </c>
      <c r="I6999" s="16">
        <v>3.2</v>
      </c>
      <c r="J6999" s="11" t="s">
        <v>1423</v>
      </c>
      <c r="K6999" s="11" t="s">
        <v>61</v>
      </c>
      <c r="L6999" s="11" t="s">
        <v>48</v>
      </c>
      <c r="M6999" s="11" t="s">
        <v>49</v>
      </c>
      <c r="N6999" s="11" t="s">
        <v>73</v>
      </c>
      <c r="O6999" s="11" t="s">
        <v>883</v>
      </c>
      <c r="P6999" s="11" t="s">
        <v>58</v>
      </c>
      <c r="Q6999" s="20">
        <v>41031.0</v>
      </c>
      <c r="R6999" s="17">
        <f t="shared" si="2"/>
        <v>1.238016529</v>
      </c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>
        <f t="shared" si="8"/>
        <v>4</v>
      </c>
      <c r="AF6999" s="19">
        <f t="shared" si="13"/>
        <v>4</v>
      </c>
      <c r="AG6999" s="9"/>
      <c r="AH6999" s="9"/>
      <c r="AI6999" s="9"/>
    </row>
    <row r="7000" ht="15.0" customHeight="1">
      <c r="A7000" s="11">
        <v>6999.0</v>
      </c>
      <c r="B7000" s="12">
        <f t="shared" si="1117"/>
        <v>41028</v>
      </c>
      <c r="C7000" s="13">
        <v>2012.0</v>
      </c>
      <c r="D7000" s="11" t="s">
        <v>32</v>
      </c>
      <c r="E7000" s="11">
        <v>6.0</v>
      </c>
      <c r="F7000" s="21" t="s">
        <v>1330</v>
      </c>
      <c r="G7000" s="15">
        <v>0.09477272727272743</v>
      </c>
      <c r="H7000" s="11" t="s">
        <v>33</v>
      </c>
      <c r="I7000" s="16">
        <v>5.056000000000001</v>
      </c>
      <c r="J7000" s="11" t="s">
        <v>659</v>
      </c>
      <c r="K7000" s="11" t="s">
        <v>26</v>
      </c>
      <c r="L7000" s="11" t="s">
        <v>48</v>
      </c>
      <c r="M7000" s="11" t="s">
        <v>28</v>
      </c>
      <c r="N7000" s="11" t="s">
        <v>197</v>
      </c>
      <c r="O7000" s="11" t="s">
        <v>1331</v>
      </c>
      <c r="P7000" s="11" t="s">
        <v>38</v>
      </c>
      <c r="Q7000" s="20">
        <v>41032.0</v>
      </c>
      <c r="R7000" s="17">
        <f t="shared" si="2"/>
        <v>12.07935273</v>
      </c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>
        <f t="shared" si="8"/>
        <v>4</v>
      </c>
      <c r="AF7000" s="19">
        <f t="shared" si="13"/>
        <v>1</v>
      </c>
      <c r="AG7000" s="9"/>
      <c r="AH7000" s="9"/>
      <c r="AI7000" s="9"/>
    </row>
    <row r="7001" ht="15.0" customHeight="1">
      <c r="A7001" s="11">
        <v>7000.0</v>
      </c>
      <c r="B7001" s="12">
        <f t="shared" ref="B7001:B7002" si="1118">DATE(2012,12,31)-245</f>
        <v>41029</v>
      </c>
      <c r="C7001" s="13">
        <v>2012.0</v>
      </c>
      <c r="D7001" s="11" t="s">
        <v>23</v>
      </c>
      <c r="E7001" s="11">
        <v>11.0</v>
      </c>
      <c r="F7001" s="21" t="s">
        <v>498</v>
      </c>
      <c r="G7001" s="15">
        <v>0.017064536625215534</v>
      </c>
      <c r="H7001" s="11" t="s">
        <v>33</v>
      </c>
      <c r="I7001" s="16">
        <v>28.0</v>
      </c>
      <c r="J7001" s="11" t="s">
        <v>456</v>
      </c>
      <c r="K7001" s="11" t="s">
        <v>35</v>
      </c>
      <c r="L7001" s="11" t="s">
        <v>27</v>
      </c>
      <c r="M7001" s="11" t="s">
        <v>28</v>
      </c>
      <c r="N7001" s="11" t="s">
        <v>29</v>
      </c>
      <c r="O7001" s="11" t="s">
        <v>30</v>
      </c>
      <c r="P7001" s="11" t="s">
        <v>31</v>
      </c>
      <c r="Q7001" s="20">
        <v>41032.0</v>
      </c>
      <c r="R7001" s="17">
        <f t="shared" si="2"/>
        <v>18.47918671</v>
      </c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>
        <f t="shared" si="8"/>
        <v>1</v>
      </c>
      <c r="AF7001" s="19">
        <f t="shared" si="13"/>
        <v>2</v>
      </c>
      <c r="AG7001" s="9"/>
      <c r="AH7001" s="9"/>
      <c r="AI7001" s="9"/>
    </row>
    <row r="7002" ht="15.0" customHeight="1">
      <c r="A7002" s="11">
        <v>7001.0</v>
      </c>
      <c r="B7002" s="12">
        <f t="shared" si="1118"/>
        <v>41029</v>
      </c>
      <c r="C7002" s="13">
        <v>2012.0</v>
      </c>
      <c r="D7002" s="11" t="s">
        <v>39</v>
      </c>
      <c r="E7002" s="11">
        <v>5.0</v>
      </c>
      <c r="F7002" s="21" t="s">
        <v>310</v>
      </c>
      <c r="G7002" s="15">
        <v>0.017103070697452993</v>
      </c>
      <c r="H7002" s="11" t="s">
        <v>45</v>
      </c>
      <c r="I7002" s="16">
        <v>47.160000000000004</v>
      </c>
      <c r="J7002" s="11" t="s">
        <v>659</v>
      </c>
      <c r="K7002" s="11" t="s">
        <v>26</v>
      </c>
      <c r="L7002" s="11" t="s">
        <v>48</v>
      </c>
      <c r="M7002" s="11" t="s">
        <v>49</v>
      </c>
      <c r="N7002" s="11" t="s">
        <v>50</v>
      </c>
      <c r="O7002" s="11" t="s">
        <v>311</v>
      </c>
      <c r="P7002" s="11" t="s">
        <v>52</v>
      </c>
      <c r="Q7002" s="20">
        <v>41032.0</v>
      </c>
      <c r="R7002" s="17">
        <f t="shared" si="2"/>
        <v>28.24845775</v>
      </c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>
        <f t="shared" si="8"/>
        <v>4</v>
      </c>
      <c r="AF7002" s="19">
        <f t="shared" si="13"/>
        <v>1</v>
      </c>
      <c r="AG7002" s="9"/>
      <c r="AH7002" s="9"/>
      <c r="AI7002" s="9"/>
    </row>
    <row r="7003" ht="15.0" customHeight="1">
      <c r="A7003" s="11">
        <v>7002.0</v>
      </c>
      <c r="B7003" s="12">
        <f t="shared" ref="B7003:B7004" si="1119">DATE(2012,12,31)-244</f>
        <v>41030</v>
      </c>
      <c r="C7003" s="13">
        <v>2012.0</v>
      </c>
      <c r="D7003" s="11" t="s">
        <v>32</v>
      </c>
      <c r="E7003" s="11">
        <v>47.0</v>
      </c>
      <c r="F7003" s="21" t="s">
        <v>1970</v>
      </c>
      <c r="G7003" s="15">
        <v>0.011184111540197694</v>
      </c>
      <c r="H7003" s="11" t="s">
        <v>24</v>
      </c>
      <c r="I7003" s="16">
        <v>28.0</v>
      </c>
      <c r="J7003" s="11" t="s">
        <v>1462</v>
      </c>
      <c r="K7003" s="11" t="s">
        <v>61</v>
      </c>
      <c r="L7003" s="11" t="s">
        <v>27</v>
      </c>
      <c r="M7003" s="11" t="s">
        <v>28</v>
      </c>
      <c r="N7003" s="11" t="s">
        <v>29</v>
      </c>
      <c r="O7003" s="11" t="s">
        <v>1971</v>
      </c>
      <c r="P7003" s="11" t="s">
        <v>31</v>
      </c>
      <c r="Q7003" s="20">
        <v>41032.0</v>
      </c>
      <c r="R7003" s="17">
        <f t="shared" si="2"/>
        <v>88.20237725</v>
      </c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>
        <f t="shared" si="8"/>
        <v>1</v>
      </c>
      <c r="AF7003" s="19">
        <f t="shared" si="13"/>
        <v>4</v>
      </c>
      <c r="AG7003" s="9"/>
      <c r="AH7003" s="9"/>
      <c r="AI7003" s="9"/>
    </row>
    <row r="7004" ht="15.0" customHeight="1">
      <c r="A7004" s="11">
        <v>7003.0</v>
      </c>
      <c r="B7004" s="12">
        <f t="shared" si="1119"/>
        <v>41030</v>
      </c>
      <c r="C7004" s="13">
        <v>2012.0</v>
      </c>
      <c r="D7004" s="11" t="s">
        <v>39</v>
      </c>
      <c r="E7004" s="11">
        <v>16.0</v>
      </c>
      <c r="F7004" s="21" t="s">
        <v>2508</v>
      </c>
      <c r="G7004" s="15">
        <v>0.012934357195937551</v>
      </c>
      <c r="H7004" s="11" t="s">
        <v>24</v>
      </c>
      <c r="I7004" s="16">
        <v>19.592</v>
      </c>
      <c r="J7004" s="11" t="s">
        <v>849</v>
      </c>
      <c r="K7004" s="11" t="s">
        <v>65</v>
      </c>
      <c r="L7004" s="11" t="s">
        <v>48</v>
      </c>
      <c r="M7004" s="11" t="s">
        <v>28</v>
      </c>
      <c r="N7004" s="11" t="s">
        <v>197</v>
      </c>
      <c r="O7004" s="11" t="s">
        <v>2509</v>
      </c>
      <c r="P7004" s="11" t="s">
        <v>31</v>
      </c>
      <c r="Q7004" s="20">
        <v>41032.0</v>
      </c>
      <c r="R7004" s="17">
        <f t="shared" si="2"/>
        <v>25.7703098</v>
      </c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>
        <f t="shared" si="8"/>
        <v>4</v>
      </c>
      <c r="AF7004" s="19">
        <f t="shared" si="13"/>
        <v>5</v>
      </c>
      <c r="AG7004" s="9"/>
      <c r="AH7004" s="9"/>
      <c r="AI7004" s="9"/>
    </row>
    <row r="7005" ht="15.0" customHeight="1">
      <c r="A7005" s="11">
        <v>7004.0</v>
      </c>
      <c r="B7005" s="12">
        <f t="shared" ref="B7005:B7010" si="1120">DATE(2012,12,31)-243</f>
        <v>41031</v>
      </c>
      <c r="C7005" s="13">
        <v>2012.0</v>
      </c>
      <c r="D7005" s="11" t="s">
        <v>32</v>
      </c>
      <c r="E7005" s="11">
        <v>21.0</v>
      </c>
      <c r="F7005" s="21" t="s">
        <v>304</v>
      </c>
      <c r="G7005" s="15">
        <v>0.008041237113402088</v>
      </c>
      <c r="H7005" s="11" t="s">
        <v>33</v>
      </c>
      <c r="I7005" s="16">
        <v>7.224</v>
      </c>
      <c r="J7005" s="11" t="s">
        <v>689</v>
      </c>
      <c r="K7005" s="11" t="s">
        <v>117</v>
      </c>
      <c r="L7005" s="11" t="s">
        <v>36</v>
      </c>
      <c r="M7005" s="11" t="s">
        <v>28</v>
      </c>
      <c r="N7005" s="11" t="s">
        <v>56</v>
      </c>
      <c r="O7005" s="11" t="s">
        <v>388</v>
      </c>
      <c r="P7005" s="11" t="s">
        <v>38</v>
      </c>
      <c r="Q7005" s="20">
        <v>41033.0</v>
      </c>
      <c r="R7005" s="17">
        <f t="shared" si="2"/>
        <v>3.249656907</v>
      </c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>
        <f t="shared" si="8"/>
        <v>2</v>
      </c>
      <c r="AF7005" s="19" t="b">
        <f t="shared" si="13"/>
        <v>0</v>
      </c>
      <c r="AG7005" s="9"/>
      <c r="AH7005" s="9"/>
      <c r="AI7005" s="9"/>
    </row>
    <row r="7006" ht="15.0" customHeight="1">
      <c r="A7006" s="11">
        <v>7005.0</v>
      </c>
      <c r="B7006" s="12">
        <f t="shared" si="1120"/>
        <v>41031</v>
      </c>
      <c r="C7006" s="13">
        <v>2012.0</v>
      </c>
      <c r="D7006" s="11" t="s">
        <v>44</v>
      </c>
      <c r="E7006" s="11">
        <v>24.0</v>
      </c>
      <c r="F7006" s="21" t="s">
        <v>1203</v>
      </c>
      <c r="G7006" s="15">
        <v>0.07061851390618513</v>
      </c>
      <c r="H7006" s="11" t="s">
        <v>33</v>
      </c>
      <c r="I7006" s="16">
        <v>7.888</v>
      </c>
      <c r="J7006" s="11" t="s">
        <v>1780</v>
      </c>
      <c r="K7006" s="11" t="s">
        <v>26</v>
      </c>
      <c r="L7006" s="11" t="s">
        <v>27</v>
      </c>
      <c r="M7006" s="11" t="s">
        <v>28</v>
      </c>
      <c r="N7006" s="11" t="s">
        <v>56</v>
      </c>
      <c r="O7006" s="11" t="s">
        <v>1204</v>
      </c>
      <c r="P7006" s="11" t="s">
        <v>38</v>
      </c>
      <c r="Q7006" s="20">
        <v>41033.0</v>
      </c>
      <c r="R7006" s="17">
        <f t="shared" si="2"/>
        <v>15.81063784</v>
      </c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>
        <f t="shared" si="8"/>
        <v>1</v>
      </c>
      <c r="AF7006" s="19">
        <f t="shared" si="13"/>
        <v>1</v>
      </c>
      <c r="AG7006" s="9"/>
      <c r="AH7006" s="9"/>
      <c r="AI7006" s="9"/>
    </row>
    <row r="7007" ht="15.0" customHeight="1">
      <c r="A7007" s="11">
        <v>7006.0</v>
      </c>
      <c r="B7007" s="12">
        <f t="shared" si="1120"/>
        <v>41031</v>
      </c>
      <c r="C7007" s="13">
        <v>2012.0</v>
      </c>
      <c r="D7007" s="11" t="s">
        <v>44</v>
      </c>
      <c r="E7007" s="11">
        <v>48.0</v>
      </c>
      <c r="F7007" s="21" t="s">
        <v>273</v>
      </c>
      <c r="G7007" s="15">
        <v>0.021154866353805375</v>
      </c>
      <c r="H7007" s="11" t="s">
        <v>24</v>
      </c>
      <c r="I7007" s="16">
        <v>3.192</v>
      </c>
      <c r="J7007" s="11" t="s">
        <v>786</v>
      </c>
      <c r="K7007" s="11" t="s">
        <v>35</v>
      </c>
      <c r="L7007" s="11" t="s">
        <v>48</v>
      </c>
      <c r="M7007" s="11" t="s">
        <v>28</v>
      </c>
      <c r="N7007" s="11" t="s">
        <v>197</v>
      </c>
      <c r="O7007" s="11" t="s">
        <v>275</v>
      </c>
      <c r="P7007" s="11" t="s">
        <v>38</v>
      </c>
      <c r="Q7007" s="20">
        <v>41034.0</v>
      </c>
      <c r="R7007" s="17">
        <f t="shared" si="2"/>
        <v>60.89199807</v>
      </c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>
        <f t="shared" si="8"/>
        <v>4</v>
      </c>
      <c r="AF7007" s="19">
        <f t="shared" si="13"/>
        <v>2</v>
      </c>
      <c r="AG7007" s="9"/>
      <c r="AH7007" s="9"/>
      <c r="AI7007" s="9"/>
    </row>
    <row r="7008" ht="15.0" customHeight="1">
      <c r="A7008" s="11">
        <v>7007.0</v>
      </c>
      <c r="B7008" s="12">
        <f t="shared" si="1120"/>
        <v>41031</v>
      </c>
      <c r="C7008" s="13">
        <v>2012.0</v>
      </c>
      <c r="D7008" s="11" t="s">
        <v>44</v>
      </c>
      <c r="E7008" s="11">
        <v>41.0</v>
      </c>
      <c r="F7008" s="21" t="s">
        <v>178</v>
      </c>
      <c r="G7008" s="15">
        <v>0.058239777275100005</v>
      </c>
      <c r="H7008" s="11" t="s">
        <v>33</v>
      </c>
      <c r="I7008" s="16">
        <v>4.248</v>
      </c>
      <c r="J7008" s="11" t="s">
        <v>786</v>
      </c>
      <c r="K7008" s="11" t="s">
        <v>35</v>
      </c>
      <c r="L7008" s="11" t="s">
        <v>48</v>
      </c>
      <c r="M7008" s="11" t="s">
        <v>66</v>
      </c>
      <c r="N7008" s="11" t="s">
        <v>80</v>
      </c>
      <c r="O7008" s="11" t="s">
        <v>1738</v>
      </c>
      <c r="P7008" s="11" t="s">
        <v>38</v>
      </c>
      <c r="Q7008" s="20">
        <v>41034.0</v>
      </c>
      <c r="R7008" s="17">
        <f t="shared" si="2"/>
        <v>157.6054568</v>
      </c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>
        <f t="shared" si="8"/>
        <v>4</v>
      </c>
      <c r="AF7008" s="19">
        <f t="shared" si="13"/>
        <v>2</v>
      </c>
      <c r="AG7008" s="9"/>
      <c r="AH7008" s="9"/>
      <c r="AI7008" s="9"/>
    </row>
    <row r="7009" ht="15.0" customHeight="1">
      <c r="A7009" s="11">
        <v>7008.0</v>
      </c>
      <c r="B7009" s="12">
        <f t="shared" si="1120"/>
        <v>41031</v>
      </c>
      <c r="C7009" s="13">
        <v>2012.0</v>
      </c>
      <c r="D7009" s="11" t="s">
        <v>44</v>
      </c>
      <c r="E7009" s="11">
        <v>3.0</v>
      </c>
      <c r="F7009" s="21" t="s">
        <v>207</v>
      </c>
      <c r="G7009" s="15">
        <v>0.08080402010050254</v>
      </c>
      <c r="H7009" s="11" t="s">
        <v>33</v>
      </c>
      <c r="I7009" s="16">
        <v>2.3920000000000003</v>
      </c>
      <c r="J7009" s="11" t="s">
        <v>1907</v>
      </c>
      <c r="K7009" s="11" t="s">
        <v>61</v>
      </c>
      <c r="L7009" s="11" t="s">
        <v>36</v>
      </c>
      <c r="M7009" s="11" t="s">
        <v>28</v>
      </c>
      <c r="N7009" s="11" t="s">
        <v>42</v>
      </c>
      <c r="O7009" s="11" t="s">
        <v>682</v>
      </c>
      <c r="P7009" s="11" t="s">
        <v>38</v>
      </c>
      <c r="Q7009" s="20">
        <v>41035.0</v>
      </c>
      <c r="R7009" s="17">
        <f t="shared" si="2"/>
        <v>1.478067136</v>
      </c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>
        <f t="shared" si="8"/>
        <v>2</v>
      </c>
      <c r="AF7009" s="19">
        <f t="shared" si="13"/>
        <v>4</v>
      </c>
      <c r="AG7009" s="9"/>
      <c r="AH7009" s="9"/>
      <c r="AI7009" s="9"/>
    </row>
    <row r="7010" ht="15.0" customHeight="1">
      <c r="A7010" s="11">
        <v>7009.0</v>
      </c>
      <c r="B7010" s="12">
        <f t="shared" si="1120"/>
        <v>41031</v>
      </c>
      <c r="C7010" s="13">
        <v>2012.0</v>
      </c>
      <c r="D7010" s="11" t="s">
        <v>44</v>
      </c>
      <c r="E7010" s="11">
        <v>47.0</v>
      </c>
      <c r="F7010" s="21" t="s">
        <v>962</v>
      </c>
      <c r="G7010" s="15">
        <v>0.02607519517874269</v>
      </c>
      <c r="H7010" s="11" t="s">
        <v>33</v>
      </c>
      <c r="I7010" s="16">
        <v>4.328</v>
      </c>
      <c r="J7010" s="11" t="s">
        <v>1907</v>
      </c>
      <c r="K7010" s="11" t="s">
        <v>61</v>
      </c>
      <c r="L7010" s="11" t="s">
        <v>36</v>
      </c>
      <c r="M7010" s="11" t="s">
        <v>28</v>
      </c>
      <c r="N7010" s="11" t="s">
        <v>29</v>
      </c>
      <c r="O7010" s="11" t="s">
        <v>964</v>
      </c>
      <c r="P7010" s="11" t="s">
        <v>38</v>
      </c>
      <c r="Q7010" s="20">
        <v>41035.0</v>
      </c>
      <c r="R7010" s="17">
        <f t="shared" si="2"/>
        <v>18.98607972</v>
      </c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>
        <f t="shared" si="8"/>
        <v>2</v>
      </c>
      <c r="AF7010" s="19">
        <f t="shared" si="13"/>
        <v>4</v>
      </c>
      <c r="AG7010" s="9"/>
      <c r="AH7010" s="9"/>
      <c r="AI7010" s="9"/>
    </row>
    <row r="7011" ht="15.0" customHeight="1">
      <c r="A7011" s="11">
        <v>7010.0</v>
      </c>
      <c r="B7011" s="12">
        <f t="shared" ref="B7011:B7016" si="1121">DATE(2012,12,31)-242</f>
        <v>41032</v>
      </c>
      <c r="C7011" s="13">
        <v>2012.0</v>
      </c>
      <c r="D7011" s="11" t="s">
        <v>39</v>
      </c>
      <c r="E7011" s="11">
        <v>9.0</v>
      </c>
      <c r="F7011" s="21" t="s">
        <v>319</v>
      </c>
      <c r="G7011" s="15">
        <v>0.09286713286713294</v>
      </c>
      <c r="H7011" s="11" t="s">
        <v>33</v>
      </c>
      <c r="I7011" s="16">
        <v>0.7440000000000001</v>
      </c>
      <c r="J7011" s="11" t="s">
        <v>1773</v>
      </c>
      <c r="K7011" s="11" t="s">
        <v>61</v>
      </c>
      <c r="L7011" s="11" t="s">
        <v>48</v>
      </c>
      <c r="M7011" s="11" t="s">
        <v>28</v>
      </c>
      <c r="N7011" s="11" t="s">
        <v>62</v>
      </c>
      <c r="O7011" s="11" t="s">
        <v>1427</v>
      </c>
      <c r="P7011" s="11" t="s">
        <v>58</v>
      </c>
      <c r="Q7011" s="20">
        <v>41035.0</v>
      </c>
      <c r="R7011" s="17">
        <f t="shared" si="2"/>
        <v>2.409344895</v>
      </c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>
        <f t="shared" si="8"/>
        <v>4</v>
      </c>
      <c r="AF7011" s="19">
        <f t="shared" si="13"/>
        <v>4</v>
      </c>
      <c r="AG7011" s="9"/>
      <c r="AH7011" s="9"/>
      <c r="AI7011" s="9"/>
    </row>
    <row r="7012" ht="15.0" customHeight="1">
      <c r="A7012" s="11">
        <v>7011.0</v>
      </c>
      <c r="B7012" s="12">
        <f t="shared" si="1121"/>
        <v>41032</v>
      </c>
      <c r="C7012" s="13">
        <v>2012.0</v>
      </c>
      <c r="D7012" s="11" t="s">
        <v>39</v>
      </c>
      <c r="E7012" s="11">
        <v>14.0</v>
      </c>
      <c r="F7012" s="21" t="s">
        <v>284</v>
      </c>
      <c r="G7012" s="15">
        <v>0.11539393939393938</v>
      </c>
      <c r="H7012" s="11" t="s">
        <v>33</v>
      </c>
      <c r="I7012" s="16">
        <v>1.192</v>
      </c>
      <c r="J7012" s="11" t="s">
        <v>1264</v>
      </c>
      <c r="K7012" s="11" t="s">
        <v>35</v>
      </c>
      <c r="L7012" s="11" t="s">
        <v>36</v>
      </c>
      <c r="M7012" s="11" t="s">
        <v>28</v>
      </c>
      <c r="N7012" s="11" t="s">
        <v>42</v>
      </c>
      <c r="O7012" s="11" t="s">
        <v>2299</v>
      </c>
      <c r="P7012" s="11" t="s">
        <v>38</v>
      </c>
      <c r="Q7012" s="20">
        <v>41035.0</v>
      </c>
      <c r="R7012" s="17">
        <f t="shared" si="2"/>
        <v>3.368579879</v>
      </c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>
        <f t="shared" si="8"/>
        <v>2</v>
      </c>
      <c r="AF7012" s="19">
        <f t="shared" si="13"/>
        <v>2</v>
      </c>
      <c r="AG7012" s="9"/>
      <c r="AH7012" s="9"/>
      <c r="AI7012" s="9"/>
    </row>
    <row r="7013" ht="15.0" customHeight="1">
      <c r="A7013" s="11">
        <v>7012.0</v>
      </c>
      <c r="B7013" s="12">
        <f t="shared" si="1121"/>
        <v>41032</v>
      </c>
      <c r="C7013" s="13">
        <v>2012.0</v>
      </c>
      <c r="D7013" s="11" t="s">
        <v>102</v>
      </c>
      <c r="E7013" s="11">
        <v>24.0</v>
      </c>
      <c r="F7013" s="21" t="s">
        <v>178</v>
      </c>
      <c r="G7013" s="15">
        <v>0.09315525114155243</v>
      </c>
      <c r="H7013" s="11" t="s">
        <v>33</v>
      </c>
      <c r="I7013" s="16">
        <v>7.192</v>
      </c>
      <c r="J7013" s="11" t="s">
        <v>648</v>
      </c>
      <c r="K7013" s="11" t="s">
        <v>35</v>
      </c>
      <c r="L7013" s="11" t="s">
        <v>48</v>
      </c>
      <c r="M7013" s="11" t="s">
        <v>66</v>
      </c>
      <c r="N7013" s="11" t="s">
        <v>80</v>
      </c>
      <c r="O7013" s="11" t="s">
        <v>1875</v>
      </c>
      <c r="P7013" s="11" t="s">
        <v>38</v>
      </c>
      <c r="Q7013" s="20">
        <v>41035.0</v>
      </c>
      <c r="R7013" s="17">
        <f t="shared" si="2"/>
        <v>148.0043178</v>
      </c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>
        <f t="shared" si="8"/>
        <v>4</v>
      </c>
      <c r="AF7013" s="19">
        <f t="shared" si="13"/>
        <v>2</v>
      </c>
      <c r="AG7013" s="9"/>
      <c r="AH7013" s="9"/>
      <c r="AI7013" s="9"/>
    </row>
    <row r="7014" ht="15.0" customHeight="1">
      <c r="A7014" s="11">
        <v>7013.0</v>
      </c>
      <c r="B7014" s="12">
        <f t="shared" si="1121"/>
        <v>41032</v>
      </c>
      <c r="C7014" s="13">
        <v>2012.0</v>
      </c>
      <c r="D7014" s="11" t="s">
        <v>44</v>
      </c>
      <c r="E7014" s="11">
        <v>20.0</v>
      </c>
      <c r="F7014" s="21" t="s">
        <v>894</v>
      </c>
      <c r="G7014" s="15">
        <v>0.06063492063492049</v>
      </c>
      <c r="H7014" s="11" t="s">
        <v>33</v>
      </c>
      <c r="I7014" s="16">
        <v>5.016</v>
      </c>
      <c r="J7014" s="11" t="s">
        <v>332</v>
      </c>
      <c r="K7014" s="11" t="s">
        <v>65</v>
      </c>
      <c r="L7014" s="11" t="s">
        <v>48</v>
      </c>
      <c r="M7014" s="11" t="s">
        <v>28</v>
      </c>
      <c r="N7014" s="11" t="s">
        <v>42</v>
      </c>
      <c r="O7014" s="11" t="s">
        <v>89</v>
      </c>
      <c r="P7014" s="11" t="s">
        <v>38</v>
      </c>
      <c r="Q7014" s="20">
        <v>41035.0</v>
      </c>
      <c r="R7014" s="17">
        <f t="shared" si="2"/>
        <v>4.306049524</v>
      </c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>
        <f t="shared" si="8"/>
        <v>4</v>
      </c>
      <c r="AF7014" s="19">
        <f t="shared" si="13"/>
        <v>5</v>
      </c>
      <c r="AG7014" s="9"/>
      <c r="AH7014" s="9"/>
      <c r="AI7014" s="9"/>
    </row>
    <row r="7015" ht="15.0" customHeight="1">
      <c r="A7015" s="11">
        <v>7014.0</v>
      </c>
      <c r="B7015" s="12">
        <f t="shared" si="1121"/>
        <v>41032</v>
      </c>
      <c r="C7015" s="13">
        <v>2012.0</v>
      </c>
      <c r="D7015" s="11" t="s">
        <v>44</v>
      </c>
      <c r="E7015" s="11">
        <v>46.0</v>
      </c>
      <c r="F7015" s="21" t="s">
        <v>163</v>
      </c>
      <c r="G7015" s="15">
        <v>0.076202797064467</v>
      </c>
      <c r="H7015" s="11" t="s">
        <v>45</v>
      </c>
      <c r="I7015" s="16">
        <v>28.672000000000004</v>
      </c>
      <c r="J7015" s="11" t="s">
        <v>1067</v>
      </c>
      <c r="K7015" s="11" t="s">
        <v>61</v>
      </c>
      <c r="L7015" s="11" t="s">
        <v>27</v>
      </c>
      <c r="M7015" s="11" t="s">
        <v>49</v>
      </c>
      <c r="N7015" s="11" t="s">
        <v>156</v>
      </c>
      <c r="O7015" s="11" t="s">
        <v>165</v>
      </c>
      <c r="P7015" s="11" t="s">
        <v>87</v>
      </c>
      <c r="Q7015" s="20">
        <v>41035.0</v>
      </c>
      <c r="R7015" s="17">
        <f t="shared" si="2"/>
        <v>355.8725489</v>
      </c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>
        <f t="shared" si="8"/>
        <v>1</v>
      </c>
      <c r="AF7015" s="19">
        <f t="shared" si="13"/>
        <v>4</v>
      </c>
      <c r="AG7015" s="9"/>
      <c r="AH7015" s="9"/>
      <c r="AI7015" s="9"/>
    </row>
    <row r="7016" ht="15.0" customHeight="1">
      <c r="A7016" s="11">
        <v>7015.0</v>
      </c>
      <c r="B7016" s="12">
        <f t="shared" si="1121"/>
        <v>41032</v>
      </c>
      <c r="C7016" s="13">
        <v>2012.0</v>
      </c>
      <c r="D7016" s="11" t="s">
        <v>39</v>
      </c>
      <c r="E7016" s="11">
        <v>42.0</v>
      </c>
      <c r="F7016" s="21" t="s">
        <v>264</v>
      </c>
      <c r="G7016" s="15">
        <v>0.015017468422467138</v>
      </c>
      <c r="H7016" s="11" t="s">
        <v>33</v>
      </c>
      <c r="I7016" s="16">
        <v>1.1119999999999999</v>
      </c>
      <c r="J7016" s="11" t="s">
        <v>1518</v>
      </c>
      <c r="K7016" s="11" t="s">
        <v>83</v>
      </c>
      <c r="L7016" s="11" t="s">
        <v>48</v>
      </c>
      <c r="M7016" s="11" t="s">
        <v>28</v>
      </c>
      <c r="N7016" s="11" t="s">
        <v>236</v>
      </c>
      <c r="O7016" s="11" t="s">
        <v>265</v>
      </c>
      <c r="P7016" s="11" t="s">
        <v>38</v>
      </c>
      <c r="Q7016" s="20">
        <v>41035.0</v>
      </c>
      <c r="R7016" s="17">
        <f t="shared" si="2"/>
        <v>5.504082386</v>
      </c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>
        <f t="shared" si="8"/>
        <v>4</v>
      </c>
      <c r="AF7016" s="19" t="b">
        <f t="shared" si="13"/>
        <v>0</v>
      </c>
      <c r="AG7016" s="9"/>
      <c r="AH7016" s="9"/>
      <c r="AI7016" s="9"/>
    </row>
    <row r="7017" ht="15.0" customHeight="1">
      <c r="A7017" s="11">
        <v>7016.0</v>
      </c>
      <c r="B7017" s="12">
        <f t="shared" ref="B7017:B7024" si="1122">DATE(2012,12,31)-241</f>
        <v>41033</v>
      </c>
      <c r="C7017" s="13">
        <v>2012.0</v>
      </c>
      <c r="D7017" s="11" t="s">
        <v>44</v>
      </c>
      <c r="E7017" s="11">
        <v>40.0</v>
      </c>
      <c r="F7017" s="21" t="s">
        <v>422</v>
      </c>
      <c r="G7017" s="15">
        <v>0.0264797507788162</v>
      </c>
      <c r="H7017" s="11" t="s">
        <v>33</v>
      </c>
      <c r="I7017" s="16">
        <v>28.0</v>
      </c>
      <c r="J7017" s="11" t="s">
        <v>689</v>
      </c>
      <c r="K7017" s="11" t="s">
        <v>117</v>
      </c>
      <c r="L7017" s="11" t="s">
        <v>36</v>
      </c>
      <c r="M7017" s="11" t="s">
        <v>28</v>
      </c>
      <c r="N7017" s="11" t="s">
        <v>29</v>
      </c>
      <c r="O7017" s="11" t="s">
        <v>1571</v>
      </c>
      <c r="P7017" s="11" t="s">
        <v>31</v>
      </c>
      <c r="Q7017" s="20">
        <v>41035.0</v>
      </c>
      <c r="R7017" s="17">
        <f t="shared" si="2"/>
        <v>86.42990654</v>
      </c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>
        <f t="shared" si="8"/>
        <v>2</v>
      </c>
      <c r="AF7017" s="19" t="b">
        <f t="shared" si="13"/>
        <v>0</v>
      </c>
      <c r="AG7017" s="9"/>
      <c r="AH7017" s="9"/>
      <c r="AI7017" s="9"/>
    </row>
    <row r="7018" ht="15.0" customHeight="1">
      <c r="A7018" s="11">
        <v>7017.0</v>
      </c>
      <c r="B7018" s="12">
        <f t="shared" si="1122"/>
        <v>41033</v>
      </c>
      <c r="C7018" s="13">
        <v>2012.0</v>
      </c>
      <c r="D7018" s="11" t="s">
        <v>44</v>
      </c>
      <c r="E7018" s="11">
        <v>40.0</v>
      </c>
      <c r="F7018" s="21" t="s">
        <v>1432</v>
      </c>
      <c r="G7018" s="15">
        <v>0.020176755044188737</v>
      </c>
      <c r="H7018" s="11" t="s">
        <v>24</v>
      </c>
      <c r="I7018" s="16">
        <v>2.8000000000000003</v>
      </c>
      <c r="J7018" s="11" t="s">
        <v>423</v>
      </c>
      <c r="K7018" s="11" t="s">
        <v>35</v>
      </c>
      <c r="L7018" s="11" t="s">
        <v>48</v>
      </c>
      <c r="M7018" s="11" t="s">
        <v>28</v>
      </c>
      <c r="N7018" s="11" t="s">
        <v>197</v>
      </c>
      <c r="O7018" s="11" t="s">
        <v>1434</v>
      </c>
      <c r="P7018" s="11" t="s">
        <v>38</v>
      </c>
      <c r="Q7018" s="20">
        <v>41035.0</v>
      </c>
      <c r="R7018" s="17">
        <f t="shared" si="2"/>
        <v>35.56758379</v>
      </c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>
        <f t="shared" si="8"/>
        <v>4</v>
      </c>
      <c r="AF7018" s="19">
        <f t="shared" si="13"/>
        <v>2</v>
      </c>
      <c r="AG7018" s="9"/>
      <c r="AH7018" s="9"/>
      <c r="AI7018" s="9"/>
    </row>
    <row r="7019" ht="15.0" customHeight="1">
      <c r="A7019" s="11">
        <v>7018.0</v>
      </c>
      <c r="B7019" s="12">
        <f t="shared" si="1122"/>
        <v>41033</v>
      </c>
      <c r="C7019" s="13">
        <v>2012.0</v>
      </c>
      <c r="D7019" s="11" t="s">
        <v>44</v>
      </c>
      <c r="E7019" s="11">
        <v>8.0</v>
      </c>
      <c r="F7019" s="21" t="s">
        <v>183</v>
      </c>
      <c r="G7019" s="15">
        <v>0.05200275292498287</v>
      </c>
      <c r="H7019" s="11" t="s">
        <v>33</v>
      </c>
      <c r="I7019" s="16">
        <v>10.544</v>
      </c>
      <c r="J7019" s="11" t="s">
        <v>423</v>
      </c>
      <c r="K7019" s="11" t="s">
        <v>35</v>
      </c>
      <c r="L7019" s="11" t="s">
        <v>48</v>
      </c>
      <c r="M7019" s="11" t="s">
        <v>28</v>
      </c>
      <c r="N7019" s="11" t="s">
        <v>42</v>
      </c>
      <c r="O7019" s="11" t="s">
        <v>185</v>
      </c>
      <c r="P7019" s="11" t="s">
        <v>38</v>
      </c>
      <c r="Q7019" s="20">
        <v>41036.0</v>
      </c>
      <c r="R7019" s="17">
        <f t="shared" si="2"/>
        <v>7.163067199</v>
      </c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>
        <f t="shared" si="8"/>
        <v>4</v>
      </c>
      <c r="AF7019" s="19">
        <f t="shared" si="13"/>
        <v>2</v>
      </c>
      <c r="AG7019" s="9"/>
      <c r="AH7019" s="9"/>
      <c r="AI7019" s="9"/>
    </row>
    <row r="7020" ht="15.0" customHeight="1">
      <c r="A7020" s="11">
        <v>7019.0</v>
      </c>
      <c r="B7020" s="12">
        <f t="shared" si="1122"/>
        <v>41033</v>
      </c>
      <c r="C7020" s="13">
        <v>2012.0</v>
      </c>
      <c r="D7020" s="11" t="s">
        <v>44</v>
      </c>
      <c r="E7020" s="11">
        <v>20.0</v>
      </c>
      <c r="F7020" s="21" t="s">
        <v>788</v>
      </c>
      <c r="G7020" s="15">
        <v>0.08329203539823003</v>
      </c>
      <c r="H7020" s="11" t="s">
        <v>33</v>
      </c>
      <c r="I7020" s="16">
        <v>3.9920000000000004</v>
      </c>
      <c r="J7020" s="11" t="s">
        <v>423</v>
      </c>
      <c r="K7020" s="11" t="s">
        <v>35</v>
      </c>
      <c r="L7020" s="11" t="s">
        <v>48</v>
      </c>
      <c r="M7020" s="11" t="s">
        <v>66</v>
      </c>
      <c r="N7020" s="11" t="s">
        <v>80</v>
      </c>
      <c r="O7020" s="11" t="s">
        <v>789</v>
      </c>
      <c r="P7020" s="11" t="s">
        <v>38</v>
      </c>
      <c r="Q7020" s="20">
        <v>41036.0</v>
      </c>
      <c r="R7020" s="17">
        <f t="shared" si="2"/>
        <v>293.3538823</v>
      </c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>
        <f t="shared" si="8"/>
        <v>4</v>
      </c>
      <c r="AF7020" s="19">
        <f t="shared" si="13"/>
        <v>2</v>
      </c>
      <c r="AG7020" s="9"/>
      <c r="AH7020" s="9"/>
      <c r="AI7020" s="9"/>
    </row>
    <row r="7021" ht="15.0" customHeight="1">
      <c r="A7021" s="11">
        <v>7020.0</v>
      </c>
      <c r="B7021" s="12">
        <f t="shared" si="1122"/>
        <v>41033</v>
      </c>
      <c r="C7021" s="13">
        <v>2012.0</v>
      </c>
      <c r="D7021" s="11" t="s">
        <v>39</v>
      </c>
      <c r="E7021" s="11">
        <v>35.0</v>
      </c>
      <c r="F7021" s="21" t="s">
        <v>629</v>
      </c>
      <c r="G7021" s="15">
        <v>0.10397515527950311</v>
      </c>
      <c r="H7021" s="11" t="s">
        <v>33</v>
      </c>
      <c r="I7021" s="16">
        <v>4.168</v>
      </c>
      <c r="J7021" s="11" t="s">
        <v>426</v>
      </c>
      <c r="K7021" s="11" t="s">
        <v>61</v>
      </c>
      <c r="L7021" s="11" t="s">
        <v>48</v>
      </c>
      <c r="M7021" s="11" t="s">
        <v>49</v>
      </c>
      <c r="N7021" s="11" t="s">
        <v>73</v>
      </c>
      <c r="O7021" s="11" t="s">
        <v>1477</v>
      </c>
      <c r="P7021" s="11" t="s">
        <v>38</v>
      </c>
      <c r="Q7021" s="20">
        <v>41036.0</v>
      </c>
      <c r="R7021" s="17">
        <f t="shared" si="2"/>
        <v>26.99902062</v>
      </c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>
        <f t="shared" si="8"/>
        <v>4</v>
      </c>
      <c r="AF7021" s="19">
        <f t="shared" si="13"/>
        <v>4</v>
      </c>
      <c r="AG7021" s="9"/>
      <c r="AH7021" s="9"/>
      <c r="AI7021" s="9"/>
    </row>
    <row r="7022" ht="15.0" customHeight="1">
      <c r="A7022" s="11">
        <v>7021.0</v>
      </c>
      <c r="B7022" s="12">
        <f t="shared" si="1122"/>
        <v>41033</v>
      </c>
      <c r="C7022" s="13">
        <v>2012.0</v>
      </c>
      <c r="D7022" s="11" t="s">
        <v>44</v>
      </c>
      <c r="E7022" s="11">
        <v>5.0</v>
      </c>
      <c r="F7022" s="21" t="s">
        <v>319</v>
      </c>
      <c r="G7022" s="15">
        <v>0.058823529411764726</v>
      </c>
      <c r="H7022" s="11" t="s">
        <v>33</v>
      </c>
      <c r="I7022" s="16">
        <v>0.4</v>
      </c>
      <c r="J7022" s="11" t="s">
        <v>1259</v>
      </c>
      <c r="K7022" s="11" t="s">
        <v>65</v>
      </c>
      <c r="L7022" s="11" t="s">
        <v>41</v>
      </c>
      <c r="M7022" s="11" t="s">
        <v>28</v>
      </c>
      <c r="N7022" s="11" t="s">
        <v>188</v>
      </c>
      <c r="O7022" s="11" t="s">
        <v>2440</v>
      </c>
      <c r="P7022" s="11" t="s">
        <v>38</v>
      </c>
      <c r="Q7022" s="20">
        <v>41036.0</v>
      </c>
      <c r="R7022" s="17">
        <f t="shared" si="2"/>
        <v>0.8470588235</v>
      </c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>
        <f t="shared" si="8"/>
        <v>3</v>
      </c>
      <c r="AF7022" s="19">
        <f t="shared" si="13"/>
        <v>5</v>
      </c>
      <c r="AG7022" s="9"/>
      <c r="AH7022" s="9"/>
      <c r="AI7022" s="9"/>
    </row>
    <row r="7023" ht="15.0" customHeight="1">
      <c r="A7023" s="11">
        <v>7022.0</v>
      </c>
      <c r="B7023" s="12">
        <f t="shared" si="1122"/>
        <v>41033</v>
      </c>
      <c r="C7023" s="13">
        <v>2012.0</v>
      </c>
      <c r="D7023" s="11" t="s">
        <v>44</v>
      </c>
      <c r="E7023" s="11">
        <v>4.0</v>
      </c>
      <c r="F7023" s="21" t="s">
        <v>569</v>
      </c>
      <c r="G7023" s="15">
        <v>0.03172278682502757</v>
      </c>
      <c r="H7023" s="11" t="s">
        <v>33</v>
      </c>
      <c r="I7023" s="16">
        <v>7.192</v>
      </c>
      <c r="J7023" s="11" t="s">
        <v>1259</v>
      </c>
      <c r="K7023" s="11" t="s">
        <v>65</v>
      </c>
      <c r="L7023" s="11" t="s">
        <v>41</v>
      </c>
      <c r="M7023" s="11" t="s">
        <v>66</v>
      </c>
      <c r="N7023" s="11" t="s">
        <v>80</v>
      </c>
      <c r="O7023" s="11" t="s">
        <v>755</v>
      </c>
      <c r="P7023" s="11" t="s">
        <v>38</v>
      </c>
      <c r="Q7023" s="20">
        <v>41036.0</v>
      </c>
      <c r="R7023" s="17">
        <f t="shared" si="2"/>
        <v>25.08612604</v>
      </c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>
        <f t="shared" si="8"/>
        <v>3</v>
      </c>
      <c r="AF7023" s="19">
        <f t="shared" si="13"/>
        <v>5</v>
      </c>
      <c r="AG7023" s="9"/>
      <c r="AH7023" s="9"/>
      <c r="AI7023" s="9"/>
    </row>
    <row r="7024" ht="15.0" customHeight="1">
      <c r="A7024" s="11">
        <v>7023.0</v>
      </c>
      <c r="B7024" s="12">
        <f t="shared" si="1122"/>
        <v>41033</v>
      </c>
      <c r="C7024" s="13">
        <v>2012.0</v>
      </c>
      <c r="D7024" s="11" t="s">
        <v>102</v>
      </c>
      <c r="E7024" s="11">
        <v>11.0</v>
      </c>
      <c r="F7024" s="21" t="s">
        <v>687</v>
      </c>
      <c r="G7024" s="15">
        <v>0.019744103535121432</v>
      </c>
      <c r="H7024" s="11" t="s">
        <v>33</v>
      </c>
      <c r="I7024" s="16">
        <v>11.192</v>
      </c>
      <c r="J7024" s="11" t="s">
        <v>441</v>
      </c>
      <c r="K7024" s="11" t="s">
        <v>83</v>
      </c>
      <c r="L7024" s="11" t="s">
        <v>41</v>
      </c>
      <c r="M7024" s="11" t="s">
        <v>66</v>
      </c>
      <c r="N7024" s="11" t="s">
        <v>69</v>
      </c>
      <c r="O7024" s="11" t="s">
        <v>688</v>
      </c>
      <c r="P7024" s="11" t="s">
        <v>75</v>
      </c>
      <c r="Q7024" s="20">
        <v>41036.0</v>
      </c>
      <c r="R7024" s="17">
        <f t="shared" si="2"/>
        <v>421.1257752</v>
      </c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>
        <f t="shared" si="8"/>
        <v>3</v>
      </c>
      <c r="AF7024" s="19" t="b">
        <f t="shared" si="13"/>
        <v>0</v>
      </c>
      <c r="AG7024" s="9"/>
      <c r="AH7024" s="9"/>
      <c r="AI7024" s="9"/>
    </row>
    <row r="7025" ht="15.0" customHeight="1">
      <c r="A7025" s="11">
        <v>7024.0</v>
      </c>
      <c r="B7025" s="12">
        <f t="shared" ref="B7025:B7033" si="1123">DATE(2012,12,31)-240</f>
        <v>41034</v>
      </c>
      <c r="C7025" s="13">
        <v>2012.0</v>
      </c>
      <c r="D7025" s="11" t="s">
        <v>44</v>
      </c>
      <c r="E7025" s="11">
        <v>4.0</v>
      </c>
      <c r="F7025" s="21" t="s">
        <v>176</v>
      </c>
      <c r="G7025" s="15">
        <v>0.09052129877867136</v>
      </c>
      <c r="H7025" s="11" t="s">
        <v>33</v>
      </c>
      <c r="I7025" s="16">
        <v>9.712000000000002</v>
      </c>
      <c r="J7025" s="11" t="s">
        <v>2148</v>
      </c>
      <c r="K7025" s="11" t="s">
        <v>65</v>
      </c>
      <c r="L7025" s="11" t="s">
        <v>27</v>
      </c>
      <c r="M7025" s="11" t="s">
        <v>66</v>
      </c>
      <c r="N7025" s="11" t="s">
        <v>67</v>
      </c>
      <c r="O7025" s="11" t="s">
        <v>445</v>
      </c>
      <c r="P7025" s="11" t="s">
        <v>38</v>
      </c>
      <c r="Q7025" s="20">
        <v>41036.0</v>
      </c>
      <c r="R7025" s="17">
        <f t="shared" si="2"/>
        <v>27.63723877</v>
      </c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>
        <f t="shared" si="8"/>
        <v>1</v>
      </c>
      <c r="AF7025" s="19">
        <f t="shared" si="13"/>
        <v>5</v>
      </c>
      <c r="AG7025" s="9"/>
      <c r="AH7025" s="9"/>
      <c r="AI7025" s="9"/>
    </row>
    <row r="7026" ht="15.0" customHeight="1">
      <c r="A7026" s="11">
        <v>7025.0</v>
      </c>
      <c r="B7026" s="12">
        <f t="shared" si="1123"/>
        <v>41034</v>
      </c>
      <c r="C7026" s="13">
        <v>2012.0</v>
      </c>
      <c r="D7026" s="11" t="s">
        <v>44</v>
      </c>
      <c r="E7026" s="11">
        <v>50.0</v>
      </c>
      <c r="F7026" s="21" t="s">
        <v>126</v>
      </c>
      <c r="G7026" s="15">
        <v>0.07529847979236176</v>
      </c>
      <c r="H7026" s="11" t="s">
        <v>33</v>
      </c>
      <c r="I7026" s="16">
        <v>4.392</v>
      </c>
      <c r="J7026" s="11" t="s">
        <v>2148</v>
      </c>
      <c r="K7026" s="11" t="s">
        <v>65</v>
      </c>
      <c r="L7026" s="11" t="s">
        <v>27</v>
      </c>
      <c r="M7026" s="11" t="s">
        <v>28</v>
      </c>
      <c r="N7026" s="11" t="s">
        <v>56</v>
      </c>
      <c r="O7026" s="11" t="s">
        <v>1297</v>
      </c>
      <c r="P7026" s="11" t="s">
        <v>38</v>
      </c>
      <c r="Q7026" s="20">
        <v>41036.0</v>
      </c>
      <c r="R7026" s="17">
        <f t="shared" si="2"/>
        <v>18.77883847</v>
      </c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>
        <f t="shared" si="8"/>
        <v>1</v>
      </c>
      <c r="AF7026" s="19">
        <f t="shared" si="13"/>
        <v>5</v>
      </c>
      <c r="AG7026" s="9"/>
      <c r="AH7026" s="9"/>
      <c r="AI7026" s="9"/>
    </row>
    <row r="7027" ht="15.0" customHeight="1">
      <c r="A7027" s="11">
        <v>7026.0</v>
      </c>
      <c r="B7027" s="12">
        <f t="shared" si="1123"/>
        <v>41034</v>
      </c>
      <c r="C7027" s="13">
        <v>2012.0</v>
      </c>
      <c r="D7027" s="11" t="s">
        <v>39</v>
      </c>
      <c r="E7027" s="11">
        <v>12.0</v>
      </c>
      <c r="F7027" s="21" t="s">
        <v>943</v>
      </c>
      <c r="G7027" s="15">
        <v>0.09176540578057592</v>
      </c>
      <c r="H7027" s="11" t="s">
        <v>33</v>
      </c>
      <c r="I7027" s="16">
        <v>3.2</v>
      </c>
      <c r="J7027" s="11" t="s">
        <v>647</v>
      </c>
      <c r="K7027" s="11" t="s">
        <v>61</v>
      </c>
      <c r="L7027" s="11" t="s">
        <v>27</v>
      </c>
      <c r="M7027" s="11" t="s">
        <v>66</v>
      </c>
      <c r="N7027" s="11" t="s">
        <v>67</v>
      </c>
      <c r="O7027" s="11" t="s">
        <v>944</v>
      </c>
      <c r="P7027" s="11" t="s">
        <v>38</v>
      </c>
      <c r="Q7027" s="20">
        <v>41036.0</v>
      </c>
      <c r="R7027" s="17">
        <f t="shared" si="2"/>
        <v>168.1142234</v>
      </c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>
        <f t="shared" si="8"/>
        <v>1</v>
      </c>
      <c r="AF7027" s="19">
        <f t="shared" si="13"/>
        <v>4</v>
      </c>
      <c r="AG7027" s="9"/>
      <c r="AH7027" s="9"/>
      <c r="AI7027" s="9"/>
    </row>
    <row r="7028" ht="15.0" customHeight="1">
      <c r="A7028" s="11">
        <v>7027.0</v>
      </c>
      <c r="B7028" s="12">
        <f t="shared" si="1123"/>
        <v>41034</v>
      </c>
      <c r="C7028" s="13">
        <v>2012.0</v>
      </c>
      <c r="D7028" s="11" t="s">
        <v>23</v>
      </c>
      <c r="E7028" s="11">
        <v>16.0</v>
      </c>
      <c r="F7028" s="21" t="s">
        <v>103</v>
      </c>
      <c r="G7028" s="15">
        <v>0.046488625123639854</v>
      </c>
      <c r="H7028" s="11" t="s">
        <v>33</v>
      </c>
      <c r="I7028" s="16">
        <v>2.0</v>
      </c>
      <c r="J7028" s="11" t="s">
        <v>1683</v>
      </c>
      <c r="K7028" s="11" t="s">
        <v>61</v>
      </c>
      <c r="L7028" s="11" t="s">
        <v>27</v>
      </c>
      <c r="M7028" s="11" t="s">
        <v>28</v>
      </c>
      <c r="N7028" s="11" t="s">
        <v>236</v>
      </c>
      <c r="O7028" s="11" t="s">
        <v>1164</v>
      </c>
      <c r="P7028" s="11" t="s">
        <v>38</v>
      </c>
      <c r="Q7028" s="20">
        <v>41036.0</v>
      </c>
      <c r="R7028" s="17">
        <f t="shared" si="2"/>
        <v>4.481503462</v>
      </c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>
        <f t="shared" si="8"/>
        <v>1</v>
      </c>
      <c r="AF7028" s="19">
        <f t="shared" si="13"/>
        <v>4</v>
      </c>
      <c r="AG7028" s="9"/>
      <c r="AH7028" s="9"/>
      <c r="AI7028" s="9"/>
    </row>
    <row r="7029" ht="15.0" customHeight="1">
      <c r="A7029" s="11">
        <v>7028.0</v>
      </c>
      <c r="B7029" s="12">
        <f t="shared" si="1123"/>
        <v>41034</v>
      </c>
      <c r="C7029" s="13">
        <v>2012.0</v>
      </c>
      <c r="D7029" s="11" t="s">
        <v>23</v>
      </c>
      <c r="E7029" s="11">
        <v>32.0</v>
      </c>
      <c r="F7029" s="21" t="s">
        <v>270</v>
      </c>
      <c r="G7029" s="15">
        <v>0.06898885911719091</v>
      </c>
      <c r="H7029" s="11" t="s">
        <v>33</v>
      </c>
      <c r="I7029" s="16">
        <v>11.56</v>
      </c>
      <c r="J7029" s="11" t="s">
        <v>716</v>
      </c>
      <c r="K7029" s="11" t="s">
        <v>61</v>
      </c>
      <c r="L7029" s="11" t="s">
        <v>41</v>
      </c>
      <c r="M7029" s="11" t="s">
        <v>49</v>
      </c>
      <c r="N7029" s="11" t="s">
        <v>73</v>
      </c>
      <c r="O7029" s="11" t="s">
        <v>2259</v>
      </c>
      <c r="P7029" s="11" t="s">
        <v>31</v>
      </c>
      <c r="Q7029" s="20">
        <v>41037.0</v>
      </c>
      <c r="R7029" s="17">
        <f t="shared" si="2"/>
        <v>91.09013002</v>
      </c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>
        <f t="shared" si="8"/>
        <v>3</v>
      </c>
      <c r="AF7029" s="19">
        <f t="shared" si="13"/>
        <v>4</v>
      </c>
      <c r="AG7029" s="9"/>
      <c r="AH7029" s="9"/>
      <c r="AI7029" s="9"/>
    </row>
    <row r="7030" ht="15.0" customHeight="1">
      <c r="A7030" s="11">
        <v>7029.0</v>
      </c>
      <c r="B7030" s="12">
        <f t="shared" si="1123"/>
        <v>41034</v>
      </c>
      <c r="C7030" s="13">
        <v>2012.0</v>
      </c>
      <c r="D7030" s="11" t="s">
        <v>32</v>
      </c>
      <c r="E7030" s="11">
        <v>32.0</v>
      </c>
      <c r="F7030" s="21" t="s">
        <v>498</v>
      </c>
      <c r="G7030" s="15">
        <v>0.01505620100122783</v>
      </c>
      <c r="H7030" s="11" t="s">
        <v>45</v>
      </c>
      <c r="I7030" s="16">
        <v>59.48</v>
      </c>
      <c r="J7030" s="11" t="s">
        <v>528</v>
      </c>
      <c r="K7030" s="11" t="s">
        <v>83</v>
      </c>
      <c r="L7030" s="11" t="s">
        <v>48</v>
      </c>
      <c r="M7030" s="11" t="s">
        <v>49</v>
      </c>
      <c r="N7030" s="11" t="s">
        <v>50</v>
      </c>
      <c r="O7030" s="11" t="s">
        <v>1959</v>
      </c>
      <c r="P7030" s="11" t="s">
        <v>52</v>
      </c>
      <c r="Q7030" s="20">
        <v>41037.0</v>
      </c>
      <c r="R7030" s="17">
        <f t="shared" si="2"/>
        <v>47.10001247</v>
      </c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>
        <f t="shared" si="8"/>
        <v>4</v>
      </c>
      <c r="AF7030" s="19" t="b">
        <f t="shared" si="13"/>
        <v>0</v>
      </c>
      <c r="AG7030" s="9"/>
      <c r="AH7030" s="9"/>
      <c r="AI7030" s="9"/>
    </row>
    <row r="7031" ht="15.0" customHeight="1">
      <c r="A7031" s="11">
        <v>7030.0</v>
      </c>
      <c r="B7031" s="12">
        <f t="shared" si="1123"/>
        <v>41034</v>
      </c>
      <c r="C7031" s="13">
        <v>2012.0</v>
      </c>
      <c r="D7031" s="11" t="s">
        <v>32</v>
      </c>
      <c r="E7031" s="11">
        <v>27.0</v>
      </c>
      <c r="F7031" s="21" t="s">
        <v>740</v>
      </c>
      <c r="G7031" s="15">
        <v>0.05833690369244252</v>
      </c>
      <c r="H7031" s="11" t="s">
        <v>45</v>
      </c>
      <c r="I7031" s="16">
        <v>51.784000000000006</v>
      </c>
      <c r="J7031" s="11" t="s">
        <v>528</v>
      </c>
      <c r="K7031" s="11" t="s">
        <v>83</v>
      </c>
      <c r="L7031" s="11" t="s">
        <v>48</v>
      </c>
      <c r="M7031" s="11" t="s">
        <v>49</v>
      </c>
      <c r="N7031" s="11" t="s">
        <v>50</v>
      </c>
      <c r="O7031" s="11" t="s">
        <v>742</v>
      </c>
      <c r="P7031" s="11" t="s">
        <v>52</v>
      </c>
      <c r="Q7031" s="20">
        <v>41037.0</v>
      </c>
      <c r="R7031" s="17">
        <f t="shared" si="2"/>
        <v>476.9674249</v>
      </c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>
        <f t="shared" si="8"/>
        <v>4</v>
      </c>
      <c r="AF7031" s="19" t="b">
        <f t="shared" si="13"/>
        <v>0</v>
      </c>
      <c r="AG7031" s="9"/>
      <c r="AH7031" s="9"/>
      <c r="AI7031" s="9"/>
    </row>
    <row r="7032" ht="15.0" customHeight="1">
      <c r="A7032" s="11">
        <v>7031.0</v>
      </c>
      <c r="B7032" s="12">
        <f t="shared" si="1123"/>
        <v>41034</v>
      </c>
      <c r="C7032" s="13">
        <v>2012.0</v>
      </c>
      <c r="D7032" s="11" t="s">
        <v>32</v>
      </c>
      <c r="E7032" s="11">
        <v>36.0</v>
      </c>
      <c r="F7032" s="21" t="s">
        <v>1038</v>
      </c>
      <c r="G7032" s="15">
        <v>0.058245131099029644</v>
      </c>
      <c r="H7032" s="11" t="s">
        <v>33</v>
      </c>
      <c r="I7032" s="16">
        <v>4.064</v>
      </c>
      <c r="J7032" s="11" t="s">
        <v>528</v>
      </c>
      <c r="K7032" s="11" t="s">
        <v>83</v>
      </c>
      <c r="L7032" s="11" t="s">
        <v>48</v>
      </c>
      <c r="M7032" s="11" t="s">
        <v>28</v>
      </c>
      <c r="N7032" s="11" t="s">
        <v>56</v>
      </c>
      <c r="O7032" s="11" t="s">
        <v>1040</v>
      </c>
      <c r="P7032" s="11" t="s">
        <v>58</v>
      </c>
      <c r="Q7032" s="20">
        <v>41037.0</v>
      </c>
      <c r="R7032" s="17">
        <f t="shared" si="2"/>
        <v>79.70636508</v>
      </c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>
        <f t="shared" si="8"/>
        <v>4</v>
      </c>
      <c r="AF7032" s="19" t="b">
        <f t="shared" si="13"/>
        <v>0</v>
      </c>
      <c r="AG7032" s="9"/>
      <c r="AH7032" s="9"/>
      <c r="AI7032" s="9"/>
    </row>
    <row r="7033" ht="15.0" customHeight="1">
      <c r="A7033" s="11">
        <v>7032.0</v>
      </c>
      <c r="B7033" s="12">
        <f t="shared" si="1123"/>
        <v>41034</v>
      </c>
      <c r="C7033" s="13">
        <v>2012.0</v>
      </c>
      <c r="D7033" s="11" t="s">
        <v>32</v>
      </c>
      <c r="E7033" s="11">
        <v>28.0</v>
      </c>
      <c r="F7033" s="21" t="s">
        <v>229</v>
      </c>
      <c r="G7033" s="15">
        <v>0.0665256921874356</v>
      </c>
      <c r="H7033" s="11" t="s">
        <v>33</v>
      </c>
      <c r="I7033" s="16">
        <v>15.991999999999999</v>
      </c>
      <c r="J7033" s="11" t="s">
        <v>528</v>
      </c>
      <c r="K7033" s="11" t="s">
        <v>83</v>
      </c>
      <c r="L7033" s="11" t="s">
        <v>48</v>
      </c>
      <c r="M7033" s="11" t="s">
        <v>28</v>
      </c>
      <c r="N7033" s="11" t="s">
        <v>29</v>
      </c>
      <c r="O7033" s="11" t="s">
        <v>230</v>
      </c>
      <c r="P7033" s="11" t="s">
        <v>38</v>
      </c>
      <c r="Q7033" s="20">
        <v>41037.0</v>
      </c>
      <c r="R7033" s="17">
        <f t="shared" si="2"/>
        <v>301.8930589</v>
      </c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>
        <f t="shared" si="8"/>
        <v>4</v>
      </c>
      <c r="AF7033" s="19" t="b">
        <f t="shared" si="13"/>
        <v>0</v>
      </c>
      <c r="AG7033" s="9"/>
      <c r="AH7033" s="9"/>
      <c r="AI7033" s="9"/>
    </row>
    <row r="7034" ht="15.0" customHeight="1">
      <c r="A7034" s="11">
        <v>7033.0</v>
      </c>
      <c r="B7034" s="12">
        <f t="shared" ref="B7034:B7044" si="1124">DATE(2012,12,31)-239</f>
        <v>41035</v>
      </c>
      <c r="C7034" s="13">
        <v>2012.0</v>
      </c>
      <c r="D7034" s="11" t="s">
        <v>102</v>
      </c>
      <c r="E7034" s="11">
        <v>7.0</v>
      </c>
      <c r="F7034" s="21" t="s">
        <v>1498</v>
      </c>
      <c r="G7034" s="15">
        <v>0.04114464099895935</v>
      </c>
      <c r="H7034" s="11" t="s">
        <v>33</v>
      </c>
      <c r="I7034" s="16">
        <v>7.192</v>
      </c>
      <c r="J7034" s="11" t="s">
        <v>429</v>
      </c>
      <c r="K7034" s="11" t="s">
        <v>83</v>
      </c>
      <c r="L7034" s="11" t="s">
        <v>27</v>
      </c>
      <c r="M7034" s="11" t="s">
        <v>49</v>
      </c>
      <c r="N7034" s="11" t="s">
        <v>73</v>
      </c>
      <c r="O7034" s="11" t="s">
        <v>1500</v>
      </c>
      <c r="P7034" s="11" t="s">
        <v>99</v>
      </c>
      <c r="Q7034" s="20">
        <v>41037.0</v>
      </c>
      <c r="R7034" s="17">
        <f t="shared" si="2"/>
        <v>7.582628179</v>
      </c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>
        <f t="shared" si="8"/>
        <v>1</v>
      </c>
      <c r="AF7034" s="19" t="b">
        <f t="shared" si="13"/>
        <v>0</v>
      </c>
      <c r="AG7034" s="9"/>
      <c r="AH7034" s="9"/>
      <c r="AI7034" s="9"/>
    </row>
    <row r="7035" ht="15.0" customHeight="1">
      <c r="A7035" s="11">
        <v>7034.0</v>
      </c>
      <c r="B7035" s="12">
        <f t="shared" si="1124"/>
        <v>41035</v>
      </c>
      <c r="C7035" s="13">
        <v>2012.0</v>
      </c>
      <c r="D7035" s="11" t="s">
        <v>102</v>
      </c>
      <c r="E7035" s="11">
        <v>46.0</v>
      </c>
      <c r="F7035" s="21" t="s">
        <v>924</v>
      </c>
      <c r="G7035" s="15">
        <v>0.011941701927597519</v>
      </c>
      <c r="H7035" s="11" t="s">
        <v>33</v>
      </c>
      <c r="I7035" s="16">
        <v>1.72</v>
      </c>
      <c r="J7035" s="11" t="s">
        <v>2204</v>
      </c>
      <c r="K7035" s="11" t="s">
        <v>61</v>
      </c>
      <c r="L7035" s="11" t="s">
        <v>27</v>
      </c>
      <c r="M7035" s="11" t="s">
        <v>28</v>
      </c>
      <c r="N7035" s="11" t="s">
        <v>56</v>
      </c>
      <c r="O7035" s="11" t="s">
        <v>57</v>
      </c>
      <c r="P7035" s="11" t="s">
        <v>58</v>
      </c>
      <c r="Q7035" s="20">
        <v>41037.0</v>
      </c>
      <c r="R7035" s="17">
        <f t="shared" si="2"/>
        <v>5.019336154</v>
      </c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>
        <f t="shared" si="8"/>
        <v>1</v>
      </c>
      <c r="AF7035" s="19">
        <f t="shared" si="13"/>
        <v>4</v>
      </c>
      <c r="AG7035" s="9"/>
      <c r="AH7035" s="9"/>
      <c r="AI7035" s="9"/>
    </row>
    <row r="7036" ht="15.0" customHeight="1">
      <c r="A7036" s="11">
        <v>7035.0</v>
      </c>
      <c r="B7036" s="12">
        <f t="shared" si="1124"/>
        <v>41035</v>
      </c>
      <c r="C7036" s="13">
        <v>2012.0</v>
      </c>
      <c r="D7036" s="11" t="s">
        <v>44</v>
      </c>
      <c r="E7036" s="11">
        <v>46.0</v>
      </c>
      <c r="F7036" s="21" t="s">
        <v>838</v>
      </c>
      <c r="G7036" s="15">
        <v>0.04015319609516463</v>
      </c>
      <c r="H7036" s="11" t="s">
        <v>33</v>
      </c>
      <c r="I7036" s="16">
        <v>15.991999999999999</v>
      </c>
      <c r="J7036" s="11" t="s">
        <v>639</v>
      </c>
      <c r="K7036" s="11" t="s">
        <v>35</v>
      </c>
      <c r="L7036" s="11" t="s">
        <v>27</v>
      </c>
      <c r="M7036" s="11" t="s">
        <v>66</v>
      </c>
      <c r="N7036" s="11" t="s">
        <v>67</v>
      </c>
      <c r="O7036" s="11" t="s">
        <v>845</v>
      </c>
      <c r="P7036" s="11" t="s">
        <v>38</v>
      </c>
      <c r="Q7036" s="20">
        <v>41037.0</v>
      </c>
      <c r="R7036" s="17">
        <f t="shared" si="2"/>
        <v>185.1621272</v>
      </c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>
        <f t="shared" si="8"/>
        <v>1</v>
      </c>
      <c r="AF7036" s="19">
        <f t="shared" si="13"/>
        <v>2</v>
      </c>
      <c r="AG7036" s="9"/>
      <c r="AH7036" s="9"/>
      <c r="AI7036" s="9"/>
    </row>
    <row r="7037" ht="15.0" customHeight="1">
      <c r="A7037" s="11">
        <v>7036.0</v>
      </c>
      <c r="B7037" s="12">
        <f t="shared" si="1124"/>
        <v>41035</v>
      </c>
      <c r="C7037" s="13">
        <v>2012.0</v>
      </c>
      <c r="D7037" s="11" t="s">
        <v>44</v>
      </c>
      <c r="E7037" s="11">
        <v>2.0</v>
      </c>
      <c r="F7037" s="21" t="s">
        <v>122</v>
      </c>
      <c r="G7037" s="15">
        <v>0.03288135593220353</v>
      </c>
      <c r="H7037" s="11" t="s">
        <v>33</v>
      </c>
      <c r="I7037" s="16">
        <v>3.848</v>
      </c>
      <c r="J7037" s="11" t="s">
        <v>639</v>
      </c>
      <c r="K7037" s="11" t="s">
        <v>35</v>
      </c>
      <c r="L7037" s="11" t="s">
        <v>27</v>
      </c>
      <c r="M7037" s="11" t="s">
        <v>66</v>
      </c>
      <c r="N7037" s="11" t="s">
        <v>80</v>
      </c>
      <c r="O7037" s="11" t="s">
        <v>899</v>
      </c>
      <c r="P7037" s="11" t="s">
        <v>75</v>
      </c>
      <c r="Q7037" s="20">
        <v>41037.0</v>
      </c>
      <c r="R7037" s="17">
        <f t="shared" si="2"/>
        <v>1.500968136</v>
      </c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>
        <f t="shared" si="8"/>
        <v>1</v>
      </c>
      <c r="AF7037" s="19">
        <f t="shared" si="13"/>
        <v>2</v>
      </c>
      <c r="AG7037" s="9"/>
      <c r="AH7037" s="9"/>
      <c r="AI7037" s="9"/>
    </row>
    <row r="7038" ht="15.0" customHeight="1">
      <c r="A7038" s="11">
        <v>7037.0</v>
      </c>
      <c r="B7038" s="12">
        <f t="shared" si="1124"/>
        <v>41035</v>
      </c>
      <c r="C7038" s="13">
        <v>2012.0</v>
      </c>
      <c r="D7038" s="11" t="s">
        <v>44</v>
      </c>
      <c r="E7038" s="11">
        <v>41.0</v>
      </c>
      <c r="F7038" s="21" t="s">
        <v>1273</v>
      </c>
      <c r="G7038" s="15">
        <v>0.09529511437447057</v>
      </c>
      <c r="H7038" s="11" t="s">
        <v>33</v>
      </c>
      <c r="I7038" s="16">
        <v>1.1119999999999999</v>
      </c>
      <c r="J7038" s="11" t="s">
        <v>639</v>
      </c>
      <c r="K7038" s="11" t="s">
        <v>35</v>
      </c>
      <c r="L7038" s="11" t="s">
        <v>27</v>
      </c>
      <c r="M7038" s="11" t="s">
        <v>28</v>
      </c>
      <c r="N7038" s="11" t="s">
        <v>236</v>
      </c>
      <c r="O7038" s="11" t="s">
        <v>1274</v>
      </c>
      <c r="P7038" s="11" t="s">
        <v>38</v>
      </c>
      <c r="Q7038" s="20">
        <v>41037.0</v>
      </c>
      <c r="R7038" s="17">
        <f t="shared" si="2"/>
        <v>61.05672332</v>
      </c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>
        <f t="shared" si="8"/>
        <v>1</v>
      </c>
      <c r="AF7038" s="19">
        <f t="shared" si="13"/>
        <v>2</v>
      </c>
      <c r="AG7038" s="9"/>
      <c r="AH7038" s="9"/>
      <c r="AI7038" s="9"/>
    </row>
    <row r="7039" ht="15.0" customHeight="1">
      <c r="A7039" s="11">
        <v>7038.0</v>
      </c>
      <c r="B7039" s="12">
        <f t="shared" si="1124"/>
        <v>41035</v>
      </c>
      <c r="C7039" s="13">
        <v>2012.0</v>
      </c>
      <c r="D7039" s="11" t="s">
        <v>44</v>
      </c>
      <c r="E7039" s="11">
        <v>31.0</v>
      </c>
      <c r="F7039" s="21" t="s">
        <v>483</v>
      </c>
      <c r="G7039" s="15">
        <v>0.09974025974025964</v>
      </c>
      <c r="H7039" s="11" t="s">
        <v>33</v>
      </c>
      <c r="I7039" s="16">
        <v>0.5599999999999999</v>
      </c>
      <c r="J7039" s="11" t="s">
        <v>639</v>
      </c>
      <c r="K7039" s="11" t="s">
        <v>35</v>
      </c>
      <c r="L7039" s="11" t="s">
        <v>27</v>
      </c>
      <c r="M7039" s="11" t="s">
        <v>28</v>
      </c>
      <c r="N7039" s="11" t="s">
        <v>216</v>
      </c>
      <c r="O7039" s="11" t="s">
        <v>484</v>
      </c>
      <c r="P7039" s="11" t="s">
        <v>58</v>
      </c>
      <c r="Q7039" s="20">
        <v>41037.0</v>
      </c>
      <c r="R7039" s="17">
        <f t="shared" si="2"/>
        <v>3.456997403</v>
      </c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>
        <f t="shared" si="8"/>
        <v>1</v>
      </c>
      <c r="AF7039" s="19">
        <f t="shared" si="13"/>
        <v>2</v>
      </c>
      <c r="AG7039" s="9"/>
      <c r="AH7039" s="9"/>
      <c r="AI7039" s="9"/>
    </row>
    <row r="7040" ht="15.0" customHeight="1">
      <c r="A7040" s="11">
        <v>7039.0</v>
      </c>
      <c r="B7040" s="12">
        <f t="shared" si="1124"/>
        <v>41035</v>
      </c>
      <c r="C7040" s="13">
        <v>2012.0</v>
      </c>
      <c r="D7040" s="11" t="s">
        <v>32</v>
      </c>
      <c r="E7040" s="11">
        <v>37.0</v>
      </c>
      <c r="F7040" s="21" t="s">
        <v>943</v>
      </c>
      <c r="G7040" s="15">
        <v>0.09150926686311453</v>
      </c>
      <c r="H7040" s="11" t="s">
        <v>33</v>
      </c>
      <c r="I7040" s="16">
        <v>3.2</v>
      </c>
      <c r="J7040" s="11" t="s">
        <v>1564</v>
      </c>
      <c r="K7040" s="11" t="s">
        <v>35</v>
      </c>
      <c r="L7040" s="11" t="s">
        <v>27</v>
      </c>
      <c r="M7040" s="11" t="s">
        <v>66</v>
      </c>
      <c r="N7040" s="11" t="s">
        <v>67</v>
      </c>
      <c r="O7040" s="11" t="s">
        <v>944</v>
      </c>
      <c r="P7040" s="11" t="s">
        <v>38</v>
      </c>
      <c r="Q7040" s="20">
        <v>41038.0</v>
      </c>
      <c r="R7040" s="17">
        <f t="shared" si="2"/>
        <v>516.2952836</v>
      </c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>
        <f t="shared" si="8"/>
        <v>1</v>
      </c>
      <c r="AF7040" s="19">
        <f t="shared" si="13"/>
        <v>2</v>
      </c>
      <c r="AG7040" s="9"/>
      <c r="AH7040" s="9"/>
      <c r="AI7040" s="9"/>
    </row>
    <row r="7041" ht="15.0" customHeight="1">
      <c r="A7041" s="11">
        <v>7040.0</v>
      </c>
      <c r="B7041" s="12">
        <f t="shared" si="1124"/>
        <v>41035</v>
      </c>
      <c r="C7041" s="13">
        <v>2012.0</v>
      </c>
      <c r="D7041" s="11" t="s">
        <v>32</v>
      </c>
      <c r="E7041" s="11">
        <v>30.0</v>
      </c>
      <c r="F7041" s="21" t="s">
        <v>1091</v>
      </c>
      <c r="G7041" s="15">
        <v>0.07465460240125281</v>
      </c>
      <c r="H7041" s="11" t="s">
        <v>33</v>
      </c>
      <c r="I7041" s="16">
        <v>1.592</v>
      </c>
      <c r="J7041" s="11" t="s">
        <v>1564</v>
      </c>
      <c r="K7041" s="11" t="s">
        <v>35</v>
      </c>
      <c r="L7041" s="11" t="s">
        <v>27</v>
      </c>
      <c r="M7041" s="11" t="s">
        <v>66</v>
      </c>
      <c r="N7041" s="11" t="s">
        <v>67</v>
      </c>
      <c r="O7041" s="11" t="s">
        <v>1200</v>
      </c>
      <c r="P7041" s="11" t="s">
        <v>99</v>
      </c>
      <c r="Q7041" s="20">
        <v>41038.0</v>
      </c>
      <c r="R7041" s="17">
        <f t="shared" si="2"/>
        <v>79.40203788</v>
      </c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>
        <f t="shared" si="8"/>
        <v>1</v>
      </c>
      <c r="AF7041" s="19">
        <f t="shared" si="13"/>
        <v>2</v>
      </c>
      <c r="AG7041" s="9"/>
      <c r="AH7041" s="9"/>
      <c r="AI7041" s="9"/>
    </row>
    <row r="7042" ht="15.0" customHeight="1">
      <c r="A7042" s="11">
        <v>7041.0</v>
      </c>
      <c r="B7042" s="12">
        <f t="shared" si="1124"/>
        <v>41035</v>
      </c>
      <c r="C7042" s="13">
        <v>2012.0</v>
      </c>
      <c r="D7042" s="11" t="s">
        <v>39</v>
      </c>
      <c r="E7042" s="11">
        <v>49.0</v>
      </c>
      <c r="F7042" s="21" t="s">
        <v>1843</v>
      </c>
      <c r="G7042" s="15">
        <v>0.0200521149193952</v>
      </c>
      <c r="H7042" s="11" t="s">
        <v>33</v>
      </c>
      <c r="I7042" s="16">
        <v>9.312000000000001</v>
      </c>
      <c r="J7042" s="11" t="s">
        <v>332</v>
      </c>
      <c r="K7042" s="11" t="s">
        <v>65</v>
      </c>
      <c r="L7042" s="11" t="s">
        <v>48</v>
      </c>
      <c r="M7042" s="11" t="s">
        <v>66</v>
      </c>
      <c r="N7042" s="11" t="s">
        <v>170</v>
      </c>
      <c r="O7042" s="11" t="s">
        <v>1844</v>
      </c>
      <c r="P7042" s="11" t="s">
        <v>31</v>
      </c>
      <c r="Q7042" s="20">
        <v>41038.0</v>
      </c>
      <c r="R7042" s="17">
        <f t="shared" si="2"/>
        <v>294.8545592</v>
      </c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>
        <f t="shared" si="8"/>
        <v>4</v>
      </c>
      <c r="AF7042" s="19">
        <f t="shared" si="13"/>
        <v>5</v>
      </c>
      <c r="AG7042" s="9"/>
      <c r="AH7042" s="9"/>
      <c r="AI7042" s="9"/>
    </row>
    <row r="7043" ht="15.0" customHeight="1">
      <c r="A7043" s="11">
        <v>7042.0</v>
      </c>
      <c r="B7043" s="12">
        <f t="shared" si="1124"/>
        <v>41035</v>
      </c>
      <c r="C7043" s="13">
        <v>2012.0</v>
      </c>
      <c r="D7043" s="11" t="s">
        <v>39</v>
      </c>
      <c r="E7043" s="11">
        <v>36.0</v>
      </c>
      <c r="F7043" s="21" t="s">
        <v>234</v>
      </c>
      <c r="G7043" s="15">
        <v>0.04843406637862665</v>
      </c>
      <c r="H7043" s="11" t="s">
        <v>24</v>
      </c>
      <c r="I7043" s="16">
        <v>15.991999999999999</v>
      </c>
      <c r="J7043" s="11" t="s">
        <v>332</v>
      </c>
      <c r="K7043" s="11" t="s">
        <v>65</v>
      </c>
      <c r="L7043" s="11" t="s">
        <v>48</v>
      </c>
      <c r="M7043" s="11" t="s">
        <v>28</v>
      </c>
      <c r="N7043" s="11" t="s">
        <v>236</v>
      </c>
      <c r="O7043" s="11" t="s">
        <v>237</v>
      </c>
      <c r="P7043" s="11" t="s">
        <v>38</v>
      </c>
      <c r="Q7043" s="20">
        <v>41038.0</v>
      </c>
      <c r="R7043" s="17">
        <f t="shared" si="2"/>
        <v>284.8112965</v>
      </c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>
        <f t="shared" si="8"/>
        <v>4</v>
      </c>
      <c r="AF7043" s="19">
        <f t="shared" si="13"/>
        <v>5</v>
      </c>
      <c r="AG7043" s="9"/>
      <c r="AH7043" s="9"/>
      <c r="AI7043" s="9"/>
    </row>
    <row r="7044" ht="15.0" customHeight="1">
      <c r="A7044" s="11">
        <v>7043.0</v>
      </c>
      <c r="B7044" s="12">
        <f t="shared" si="1124"/>
        <v>41035</v>
      </c>
      <c r="C7044" s="13">
        <v>2012.0</v>
      </c>
      <c r="D7044" s="11" t="s">
        <v>39</v>
      </c>
      <c r="E7044" s="11">
        <v>49.0</v>
      </c>
      <c r="F7044" s="21" t="s">
        <v>218</v>
      </c>
      <c r="G7044" s="15">
        <v>0.034207158094335055</v>
      </c>
      <c r="H7044" s="11" t="s">
        <v>24</v>
      </c>
      <c r="I7044" s="16">
        <v>0.768</v>
      </c>
      <c r="J7044" s="11" t="s">
        <v>332</v>
      </c>
      <c r="K7044" s="11" t="s">
        <v>65</v>
      </c>
      <c r="L7044" s="11" t="s">
        <v>48</v>
      </c>
      <c r="M7044" s="11" t="s">
        <v>49</v>
      </c>
      <c r="N7044" s="11" t="s">
        <v>73</v>
      </c>
      <c r="O7044" s="11" t="s">
        <v>220</v>
      </c>
      <c r="P7044" s="11" t="s">
        <v>58</v>
      </c>
      <c r="Q7044" s="20">
        <v>41038.0</v>
      </c>
      <c r="R7044" s="17">
        <f t="shared" si="2"/>
        <v>13.93832229</v>
      </c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>
        <f t="shared" si="8"/>
        <v>4</v>
      </c>
      <c r="AF7044" s="19">
        <f t="shared" si="13"/>
        <v>5</v>
      </c>
      <c r="AG7044" s="9"/>
      <c r="AH7044" s="9"/>
      <c r="AI7044" s="9"/>
    </row>
    <row r="7045" ht="15.0" customHeight="1">
      <c r="A7045" s="11">
        <v>7044.0</v>
      </c>
      <c r="B7045" s="12">
        <f t="shared" ref="B7045:B7054" si="1125">DATE(2012,12,31)-238</f>
        <v>41036</v>
      </c>
      <c r="C7045" s="13">
        <v>2012.0</v>
      </c>
      <c r="D7045" s="11" t="s">
        <v>32</v>
      </c>
      <c r="E7045" s="11">
        <v>3.0</v>
      </c>
      <c r="F7045" s="21" t="s">
        <v>137</v>
      </c>
      <c r="G7045" s="15">
        <v>0.05366789065687461</v>
      </c>
      <c r="H7045" s="11" t="s">
        <v>24</v>
      </c>
      <c r="I7045" s="16">
        <v>11.192</v>
      </c>
      <c r="J7045" s="11" t="s">
        <v>1101</v>
      </c>
      <c r="K7045" s="11" t="s">
        <v>65</v>
      </c>
      <c r="L7045" s="11" t="s">
        <v>48</v>
      </c>
      <c r="M7045" s="11" t="s">
        <v>66</v>
      </c>
      <c r="N7045" s="11" t="s">
        <v>69</v>
      </c>
      <c r="O7045" s="11" t="s">
        <v>468</v>
      </c>
      <c r="P7045" s="11" t="s">
        <v>75</v>
      </c>
      <c r="Q7045" s="20">
        <v>41038.0</v>
      </c>
      <c r="R7045" s="17">
        <f t="shared" si="2"/>
        <v>24.89610513</v>
      </c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>
        <f t="shared" si="8"/>
        <v>4</v>
      </c>
      <c r="AF7045" s="19">
        <f t="shared" si="13"/>
        <v>5</v>
      </c>
      <c r="AG7045" s="9"/>
      <c r="AH7045" s="9"/>
      <c r="AI7045" s="9"/>
    </row>
    <row r="7046" ht="15.0" customHeight="1">
      <c r="A7046" s="11">
        <v>7045.0</v>
      </c>
      <c r="B7046" s="12">
        <f t="shared" si="1125"/>
        <v>41036</v>
      </c>
      <c r="C7046" s="13">
        <v>2012.0</v>
      </c>
      <c r="D7046" s="11" t="s">
        <v>32</v>
      </c>
      <c r="E7046" s="11">
        <v>29.0</v>
      </c>
      <c r="F7046" s="21" t="s">
        <v>304</v>
      </c>
      <c r="G7046" s="15">
        <v>0.026259863229879013</v>
      </c>
      <c r="H7046" s="11" t="s">
        <v>33</v>
      </c>
      <c r="I7046" s="16">
        <v>7.224</v>
      </c>
      <c r="J7046" s="11" t="s">
        <v>1101</v>
      </c>
      <c r="K7046" s="11" t="s">
        <v>65</v>
      </c>
      <c r="L7046" s="11" t="s">
        <v>48</v>
      </c>
      <c r="M7046" s="11" t="s">
        <v>28</v>
      </c>
      <c r="N7046" s="11" t="s">
        <v>56</v>
      </c>
      <c r="O7046" s="11" t="s">
        <v>388</v>
      </c>
      <c r="P7046" s="11" t="s">
        <v>38</v>
      </c>
      <c r="Q7046" s="20">
        <v>41038.0</v>
      </c>
      <c r="R7046" s="17">
        <f t="shared" si="2"/>
        <v>14.58273229</v>
      </c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>
        <f t="shared" si="8"/>
        <v>4</v>
      </c>
      <c r="AF7046" s="19">
        <f t="shared" si="13"/>
        <v>5</v>
      </c>
      <c r="AG7046" s="9"/>
      <c r="AH7046" s="9"/>
      <c r="AI7046" s="9"/>
    </row>
    <row r="7047" ht="15.0" customHeight="1">
      <c r="A7047" s="11">
        <v>7046.0</v>
      </c>
      <c r="B7047" s="12">
        <f t="shared" si="1125"/>
        <v>41036</v>
      </c>
      <c r="C7047" s="13">
        <v>2012.0</v>
      </c>
      <c r="D7047" s="11" t="s">
        <v>32</v>
      </c>
      <c r="E7047" s="11">
        <v>23.0</v>
      </c>
      <c r="F7047" s="21" t="s">
        <v>413</v>
      </c>
      <c r="G7047" s="15">
        <v>0.05621931260229136</v>
      </c>
      <c r="H7047" s="11" t="s">
        <v>33</v>
      </c>
      <c r="I7047" s="16">
        <v>7.56</v>
      </c>
      <c r="J7047" s="11" t="s">
        <v>1101</v>
      </c>
      <c r="K7047" s="11" t="s">
        <v>65</v>
      </c>
      <c r="L7047" s="11" t="s">
        <v>48</v>
      </c>
      <c r="M7047" s="11" t="s">
        <v>28</v>
      </c>
      <c r="N7047" s="11" t="s">
        <v>29</v>
      </c>
      <c r="O7047" s="11" t="s">
        <v>660</v>
      </c>
      <c r="P7047" s="11" t="s">
        <v>38</v>
      </c>
      <c r="Q7047" s="20">
        <v>41038.0</v>
      </c>
      <c r="R7047" s="17">
        <f t="shared" si="2"/>
        <v>12.96754664</v>
      </c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>
        <f t="shared" si="8"/>
        <v>4</v>
      </c>
      <c r="AF7047" s="19">
        <f t="shared" si="13"/>
        <v>5</v>
      </c>
      <c r="AG7047" s="9"/>
      <c r="AH7047" s="9"/>
      <c r="AI7047" s="9"/>
    </row>
    <row r="7048" ht="15.0" customHeight="1">
      <c r="A7048" s="11">
        <v>7047.0</v>
      </c>
      <c r="B7048" s="12">
        <f t="shared" si="1125"/>
        <v>41036</v>
      </c>
      <c r="C7048" s="13">
        <v>2012.0</v>
      </c>
      <c r="D7048" s="11" t="s">
        <v>23</v>
      </c>
      <c r="E7048" s="11">
        <v>1.0</v>
      </c>
      <c r="F7048" s="21" t="s">
        <v>122</v>
      </c>
      <c r="G7048" s="15">
        <v>0.04744525547445258</v>
      </c>
      <c r="H7048" s="11" t="s">
        <v>33</v>
      </c>
      <c r="I7048" s="16">
        <v>5.2</v>
      </c>
      <c r="J7048" s="11" t="s">
        <v>1209</v>
      </c>
      <c r="K7048" s="11" t="s">
        <v>65</v>
      </c>
      <c r="L7048" s="11" t="s">
        <v>48</v>
      </c>
      <c r="M7048" s="11" t="s">
        <v>66</v>
      </c>
      <c r="N7048" s="11" t="s">
        <v>67</v>
      </c>
      <c r="O7048" s="11" t="s">
        <v>2130</v>
      </c>
      <c r="P7048" s="11" t="s">
        <v>38</v>
      </c>
      <c r="Q7048" s="20">
        <v>41038.0</v>
      </c>
      <c r="R7048" s="17">
        <f t="shared" si="2"/>
        <v>1.238321168</v>
      </c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>
        <f t="shared" si="8"/>
        <v>4</v>
      </c>
      <c r="AF7048" s="19">
        <f t="shared" si="13"/>
        <v>5</v>
      </c>
      <c r="AG7048" s="9"/>
      <c r="AH7048" s="9"/>
      <c r="AI7048" s="9"/>
    </row>
    <row r="7049" ht="15.0" customHeight="1">
      <c r="A7049" s="11">
        <v>7048.0</v>
      </c>
      <c r="B7049" s="12">
        <f t="shared" si="1125"/>
        <v>41036</v>
      </c>
      <c r="C7049" s="13">
        <v>2012.0</v>
      </c>
      <c r="D7049" s="11" t="s">
        <v>23</v>
      </c>
      <c r="E7049" s="11">
        <v>31.0</v>
      </c>
      <c r="F7049" s="21" t="s">
        <v>144</v>
      </c>
      <c r="G7049" s="15">
        <v>0.07521126760563365</v>
      </c>
      <c r="H7049" s="11" t="s">
        <v>24</v>
      </c>
      <c r="I7049" s="16">
        <v>0.5599999999999999</v>
      </c>
      <c r="J7049" s="11" t="s">
        <v>1209</v>
      </c>
      <c r="K7049" s="11" t="s">
        <v>65</v>
      </c>
      <c r="L7049" s="11" t="s">
        <v>48</v>
      </c>
      <c r="M7049" s="11" t="s">
        <v>28</v>
      </c>
      <c r="N7049" s="11" t="s">
        <v>62</v>
      </c>
      <c r="O7049" s="11" t="s">
        <v>146</v>
      </c>
      <c r="P7049" s="11" t="s">
        <v>58</v>
      </c>
      <c r="Q7049" s="20">
        <v>41038.0</v>
      </c>
      <c r="R7049" s="17">
        <f t="shared" si="2"/>
        <v>4.938371831</v>
      </c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>
        <f t="shared" si="8"/>
        <v>4</v>
      </c>
      <c r="AF7049" s="19">
        <f t="shared" si="13"/>
        <v>5</v>
      </c>
      <c r="AG7049" s="9"/>
      <c r="AH7049" s="9"/>
      <c r="AI7049" s="9"/>
    </row>
    <row r="7050" ht="15.0" customHeight="1">
      <c r="A7050" s="11">
        <v>7049.0</v>
      </c>
      <c r="B7050" s="12">
        <f t="shared" si="1125"/>
        <v>41036</v>
      </c>
      <c r="C7050" s="13">
        <v>2012.0</v>
      </c>
      <c r="D7050" s="11" t="s">
        <v>102</v>
      </c>
      <c r="E7050" s="11">
        <v>10.0</v>
      </c>
      <c r="F7050" s="21" t="s">
        <v>242</v>
      </c>
      <c r="G7050" s="15">
        <v>0.0644396054822595</v>
      </c>
      <c r="H7050" s="11" t="s">
        <v>45</v>
      </c>
      <c r="I7050" s="16">
        <v>21.392</v>
      </c>
      <c r="J7050" s="11" t="s">
        <v>1024</v>
      </c>
      <c r="K7050" s="11" t="s">
        <v>26</v>
      </c>
      <c r="L7050" s="11" t="s">
        <v>36</v>
      </c>
      <c r="M7050" s="11" t="s">
        <v>49</v>
      </c>
      <c r="N7050" s="11" t="s">
        <v>156</v>
      </c>
      <c r="O7050" s="11" t="s">
        <v>1909</v>
      </c>
      <c r="P7050" s="11" t="s">
        <v>87</v>
      </c>
      <c r="Q7050" s="20">
        <v>41038.0</v>
      </c>
      <c r="R7050" s="17">
        <f t="shared" si="2"/>
        <v>47.06617233</v>
      </c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>
        <f t="shared" si="8"/>
        <v>2</v>
      </c>
      <c r="AF7050" s="19">
        <f t="shared" si="13"/>
        <v>1</v>
      </c>
      <c r="AG7050" s="9"/>
      <c r="AH7050" s="9"/>
      <c r="AI7050" s="9"/>
    </row>
    <row r="7051" ht="15.0" customHeight="1">
      <c r="A7051" s="11">
        <v>7050.0</v>
      </c>
      <c r="B7051" s="12">
        <f t="shared" si="1125"/>
        <v>41036</v>
      </c>
      <c r="C7051" s="13">
        <v>2012.0</v>
      </c>
      <c r="D7051" s="11" t="s">
        <v>102</v>
      </c>
      <c r="E7051" s="11">
        <v>48.0</v>
      </c>
      <c r="F7051" s="21" t="s">
        <v>632</v>
      </c>
      <c r="G7051" s="15">
        <v>0.02048543689320391</v>
      </c>
      <c r="H7051" s="11" t="s">
        <v>33</v>
      </c>
      <c r="I7051" s="16">
        <v>1.2480000000000002</v>
      </c>
      <c r="J7051" s="11" t="s">
        <v>1024</v>
      </c>
      <c r="K7051" s="11" t="s">
        <v>26</v>
      </c>
      <c r="L7051" s="11" t="s">
        <v>36</v>
      </c>
      <c r="M7051" s="11" t="s">
        <v>28</v>
      </c>
      <c r="N7051" s="11" t="s">
        <v>62</v>
      </c>
      <c r="O7051" s="11" t="s">
        <v>633</v>
      </c>
      <c r="P7051" s="11" t="s">
        <v>58</v>
      </c>
      <c r="Q7051" s="20">
        <v>41038.0</v>
      </c>
      <c r="R7051" s="17">
        <f t="shared" si="2"/>
        <v>6.61368233</v>
      </c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>
        <f t="shared" si="8"/>
        <v>2</v>
      </c>
      <c r="AF7051" s="19">
        <f t="shared" si="13"/>
        <v>1</v>
      </c>
      <c r="AG7051" s="9"/>
      <c r="AH7051" s="9"/>
      <c r="AI7051" s="9"/>
    </row>
    <row r="7052" ht="15.0" customHeight="1">
      <c r="A7052" s="11">
        <v>7051.0</v>
      </c>
      <c r="B7052" s="12">
        <f t="shared" si="1125"/>
        <v>41036</v>
      </c>
      <c r="C7052" s="13">
        <v>2012.0</v>
      </c>
      <c r="D7052" s="11" t="s">
        <v>102</v>
      </c>
      <c r="E7052" s="11">
        <v>10.0</v>
      </c>
      <c r="F7052" s="21" t="s">
        <v>948</v>
      </c>
      <c r="G7052" s="15">
        <v>0.06479087452471485</v>
      </c>
      <c r="H7052" s="11" t="s">
        <v>33</v>
      </c>
      <c r="I7052" s="16">
        <v>1.192</v>
      </c>
      <c r="J7052" s="11" t="s">
        <v>2422</v>
      </c>
      <c r="K7052" s="11" t="s">
        <v>35</v>
      </c>
      <c r="L7052" s="11" t="s">
        <v>41</v>
      </c>
      <c r="M7052" s="11" t="s">
        <v>28</v>
      </c>
      <c r="N7052" s="11" t="s">
        <v>42</v>
      </c>
      <c r="O7052" s="11" t="s">
        <v>2507</v>
      </c>
      <c r="P7052" s="11" t="s">
        <v>38</v>
      </c>
      <c r="Q7052" s="20">
        <v>41038.0</v>
      </c>
      <c r="R7052" s="17">
        <f t="shared" si="2"/>
        <v>3.1871927</v>
      </c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>
        <f t="shared" si="8"/>
        <v>3</v>
      </c>
      <c r="AF7052" s="19">
        <f t="shared" si="13"/>
        <v>2</v>
      </c>
      <c r="AG7052" s="9"/>
      <c r="AH7052" s="9"/>
      <c r="AI7052" s="9"/>
    </row>
    <row r="7053" ht="15.0" customHeight="1">
      <c r="A7053" s="11">
        <v>7052.0</v>
      </c>
      <c r="B7053" s="12">
        <f t="shared" si="1125"/>
        <v>41036</v>
      </c>
      <c r="C7053" s="13">
        <v>2012.0</v>
      </c>
      <c r="D7053" s="11" t="s">
        <v>102</v>
      </c>
      <c r="E7053" s="11">
        <v>19.0</v>
      </c>
      <c r="F7053" s="21" t="s">
        <v>788</v>
      </c>
      <c r="G7053" s="15">
        <v>0.020617579975437235</v>
      </c>
      <c r="H7053" s="11" t="s">
        <v>33</v>
      </c>
      <c r="I7053" s="16">
        <v>7.192</v>
      </c>
      <c r="J7053" s="11" t="s">
        <v>2422</v>
      </c>
      <c r="K7053" s="11" t="s">
        <v>35</v>
      </c>
      <c r="L7053" s="11" t="s">
        <v>41</v>
      </c>
      <c r="M7053" s="11" t="s">
        <v>66</v>
      </c>
      <c r="N7053" s="11" t="s">
        <v>80</v>
      </c>
      <c r="O7053" s="11" t="s">
        <v>996</v>
      </c>
      <c r="P7053" s="11" t="s">
        <v>38</v>
      </c>
      <c r="Q7053" s="20">
        <v>41038.0</v>
      </c>
      <c r="R7053" s="17">
        <f t="shared" si="2"/>
        <v>69.05429567</v>
      </c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>
        <f t="shared" si="8"/>
        <v>3</v>
      </c>
      <c r="AF7053" s="19">
        <f t="shared" si="13"/>
        <v>2</v>
      </c>
      <c r="AG7053" s="9"/>
      <c r="AH7053" s="9"/>
      <c r="AI7053" s="9"/>
    </row>
    <row r="7054" ht="15.0" customHeight="1">
      <c r="A7054" s="11">
        <v>7053.0</v>
      </c>
      <c r="B7054" s="12">
        <f t="shared" si="1125"/>
        <v>41036</v>
      </c>
      <c r="C7054" s="13">
        <v>2012.0</v>
      </c>
      <c r="D7054" s="11" t="s">
        <v>44</v>
      </c>
      <c r="E7054" s="11">
        <v>11.0</v>
      </c>
      <c r="F7054" s="21" t="s">
        <v>1050</v>
      </c>
      <c r="G7054" s="15">
        <v>0.02433661865049286</v>
      </c>
      <c r="H7054" s="11" t="s">
        <v>33</v>
      </c>
      <c r="I7054" s="16">
        <v>12.08</v>
      </c>
      <c r="J7054" s="11" t="s">
        <v>398</v>
      </c>
      <c r="K7054" s="11" t="s">
        <v>35</v>
      </c>
      <c r="L7054" s="11" t="s">
        <v>27</v>
      </c>
      <c r="M7054" s="11" t="s">
        <v>28</v>
      </c>
      <c r="N7054" s="11" t="s">
        <v>42</v>
      </c>
      <c r="O7054" s="11" t="s">
        <v>1052</v>
      </c>
      <c r="P7054" s="11" t="s">
        <v>38</v>
      </c>
      <c r="Q7054" s="20">
        <v>41038.0</v>
      </c>
      <c r="R7054" s="17">
        <f t="shared" si="2"/>
        <v>6.263758908</v>
      </c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>
        <f t="shared" si="8"/>
        <v>1</v>
      </c>
      <c r="AF7054" s="19">
        <f t="shared" si="13"/>
        <v>2</v>
      </c>
      <c r="AG7054" s="9"/>
      <c r="AH7054" s="9"/>
      <c r="AI7054" s="9"/>
    </row>
    <row r="7055" ht="15.0" customHeight="1">
      <c r="A7055" s="11">
        <v>7054.0</v>
      </c>
      <c r="B7055" s="12">
        <f t="shared" ref="B7055:B7059" si="1126">DATE(2012,12,31)-237</f>
        <v>41037</v>
      </c>
      <c r="C7055" s="13">
        <v>2012.0</v>
      </c>
      <c r="D7055" s="11" t="s">
        <v>32</v>
      </c>
      <c r="E7055" s="11">
        <v>16.0</v>
      </c>
      <c r="F7055" s="21" t="s">
        <v>1782</v>
      </c>
      <c r="G7055" s="15">
        <v>0.041139478634775725</v>
      </c>
      <c r="H7055" s="11" t="s">
        <v>24</v>
      </c>
      <c r="I7055" s="16">
        <v>1.592</v>
      </c>
      <c r="J7055" s="11" t="s">
        <v>2250</v>
      </c>
      <c r="K7055" s="11" t="s">
        <v>61</v>
      </c>
      <c r="L7055" s="11" t="s">
        <v>48</v>
      </c>
      <c r="M7055" s="11" t="s">
        <v>66</v>
      </c>
      <c r="N7055" s="11" t="s">
        <v>67</v>
      </c>
      <c r="O7055" s="11" t="s">
        <v>2103</v>
      </c>
      <c r="P7055" s="11" t="s">
        <v>99</v>
      </c>
      <c r="Q7055" s="20">
        <v>41039.0</v>
      </c>
      <c r="R7055" s="17">
        <f t="shared" si="2"/>
        <v>14.67823686</v>
      </c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>
        <f t="shared" si="8"/>
        <v>4</v>
      </c>
      <c r="AF7055" s="19">
        <f t="shared" si="13"/>
        <v>4</v>
      </c>
      <c r="AG7055" s="9"/>
      <c r="AH7055" s="9"/>
      <c r="AI7055" s="9"/>
    </row>
    <row r="7056" ht="15.0" customHeight="1">
      <c r="A7056" s="11">
        <v>7055.0</v>
      </c>
      <c r="B7056" s="12">
        <f t="shared" si="1126"/>
        <v>41037</v>
      </c>
      <c r="C7056" s="13">
        <v>2012.0</v>
      </c>
      <c r="D7056" s="11" t="s">
        <v>39</v>
      </c>
      <c r="E7056" s="11">
        <v>19.0</v>
      </c>
      <c r="F7056" s="21" t="s">
        <v>1178</v>
      </c>
      <c r="G7056" s="15">
        <v>0.04090054521526591</v>
      </c>
      <c r="H7056" s="11" t="s">
        <v>45</v>
      </c>
      <c r="I7056" s="16">
        <v>41.760000000000005</v>
      </c>
      <c r="J7056" s="11" t="s">
        <v>395</v>
      </c>
      <c r="K7056" s="11" t="s">
        <v>35</v>
      </c>
      <c r="L7056" s="11" t="s">
        <v>36</v>
      </c>
      <c r="M7056" s="11" t="s">
        <v>49</v>
      </c>
      <c r="N7056" s="11" t="s">
        <v>85</v>
      </c>
      <c r="O7056" s="11" t="s">
        <v>86</v>
      </c>
      <c r="P7056" s="11" t="s">
        <v>87</v>
      </c>
      <c r="Q7056" s="20">
        <v>41039.0</v>
      </c>
      <c r="R7056" s="17">
        <f t="shared" si="2"/>
        <v>166.9216691</v>
      </c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>
        <f t="shared" si="8"/>
        <v>2</v>
      </c>
      <c r="AF7056" s="19">
        <f t="shared" si="13"/>
        <v>2</v>
      </c>
      <c r="AG7056" s="9"/>
      <c r="AH7056" s="9"/>
      <c r="AI7056" s="9"/>
    </row>
    <row r="7057" ht="15.0" customHeight="1">
      <c r="A7057" s="11">
        <v>7056.0</v>
      </c>
      <c r="B7057" s="12">
        <f t="shared" si="1126"/>
        <v>41037</v>
      </c>
      <c r="C7057" s="13">
        <v>2012.0</v>
      </c>
      <c r="D7057" s="11" t="s">
        <v>39</v>
      </c>
      <c r="E7057" s="11">
        <v>17.0</v>
      </c>
      <c r="F7057" s="21" t="s">
        <v>151</v>
      </c>
      <c r="G7057" s="15">
        <v>0.10290271132376393</v>
      </c>
      <c r="H7057" s="11" t="s">
        <v>33</v>
      </c>
      <c r="I7057" s="16">
        <v>1.848</v>
      </c>
      <c r="J7057" s="11" t="s">
        <v>395</v>
      </c>
      <c r="K7057" s="11" t="s">
        <v>35</v>
      </c>
      <c r="L7057" s="11" t="s">
        <v>36</v>
      </c>
      <c r="M7057" s="11" t="s">
        <v>28</v>
      </c>
      <c r="N7057" s="11" t="s">
        <v>62</v>
      </c>
      <c r="O7057" s="11" t="s">
        <v>1286</v>
      </c>
      <c r="P7057" s="11" t="s">
        <v>58</v>
      </c>
      <c r="Q7057" s="20">
        <v>41039.0</v>
      </c>
      <c r="R7057" s="17">
        <f t="shared" si="2"/>
        <v>5.788071707</v>
      </c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>
        <f t="shared" si="8"/>
        <v>2</v>
      </c>
      <c r="AF7057" s="19">
        <f t="shared" si="13"/>
        <v>2</v>
      </c>
      <c r="AG7057" s="9"/>
      <c r="AH7057" s="9"/>
      <c r="AI7057" s="9"/>
    </row>
    <row r="7058" ht="15.0" customHeight="1">
      <c r="A7058" s="11">
        <v>7057.0</v>
      </c>
      <c r="B7058" s="12">
        <f t="shared" si="1126"/>
        <v>41037</v>
      </c>
      <c r="C7058" s="13">
        <v>2012.0</v>
      </c>
      <c r="D7058" s="11" t="s">
        <v>102</v>
      </c>
      <c r="E7058" s="11">
        <v>14.0</v>
      </c>
      <c r="F7058" s="21" t="s">
        <v>788</v>
      </c>
      <c r="G7058" s="15">
        <v>0.06655882686420506</v>
      </c>
      <c r="H7058" s="11" t="s">
        <v>33</v>
      </c>
      <c r="I7058" s="16">
        <v>7.192</v>
      </c>
      <c r="J7058" s="11" t="s">
        <v>193</v>
      </c>
      <c r="K7058" s="11" t="s">
        <v>61</v>
      </c>
      <c r="L7058" s="11" t="s">
        <v>48</v>
      </c>
      <c r="M7058" s="11" t="s">
        <v>66</v>
      </c>
      <c r="N7058" s="11" t="s">
        <v>80</v>
      </c>
      <c r="O7058" s="11" t="s">
        <v>996</v>
      </c>
      <c r="P7058" s="11" t="s">
        <v>38</v>
      </c>
      <c r="Q7058" s="20">
        <v>41039.0</v>
      </c>
      <c r="R7058" s="17">
        <f t="shared" si="2"/>
        <v>164.3864581</v>
      </c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>
        <f t="shared" si="8"/>
        <v>4</v>
      </c>
      <c r="AF7058" s="19">
        <f t="shared" si="13"/>
        <v>4</v>
      </c>
      <c r="AG7058" s="9"/>
      <c r="AH7058" s="9"/>
      <c r="AI7058" s="9"/>
    </row>
    <row r="7059" ht="15.0" customHeight="1">
      <c r="A7059" s="11">
        <v>7058.0</v>
      </c>
      <c r="B7059" s="12">
        <f t="shared" si="1126"/>
        <v>41037</v>
      </c>
      <c r="C7059" s="13">
        <v>2012.0</v>
      </c>
      <c r="D7059" s="11" t="s">
        <v>102</v>
      </c>
      <c r="E7059" s="11">
        <v>4.0</v>
      </c>
      <c r="F7059" s="21" t="s">
        <v>486</v>
      </c>
      <c r="G7059" s="15">
        <v>0.09776173285198564</v>
      </c>
      <c r="H7059" s="11" t="s">
        <v>33</v>
      </c>
      <c r="I7059" s="16">
        <v>4.5920000000000005</v>
      </c>
      <c r="J7059" s="11" t="s">
        <v>193</v>
      </c>
      <c r="K7059" s="11" t="s">
        <v>61</v>
      </c>
      <c r="L7059" s="11" t="s">
        <v>48</v>
      </c>
      <c r="M7059" s="11" t="s">
        <v>28</v>
      </c>
      <c r="N7059" s="11" t="s">
        <v>42</v>
      </c>
      <c r="O7059" s="11" t="s">
        <v>487</v>
      </c>
      <c r="P7059" s="11" t="s">
        <v>38</v>
      </c>
      <c r="Q7059" s="20">
        <v>41039.0</v>
      </c>
      <c r="R7059" s="17">
        <f t="shared" si="2"/>
        <v>2.443261227</v>
      </c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>
        <f t="shared" si="8"/>
        <v>4</v>
      </c>
      <c r="AF7059" s="19">
        <f t="shared" si="13"/>
        <v>4</v>
      </c>
      <c r="AG7059" s="9"/>
      <c r="AH7059" s="9"/>
      <c r="AI7059" s="9"/>
    </row>
    <row r="7060" ht="15.0" customHeight="1">
      <c r="A7060" s="11">
        <v>7059.0</v>
      </c>
      <c r="B7060" s="12">
        <f t="shared" ref="B7060:B7065" si="1127">DATE(2012,12,31)-236</f>
        <v>41038</v>
      </c>
      <c r="C7060" s="13">
        <v>2012.0</v>
      </c>
      <c r="D7060" s="11" t="s">
        <v>44</v>
      </c>
      <c r="E7060" s="11">
        <v>22.0</v>
      </c>
      <c r="F7060" s="21" t="s">
        <v>718</v>
      </c>
      <c r="G7060" s="15">
        <v>0.08639433293978754</v>
      </c>
      <c r="H7060" s="11" t="s">
        <v>33</v>
      </c>
      <c r="I7060" s="16">
        <v>6.024000000000001</v>
      </c>
      <c r="J7060" s="11" t="s">
        <v>403</v>
      </c>
      <c r="K7060" s="11" t="s">
        <v>61</v>
      </c>
      <c r="L7060" s="11" t="s">
        <v>48</v>
      </c>
      <c r="M7060" s="11" t="s">
        <v>66</v>
      </c>
      <c r="N7060" s="11" t="s">
        <v>67</v>
      </c>
      <c r="O7060" s="11" t="s">
        <v>813</v>
      </c>
      <c r="P7060" s="11" t="s">
        <v>38</v>
      </c>
      <c r="Q7060" s="20">
        <v>41040.0</v>
      </c>
      <c r="R7060" s="17">
        <f t="shared" si="2"/>
        <v>66.85400829</v>
      </c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>
        <f t="shared" si="8"/>
        <v>4</v>
      </c>
      <c r="AF7060" s="19">
        <f t="shared" si="13"/>
        <v>4</v>
      </c>
      <c r="AG7060" s="9"/>
      <c r="AH7060" s="9"/>
      <c r="AI7060" s="9"/>
    </row>
    <row r="7061" ht="15.0" customHeight="1">
      <c r="A7061" s="11">
        <v>7060.0</v>
      </c>
      <c r="B7061" s="12">
        <f t="shared" si="1127"/>
        <v>41038</v>
      </c>
      <c r="C7061" s="13">
        <v>2012.0</v>
      </c>
      <c r="D7061" s="11" t="s">
        <v>44</v>
      </c>
      <c r="E7061" s="11">
        <v>2.0</v>
      </c>
      <c r="F7061" s="21" t="s">
        <v>314</v>
      </c>
      <c r="G7061" s="15">
        <v>0.02255639097744366</v>
      </c>
      <c r="H7061" s="11" t="s">
        <v>33</v>
      </c>
      <c r="I7061" s="16">
        <v>0.4</v>
      </c>
      <c r="J7061" s="11" t="s">
        <v>403</v>
      </c>
      <c r="K7061" s="11" t="s">
        <v>61</v>
      </c>
      <c r="L7061" s="11" t="s">
        <v>48</v>
      </c>
      <c r="M7061" s="11" t="s">
        <v>28</v>
      </c>
      <c r="N7061" s="11" t="s">
        <v>188</v>
      </c>
      <c r="O7061" s="11" t="s">
        <v>516</v>
      </c>
      <c r="P7061" s="11" t="s">
        <v>38</v>
      </c>
      <c r="Q7061" s="20">
        <v>41040.0</v>
      </c>
      <c r="R7061" s="17">
        <f t="shared" si="2"/>
        <v>0.2932330827</v>
      </c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>
        <f t="shared" si="8"/>
        <v>4</v>
      </c>
      <c r="AF7061" s="19">
        <f t="shared" si="13"/>
        <v>4</v>
      </c>
      <c r="AG7061" s="9"/>
      <c r="AH7061" s="9"/>
      <c r="AI7061" s="9"/>
    </row>
    <row r="7062" ht="15.0" customHeight="1">
      <c r="A7062" s="11">
        <v>7061.0</v>
      </c>
      <c r="B7062" s="12">
        <f t="shared" si="1127"/>
        <v>41038</v>
      </c>
      <c r="C7062" s="13">
        <v>2012.0</v>
      </c>
      <c r="D7062" s="11" t="s">
        <v>39</v>
      </c>
      <c r="E7062" s="11">
        <v>6.0</v>
      </c>
      <c r="F7062" s="21" t="s">
        <v>2151</v>
      </c>
      <c r="G7062" s="15">
        <v>0.08172188885990089</v>
      </c>
      <c r="H7062" s="11" t="s">
        <v>33</v>
      </c>
      <c r="I7062" s="16">
        <v>10.576</v>
      </c>
      <c r="J7062" s="11" t="s">
        <v>1009</v>
      </c>
      <c r="K7062" s="11" t="s">
        <v>65</v>
      </c>
      <c r="L7062" s="11" t="s">
        <v>36</v>
      </c>
      <c r="M7062" s="11" t="s">
        <v>28</v>
      </c>
      <c r="N7062" s="11" t="s">
        <v>197</v>
      </c>
      <c r="O7062" s="11" t="s">
        <v>2152</v>
      </c>
      <c r="P7062" s="11" t="s">
        <v>38</v>
      </c>
      <c r="Q7062" s="20">
        <v>41040.0</v>
      </c>
      <c r="R7062" s="17">
        <f t="shared" si="2"/>
        <v>28.76414355</v>
      </c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>
        <f t="shared" si="8"/>
        <v>2</v>
      </c>
      <c r="AF7062" s="19">
        <f t="shared" si="13"/>
        <v>5</v>
      </c>
      <c r="AG7062" s="9"/>
      <c r="AH7062" s="9"/>
      <c r="AI7062" s="9"/>
    </row>
    <row r="7063" ht="15.0" customHeight="1">
      <c r="A7063" s="11">
        <v>7062.0</v>
      </c>
      <c r="B7063" s="12">
        <f t="shared" si="1127"/>
        <v>41038</v>
      </c>
      <c r="C7063" s="13">
        <v>2012.0</v>
      </c>
      <c r="D7063" s="11" t="s">
        <v>39</v>
      </c>
      <c r="E7063" s="11">
        <v>7.0</v>
      </c>
      <c r="F7063" s="21" t="s">
        <v>933</v>
      </c>
      <c r="G7063" s="15">
        <v>0.08448074679113182</v>
      </c>
      <c r="H7063" s="11" t="s">
        <v>33</v>
      </c>
      <c r="I7063" s="16">
        <v>1.0</v>
      </c>
      <c r="J7063" s="11" t="s">
        <v>1009</v>
      </c>
      <c r="K7063" s="11" t="s">
        <v>65</v>
      </c>
      <c r="L7063" s="11" t="s">
        <v>36</v>
      </c>
      <c r="M7063" s="11" t="s">
        <v>66</v>
      </c>
      <c r="N7063" s="11" t="s">
        <v>80</v>
      </c>
      <c r="O7063" s="11" t="s">
        <v>1407</v>
      </c>
      <c r="P7063" s="11" t="s">
        <v>99</v>
      </c>
      <c r="Q7063" s="20">
        <v>41040.0</v>
      </c>
      <c r="R7063" s="17">
        <f t="shared" si="2"/>
        <v>33.14179697</v>
      </c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>
        <f t="shared" si="8"/>
        <v>2</v>
      </c>
      <c r="AF7063" s="19">
        <f t="shared" si="13"/>
        <v>5</v>
      </c>
      <c r="AG7063" s="9"/>
      <c r="AH7063" s="9"/>
      <c r="AI7063" s="9"/>
    </row>
    <row r="7064" ht="15.0" customHeight="1">
      <c r="A7064" s="11">
        <v>7063.0</v>
      </c>
      <c r="B7064" s="12">
        <f t="shared" si="1127"/>
        <v>41038</v>
      </c>
      <c r="C7064" s="13">
        <v>2012.0</v>
      </c>
      <c r="D7064" s="11" t="s">
        <v>102</v>
      </c>
      <c r="E7064" s="11">
        <v>28.0</v>
      </c>
      <c r="F7064" s="21" t="s">
        <v>1878</v>
      </c>
      <c r="G7064" s="15">
        <v>0.011067445565586845</v>
      </c>
      <c r="H7064" s="11" t="s">
        <v>24</v>
      </c>
      <c r="I7064" s="16">
        <v>4.216</v>
      </c>
      <c r="J7064" s="11" t="s">
        <v>1865</v>
      </c>
      <c r="K7064" s="11" t="s">
        <v>65</v>
      </c>
      <c r="L7064" s="11" t="s">
        <v>48</v>
      </c>
      <c r="M7064" s="11" t="s">
        <v>28</v>
      </c>
      <c r="N7064" s="11" t="s">
        <v>42</v>
      </c>
      <c r="O7064" s="11" t="s">
        <v>1879</v>
      </c>
      <c r="P7064" s="11" t="s">
        <v>38</v>
      </c>
      <c r="Q7064" s="20">
        <v>41040.0</v>
      </c>
      <c r="R7064" s="17">
        <f t="shared" si="2"/>
        <v>2.060935443</v>
      </c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>
        <f t="shared" si="8"/>
        <v>4</v>
      </c>
      <c r="AF7064" s="19">
        <f t="shared" si="13"/>
        <v>5</v>
      </c>
      <c r="AG7064" s="9"/>
      <c r="AH7064" s="9"/>
      <c r="AI7064" s="9"/>
    </row>
    <row r="7065" ht="15.0" customHeight="1">
      <c r="A7065" s="11">
        <v>7064.0</v>
      </c>
      <c r="B7065" s="12">
        <f t="shared" si="1127"/>
        <v>41038</v>
      </c>
      <c r="C7065" s="13">
        <v>2012.0</v>
      </c>
      <c r="D7065" s="11" t="s">
        <v>102</v>
      </c>
      <c r="E7065" s="11">
        <v>27.0</v>
      </c>
      <c r="F7065" s="21" t="s">
        <v>2153</v>
      </c>
      <c r="G7065" s="15">
        <v>0.06892042186001908</v>
      </c>
      <c r="H7065" s="11" t="s">
        <v>33</v>
      </c>
      <c r="I7065" s="16">
        <v>7.216</v>
      </c>
      <c r="J7065" s="11" t="s">
        <v>1865</v>
      </c>
      <c r="K7065" s="11" t="s">
        <v>65</v>
      </c>
      <c r="L7065" s="11" t="s">
        <v>48</v>
      </c>
      <c r="M7065" s="11" t="s">
        <v>66</v>
      </c>
      <c r="N7065" s="11" t="s">
        <v>67</v>
      </c>
      <c r="O7065" s="11" t="s">
        <v>2154</v>
      </c>
      <c r="P7065" s="11" t="s">
        <v>38</v>
      </c>
      <c r="Q7065" s="20">
        <v>41040.0</v>
      </c>
      <c r="R7065" s="17">
        <f t="shared" si="2"/>
        <v>66.9297244</v>
      </c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>
        <f t="shared" si="8"/>
        <v>4</v>
      </c>
      <c r="AF7065" s="19">
        <f t="shared" si="13"/>
        <v>5</v>
      </c>
      <c r="AG7065" s="9"/>
      <c r="AH7065" s="9"/>
      <c r="AI7065" s="9"/>
    </row>
    <row r="7066" ht="15.0" customHeight="1">
      <c r="A7066" s="11">
        <v>7065.0</v>
      </c>
      <c r="B7066" s="12">
        <f t="shared" ref="B7066:B7075" si="1128">DATE(2012,12,31)-235</f>
        <v>41039</v>
      </c>
      <c r="C7066" s="13">
        <v>2012.0</v>
      </c>
      <c r="D7066" s="11" t="s">
        <v>23</v>
      </c>
      <c r="E7066" s="11">
        <v>45.0</v>
      </c>
      <c r="F7066" s="21" t="s">
        <v>933</v>
      </c>
      <c r="G7066" s="15">
        <v>0.06699540263977452</v>
      </c>
      <c r="H7066" s="11" t="s">
        <v>33</v>
      </c>
      <c r="I7066" s="16">
        <v>1.0</v>
      </c>
      <c r="J7066" s="11" t="s">
        <v>1496</v>
      </c>
      <c r="K7066" s="11" t="s">
        <v>61</v>
      </c>
      <c r="L7066" s="11" t="s">
        <v>48</v>
      </c>
      <c r="M7066" s="11" t="s">
        <v>66</v>
      </c>
      <c r="N7066" s="11" t="s">
        <v>80</v>
      </c>
      <c r="O7066" s="11" t="s">
        <v>1275</v>
      </c>
      <c r="P7066" s="11" t="s">
        <v>99</v>
      </c>
      <c r="Q7066" s="20">
        <v>41040.0</v>
      </c>
      <c r="R7066" s="17">
        <f t="shared" si="2"/>
        <v>168.5939307</v>
      </c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>
        <f t="shared" si="8"/>
        <v>4</v>
      </c>
      <c r="AF7066" s="19">
        <f t="shared" si="13"/>
        <v>4</v>
      </c>
      <c r="AG7066" s="9"/>
      <c r="AH7066" s="9"/>
      <c r="AI7066" s="9"/>
    </row>
    <row r="7067" ht="15.0" customHeight="1">
      <c r="A7067" s="11">
        <v>7066.0</v>
      </c>
      <c r="B7067" s="12">
        <f t="shared" si="1128"/>
        <v>41039</v>
      </c>
      <c r="C7067" s="13">
        <v>2012.0</v>
      </c>
      <c r="D7067" s="11" t="s">
        <v>44</v>
      </c>
      <c r="E7067" s="11">
        <v>8.0</v>
      </c>
      <c r="F7067" s="21" t="s">
        <v>641</v>
      </c>
      <c r="G7067" s="15">
        <v>0.06340392156862748</v>
      </c>
      <c r="H7067" s="11" t="s">
        <v>33</v>
      </c>
      <c r="I7067" s="16">
        <v>5.816</v>
      </c>
      <c r="J7067" s="11" t="s">
        <v>1805</v>
      </c>
      <c r="K7067" s="11" t="s">
        <v>65</v>
      </c>
      <c r="L7067" s="11" t="s">
        <v>27</v>
      </c>
      <c r="M7067" s="11" t="s">
        <v>28</v>
      </c>
      <c r="N7067" s="11" t="s">
        <v>42</v>
      </c>
      <c r="O7067" s="11" t="s">
        <v>642</v>
      </c>
      <c r="P7067" s="11" t="s">
        <v>38</v>
      </c>
      <c r="Q7067" s="20">
        <v>41041.0</v>
      </c>
      <c r="R7067" s="17">
        <f t="shared" si="2"/>
        <v>7.571442698</v>
      </c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>
        <f t="shared" si="8"/>
        <v>1</v>
      </c>
      <c r="AF7067" s="19">
        <f t="shared" si="13"/>
        <v>5</v>
      </c>
      <c r="AG7067" s="9"/>
      <c r="AH7067" s="9"/>
      <c r="AI7067" s="9"/>
    </row>
    <row r="7068" ht="15.0" customHeight="1">
      <c r="A7068" s="11">
        <v>7067.0</v>
      </c>
      <c r="B7068" s="12">
        <f t="shared" si="1128"/>
        <v>41039</v>
      </c>
      <c r="C7068" s="13">
        <v>2012.0</v>
      </c>
      <c r="D7068" s="11" t="s">
        <v>44</v>
      </c>
      <c r="E7068" s="11">
        <v>31.0</v>
      </c>
      <c r="F7068" s="21" t="s">
        <v>661</v>
      </c>
      <c r="G7068" s="15">
        <v>0.010668421472441573</v>
      </c>
      <c r="H7068" s="11" t="s">
        <v>33</v>
      </c>
      <c r="I7068" s="16">
        <v>4.4</v>
      </c>
      <c r="J7068" s="11" t="s">
        <v>1805</v>
      </c>
      <c r="K7068" s="11" t="s">
        <v>65</v>
      </c>
      <c r="L7068" s="11" t="s">
        <v>27</v>
      </c>
      <c r="M7068" s="11" t="s">
        <v>66</v>
      </c>
      <c r="N7068" s="11" t="s">
        <v>67</v>
      </c>
      <c r="O7068" s="11" t="s">
        <v>663</v>
      </c>
      <c r="P7068" s="11" t="s">
        <v>38</v>
      </c>
      <c r="Q7068" s="20">
        <v>41041.0</v>
      </c>
      <c r="R7068" s="17">
        <f t="shared" si="2"/>
        <v>52.92923945</v>
      </c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>
        <f t="shared" si="8"/>
        <v>1</v>
      </c>
      <c r="AF7068" s="19">
        <f t="shared" si="13"/>
        <v>5</v>
      </c>
      <c r="AG7068" s="9"/>
      <c r="AH7068" s="9"/>
      <c r="AI7068" s="9"/>
    </row>
    <row r="7069" ht="15.0" customHeight="1">
      <c r="A7069" s="11">
        <v>7068.0</v>
      </c>
      <c r="B7069" s="12">
        <f t="shared" si="1128"/>
        <v>41039</v>
      </c>
      <c r="C7069" s="13">
        <v>2012.0</v>
      </c>
      <c r="D7069" s="11" t="s">
        <v>44</v>
      </c>
      <c r="E7069" s="11">
        <v>36.0</v>
      </c>
      <c r="F7069" s="21" t="s">
        <v>267</v>
      </c>
      <c r="G7069" s="15">
        <v>0.015458167330677307</v>
      </c>
      <c r="H7069" s="11" t="s">
        <v>33</v>
      </c>
      <c r="I7069" s="16">
        <v>15.991999999999999</v>
      </c>
      <c r="J7069" s="11" t="s">
        <v>1805</v>
      </c>
      <c r="K7069" s="11" t="s">
        <v>65</v>
      </c>
      <c r="L7069" s="11" t="s">
        <v>27</v>
      </c>
      <c r="M7069" s="11" t="s">
        <v>28</v>
      </c>
      <c r="N7069" s="11" t="s">
        <v>29</v>
      </c>
      <c r="O7069" s="11" t="s">
        <v>269</v>
      </c>
      <c r="P7069" s="11" t="s">
        <v>38</v>
      </c>
      <c r="Q7069" s="20">
        <v>41041.0</v>
      </c>
      <c r="R7069" s="17">
        <f t="shared" si="2"/>
        <v>15.66209147</v>
      </c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>
        <f t="shared" si="8"/>
        <v>1</v>
      </c>
      <c r="AF7069" s="19">
        <f t="shared" si="13"/>
        <v>5</v>
      </c>
      <c r="AG7069" s="9"/>
      <c r="AH7069" s="9"/>
      <c r="AI7069" s="9"/>
    </row>
    <row r="7070" ht="15.0" customHeight="1">
      <c r="A7070" s="11">
        <v>7069.0</v>
      </c>
      <c r="B7070" s="12">
        <f t="shared" si="1128"/>
        <v>41039</v>
      </c>
      <c r="C7070" s="13">
        <v>2012.0</v>
      </c>
      <c r="D7070" s="11" t="s">
        <v>102</v>
      </c>
      <c r="E7070" s="11">
        <v>25.0</v>
      </c>
      <c r="F7070" s="21" t="s">
        <v>130</v>
      </c>
      <c r="G7070" s="15">
        <v>0.06845202353788879</v>
      </c>
      <c r="H7070" s="11" t="s">
        <v>33</v>
      </c>
      <c r="I7070" s="16">
        <v>3.2</v>
      </c>
      <c r="J7070" s="11" t="s">
        <v>323</v>
      </c>
      <c r="K7070" s="11" t="s">
        <v>61</v>
      </c>
      <c r="L7070" s="11" t="s">
        <v>27</v>
      </c>
      <c r="M7070" s="11" t="s">
        <v>66</v>
      </c>
      <c r="N7070" s="11" t="s">
        <v>67</v>
      </c>
      <c r="O7070" s="11" t="s">
        <v>1926</v>
      </c>
      <c r="P7070" s="11" t="s">
        <v>38</v>
      </c>
      <c r="Q7070" s="20">
        <v>41041.0</v>
      </c>
      <c r="R7070" s="17">
        <f t="shared" si="2"/>
        <v>53.09823466</v>
      </c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>
        <f t="shared" si="8"/>
        <v>1</v>
      </c>
      <c r="AF7070" s="19">
        <f t="shared" si="13"/>
        <v>4</v>
      </c>
      <c r="AG7070" s="9"/>
      <c r="AH7070" s="9"/>
      <c r="AI7070" s="9"/>
    </row>
    <row r="7071" ht="15.0" customHeight="1">
      <c r="A7071" s="11">
        <v>7070.0</v>
      </c>
      <c r="B7071" s="12">
        <f t="shared" si="1128"/>
        <v>41039</v>
      </c>
      <c r="C7071" s="13">
        <v>2012.0</v>
      </c>
      <c r="D7071" s="11" t="s">
        <v>102</v>
      </c>
      <c r="E7071" s="11">
        <v>40.0</v>
      </c>
      <c r="F7071" s="21" t="s">
        <v>158</v>
      </c>
      <c r="G7071" s="15">
        <v>0.09790528862772213</v>
      </c>
      <c r="H7071" s="11" t="s">
        <v>33</v>
      </c>
      <c r="I7071" s="16">
        <v>4.976</v>
      </c>
      <c r="J7071" s="11" t="s">
        <v>323</v>
      </c>
      <c r="K7071" s="11" t="s">
        <v>61</v>
      </c>
      <c r="L7071" s="11" t="s">
        <v>27</v>
      </c>
      <c r="M7071" s="11" t="s">
        <v>28</v>
      </c>
      <c r="N7071" s="11" t="s">
        <v>56</v>
      </c>
      <c r="O7071" s="11" t="s">
        <v>1216</v>
      </c>
      <c r="P7071" s="11" t="s">
        <v>38</v>
      </c>
      <c r="Q7071" s="20">
        <v>41041.0</v>
      </c>
      <c r="R7071" s="17">
        <f t="shared" si="2"/>
        <v>25.5509306</v>
      </c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>
        <f t="shared" si="8"/>
        <v>1</v>
      </c>
      <c r="AF7071" s="19">
        <f t="shared" si="13"/>
        <v>4</v>
      </c>
      <c r="AG7071" s="9"/>
      <c r="AH7071" s="9"/>
      <c r="AI7071" s="9"/>
    </row>
    <row r="7072" ht="15.0" customHeight="1">
      <c r="A7072" s="11">
        <v>7071.0</v>
      </c>
      <c r="B7072" s="12">
        <f t="shared" si="1128"/>
        <v>41039</v>
      </c>
      <c r="C7072" s="13">
        <v>2012.0</v>
      </c>
      <c r="D7072" s="11" t="s">
        <v>102</v>
      </c>
      <c r="E7072" s="11">
        <v>20.0</v>
      </c>
      <c r="F7072" s="21" t="s">
        <v>158</v>
      </c>
      <c r="G7072" s="15">
        <v>0.08603412969283267</v>
      </c>
      <c r="H7072" s="11" t="s">
        <v>33</v>
      </c>
      <c r="I7072" s="16">
        <v>5.896000000000001</v>
      </c>
      <c r="J7072" s="11" t="s">
        <v>323</v>
      </c>
      <c r="K7072" s="11" t="s">
        <v>61</v>
      </c>
      <c r="L7072" s="11" t="s">
        <v>27</v>
      </c>
      <c r="M7072" s="11" t="s">
        <v>28</v>
      </c>
      <c r="N7072" s="11" t="s">
        <v>56</v>
      </c>
      <c r="O7072" s="11" t="s">
        <v>860</v>
      </c>
      <c r="P7072" s="11" t="s">
        <v>38</v>
      </c>
      <c r="Q7072" s="20">
        <v>41041.0</v>
      </c>
      <c r="R7072" s="17">
        <f t="shared" si="2"/>
        <v>11.51962583</v>
      </c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>
        <f t="shared" si="8"/>
        <v>1</v>
      </c>
      <c r="AF7072" s="19">
        <f t="shared" si="13"/>
        <v>4</v>
      </c>
      <c r="AG7072" s="9"/>
      <c r="AH7072" s="9"/>
      <c r="AI7072" s="9"/>
    </row>
    <row r="7073" ht="15.0" customHeight="1">
      <c r="A7073" s="11">
        <v>7072.0</v>
      </c>
      <c r="B7073" s="12">
        <f t="shared" si="1128"/>
        <v>41039</v>
      </c>
      <c r="C7073" s="13">
        <v>2012.0</v>
      </c>
      <c r="D7073" s="11" t="s">
        <v>32</v>
      </c>
      <c r="E7073" s="11">
        <v>22.0</v>
      </c>
      <c r="F7073" s="21" t="s">
        <v>158</v>
      </c>
      <c r="G7073" s="15">
        <v>0.048057553956834434</v>
      </c>
      <c r="H7073" s="11" t="s">
        <v>33</v>
      </c>
      <c r="I7073" s="16">
        <v>4.752000000000001</v>
      </c>
      <c r="J7073" s="11" t="s">
        <v>1903</v>
      </c>
      <c r="K7073" s="11" t="s">
        <v>65</v>
      </c>
      <c r="L7073" s="11" t="s">
        <v>48</v>
      </c>
      <c r="M7073" s="11" t="s">
        <v>28</v>
      </c>
      <c r="N7073" s="11" t="s">
        <v>56</v>
      </c>
      <c r="O7073" s="11" t="s">
        <v>2186</v>
      </c>
      <c r="P7073" s="11" t="s">
        <v>38</v>
      </c>
      <c r="Q7073" s="20">
        <v>41041.0</v>
      </c>
      <c r="R7073" s="17">
        <f t="shared" si="2"/>
        <v>6.994873094</v>
      </c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>
        <f t="shared" si="8"/>
        <v>4</v>
      </c>
      <c r="AF7073" s="19">
        <f t="shared" si="13"/>
        <v>5</v>
      </c>
      <c r="AG7073" s="9"/>
      <c r="AH7073" s="9"/>
      <c r="AI7073" s="9"/>
    </row>
    <row r="7074" ht="15.0" customHeight="1">
      <c r="A7074" s="11">
        <v>7073.0</v>
      </c>
      <c r="B7074" s="12">
        <f t="shared" si="1128"/>
        <v>41039</v>
      </c>
      <c r="C7074" s="13">
        <v>2012.0</v>
      </c>
      <c r="D7074" s="11" t="s">
        <v>32</v>
      </c>
      <c r="E7074" s="11">
        <v>14.0</v>
      </c>
      <c r="F7074" s="21" t="s">
        <v>126</v>
      </c>
      <c r="G7074" s="15">
        <v>0.07349551856594086</v>
      </c>
      <c r="H7074" s="11" t="s">
        <v>33</v>
      </c>
      <c r="I7074" s="16">
        <v>3.7600000000000002</v>
      </c>
      <c r="J7074" s="11" t="s">
        <v>1903</v>
      </c>
      <c r="K7074" s="11" t="s">
        <v>65</v>
      </c>
      <c r="L7074" s="11" t="s">
        <v>48</v>
      </c>
      <c r="M7074" s="11" t="s">
        <v>28</v>
      </c>
      <c r="N7074" s="11" t="s">
        <v>56</v>
      </c>
      <c r="O7074" s="11" t="s">
        <v>1730</v>
      </c>
      <c r="P7074" s="11" t="s">
        <v>38</v>
      </c>
      <c r="Q7074" s="20">
        <v>41041.0</v>
      </c>
      <c r="R7074" s="17">
        <f t="shared" si="2"/>
        <v>5.318135723</v>
      </c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>
        <f t="shared" si="8"/>
        <v>4</v>
      </c>
      <c r="AF7074" s="19">
        <f t="shared" si="13"/>
        <v>5</v>
      </c>
      <c r="AG7074" s="9"/>
      <c r="AH7074" s="9"/>
      <c r="AI7074" s="9"/>
    </row>
    <row r="7075" ht="15.0" customHeight="1">
      <c r="A7075" s="11">
        <v>7074.0</v>
      </c>
      <c r="B7075" s="12">
        <f t="shared" si="1128"/>
        <v>41039</v>
      </c>
      <c r="C7075" s="13">
        <v>2012.0</v>
      </c>
      <c r="D7075" s="11" t="s">
        <v>32</v>
      </c>
      <c r="E7075" s="11">
        <v>37.0</v>
      </c>
      <c r="F7075" s="21" t="s">
        <v>933</v>
      </c>
      <c r="G7075" s="15">
        <v>0.09276770860695216</v>
      </c>
      <c r="H7075" s="11" t="s">
        <v>33</v>
      </c>
      <c r="I7075" s="16">
        <v>4.0</v>
      </c>
      <c r="J7075" s="11" t="s">
        <v>1903</v>
      </c>
      <c r="K7075" s="11" t="s">
        <v>65</v>
      </c>
      <c r="L7075" s="11" t="s">
        <v>48</v>
      </c>
      <c r="M7075" s="11" t="s">
        <v>66</v>
      </c>
      <c r="N7075" s="11" t="s">
        <v>80</v>
      </c>
      <c r="O7075" s="11" t="s">
        <v>1026</v>
      </c>
      <c r="P7075" s="11" t="s">
        <v>99</v>
      </c>
      <c r="Q7075" s="20">
        <v>41041.0</v>
      </c>
      <c r="R7075" s="17">
        <f t="shared" si="2"/>
        <v>192.2425225</v>
      </c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>
        <f t="shared" si="8"/>
        <v>4</v>
      </c>
      <c r="AF7075" s="19">
        <f t="shared" si="13"/>
        <v>5</v>
      </c>
      <c r="AG7075" s="9"/>
      <c r="AH7075" s="9"/>
      <c r="AI7075" s="9"/>
    </row>
    <row r="7076" ht="15.0" customHeight="1">
      <c r="A7076" s="11">
        <v>7075.0</v>
      </c>
      <c r="B7076" s="12">
        <f t="shared" ref="B7076:B7081" si="1129">DATE(2012,12,31)-234</f>
        <v>41040</v>
      </c>
      <c r="C7076" s="13">
        <v>2012.0</v>
      </c>
      <c r="D7076" s="11" t="s">
        <v>23</v>
      </c>
      <c r="E7076" s="11">
        <v>6.0</v>
      </c>
      <c r="F7076" s="21" t="s">
        <v>952</v>
      </c>
      <c r="G7076" s="15">
        <v>0.07544337429425452</v>
      </c>
      <c r="H7076" s="11" t="s">
        <v>33</v>
      </c>
      <c r="I7076" s="16">
        <v>19.592</v>
      </c>
      <c r="J7076" s="11" t="s">
        <v>2084</v>
      </c>
      <c r="K7076" s="11" t="s">
        <v>61</v>
      </c>
      <c r="L7076" s="11" t="s">
        <v>48</v>
      </c>
      <c r="M7076" s="11" t="s">
        <v>66</v>
      </c>
      <c r="N7076" s="11" t="s">
        <v>170</v>
      </c>
      <c r="O7076" s="11" t="s">
        <v>2100</v>
      </c>
      <c r="P7076" s="11" t="s">
        <v>31</v>
      </c>
      <c r="Q7076" s="20">
        <v>41041.0</v>
      </c>
      <c r="R7076" s="17">
        <f t="shared" si="2"/>
        <v>273.028968</v>
      </c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>
        <f t="shared" si="8"/>
        <v>4</v>
      </c>
      <c r="AF7076" s="19">
        <f t="shared" si="13"/>
        <v>4</v>
      </c>
      <c r="AG7076" s="9"/>
      <c r="AH7076" s="9"/>
      <c r="AI7076" s="9"/>
    </row>
    <row r="7077" ht="15.0" customHeight="1">
      <c r="A7077" s="11">
        <v>7076.0</v>
      </c>
      <c r="B7077" s="12">
        <f t="shared" si="1129"/>
        <v>41040</v>
      </c>
      <c r="C7077" s="13">
        <v>2012.0</v>
      </c>
      <c r="D7077" s="11" t="s">
        <v>23</v>
      </c>
      <c r="E7077" s="11">
        <v>26.0</v>
      </c>
      <c r="F7077" s="21" t="s">
        <v>178</v>
      </c>
      <c r="G7077" s="15">
        <v>0.07629140494980402</v>
      </c>
      <c r="H7077" s="11" t="s">
        <v>33</v>
      </c>
      <c r="I7077" s="16">
        <v>7.192</v>
      </c>
      <c r="J7077" s="11" t="s">
        <v>2084</v>
      </c>
      <c r="K7077" s="11" t="s">
        <v>61</v>
      </c>
      <c r="L7077" s="11" t="s">
        <v>48</v>
      </c>
      <c r="M7077" s="11" t="s">
        <v>66</v>
      </c>
      <c r="N7077" s="11" t="s">
        <v>80</v>
      </c>
      <c r="O7077" s="11" t="s">
        <v>1263</v>
      </c>
      <c r="P7077" s="11" t="s">
        <v>38</v>
      </c>
      <c r="Q7077" s="20">
        <v>41042.0</v>
      </c>
      <c r="R7077" s="17">
        <f t="shared" si="2"/>
        <v>131.266381</v>
      </c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>
        <f t="shared" si="8"/>
        <v>4</v>
      </c>
      <c r="AF7077" s="19">
        <f t="shared" si="13"/>
        <v>4</v>
      </c>
      <c r="AG7077" s="9"/>
      <c r="AH7077" s="9"/>
      <c r="AI7077" s="9"/>
    </row>
    <row r="7078" ht="15.0" customHeight="1">
      <c r="A7078" s="11">
        <v>7077.0</v>
      </c>
      <c r="B7078" s="12">
        <f t="shared" si="1129"/>
        <v>41040</v>
      </c>
      <c r="C7078" s="13">
        <v>2012.0</v>
      </c>
      <c r="D7078" s="11" t="s">
        <v>102</v>
      </c>
      <c r="E7078" s="11">
        <v>27.0</v>
      </c>
      <c r="F7078" s="21" t="s">
        <v>676</v>
      </c>
      <c r="G7078" s="15">
        <v>0.0465346534653466</v>
      </c>
      <c r="H7078" s="11" t="s">
        <v>33</v>
      </c>
      <c r="I7078" s="16">
        <v>2.8800000000000003</v>
      </c>
      <c r="J7078" s="11" t="s">
        <v>828</v>
      </c>
      <c r="K7078" s="11" t="s">
        <v>65</v>
      </c>
      <c r="L7078" s="11" t="s">
        <v>41</v>
      </c>
      <c r="M7078" s="11" t="s">
        <v>28</v>
      </c>
      <c r="N7078" s="11" t="s">
        <v>442</v>
      </c>
      <c r="O7078" s="11" t="s">
        <v>1689</v>
      </c>
      <c r="P7078" s="11" t="s">
        <v>99</v>
      </c>
      <c r="Q7078" s="20">
        <v>41042.0</v>
      </c>
      <c r="R7078" s="17">
        <f t="shared" si="2"/>
        <v>7.170059406</v>
      </c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>
        <f t="shared" si="8"/>
        <v>3</v>
      </c>
      <c r="AF7078" s="19">
        <f t="shared" si="13"/>
        <v>5</v>
      </c>
      <c r="AG7078" s="9"/>
      <c r="AH7078" s="9"/>
      <c r="AI7078" s="9"/>
    </row>
    <row r="7079" ht="15.0" customHeight="1">
      <c r="A7079" s="11">
        <v>7078.0</v>
      </c>
      <c r="B7079" s="12">
        <f t="shared" si="1129"/>
        <v>41040</v>
      </c>
      <c r="C7079" s="13">
        <v>2012.0</v>
      </c>
      <c r="D7079" s="11" t="s">
        <v>102</v>
      </c>
      <c r="E7079" s="11">
        <v>12.0</v>
      </c>
      <c r="F7079" s="21" t="s">
        <v>638</v>
      </c>
      <c r="G7079" s="15">
        <v>0.05121180189673354</v>
      </c>
      <c r="H7079" s="11" t="s">
        <v>33</v>
      </c>
      <c r="I7079" s="16">
        <v>4.84</v>
      </c>
      <c r="J7079" s="11" t="s">
        <v>2035</v>
      </c>
      <c r="K7079" s="11" t="s">
        <v>35</v>
      </c>
      <c r="L7079" s="11" t="s">
        <v>27</v>
      </c>
      <c r="M7079" s="11" t="s">
        <v>28</v>
      </c>
      <c r="N7079" s="11" t="s">
        <v>42</v>
      </c>
      <c r="O7079" s="11" t="s">
        <v>640</v>
      </c>
      <c r="P7079" s="11" t="s">
        <v>38</v>
      </c>
      <c r="Q7079" s="20">
        <v>41042.0</v>
      </c>
      <c r="R7079" s="17">
        <f t="shared" si="2"/>
        <v>4.611110643</v>
      </c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>
        <f t="shared" si="8"/>
        <v>1</v>
      </c>
      <c r="AF7079" s="19">
        <f t="shared" si="13"/>
        <v>2</v>
      </c>
      <c r="AG7079" s="9"/>
      <c r="AH7079" s="9"/>
      <c r="AI7079" s="9"/>
    </row>
    <row r="7080" ht="15.0" customHeight="1">
      <c r="A7080" s="11">
        <v>7079.0</v>
      </c>
      <c r="B7080" s="12">
        <f t="shared" si="1129"/>
        <v>41040</v>
      </c>
      <c r="C7080" s="13">
        <v>2012.0</v>
      </c>
      <c r="D7080" s="11" t="s">
        <v>39</v>
      </c>
      <c r="E7080" s="11">
        <v>4.0</v>
      </c>
      <c r="F7080" s="21" t="s">
        <v>306</v>
      </c>
      <c r="G7080" s="15">
        <v>0.07016260162601637</v>
      </c>
      <c r="H7080" s="11" t="s">
        <v>33</v>
      </c>
      <c r="I7080" s="16">
        <v>11.896</v>
      </c>
      <c r="J7080" s="11" t="s">
        <v>268</v>
      </c>
      <c r="K7080" s="11" t="s">
        <v>65</v>
      </c>
      <c r="L7080" s="11" t="s">
        <v>48</v>
      </c>
      <c r="M7080" s="11" t="s">
        <v>49</v>
      </c>
      <c r="N7080" s="11" t="s">
        <v>73</v>
      </c>
      <c r="O7080" s="11" t="s">
        <v>2149</v>
      </c>
      <c r="P7080" s="11" t="s">
        <v>31</v>
      </c>
      <c r="Q7080" s="20">
        <v>41042.0</v>
      </c>
      <c r="R7080" s="17">
        <f t="shared" si="2"/>
        <v>6.419597398</v>
      </c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>
        <f t="shared" si="8"/>
        <v>4</v>
      </c>
      <c r="AF7080" s="19">
        <f t="shared" si="13"/>
        <v>5</v>
      </c>
      <c r="AG7080" s="9"/>
      <c r="AH7080" s="9"/>
      <c r="AI7080" s="9"/>
    </row>
    <row r="7081" ht="15.0" customHeight="1">
      <c r="A7081" s="11">
        <v>7080.0</v>
      </c>
      <c r="B7081" s="12">
        <f t="shared" si="1129"/>
        <v>41040</v>
      </c>
      <c r="C7081" s="13">
        <v>2012.0</v>
      </c>
      <c r="D7081" s="11" t="s">
        <v>39</v>
      </c>
      <c r="E7081" s="11">
        <v>31.0</v>
      </c>
      <c r="F7081" s="21" t="s">
        <v>758</v>
      </c>
      <c r="G7081" s="15">
        <v>0.10377088305489257</v>
      </c>
      <c r="H7081" s="11" t="s">
        <v>33</v>
      </c>
      <c r="I7081" s="16">
        <v>1.056</v>
      </c>
      <c r="J7081" s="11" t="s">
        <v>268</v>
      </c>
      <c r="K7081" s="11" t="s">
        <v>65</v>
      </c>
      <c r="L7081" s="11" t="s">
        <v>48</v>
      </c>
      <c r="M7081" s="11" t="s">
        <v>28</v>
      </c>
      <c r="N7081" s="11" t="s">
        <v>442</v>
      </c>
      <c r="O7081" s="11" t="s">
        <v>1304</v>
      </c>
      <c r="P7081" s="11" t="s">
        <v>58</v>
      </c>
      <c r="Q7081" s="20">
        <v>41042.0</v>
      </c>
      <c r="R7081" s="17">
        <f t="shared" si="2"/>
        <v>11.6904126</v>
      </c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>
        <f t="shared" si="8"/>
        <v>4</v>
      </c>
      <c r="AF7081" s="19">
        <f t="shared" si="13"/>
        <v>5</v>
      </c>
      <c r="AG7081" s="9"/>
      <c r="AH7081" s="9"/>
      <c r="AI7081" s="9"/>
    </row>
    <row r="7082" ht="15.0" customHeight="1">
      <c r="A7082" s="11">
        <v>7081.0</v>
      </c>
      <c r="B7082" s="12">
        <f t="shared" ref="B7082:B7095" si="1130">DATE(2012,12,31)-233</f>
        <v>41041</v>
      </c>
      <c r="C7082" s="13">
        <v>2012.0</v>
      </c>
      <c r="D7082" s="11" t="s">
        <v>102</v>
      </c>
      <c r="E7082" s="11">
        <v>8.0</v>
      </c>
      <c r="F7082" s="21" t="s">
        <v>158</v>
      </c>
      <c r="G7082" s="15">
        <v>0.1045569620253164</v>
      </c>
      <c r="H7082" s="11" t="s">
        <v>33</v>
      </c>
      <c r="I7082" s="16">
        <v>5.392</v>
      </c>
      <c r="J7082" s="11" t="s">
        <v>1054</v>
      </c>
      <c r="K7082" s="11" t="s">
        <v>61</v>
      </c>
      <c r="L7082" s="11" t="s">
        <v>41</v>
      </c>
      <c r="M7082" s="11" t="s">
        <v>28</v>
      </c>
      <c r="N7082" s="11" t="s">
        <v>56</v>
      </c>
      <c r="O7082" s="11" t="s">
        <v>2590</v>
      </c>
      <c r="P7082" s="11" t="s">
        <v>38</v>
      </c>
      <c r="Q7082" s="20">
        <v>41042.0</v>
      </c>
      <c r="R7082" s="17">
        <f t="shared" si="2"/>
        <v>5.917087595</v>
      </c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>
        <f t="shared" si="8"/>
        <v>3</v>
      </c>
      <c r="AF7082" s="19">
        <f t="shared" si="13"/>
        <v>4</v>
      </c>
      <c r="AG7082" s="9"/>
      <c r="AH7082" s="9"/>
      <c r="AI7082" s="9"/>
    </row>
    <row r="7083" ht="15.0" customHeight="1">
      <c r="A7083" s="11">
        <v>7082.0</v>
      </c>
      <c r="B7083" s="12">
        <f t="shared" si="1130"/>
        <v>41041</v>
      </c>
      <c r="C7083" s="13">
        <v>2012.0</v>
      </c>
      <c r="D7083" s="11" t="s">
        <v>102</v>
      </c>
      <c r="E7083" s="11">
        <v>47.0</v>
      </c>
      <c r="F7083" s="21" t="s">
        <v>204</v>
      </c>
      <c r="G7083" s="15">
        <v>0.1186501377410467</v>
      </c>
      <c r="H7083" s="11" t="s">
        <v>24</v>
      </c>
      <c r="I7083" s="16">
        <v>1.072</v>
      </c>
      <c r="J7083" s="11" t="s">
        <v>1054</v>
      </c>
      <c r="K7083" s="11" t="s">
        <v>61</v>
      </c>
      <c r="L7083" s="11" t="s">
        <v>41</v>
      </c>
      <c r="M7083" s="11" t="s">
        <v>28</v>
      </c>
      <c r="N7083" s="11" t="s">
        <v>62</v>
      </c>
      <c r="O7083" s="11" t="s">
        <v>1514</v>
      </c>
      <c r="P7083" s="11" t="s">
        <v>58</v>
      </c>
      <c r="Q7083" s="20">
        <v>41042.0</v>
      </c>
      <c r="R7083" s="17">
        <f t="shared" si="2"/>
        <v>15.18389543</v>
      </c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>
        <f t="shared" si="8"/>
        <v>3</v>
      </c>
      <c r="AF7083" s="19">
        <f t="shared" si="13"/>
        <v>4</v>
      </c>
      <c r="AG7083" s="9"/>
      <c r="AH7083" s="9"/>
      <c r="AI7083" s="9"/>
    </row>
    <row r="7084" ht="15.0" customHeight="1">
      <c r="A7084" s="11">
        <v>7083.0</v>
      </c>
      <c r="B7084" s="12">
        <f t="shared" si="1130"/>
        <v>41041</v>
      </c>
      <c r="C7084" s="13">
        <v>2012.0</v>
      </c>
      <c r="D7084" s="11" t="s">
        <v>102</v>
      </c>
      <c r="E7084" s="11">
        <v>30.0</v>
      </c>
      <c r="F7084" s="21" t="s">
        <v>210</v>
      </c>
      <c r="G7084" s="15">
        <v>0.055942376950780276</v>
      </c>
      <c r="H7084" s="11" t="s">
        <v>33</v>
      </c>
      <c r="I7084" s="16">
        <v>0.6400000000000001</v>
      </c>
      <c r="J7084" s="11" t="s">
        <v>1054</v>
      </c>
      <c r="K7084" s="11" t="s">
        <v>61</v>
      </c>
      <c r="L7084" s="11" t="s">
        <v>41</v>
      </c>
      <c r="M7084" s="11" t="s">
        <v>28</v>
      </c>
      <c r="N7084" s="11" t="s">
        <v>216</v>
      </c>
      <c r="O7084" s="11" t="s">
        <v>1290</v>
      </c>
      <c r="P7084" s="11" t="s">
        <v>58</v>
      </c>
      <c r="Q7084" s="20">
        <v>41042.0</v>
      </c>
      <c r="R7084" s="17">
        <f t="shared" si="2"/>
        <v>4.399308523</v>
      </c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>
        <f t="shared" si="8"/>
        <v>3</v>
      </c>
      <c r="AF7084" s="19">
        <f t="shared" si="13"/>
        <v>4</v>
      </c>
      <c r="AG7084" s="9"/>
      <c r="AH7084" s="9"/>
      <c r="AI7084" s="9"/>
    </row>
    <row r="7085" ht="15.0" customHeight="1">
      <c r="A7085" s="11">
        <v>7084.0</v>
      </c>
      <c r="B7085" s="12">
        <f t="shared" si="1130"/>
        <v>41041</v>
      </c>
      <c r="C7085" s="13">
        <v>2012.0</v>
      </c>
      <c r="D7085" s="11" t="s">
        <v>102</v>
      </c>
      <c r="E7085" s="11">
        <v>14.0</v>
      </c>
      <c r="F7085" s="21" t="s">
        <v>685</v>
      </c>
      <c r="G7085" s="15">
        <v>0.05970565453137097</v>
      </c>
      <c r="H7085" s="11" t="s">
        <v>33</v>
      </c>
      <c r="I7085" s="16">
        <v>27.360000000000003</v>
      </c>
      <c r="J7085" s="11" t="s">
        <v>2165</v>
      </c>
      <c r="K7085" s="11" t="s">
        <v>83</v>
      </c>
      <c r="L7085" s="11" t="s">
        <v>48</v>
      </c>
      <c r="M7085" s="11" t="s">
        <v>49</v>
      </c>
      <c r="N7085" s="11" t="s">
        <v>73</v>
      </c>
      <c r="O7085" s="11" t="s">
        <v>686</v>
      </c>
      <c r="P7085" s="11" t="s">
        <v>58</v>
      </c>
      <c r="Q7085" s="20">
        <v>41042.0</v>
      </c>
      <c r="R7085" s="17">
        <f t="shared" si="2"/>
        <v>36.23894407</v>
      </c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>
        <f t="shared" si="8"/>
        <v>4</v>
      </c>
      <c r="AF7085" s="19" t="b">
        <f t="shared" si="13"/>
        <v>0</v>
      </c>
      <c r="AG7085" s="9"/>
      <c r="AH7085" s="9"/>
      <c r="AI7085" s="9"/>
    </row>
    <row r="7086" ht="15.0" customHeight="1">
      <c r="A7086" s="11">
        <v>7085.0</v>
      </c>
      <c r="B7086" s="12">
        <f t="shared" si="1130"/>
        <v>41041</v>
      </c>
      <c r="C7086" s="13">
        <v>2012.0</v>
      </c>
      <c r="D7086" s="11" t="s">
        <v>44</v>
      </c>
      <c r="E7086" s="11">
        <v>24.0</v>
      </c>
      <c r="F7086" s="21" t="s">
        <v>914</v>
      </c>
      <c r="G7086" s="15">
        <v>0.08711111111111122</v>
      </c>
      <c r="H7086" s="11" t="s">
        <v>33</v>
      </c>
      <c r="I7086" s="16">
        <v>10.384</v>
      </c>
      <c r="J7086" s="11" t="s">
        <v>504</v>
      </c>
      <c r="K7086" s="11" t="s">
        <v>117</v>
      </c>
      <c r="L7086" s="11" t="s">
        <v>27</v>
      </c>
      <c r="M7086" s="11" t="s">
        <v>28</v>
      </c>
      <c r="N7086" s="11" t="s">
        <v>42</v>
      </c>
      <c r="O7086" s="11" t="s">
        <v>915</v>
      </c>
      <c r="P7086" s="11" t="s">
        <v>38</v>
      </c>
      <c r="Q7086" s="20">
        <v>41042.0</v>
      </c>
      <c r="R7086" s="17">
        <f t="shared" si="2"/>
        <v>52.96216178</v>
      </c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>
        <f t="shared" si="8"/>
        <v>1</v>
      </c>
      <c r="AF7086" s="19" t="b">
        <f t="shared" si="13"/>
        <v>0</v>
      </c>
      <c r="AG7086" s="9"/>
      <c r="AH7086" s="9"/>
      <c r="AI7086" s="9"/>
    </row>
    <row r="7087" ht="15.0" customHeight="1">
      <c r="A7087" s="11">
        <v>7086.0</v>
      </c>
      <c r="B7087" s="12">
        <f t="shared" si="1130"/>
        <v>41041</v>
      </c>
      <c r="C7087" s="13">
        <v>2012.0</v>
      </c>
      <c r="D7087" s="11" t="s">
        <v>44</v>
      </c>
      <c r="E7087" s="11">
        <v>28.0</v>
      </c>
      <c r="F7087" s="21" t="s">
        <v>846</v>
      </c>
      <c r="G7087" s="15">
        <v>0.020679392483701407</v>
      </c>
      <c r="H7087" s="11" t="s">
        <v>33</v>
      </c>
      <c r="I7087" s="16">
        <v>15.991999999999999</v>
      </c>
      <c r="J7087" s="11" t="s">
        <v>2009</v>
      </c>
      <c r="K7087" s="11" t="s">
        <v>65</v>
      </c>
      <c r="L7087" s="11" t="s">
        <v>41</v>
      </c>
      <c r="M7087" s="11" t="s">
        <v>28</v>
      </c>
      <c r="N7087" s="11" t="s">
        <v>29</v>
      </c>
      <c r="O7087" s="11" t="s">
        <v>847</v>
      </c>
      <c r="P7087" s="11" t="s">
        <v>38</v>
      </c>
      <c r="Q7087" s="20">
        <v>41043.0</v>
      </c>
      <c r="R7087" s="17">
        <f t="shared" si="2"/>
        <v>112.1400441</v>
      </c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>
        <f t="shared" si="8"/>
        <v>3</v>
      </c>
      <c r="AF7087" s="19">
        <f t="shared" si="13"/>
        <v>5</v>
      </c>
      <c r="AG7087" s="9"/>
      <c r="AH7087" s="9"/>
      <c r="AI7087" s="9"/>
    </row>
    <row r="7088" ht="15.0" customHeight="1">
      <c r="A7088" s="11">
        <v>7087.0</v>
      </c>
      <c r="B7088" s="12">
        <f t="shared" si="1130"/>
        <v>41041</v>
      </c>
      <c r="C7088" s="13">
        <v>2012.0</v>
      </c>
      <c r="D7088" s="11" t="s">
        <v>23</v>
      </c>
      <c r="E7088" s="11">
        <v>22.0</v>
      </c>
      <c r="F7088" s="21" t="s">
        <v>506</v>
      </c>
      <c r="G7088" s="15">
        <v>0.08608955223880589</v>
      </c>
      <c r="H7088" s="11" t="s">
        <v>33</v>
      </c>
      <c r="I7088" s="16">
        <v>1.2800000000000002</v>
      </c>
      <c r="J7088" s="11" t="s">
        <v>349</v>
      </c>
      <c r="K7088" s="11" t="s">
        <v>61</v>
      </c>
      <c r="L7088" s="11" t="s">
        <v>48</v>
      </c>
      <c r="M7088" s="11" t="s">
        <v>28</v>
      </c>
      <c r="N7088" s="11" t="s">
        <v>56</v>
      </c>
      <c r="O7088" s="11" t="s">
        <v>508</v>
      </c>
      <c r="P7088" s="11" t="s">
        <v>58</v>
      </c>
      <c r="Q7088" s="20">
        <v>41043.0</v>
      </c>
      <c r="R7088" s="17">
        <f t="shared" si="2"/>
        <v>13.17858866</v>
      </c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>
        <f t="shared" si="8"/>
        <v>4</v>
      </c>
      <c r="AF7088" s="19">
        <f t="shared" si="13"/>
        <v>4</v>
      </c>
      <c r="AG7088" s="9"/>
      <c r="AH7088" s="9"/>
      <c r="AI7088" s="9"/>
    </row>
    <row r="7089" ht="15.0" customHeight="1">
      <c r="A7089" s="11">
        <v>7088.0</v>
      </c>
      <c r="B7089" s="12">
        <f t="shared" si="1130"/>
        <v>41041</v>
      </c>
      <c r="C7089" s="13">
        <v>2012.0</v>
      </c>
      <c r="D7089" s="11" t="s">
        <v>23</v>
      </c>
      <c r="E7089" s="11">
        <v>38.0</v>
      </c>
      <c r="F7089" s="21" t="s">
        <v>638</v>
      </c>
      <c r="G7089" s="15">
        <v>0.051657458563536034</v>
      </c>
      <c r="H7089" s="11" t="s">
        <v>33</v>
      </c>
      <c r="I7089" s="16">
        <v>4.84</v>
      </c>
      <c r="J7089" s="11" t="s">
        <v>349</v>
      </c>
      <c r="K7089" s="11" t="s">
        <v>61</v>
      </c>
      <c r="L7089" s="11" t="s">
        <v>48</v>
      </c>
      <c r="M7089" s="11" t="s">
        <v>28</v>
      </c>
      <c r="N7089" s="11" t="s">
        <v>42</v>
      </c>
      <c r="O7089" s="11" t="s">
        <v>640</v>
      </c>
      <c r="P7089" s="11" t="s">
        <v>38</v>
      </c>
      <c r="Q7089" s="20">
        <v>41043.0</v>
      </c>
      <c r="R7089" s="17">
        <f t="shared" si="2"/>
        <v>14.18720442</v>
      </c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>
        <f t="shared" si="8"/>
        <v>4</v>
      </c>
      <c r="AF7089" s="19">
        <f t="shared" si="13"/>
        <v>4</v>
      </c>
      <c r="AG7089" s="9"/>
      <c r="AH7089" s="9"/>
      <c r="AI7089" s="9"/>
    </row>
    <row r="7090" ht="15.0" customHeight="1">
      <c r="A7090" s="11">
        <v>7089.0</v>
      </c>
      <c r="B7090" s="12">
        <f t="shared" si="1130"/>
        <v>41041</v>
      </c>
      <c r="C7090" s="13">
        <v>2012.0</v>
      </c>
      <c r="D7090" s="11" t="s">
        <v>44</v>
      </c>
      <c r="E7090" s="11">
        <v>3.0</v>
      </c>
      <c r="F7090" s="21" t="s">
        <v>158</v>
      </c>
      <c r="G7090" s="15">
        <v>0.05846153846153831</v>
      </c>
      <c r="H7090" s="11" t="s">
        <v>33</v>
      </c>
      <c r="I7090" s="16">
        <v>5.28</v>
      </c>
      <c r="J7090" s="11" t="s">
        <v>202</v>
      </c>
      <c r="K7090" s="11" t="s">
        <v>35</v>
      </c>
      <c r="L7090" s="11" t="s">
        <v>27</v>
      </c>
      <c r="M7090" s="11" t="s">
        <v>28</v>
      </c>
      <c r="N7090" s="11" t="s">
        <v>56</v>
      </c>
      <c r="O7090" s="11" t="s">
        <v>543</v>
      </c>
      <c r="P7090" s="11" t="s">
        <v>38</v>
      </c>
      <c r="Q7090" s="20">
        <v>41043.0</v>
      </c>
      <c r="R7090" s="17">
        <f t="shared" si="2"/>
        <v>1.431138462</v>
      </c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>
        <f t="shared" si="8"/>
        <v>1</v>
      </c>
      <c r="AF7090" s="19">
        <f t="shared" si="13"/>
        <v>2</v>
      </c>
      <c r="AG7090" s="9"/>
      <c r="AH7090" s="9"/>
      <c r="AI7090" s="9"/>
    </row>
    <row r="7091" ht="15.0" customHeight="1">
      <c r="A7091" s="11">
        <v>7090.0</v>
      </c>
      <c r="B7091" s="12">
        <f t="shared" si="1130"/>
        <v>41041</v>
      </c>
      <c r="C7091" s="13">
        <v>2012.0</v>
      </c>
      <c r="D7091" s="11" t="s">
        <v>23</v>
      </c>
      <c r="E7091" s="11">
        <v>9.0</v>
      </c>
      <c r="F7091" s="21" t="s">
        <v>425</v>
      </c>
      <c r="G7091" s="15">
        <v>0.09919850885368132</v>
      </c>
      <c r="H7091" s="11" t="s">
        <v>33</v>
      </c>
      <c r="I7091" s="16">
        <v>11.512</v>
      </c>
      <c r="J7091" s="11" t="s">
        <v>2271</v>
      </c>
      <c r="K7091" s="11" t="s">
        <v>35</v>
      </c>
      <c r="L7091" s="11" t="s">
        <v>48</v>
      </c>
      <c r="M7091" s="11" t="s">
        <v>49</v>
      </c>
      <c r="N7091" s="11" t="s">
        <v>73</v>
      </c>
      <c r="O7091" s="11" t="s">
        <v>427</v>
      </c>
      <c r="P7091" s="11" t="s">
        <v>38</v>
      </c>
      <c r="Q7091" s="20">
        <v>41043.0</v>
      </c>
      <c r="R7091" s="17">
        <f t="shared" si="2"/>
        <v>19.17626214</v>
      </c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>
        <f t="shared" si="8"/>
        <v>4</v>
      </c>
      <c r="AF7091" s="19">
        <f t="shared" si="13"/>
        <v>2</v>
      </c>
      <c r="AG7091" s="9"/>
      <c r="AH7091" s="9"/>
      <c r="AI7091" s="9"/>
    </row>
    <row r="7092" ht="15.0" customHeight="1">
      <c r="A7092" s="11">
        <v>7091.0</v>
      </c>
      <c r="B7092" s="12">
        <f t="shared" si="1130"/>
        <v>41041</v>
      </c>
      <c r="C7092" s="13">
        <v>2012.0</v>
      </c>
      <c r="D7092" s="11" t="s">
        <v>23</v>
      </c>
      <c r="E7092" s="11">
        <v>46.0</v>
      </c>
      <c r="F7092" s="21" t="s">
        <v>933</v>
      </c>
      <c r="G7092" s="15">
        <v>0.031039542495955454</v>
      </c>
      <c r="H7092" s="11" t="s">
        <v>33</v>
      </c>
      <c r="I7092" s="16">
        <v>4.0</v>
      </c>
      <c r="J7092" s="11" t="s">
        <v>2271</v>
      </c>
      <c r="K7092" s="11" t="s">
        <v>35</v>
      </c>
      <c r="L7092" s="11" t="s">
        <v>48</v>
      </c>
      <c r="M7092" s="11" t="s">
        <v>66</v>
      </c>
      <c r="N7092" s="11" t="s">
        <v>80</v>
      </c>
      <c r="O7092" s="11" t="s">
        <v>1023</v>
      </c>
      <c r="P7092" s="11" t="s">
        <v>99</v>
      </c>
      <c r="Q7092" s="20">
        <v>41043.0</v>
      </c>
      <c r="R7092" s="17">
        <f t="shared" si="2"/>
        <v>79.93923774</v>
      </c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>
        <f t="shared" si="8"/>
        <v>4</v>
      </c>
      <c r="AF7092" s="19">
        <f t="shared" si="13"/>
        <v>2</v>
      </c>
      <c r="AG7092" s="9"/>
      <c r="AH7092" s="9"/>
      <c r="AI7092" s="9"/>
    </row>
    <row r="7093" ht="15.0" customHeight="1">
      <c r="A7093" s="11">
        <v>7092.0</v>
      </c>
      <c r="B7093" s="12">
        <f t="shared" si="1130"/>
        <v>41041</v>
      </c>
      <c r="C7093" s="13">
        <v>2012.0</v>
      </c>
      <c r="D7093" s="11" t="s">
        <v>32</v>
      </c>
      <c r="E7093" s="11">
        <v>34.0</v>
      </c>
      <c r="F7093" s="21" t="s">
        <v>1047</v>
      </c>
      <c r="G7093" s="15">
        <v>0.09411662566922295</v>
      </c>
      <c r="H7093" s="11" t="s">
        <v>33</v>
      </c>
      <c r="I7093" s="16">
        <v>11.112000000000002</v>
      </c>
      <c r="J7093" s="11" t="s">
        <v>2603</v>
      </c>
      <c r="K7093" s="11" t="s">
        <v>26</v>
      </c>
      <c r="L7093" s="11" t="s">
        <v>41</v>
      </c>
      <c r="M7093" s="11" t="s">
        <v>28</v>
      </c>
      <c r="N7093" s="11" t="s">
        <v>62</v>
      </c>
      <c r="O7093" s="11" t="s">
        <v>1049</v>
      </c>
      <c r="P7093" s="11" t="s">
        <v>58</v>
      </c>
      <c r="Q7093" s="20">
        <v>41043.0</v>
      </c>
      <c r="R7093" s="17">
        <f t="shared" si="2"/>
        <v>117.8445564</v>
      </c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>
        <f t="shared" si="8"/>
        <v>3</v>
      </c>
      <c r="AF7093" s="19">
        <f t="shared" si="13"/>
        <v>1</v>
      </c>
      <c r="AG7093" s="9"/>
      <c r="AH7093" s="9"/>
      <c r="AI7093" s="9"/>
    </row>
    <row r="7094" ht="15.0" customHeight="1">
      <c r="A7094" s="11">
        <v>7093.0</v>
      </c>
      <c r="B7094" s="12">
        <f t="shared" si="1130"/>
        <v>41041</v>
      </c>
      <c r="C7094" s="13">
        <v>2012.0</v>
      </c>
      <c r="D7094" s="11" t="s">
        <v>32</v>
      </c>
      <c r="E7094" s="11">
        <v>8.0</v>
      </c>
      <c r="F7094" s="21" t="s">
        <v>2269</v>
      </c>
      <c r="G7094" s="15">
        <v>0.036322810725135386</v>
      </c>
      <c r="H7094" s="11" t="s">
        <v>45</v>
      </c>
      <c r="I7094" s="16">
        <v>48.0</v>
      </c>
      <c r="J7094" s="11" t="s">
        <v>2603</v>
      </c>
      <c r="K7094" s="11" t="s">
        <v>26</v>
      </c>
      <c r="L7094" s="11" t="s">
        <v>41</v>
      </c>
      <c r="M7094" s="11" t="s">
        <v>49</v>
      </c>
      <c r="N7094" s="11" t="s">
        <v>85</v>
      </c>
      <c r="O7094" s="11" t="s">
        <v>2270</v>
      </c>
      <c r="P7094" s="11" t="s">
        <v>52</v>
      </c>
      <c r="Q7094" s="20">
        <v>41043.0</v>
      </c>
      <c r="R7094" s="17">
        <f t="shared" si="2"/>
        <v>26.50112271</v>
      </c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>
        <f t="shared" si="8"/>
        <v>3</v>
      </c>
      <c r="AF7094" s="19">
        <f t="shared" si="13"/>
        <v>1</v>
      </c>
      <c r="AG7094" s="9"/>
      <c r="AH7094" s="9"/>
      <c r="AI7094" s="9"/>
    </row>
    <row r="7095" ht="15.0" customHeight="1">
      <c r="A7095" s="11">
        <v>7094.0</v>
      </c>
      <c r="B7095" s="12">
        <f t="shared" si="1130"/>
        <v>41041</v>
      </c>
      <c r="C7095" s="13">
        <v>2012.0</v>
      </c>
      <c r="D7095" s="11" t="s">
        <v>32</v>
      </c>
      <c r="E7095" s="11">
        <v>45.0</v>
      </c>
      <c r="F7095" s="21" t="s">
        <v>178</v>
      </c>
      <c r="G7095" s="15">
        <v>0.09266794860055541</v>
      </c>
      <c r="H7095" s="11" t="s">
        <v>33</v>
      </c>
      <c r="I7095" s="16">
        <v>7.192</v>
      </c>
      <c r="J7095" s="11" t="s">
        <v>2603</v>
      </c>
      <c r="K7095" s="11" t="s">
        <v>26</v>
      </c>
      <c r="L7095" s="11" t="s">
        <v>41</v>
      </c>
      <c r="M7095" s="11" t="s">
        <v>66</v>
      </c>
      <c r="N7095" s="11" t="s">
        <v>80</v>
      </c>
      <c r="O7095" s="11" t="s">
        <v>1875</v>
      </c>
      <c r="P7095" s="11" t="s">
        <v>38</v>
      </c>
      <c r="Q7095" s="20">
        <v>41043.0</v>
      </c>
      <c r="R7095" s="17">
        <f t="shared" si="2"/>
        <v>275.4732695</v>
      </c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>
        <f t="shared" si="8"/>
        <v>3</v>
      </c>
      <c r="AF7095" s="19">
        <f t="shared" si="13"/>
        <v>1</v>
      </c>
      <c r="AG7095" s="9"/>
      <c r="AH7095" s="9"/>
      <c r="AI7095" s="9"/>
    </row>
    <row r="7096" ht="15.0" customHeight="1">
      <c r="A7096" s="11">
        <v>7095.0</v>
      </c>
      <c r="B7096" s="12">
        <f t="shared" ref="B7096:B7108" si="1131">DATE(2012,12,31)-232</f>
        <v>41042</v>
      </c>
      <c r="C7096" s="13">
        <v>2012.0</v>
      </c>
      <c r="D7096" s="11" t="s">
        <v>39</v>
      </c>
      <c r="E7096" s="11">
        <v>15.0</v>
      </c>
      <c r="F7096" s="21" t="s">
        <v>186</v>
      </c>
      <c r="G7096" s="15">
        <v>0.04888243831640071</v>
      </c>
      <c r="H7096" s="11" t="s">
        <v>33</v>
      </c>
      <c r="I7096" s="16">
        <v>4.032</v>
      </c>
      <c r="J7096" s="11" t="s">
        <v>2281</v>
      </c>
      <c r="K7096" s="11" t="s">
        <v>65</v>
      </c>
      <c r="L7096" s="11" t="s">
        <v>41</v>
      </c>
      <c r="M7096" s="11" t="s">
        <v>28</v>
      </c>
      <c r="N7096" s="11" t="s">
        <v>42</v>
      </c>
      <c r="O7096" s="11" t="s">
        <v>864</v>
      </c>
      <c r="P7096" s="11" t="s">
        <v>38</v>
      </c>
      <c r="Q7096" s="20">
        <v>41043.0</v>
      </c>
      <c r="R7096" s="17">
        <f t="shared" si="2"/>
        <v>3.203363948</v>
      </c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>
        <f t="shared" si="8"/>
        <v>3</v>
      </c>
      <c r="AF7096" s="19">
        <f t="shared" si="13"/>
        <v>5</v>
      </c>
      <c r="AG7096" s="9"/>
      <c r="AH7096" s="9"/>
      <c r="AI7096" s="9"/>
    </row>
    <row r="7097" ht="15.0" customHeight="1">
      <c r="A7097" s="11">
        <v>7096.0</v>
      </c>
      <c r="B7097" s="12">
        <f t="shared" si="1131"/>
        <v>41042</v>
      </c>
      <c r="C7097" s="13">
        <v>2012.0</v>
      </c>
      <c r="D7097" s="11" t="s">
        <v>32</v>
      </c>
      <c r="E7097" s="11">
        <v>33.0</v>
      </c>
      <c r="F7097" s="21" t="s">
        <v>496</v>
      </c>
      <c r="G7097" s="15">
        <v>0.04021840873634949</v>
      </c>
      <c r="H7097" s="11" t="s">
        <v>45</v>
      </c>
      <c r="I7097" s="16">
        <v>48.160000000000004</v>
      </c>
      <c r="J7097" s="11" t="s">
        <v>2315</v>
      </c>
      <c r="K7097" s="11" t="s">
        <v>26</v>
      </c>
      <c r="L7097" s="11" t="s">
        <v>36</v>
      </c>
      <c r="M7097" s="11" t="s">
        <v>49</v>
      </c>
      <c r="N7097" s="11" t="s">
        <v>156</v>
      </c>
      <c r="O7097" s="11" t="s">
        <v>497</v>
      </c>
      <c r="P7097" s="11" t="s">
        <v>87</v>
      </c>
      <c r="Q7097" s="20">
        <v>41043.0</v>
      </c>
      <c r="R7097" s="17">
        <f t="shared" si="2"/>
        <v>321.6612025</v>
      </c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>
        <f t="shared" si="8"/>
        <v>2</v>
      </c>
      <c r="AF7097" s="19">
        <f t="shared" si="13"/>
        <v>1</v>
      </c>
      <c r="AG7097" s="9"/>
      <c r="AH7097" s="9"/>
      <c r="AI7097" s="9"/>
    </row>
    <row r="7098" ht="15.0" customHeight="1">
      <c r="A7098" s="11">
        <v>7097.0</v>
      </c>
      <c r="B7098" s="12">
        <f t="shared" si="1131"/>
        <v>41042</v>
      </c>
      <c r="C7098" s="13">
        <v>2012.0</v>
      </c>
      <c r="D7098" s="11" t="s">
        <v>32</v>
      </c>
      <c r="E7098" s="11">
        <v>36.0</v>
      </c>
      <c r="F7098" s="21" t="s">
        <v>629</v>
      </c>
      <c r="G7098" s="15">
        <v>0.0924413793103448</v>
      </c>
      <c r="H7098" s="11" t="s">
        <v>33</v>
      </c>
      <c r="I7098" s="16">
        <v>0.392</v>
      </c>
      <c r="J7098" s="11" t="s">
        <v>2315</v>
      </c>
      <c r="K7098" s="11" t="s">
        <v>26</v>
      </c>
      <c r="L7098" s="11" t="s">
        <v>36</v>
      </c>
      <c r="M7098" s="11" t="s">
        <v>28</v>
      </c>
      <c r="N7098" s="11" t="s">
        <v>188</v>
      </c>
      <c r="O7098" s="11" t="s">
        <v>631</v>
      </c>
      <c r="P7098" s="11" t="s">
        <v>38</v>
      </c>
      <c r="Q7098" s="20">
        <v>41043.0</v>
      </c>
      <c r="R7098" s="17">
        <f t="shared" si="2"/>
        <v>24.3298315</v>
      </c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>
        <f t="shared" si="8"/>
        <v>2</v>
      </c>
      <c r="AF7098" s="19">
        <f t="shared" si="13"/>
        <v>1</v>
      </c>
      <c r="AG7098" s="9"/>
      <c r="AH7098" s="9"/>
      <c r="AI7098" s="9"/>
    </row>
    <row r="7099" ht="15.0" customHeight="1">
      <c r="A7099" s="11">
        <v>7098.0</v>
      </c>
      <c r="B7099" s="12">
        <f t="shared" si="1131"/>
        <v>41042</v>
      </c>
      <c r="C7099" s="13">
        <v>2012.0</v>
      </c>
      <c r="D7099" s="11" t="s">
        <v>32</v>
      </c>
      <c r="E7099" s="11">
        <v>36.0</v>
      </c>
      <c r="F7099" s="21" t="s">
        <v>264</v>
      </c>
      <c r="G7099" s="15">
        <v>0.09957207207207205</v>
      </c>
      <c r="H7099" s="11" t="s">
        <v>33</v>
      </c>
      <c r="I7099" s="16">
        <v>6.632</v>
      </c>
      <c r="J7099" s="11" t="s">
        <v>2315</v>
      </c>
      <c r="K7099" s="11" t="s">
        <v>26</v>
      </c>
      <c r="L7099" s="11" t="s">
        <v>36</v>
      </c>
      <c r="M7099" s="11" t="s">
        <v>28</v>
      </c>
      <c r="N7099" s="11" t="s">
        <v>236</v>
      </c>
      <c r="O7099" s="11" t="s">
        <v>265</v>
      </c>
      <c r="P7099" s="11" t="s">
        <v>38</v>
      </c>
      <c r="Q7099" s="20">
        <v>41044.0</v>
      </c>
      <c r="R7099" s="17">
        <f t="shared" si="2"/>
        <v>31.84633495</v>
      </c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>
        <f t="shared" si="8"/>
        <v>2</v>
      </c>
      <c r="AF7099" s="19">
        <f t="shared" si="13"/>
        <v>1</v>
      </c>
      <c r="AG7099" s="9"/>
      <c r="AH7099" s="9"/>
      <c r="AI7099" s="9"/>
    </row>
    <row r="7100" ht="15.0" customHeight="1">
      <c r="A7100" s="11">
        <v>7099.0</v>
      </c>
      <c r="B7100" s="12">
        <f t="shared" si="1131"/>
        <v>41042</v>
      </c>
      <c r="C7100" s="13">
        <v>2012.0</v>
      </c>
      <c r="D7100" s="11" t="s">
        <v>39</v>
      </c>
      <c r="E7100" s="11">
        <v>38.0</v>
      </c>
      <c r="F7100" s="21" t="s">
        <v>128</v>
      </c>
      <c r="G7100" s="15">
        <v>0.02046812341435487</v>
      </c>
      <c r="H7100" s="11" t="s">
        <v>33</v>
      </c>
      <c r="I7100" s="16">
        <v>3.3600000000000003</v>
      </c>
      <c r="J7100" s="11" t="s">
        <v>180</v>
      </c>
      <c r="K7100" s="11" t="s">
        <v>35</v>
      </c>
      <c r="L7100" s="11" t="s">
        <v>36</v>
      </c>
      <c r="M7100" s="11" t="s">
        <v>66</v>
      </c>
      <c r="N7100" s="11" t="s">
        <v>80</v>
      </c>
      <c r="O7100" s="11" t="s">
        <v>774</v>
      </c>
      <c r="P7100" s="11" t="s">
        <v>38</v>
      </c>
      <c r="Q7100" s="20">
        <v>41044.0</v>
      </c>
      <c r="R7100" s="17">
        <f t="shared" si="2"/>
        <v>97.99236893</v>
      </c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>
        <f t="shared" si="8"/>
        <v>2</v>
      </c>
      <c r="AF7100" s="19">
        <f t="shared" si="13"/>
        <v>2</v>
      </c>
      <c r="AG7100" s="9"/>
      <c r="AH7100" s="9"/>
      <c r="AI7100" s="9"/>
    </row>
    <row r="7101" ht="15.0" customHeight="1">
      <c r="A7101" s="11">
        <v>7100.0</v>
      </c>
      <c r="B7101" s="12">
        <f t="shared" si="1131"/>
        <v>41042</v>
      </c>
      <c r="C7101" s="13">
        <v>2012.0</v>
      </c>
      <c r="D7101" s="11" t="s">
        <v>39</v>
      </c>
      <c r="E7101" s="11">
        <v>7.0</v>
      </c>
      <c r="F7101" s="21" t="s">
        <v>1437</v>
      </c>
      <c r="G7101" s="15">
        <v>0.016815347721822735</v>
      </c>
      <c r="H7101" s="11" t="s">
        <v>45</v>
      </c>
      <c r="I7101" s="16">
        <v>55.64</v>
      </c>
      <c r="J7101" s="11" t="s">
        <v>180</v>
      </c>
      <c r="K7101" s="11" t="s">
        <v>35</v>
      </c>
      <c r="L7101" s="11" t="s">
        <v>36</v>
      </c>
      <c r="M7101" s="11" t="s">
        <v>49</v>
      </c>
      <c r="N7101" s="11" t="s">
        <v>50</v>
      </c>
      <c r="O7101" s="11" t="s">
        <v>1438</v>
      </c>
      <c r="P7101" s="11" t="s">
        <v>52</v>
      </c>
      <c r="Q7101" s="20">
        <v>41044.0</v>
      </c>
      <c r="R7101" s="17">
        <f t="shared" si="2"/>
        <v>34.47045391</v>
      </c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>
        <f t="shared" si="8"/>
        <v>2</v>
      </c>
      <c r="AF7101" s="19">
        <f t="shared" si="13"/>
        <v>2</v>
      </c>
      <c r="AG7101" s="9"/>
      <c r="AH7101" s="9"/>
      <c r="AI7101" s="9"/>
    </row>
    <row r="7102" ht="15.0" customHeight="1">
      <c r="A7102" s="11">
        <v>7101.0</v>
      </c>
      <c r="B7102" s="12">
        <f t="shared" si="1131"/>
        <v>41042</v>
      </c>
      <c r="C7102" s="13">
        <v>2012.0</v>
      </c>
      <c r="D7102" s="11" t="s">
        <v>39</v>
      </c>
      <c r="E7102" s="11">
        <v>46.0</v>
      </c>
      <c r="F7102" s="21" t="s">
        <v>178</v>
      </c>
      <c r="G7102" s="15">
        <v>0.04007083899939902</v>
      </c>
      <c r="H7102" s="11" t="s">
        <v>24</v>
      </c>
      <c r="I7102" s="16">
        <v>3.9920000000000004</v>
      </c>
      <c r="J7102" s="11" t="s">
        <v>180</v>
      </c>
      <c r="K7102" s="11" t="s">
        <v>35</v>
      </c>
      <c r="L7102" s="11" t="s">
        <v>36</v>
      </c>
      <c r="M7102" s="11" t="s">
        <v>66</v>
      </c>
      <c r="N7102" s="11" t="s">
        <v>80</v>
      </c>
      <c r="O7102" s="11" t="s">
        <v>1512</v>
      </c>
      <c r="P7102" s="11" t="s">
        <v>38</v>
      </c>
      <c r="Q7102" s="20">
        <v>41044.0</v>
      </c>
      <c r="R7102" s="17">
        <f t="shared" si="2"/>
        <v>121.6307041</v>
      </c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>
        <f t="shared" si="8"/>
        <v>2</v>
      </c>
      <c r="AF7102" s="19">
        <f t="shared" si="13"/>
        <v>2</v>
      </c>
      <c r="AG7102" s="9"/>
      <c r="AH7102" s="9"/>
      <c r="AI7102" s="9"/>
    </row>
    <row r="7103" ht="15.0" customHeight="1">
      <c r="A7103" s="11">
        <v>7102.0</v>
      </c>
      <c r="B7103" s="12">
        <f t="shared" si="1131"/>
        <v>41042</v>
      </c>
      <c r="C7103" s="13">
        <v>2012.0</v>
      </c>
      <c r="D7103" s="11" t="s">
        <v>32</v>
      </c>
      <c r="E7103" s="11">
        <v>43.0</v>
      </c>
      <c r="F7103" s="21" t="s">
        <v>1432</v>
      </c>
      <c r="G7103" s="15">
        <v>0.07462394999023245</v>
      </c>
      <c r="H7103" s="11" t="s">
        <v>33</v>
      </c>
      <c r="I7103" s="16">
        <v>2.8000000000000003</v>
      </c>
      <c r="J7103" s="11" t="s">
        <v>1777</v>
      </c>
      <c r="K7103" s="11" t="s">
        <v>83</v>
      </c>
      <c r="L7103" s="11" t="s">
        <v>48</v>
      </c>
      <c r="M7103" s="11" t="s">
        <v>28</v>
      </c>
      <c r="N7103" s="11" t="s">
        <v>197</v>
      </c>
      <c r="O7103" s="11" t="s">
        <v>1434</v>
      </c>
      <c r="P7103" s="11" t="s">
        <v>38</v>
      </c>
      <c r="Q7103" s="20">
        <v>41044.0</v>
      </c>
      <c r="R7103" s="17">
        <f t="shared" si="2"/>
        <v>141.3974604</v>
      </c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>
        <f t="shared" si="8"/>
        <v>4</v>
      </c>
      <c r="AF7103" s="19" t="b">
        <f t="shared" si="13"/>
        <v>0</v>
      </c>
      <c r="AG7103" s="9"/>
      <c r="AH7103" s="9"/>
      <c r="AI7103" s="9"/>
    </row>
    <row r="7104" ht="15.0" customHeight="1">
      <c r="A7104" s="11">
        <v>7103.0</v>
      </c>
      <c r="B7104" s="12">
        <f t="shared" si="1131"/>
        <v>41042</v>
      </c>
      <c r="C7104" s="13">
        <v>2012.0</v>
      </c>
      <c r="D7104" s="11" t="s">
        <v>32</v>
      </c>
      <c r="E7104" s="11">
        <v>22.0</v>
      </c>
      <c r="F7104" s="21" t="s">
        <v>178</v>
      </c>
      <c r="G7104" s="15">
        <v>0.09323375653472726</v>
      </c>
      <c r="H7104" s="11" t="s">
        <v>33</v>
      </c>
      <c r="I7104" s="16">
        <v>7.192</v>
      </c>
      <c r="J7104" s="11" t="s">
        <v>1777</v>
      </c>
      <c r="K7104" s="11" t="s">
        <v>83</v>
      </c>
      <c r="L7104" s="11" t="s">
        <v>48</v>
      </c>
      <c r="M7104" s="11" t="s">
        <v>66</v>
      </c>
      <c r="N7104" s="11" t="s">
        <v>80</v>
      </c>
      <c r="O7104" s="11" t="s">
        <v>1213</v>
      </c>
      <c r="P7104" s="11" t="s">
        <v>38</v>
      </c>
      <c r="Q7104" s="20">
        <v>41044.0</v>
      </c>
      <c r="R7104" s="17">
        <f t="shared" si="2"/>
        <v>135.8408374</v>
      </c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>
        <f t="shared" si="8"/>
        <v>4</v>
      </c>
      <c r="AF7104" s="19" t="b">
        <f t="shared" si="13"/>
        <v>0</v>
      </c>
      <c r="AG7104" s="9"/>
      <c r="AH7104" s="9"/>
      <c r="AI7104" s="9"/>
    </row>
    <row r="7105" ht="15.0" customHeight="1">
      <c r="A7105" s="11">
        <v>7104.0</v>
      </c>
      <c r="B7105" s="12">
        <f t="shared" si="1131"/>
        <v>41042</v>
      </c>
      <c r="C7105" s="13">
        <v>2012.0</v>
      </c>
      <c r="D7105" s="11" t="s">
        <v>32</v>
      </c>
      <c r="E7105" s="11">
        <v>40.0</v>
      </c>
      <c r="F7105" s="21" t="s">
        <v>428</v>
      </c>
      <c r="G7105" s="15">
        <v>0.04664090276704286</v>
      </c>
      <c r="H7105" s="11" t="s">
        <v>33</v>
      </c>
      <c r="I7105" s="16">
        <v>8.728</v>
      </c>
      <c r="J7105" s="11" t="s">
        <v>1777</v>
      </c>
      <c r="K7105" s="11" t="s">
        <v>83</v>
      </c>
      <c r="L7105" s="11" t="s">
        <v>48</v>
      </c>
      <c r="M7105" s="11" t="s">
        <v>28</v>
      </c>
      <c r="N7105" s="11" t="s">
        <v>42</v>
      </c>
      <c r="O7105" s="11" t="s">
        <v>1642</v>
      </c>
      <c r="P7105" s="11" t="s">
        <v>38</v>
      </c>
      <c r="Q7105" s="20">
        <v>41044.0</v>
      </c>
      <c r="R7105" s="17">
        <f t="shared" si="2"/>
        <v>28.76475068</v>
      </c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>
        <f t="shared" si="8"/>
        <v>4</v>
      </c>
      <c r="AF7105" s="19" t="b">
        <f t="shared" si="13"/>
        <v>0</v>
      </c>
      <c r="AG7105" s="9"/>
      <c r="AH7105" s="9"/>
      <c r="AI7105" s="9"/>
    </row>
    <row r="7106" ht="15.0" customHeight="1">
      <c r="A7106" s="11">
        <v>7105.0</v>
      </c>
      <c r="B7106" s="12">
        <f t="shared" si="1131"/>
        <v>41042</v>
      </c>
      <c r="C7106" s="13">
        <v>2012.0</v>
      </c>
      <c r="D7106" s="11" t="s">
        <v>32</v>
      </c>
      <c r="E7106" s="11">
        <v>24.0</v>
      </c>
      <c r="F7106" s="21" t="s">
        <v>838</v>
      </c>
      <c r="G7106" s="15">
        <v>0.058991773558423145</v>
      </c>
      <c r="H7106" s="11" t="s">
        <v>33</v>
      </c>
      <c r="I7106" s="16">
        <v>15.991999999999999</v>
      </c>
      <c r="J7106" s="11" t="s">
        <v>1025</v>
      </c>
      <c r="K7106" s="11" t="s">
        <v>117</v>
      </c>
      <c r="L7106" s="11" t="s">
        <v>48</v>
      </c>
      <c r="M7106" s="11" t="s">
        <v>66</v>
      </c>
      <c r="N7106" s="11" t="s">
        <v>67</v>
      </c>
      <c r="O7106" s="11" t="s">
        <v>2263</v>
      </c>
      <c r="P7106" s="11" t="s">
        <v>38</v>
      </c>
      <c r="Q7106" s="20">
        <v>41044.0</v>
      </c>
      <c r="R7106" s="17">
        <f t="shared" si="2"/>
        <v>142.3820727</v>
      </c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>
        <f t="shared" si="8"/>
        <v>4</v>
      </c>
      <c r="AF7106" s="19" t="b">
        <f t="shared" si="13"/>
        <v>0</v>
      </c>
      <c r="AG7106" s="9"/>
      <c r="AH7106" s="9"/>
      <c r="AI7106" s="9"/>
    </row>
    <row r="7107" ht="15.0" customHeight="1">
      <c r="A7107" s="11">
        <v>7106.0</v>
      </c>
      <c r="B7107" s="12">
        <f t="shared" si="1131"/>
        <v>41042</v>
      </c>
      <c r="C7107" s="13">
        <v>2012.0</v>
      </c>
      <c r="D7107" s="11" t="s">
        <v>39</v>
      </c>
      <c r="E7107" s="11">
        <v>33.0</v>
      </c>
      <c r="F7107" s="21" t="s">
        <v>469</v>
      </c>
      <c r="G7107" s="15">
        <v>0.07989377522838337</v>
      </c>
      <c r="H7107" s="11" t="s">
        <v>45</v>
      </c>
      <c r="I7107" s="16">
        <v>11.488</v>
      </c>
      <c r="J7107" s="11" t="s">
        <v>1415</v>
      </c>
      <c r="K7107" s="11" t="s">
        <v>65</v>
      </c>
      <c r="L7107" s="11" t="s">
        <v>36</v>
      </c>
      <c r="M7107" s="11" t="s">
        <v>49</v>
      </c>
      <c r="N7107" s="11" t="s">
        <v>50</v>
      </c>
      <c r="O7107" s="11" t="s">
        <v>470</v>
      </c>
      <c r="P7107" s="11" t="s">
        <v>52</v>
      </c>
      <c r="Q7107" s="20">
        <v>41044.0</v>
      </c>
      <c r="R7107" s="17">
        <f t="shared" si="2"/>
        <v>69.20302938</v>
      </c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>
        <f t="shared" si="8"/>
        <v>2</v>
      </c>
      <c r="AF7107" s="19">
        <f t="shared" si="13"/>
        <v>5</v>
      </c>
      <c r="AG7107" s="9"/>
      <c r="AH7107" s="9"/>
      <c r="AI7107" s="9"/>
    </row>
    <row r="7108" ht="15.0" customHeight="1">
      <c r="A7108" s="11">
        <v>7107.0</v>
      </c>
      <c r="B7108" s="12">
        <f t="shared" si="1131"/>
        <v>41042</v>
      </c>
      <c r="C7108" s="13">
        <v>2012.0</v>
      </c>
      <c r="D7108" s="11" t="s">
        <v>39</v>
      </c>
      <c r="E7108" s="11">
        <v>27.0</v>
      </c>
      <c r="F7108" s="21" t="s">
        <v>865</v>
      </c>
      <c r="G7108" s="15">
        <v>0.08372616021680944</v>
      </c>
      <c r="H7108" s="11" t="s">
        <v>45</v>
      </c>
      <c r="I7108" s="16">
        <v>19.008000000000003</v>
      </c>
      <c r="J7108" s="11" t="s">
        <v>1192</v>
      </c>
      <c r="K7108" s="11" t="s">
        <v>35</v>
      </c>
      <c r="L7108" s="11" t="s">
        <v>27</v>
      </c>
      <c r="M7108" s="11" t="s">
        <v>49</v>
      </c>
      <c r="N7108" s="11" t="s">
        <v>50</v>
      </c>
      <c r="O7108" s="11" t="s">
        <v>866</v>
      </c>
      <c r="P7108" s="11" t="s">
        <v>52</v>
      </c>
      <c r="Q7108" s="20">
        <v>41045.0</v>
      </c>
      <c r="R7108" s="17">
        <f t="shared" si="2"/>
        <v>455.7472777</v>
      </c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>
        <f t="shared" si="8"/>
        <v>1</v>
      </c>
      <c r="AF7108" s="19">
        <f t="shared" si="13"/>
        <v>2</v>
      </c>
      <c r="AG7108" s="9"/>
      <c r="AH7108" s="9"/>
      <c r="AI7108" s="9"/>
    </row>
    <row r="7109" ht="15.0" customHeight="1">
      <c r="A7109" s="11">
        <v>7108.0</v>
      </c>
      <c r="B7109" s="12">
        <f t="shared" ref="B7109:B7111" si="1132">DATE(2012,12,31)-231</f>
        <v>41043</v>
      </c>
      <c r="C7109" s="13">
        <v>2012.0</v>
      </c>
      <c r="D7109" s="11" t="s">
        <v>39</v>
      </c>
      <c r="E7109" s="11">
        <v>39.0</v>
      </c>
      <c r="F7109" s="21" t="s">
        <v>1911</v>
      </c>
      <c r="G7109" s="15">
        <v>0.06084845250800437</v>
      </c>
      <c r="H7109" s="11" t="s">
        <v>33</v>
      </c>
      <c r="I7109" s="16">
        <v>11.776000000000002</v>
      </c>
      <c r="J7109" s="11" t="s">
        <v>600</v>
      </c>
      <c r="K7109" s="11" t="s">
        <v>35</v>
      </c>
      <c r="L7109" s="11" t="s">
        <v>41</v>
      </c>
      <c r="M7109" s="11" t="s">
        <v>28</v>
      </c>
      <c r="N7109" s="11" t="s">
        <v>236</v>
      </c>
      <c r="O7109" s="11" t="s">
        <v>1912</v>
      </c>
      <c r="P7109" s="11" t="s">
        <v>38</v>
      </c>
      <c r="Q7109" s="20">
        <v>41046.0</v>
      </c>
      <c r="R7109" s="17">
        <f t="shared" si="2"/>
        <v>85.67316077</v>
      </c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>
        <f t="shared" si="8"/>
        <v>3</v>
      </c>
      <c r="AF7109" s="19">
        <f t="shared" si="13"/>
        <v>2</v>
      </c>
      <c r="AG7109" s="9"/>
      <c r="AH7109" s="9"/>
      <c r="AI7109" s="9"/>
    </row>
    <row r="7110" ht="15.0" customHeight="1">
      <c r="A7110" s="11">
        <v>7109.0</v>
      </c>
      <c r="B7110" s="12">
        <f t="shared" si="1132"/>
        <v>41043</v>
      </c>
      <c r="C7110" s="13">
        <v>2012.0</v>
      </c>
      <c r="D7110" s="11" t="s">
        <v>39</v>
      </c>
      <c r="E7110" s="11">
        <v>8.0</v>
      </c>
      <c r="F7110" s="21" t="s">
        <v>894</v>
      </c>
      <c r="G7110" s="15">
        <v>0.05286549707602359</v>
      </c>
      <c r="H7110" s="11" t="s">
        <v>33</v>
      </c>
      <c r="I7110" s="16">
        <v>5.992000000000001</v>
      </c>
      <c r="J7110" s="11" t="s">
        <v>600</v>
      </c>
      <c r="K7110" s="11" t="s">
        <v>35</v>
      </c>
      <c r="L7110" s="11" t="s">
        <v>41</v>
      </c>
      <c r="M7110" s="11" t="s">
        <v>28</v>
      </c>
      <c r="N7110" s="11" t="s">
        <v>62</v>
      </c>
      <c r="O7110" s="11" t="s">
        <v>1215</v>
      </c>
      <c r="P7110" s="11" t="s">
        <v>58</v>
      </c>
      <c r="Q7110" s="20">
        <v>41046.0</v>
      </c>
      <c r="R7110" s="17">
        <f t="shared" si="2"/>
        <v>1.712419181</v>
      </c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>
        <f t="shared" si="8"/>
        <v>3</v>
      </c>
      <c r="AF7110" s="19">
        <f t="shared" si="13"/>
        <v>2</v>
      </c>
      <c r="AG7110" s="9"/>
      <c r="AH7110" s="9"/>
      <c r="AI7110" s="9"/>
    </row>
    <row r="7111" ht="15.0" customHeight="1">
      <c r="A7111" s="11">
        <v>7110.0</v>
      </c>
      <c r="B7111" s="12">
        <f t="shared" si="1132"/>
        <v>41043</v>
      </c>
      <c r="C7111" s="13">
        <v>2012.0</v>
      </c>
      <c r="D7111" s="11" t="s">
        <v>32</v>
      </c>
      <c r="E7111" s="11">
        <v>32.0</v>
      </c>
      <c r="F7111" s="21" t="s">
        <v>558</v>
      </c>
      <c r="G7111" s="15">
        <v>0.09400360428720474</v>
      </c>
      <c r="H7111" s="11" t="s">
        <v>24</v>
      </c>
      <c r="I7111" s="16">
        <v>1.592</v>
      </c>
      <c r="J7111" s="11" t="s">
        <v>395</v>
      </c>
      <c r="K7111" s="11" t="s">
        <v>35</v>
      </c>
      <c r="L7111" s="11" t="s">
        <v>36</v>
      </c>
      <c r="M7111" s="11" t="s">
        <v>66</v>
      </c>
      <c r="N7111" s="11" t="s">
        <v>67</v>
      </c>
      <c r="O7111" s="11" t="s">
        <v>559</v>
      </c>
      <c r="P7111" s="11" t="s">
        <v>99</v>
      </c>
      <c r="Q7111" s="20">
        <v>41046.0</v>
      </c>
      <c r="R7111" s="17">
        <f t="shared" si="2"/>
        <v>89.79149079</v>
      </c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>
        <f t="shared" si="8"/>
        <v>2</v>
      </c>
      <c r="AF7111" s="19">
        <f t="shared" si="13"/>
        <v>2</v>
      </c>
      <c r="AG7111" s="9"/>
      <c r="AH7111" s="9"/>
      <c r="AI7111" s="9"/>
    </row>
    <row r="7112" ht="15.0" customHeight="1">
      <c r="A7112" s="11">
        <v>7111.0</v>
      </c>
      <c r="B7112" s="12">
        <f t="shared" ref="B7112:B7113" si="1133">DATE(2012,12,31)-229</f>
        <v>41045</v>
      </c>
      <c r="C7112" s="13">
        <v>2012.0</v>
      </c>
      <c r="D7112" s="11" t="s">
        <v>32</v>
      </c>
      <c r="E7112" s="11">
        <v>3.0</v>
      </c>
      <c r="F7112" s="21" t="s">
        <v>481</v>
      </c>
      <c r="G7112" s="15">
        <v>0.09509843856076042</v>
      </c>
      <c r="H7112" s="11" t="s">
        <v>33</v>
      </c>
      <c r="I7112" s="16">
        <v>1.592</v>
      </c>
      <c r="J7112" s="11" t="s">
        <v>2524</v>
      </c>
      <c r="K7112" s="11" t="s">
        <v>117</v>
      </c>
      <c r="L7112" s="11" t="s">
        <v>27</v>
      </c>
      <c r="M7112" s="11" t="s">
        <v>66</v>
      </c>
      <c r="N7112" s="11" t="s">
        <v>67</v>
      </c>
      <c r="O7112" s="11" t="s">
        <v>1631</v>
      </c>
      <c r="P7112" s="11" t="s">
        <v>99</v>
      </c>
      <c r="Q7112" s="20">
        <v>41046.0</v>
      </c>
      <c r="R7112" s="17">
        <f t="shared" si="2"/>
        <v>12.67586107</v>
      </c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>
        <f t="shared" si="8"/>
        <v>1</v>
      </c>
      <c r="AF7112" s="19" t="b">
        <f t="shared" si="13"/>
        <v>0</v>
      </c>
      <c r="AG7112" s="9"/>
      <c r="AH7112" s="9"/>
      <c r="AI7112" s="9"/>
    </row>
    <row r="7113" ht="15.0" customHeight="1">
      <c r="A7113" s="11">
        <v>7112.0</v>
      </c>
      <c r="B7113" s="12">
        <f t="shared" si="1133"/>
        <v>41045</v>
      </c>
      <c r="C7113" s="13">
        <v>2012.0</v>
      </c>
      <c r="D7113" s="11" t="s">
        <v>102</v>
      </c>
      <c r="E7113" s="11">
        <v>33.0</v>
      </c>
      <c r="F7113" s="21" t="s">
        <v>336</v>
      </c>
      <c r="G7113" s="15">
        <v>0.007942238267147973</v>
      </c>
      <c r="H7113" s="11" t="s">
        <v>24</v>
      </c>
      <c r="I7113" s="16">
        <v>0.96</v>
      </c>
      <c r="J7113" s="11" t="s">
        <v>120</v>
      </c>
      <c r="K7113" s="11" t="s">
        <v>35</v>
      </c>
      <c r="L7113" s="11" t="s">
        <v>48</v>
      </c>
      <c r="M7113" s="11" t="s">
        <v>49</v>
      </c>
      <c r="N7113" s="11" t="s">
        <v>73</v>
      </c>
      <c r="O7113" s="11" t="s">
        <v>463</v>
      </c>
      <c r="P7113" s="11" t="s">
        <v>75</v>
      </c>
      <c r="Q7113" s="20">
        <v>41046.0</v>
      </c>
      <c r="R7113" s="17">
        <f t="shared" si="2"/>
        <v>1.527768953</v>
      </c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>
        <f t="shared" si="8"/>
        <v>4</v>
      </c>
      <c r="AF7113" s="19">
        <f t="shared" si="13"/>
        <v>2</v>
      </c>
      <c r="AG7113" s="9"/>
      <c r="AH7113" s="9"/>
      <c r="AI7113" s="9"/>
    </row>
    <row r="7114" ht="15.0" customHeight="1">
      <c r="A7114" s="11">
        <v>7113.0</v>
      </c>
      <c r="B7114" s="12">
        <f t="shared" ref="B7114:B7123" si="1134">DATE(2012,12,31)-228</f>
        <v>41046</v>
      </c>
      <c r="C7114" s="13">
        <v>2012.0</v>
      </c>
      <c r="D7114" s="11" t="s">
        <v>39</v>
      </c>
      <c r="E7114" s="11">
        <v>7.0</v>
      </c>
      <c r="F7114" s="21" t="s">
        <v>238</v>
      </c>
      <c r="G7114" s="15">
        <v>0.09041860465116275</v>
      </c>
      <c r="H7114" s="11" t="s">
        <v>33</v>
      </c>
      <c r="I7114" s="16">
        <v>4.112</v>
      </c>
      <c r="J7114" s="11" t="s">
        <v>1975</v>
      </c>
      <c r="K7114" s="11" t="s">
        <v>26</v>
      </c>
      <c r="L7114" s="11" t="s">
        <v>27</v>
      </c>
      <c r="M7114" s="11" t="s">
        <v>66</v>
      </c>
      <c r="N7114" s="11" t="s">
        <v>67</v>
      </c>
      <c r="O7114" s="11" t="s">
        <v>240</v>
      </c>
      <c r="P7114" s="11" t="s">
        <v>99</v>
      </c>
      <c r="Q7114" s="20">
        <v>41047.0</v>
      </c>
      <c r="R7114" s="17">
        <f t="shared" si="2"/>
        <v>3.536452465</v>
      </c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>
        <f t="shared" si="8"/>
        <v>1</v>
      </c>
      <c r="AF7114" s="19">
        <f t="shared" si="13"/>
        <v>1</v>
      </c>
      <c r="AG7114" s="9"/>
      <c r="AH7114" s="9"/>
      <c r="AI7114" s="9"/>
    </row>
    <row r="7115" ht="15.0" customHeight="1">
      <c r="A7115" s="11">
        <v>7114.0</v>
      </c>
      <c r="B7115" s="12">
        <f t="shared" si="1134"/>
        <v>41046</v>
      </c>
      <c r="C7115" s="13">
        <v>2012.0</v>
      </c>
      <c r="D7115" s="11" t="s">
        <v>32</v>
      </c>
      <c r="E7115" s="11">
        <v>22.0</v>
      </c>
      <c r="F7115" s="21" t="s">
        <v>731</v>
      </c>
      <c r="G7115" s="15">
        <v>0.06603188861441711</v>
      </c>
      <c r="H7115" s="11" t="s">
        <v>33</v>
      </c>
      <c r="I7115" s="16">
        <v>2.3920000000000003</v>
      </c>
      <c r="J7115" s="11" t="s">
        <v>778</v>
      </c>
      <c r="K7115" s="11" t="s">
        <v>35</v>
      </c>
      <c r="L7115" s="11" t="s">
        <v>27</v>
      </c>
      <c r="M7115" s="11" t="s">
        <v>28</v>
      </c>
      <c r="N7115" s="11" t="s">
        <v>42</v>
      </c>
      <c r="O7115" s="11" t="s">
        <v>1302</v>
      </c>
      <c r="P7115" s="11" t="s">
        <v>38</v>
      </c>
      <c r="Q7115" s="20">
        <v>41048.0</v>
      </c>
      <c r="R7115" s="17">
        <f t="shared" si="2"/>
        <v>54.92479669</v>
      </c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>
        <f t="shared" si="8"/>
        <v>1</v>
      </c>
      <c r="AF7115" s="19">
        <f t="shared" si="13"/>
        <v>2</v>
      </c>
      <c r="AG7115" s="9"/>
      <c r="AH7115" s="9"/>
      <c r="AI7115" s="9"/>
    </row>
    <row r="7116" ht="15.0" customHeight="1">
      <c r="A7116" s="11">
        <v>7115.0</v>
      </c>
      <c r="B7116" s="12">
        <f t="shared" si="1134"/>
        <v>41046</v>
      </c>
      <c r="C7116" s="13">
        <v>2012.0</v>
      </c>
      <c r="D7116" s="11" t="s">
        <v>32</v>
      </c>
      <c r="E7116" s="11">
        <v>50.0</v>
      </c>
      <c r="F7116" s="21" t="s">
        <v>306</v>
      </c>
      <c r="G7116" s="15">
        <v>0.005613338626439238</v>
      </c>
      <c r="H7116" s="11" t="s">
        <v>33</v>
      </c>
      <c r="I7116" s="16">
        <v>6.944</v>
      </c>
      <c r="J7116" s="11" t="s">
        <v>778</v>
      </c>
      <c r="K7116" s="11" t="s">
        <v>35</v>
      </c>
      <c r="L7116" s="11" t="s">
        <v>27</v>
      </c>
      <c r="M7116" s="11" t="s">
        <v>28</v>
      </c>
      <c r="N7116" s="11" t="s">
        <v>56</v>
      </c>
      <c r="O7116" s="11" t="s">
        <v>401</v>
      </c>
      <c r="P7116" s="11" t="s">
        <v>38</v>
      </c>
      <c r="Q7116" s="20">
        <v>41048.0</v>
      </c>
      <c r="R7116" s="17">
        <f t="shared" si="2"/>
        <v>5.624250957</v>
      </c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>
        <f t="shared" si="8"/>
        <v>1</v>
      </c>
      <c r="AF7116" s="19">
        <f t="shared" si="13"/>
        <v>2</v>
      </c>
      <c r="AG7116" s="9"/>
      <c r="AH7116" s="9"/>
      <c r="AI7116" s="9"/>
    </row>
    <row r="7117" ht="15.0" customHeight="1">
      <c r="A7117" s="11">
        <v>7116.0</v>
      </c>
      <c r="B7117" s="12">
        <f t="shared" si="1134"/>
        <v>41046</v>
      </c>
      <c r="C7117" s="13">
        <v>2012.0</v>
      </c>
      <c r="D7117" s="11" t="s">
        <v>32</v>
      </c>
      <c r="E7117" s="11">
        <v>30.0</v>
      </c>
      <c r="F7117" s="21" t="s">
        <v>747</v>
      </c>
      <c r="G7117" s="15">
        <v>0.06538209931608682</v>
      </c>
      <c r="H7117" s="11" t="s">
        <v>33</v>
      </c>
      <c r="I7117" s="16">
        <v>2.3120000000000003</v>
      </c>
      <c r="J7117" s="11" t="s">
        <v>778</v>
      </c>
      <c r="K7117" s="11" t="s">
        <v>35</v>
      </c>
      <c r="L7117" s="11" t="s">
        <v>27</v>
      </c>
      <c r="M7117" s="11" t="s">
        <v>28</v>
      </c>
      <c r="N7117" s="11" t="s">
        <v>62</v>
      </c>
      <c r="O7117" s="11" t="s">
        <v>1491</v>
      </c>
      <c r="P7117" s="11" t="s">
        <v>99</v>
      </c>
      <c r="Q7117" s="20">
        <v>41048.0</v>
      </c>
      <c r="R7117" s="17">
        <f t="shared" si="2"/>
        <v>20.5503784</v>
      </c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>
        <f t="shared" si="8"/>
        <v>1</v>
      </c>
      <c r="AF7117" s="19">
        <f t="shared" si="13"/>
        <v>2</v>
      </c>
      <c r="AG7117" s="9"/>
      <c r="AH7117" s="9"/>
      <c r="AI7117" s="9"/>
    </row>
    <row r="7118" ht="15.0" customHeight="1">
      <c r="A7118" s="11">
        <v>7117.0</v>
      </c>
      <c r="B7118" s="12">
        <f t="shared" si="1134"/>
        <v>41046</v>
      </c>
      <c r="C7118" s="13">
        <v>2012.0</v>
      </c>
      <c r="D7118" s="11" t="s">
        <v>23</v>
      </c>
      <c r="E7118" s="11">
        <v>5.0</v>
      </c>
      <c r="F7118" s="21" t="s">
        <v>1166</v>
      </c>
      <c r="G7118" s="15">
        <v>0.10022304832713748</v>
      </c>
      <c r="H7118" s="11" t="s">
        <v>33</v>
      </c>
      <c r="I7118" s="16">
        <v>0.7040000000000001</v>
      </c>
      <c r="J7118" s="11" t="s">
        <v>485</v>
      </c>
      <c r="K7118" s="11" t="s">
        <v>47</v>
      </c>
      <c r="L7118" s="11" t="s">
        <v>48</v>
      </c>
      <c r="M7118" s="11" t="s">
        <v>28</v>
      </c>
      <c r="N7118" s="11" t="s">
        <v>56</v>
      </c>
      <c r="O7118" s="11" t="s">
        <v>1258</v>
      </c>
      <c r="P7118" s="11" t="s">
        <v>58</v>
      </c>
      <c r="Q7118" s="20">
        <v>41048.0</v>
      </c>
      <c r="R7118" s="17">
        <f t="shared" si="2"/>
        <v>2.425798662</v>
      </c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>
        <f t="shared" si="8"/>
        <v>4</v>
      </c>
      <c r="AF7118" s="19">
        <f t="shared" si="13"/>
        <v>3</v>
      </c>
      <c r="AG7118" s="9"/>
      <c r="AH7118" s="9"/>
      <c r="AI7118" s="9"/>
    </row>
    <row r="7119" ht="15.0" customHeight="1">
      <c r="A7119" s="11">
        <v>7118.0</v>
      </c>
      <c r="B7119" s="12">
        <f t="shared" si="1134"/>
        <v>41046</v>
      </c>
      <c r="C7119" s="13">
        <v>2012.0</v>
      </c>
      <c r="D7119" s="11" t="s">
        <v>102</v>
      </c>
      <c r="E7119" s="11">
        <v>33.0</v>
      </c>
      <c r="F7119" s="21" t="s">
        <v>894</v>
      </c>
      <c r="G7119" s="15">
        <v>0.09947826086956524</v>
      </c>
      <c r="H7119" s="11" t="s">
        <v>33</v>
      </c>
      <c r="I7119" s="16">
        <v>5.016</v>
      </c>
      <c r="J7119" s="11" t="s">
        <v>1401</v>
      </c>
      <c r="K7119" s="11" t="s">
        <v>83</v>
      </c>
      <c r="L7119" s="11" t="s">
        <v>41</v>
      </c>
      <c r="M7119" s="11" t="s">
        <v>28</v>
      </c>
      <c r="N7119" s="11" t="s">
        <v>42</v>
      </c>
      <c r="O7119" s="11" t="s">
        <v>89</v>
      </c>
      <c r="P7119" s="11" t="s">
        <v>38</v>
      </c>
      <c r="Q7119" s="20">
        <v>41048.0</v>
      </c>
      <c r="R7119" s="17">
        <f t="shared" si="2"/>
        <v>11.33216557</v>
      </c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>
        <f t="shared" si="8"/>
        <v>3</v>
      </c>
      <c r="AF7119" s="19" t="b">
        <f t="shared" si="13"/>
        <v>0</v>
      </c>
      <c r="AG7119" s="9"/>
      <c r="AH7119" s="9"/>
      <c r="AI7119" s="9"/>
    </row>
    <row r="7120" ht="15.0" customHeight="1">
      <c r="A7120" s="11">
        <v>7119.0</v>
      </c>
      <c r="B7120" s="12">
        <f t="shared" si="1134"/>
        <v>41046</v>
      </c>
      <c r="C7120" s="13">
        <v>2012.0</v>
      </c>
      <c r="D7120" s="11" t="s">
        <v>102</v>
      </c>
      <c r="E7120" s="11">
        <v>16.0</v>
      </c>
      <c r="F7120" s="21" t="s">
        <v>142</v>
      </c>
      <c r="G7120" s="15">
        <v>0.08511450381679388</v>
      </c>
      <c r="H7120" s="11" t="s">
        <v>33</v>
      </c>
      <c r="I7120" s="16">
        <v>0.8800000000000001</v>
      </c>
      <c r="J7120" s="11" t="s">
        <v>1401</v>
      </c>
      <c r="K7120" s="11" t="s">
        <v>83</v>
      </c>
      <c r="L7120" s="11" t="s">
        <v>41</v>
      </c>
      <c r="M7120" s="11" t="s">
        <v>66</v>
      </c>
      <c r="N7120" s="11" t="s">
        <v>80</v>
      </c>
      <c r="O7120" s="11" t="s">
        <v>143</v>
      </c>
      <c r="P7120" s="11" t="s">
        <v>38</v>
      </c>
      <c r="Q7120" s="20">
        <v>41048.0</v>
      </c>
      <c r="R7120" s="17">
        <f t="shared" si="2"/>
        <v>48.96467176</v>
      </c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>
        <f t="shared" si="8"/>
        <v>3</v>
      </c>
      <c r="AF7120" s="19" t="b">
        <f t="shared" si="13"/>
        <v>0</v>
      </c>
      <c r="AG7120" s="9"/>
      <c r="AH7120" s="9"/>
      <c r="AI7120" s="9"/>
    </row>
    <row r="7121" ht="15.0" customHeight="1">
      <c r="A7121" s="11">
        <v>7120.0</v>
      </c>
      <c r="B7121" s="12">
        <f t="shared" si="1134"/>
        <v>41046</v>
      </c>
      <c r="C7121" s="13">
        <v>2012.0</v>
      </c>
      <c r="D7121" s="11" t="s">
        <v>44</v>
      </c>
      <c r="E7121" s="11">
        <v>43.0</v>
      </c>
      <c r="F7121" s="21" t="s">
        <v>319</v>
      </c>
      <c r="G7121" s="15">
        <v>0.04731861198738171</v>
      </c>
      <c r="H7121" s="11" t="s">
        <v>33</v>
      </c>
      <c r="I7121" s="16">
        <v>0.4</v>
      </c>
      <c r="J7121" s="11" t="s">
        <v>1963</v>
      </c>
      <c r="K7121" s="11" t="s">
        <v>65</v>
      </c>
      <c r="L7121" s="11" t="s">
        <v>41</v>
      </c>
      <c r="M7121" s="11" t="s">
        <v>28</v>
      </c>
      <c r="N7121" s="11" t="s">
        <v>188</v>
      </c>
      <c r="O7121" s="11" t="s">
        <v>2198</v>
      </c>
      <c r="P7121" s="11" t="s">
        <v>38</v>
      </c>
      <c r="Q7121" s="20">
        <v>41048.0</v>
      </c>
      <c r="R7121" s="17">
        <f t="shared" si="2"/>
        <v>5.716088328</v>
      </c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>
        <f t="shared" si="8"/>
        <v>3</v>
      </c>
      <c r="AF7121" s="19">
        <f t="shared" si="13"/>
        <v>5</v>
      </c>
      <c r="AG7121" s="9"/>
      <c r="AH7121" s="9"/>
      <c r="AI7121" s="9"/>
    </row>
    <row r="7122" ht="15.0" customHeight="1">
      <c r="A7122" s="11">
        <v>7121.0</v>
      </c>
      <c r="B7122" s="12">
        <f t="shared" si="1134"/>
        <v>41046</v>
      </c>
      <c r="C7122" s="13">
        <v>2012.0</v>
      </c>
      <c r="D7122" s="11" t="s">
        <v>102</v>
      </c>
      <c r="E7122" s="11">
        <v>24.0</v>
      </c>
      <c r="F7122" s="21" t="s">
        <v>530</v>
      </c>
      <c r="G7122" s="15">
        <v>0.06059785053736583</v>
      </c>
      <c r="H7122" s="11" t="s">
        <v>33</v>
      </c>
      <c r="I7122" s="16">
        <v>4.904</v>
      </c>
      <c r="J7122" s="11" t="s">
        <v>2409</v>
      </c>
      <c r="K7122" s="11" t="s">
        <v>83</v>
      </c>
      <c r="L7122" s="11" t="s">
        <v>27</v>
      </c>
      <c r="M7122" s="11" t="s">
        <v>66</v>
      </c>
      <c r="N7122" s="11" t="s">
        <v>67</v>
      </c>
      <c r="O7122" s="11" t="s">
        <v>531</v>
      </c>
      <c r="P7122" s="11" t="s">
        <v>38</v>
      </c>
      <c r="Q7122" s="20">
        <v>41048.0</v>
      </c>
      <c r="R7122" s="17">
        <f t="shared" si="2"/>
        <v>121.153525</v>
      </c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>
        <f t="shared" si="8"/>
        <v>1</v>
      </c>
      <c r="AF7122" s="19" t="b">
        <f t="shared" si="13"/>
        <v>0</v>
      </c>
      <c r="AG7122" s="9"/>
      <c r="AH7122" s="9"/>
      <c r="AI7122" s="9"/>
    </row>
    <row r="7123" ht="15.0" customHeight="1">
      <c r="A7123" s="11">
        <v>7122.0</v>
      </c>
      <c r="B7123" s="12">
        <f t="shared" si="1134"/>
        <v>41046</v>
      </c>
      <c r="C7123" s="13">
        <v>2012.0</v>
      </c>
      <c r="D7123" s="11" t="s">
        <v>102</v>
      </c>
      <c r="E7123" s="11">
        <v>46.0</v>
      </c>
      <c r="F7123" s="21" t="s">
        <v>1038</v>
      </c>
      <c r="G7123" s="15">
        <v>0.04001318463989453</v>
      </c>
      <c r="H7123" s="11" t="s">
        <v>33</v>
      </c>
      <c r="I7123" s="16">
        <v>4.064</v>
      </c>
      <c r="J7123" s="11" t="s">
        <v>2409</v>
      </c>
      <c r="K7123" s="11" t="s">
        <v>83</v>
      </c>
      <c r="L7123" s="11" t="s">
        <v>27</v>
      </c>
      <c r="M7123" s="11" t="s">
        <v>28</v>
      </c>
      <c r="N7123" s="11" t="s">
        <v>56</v>
      </c>
      <c r="O7123" s="11" t="s">
        <v>1040</v>
      </c>
      <c r="P7123" s="11" t="s">
        <v>58</v>
      </c>
      <c r="Q7123" s="20">
        <v>41049.0</v>
      </c>
      <c r="R7123" s="17">
        <f t="shared" si="2"/>
        <v>69.92159968</v>
      </c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>
        <f t="shared" si="8"/>
        <v>1</v>
      </c>
      <c r="AF7123" s="19" t="b">
        <f t="shared" si="13"/>
        <v>0</v>
      </c>
      <c r="AG7123" s="9"/>
      <c r="AH7123" s="9"/>
      <c r="AI7123" s="9"/>
    </row>
    <row r="7124" ht="15.0" customHeight="1">
      <c r="A7124" s="11">
        <v>7123.0</v>
      </c>
      <c r="B7124" s="12">
        <f t="shared" ref="B7124:B7128" si="1135">DATE(2012,12,31)-227</f>
        <v>41047</v>
      </c>
      <c r="C7124" s="13">
        <v>2012.0</v>
      </c>
      <c r="D7124" s="11" t="s">
        <v>32</v>
      </c>
      <c r="E7124" s="11">
        <v>49.0</v>
      </c>
      <c r="F7124" s="21" t="s">
        <v>270</v>
      </c>
      <c r="G7124" s="15">
        <v>0.012023053051573767</v>
      </c>
      <c r="H7124" s="11" t="s">
        <v>33</v>
      </c>
      <c r="I7124" s="16">
        <v>1.592</v>
      </c>
      <c r="J7124" s="11" t="s">
        <v>1754</v>
      </c>
      <c r="K7124" s="11" t="s">
        <v>35</v>
      </c>
      <c r="L7124" s="11" t="s">
        <v>41</v>
      </c>
      <c r="M7124" s="11" t="s">
        <v>66</v>
      </c>
      <c r="N7124" s="11" t="s">
        <v>67</v>
      </c>
      <c r="O7124" s="11" t="s">
        <v>2453</v>
      </c>
      <c r="P7124" s="11" t="s">
        <v>99</v>
      </c>
      <c r="Q7124" s="20">
        <v>41049.0</v>
      </c>
      <c r="R7124" s="17">
        <f t="shared" si="2"/>
        <v>24.11454132</v>
      </c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>
        <f t="shared" si="8"/>
        <v>3</v>
      </c>
      <c r="AF7124" s="19">
        <f t="shared" si="13"/>
        <v>2</v>
      </c>
      <c r="AG7124" s="9"/>
      <c r="AH7124" s="9"/>
      <c r="AI7124" s="9"/>
    </row>
    <row r="7125" ht="15.0" customHeight="1">
      <c r="A7125" s="11">
        <v>7124.0</v>
      </c>
      <c r="B7125" s="12">
        <f t="shared" si="1135"/>
        <v>41047</v>
      </c>
      <c r="C7125" s="13">
        <v>2012.0</v>
      </c>
      <c r="D7125" s="11" t="s">
        <v>32</v>
      </c>
      <c r="E7125" s="11">
        <v>1.0</v>
      </c>
      <c r="F7125" s="21" t="s">
        <v>270</v>
      </c>
      <c r="G7125" s="15">
        <v>0.07150442477876105</v>
      </c>
      <c r="H7125" s="11" t="s">
        <v>33</v>
      </c>
      <c r="I7125" s="16">
        <v>11.56</v>
      </c>
      <c r="J7125" s="11" t="s">
        <v>1754</v>
      </c>
      <c r="K7125" s="11" t="s">
        <v>35</v>
      </c>
      <c r="L7125" s="11" t="s">
        <v>41</v>
      </c>
      <c r="M7125" s="11" t="s">
        <v>49</v>
      </c>
      <c r="N7125" s="11" t="s">
        <v>73</v>
      </c>
      <c r="O7125" s="11" t="s">
        <v>2259</v>
      </c>
      <c r="P7125" s="11" t="s">
        <v>31</v>
      </c>
      <c r="Q7125" s="20">
        <v>41049.0</v>
      </c>
      <c r="R7125" s="17">
        <f t="shared" si="2"/>
        <v>3.751122124</v>
      </c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>
        <f t="shared" si="8"/>
        <v>3</v>
      </c>
      <c r="AF7125" s="19">
        <f t="shared" si="13"/>
        <v>2</v>
      </c>
      <c r="AG7125" s="9"/>
      <c r="AH7125" s="9"/>
      <c r="AI7125" s="9"/>
    </row>
    <row r="7126" ht="15.0" customHeight="1">
      <c r="A7126" s="11">
        <v>7125.0</v>
      </c>
      <c r="B7126" s="12">
        <f t="shared" si="1135"/>
        <v>41047</v>
      </c>
      <c r="C7126" s="13">
        <v>2012.0</v>
      </c>
      <c r="D7126" s="11" t="s">
        <v>23</v>
      </c>
      <c r="E7126" s="11">
        <v>43.0</v>
      </c>
      <c r="F7126" s="21" t="s">
        <v>469</v>
      </c>
      <c r="G7126" s="15">
        <v>0.052872053872053786</v>
      </c>
      <c r="H7126" s="11" t="s">
        <v>45</v>
      </c>
      <c r="I7126" s="16">
        <v>11.488</v>
      </c>
      <c r="J7126" s="11" t="s">
        <v>2407</v>
      </c>
      <c r="K7126" s="11" t="s">
        <v>65</v>
      </c>
      <c r="L7126" s="11" t="s">
        <v>27</v>
      </c>
      <c r="M7126" s="11" t="s">
        <v>49</v>
      </c>
      <c r="N7126" s="11" t="s">
        <v>50</v>
      </c>
      <c r="O7126" s="11" t="s">
        <v>470</v>
      </c>
      <c r="P7126" s="11" t="s">
        <v>52</v>
      </c>
      <c r="Q7126" s="20">
        <v>41049.0</v>
      </c>
      <c r="R7126" s="17">
        <f t="shared" si="2"/>
        <v>59.49100055</v>
      </c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>
        <f t="shared" si="8"/>
        <v>1</v>
      </c>
      <c r="AF7126" s="19">
        <f t="shared" si="13"/>
        <v>5</v>
      </c>
      <c r="AG7126" s="9"/>
      <c r="AH7126" s="9"/>
      <c r="AI7126" s="9"/>
    </row>
    <row r="7127" ht="15.0" customHeight="1">
      <c r="A7127" s="11">
        <v>7126.0</v>
      </c>
      <c r="B7127" s="12">
        <f t="shared" si="1135"/>
        <v>41047</v>
      </c>
      <c r="C7127" s="13">
        <v>2012.0</v>
      </c>
      <c r="D7127" s="11" t="s">
        <v>44</v>
      </c>
      <c r="E7127" s="11">
        <v>42.0</v>
      </c>
      <c r="F7127" s="21" t="s">
        <v>304</v>
      </c>
      <c r="G7127" s="15">
        <v>0.01580252978017936</v>
      </c>
      <c r="H7127" s="11" t="s">
        <v>33</v>
      </c>
      <c r="I7127" s="16">
        <v>7.632</v>
      </c>
      <c r="J7127" s="11" t="s">
        <v>538</v>
      </c>
      <c r="K7127" s="11" t="s">
        <v>61</v>
      </c>
      <c r="L7127" s="11" t="s">
        <v>27</v>
      </c>
      <c r="M7127" s="11" t="s">
        <v>28</v>
      </c>
      <c r="N7127" s="11" t="s">
        <v>56</v>
      </c>
      <c r="O7127" s="11" t="s">
        <v>305</v>
      </c>
      <c r="P7127" s="11" t="s">
        <v>38</v>
      </c>
      <c r="Q7127" s="20">
        <v>41049.0</v>
      </c>
      <c r="R7127" s="17">
        <f t="shared" si="2"/>
        <v>12.66465305</v>
      </c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>
        <f t="shared" si="8"/>
        <v>1</v>
      </c>
      <c r="AF7127" s="19">
        <f t="shared" si="13"/>
        <v>4</v>
      </c>
      <c r="AG7127" s="9"/>
      <c r="AH7127" s="9"/>
      <c r="AI7127" s="9"/>
    </row>
    <row r="7128" ht="15.0" customHeight="1">
      <c r="A7128" s="11">
        <v>7127.0</v>
      </c>
      <c r="B7128" s="12">
        <f t="shared" si="1135"/>
        <v>41047</v>
      </c>
      <c r="C7128" s="13">
        <v>2012.0</v>
      </c>
      <c r="D7128" s="11" t="s">
        <v>32</v>
      </c>
      <c r="E7128" s="11">
        <v>12.0</v>
      </c>
      <c r="F7128" s="21" t="s">
        <v>987</v>
      </c>
      <c r="G7128" s="15">
        <v>0.030430030528021623</v>
      </c>
      <c r="H7128" s="11" t="s">
        <v>45</v>
      </c>
      <c r="I7128" s="16">
        <v>11.76</v>
      </c>
      <c r="J7128" s="11" t="s">
        <v>1112</v>
      </c>
      <c r="K7128" s="11" t="s">
        <v>35</v>
      </c>
      <c r="L7128" s="11" t="s">
        <v>27</v>
      </c>
      <c r="M7128" s="11" t="s">
        <v>66</v>
      </c>
      <c r="N7128" s="11" t="s">
        <v>69</v>
      </c>
      <c r="O7128" s="11" t="s">
        <v>77</v>
      </c>
      <c r="P7128" s="11" t="s">
        <v>52</v>
      </c>
      <c r="Q7128" s="20">
        <v>41049.0</v>
      </c>
      <c r="R7128" s="17">
        <f t="shared" si="2"/>
        <v>78.28307934</v>
      </c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>
        <f t="shared" si="8"/>
        <v>1</v>
      </c>
      <c r="AF7128" s="19">
        <f t="shared" si="13"/>
        <v>2</v>
      </c>
      <c r="AG7128" s="9"/>
      <c r="AH7128" s="9"/>
      <c r="AI7128" s="9"/>
    </row>
    <row r="7129" ht="15.0" customHeight="1">
      <c r="A7129" s="11">
        <v>7128.0</v>
      </c>
      <c r="B7129" s="12">
        <f t="shared" ref="B7129:B7131" si="1136">DATE(2012,12,31)-226</f>
        <v>41048</v>
      </c>
      <c r="C7129" s="13">
        <v>2012.0</v>
      </c>
      <c r="D7129" s="11" t="s">
        <v>32</v>
      </c>
      <c r="E7129" s="11">
        <v>32.0</v>
      </c>
      <c r="F7129" s="21" t="s">
        <v>186</v>
      </c>
      <c r="G7129" s="15">
        <v>0.027346637102734786</v>
      </c>
      <c r="H7129" s="11" t="s">
        <v>33</v>
      </c>
      <c r="I7129" s="16">
        <v>0.4</v>
      </c>
      <c r="J7129" s="11" t="s">
        <v>2540</v>
      </c>
      <c r="K7129" s="11" t="s">
        <v>61</v>
      </c>
      <c r="L7129" s="11" t="s">
        <v>41</v>
      </c>
      <c r="M7129" s="11" t="s">
        <v>28</v>
      </c>
      <c r="N7129" s="11" t="s">
        <v>188</v>
      </c>
      <c r="O7129" s="11" t="s">
        <v>1968</v>
      </c>
      <c r="P7129" s="11" t="s">
        <v>38</v>
      </c>
      <c r="Q7129" s="20">
        <v>41049.0</v>
      </c>
      <c r="R7129" s="17">
        <f t="shared" si="2"/>
        <v>3.598817443</v>
      </c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>
        <f t="shared" si="8"/>
        <v>3</v>
      </c>
      <c r="AF7129" s="19">
        <f t="shared" si="13"/>
        <v>4</v>
      </c>
      <c r="AG7129" s="9"/>
      <c r="AH7129" s="9"/>
      <c r="AI7129" s="9"/>
    </row>
    <row r="7130" ht="15.0" customHeight="1">
      <c r="A7130" s="11">
        <v>7129.0</v>
      </c>
      <c r="B7130" s="12">
        <f t="shared" si="1136"/>
        <v>41048</v>
      </c>
      <c r="C7130" s="13">
        <v>2012.0</v>
      </c>
      <c r="D7130" s="11" t="s">
        <v>32</v>
      </c>
      <c r="E7130" s="11">
        <v>47.0</v>
      </c>
      <c r="F7130" s="21" t="s">
        <v>122</v>
      </c>
      <c r="G7130" s="15">
        <v>0.03166603271205778</v>
      </c>
      <c r="H7130" s="11" t="s">
        <v>45</v>
      </c>
      <c r="I7130" s="16">
        <v>36.0</v>
      </c>
      <c r="J7130" s="11" t="s">
        <v>2540</v>
      </c>
      <c r="K7130" s="11" t="s">
        <v>61</v>
      </c>
      <c r="L7130" s="11" t="s">
        <v>41</v>
      </c>
      <c r="M7130" s="11" t="s">
        <v>28</v>
      </c>
      <c r="N7130" s="11" t="s">
        <v>29</v>
      </c>
      <c r="O7130" s="11" t="s">
        <v>1420</v>
      </c>
      <c r="P7130" s="11" t="s">
        <v>52</v>
      </c>
      <c r="Q7130" s="20">
        <v>41050.0</v>
      </c>
      <c r="R7130" s="17">
        <f t="shared" si="2"/>
        <v>32.24552111</v>
      </c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>
        <f t="shared" si="8"/>
        <v>3</v>
      </c>
      <c r="AF7130" s="19">
        <f t="shared" si="13"/>
        <v>4</v>
      </c>
      <c r="AG7130" s="9"/>
      <c r="AH7130" s="9"/>
      <c r="AI7130" s="9"/>
    </row>
    <row r="7131" ht="15.0" customHeight="1">
      <c r="A7131" s="11">
        <v>7130.0</v>
      </c>
      <c r="B7131" s="12">
        <f t="shared" si="1136"/>
        <v>41048</v>
      </c>
      <c r="C7131" s="13">
        <v>2012.0</v>
      </c>
      <c r="D7131" s="11" t="s">
        <v>32</v>
      </c>
      <c r="E7131" s="11">
        <v>42.0</v>
      </c>
      <c r="F7131" s="21" t="s">
        <v>498</v>
      </c>
      <c r="G7131" s="15">
        <v>0.026007085331366104</v>
      </c>
      <c r="H7131" s="11" t="s">
        <v>24</v>
      </c>
      <c r="I7131" s="16">
        <v>28.0</v>
      </c>
      <c r="J7131" s="11" t="s">
        <v>1058</v>
      </c>
      <c r="K7131" s="11" t="s">
        <v>61</v>
      </c>
      <c r="L7131" s="11" t="s">
        <v>41</v>
      </c>
      <c r="M7131" s="11" t="s">
        <v>28</v>
      </c>
      <c r="N7131" s="11" t="s">
        <v>29</v>
      </c>
      <c r="O7131" s="11" t="s">
        <v>30</v>
      </c>
      <c r="P7131" s="11" t="s">
        <v>31</v>
      </c>
      <c r="Q7131" s="20">
        <v>41050.0</v>
      </c>
      <c r="R7131" s="17">
        <f t="shared" si="2"/>
        <v>105.4795367</v>
      </c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>
        <f t="shared" si="8"/>
        <v>3</v>
      </c>
      <c r="AF7131" s="19">
        <f t="shared" si="13"/>
        <v>4</v>
      </c>
      <c r="AG7131" s="9"/>
      <c r="AH7131" s="9"/>
      <c r="AI7131" s="9"/>
    </row>
    <row r="7132" ht="15.0" customHeight="1">
      <c r="A7132" s="11">
        <v>7131.0</v>
      </c>
      <c r="B7132" s="12">
        <f t="shared" ref="B7132:B7139" si="1137">DATE(2012,12,31)-225</f>
        <v>41049</v>
      </c>
      <c r="C7132" s="13">
        <v>2012.0</v>
      </c>
      <c r="D7132" s="11" t="s">
        <v>44</v>
      </c>
      <c r="E7132" s="11">
        <v>13.0</v>
      </c>
      <c r="F7132" s="21" t="s">
        <v>122</v>
      </c>
      <c r="G7132" s="15">
        <v>0.09804560260586327</v>
      </c>
      <c r="H7132" s="11" t="s">
        <v>33</v>
      </c>
      <c r="I7132" s="16">
        <v>5.2</v>
      </c>
      <c r="J7132" s="11" t="s">
        <v>145</v>
      </c>
      <c r="K7132" s="11" t="s">
        <v>83</v>
      </c>
      <c r="L7132" s="11" t="s">
        <v>41</v>
      </c>
      <c r="M7132" s="11" t="s">
        <v>66</v>
      </c>
      <c r="N7132" s="11" t="s">
        <v>67</v>
      </c>
      <c r="O7132" s="11" t="s">
        <v>2130</v>
      </c>
      <c r="P7132" s="11" t="s">
        <v>38</v>
      </c>
      <c r="Q7132" s="20">
        <v>41050.0</v>
      </c>
      <c r="R7132" s="17">
        <f t="shared" si="2"/>
        <v>27.14882736</v>
      </c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>
        <f t="shared" si="8"/>
        <v>3</v>
      </c>
      <c r="AF7132" s="19" t="b">
        <f t="shared" si="13"/>
        <v>0</v>
      </c>
      <c r="AG7132" s="9"/>
      <c r="AH7132" s="9"/>
      <c r="AI7132" s="9"/>
    </row>
    <row r="7133" ht="15.0" customHeight="1">
      <c r="A7133" s="11">
        <v>7132.0</v>
      </c>
      <c r="B7133" s="12">
        <f t="shared" si="1137"/>
        <v>41049</v>
      </c>
      <c r="C7133" s="13">
        <v>2012.0</v>
      </c>
      <c r="D7133" s="11" t="s">
        <v>23</v>
      </c>
      <c r="E7133" s="11">
        <v>21.0</v>
      </c>
      <c r="F7133" s="21" t="s">
        <v>1242</v>
      </c>
      <c r="G7133" s="15">
        <v>0.06797070382279378</v>
      </c>
      <c r="H7133" s="11" t="s">
        <v>33</v>
      </c>
      <c r="I7133" s="16">
        <v>8.200000000000001</v>
      </c>
      <c r="J7133" s="11" t="s">
        <v>120</v>
      </c>
      <c r="K7133" s="11" t="s">
        <v>35</v>
      </c>
      <c r="L7133" s="11" t="s">
        <v>41</v>
      </c>
      <c r="M7133" s="11" t="s">
        <v>49</v>
      </c>
      <c r="N7133" s="11" t="s">
        <v>73</v>
      </c>
      <c r="O7133" s="11" t="s">
        <v>1243</v>
      </c>
      <c r="P7133" s="11" t="s">
        <v>31</v>
      </c>
      <c r="Q7133" s="20">
        <v>41050.0</v>
      </c>
      <c r="R7133" s="17">
        <f t="shared" si="2"/>
        <v>70.92742944</v>
      </c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>
        <f t="shared" si="8"/>
        <v>3</v>
      </c>
      <c r="AF7133" s="19">
        <f t="shared" si="13"/>
        <v>2</v>
      </c>
      <c r="AG7133" s="9"/>
      <c r="AH7133" s="9"/>
      <c r="AI7133" s="9"/>
    </row>
    <row r="7134" ht="15.0" customHeight="1">
      <c r="A7134" s="11">
        <v>7133.0</v>
      </c>
      <c r="B7134" s="12">
        <f t="shared" si="1137"/>
        <v>41049</v>
      </c>
      <c r="C7134" s="13">
        <v>2012.0</v>
      </c>
      <c r="D7134" s="11" t="s">
        <v>23</v>
      </c>
      <c r="E7134" s="11">
        <v>17.0</v>
      </c>
      <c r="F7134" s="21" t="s">
        <v>1551</v>
      </c>
      <c r="G7134" s="15">
        <v>0.018032036613272396</v>
      </c>
      <c r="H7134" s="11" t="s">
        <v>33</v>
      </c>
      <c r="I7134" s="16">
        <v>1.6480000000000001</v>
      </c>
      <c r="J7134" s="11" t="s">
        <v>120</v>
      </c>
      <c r="K7134" s="11" t="s">
        <v>35</v>
      </c>
      <c r="L7134" s="11" t="s">
        <v>41</v>
      </c>
      <c r="M7134" s="11" t="s">
        <v>49</v>
      </c>
      <c r="N7134" s="11" t="s">
        <v>73</v>
      </c>
      <c r="O7134" s="11" t="s">
        <v>880</v>
      </c>
      <c r="P7134" s="11" t="s">
        <v>58</v>
      </c>
      <c r="Q7134" s="20">
        <v>41051.0</v>
      </c>
      <c r="R7134" s="17">
        <f t="shared" si="2"/>
        <v>3.095163021</v>
      </c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>
        <f t="shared" si="8"/>
        <v>3</v>
      </c>
      <c r="AF7134" s="19">
        <f t="shared" si="13"/>
        <v>2</v>
      </c>
      <c r="AG7134" s="9"/>
      <c r="AH7134" s="9"/>
      <c r="AI7134" s="9"/>
    </row>
    <row r="7135" ht="15.0" customHeight="1">
      <c r="A7135" s="11">
        <v>7134.0</v>
      </c>
      <c r="B7135" s="12">
        <f t="shared" si="1137"/>
        <v>41049</v>
      </c>
      <c r="C7135" s="13">
        <v>2012.0</v>
      </c>
      <c r="D7135" s="11" t="s">
        <v>102</v>
      </c>
      <c r="E7135" s="11">
        <v>34.0</v>
      </c>
      <c r="F7135" s="21" t="s">
        <v>1015</v>
      </c>
      <c r="G7135" s="15">
        <v>0.03996163069544362</v>
      </c>
      <c r="H7135" s="11" t="s">
        <v>33</v>
      </c>
      <c r="I7135" s="16">
        <v>6.368</v>
      </c>
      <c r="J7135" s="11" t="s">
        <v>2350</v>
      </c>
      <c r="K7135" s="11" t="s">
        <v>61</v>
      </c>
      <c r="L7135" s="11" t="s">
        <v>36</v>
      </c>
      <c r="M7135" s="11" t="s">
        <v>28</v>
      </c>
      <c r="N7135" s="11" t="s">
        <v>56</v>
      </c>
      <c r="O7135" s="11" t="s">
        <v>1531</v>
      </c>
      <c r="P7135" s="11" t="s">
        <v>38</v>
      </c>
      <c r="Q7135" s="20">
        <v>41051.0</v>
      </c>
      <c r="R7135" s="17">
        <f t="shared" si="2"/>
        <v>7.999039693</v>
      </c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>
        <f t="shared" si="8"/>
        <v>2</v>
      </c>
      <c r="AF7135" s="19">
        <f t="shared" si="13"/>
        <v>4</v>
      </c>
      <c r="AG7135" s="9"/>
      <c r="AH7135" s="9"/>
      <c r="AI7135" s="9"/>
    </row>
    <row r="7136" ht="15.0" customHeight="1">
      <c r="A7136" s="11">
        <v>7135.0</v>
      </c>
      <c r="B7136" s="12">
        <f t="shared" si="1137"/>
        <v>41049</v>
      </c>
      <c r="C7136" s="13">
        <v>2012.0</v>
      </c>
      <c r="D7136" s="11" t="s">
        <v>39</v>
      </c>
      <c r="E7136" s="11">
        <v>32.0</v>
      </c>
      <c r="F7136" s="21" t="s">
        <v>299</v>
      </c>
      <c r="G7136" s="15">
        <v>0.05907924528301889</v>
      </c>
      <c r="H7136" s="11" t="s">
        <v>33</v>
      </c>
      <c r="I7136" s="16">
        <v>2.9440000000000004</v>
      </c>
      <c r="J7136" s="11" t="s">
        <v>1934</v>
      </c>
      <c r="K7136" s="11" t="s">
        <v>61</v>
      </c>
      <c r="L7136" s="11" t="s">
        <v>27</v>
      </c>
      <c r="M7136" s="11" t="s">
        <v>49</v>
      </c>
      <c r="N7136" s="11" t="s">
        <v>73</v>
      </c>
      <c r="O7136" s="11" t="s">
        <v>1949</v>
      </c>
      <c r="P7136" s="11" t="s">
        <v>58</v>
      </c>
      <c r="Q7136" s="20">
        <v>41051.0</v>
      </c>
      <c r="R7136" s="17">
        <f t="shared" si="2"/>
        <v>14.73105534</v>
      </c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>
        <f t="shared" si="8"/>
        <v>1</v>
      </c>
      <c r="AF7136" s="19">
        <f t="shared" si="13"/>
        <v>4</v>
      </c>
      <c r="AG7136" s="9"/>
      <c r="AH7136" s="9"/>
      <c r="AI7136" s="9"/>
    </row>
    <row r="7137" ht="15.0" customHeight="1">
      <c r="A7137" s="11">
        <v>7136.0</v>
      </c>
      <c r="B7137" s="12">
        <f t="shared" si="1137"/>
        <v>41049</v>
      </c>
      <c r="C7137" s="13">
        <v>2012.0</v>
      </c>
      <c r="D7137" s="11" t="s">
        <v>39</v>
      </c>
      <c r="E7137" s="11">
        <v>7.0</v>
      </c>
      <c r="F7137" s="21" t="s">
        <v>1136</v>
      </c>
      <c r="G7137" s="15">
        <v>0.07870187018701881</v>
      </c>
      <c r="H7137" s="11" t="s">
        <v>33</v>
      </c>
      <c r="I7137" s="16">
        <v>7.192</v>
      </c>
      <c r="J7137" s="11" t="s">
        <v>578</v>
      </c>
      <c r="K7137" s="11" t="s">
        <v>65</v>
      </c>
      <c r="L7137" s="11" t="s">
        <v>27</v>
      </c>
      <c r="M7137" s="11" t="s">
        <v>28</v>
      </c>
      <c r="N7137" s="11" t="s">
        <v>62</v>
      </c>
      <c r="O7137" s="11" t="s">
        <v>1176</v>
      </c>
      <c r="P7137" s="11" t="s">
        <v>99</v>
      </c>
      <c r="Q7137" s="20">
        <v>41051.0</v>
      </c>
      <c r="R7137" s="17">
        <f t="shared" si="2"/>
        <v>13.18193364</v>
      </c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>
        <f t="shared" si="8"/>
        <v>1</v>
      </c>
      <c r="AF7137" s="19">
        <f t="shared" si="13"/>
        <v>5</v>
      </c>
      <c r="AG7137" s="9"/>
      <c r="AH7137" s="9"/>
      <c r="AI7137" s="9"/>
    </row>
    <row r="7138" ht="15.0" customHeight="1">
      <c r="A7138" s="11">
        <v>7137.0</v>
      </c>
      <c r="B7138" s="12">
        <f t="shared" si="1137"/>
        <v>41049</v>
      </c>
      <c r="C7138" s="13">
        <v>2012.0</v>
      </c>
      <c r="D7138" s="11" t="s">
        <v>23</v>
      </c>
      <c r="E7138" s="11">
        <v>1.0</v>
      </c>
      <c r="F7138" s="21" t="s">
        <v>126</v>
      </c>
      <c r="G7138" s="15">
        <v>0.11381443298969064</v>
      </c>
      <c r="H7138" s="11" t="s">
        <v>33</v>
      </c>
      <c r="I7138" s="16">
        <v>3.696</v>
      </c>
      <c r="J7138" s="11" t="s">
        <v>1259</v>
      </c>
      <c r="K7138" s="11" t="s">
        <v>65</v>
      </c>
      <c r="L7138" s="11" t="s">
        <v>41</v>
      </c>
      <c r="M7138" s="11" t="s">
        <v>66</v>
      </c>
      <c r="N7138" s="11" t="s">
        <v>67</v>
      </c>
      <c r="O7138" s="11" t="s">
        <v>675</v>
      </c>
      <c r="P7138" s="11" t="s">
        <v>99</v>
      </c>
      <c r="Q7138" s="20">
        <v>41051.0</v>
      </c>
      <c r="R7138" s="17">
        <f t="shared" si="2"/>
        <v>0.978348866</v>
      </c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>
        <f t="shared" si="8"/>
        <v>3</v>
      </c>
      <c r="AF7138" s="19">
        <f t="shared" si="13"/>
        <v>5</v>
      </c>
      <c r="AG7138" s="9"/>
      <c r="AH7138" s="9"/>
      <c r="AI7138" s="9"/>
    </row>
    <row r="7139" ht="15.0" customHeight="1">
      <c r="A7139" s="11">
        <v>7138.0</v>
      </c>
      <c r="B7139" s="12">
        <f t="shared" si="1137"/>
        <v>41049</v>
      </c>
      <c r="C7139" s="13">
        <v>2012.0</v>
      </c>
      <c r="D7139" s="11" t="s">
        <v>32</v>
      </c>
      <c r="E7139" s="11">
        <v>49.0</v>
      </c>
      <c r="F7139" s="21" t="s">
        <v>569</v>
      </c>
      <c r="G7139" s="15">
        <v>0.057110537220514755</v>
      </c>
      <c r="H7139" s="11" t="s">
        <v>24</v>
      </c>
      <c r="I7139" s="16">
        <v>3.192</v>
      </c>
      <c r="J7139" s="11" t="s">
        <v>1643</v>
      </c>
      <c r="K7139" s="11" t="s">
        <v>83</v>
      </c>
      <c r="L7139" s="11" t="s">
        <v>48</v>
      </c>
      <c r="M7139" s="11" t="s">
        <v>66</v>
      </c>
      <c r="N7139" s="11" t="s">
        <v>80</v>
      </c>
      <c r="O7139" s="11" t="s">
        <v>2483</v>
      </c>
      <c r="P7139" s="11" t="s">
        <v>38</v>
      </c>
      <c r="Q7139" s="20">
        <v>41051.0</v>
      </c>
      <c r="R7139" s="17">
        <f t="shared" si="2"/>
        <v>548.3920547</v>
      </c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>
        <f t="shared" si="8"/>
        <v>4</v>
      </c>
      <c r="AF7139" s="19" t="b">
        <f t="shared" si="13"/>
        <v>0</v>
      </c>
      <c r="AG7139" s="9"/>
      <c r="AH7139" s="9"/>
      <c r="AI7139" s="9"/>
    </row>
    <row r="7140" ht="15.0" customHeight="1">
      <c r="A7140" s="11">
        <v>7139.0</v>
      </c>
      <c r="B7140" s="12">
        <f t="shared" ref="B7140:B7148" si="1138">DATE(2012,12,31)-224</f>
        <v>41050</v>
      </c>
      <c r="C7140" s="13">
        <v>2012.0</v>
      </c>
      <c r="D7140" s="11" t="s">
        <v>39</v>
      </c>
      <c r="E7140" s="11">
        <v>21.0</v>
      </c>
      <c r="F7140" s="21" t="s">
        <v>705</v>
      </c>
      <c r="G7140" s="15">
        <v>0.10196251378169795</v>
      </c>
      <c r="H7140" s="11" t="s">
        <v>33</v>
      </c>
      <c r="I7140" s="16">
        <v>3.7520000000000007</v>
      </c>
      <c r="J7140" s="11" t="s">
        <v>1108</v>
      </c>
      <c r="K7140" s="11" t="s">
        <v>47</v>
      </c>
      <c r="L7140" s="11" t="s">
        <v>27</v>
      </c>
      <c r="M7140" s="11" t="s">
        <v>28</v>
      </c>
      <c r="N7140" s="11" t="s">
        <v>42</v>
      </c>
      <c r="O7140" s="11" t="s">
        <v>2200</v>
      </c>
      <c r="P7140" s="11" t="s">
        <v>38</v>
      </c>
      <c r="Q7140" s="20">
        <v>41051.0</v>
      </c>
      <c r="R7140" s="17">
        <f t="shared" si="2"/>
        <v>8.305050673</v>
      </c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>
        <f t="shared" si="8"/>
        <v>1</v>
      </c>
      <c r="AF7140" s="19">
        <f t="shared" si="13"/>
        <v>3</v>
      </c>
      <c r="AG7140" s="9"/>
      <c r="AH7140" s="9"/>
      <c r="AI7140" s="9"/>
    </row>
    <row r="7141" ht="15.0" customHeight="1">
      <c r="A7141" s="11">
        <v>7140.0</v>
      </c>
      <c r="B7141" s="12">
        <f t="shared" si="1138"/>
        <v>41050</v>
      </c>
      <c r="C7141" s="13">
        <v>2012.0</v>
      </c>
      <c r="D7141" s="11" t="s">
        <v>44</v>
      </c>
      <c r="E7141" s="11">
        <v>25.0</v>
      </c>
      <c r="F7141" s="21" t="s">
        <v>2306</v>
      </c>
      <c r="G7141" s="15">
        <v>0.09321208184475475</v>
      </c>
      <c r="H7141" s="11" t="s">
        <v>33</v>
      </c>
      <c r="I7141" s="16">
        <v>4.2</v>
      </c>
      <c r="J7141" s="11" t="s">
        <v>1684</v>
      </c>
      <c r="K7141" s="11" t="s">
        <v>47</v>
      </c>
      <c r="L7141" s="11" t="s">
        <v>48</v>
      </c>
      <c r="M7141" s="11" t="s">
        <v>28</v>
      </c>
      <c r="N7141" s="11" t="s">
        <v>236</v>
      </c>
      <c r="O7141" s="11" t="s">
        <v>2307</v>
      </c>
      <c r="P7141" s="11" t="s">
        <v>38</v>
      </c>
      <c r="Q7141" s="20">
        <v>41052.0</v>
      </c>
      <c r="R7141" s="17">
        <f t="shared" si="2"/>
        <v>26.02481325</v>
      </c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>
        <f t="shared" si="8"/>
        <v>4</v>
      </c>
      <c r="AF7141" s="19">
        <f t="shared" si="13"/>
        <v>3</v>
      </c>
      <c r="AG7141" s="9"/>
      <c r="AH7141" s="9"/>
      <c r="AI7141" s="9"/>
    </row>
    <row r="7142" ht="15.0" customHeight="1">
      <c r="A7142" s="11">
        <v>7141.0</v>
      </c>
      <c r="B7142" s="12">
        <f t="shared" si="1138"/>
        <v>41050</v>
      </c>
      <c r="C7142" s="13">
        <v>2012.0</v>
      </c>
      <c r="D7142" s="11" t="s">
        <v>44</v>
      </c>
      <c r="E7142" s="11">
        <v>24.0</v>
      </c>
      <c r="F7142" s="21" t="s">
        <v>115</v>
      </c>
      <c r="G7142" s="15">
        <v>0.07505472130313037</v>
      </c>
      <c r="H7142" s="11" t="s">
        <v>24</v>
      </c>
      <c r="I7142" s="16">
        <v>5.688000000000001</v>
      </c>
      <c r="J7142" s="11" t="s">
        <v>1684</v>
      </c>
      <c r="K7142" s="11" t="s">
        <v>47</v>
      </c>
      <c r="L7142" s="11" t="s">
        <v>48</v>
      </c>
      <c r="M7142" s="11" t="s">
        <v>66</v>
      </c>
      <c r="N7142" s="11" t="s">
        <v>69</v>
      </c>
      <c r="O7142" s="11" t="s">
        <v>1833</v>
      </c>
      <c r="P7142" s="11" t="s">
        <v>75</v>
      </c>
      <c r="Q7142" s="20">
        <v>41052.0</v>
      </c>
      <c r="R7142" s="17">
        <f t="shared" si="2"/>
        <v>218.2056906</v>
      </c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>
        <f t="shared" si="8"/>
        <v>4</v>
      </c>
      <c r="AF7142" s="19">
        <f t="shared" si="13"/>
        <v>3</v>
      </c>
      <c r="AG7142" s="9"/>
      <c r="AH7142" s="9"/>
      <c r="AI7142" s="9"/>
    </row>
    <row r="7143" ht="15.0" customHeight="1">
      <c r="A7143" s="11">
        <v>7142.0</v>
      </c>
      <c r="B7143" s="12">
        <f t="shared" si="1138"/>
        <v>41050</v>
      </c>
      <c r="C7143" s="13">
        <v>2012.0</v>
      </c>
      <c r="D7143" s="11" t="s">
        <v>39</v>
      </c>
      <c r="E7143" s="11">
        <v>48.0</v>
      </c>
      <c r="F7143" s="21" t="s">
        <v>226</v>
      </c>
      <c r="G7143" s="15">
        <v>0.0355793417742835</v>
      </c>
      <c r="H7143" s="11" t="s">
        <v>33</v>
      </c>
      <c r="I7143" s="16">
        <v>6.920000000000001</v>
      </c>
      <c r="J7143" s="11" t="s">
        <v>2528</v>
      </c>
      <c r="K7143" s="11" t="s">
        <v>61</v>
      </c>
      <c r="L7143" s="11" t="s">
        <v>48</v>
      </c>
      <c r="M7143" s="11" t="s">
        <v>66</v>
      </c>
      <c r="N7143" s="11" t="s">
        <v>67</v>
      </c>
      <c r="O7143" s="11" t="s">
        <v>228</v>
      </c>
      <c r="P7143" s="11" t="s">
        <v>38</v>
      </c>
      <c r="Q7143" s="20">
        <v>41052.0</v>
      </c>
      <c r="R7143" s="17">
        <f t="shared" si="2"/>
        <v>52.16358456</v>
      </c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>
        <f t="shared" si="8"/>
        <v>4</v>
      </c>
      <c r="AF7143" s="19">
        <f t="shared" si="13"/>
        <v>4</v>
      </c>
      <c r="AG7143" s="9"/>
      <c r="AH7143" s="9"/>
      <c r="AI7143" s="9"/>
    </row>
    <row r="7144" ht="15.0" customHeight="1">
      <c r="A7144" s="11">
        <v>7143.0</v>
      </c>
      <c r="B7144" s="12">
        <f t="shared" si="1138"/>
        <v>41050</v>
      </c>
      <c r="C7144" s="13">
        <v>2012.0</v>
      </c>
      <c r="D7144" s="11" t="s">
        <v>39</v>
      </c>
      <c r="E7144" s="11">
        <v>28.0</v>
      </c>
      <c r="F7144" s="21" t="s">
        <v>126</v>
      </c>
      <c r="G7144" s="15">
        <v>0.0765100671140938</v>
      </c>
      <c r="H7144" s="11" t="s">
        <v>33</v>
      </c>
      <c r="I7144" s="16">
        <v>0.4</v>
      </c>
      <c r="J7144" s="11" t="s">
        <v>2528</v>
      </c>
      <c r="K7144" s="11" t="s">
        <v>61</v>
      </c>
      <c r="L7144" s="11" t="s">
        <v>48</v>
      </c>
      <c r="M7144" s="11" t="s">
        <v>28</v>
      </c>
      <c r="N7144" s="11" t="s">
        <v>188</v>
      </c>
      <c r="O7144" s="11" t="s">
        <v>1993</v>
      </c>
      <c r="P7144" s="11" t="s">
        <v>38</v>
      </c>
      <c r="Q7144" s="20">
        <v>41052.0</v>
      </c>
      <c r="R7144" s="17">
        <f t="shared" si="2"/>
        <v>10.52778523</v>
      </c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>
        <f t="shared" si="8"/>
        <v>4</v>
      </c>
      <c r="AF7144" s="19">
        <f t="shared" si="13"/>
        <v>4</v>
      </c>
      <c r="AG7144" s="9"/>
      <c r="AH7144" s="9"/>
      <c r="AI7144" s="9"/>
    </row>
    <row r="7145" ht="15.0" customHeight="1">
      <c r="A7145" s="11">
        <v>7144.0</v>
      </c>
      <c r="B7145" s="12">
        <f t="shared" si="1138"/>
        <v>41050</v>
      </c>
      <c r="C7145" s="13">
        <v>2012.0</v>
      </c>
      <c r="D7145" s="11" t="s">
        <v>39</v>
      </c>
      <c r="E7145" s="11">
        <v>8.0</v>
      </c>
      <c r="F7145" s="21" t="s">
        <v>172</v>
      </c>
      <c r="G7145" s="15">
        <v>0.08265384134409023</v>
      </c>
      <c r="H7145" s="11" t="s">
        <v>33</v>
      </c>
      <c r="I7145" s="16">
        <v>19.592</v>
      </c>
      <c r="J7145" s="11" t="s">
        <v>2604</v>
      </c>
      <c r="K7145" s="11" t="s">
        <v>65</v>
      </c>
      <c r="L7145" s="11" t="s">
        <v>48</v>
      </c>
      <c r="M7145" s="11" t="s">
        <v>66</v>
      </c>
      <c r="N7145" s="11" t="s">
        <v>69</v>
      </c>
      <c r="O7145" s="11" t="s">
        <v>173</v>
      </c>
      <c r="P7145" s="11" t="s">
        <v>31</v>
      </c>
      <c r="Q7145" s="20">
        <v>41052.0</v>
      </c>
      <c r="R7145" s="17">
        <f t="shared" si="2"/>
        <v>4486.747401</v>
      </c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>
        <f t="shared" si="8"/>
        <v>4</v>
      </c>
      <c r="AF7145" s="19">
        <f t="shared" si="13"/>
        <v>5</v>
      </c>
      <c r="AG7145" s="9"/>
      <c r="AH7145" s="9"/>
      <c r="AI7145" s="9"/>
    </row>
    <row r="7146" ht="15.0" customHeight="1">
      <c r="A7146" s="11">
        <v>7145.0</v>
      </c>
      <c r="B7146" s="12">
        <f t="shared" si="1138"/>
        <v>41050</v>
      </c>
      <c r="C7146" s="13">
        <v>2012.0</v>
      </c>
      <c r="D7146" s="11" t="s">
        <v>102</v>
      </c>
      <c r="E7146" s="11">
        <v>32.0</v>
      </c>
      <c r="F7146" s="21" t="s">
        <v>610</v>
      </c>
      <c r="G7146" s="15">
        <v>0.06841209829867674</v>
      </c>
      <c r="H7146" s="11" t="s">
        <v>33</v>
      </c>
      <c r="I7146" s="16">
        <v>3.848</v>
      </c>
      <c r="J7146" s="11" t="s">
        <v>1652</v>
      </c>
      <c r="K7146" s="11" t="s">
        <v>117</v>
      </c>
      <c r="L7146" s="11" t="s">
        <v>48</v>
      </c>
      <c r="M7146" s="11" t="s">
        <v>28</v>
      </c>
      <c r="N7146" s="11" t="s">
        <v>29</v>
      </c>
      <c r="O7146" s="11" t="s">
        <v>2147</v>
      </c>
      <c r="P7146" s="11" t="s">
        <v>38</v>
      </c>
      <c r="Q7146" s="20">
        <v>41053.0</v>
      </c>
      <c r="R7146" s="17">
        <f t="shared" si="2"/>
        <v>26.97133293</v>
      </c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>
        <f t="shared" si="8"/>
        <v>4</v>
      </c>
      <c r="AF7146" s="19" t="b">
        <f t="shared" si="13"/>
        <v>0</v>
      </c>
      <c r="AG7146" s="9"/>
      <c r="AH7146" s="9"/>
      <c r="AI7146" s="9"/>
    </row>
    <row r="7147" ht="15.0" customHeight="1">
      <c r="A7147" s="11">
        <v>7146.0</v>
      </c>
      <c r="B7147" s="12">
        <f t="shared" si="1138"/>
        <v>41050</v>
      </c>
      <c r="C7147" s="13">
        <v>2012.0</v>
      </c>
      <c r="D7147" s="11" t="s">
        <v>44</v>
      </c>
      <c r="E7147" s="11">
        <v>7.0</v>
      </c>
      <c r="F7147" s="21" t="s">
        <v>1327</v>
      </c>
      <c r="G7147" s="15">
        <v>0.07749040848566918</v>
      </c>
      <c r="H7147" s="11" t="s">
        <v>33</v>
      </c>
      <c r="I7147" s="16">
        <v>15.991999999999999</v>
      </c>
      <c r="J7147" s="11" t="s">
        <v>855</v>
      </c>
      <c r="K7147" s="11" t="s">
        <v>26</v>
      </c>
      <c r="L7147" s="11" t="s">
        <v>36</v>
      </c>
      <c r="M7147" s="11" t="s">
        <v>28</v>
      </c>
      <c r="N7147" s="11" t="s">
        <v>42</v>
      </c>
      <c r="O7147" s="11" t="s">
        <v>1328</v>
      </c>
      <c r="P7147" s="11" t="s">
        <v>38</v>
      </c>
      <c r="Q7147" s="20">
        <v>41053.0</v>
      </c>
      <c r="R7147" s="17">
        <f t="shared" si="2"/>
        <v>95.025868</v>
      </c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>
        <f t="shared" si="8"/>
        <v>2</v>
      </c>
      <c r="AF7147" s="19">
        <f t="shared" si="13"/>
        <v>1</v>
      </c>
      <c r="AG7147" s="9"/>
      <c r="AH7147" s="9"/>
      <c r="AI7147" s="9"/>
    </row>
    <row r="7148" ht="15.0" customHeight="1">
      <c r="A7148" s="11">
        <v>7147.0</v>
      </c>
      <c r="B7148" s="12">
        <f t="shared" si="1138"/>
        <v>41050</v>
      </c>
      <c r="C7148" s="13">
        <v>2012.0</v>
      </c>
      <c r="D7148" s="11" t="s">
        <v>44</v>
      </c>
      <c r="E7148" s="11">
        <v>28.0</v>
      </c>
      <c r="F7148" s="21" t="s">
        <v>178</v>
      </c>
      <c r="G7148" s="15">
        <v>0.09259924432013339</v>
      </c>
      <c r="H7148" s="11" t="s">
        <v>33</v>
      </c>
      <c r="I7148" s="16">
        <v>3.9920000000000004</v>
      </c>
      <c r="J7148" s="11" t="s">
        <v>855</v>
      </c>
      <c r="K7148" s="11" t="s">
        <v>26</v>
      </c>
      <c r="L7148" s="11" t="s">
        <v>36</v>
      </c>
      <c r="M7148" s="11" t="s">
        <v>66</v>
      </c>
      <c r="N7148" s="11" t="s">
        <v>80</v>
      </c>
      <c r="O7148" s="11" t="s">
        <v>1512</v>
      </c>
      <c r="P7148" s="11" t="s">
        <v>38</v>
      </c>
      <c r="Q7148" s="20">
        <v>41053.0</v>
      </c>
      <c r="R7148" s="17">
        <f t="shared" si="2"/>
        <v>171.2337818</v>
      </c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>
        <f t="shared" si="8"/>
        <v>2</v>
      </c>
      <c r="AF7148" s="19">
        <f t="shared" si="13"/>
        <v>1</v>
      </c>
      <c r="AG7148" s="9"/>
      <c r="AH7148" s="9"/>
      <c r="AI7148" s="9"/>
    </row>
    <row r="7149" ht="15.0" customHeight="1">
      <c r="A7149" s="11">
        <v>7148.0</v>
      </c>
      <c r="B7149" s="12">
        <f t="shared" ref="B7149:B7154" si="1139">DATE(2012,12,31)-223</f>
        <v>41051</v>
      </c>
      <c r="C7149" s="13">
        <v>2012.0</v>
      </c>
      <c r="D7149" s="11" t="s">
        <v>44</v>
      </c>
      <c r="E7149" s="11">
        <v>9.0</v>
      </c>
      <c r="F7149" s="21" t="s">
        <v>1050</v>
      </c>
      <c r="G7149" s="15">
        <v>0.04582959641255592</v>
      </c>
      <c r="H7149" s="11" t="s">
        <v>33</v>
      </c>
      <c r="I7149" s="16">
        <v>12.08</v>
      </c>
      <c r="J7149" s="11" t="s">
        <v>1769</v>
      </c>
      <c r="K7149" s="11" t="s">
        <v>65</v>
      </c>
      <c r="L7149" s="11" t="s">
        <v>41</v>
      </c>
      <c r="M7149" s="11" t="s">
        <v>28</v>
      </c>
      <c r="N7149" s="11" t="s">
        <v>42</v>
      </c>
      <c r="O7149" s="11" t="s">
        <v>1052</v>
      </c>
      <c r="P7149" s="11" t="s">
        <v>38</v>
      </c>
      <c r="Q7149" s="20">
        <v>41054.0</v>
      </c>
      <c r="R7149" s="17">
        <f t="shared" si="2"/>
        <v>9.751621525</v>
      </c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>
        <f t="shared" si="8"/>
        <v>3</v>
      </c>
      <c r="AF7149" s="19">
        <f t="shared" si="13"/>
        <v>5</v>
      </c>
      <c r="AG7149" s="9"/>
      <c r="AH7149" s="9"/>
      <c r="AI7149" s="9"/>
    </row>
    <row r="7150" ht="15.0" customHeight="1">
      <c r="A7150" s="11">
        <v>7149.0</v>
      </c>
      <c r="B7150" s="12">
        <f t="shared" si="1139"/>
        <v>41051</v>
      </c>
      <c r="C7150" s="13">
        <v>2012.0</v>
      </c>
      <c r="D7150" s="11" t="s">
        <v>44</v>
      </c>
      <c r="E7150" s="11">
        <v>5.0</v>
      </c>
      <c r="F7150" s="21" t="s">
        <v>103</v>
      </c>
      <c r="G7150" s="15">
        <v>0.07336633663366333</v>
      </c>
      <c r="H7150" s="11" t="s">
        <v>33</v>
      </c>
      <c r="I7150" s="16">
        <v>7.936</v>
      </c>
      <c r="J7150" s="11" t="s">
        <v>1769</v>
      </c>
      <c r="K7150" s="11" t="s">
        <v>65</v>
      </c>
      <c r="L7150" s="11" t="s">
        <v>41</v>
      </c>
      <c r="M7150" s="11" t="s">
        <v>28</v>
      </c>
      <c r="N7150" s="11" t="s">
        <v>42</v>
      </c>
      <c r="O7150" s="11" t="s">
        <v>1334</v>
      </c>
      <c r="P7150" s="11" t="s">
        <v>38</v>
      </c>
      <c r="Q7150" s="20">
        <v>41054.0</v>
      </c>
      <c r="R7150" s="17">
        <f t="shared" si="2"/>
        <v>2.746542178</v>
      </c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>
        <f t="shared" si="8"/>
        <v>3</v>
      </c>
      <c r="AF7150" s="19">
        <f t="shared" si="13"/>
        <v>5</v>
      </c>
      <c r="AG7150" s="9"/>
      <c r="AH7150" s="9"/>
      <c r="AI7150" s="9"/>
    </row>
    <row r="7151" ht="15.0" customHeight="1">
      <c r="A7151" s="11">
        <v>7150.0</v>
      </c>
      <c r="B7151" s="12">
        <f t="shared" si="1139"/>
        <v>41051</v>
      </c>
      <c r="C7151" s="13">
        <v>2012.0</v>
      </c>
      <c r="D7151" s="11" t="s">
        <v>44</v>
      </c>
      <c r="E7151" s="11">
        <v>43.0</v>
      </c>
      <c r="F7151" s="21" t="s">
        <v>506</v>
      </c>
      <c r="G7151" s="15">
        <v>0.02205447981621276</v>
      </c>
      <c r="H7151" s="11" t="s">
        <v>24</v>
      </c>
      <c r="I7151" s="16">
        <v>1.2800000000000002</v>
      </c>
      <c r="J7151" s="11" t="s">
        <v>1769</v>
      </c>
      <c r="K7151" s="11" t="s">
        <v>65</v>
      </c>
      <c r="L7151" s="11" t="s">
        <v>41</v>
      </c>
      <c r="M7151" s="11" t="s">
        <v>28</v>
      </c>
      <c r="N7151" s="11" t="s">
        <v>56</v>
      </c>
      <c r="O7151" s="11" t="s">
        <v>508</v>
      </c>
      <c r="P7151" s="11" t="s">
        <v>58</v>
      </c>
      <c r="Q7151" s="20">
        <v>41054.0</v>
      </c>
      <c r="R7151" s="17">
        <f t="shared" si="2"/>
        <v>6.571793896</v>
      </c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>
        <f t="shared" si="8"/>
        <v>3</v>
      </c>
      <c r="AF7151" s="19">
        <f t="shared" si="13"/>
        <v>5</v>
      </c>
      <c r="AG7151" s="9"/>
      <c r="AH7151" s="9"/>
      <c r="AI7151" s="9"/>
    </row>
    <row r="7152" ht="15.0" customHeight="1">
      <c r="A7152" s="11">
        <v>7151.0</v>
      </c>
      <c r="B7152" s="12">
        <f t="shared" si="1139"/>
        <v>41051</v>
      </c>
      <c r="C7152" s="13">
        <v>2012.0</v>
      </c>
      <c r="D7152" s="11" t="s">
        <v>32</v>
      </c>
      <c r="E7152" s="11">
        <v>47.0</v>
      </c>
      <c r="F7152" s="21" t="s">
        <v>1435</v>
      </c>
      <c r="G7152" s="15">
        <v>0.04908180300500831</v>
      </c>
      <c r="H7152" s="11" t="s">
        <v>33</v>
      </c>
      <c r="I7152" s="16">
        <v>0.5599999999999999</v>
      </c>
      <c r="J7152" s="11" t="s">
        <v>849</v>
      </c>
      <c r="K7152" s="11" t="s">
        <v>65</v>
      </c>
      <c r="L7152" s="11" t="s">
        <v>48</v>
      </c>
      <c r="M7152" s="11" t="s">
        <v>28</v>
      </c>
      <c r="N7152" s="11" t="s">
        <v>216</v>
      </c>
      <c r="O7152" s="11" t="s">
        <v>1436</v>
      </c>
      <c r="P7152" s="11" t="s">
        <v>58</v>
      </c>
      <c r="Q7152" s="20">
        <v>41054.0</v>
      </c>
      <c r="R7152" s="17">
        <f t="shared" si="2"/>
        <v>2.795699499</v>
      </c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>
        <f t="shared" si="8"/>
        <v>4</v>
      </c>
      <c r="AF7152" s="19">
        <f t="shared" si="13"/>
        <v>5</v>
      </c>
      <c r="AG7152" s="9"/>
      <c r="AH7152" s="9"/>
      <c r="AI7152" s="9"/>
    </row>
    <row r="7153" ht="15.0" customHeight="1">
      <c r="A7153" s="11">
        <v>7152.0</v>
      </c>
      <c r="B7153" s="12">
        <f t="shared" si="1139"/>
        <v>41051</v>
      </c>
      <c r="C7153" s="13">
        <v>2012.0</v>
      </c>
      <c r="D7153" s="11" t="s">
        <v>32</v>
      </c>
      <c r="E7153" s="11">
        <v>20.0</v>
      </c>
      <c r="F7153" s="21" t="s">
        <v>242</v>
      </c>
      <c r="G7153" s="15">
        <v>0.048995983935743004</v>
      </c>
      <c r="H7153" s="11" t="s">
        <v>33</v>
      </c>
      <c r="I7153" s="16">
        <v>2.8000000000000003</v>
      </c>
      <c r="J7153" s="11" t="s">
        <v>334</v>
      </c>
      <c r="K7153" s="11" t="s">
        <v>35</v>
      </c>
      <c r="L7153" s="11" t="s">
        <v>48</v>
      </c>
      <c r="M7153" s="11" t="s">
        <v>28</v>
      </c>
      <c r="N7153" s="11" t="s">
        <v>197</v>
      </c>
      <c r="O7153" s="11" t="s">
        <v>1134</v>
      </c>
      <c r="P7153" s="11" t="s">
        <v>38</v>
      </c>
      <c r="Q7153" s="20">
        <v>41054.0</v>
      </c>
      <c r="R7153" s="17">
        <f t="shared" si="2"/>
        <v>69.61349398</v>
      </c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>
        <f t="shared" si="8"/>
        <v>4</v>
      </c>
      <c r="AF7153" s="19">
        <f t="shared" si="13"/>
        <v>2</v>
      </c>
      <c r="AG7153" s="9"/>
      <c r="AH7153" s="9"/>
      <c r="AI7153" s="9"/>
    </row>
    <row r="7154" ht="15.0" customHeight="1">
      <c r="A7154" s="11">
        <v>7153.0</v>
      </c>
      <c r="B7154" s="12">
        <f t="shared" si="1139"/>
        <v>41051</v>
      </c>
      <c r="C7154" s="13">
        <v>2012.0</v>
      </c>
      <c r="D7154" s="11" t="s">
        <v>32</v>
      </c>
      <c r="E7154" s="11">
        <v>45.0</v>
      </c>
      <c r="F7154" s="21" t="s">
        <v>1399</v>
      </c>
      <c r="G7154" s="15">
        <v>0.06834269752087123</v>
      </c>
      <c r="H7154" s="11" t="s">
        <v>33</v>
      </c>
      <c r="I7154" s="16">
        <v>28.0</v>
      </c>
      <c r="J7154" s="11" t="s">
        <v>360</v>
      </c>
      <c r="K7154" s="11" t="s">
        <v>65</v>
      </c>
      <c r="L7154" s="11" t="s">
        <v>27</v>
      </c>
      <c r="M7154" s="11" t="s">
        <v>28</v>
      </c>
      <c r="N7154" s="11" t="s">
        <v>29</v>
      </c>
      <c r="O7154" s="11" t="s">
        <v>1400</v>
      </c>
      <c r="P7154" s="11" t="s">
        <v>31</v>
      </c>
      <c r="Q7154" s="20">
        <v>41055.0</v>
      </c>
      <c r="R7154" s="17">
        <f t="shared" si="2"/>
        <v>200.5858172</v>
      </c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>
        <f t="shared" si="8"/>
        <v>1</v>
      </c>
      <c r="AF7154" s="19">
        <f t="shared" si="13"/>
        <v>5</v>
      </c>
      <c r="AG7154" s="9"/>
      <c r="AH7154" s="9"/>
      <c r="AI7154" s="9"/>
    </row>
    <row r="7155" ht="15.0" customHeight="1">
      <c r="A7155" s="11">
        <v>7154.0</v>
      </c>
      <c r="B7155" s="12">
        <f t="shared" ref="B7155:B7159" si="1140">DATE(2012,12,31)-222</f>
        <v>41052</v>
      </c>
      <c r="C7155" s="13">
        <v>2012.0</v>
      </c>
      <c r="D7155" s="11" t="s">
        <v>39</v>
      </c>
      <c r="E7155" s="11">
        <v>27.0</v>
      </c>
      <c r="F7155" s="21" t="s">
        <v>758</v>
      </c>
      <c r="G7155" s="15">
        <v>0.062439961575408126</v>
      </c>
      <c r="H7155" s="11" t="s">
        <v>24</v>
      </c>
      <c r="I7155" s="16">
        <v>0.4</v>
      </c>
      <c r="J7155" s="11" t="s">
        <v>510</v>
      </c>
      <c r="K7155" s="11" t="s">
        <v>35</v>
      </c>
      <c r="L7155" s="11" t="s">
        <v>27</v>
      </c>
      <c r="M7155" s="11" t="s">
        <v>28</v>
      </c>
      <c r="N7155" s="11" t="s">
        <v>188</v>
      </c>
      <c r="O7155" s="11" t="s">
        <v>787</v>
      </c>
      <c r="P7155" s="11" t="s">
        <v>38</v>
      </c>
      <c r="Q7155" s="20">
        <v>41055.0</v>
      </c>
      <c r="R7155" s="17">
        <f t="shared" si="2"/>
        <v>6.09414025</v>
      </c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>
        <f t="shared" si="8"/>
        <v>1</v>
      </c>
      <c r="AF7155" s="19">
        <f t="shared" si="13"/>
        <v>2</v>
      </c>
      <c r="AG7155" s="9"/>
      <c r="AH7155" s="9"/>
      <c r="AI7155" s="9"/>
    </row>
    <row r="7156" ht="15.0" customHeight="1">
      <c r="A7156" s="11">
        <v>7155.0</v>
      </c>
      <c r="B7156" s="12">
        <f t="shared" si="1140"/>
        <v>41052</v>
      </c>
      <c r="C7156" s="13">
        <v>2012.0</v>
      </c>
      <c r="D7156" s="11" t="s">
        <v>23</v>
      </c>
      <c r="E7156" s="11">
        <v>25.0</v>
      </c>
      <c r="F7156" s="21" t="s">
        <v>190</v>
      </c>
      <c r="G7156" s="15">
        <v>0.08619494355223402</v>
      </c>
      <c r="H7156" s="11" t="s">
        <v>33</v>
      </c>
      <c r="I7156" s="16">
        <v>7.192</v>
      </c>
      <c r="J7156" s="11" t="s">
        <v>360</v>
      </c>
      <c r="K7156" s="11" t="s">
        <v>65</v>
      </c>
      <c r="L7156" s="11" t="s">
        <v>48</v>
      </c>
      <c r="M7156" s="11" t="s">
        <v>49</v>
      </c>
      <c r="N7156" s="11" t="s">
        <v>73</v>
      </c>
      <c r="O7156" s="11" t="s">
        <v>191</v>
      </c>
      <c r="P7156" s="11" t="s">
        <v>99</v>
      </c>
      <c r="Q7156" s="20">
        <v>41055.0</v>
      </c>
      <c r="R7156" s="17">
        <f t="shared" si="2"/>
        <v>49.5355445</v>
      </c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>
        <f t="shared" si="8"/>
        <v>4</v>
      </c>
      <c r="AF7156" s="19">
        <f t="shared" si="13"/>
        <v>5</v>
      </c>
      <c r="AG7156" s="9"/>
      <c r="AH7156" s="9"/>
      <c r="AI7156" s="9"/>
    </row>
    <row r="7157" ht="15.0" customHeight="1">
      <c r="A7157" s="11">
        <v>7156.0</v>
      </c>
      <c r="B7157" s="12">
        <f t="shared" si="1140"/>
        <v>41052</v>
      </c>
      <c r="C7157" s="13">
        <v>2012.0</v>
      </c>
      <c r="D7157" s="11" t="s">
        <v>23</v>
      </c>
      <c r="E7157" s="11">
        <v>18.0</v>
      </c>
      <c r="F7157" s="21" t="s">
        <v>805</v>
      </c>
      <c r="G7157" s="15">
        <v>0.03133353765166114</v>
      </c>
      <c r="H7157" s="11" t="s">
        <v>45</v>
      </c>
      <c r="I7157" s="16">
        <v>43.296</v>
      </c>
      <c r="J7157" s="11" t="s">
        <v>360</v>
      </c>
      <c r="K7157" s="11" t="s">
        <v>65</v>
      </c>
      <c r="L7157" s="11" t="s">
        <v>48</v>
      </c>
      <c r="M7157" s="11" t="s">
        <v>49</v>
      </c>
      <c r="N7157" s="11" t="s">
        <v>85</v>
      </c>
      <c r="O7157" s="11" t="s">
        <v>807</v>
      </c>
      <c r="P7157" s="11" t="s">
        <v>87</v>
      </c>
      <c r="Q7157" s="20">
        <v>41055.0</v>
      </c>
      <c r="R7157" s="17">
        <f t="shared" si="2"/>
        <v>168.3581058</v>
      </c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>
        <f t="shared" si="8"/>
        <v>4</v>
      </c>
      <c r="AF7157" s="19">
        <f t="shared" si="13"/>
        <v>5</v>
      </c>
      <c r="AG7157" s="9"/>
      <c r="AH7157" s="9"/>
      <c r="AI7157" s="9"/>
    </row>
    <row r="7158" ht="15.0" customHeight="1">
      <c r="A7158" s="11">
        <v>7157.0</v>
      </c>
      <c r="B7158" s="12">
        <f t="shared" si="1140"/>
        <v>41052</v>
      </c>
      <c r="C7158" s="13">
        <v>2012.0</v>
      </c>
      <c r="D7158" s="11" t="s">
        <v>102</v>
      </c>
      <c r="E7158" s="11">
        <v>29.0</v>
      </c>
      <c r="F7158" s="21" t="s">
        <v>270</v>
      </c>
      <c r="G7158" s="15">
        <v>0.07615743621655251</v>
      </c>
      <c r="H7158" s="11" t="s">
        <v>33</v>
      </c>
      <c r="I7158" s="16">
        <v>1.592</v>
      </c>
      <c r="J7158" s="11" t="s">
        <v>1620</v>
      </c>
      <c r="K7158" s="11" t="s">
        <v>65</v>
      </c>
      <c r="L7158" s="11" t="s">
        <v>48</v>
      </c>
      <c r="M7158" s="11" t="s">
        <v>66</v>
      </c>
      <c r="N7158" s="11" t="s">
        <v>67</v>
      </c>
      <c r="O7158" s="11" t="s">
        <v>2453</v>
      </c>
      <c r="P7158" s="11" t="s">
        <v>99</v>
      </c>
      <c r="Q7158" s="20">
        <v>41055.0</v>
      </c>
      <c r="R7158" s="17">
        <f t="shared" si="2"/>
        <v>90.45157773</v>
      </c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>
        <f t="shared" si="8"/>
        <v>4</v>
      </c>
      <c r="AF7158" s="19">
        <f t="shared" si="13"/>
        <v>5</v>
      </c>
      <c r="AG7158" s="9"/>
      <c r="AH7158" s="9"/>
      <c r="AI7158" s="9"/>
    </row>
    <row r="7159" ht="15.0" customHeight="1">
      <c r="A7159" s="11">
        <v>7158.0</v>
      </c>
      <c r="B7159" s="12">
        <f t="shared" si="1140"/>
        <v>41052</v>
      </c>
      <c r="C7159" s="13">
        <v>2012.0</v>
      </c>
      <c r="D7159" s="11" t="s">
        <v>102</v>
      </c>
      <c r="E7159" s="11">
        <v>50.0</v>
      </c>
      <c r="F7159" s="21" t="s">
        <v>103</v>
      </c>
      <c r="G7159" s="15">
        <v>0.05442830069488322</v>
      </c>
      <c r="H7159" s="11" t="s">
        <v>33</v>
      </c>
      <c r="I7159" s="16">
        <v>4.368</v>
      </c>
      <c r="J7159" s="11" t="s">
        <v>1887</v>
      </c>
      <c r="K7159" s="11" t="s">
        <v>61</v>
      </c>
      <c r="L7159" s="11" t="s">
        <v>36</v>
      </c>
      <c r="M7159" s="11" t="s">
        <v>28</v>
      </c>
      <c r="N7159" s="11" t="s">
        <v>56</v>
      </c>
      <c r="O7159" s="11" t="s">
        <v>693</v>
      </c>
      <c r="P7159" s="11" t="s">
        <v>38</v>
      </c>
      <c r="Q7159" s="20">
        <v>41055.0</v>
      </c>
      <c r="R7159" s="17">
        <f t="shared" si="2"/>
        <v>16.29409152</v>
      </c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>
        <f t="shared" si="8"/>
        <v>2</v>
      </c>
      <c r="AF7159" s="19">
        <f t="shared" si="13"/>
        <v>4</v>
      </c>
      <c r="AG7159" s="9"/>
      <c r="AH7159" s="9"/>
      <c r="AI7159" s="9"/>
    </row>
    <row r="7160" ht="15.0" customHeight="1">
      <c r="A7160" s="11">
        <v>7159.0</v>
      </c>
      <c r="B7160" s="12">
        <f t="shared" ref="B7160:B7162" si="1141">DATE(2012,12,31)-221</f>
        <v>41053</v>
      </c>
      <c r="C7160" s="13">
        <v>2012.0</v>
      </c>
      <c r="D7160" s="11" t="s">
        <v>39</v>
      </c>
      <c r="E7160" s="11">
        <v>16.0</v>
      </c>
      <c r="F7160" s="21" t="s">
        <v>210</v>
      </c>
      <c r="G7160" s="15">
        <v>0.09161290322580641</v>
      </c>
      <c r="H7160" s="11" t="s">
        <v>33</v>
      </c>
      <c r="I7160" s="16">
        <v>0.6400000000000001</v>
      </c>
      <c r="J7160" s="11" t="s">
        <v>1345</v>
      </c>
      <c r="K7160" s="11" t="s">
        <v>83</v>
      </c>
      <c r="L7160" s="11" t="s">
        <v>48</v>
      </c>
      <c r="M7160" s="11" t="s">
        <v>28</v>
      </c>
      <c r="N7160" s="11" t="s">
        <v>216</v>
      </c>
      <c r="O7160" s="11" t="s">
        <v>1290</v>
      </c>
      <c r="P7160" s="11" t="s">
        <v>58</v>
      </c>
      <c r="Q7160" s="20">
        <v>41056.0</v>
      </c>
      <c r="R7160" s="17">
        <f t="shared" si="2"/>
        <v>3.869729032</v>
      </c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>
        <f t="shared" si="8"/>
        <v>4</v>
      </c>
      <c r="AF7160" s="19" t="b">
        <f t="shared" si="13"/>
        <v>0</v>
      </c>
      <c r="AG7160" s="9"/>
      <c r="AH7160" s="9"/>
      <c r="AI7160" s="9"/>
    </row>
    <row r="7161" ht="15.0" customHeight="1">
      <c r="A7161" s="11">
        <v>7160.0</v>
      </c>
      <c r="B7161" s="12">
        <f t="shared" si="1141"/>
        <v>41053</v>
      </c>
      <c r="C7161" s="13">
        <v>2012.0</v>
      </c>
      <c r="D7161" s="11" t="s">
        <v>32</v>
      </c>
      <c r="E7161" s="11">
        <v>18.0</v>
      </c>
      <c r="F7161" s="21" t="s">
        <v>319</v>
      </c>
      <c r="G7161" s="15">
        <v>0.05897058823529409</v>
      </c>
      <c r="H7161" s="11" t="s">
        <v>33</v>
      </c>
      <c r="I7161" s="16">
        <v>0.792</v>
      </c>
      <c r="J7161" s="11" t="s">
        <v>1470</v>
      </c>
      <c r="K7161" s="11" t="s">
        <v>65</v>
      </c>
      <c r="L7161" s="11" t="s">
        <v>27</v>
      </c>
      <c r="M7161" s="11" t="s">
        <v>28</v>
      </c>
      <c r="N7161" s="11" t="s">
        <v>188</v>
      </c>
      <c r="O7161" s="11" t="s">
        <v>2320</v>
      </c>
      <c r="P7161" s="11" t="s">
        <v>38</v>
      </c>
      <c r="Q7161" s="20">
        <v>41056.0</v>
      </c>
      <c r="R7161" s="17">
        <f t="shared" si="2"/>
        <v>3.018822353</v>
      </c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>
        <f t="shared" si="8"/>
        <v>1</v>
      </c>
      <c r="AF7161" s="19">
        <f t="shared" si="13"/>
        <v>5</v>
      </c>
      <c r="AG7161" s="9"/>
      <c r="AH7161" s="9"/>
      <c r="AI7161" s="9"/>
    </row>
    <row r="7162" ht="15.0" customHeight="1">
      <c r="A7162" s="11">
        <v>7161.0</v>
      </c>
      <c r="B7162" s="12">
        <f t="shared" si="1141"/>
        <v>41053</v>
      </c>
      <c r="C7162" s="13">
        <v>2012.0</v>
      </c>
      <c r="D7162" s="11" t="s">
        <v>39</v>
      </c>
      <c r="E7162" s="11">
        <v>6.0</v>
      </c>
      <c r="F7162" s="21" t="s">
        <v>1116</v>
      </c>
      <c r="G7162" s="15">
        <v>0.04269569332702314</v>
      </c>
      <c r="H7162" s="11" t="s">
        <v>33</v>
      </c>
      <c r="I7162" s="16">
        <v>15.991999999999999</v>
      </c>
      <c r="J7162" s="11" t="s">
        <v>1051</v>
      </c>
      <c r="K7162" s="11" t="s">
        <v>35</v>
      </c>
      <c r="L7162" s="11" t="s">
        <v>27</v>
      </c>
      <c r="M7162" s="11" t="s">
        <v>28</v>
      </c>
      <c r="N7162" s="11" t="s">
        <v>42</v>
      </c>
      <c r="O7162" s="11" t="s">
        <v>1117</v>
      </c>
      <c r="P7162" s="11" t="s">
        <v>38</v>
      </c>
      <c r="Q7162" s="20">
        <v>41056.0</v>
      </c>
      <c r="R7162" s="17">
        <f t="shared" si="2"/>
        <v>43.18208267</v>
      </c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>
        <f t="shared" si="8"/>
        <v>1</v>
      </c>
      <c r="AF7162" s="19">
        <f t="shared" si="13"/>
        <v>2</v>
      </c>
      <c r="AG7162" s="9"/>
      <c r="AH7162" s="9"/>
      <c r="AI7162" s="9"/>
    </row>
    <row r="7163" ht="15.0" customHeight="1">
      <c r="A7163" s="11">
        <v>7162.0</v>
      </c>
      <c r="B7163" s="12">
        <f t="shared" ref="B7163:B7173" si="1142">DATE(2012,12,31)-220</f>
        <v>41054</v>
      </c>
      <c r="C7163" s="13">
        <v>2012.0</v>
      </c>
      <c r="D7163" s="11" t="s">
        <v>102</v>
      </c>
      <c r="E7163" s="11">
        <v>21.0</v>
      </c>
      <c r="F7163" s="21" t="s">
        <v>523</v>
      </c>
      <c r="G7163" s="15">
        <v>0.026113671274961534</v>
      </c>
      <c r="H7163" s="11" t="s">
        <v>33</v>
      </c>
      <c r="I7163" s="16">
        <v>0.4</v>
      </c>
      <c r="J7163" s="11" t="s">
        <v>2033</v>
      </c>
      <c r="K7163" s="11" t="s">
        <v>65</v>
      </c>
      <c r="L7163" s="11" t="s">
        <v>27</v>
      </c>
      <c r="M7163" s="11" t="s">
        <v>28</v>
      </c>
      <c r="N7163" s="11" t="s">
        <v>188</v>
      </c>
      <c r="O7163" s="11" t="s">
        <v>524</v>
      </c>
      <c r="P7163" s="11" t="s">
        <v>38</v>
      </c>
      <c r="Q7163" s="20">
        <v>41056.0</v>
      </c>
      <c r="R7163" s="17">
        <f t="shared" si="2"/>
        <v>1.655606759</v>
      </c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>
        <f t="shared" si="8"/>
        <v>1</v>
      </c>
      <c r="AF7163" s="19">
        <f t="shared" si="13"/>
        <v>5</v>
      </c>
      <c r="AG7163" s="9"/>
      <c r="AH7163" s="9"/>
      <c r="AI7163" s="9"/>
    </row>
    <row r="7164" ht="15.0" customHeight="1">
      <c r="A7164" s="11">
        <v>7163.0</v>
      </c>
      <c r="B7164" s="12">
        <f t="shared" si="1142"/>
        <v>41054</v>
      </c>
      <c r="C7164" s="13">
        <v>2012.0</v>
      </c>
      <c r="D7164" s="11" t="s">
        <v>102</v>
      </c>
      <c r="E7164" s="11">
        <v>50.0</v>
      </c>
      <c r="F7164" s="21" t="s">
        <v>119</v>
      </c>
      <c r="G7164" s="15">
        <v>0.08020304568527925</v>
      </c>
      <c r="H7164" s="11" t="s">
        <v>33</v>
      </c>
      <c r="I7164" s="16">
        <v>0.6000000000000001</v>
      </c>
      <c r="J7164" s="11" t="s">
        <v>2033</v>
      </c>
      <c r="K7164" s="11" t="s">
        <v>65</v>
      </c>
      <c r="L7164" s="11" t="s">
        <v>27</v>
      </c>
      <c r="M7164" s="11" t="s">
        <v>28</v>
      </c>
      <c r="N7164" s="11" t="s">
        <v>216</v>
      </c>
      <c r="O7164" s="11" t="s">
        <v>339</v>
      </c>
      <c r="P7164" s="11" t="s">
        <v>58</v>
      </c>
      <c r="Q7164" s="20">
        <v>41056.0</v>
      </c>
      <c r="R7164" s="17">
        <f t="shared" si="2"/>
        <v>7.266395939</v>
      </c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>
        <f t="shared" si="8"/>
        <v>1</v>
      </c>
      <c r="AF7164" s="19">
        <f t="shared" si="13"/>
        <v>5</v>
      </c>
      <c r="AG7164" s="9"/>
      <c r="AH7164" s="9"/>
      <c r="AI7164" s="9"/>
    </row>
    <row r="7165" ht="15.0" customHeight="1">
      <c r="A7165" s="11">
        <v>7164.0</v>
      </c>
      <c r="B7165" s="12">
        <f t="shared" si="1142"/>
        <v>41054</v>
      </c>
      <c r="C7165" s="13">
        <v>2012.0</v>
      </c>
      <c r="D7165" s="11" t="s">
        <v>102</v>
      </c>
      <c r="E7165" s="11">
        <v>34.0</v>
      </c>
      <c r="F7165" s="21" t="s">
        <v>990</v>
      </c>
      <c r="G7165" s="15">
        <v>0.026048814998231258</v>
      </c>
      <c r="H7165" s="11" t="s">
        <v>24</v>
      </c>
      <c r="I7165" s="16">
        <v>6.672000000000001</v>
      </c>
      <c r="J7165" s="11" t="s">
        <v>2033</v>
      </c>
      <c r="K7165" s="11" t="s">
        <v>65</v>
      </c>
      <c r="L7165" s="11" t="s">
        <v>27</v>
      </c>
      <c r="M7165" s="11" t="s">
        <v>28</v>
      </c>
      <c r="N7165" s="11" t="s">
        <v>29</v>
      </c>
      <c r="O7165" s="11" t="s">
        <v>991</v>
      </c>
      <c r="P7165" s="11" t="s">
        <v>38</v>
      </c>
      <c r="Q7165" s="20">
        <v>41056.0</v>
      </c>
      <c r="R7165" s="17">
        <f t="shared" si="2"/>
        <v>14.34435305</v>
      </c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>
        <f t="shared" si="8"/>
        <v>1</v>
      </c>
      <c r="AF7165" s="19">
        <f t="shared" si="13"/>
        <v>5</v>
      </c>
      <c r="AG7165" s="9"/>
      <c r="AH7165" s="9"/>
      <c r="AI7165" s="9"/>
    </row>
    <row r="7166" ht="15.0" customHeight="1">
      <c r="A7166" s="11">
        <v>7165.0</v>
      </c>
      <c r="B7166" s="12">
        <f t="shared" si="1142"/>
        <v>41054</v>
      </c>
      <c r="C7166" s="13">
        <v>2012.0</v>
      </c>
      <c r="D7166" s="11" t="s">
        <v>39</v>
      </c>
      <c r="E7166" s="11">
        <v>1.0</v>
      </c>
      <c r="F7166" s="21" t="s">
        <v>158</v>
      </c>
      <c r="G7166" s="15">
        <v>0.1395918367346939</v>
      </c>
      <c r="H7166" s="11" t="s">
        <v>33</v>
      </c>
      <c r="I7166" s="16">
        <v>2.032</v>
      </c>
      <c r="J7166" s="11" t="s">
        <v>148</v>
      </c>
      <c r="K7166" s="11" t="s">
        <v>65</v>
      </c>
      <c r="L7166" s="11" t="s">
        <v>41</v>
      </c>
      <c r="M7166" s="11" t="s">
        <v>28</v>
      </c>
      <c r="N7166" s="11" t="s">
        <v>56</v>
      </c>
      <c r="O7166" s="11" t="s">
        <v>1474</v>
      </c>
      <c r="P7166" s="11" t="s">
        <v>38</v>
      </c>
      <c r="Q7166" s="20">
        <v>41056.0</v>
      </c>
      <c r="R7166" s="17">
        <f t="shared" si="2"/>
        <v>1.177038367</v>
      </c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>
        <f t="shared" si="8"/>
        <v>3</v>
      </c>
      <c r="AF7166" s="19">
        <f t="shared" si="13"/>
        <v>5</v>
      </c>
      <c r="AG7166" s="9"/>
      <c r="AH7166" s="9"/>
      <c r="AI7166" s="9"/>
    </row>
    <row r="7167" ht="15.0" customHeight="1">
      <c r="A7167" s="11">
        <v>7166.0</v>
      </c>
      <c r="B7167" s="12">
        <f t="shared" si="1142"/>
        <v>41054</v>
      </c>
      <c r="C7167" s="13">
        <v>2012.0</v>
      </c>
      <c r="D7167" s="11" t="s">
        <v>39</v>
      </c>
      <c r="E7167" s="11">
        <v>35.0</v>
      </c>
      <c r="F7167" s="21" t="s">
        <v>130</v>
      </c>
      <c r="G7167" s="15">
        <v>0.0960264135369377</v>
      </c>
      <c r="H7167" s="11" t="s">
        <v>33</v>
      </c>
      <c r="I7167" s="16">
        <v>13.664</v>
      </c>
      <c r="J7167" s="11" t="s">
        <v>148</v>
      </c>
      <c r="K7167" s="11" t="s">
        <v>65</v>
      </c>
      <c r="L7167" s="11" t="s">
        <v>41</v>
      </c>
      <c r="M7167" s="11" t="s">
        <v>28</v>
      </c>
      <c r="N7167" s="11" t="s">
        <v>56</v>
      </c>
      <c r="O7167" s="11" t="s">
        <v>2106</v>
      </c>
      <c r="P7167" s="11" t="s">
        <v>38</v>
      </c>
      <c r="Q7167" s="20">
        <v>41056.0</v>
      </c>
      <c r="R7167" s="17">
        <f t="shared" si="2"/>
        <v>105.1646712</v>
      </c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>
        <f t="shared" si="8"/>
        <v>3</v>
      </c>
      <c r="AF7167" s="19">
        <f t="shared" si="13"/>
        <v>5</v>
      </c>
      <c r="AG7167" s="9"/>
      <c r="AH7167" s="9"/>
      <c r="AI7167" s="9"/>
    </row>
    <row r="7168" ht="15.0" customHeight="1">
      <c r="A7168" s="11">
        <v>7167.0</v>
      </c>
      <c r="B7168" s="12">
        <f t="shared" si="1142"/>
        <v>41054</v>
      </c>
      <c r="C7168" s="13">
        <v>2012.0</v>
      </c>
      <c r="D7168" s="11" t="s">
        <v>39</v>
      </c>
      <c r="E7168" s="11">
        <v>26.0</v>
      </c>
      <c r="F7168" s="21" t="s">
        <v>865</v>
      </c>
      <c r="G7168" s="15">
        <v>0.05730848264176785</v>
      </c>
      <c r="H7168" s="11" t="s">
        <v>33</v>
      </c>
      <c r="I7168" s="16">
        <v>6.464</v>
      </c>
      <c r="J7168" s="11" t="s">
        <v>148</v>
      </c>
      <c r="K7168" s="11" t="s">
        <v>65</v>
      </c>
      <c r="L7168" s="11" t="s">
        <v>41</v>
      </c>
      <c r="M7168" s="11" t="s">
        <v>66</v>
      </c>
      <c r="N7168" s="11" t="s">
        <v>80</v>
      </c>
      <c r="O7168" s="11" t="s">
        <v>1411</v>
      </c>
      <c r="P7168" s="11" t="s">
        <v>38</v>
      </c>
      <c r="Q7168" s="20">
        <v>41056.0</v>
      </c>
      <c r="R7168" s="17">
        <f t="shared" si="2"/>
        <v>299.7155703</v>
      </c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>
        <f t="shared" si="8"/>
        <v>3</v>
      </c>
      <c r="AF7168" s="19">
        <f t="shared" si="13"/>
        <v>5</v>
      </c>
      <c r="AG7168" s="9"/>
      <c r="AH7168" s="9"/>
      <c r="AI7168" s="9"/>
    </row>
    <row r="7169" ht="15.0" customHeight="1">
      <c r="A7169" s="11">
        <v>7168.0</v>
      </c>
      <c r="B7169" s="12">
        <f t="shared" si="1142"/>
        <v>41054</v>
      </c>
      <c r="C7169" s="13">
        <v>2012.0</v>
      </c>
      <c r="D7169" s="11" t="s">
        <v>39</v>
      </c>
      <c r="E7169" s="11">
        <v>6.0</v>
      </c>
      <c r="F7169" s="21" t="s">
        <v>1005</v>
      </c>
      <c r="G7169" s="15">
        <v>0.1011764705882353</v>
      </c>
      <c r="H7169" s="11" t="s">
        <v>33</v>
      </c>
      <c r="I7169" s="16">
        <v>1.6079999999999999</v>
      </c>
      <c r="J7169" s="11" t="s">
        <v>533</v>
      </c>
      <c r="K7169" s="11" t="s">
        <v>35</v>
      </c>
      <c r="L7169" s="11" t="s">
        <v>48</v>
      </c>
      <c r="M7169" s="11" t="s">
        <v>28</v>
      </c>
      <c r="N7169" s="11" t="s">
        <v>56</v>
      </c>
      <c r="O7169" s="11" t="s">
        <v>1007</v>
      </c>
      <c r="P7169" s="11" t="s">
        <v>58</v>
      </c>
      <c r="Q7169" s="20">
        <v>41056.0</v>
      </c>
      <c r="R7169" s="17">
        <f t="shared" si="2"/>
        <v>5.565515294</v>
      </c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>
        <f t="shared" si="8"/>
        <v>4</v>
      </c>
      <c r="AF7169" s="19">
        <f t="shared" si="13"/>
        <v>2</v>
      </c>
      <c r="AG7169" s="9"/>
      <c r="AH7169" s="9"/>
      <c r="AI7169" s="9"/>
    </row>
    <row r="7170" ht="15.0" customHeight="1">
      <c r="A7170" s="11">
        <v>7169.0</v>
      </c>
      <c r="B7170" s="12">
        <f t="shared" si="1142"/>
        <v>41054</v>
      </c>
      <c r="C7170" s="13">
        <v>2012.0</v>
      </c>
      <c r="D7170" s="11" t="s">
        <v>39</v>
      </c>
      <c r="E7170" s="11">
        <v>33.0</v>
      </c>
      <c r="F7170" s="21" t="s">
        <v>2272</v>
      </c>
      <c r="G7170" s="15">
        <v>0.04053815429892776</v>
      </c>
      <c r="H7170" s="11" t="s">
        <v>33</v>
      </c>
      <c r="I7170" s="16">
        <v>4.064</v>
      </c>
      <c r="J7170" s="11" t="s">
        <v>533</v>
      </c>
      <c r="K7170" s="11" t="s">
        <v>35</v>
      </c>
      <c r="L7170" s="11" t="s">
        <v>48</v>
      </c>
      <c r="M7170" s="11" t="s">
        <v>28</v>
      </c>
      <c r="N7170" s="11" t="s">
        <v>29</v>
      </c>
      <c r="O7170" s="11" t="s">
        <v>2273</v>
      </c>
      <c r="P7170" s="11" t="s">
        <v>38</v>
      </c>
      <c r="Q7170" s="20">
        <v>41056.0</v>
      </c>
      <c r="R7170" s="17">
        <f t="shared" si="2"/>
        <v>74.00904893</v>
      </c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>
        <f t="shared" si="8"/>
        <v>4</v>
      </c>
      <c r="AF7170" s="19">
        <f t="shared" si="13"/>
        <v>2</v>
      </c>
      <c r="AG7170" s="9"/>
      <c r="AH7170" s="9"/>
      <c r="AI7170" s="9"/>
    </row>
    <row r="7171" ht="15.0" customHeight="1">
      <c r="A7171" s="11">
        <v>7170.0</v>
      </c>
      <c r="B7171" s="12">
        <f t="shared" si="1142"/>
        <v>41054</v>
      </c>
      <c r="C7171" s="13">
        <v>2012.0</v>
      </c>
      <c r="D7171" s="11" t="s">
        <v>39</v>
      </c>
      <c r="E7171" s="11">
        <v>17.0</v>
      </c>
      <c r="F7171" s="21" t="s">
        <v>2089</v>
      </c>
      <c r="G7171" s="15">
        <v>0.09191481141642935</v>
      </c>
      <c r="H7171" s="11" t="s">
        <v>45</v>
      </c>
      <c r="I7171" s="16">
        <v>36.56</v>
      </c>
      <c r="J7171" s="11" t="s">
        <v>533</v>
      </c>
      <c r="K7171" s="11" t="s">
        <v>35</v>
      </c>
      <c r="L7171" s="11" t="s">
        <v>48</v>
      </c>
      <c r="M7171" s="11" t="s">
        <v>49</v>
      </c>
      <c r="N7171" s="11" t="s">
        <v>85</v>
      </c>
      <c r="O7171" s="11" t="s">
        <v>2090</v>
      </c>
      <c r="P7171" s="11" t="s">
        <v>87</v>
      </c>
      <c r="Q7171" s="20">
        <v>41056.0</v>
      </c>
      <c r="R7171" s="17">
        <f t="shared" si="2"/>
        <v>864.1701889</v>
      </c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>
        <f t="shared" si="8"/>
        <v>4</v>
      </c>
      <c r="AF7171" s="19">
        <f t="shared" si="13"/>
        <v>2</v>
      </c>
      <c r="AG7171" s="9"/>
      <c r="AH7171" s="9"/>
      <c r="AI7171" s="9"/>
    </row>
    <row r="7172" ht="15.0" customHeight="1">
      <c r="A7172" s="11">
        <v>7171.0</v>
      </c>
      <c r="B7172" s="12">
        <f t="shared" si="1142"/>
        <v>41054</v>
      </c>
      <c r="C7172" s="13">
        <v>2012.0</v>
      </c>
      <c r="D7172" s="11" t="s">
        <v>44</v>
      </c>
      <c r="E7172" s="11">
        <v>45.0</v>
      </c>
      <c r="F7172" s="21" t="s">
        <v>422</v>
      </c>
      <c r="G7172" s="15">
        <v>0.039636315720121135</v>
      </c>
      <c r="H7172" s="11" t="s">
        <v>33</v>
      </c>
      <c r="I7172" s="16">
        <v>3.6</v>
      </c>
      <c r="J7172" s="11" t="s">
        <v>326</v>
      </c>
      <c r="K7172" s="11" t="s">
        <v>35</v>
      </c>
      <c r="L7172" s="11" t="s">
        <v>36</v>
      </c>
      <c r="M7172" s="11" t="s">
        <v>28</v>
      </c>
      <c r="N7172" s="11" t="s">
        <v>197</v>
      </c>
      <c r="O7172" s="11" t="s">
        <v>2225</v>
      </c>
      <c r="P7172" s="11" t="s">
        <v>38</v>
      </c>
      <c r="Q7172" s="20">
        <v>41056.0</v>
      </c>
      <c r="R7172" s="17">
        <f t="shared" si="2"/>
        <v>144.4386981</v>
      </c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>
        <f t="shared" si="8"/>
        <v>2</v>
      </c>
      <c r="AF7172" s="19">
        <f t="shared" si="13"/>
        <v>2</v>
      </c>
      <c r="AG7172" s="9"/>
      <c r="AH7172" s="9"/>
      <c r="AI7172" s="9"/>
    </row>
    <row r="7173" ht="15.0" customHeight="1">
      <c r="A7173" s="11">
        <v>7172.0</v>
      </c>
      <c r="B7173" s="12">
        <f t="shared" si="1142"/>
        <v>41054</v>
      </c>
      <c r="C7173" s="13">
        <v>2012.0</v>
      </c>
      <c r="D7173" s="11" t="s">
        <v>44</v>
      </c>
      <c r="E7173" s="11">
        <v>37.0</v>
      </c>
      <c r="F7173" s="21" t="s">
        <v>729</v>
      </c>
      <c r="G7173" s="15">
        <v>0.027380280554659877</v>
      </c>
      <c r="H7173" s="11" t="s">
        <v>33</v>
      </c>
      <c r="I7173" s="16">
        <v>6.992000000000001</v>
      </c>
      <c r="J7173" s="11" t="s">
        <v>326</v>
      </c>
      <c r="K7173" s="11" t="s">
        <v>35</v>
      </c>
      <c r="L7173" s="11" t="s">
        <v>36</v>
      </c>
      <c r="M7173" s="11" t="s">
        <v>28</v>
      </c>
      <c r="N7173" s="11" t="s">
        <v>29</v>
      </c>
      <c r="O7173" s="11" t="s">
        <v>730</v>
      </c>
      <c r="P7173" s="11" t="s">
        <v>38</v>
      </c>
      <c r="Q7173" s="20">
        <v>41056.0</v>
      </c>
      <c r="R7173" s="17">
        <f t="shared" si="2"/>
        <v>33.82537955</v>
      </c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>
        <f t="shared" si="8"/>
        <v>2</v>
      </c>
      <c r="AF7173" s="19">
        <f t="shared" si="13"/>
        <v>2</v>
      </c>
      <c r="AG7173" s="9"/>
      <c r="AH7173" s="9"/>
      <c r="AI7173" s="9"/>
    </row>
    <row r="7174" ht="15.0" customHeight="1">
      <c r="A7174" s="11">
        <v>7173.0</v>
      </c>
      <c r="B7174" s="12">
        <f t="shared" ref="B7174:B7184" si="1143">DATE(2012,12,31)-219</f>
        <v>41055</v>
      </c>
      <c r="C7174" s="13">
        <v>2012.0</v>
      </c>
      <c r="D7174" s="11" t="s">
        <v>44</v>
      </c>
      <c r="E7174" s="11">
        <v>39.0</v>
      </c>
      <c r="F7174" s="21" t="s">
        <v>178</v>
      </c>
      <c r="G7174" s="15">
        <v>0.08422235658142745</v>
      </c>
      <c r="H7174" s="11" t="s">
        <v>24</v>
      </c>
      <c r="I7174" s="16">
        <v>4.792000000000001</v>
      </c>
      <c r="J7174" s="11" t="s">
        <v>2039</v>
      </c>
      <c r="K7174" s="11" t="s">
        <v>83</v>
      </c>
      <c r="L7174" s="11" t="s">
        <v>27</v>
      </c>
      <c r="M7174" s="11" t="s">
        <v>66</v>
      </c>
      <c r="N7174" s="11" t="s">
        <v>80</v>
      </c>
      <c r="O7174" s="11" t="s">
        <v>179</v>
      </c>
      <c r="P7174" s="11" t="s">
        <v>38</v>
      </c>
      <c r="Q7174" s="20">
        <v>41057.0</v>
      </c>
      <c r="R7174" s="17">
        <f t="shared" si="2"/>
        <v>216.8634722</v>
      </c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>
        <f t="shared" si="8"/>
        <v>1</v>
      </c>
      <c r="AF7174" s="19" t="b">
        <f t="shared" si="13"/>
        <v>0</v>
      </c>
      <c r="AG7174" s="9"/>
      <c r="AH7174" s="9"/>
      <c r="AI7174" s="9"/>
    </row>
    <row r="7175" ht="15.0" customHeight="1">
      <c r="A7175" s="11">
        <v>7174.0</v>
      </c>
      <c r="B7175" s="12">
        <f t="shared" si="1143"/>
        <v>41055</v>
      </c>
      <c r="C7175" s="13">
        <v>2012.0</v>
      </c>
      <c r="D7175" s="11" t="s">
        <v>44</v>
      </c>
      <c r="E7175" s="11">
        <v>49.0</v>
      </c>
      <c r="F7175" s="21" t="s">
        <v>126</v>
      </c>
      <c r="G7175" s="15">
        <v>0.040686078978859036</v>
      </c>
      <c r="H7175" s="11" t="s">
        <v>33</v>
      </c>
      <c r="I7175" s="16">
        <v>0.4</v>
      </c>
      <c r="J7175" s="11" t="s">
        <v>2039</v>
      </c>
      <c r="K7175" s="11" t="s">
        <v>83</v>
      </c>
      <c r="L7175" s="11" t="s">
        <v>27</v>
      </c>
      <c r="M7175" s="11" t="s">
        <v>28</v>
      </c>
      <c r="N7175" s="11" t="s">
        <v>188</v>
      </c>
      <c r="O7175" s="11" t="s">
        <v>551</v>
      </c>
      <c r="P7175" s="11" t="s">
        <v>38</v>
      </c>
      <c r="Q7175" s="20">
        <v>41057.0</v>
      </c>
      <c r="R7175" s="17">
        <f t="shared" si="2"/>
        <v>9.785001994</v>
      </c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>
        <f t="shared" si="8"/>
        <v>1</v>
      </c>
      <c r="AF7175" s="19" t="b">
        <f t="shared" si="13"/>
        <v>0</v>
      </c>
      <c r="AG7175" s="9"/>
      <c r="AH7175" s="9"/>
      <c r="AI7175" s="9"/>
    </row>
    <row r="7176" ht="15.0" customHeight="1">
      <c r="A7176" s="11">
        <v>7175.0</v>
      </c>
      <c r="B7176" s="12">
        <f t="shared" si="1143"/>
        <v>41055</v>
      </c>
      <c r="C7176" s="13">
        <v>2012.0</v>
      </c>
      <c r="D7176" s="11" t="s">
        <v>44</v>
      </c>
      <c r="E7176" s="11">
        <v>1.0</v>
      </c>
      <c r="F7176" s="21" t="s">
        <v>267</v>
      </c>
      <c r="G7176" s="15">
        <v>0.15976923076923077</v>
      </c>
      <c r="H7176" s="11" t="s">
        <v>33</v>
      </c>
      <c r="I7176" s="16">
        <v>15.991999999999999</v>
      </c>
      <c r="J7176" s="11" t="s">
        <v>2039</v>
      </c>
      <c r="K7176" s="11" t="s">
        <v>83</v>
      </c>
      <c r="L7176" s="11" t="s">
        <v>27</v>
      </c>
      <c r="M7176" s="11" t="s">
        <v>28</v>
      </c>
      <c r="N7176" s="11" t="s">
        <v>29</v>
      </c>
      <c r="O7176" s="11" t="s">
        <v>269</v>
      </c>
      <c r="P7176" s="11" t="s">
        <v>38</v>
      </c>
      <c r="Q7176" s="20">
        <v>41057.0</v>
      </c>
      <c r="R7176" s="17">
        <f t="shared" si="2"/>
        <v>6.980637231</v>
      </c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>
        <f t="shared" si="8"/>
        <v>1</v>
      </c>
      <c r="AF7176" s="19" t="b">
        <f t="shared" si="13"/>
        <v>0</v>
      </c>
      <c r="AG7176" s="9"/>
      <c r="AH7176" s="9"/>
      <c r="AI7176" s="9"/>
    </row>
    <row r="7177" ht="15.0" customHeight="1">
      <c r="A7177" s="11">
        <v>7176.0</v>
      </c>
      <c r="B7177" s="12">
        <f t="shared" si="1143"/>
        <v>41055</v>
      </c>
      <c r="C7177" s="13">
        <v>2012.0</v>
      </c>
      <c r="D7177" s="11" t="s">
        <v>32</v>
      </c>
      <c r="E7177" s="11">
        <v>39.0</v>
      </c>
      <c r="F7177" s="21" t="s">
        <v>270</v>
      </c>
      <c r="G7177" s="15">
        <v>0.09336581496799046</v>
      </c>
      <c r="H7177" s="11" t="s">
        <v>33</v>
      </c>
      <c r="I7177" s="16">
        <v>5.2</v>
      </c>
      <c r="J7177" s="11" t="s">
        <v>1294</v>
      </c>
      <c r="K7177" s="11" t="s">
        <v>47</v>
      </c>
      <c r="L7177" s="11" t="s">
        <v>27</v>
      </c>
      <c r="M7177" s="11" t="s">
        <v>66</v>
      </c>
      <c r="N7177" s="11" t="s">
        <v>67</v>
      </c>
      <c r="O7177" s="11" t="s">
        <v>272</v>
      </c>
      <c r="P7177" s="11" t="s">
        <v>38</v>
      </c>
      <c r="Q7177" s="20">
        <v>41057.0</v>
      </c>
      <c r="R7177" s="17">
        <f t="shared" si="2"/>
        <v>149.4133137</v>
      </c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>
        <f t="shared" si="8"/>
        <v>1</v>
      </c>
      <c r="AF7177" s="19">
        <f t="shared" si="13"/>
        <v>3</v>
      </c>
      <c r="AG7177" s="9"/>
      <c r="AH7177" s="9"/>
      <c r="AI7177" s="9"/>
    </row>
    <row r="7178" ht="15.0" customHeight="1">
      <c r="A7178" s="11">
        <v>7177.0</v>
      </c>
      <c r="B7178" s="12">
        <f t="shared" si="1143"/>
        <v>41055</v>
      </c>
      <c r="C7178" s="13">
        <v>2012.0</v>
      </c>
      <c r="D7178" s="11" t="s">
        <v>32</v>
      </c>
      <c r="E7178" s="11">
        <v>45.0</v>
      </c>
      <c r="F7178" s="21" t="s">
        <v>683</v>
      </c>
      <c r="G7178" s="15">
        <v>0.04056237813430028</v>
      </c>
      <c r="H7178" s="11" t="s">
        <v>33</v>
      </c>
      <c r="I7178" s="16">
        <v>10.224</v>
      </c>
      <c r="J7178" s="11" t="s">
        <v>1294</v>
      </c>
      <c r="K7178" s="11" t="s">
        <v>47</v>
      </c>
      <c r="L7178" s="11" t="s">
        <v>27</v>
      </c>
      <c r="M7178" s="11" t="s">
        <v>28</v>
      </c>
      <c r="N7178" s="11" t="s">
        <v>29</v>
      </c>
      <c r="O7178" s="11" t="s">
        <v>2605</v>
      </c>
      <c r="P7178" s="11" t="s">
        <v>38</v>
      </c>
      <c r="Q7178" s="20">
        <v>41057.0</v>
      </c>
      <c r="R7178" s="17">
        <f t="shared" si="2"/>
        <v>113.7662755</v>
      </c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>
        <f t="shared" si="8"/>
        <v>1</v>
      </c>
      <c r="AF7178" s="19">
        <f t="shared" si="13"/>
        <v>3</v>
      </c>
      <c r="AG7178" s="9"/>
      <c r="AH7178" s="9"/>
      <c r="AI7178" s="9"/>
    </row>
    <row r="7179" ht="15.0" customHeight="1">
      <c r="A7179" s="11">
        <v>7178.0</v>
      </c>
      <c r="B7179" s="12">
        <f t="shared" si="1143"/>
        <v>41055</v>
      </c>
      <c r="C7179" s="13">
        <v>2012.0</v>
      </c>
      <c r="D7179" s="11" t="s">
        <v>23</v>
      </c>
      <c r="E7179" s="11">
        <v>45.0</v>
      </c>
      <c r="F7179" s="21" t="s">
        <v>400</v>
      </c>
      <c r="G7179" s="15">
        <v>0.020541114058355524</v>
      </c>
      <c r="H7179" s="11" t="s">
        <v>45</v>
      </c>
      <c r="I7179" s="16">
        <v>47.136</v>
      </c>
      <c r="J7179" s="11" t="s">
        <v>1831</v>
      </c>
      <c r="K7179" s="11" t="s">
        <v>61</v>
      </c>
      <c r="L7179" s="11" t="s">
        <v>48</v>
      </c>
      <c r="M7179" s="11" t="s">
        <v>49</v>
      </c>
      <c r="N7179" s="11" t="s">
        <v>50</v>
      </c>
      <c r="O7179" s="11" t="s">
        <v>123</v>
      </c>
      <c r="P7179" s="11" t="s">
        <v>52</v>
      </c>
      <c r="Q7179" s="20">
        <v>41057.0</v>
      </c>
      <c r="R7179" s="17">
        <f t="shared" si="2"/>
        <v>329.9444382</v>
      </c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>
        <f t="shared" si="8"/>
        <v>4</v>
      </c>
      <c r="AF7179" s="19">
        <f t="shared" si="13"/>
        <v>4</v>
      </c>
      <c r="AG7179" s="9"/>
      <c r="AH7179" s="9"/>
      <c r="AI7179" s="9"/>
    </row>
    <row r="7180" ht="15.0" customHeight="1">
      <c r="A7180" s="11">
        <v>7179.0</v>
      </c>
      <c r="B7180" s="12">
        <f t="shared" si="1143"/>
        <v>41055</v>
      </c>
      <c r="C7180" s="13">
        <v>2012.0</v>
      </c>
      <c r="D7180" s="11" t="s">
        <v>32</v>
      </c>
      <c r="E7180" s="11">
        <v>49.0</v>
      </c>
      <c r="F7180" s="21" t="s">
        <v>2473</v>
      </c>
      <c r="G7180" s="15">
        <v>0.05720602459582692</v>
      </c>
      <c r="H7180" s="11" t="s">
        <v>33</v>
      </c>
      <c r="I7180" s="16">
        <v>3.6</v>
      </c>
      <c r="J7180" s="11" t="s">
        <v>82</v>
      </c>
      <c r="K7180" s="11" t="s">
        <v>83</v>
      </c>
      <c r="L7180" s="11" t="s">
        <v>27</v>
      </c>
      <c r="M7180" s="11" t="s">
        <v>28</v>
      </c>
      <c r="N7180" s="11" t="s">
        <v>197</v>
      </c>
      <c r="O7180" s="11" t="s">
        <v>2474</v>
      </c>
      <c r="P7180" s="11" t="s">
        <v>38</v>
      </c>
      <c r="Q7180" s="20">
        <v>41058.0</v>
      </c>
      <c r="R7180" s="17">
        <f t="shared" si="2"/>
        <v>117.0950117</v>
      </c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>
        <f t="shared" si="8"/>
        <v>1</v>
      </c>
      <c r="AF7180" s="19" t="b">
        <f t="shared" si="13"/>
        <v>0</v>
      </c>
      <c r="AG7180" s="9"/>
      <c r="AH7180" s="9"/>
      <c r="AI7180" s="9"/>
    </row>
    <row r="7181" ht="15.0" customHeight="1">
      <c r="A7181" s="11">
        <v>7180.0</v>
      </c>
      <c r="B7181" s="12">
        <f t="shared" si="1143"/>
        <v>41055</v>
      </c>
      <c r="C7181" s="13">
        <v>2012.0</v>
      </c>
      <c r="D7181" s="11" t="s">
        <v>32</v>
      </c>
      <c r="E7181" s="11">
        <v>12.0</v>
      </c>
      <c r="F7181" s="21" t="s">
        <v>207</v>
      </c>
      <c r="G7181" s="15">
        <v>0.10458616010854833</v>
      </c>
      <c r="H7181" s="11" t="s">
        <v>33</v>
      </c>
      <c r="I7181" s="16">
        <v>2.3920000000000003</v>
      </c>
      <c r="J7181" s="11" t="s">
        <v>82</v>
      </c>
      <c r="K7181" s="11" t="s">
        <v>83</v>
      </c>
      <c r="L7181" s="11" t="s">
        <v>27</v>
      </c>
      <c r="M7181" s="11" t="s">
        <v>28</v>
      </c>
      <c r="N7181" s="11" t="s">
        <v>42</v>
      </c>
      <c r="O7181" s="11" t="s">
        <v>682</v>
      </c>
      <c r="P7181" s="11" t="s">
        <v>38</v>
      </c>
      <c r="Q7181" s="20">
        <v>41058.0</v>
      </c>
      <c r="R7181" s="17">
        <f t="shared" si="2"/>
        <v>6.901849878</v>
      </c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>
        <f t="shared" si="8"/>
        <v>1</v>
      </c>
      <c r="AF7181" s="19" t="b">
        <f t="shared" si="13"/>
        <v>0</v>
      </c>
      <c r="AG7181" s="9"/>
      <c r="AH7181" s="9"/>
      <c r="AI7181" s="9"/>
    </row>
    <row r="7182" ht="15.0" customHeight="1">
      <c r="A7182" s="11">
        <v>7181.0</v>
      </c>
      <c r="B7182" s="12">
        <f t="shared" si="1143"/>
        <v>41055</v>
      </c>
      <c r="C7182" s="13">
        <v>2012.0</v>
      </c>
      <c r="D7182" s="11" t="s">
        <v>102</v>
      </c>
      <c r="E7182" s="11">
        <v>32.0</v>
      </c>
      <c r="F7182" s="21" t="s">
        <v>1760</v>
      </c>
      <c r="G7182" s="15">
        <v>0.08375083724045558</v>
      </c>
      <c r="H7182" s="11" t="s">
        <v>33</v>
      </c>
      <c r="I7182" s="16">
        <v>1.592</v>
      </c>
      <c r="J7182" s="11" t="s">
        <v>1550</v>
      </c>
      <c r="K7182" s="11" t="s">
        <v>61</v>
      </c>
      <c r="L7182" s="11" t="s">
        <v>36</v>
      </c>
      <c r="M7182" s="11" t="s">
        <v>66</v>
      </c>
      <c r="N7182" s="11" t="s">
        <v>67</v>
      </c>
      <c r="O7182" s="11" t="s">
        <v>1762</v>
      </c>
      <c r="P7182" s="11" t="s">
        <v>99</v>
      </c>
      <c r="Q7182" s="20">
        <v>41058.0</v>
      </c>
      <c r="R7182" s="17">
        <f t="shared" si="2"/>
        <v>22.91355906</v>
      </c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>
        <f t="shared" si="8"/>
        <v>2</v>
      </c>
      <c r="AF7182" s="19">
        <f t="shared" si="13"/>
        <v>4</v>
      </c>
      <c r="AG7182" s="9"/>
      <c r="AH7182" s="9"/>
      <c r="AI7182" s="9"/>
    </row>
    <row r="7183" ht="15.0" customHeight="1">
      <c r="A7183" s="11">
        <v>7182.0</v>
      </c>
      <c r="B7183" s="12">
        <f t="shared" si="1143"/>
        <v>41055</v>
      </c>
      <c r="C7183" s="13">
        <v>2012.0</v>
      </c>
      <c r="D7183" s="11" t="s">
        <v>102</v>
      </c>
      <c r="E7183" s="11">
        <v>32.0</v>
      </c>
      <c r="F7183" s="21" t="s">
        <v>218</v>
      </c>
      <c r="G7183" s="15">
        <v>0.024650311241303652</v>
      </c>
      <c r="H7183" s="11" t="s">
        <v>33</v>
      </c>
      <c r="I7183" s="16">
        <v>0.768</v>
      </c>
      <c r="J7183" s="11" t="s">
        <v>1550</v>
      </c>
      <c r="K7183" s="11" t="s">
        <v>61</v>
      </c>
      <c r="L7183" s="11" t="s">
        <v>36</v>
      </c>
      <c r="M7183" s="11" t="s">
        <v>49</v>
      </c>
      <c r="N7183" s="11" t="s">
        <v>73</v>
      </c>
      <c r="O7183" s="11" t="s">
        <v>220</v>
      </c>
      <c r="P7183" s="11" t="s">
        <v>58</v>
      </c>
      <c r="Q7183" s="20">
        <v>41058.0</v>
      </c>
      <c r="R7183" s="17">
        <f t="shared" si="2"/>
        <v>6.566054105</v>
      </c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>
        <f t="shared" si="8"/>
        <v>2</v>
      </c>
      <c r="AF7183" s="19">
        <f t="shared" si="13"/>
        <v>4</v>
      </c>
      <c r="AG7183" s="9"/>
      <c r="AH7183" s="9"/>
      <c r="AI7183" s="9"/>
    </row>
    <row r="7184" ht="15.0" customHeight="1">
      <c r="A7184" s="11">
        <v>7183.0</v>
      </c>
      <c r="B7184" s="12">
        <f t="shared" si="1143"/>
        <v>41055</v>
      </c>
      <c r="C7184" s="13">
        <v>2012.0</v>
      </c>
      <c r="D7184" s="11" t="s">
        <v>102</v>
      </c>
      <c r="E7184" s="11">
        <v>32.0</v>
      </c>
      <c r="F7184" s="21" t="s">
        <v>377</v>
      </c>
      <c r="G7184" s="15">
        <v>0.020503026898832984</v>
      </c>
      <c r="H7184" s="11" t="s">
        <v>33</v>
      </c>
      <c r="I7184" s="16">
        <v>4.648</v>
      </c>
      <c r="J7184" s="11" t="s">
        <v>1550</v>
      </c>
      <c r="K7184" s="11" t="s">
        <v>61</v>
      </c>
      <c r="L7184" s="11" t="s">
        <v>36</v>
      </c>
      <c r="M7184" s="11" t="s">
        <v>28</v>
      </c>
      <c r="N7184" s="11" t="s">
        <v>56</v>
      </c>
      <c r="O7184" s="11" t="s">
        <v>378</v>
      </c>
      <c r="P7184" s="11" t="s">
        <v>38</v>
      </c>
      <c r="Q7184" s="20">
        <v>41058.0</v>
      </c>
      <c r="R7184" s="17">
        <f t="shared" si="2"/>
        <v>32.17843456</v>
      </c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>
        <f t="shared" si="8"/>
        <v>2</v>
      </c>
      <c r="AF7184" s="19">
        <f t="shared" si="13"/>
        <v>4</v>
      </c>
      <c r="AG7184" s="9"/>
      <c r="AH7184" s="9"/>
      <c r="AI7184" s="9"/>
    </row>
    <row r="7185" ht="15.0" customHeight="1">
      <c r="A7185" s="11">
        <v>7184.0</v>
      </c>
      <c r="B7185" s="12">
        <f t="shared" ref="B7185:B7188" si="1144">DATE(2012,12,31)-218</f>
        <v>41056</v>
      </c>
      <c r="C7185" s="13">
        <v>2012.0</v>
      </c>
      <c r="D7185" s="11" t="s">
        <v>23</v>
      </c>
      <c r="E7185" s="11">
        <v>36.0</v>
      </c>
      <c r="F7185" s="14">
        <v>3.5</v>
      </c>
      <c r="G7185" s="15">
        <v>0.06674302075876869</v>
      </c>
      <c r="H7185" s="11" t="s">
        <v>24</v>
      </c>
      <c r="I7185" s="16">
        <v>4.376</v>
      </c>
      <c r="J7185" s="11" t="s">
        <v>781</v>
      </c>
      <c r="K7185" s="11" t="s">
        <v>65</v>
      </c>
      <c r="L7185" s="11" t="s">
        <v>27</v>
      </c>
      <c r="M7185" s="11" t="s">
        <v>28</v>
      </c>
      <c r="N7185" s="11" t="s">
        <v>42</v>
      </c>
      <c r="O7185" s="11" t="s">
        <v>1530</v>
      </c>
      <c r="P7185" s="11" t="s">
        <v>38</v>
      </c>
      <c r="Q7185" s="20">
        <v>41058.0</v>
      </c>
      <c r="R7185" s="17">
        <f t="shared" si="2"/>
        <v>8.701688074</v>
      </c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>
        <f t="shared" si="8"/>
        <v>1</v>
      </c>
      <c r="AF7185" s="19">
        <f t="shared" si="13"/>
        <v>5</v>
      </c>
      <c r="AG7185" s="9"/>
      <c r="AH7185" s="9"/>
      <c r="AI7185" s="9"/>
    </row>
    <row r="7186" ht="15.0" customHeight="1">
      <c r="A7186" s="11">
        <v>7185.0</v>
      </c>
      <c r="B7186" s="12">
        <f t="shared" si="1144"/>
        <v>41056</v>
      </c>
      <c r="C7186" s="13">
        <v>2012.0</v>
      </c>
      <c r="D7186" s="11" t="s">
        <v>23</v>
      </c>
      <c r="E7186" s="11">
        <v>24.0</v>
      </c>
      <c r="F7186" s="21" t="s">
        <v>2425</v>
      </c>
      <c r="G7186" s="15">
        <v>0.031481071507637876</v>
      </c>
      <c r="H7186" s="11" t="s">
        <v>45</v>
      </c>
      <c r="I7186" s="16">
        <v>51.36000000000001</v>
      </c>
      <c r="J7186" s="11" t="s">
        <v>781</v>
      </c>
      <c r="K7186" s="11" t="s">
        <v>65</v>
      </c>
      <c r="L7186" s="11" t="s">
        <v>27</v>
      </c>
      <c r="M7186" s="11" t="s">
        <v>49</v>
      </c>
      <c r="N7186" s="11" t="s">
        <v>50</v>
      </c>
      <c r="O7186" s="11" t="s">
        <v>2426</v>
      </c>
      <c r="P7186" s="11" t="s">
        <v>52</v>
      </c>
      <c r="Q7186" s="20">
        <v>41058.0</v>
      </c>
      <c r="R7186" s="17">
        <f t="shared" si="2"/>
        <v>165.26807</v>
      </c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>
        <f t="shared" si="8"/>
        <v>1</v>
      </c>
      <c r="AF7186" s="19">
        <f t="shared" si="13"/>
        <v>5</v>
      </c>
      <c r="AG7186" s="9"/>
      <c r="AH7186" s="9"/>
      <c r="AI7186" s="9"/>
    </row>
    <row r="7187" ht="15.0" customHeight="1">
      <c r="A7187" s="11">
        <v>7186.0</v>
      </c>
      <c r="B7187" s="12">
        <f t="shared" si="1144"/>
        <v>41056</v>
      </c>
      <c r="C7187" s="13">
        <v>2012.0</v>
      </c>
      <c r="D7187" s="11" t="s">
        <v>102</v>
      </c>
      <c r="E7187" s="11">
        <v>7.0</v>
      </c>
      <c r="F7187" s="14">
        <v>320.9</v>
      </c>
      <c r="G7187" s="15">
        <v>0.05271983809012446</v>
      </c>
      <c r="H7187" s="11" t="s">
        <v>45</v>
      </c>
      <c r="I7187" s="16">
        <v>47.160000000000004</v>
      </c>
      <c r="J7187" s="11" t="s">
        <v>897</v>
      </c>
      <c r="K7187" s="11" t="s">
        <v>26</v>
      </c>
      <c r="L7187" s="11" t="s">
        <v>36</v>
      </c>
      <c r="M7187" s="11" t="s">
        <v>49</v>
      </c>
      <c r="N7187" s="11" t="s">
        <v>50</v>
      </c>
      <c r="O7187" s="11" t="s">
        <v>311</v>
      </c>
      <c r="P7187" s="11" t="s">
        <v>52</v>
      </c>
      <c r="Q7187" s="20">
        <v>41058.0</v>
      </c>
      <c r="R7187" s="17">
        <f t="shared" si="2"/>
        <v>120.9108399</v>
      </c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>
        <f t="shared" si="8"/>
        <v>2</v>
      </c>
      <c r="AF7187" s="19">
        <f t="shared" si="13"/>
        <v>1</v>
      </c>
      <c r="AG7187" s="9"/>
      <c r="AH7187" s="9"/>
      <c r="AI7187" s="9"/>
    </row>
    <row r="7188" ht="15.0" customHeight="1">
      <c r="A7188" s="11">
        <v>7187.0</v>
      </c>
      <c r="B7188" s="12">
        <f t="shared" si="1144"/>
        <v>41056</v>
      </c>
      <c r="C7188" s="13">
        <v>2012.0</v>
      </c>
      <c r="D7188" s="11" t="s">
        <v>32</v>
      </c>
      <c r="E7188" s="11">
        <v>37.0</v>
      </c>
      <c r="F7188" s="14">
        <v>2.5</v>
      </c>
      <c r="G7188" s="15">
        <v>0.07140367860600184</v>
      </c>
      <c r="H7188" s="11" t="s">
        <v>33</v>
      </c>
      <c r="I7188" s="16">
        <v>3.4240000000000004</v>
      </c>
      <c r="J7188" s="11" t="s">
        <v>1058</v>
      </c>
      <c r="K7188" s="11" t="s">
        <v>61</v>
      </c>
      <c r="L7188" s="11" t="s">
        <v>41</v>
      </c>
      <c r="M7188" s="11" t="s">
        <v>28</v>
      </c>
      <c r="N7188" s="11" t="s">
        <v>62</v>
      </c>
      <c r="O7188" s="11" t="s">
        <v>2466</v>
      </c>
      <c r="P7188" s="11" t="s">
        <v>58</v>
      </c>
      <c r="Q7188" s="20">
        <v>41058.0</v>
      </c>
      <c r="R7188" s="17">
        <f t="shared" si="2"/>
        <v>6.849326467</v>
      </c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>
        <f t="shared" si="8"/>
        <v>3</v>
      </c>
      <c r="AF7188" s="19">
        <f t="shared" si="13"/>
        <v>4</v>
      </c>
      <c r="AG7188" s="9"/>
      <c r="AH7188" s="9"/>
      <c r="AI7188" s="9"/>
    </row>
    <row r="7189" ht="15.0" customHeight="1">
      <c r="A7189" s="11">
        <v>7188.0</v>
      </c>
      <c r="B7189" s="12">
        <f t="shared" ref="B7189:B7194" si="1145">DATE(2012,12,31)-217</f>
        <v>41057</v>
      </c>
      <c r="C7189" s="13">
        <v>2012.0</v>
      </c>
      <c r="D7189" s="11" t="s">
        <v>44</v>
      </c>
      <c r="E7189" s="11">
        <v>22.0</v>
      </c>
      <c r="F7189" s="14">
        <v>65.9</v>
      </c>
      <c r="G7189" s="15">
        <v>0.0671597329224446</v>
      </c>
      <c r="H7189" s="11" t="s">
        <v>33</v>
      </c>
      <c r="I7189" s="16">
        <v>3.192</v>
      </c>
      <c r="J7189" s="11" t="s">
        <v>2579</v>
      </c>
      <c r="K7189" s="11" t="s">
        <v>61</v>
      </c>
      <c r="L7189" s="11" t="s">
        <v>36</v>
      </c>
      <c r="M7189" s="11" t="s">
        <v>66</v>
      </c>
      <c r="N7189" s="11" t="s">
        <v>80</v>
      </c>
      <c r="O7189" s="11" t="s">
        <v>587</v>
      </c>
      <c r="P7189" s="11" t="s">
        <v>38</v>
      </c>
      <c r="Q7189" s="20">
        <v>41058.0</v>
      </c>
      <c r="R7189" s="17">
        <f t="shared" si="2"/>
        <v>97.58255466</v>
      </c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>
        <f t="shared" si="8"/>
        <v>2</v>
      </c>
      <c r="AF7189" s="19">
        <f t="shared" si="13"/>
        <v>4</v>
      </c>
      <c r="AG7189" s="9"/>
      <c r="AH7189" s="9"/>
      <c r="AI7189" s="9"/>
    </row>
    <row r="7190" ht="15.0" customHeight="1">
      <c r="A7190" s="11">
        <v>7189.0</v>
      </c>
      <c r="B7190" s="12">
        <f t="shared" si="1145"/>
        <v>41057</v>
      </c>
      <c r="C7190" s="13">
        <v>2012.0</v>
      </c>
      <c r="D7190" s="11" t="s">
        <v>32</v>
      </c>
      <c r="E7190" s="11">
        <v>40.0</v>
      </c>
      <c r="F7190" s="14">
        <v>6.4</v>
      </c>
      <c r="G7190" s="15">
        <v>0.10594039054470702</v>
      </c>
      <c r="H7190" s="11" t="s">
        <v>24</v>
      </c>
      <c r="I7190" s="16">
        <v>4.976</v>
      </c>
      <c r="J7190" s="11" t="s">
        <v>2417</v>
      </c>
      <c r="K7190" s="11" t="s">
        <v>65</v>
      </c>
      <c r="L7190" s="11" t="s">
        <v>36</v>
      </c>
      <c r="M7190" s="11" t="s">
        <v>28</v>
      </c>
      <c r="N7190" s="11" t="s">
        <v>56</v>
      </c>
      <c r="O7190" s="11" t="s">
        <v>1216</v>
      </c>
      <c r="P7190" s="11" t="s">
        <v>38</v>
      </c>
      <c r="Q7190" s="20">
        <v>41059.0</v>
      </c>
      <c r="R7190" s="17">
        <f t="shared" si="2"/>
        <v>27.64789936</v>
      </c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>
        <f t="shared" si="8"/>
        <v>2</v>
      </c>
      <c r="AF7190" s="19">
        <f t="shared" si="13"/>
        <v>5</v>
      </c>
      <c r="AG7190" s="9"/>
      <c r="AH7190" s="9"/>
      <c r="AI7190" s="9"/>
    </row>
    <row r="7191" ht="15.0" customHeight="1">
      <c r="A7191" s="11">
        <v>7190.0</v>
      </c>
      <c r="B7191" s="12">
        <f t="shared" si="1145"/>
        <v>41057</v>
      </c>
      <c r="C7191" s="13">
        <v>2012.0</v>
      </c>
      <c r="D7191" s="11" t="s">
        <v>39</v>
      </c>
      <c r="E7191" s="11">
        <v>6.0</v>
      </c>
      <c r="F7191" s="14">
        <v>160.9</v>
      </c>
      <c r="G7191" s="15">
        <v>0.08936107800898344</v>
      </c>
      <c r="H7191" s="11" t="s">
        <v>45</v>
      </c>
      <c r="I7191" s="16">
        <v>28.016000000000005</v>
      </c>
      <c r="J7191" s="11" t="s">
        <v>2318</v>
      </c>
      <c r="K7191" s="11" t="s">
        <v>35</v>
      </c>
      <c r="L7191" s="11" t="s">
        <v>27</v>
      </c>
      <c r="M7191" s="11" t="s">
        <v>49</v>
      </c>
      <c r="N7191" s="11" t="s">
        <v>156</v>
      </c>
      <c r="O7191" s="11" t="s">
        <v>923</v>
      </c>
      <c r="P7191" s="11" t="s">
        <v>87</v>
      </c>
      <c r="Q7191" s="20">
        <v>41059.0</v>
      </c>
      <c r="R7191" s="17">
        <f t="shared" si="2"/>
        <v>88.77272467</v>
      </c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>
        <f t="shared" si="8"/>
        <v>1</v>
      </c>
      <c r="AF7191" s="19">
        <f t="shared" si="13"/>
        <v>2</v>
      </c>
      <c r="AG7191" s="9"/>
      <c r="AH7191" s="9"/>
      <c r="AI7191" s="9"/>
    </row>
    <row r="7192" ht="15.0" customHeight="1">
      <c r="A7192" s="11">
        <v>7191.0</v>
      </c>
      <c r="B7192" s="12">
        <f t="shared" si="1145"/>
        <v>41057</v>
      </c>
      <c r="C7192" s="13">
        <v>2012.0</v>
      </c>
      <c r="D7192" s="11" t="s">
        <v>39</v>
      </c>
      <c r="E7192" s="11">
        <v>32.0</v>
      </c>
      <c r="F7192" s="14">
        <v>175.9</v>
      </c>
      <c r="G7192" s="15">
        <v>0.060675584572259855</v>
      </c>
      <c r="H7192" s="11" t="s">
        <v>33</v>
      </c>
      <c r="I7192" s="16">
        <v>3.9920000000000004</v>
      </c>
      <c r="J7192" s="11" t="s">
        <v>2318</v>
      </c>
      <c r="K7192" s="11" t="s">
        <v>35</v>
      </c>
      <c r="L7192" s="11" t="s">
        <v>27</v>
      </c>
      <c r="M7192" s="11" t="s">
        <v>66</v>
      </c>
      <c r="N7192" s="11" t="s">
        <v>80</v>
      </c>
      <c r="O7192" s="11">
        <v>5165.0</v>
      </c>
      <c r="P7192" s="11" t="s">
        <v>38</v>
      </c>
      <c r="Q7192" s="20">
        <v>41059.0</v>
      </c>
      <c r="R7192" s="17">
        <f t="shared" si="2"/>
        <v>341.7729474</v>
      </c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>
        <f t="shared" si="8"/>
        <v>1</v>
      </c>
      <c r="AF7192" s="19">
        <f t="shared" si="13"/>
        <v>2</v>
      </c>
      <c r="AG7192" s="9"/>
      <c r="AH7192" s="9"/>
      <c r="AI7192" s="9"/>
    </row>
    <row r="7193" ht="15.0" customHeight="1">
      <c r="A7193" s="11">
        <v>7192.0</v>
      </c>
      <c r="B7193" s="12">
        <f t="shared" si="1145"/>
        <v>41057</v>
      </c>
      <c r="C7193" s="13">
        <v>2012.0</v>
      </c>
      <c r="D7193" s="11" t="s">
        <v>32</v>
      </c>
      <c r="E7193" s="11">
        <v>6.0</v>
      </c>
      <c r="F7193" s="14">
        <v>17.9</v>
      </c>
      <c r="G7193" s="15">
        <v>0.10775000000000001</v>
      </c>
      <c r="H7193" s="11" t="s">
        <v>33</v>
      </c>
      <c r="I7193" s="16">
        <v>6.808</v>
      </c>
      <c r="J7193" s="11" t="s">
        <v>1686</v>
      </c>
      <c r="K7193" s="11" t="s">
        <v>35</v>
      </c>
      <c r="L7193" s="11" t="s">
        <v>48</v>
      </c>
      <c r="M7193" s="11" t="s">
        <v>66</v>
      </c>
      <c r="N7193" s="11" t="s">
        <v>69</v>
      </c>
      <c r="O7193" s="11" t="s">
        <v>1000</v>
      </c>
      <c r="P7193" s="11" t="s">
        <v>75</v>
      </c>
      <c r="Q7193" s="20">
        <v>41059.0</v>
      </c>
      <c r="R7193" s="17">
        <f t="shared" si="2"/>
        <v>12.305912</v>
      </c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>
        <f t="shared" si="8"/>
        <v>4</v>
      </c>
      <c r="AF7193" s="19">
        <f t="shared" si="13"/>
        <v>2</v>
      </c>
      <c r="AG7193" s="9"/>
      <c r="AH7193" s="9"/>
      <c r="AI7193" s="9"/>
    </row>
    <row r="7194" ht="15.0" customHeight="1">
      <c r="A7194" s="11">
        <v>7193.0</v>
      </c>
      <c r="B7194" s="12">
        <f t="shared" si="1145"/>
        <v>41057</v>
      </c>
      <c r="C7194" s="13">
        <v>2012.0</v>
      </c>
      <c r="D7194" s="11" t="s">
        <v>32</v>
      </c>
      <c r="E7194" s="11">
        <v>23.0</v>
      </c>
      <c r="F7194" s="14">
        <v>10.9</v>
      </c>
      <c r="G7194" s="15">
        <v>0.07938307030129127</v>
      </c>
      <c r="H7194" s="11" t="s">
        <v>33</v>
      </c>
      <c r="I7194" s="16">
        <v>5.968</v>
      </c>
      <c r="J7194" s="11" t="s">
        <v>1686</v>
      </c>
      <c r="K7194" s="11" t="s">
        <v>35</v>
      </c>
      <c r="L7194" s="11" t="s">
        <v>48</v>
      </c>
      <c r="M7194" s="11" t="s">
        <v>28</v>
      </c>
      <c r="N7194" s="11" t="s">
        <v>29</v>
      </c>
      <c r="O7194" s="11" t="s">
        <v>1813</v>
      </c>
      <c r="P7194" s="11" t="s">
        <v>38</v>
      </c>
      <c r="Q7194" s="20">
        <v>41059.0</v>
      </c>
      <c r="R7194" s="17">
        <f t="shared" si="2"/>
        <v>20.37509389</v>
      </c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>
        <f t="shared" si="8"/>
        <v>4</v>
      </c>
      <c r="AF7194" s="19">
        <f t="shared" si="13"/>
        <v>2</v>
      </c>
      <c r="AG7194" s="9"/>
      <c r="AH7194" s="9"/>
      <c r="AI7194" s="9"/>
    </row>
    <row r="7195" ht="15.0" customHeight="1">
      <c r="A7195" s="11">
        <v>7194.0</v>
      </c>
      <c r="B7195" s="12">
        <f t="shared" ref="B7195:B7202" si="1146">DATE(2012,12,31)-216</f>
        <v>41058</v>
      </c>
      <c r="C7195" s="13">
        <v>2012.0</v>
      </c>
      <c r="D7195" s="11" t="s">
        <v>44</v>
      </c>
      <c r="E7195" s="11">
        <v>46.0</v>
      </c>
      <c r="F7195" s="14">
        <v>4.9</v>
      </c>
      <c r="G7195" s="15">
        <v>0.02559048428207307</v>
      </c>
      <c r="H7195" s="11" t="s">
        <v>33</v>
      </c>
      <c r="I7195" s="16">
        <v>3.976</v>
      </c>
      <c r="J7195" s="11" t="s">
        <v>593</v>
      </c>
      <c r="K7195" s="11" t="s">
        <v>65</v>
      </c>
      <c r="L7195" s="11" t="s">
        <v>48</v>
      </c>
      <c r="M7195" s="11" t="s">
        <v>28</v>
      </c>
      <c r="N7195" s="11" t="s">
        <v>42</v>
      </c>
      <c r="O7195" s="11" t="s">
        <v>1609</v>
      </c>
      <c r="P7195" s="11" t="s">
        <v>38</v>
      </c>
      <c r="Q7195" s="20">
        <v>41059.0</v>
      </c>
      <c r="R7195" s="17">
        <f t="shared" si="2"/>
        <v>5.869842923</v>
      </c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>
        <f t="shared" si="8"/>
        <v>4</v>
      </c>
      <c r="AF7195" s="19">
        <f t="shared" si="13"/>
        <v>5</v>
      </c>
      <c r="AG7195" s="9"/>
      <c r="AH7195" s="9"/>
      <c r="AI7195" s="9"/>
    </row>
    <row r="7196" ht="15.0" customHeight="1">
      <c r="A7196" s="11">
        <v>7195.0</v>
      </c>
      <c r="B7196" s="12">
        <f t="shared" si="1146"/>
        <v>41058</v>
      </c>
      <c r="C7196" s="13">
        <v>2012.0</v>
      </c>
      <c r="D7196" s="11" t="s">
        <v>39</v>
      </c>
      <c r="E7196" s="11">
        <v>14.0</v>
      </c>
      <c r="F7196" s="14">
        <v>42.9</v>
      </c>
      <c r="G7196" s="15">
        <v>0.04156066613798565</v>
      </c>
      <c r="H7196" s="11" t="s">
        <v>24</v>
      </c>
      <c r="I7196" s="16">
        <v>3.696</v>
      </c>
      <c r="J7196" s="11" t="s">
        <v>1221</v>
      </c>
      <c r="K7196" s="11" t="s">
        <v>61</v>
      </c>
      <c r="L7196" s="11" t="s">
        <v>48</v>
      </c>
      <c r="M7196" s="11" t="s">
        <v>28</v>
      </c>
      <c r="N7196" s="11" t="s">
        <v>197</v>
      </c>
      <c r="O7196" s="11" t="s">
        <v>1090</v>
      </c>
      <c r="P7196" s="11" t="s">
        <v>38</v>
      </c>
      <c r="Q7196" s="20">
        <v>41059.0</v>
      </c>
      <c r="R7196" s="17">
        <f t="shared" si="2"/>
        <v>25.1149443</v>
      </c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>
        <f t="shared" si="8"/>
        <v>4</v>
      </c>
      <c r="AF7196" s="19">
        <f t="shared" si="13"/>
        <v>4</v>
      </c>
      <c r="AG7196" s="9"/>
      <c r="AH7196" s="9"/>
      <c r="AI7196" s="9"/>
    </row>
    <row r="7197" ht="15.0" customHeight="1">
      <c r="A7197" s="11">
        <v>7196.0</v>
      </c>
      <c r="B7197" s="12">
        <f t="shared" si="1146"/>
        <v>41058</v>
      </c>
      <c r="C7197" s="13">
        <v>2012.0</v>
      </c>
      <c r="D7197" s="11" t="s">
        <v>39</v>
      </c>
      <c r="E7197" s="11">
        <v>22.0</v>
      </c>
      <c r="F7197" s="14">
        <v>5.0</v>
      </c>
      <c r="G7197" s="15">
        <v>0.1017979315831345</v>
      </c>
      <c r="H7197" s="11" t="s">
        <v>33</v>
      </c>
      <c r="I7197" s="16">
        <v>2.904</v>
      </c>
      <c r="J7197" s="11" t="s">
        <v>1221</v>
      </c>
      <c r="K7197" s="11" t="s">
        <v>61</v>
      </c>
      <c r="L7197" s="11" t="s">
        <v>48</v>
      </c>
      <c r="M7197" s="11" t="s">
        <v>49</v>
      </c>
      <c r="N7197" s="11" t="s">
        <v>73</v>
      </c>
      <c r="O7197" s="11" t="s">
        <v>539</v>
      </c>
      <c r="P7197" s="11" t="s">
        <v>58</v>
      </c>
      <c r="Q7197" s="20">
        <v>41060.0</v>
      </c>
      <c r="R7197" s="17">
        <f t="shared" si="2"/>
        <v>11.49339367</v>
      </c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>
        <f t="shared" si="8"/>
        <v>4</v>
      </c>
      <c r="AF7197" s="19">
        <f t="shared" si="13"/>
        <v>4</v>
      </c>
      <c r="AG7197" s="9"/>
      <c r="AH7197" s="9"/>
      <c r="AI7197" s="9"/>
    </row>
    <row r="7198" ht="15.0" customHeight="1">
      <c r="A7198" s="11">
        <v>7197.0</v>
      </c>
      <c r="B7198" s="12">
        <f t="shared" si="1146"/>
        <v>41058</v>
      </c>
      <c r="C7198" s="13">
        <v>2012.0</v>
      </c>
      <c r="D7198" s="11" t="s">
        <v>44</v>
      </c>
      <c r="E7198" s="11">
        <v>19.0</v>
      </c>
      <c r="F7198" s="14">
        <v>92.2</v>
      </c>
      <c r="G7198" s="15">
        <v>0.04298776561493875</v>
      </c>
      <c r="H7198" s="11" t="s">
        <v>24</v>
      </c>
      <c r="I7198" s="16">
        <v>31.688000000000002</v>
      </c>
      <c r="J7198" s="11" t="s">
        <v>1550</v>
      </c>
      <c r="K7198" s="11" t="s">
        <v>61</v>
      </c>
      <c r="L7198" s="11" t="s">
        <v>27</v>
      </c>
      <c r="M7198" s="11" t="s">
        <v>49</v>
      </c>
      <c r="N7198" s="11" t="s">
        <v>73</v>
      </c>
      <c r="O7198" s="11" t="s">
        <v>434</v>
      </c>
      <c r="P7198" s="11" t="s">
        <v>75</v>
      </c>
      <c r="Q7198" s="20">
        <v>41060.0</v>
      </c>
      <c r="R7198" s="17">
        <f t="shared" si="2"/>
        <v>76.66816412</v>
      </c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>
        <f t="shared" si="8"/>
        <v>1</v>
      </c>
      <c r="AF7198" s="19">
        <f t="shared" si="13"/>
        <v>4</v>
      </c>
      <c r="AG7198" s="9"/>
      <c r="AH7198" s="9"/>
      <c r="AI7198" s="9"/>
    </row>
    <row r="7199" ht="15.0" customHeight="1">
      <c r="A7199" s="11">
        <v>7198.0</v>
      </c>
      <c r="B7199" s="12">
        <f t="shared" si="1146"/>
        <v>41058</v>
      </c>
      <c r="C7199" s="13">
        <v>2012.0</v>
      </c>
      <c r="D7199" s="11" t="s">
        <v>44</v>
      </c>
      <c r="E7199" s="11">
        <v>26.0</v>
      </c>
      <c r="F7199" s="14">
        <v>2.8</v>
      </c>
      <c r="G7199" s="15">
        <v>0.06666666666666661</v>
      </c>
      <c r="H7199" s="11" t="s">
        <v>33</v>
      </c>
      <c r="I7199" s="16">
        <v>0.5599999999999999</v>
      </c>
      <c r="J7199" s="11" t="s">
        <v>1550</v>
      </c>
      <c r="K7199" s="11" t="s">
        <v>61</v>
      </c>
      <c r="L7199" s="11" t="s">
        <v>27</v>
      </c>
      <c r="M7199" s="11" t="s">
        <v>28</v>
      </c>
      <c r="N7199" s="11" t="s">
        <v>62</v>
      </c>
      <c r="O7199" s="11" t="s">
        <v>383</v>
      </c>
      <c r="P7199" s="11" t="s">
        <v>58</v>
      </c>
      <c r="Q7199" s="20">
        <v>41060.0</v>
      </c>
      <c r="R7199" s="17">
        <f t="shared" si="2"/>
        <v>4.890666667</v>
      </c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>
        <f t="shared" si="8"/>
        <v>1</v>
      </c>
      <c r="AF7199" s="19">
        <f t="shared" si="13"/>
        <v>4</v>
      </c>
      <c r="AG7199" s="9"/>
      <c r="AH7199" s="9"/>
      <c r="AI7199" s="9"/>
    </row>
    <row r="7200" ht="15.0" customHeight="1">
      <c r="A7200" s="11">
        <v>7199.0</v>
      </c>
      <c r="B7200" s="12">
        <f t="shared" si="1146"/>
        <v>41058</v>
      </c>
      <c r="C7200" s="13">
        <v>2012.0</v>
      </c>
      <c r="D7200" s="11" t="s">
        <v>44</v>
      </c>
      <c r="E7200" s="11">
        <v>13.0</v>
      </c>
      <c r="F7200" s="14">
        <v>205.9</v>
      </c>
      <c r="G7200" s="15">
        <v>0.020656084656084553</v>
      </c>
      <c r="H7200" s="11" t="s">
        <v>33</v>
      </c>
      <c r="I7200" s="16">
        <v>7.192</v>
      </c>
      <c r="J7200" s="11" t="s">
        <v>1550</v>
      </c>
      <c r="K7200" s="11" t="s">
        <v>61</v>
      </c>
      <c r="L7200" s="11" t="s">
        <v>27</v>
      </c>
      <c r="M7200" s="11" t="s">
        <v>66</v>
      </c>
      <c r="N7200" s="11" t="s">
        <v>80</v>
      </c>
      <c r="O7200" s="11" t="s">
        <v>614</v>
      </c>
      <c r="P7200" s="11" t="s">
        <v>38</v>
      </c>
      <c r="Q7200" s="20">
        <v>41060.0</v>
      </c>
      <c r="R7200" s="17">
        <f t="shared" si="2"/>
        <v>55.43870036</v>
      </c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>
        <f t="shared" si="8"/>
        <v>1</v>
      </c>
      <c r="AF7200" s="19">
        <f t="shared" si="13"/>
        <v>4</v>
      </c>
      <c r="AG7200" s="9"/>
      <c r="AH7200" s="9"/>
      <c r="AI7200" s="9"/>
    </row>
    <row r="7201" ht="15.0" customHeight="1">
      <c r="A7201" s="11">
        <v>7200.0</v>
      </c>
      <c r="B7201" s="12">
        <f t="shared" si="1146"/>
        <v>41058</v>
      </c>
      <c r="C7201" s="13">
        <v>2012.0</v>
      </c>
      <c r="D7201" s="11" t="s">
        <v>32</v>
      </c>
      <c r="E7201" s="11">
        <v>41.0</v>
      </c>
      <c r="F7201" s="14">
        <v>7.6</v>
      </c>
      <c r="G7201" s="15">
        <v>0.008576802507837137</v>
      </c>
      <c r="H7201" s="11" t="s">
        <v>33</v>
      </c>
      <c r="I7201" s="16">
        <v>4.664000000000001</v>
      </c>
      <c r="J7201" s="11" t="s">
        <v>1086</v>
      </c>
      <c r="K7201" s="11" t="s">
        <v>61</v>
      </c>
      <c r="L7201" s="11" t="s">
        <v>41</v>
      </c>
      <c r="M7201" s="11" t="s">
        <v>28</v>
      </c>
      <c r="N7201" s="11" t="s">
        <v>56</v>
      </c>
      <c r="O7201" s="11" t="s">
        <v>95</v>
      </c>
      <c r="P7201" s="11" t="s">
        <v>58</v>
      </c>
      <c r="Q7201" s="20">
        <v>41060.0</v>
      </c>
      <c r="R7201" s="17">
        <f t="shared" si="2"/>
        <v>2.712533868</v>
      </c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>
        <f t="shared" si="8"/>
        <v>3</v>
      </c>
      <c r="AF7201" s="19">
        <f t="shared" si="13"/>
        <v>4</v>
      </c>
      <c r="AG7201" s="9"/>
      <c r="AH7201" s="9"/>
      <c r="AI7201" s="9"/>
    </row>
    <row r="7202" ht="15.0" customHeight="1">
      <c r="A7202" s="11">
        <v>7201.0</v>
      </c>
      <c r="B7202" s="12">
        <f t="shared" si="1146"/>
        <v>41058</v>
      </c>
      <c r="C7202" s="13">
        <v>2012.0</v>
      </c>
      <c r="D7202" s="11" t="s">
        <v>32</v>
      </c>
      <c r="E7202" s="11">
        <v>50.0</v>
      </c>
      <c r="F7202" s="14">
        <v>1.6</v>
      </c>
      <c r="G7202" s="15">
        <v>0.12742980561555073</v>
      </c>
      <c r="H7202" s="11" t="s">
        <v>33</v>
      </c>
      <c r="I7202" s="16">
        <v>0.8</v>
      </c>
      <c r="J7202" s="11" t="s">
        <v>2541</v>
      </c>
      <c r="K7202" s="11" t="s">
        <v>47</v>
      </c>
      <c r="L7202" s="11" t="s">
        <v>27</v>
      </c>
      <c r="M7202" s="11" t="s">
        <v>28</v>
      </c>
      <c r="N7202" s="11" t="s">
        <v>62</v>
      </c>
      <c r="O7202" s="11" t="s">
        <v>278</v>
      </c>
      <c r="P7202" s="11" t="s">
        <v>58</v>
      </c>
      <c r="Q7202" s="20">
        <v>41060.0</v>
      </c>
      <c r="R7202" s="17">
        <f t="shared" si="2"/>
        <v>10.29632829</v>
      </c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>
        <f t="shared" si="8"/>
        <v>1</v>
      </c>
      <c r="AF7202" s="19">
        <f t="shared" si="13"/>
        <v>3</v>
      </c>
      <c r="AG7202" s="9"/>
      <c r="AH7202" s="9"/>
      <c r="AI7202" s="9"/>
    </row>
    <row r="7203" ht="15.0" customHeight="1">
      <c r="A7203" s="11">
        <v>7202.0</v>
      </c>
      <c r="B7203" s="12">
        <f t="shared" ref="B7203:B7208" si="1147">DATE(2012,12,31)-215</f>
        <v>41059</v>
      </c>
      <c r="C7203" s="13">
        <v>2012.0</v>
      </c>
      <c r="D7203" s="11" t="s">
        <v>32</v>
      </c>
      <c r="E7203" s="11">
        <v>31.0</v>
      </c>
      <c r="F7203" s="14">
        <v>100.9</v>
      </c>
      <c r="G7203" s="15">
        <v>0.06825314363303621</v>
      </c>
      <c r="H7203" s="11" t="s">
        <v>45</v>
      </c>
      <c r="I7203" s="16">
        <v>28.672000000000004</v>
      </c>
      <c r="J7203" s="11" t="s">
        <v>488</v>
      </c>
      <c r="K7203" s="11" t="s">
        <v>61</v>
      </c>
      <c r="L7203" s="11" t="s">
        <v>27</v>
      </c>
      <c r="M7203" s="11" t="s">
        <v>49</v>
      </c>
      <c r="N7203" s="11" t="s">
        <v>156</v>
      </c>
      <c r="O7203" s="11" t="s">
        <v>165</v>
      </c>
      <c r="P7203" s="11" t="s">
        <v>87</v>
      </c>
      <c r="Q7203" s="20">
        <v>41060.0</v>
      </c>
      <c r="R7203" s="17">
        <f t="shared" si="2"/>
        <v>215.4459621</v>
      </c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>
        <f t="shared" si="8"/>
        <v>1</v>
      </c>
      <c r="AF7203" s="19">
        <f t="shared" si="13"/>
        <v>4</v>
      </c>
      <c r="AG7203" s="9"/>
      <c r="AH7203" s="9"/>
      <c r="AI7203" s="9"/>
    </row>
    <row r="7204" ht="15.0" customHeight="1">
      <c r="A7204" s="11">
        <v>7203.0</v>
      </c>
      <c r="B7204" s="12">
        <f t="shared" si="1147"/>
        <v>41059</v>
      </c>
      <c r="C7204" s="13">
        <v>2012.0</v>
      </c>
      <c r="D7204" s="11" t="s">
        <v>32</v>
      </c>
      <c r="E7204" s="11">
        <v>37.0</v>
      </c>
      <c r="F7204" s="14">
        <v>65.9</v>
      </c>
      <c r="G7204" s="15">
        <v>0.09278379581540278</v>
      </c>
      <c r="H7204" s="11" t="s">
        <v>33</v>
      </c>
      <c r="I7204" s="16">
        <v>7.192</v>
      </c>
      <c r="J7204" s="11" t="s">
        <v>488</v>
      </c>
      <c r="K7204" s="11" t="s">
        <v>61</v>
      </c>
      <c r="L7204" s="11" t="s">
        <v>27</v>
      </c>
      <c r="M7204" s="11" t="s">
        <v>66</v>
      </c>
      <c r="N7204" s="11" t="s">
        <v>80</v>
      </c>
      <c r="O7204" s="11" t="s">
        <v>1506</v>
      </c>
      <c r="P7204" s="11" t="s">
        <v>38</v>
      </c>
      <c r="Q7204" s="20">
        <v>41061.0</v>
      </c>
      <c r="R7204" s="17">
        <f t="shared" si="2"/>
        <v>226.9020304</v>
      </c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>
        <f t="shared" si="8"/>
        <v>1</v>
      </c>
      <c r="AF7204" s="19">
        <f t="shared" si="13"/>
        <v>4</v>
      </c>
      <c r="AG7204" s="9"/>
      <c r="AH7204" s="9"/>
      <c r="AI7204" s="9"/>
    </row>
    <row r="7205" ht="15.0" customHeight="1">
      <c r="A7205" s="11">
        <v>7204.0</v>
      </c>
      <c r="B7205" s="12">
        <f t="shared" si="1147"/>
        <v>41059</v>
      </c>
      <c r="C7205" s="13">
        <v>2012.0</v>
      </c>
      <c r="D7205" s="11" t="s">
        <v>102</v>
      </c>
      <c r="E7205" s="11">
        <v>43.0</v>
      </c>
      <c r="F7205" s="14">
        <v>10.6</v>
      </c>
      <c r="G7205" s="15">
        <v>0.0794075260208167</v>
      </c>
      <c r="H7205" s="11" t="s">
        <v>33</v>
      </c>
      <c r="I7205" s="16">
        <v>4.128</v>
      </c>
      <c r="J7205" s="11" t="s">
        <v>2250</v>
      </c>
      <c r="K7205" s="11" t="s">
        <v>61</v>
      </c>
      <c r="L7205" s="11" t="s">
        <v>48</v>
      </c>
      <c r="M7205" s="11" t="s">
        <v>49</v>
      </c>
      <c r="N7205" s="11" t="s">
        <v>73</v>
      </c>
      <c r="O7205" s="11" t="s">
        <v>975</v>
      </c>
      <c r="P7205" s="11" t="s">
        <v>38</v>
      </c>
      <c r="Q7205" s="20">
        <v>41061.0</v>
      </c>
      <c r="R7205" s="17">
        <f t="shared" si="2"/>
        <v>36.52174463</v>
      </c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>
        <f t="shared" si="8"/>
        <v>4</v>
      </c>
      <c r="AF7205" s="19">
        <f t="shared" si="13"/>
        <v>4</v>
      </c>
      <c r="AG7205" s="9"/>
      <c r="AH7205" s="9"/>
      <c r="AI7205" s="9"/>
    </row>
    <row r="7206" ht="15.0" customHeight="1">
      <c r="A7206" s="11">
        <v>7205.0</v>
      </c>
      <c r="B7206" s="12">
        <f t="shared" si="1147"/>
        <v>41059</v>
      </c>
      <c r="C7206" s="13">
        <v>2012.0</v>
      </c>
      <c r="D7206" s="11" t="s">
        <v>23</v>
      </c>
      <c r="E7206" s="11">
        <v>49.0</v>
      </c>
      <c r="F7206" s="14">
        <v>28.9</v>
      </c>
      <c r="G7206" s="15">
        <v>0.033241388681296356</v>
      </c>
      <c r="H7206" s="11" t="s">
        <v>33</v>
      </c>
      <c r="I7206" s="16">
        <v>6.872</v>
      </c>
      <c r="J7206" s="11" t="s">
        <v>2542</v>
      </c>
      <c r="K7206" s="11" t="s">
        <v>61</v>
      </c>
      <c r="L7206" s="11" t="s">
        <v>36</v>
      </c>
      <c r="M7206" s="11" t="s">
        <v>66</v>
      </c>
      <c r="N7206" s="11" t="s">
        <v>80</v>
      </c>
      <c r="O7206" s="11" t="s">
        <v>909</v>
      </c>
      <c r="P7206" s="11" t="s">
        <v>75</v>
      </c>
      <c r="Q7206" s="20">
        <v>41061.0</v>
      </c>
      <c r="R7206" s="17">
        <f t="shared" si="2"/>
        <v>47.30156533</v>
      </c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>
        <f t="shared" si="8"/>
        <v>2</v>
      </c>
      <c r="AF7206" s="19">
        <f t="shared" si="13"/>
        <v>4</v>
      </c>
      <c r="AG7206" s="9"/>
      <c r="AH7206" s="9"/>
      <c r="AI7206" s="9"/>
    </row>
    <row r="7207" ht="15.0" customHeight="1">
      <c r="A7207" s="11">
        <v>7206.0</v>
      </c>
      <c r="B7207" s="12">
        <f t="shared" si="1147"/>
        <v>41059</v>
      </c>
      <c r="C7207" s="13">
        <v>2012.0</v>
      </c>
      <c r="D7207" s="11" t="s">
        <v>23</v>
      </c>
      <c r="E7207" s="11">
        <v>38.0</v>
      </c>
      <c r="F7207" s="14">
        <v>9.7</v>
      </c>
      <c r="G7207" s="15">
        <v>0.010031813361612006</v>
      </c>
      <c r="H7207" s="11" t="s">
        <v>33</v>
      </c>
      <c r="I7207" s="16">
        <v>4.816</v>
      </c>
      <c r="J7207" s="11" t="s">
        <v>2542</v>
      </c>
      <c r="K7207" s="11" t="s">
        <v>61</v>
      </c>
      <c r="L7207" s="11" t="s">
        <v>36</v>
      </c>
      <c r="M7207" s="11" t="s">
        <v>49</v>
      </c>
      <c r="N7207" s="11" t="s">
        <v>73</v>
      </c>
      <c r="O7207" s="11" t="s">
        <v>1102</v>
      </c>
      <c r="P7207" s="11" t="s">
        <v>75</v>
      </c>
      <c r="Q7207" s="20">
        <v>41061.0</v>
      </c>
      <c r="R7207" s="17">
        <f t="shared" si="2"/>
        <v>3.746039618</v>
      </c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>
        <f t="shared" si="8"/>
        <v>2</v>
      </c>
      <c r="AF7207" s="19">
        <f t="shared" si="13"/>
        <v>4</v>
      </c>
      <c r="AG7207" s="9"/>
      <c r="AH7207" s="9"/>
      <c r="AI7207" s="9"/>
    </row>
    <row r="7208" ht="15.0" customHeight="1">
      <c r="A7208" s="11">
        <v>7207.0</v>
      </c>
      <c r="B7208" s="12">
        <f t="shared" si="1147"/>
        <v>41059</v>
      </c>
      <c r="C7208" s="13">
        <v>2012.0</v>
      </c>
      <c r="D7208" s="11" t="s">
        <v>32</v>
      </c>
      <c r="E7208" s="11">
        <v>2.0</v>
      </c>
      <c r="F7208" s="14">
        <v>135.9</v>
      </c>
      <c r="G7208" s="15">
        <v>0.05724888035828539</v>
      </c>
      <c r="H7208" s="11" t="s">
        <v>45</v>
      </c>
      <c r="I7208" s="16">
        <v>22.904</v>
      </c>
      <c r="J7208" s="11" t="s">
        <v>1045</v>
      </c>
      <c r="K7208" s="11" t="s">
        <v>35</v>
      </c>
      <c r="L7208" s="11" t="s">
        <v>36</v>
      </c>
      <c r="M7208" s="11" t="s">
        <v>49</v>
      </c>
      <c r="N7208" s="11" t="s">
        <v>50</v>
      </c>
      <c r="O7208" s="11" t="s">
        <v>2246</v>
      </c>
      <c r="P7208" s="11" t="s">
        <v>52</v>
      </c>
      <c r="Q7208" s="20">
        <v>41061.0</v>
      </c>
      <c r="R7208" s="17">
        <f t="shared" si="2"/>
        <v>16.87147404</v>
      </c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>
        <f t="shared" si="8"/>
        <v>2</v>
      </c>
      <c r="AF7208" s="19">
        <f t="shared" si="13"/>
        <v>2</v>
      </c>
      <c r="AG7208" s="9"/>
      <c r="AH7208" s="9"/>
      <c r="AI7208" s="9"/>
    </row>
    <row r="7209" ht="15.0" customHeight="1">
      <c r="A7209" s="11">
        <v>7208.0</v>
      </c>
      <c r="B7209" s="12">
        <f t="shared" ref="B7209:B7215" si="1148">DATE(2012,12,31)-214</f>
        <v>41060</v>
      </c>
      <c r="C7209" s="13">
        <v>2012.0</v>
      </c>
      <c r="D7209" s="11" t="s">
        <v>39</v>
      </c>
      <c r="E7209" s="11">
        <v>27.0</v>
      </c>
      <c r="F7209" s="14">
        <v>130.9</v>
      </c>
      <c r="G7209" s="15">
        <v>0.027001985756849978</v>
      </c>
      <c r="H7209" s="11" t="s">
        <v>45</v>
      </c>
      <c r="I7209" s="16">
        <v>43.792</v>
      </c>
      <c r="J7209" s="11" t="s">
        <v>421</v>
      </c>
      <c r="K7209" s="11" t="s">
        <v>83</v>
      </c>
      <c r="L7209" s="11" t="s">
        <v>48</v>
      </c>
      <c r="M7209" s="11" t="s">
        <v>49</v>
      </c>
      <c r="N7209" s="11" t="s">
        <v>156</v>
      </c>
      <c r="O7209" s="11" t="s">
        <v>767</v>
      </c>
      <c r="P7209" s="11" t="s">
        <v>87</v>
      </c>
      <c r="Q7209" s="20">
        <v>41061.0</v>
      </c>
      <c r="R7209" s="17">
        <f t="shared" si="2"/>
        <v>96.61558922</v>
      </c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>
        <f t="shared" si="8"/>
        <v>4</v>
      </c>
      <c r="AF7209" s="19" t="b">
        <f t="shared" si="13"/>
        <v>0</v>
      </c>
      <c r="AG7209" s="9"/>
      <c r="AH7209" s="9"/>
      <c r="AI7209" s="9"/>
    </row>
    <row r="7210" ht="15.0" customHeight="1">
      <c r="A7210" s="11">
        <v>7209.0</v>
      </c>
      <c r="B7210" s="12">
        <f t="shared" si="1148"/>
        <v>41060</v>
      </c>
      <c r="C7210" s="13">
        <v>2012.0</v>
      </c>
      <c r="D7210" s="11" t="s">
        <v>39</v>
      </c>
      <c r="E7210" s="11">
        <v>8.0</v>
      </c>
      <c r="F7210" s="14">
        <v>218.7</v>
      </c>
      <c r="G7210" s="15">
        <v>0.055107296137339064</v>
      </c>
      <c r="H7210" s="11" t="s">
        <v>45</v>
      </c>
      <c r="I7210" s="16">
        <v>55.712</v>
      </c>
      <c r="J7210" s="11" t="s">
        <v>421</v>
      </c>
      <c r="K7210" s="11" t="s">
        <v>83</v>
      </c>
      <c r="L7210" s="11" t="s">
        <v>48</v>
      </c>
      <c r="M7210" s="11" t="s">
        <v>49</v>
      </c>
      <c r="N7210" s="11" t="s">
        <v>85</v>
      </c>
      <c r="O7210" s="11" t="s">
        <v>522</v>
      </c>
      <c r="P7210" s="11" t="s">
        <v>87</v>
      </c>
      <c r="Q7210" s="20">
        <v>41062.0</v>
      </c>
      <c r="R7210" s="17">
        <f t="shared" si="2"/>
        <v>99.485863</v>
      </c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>
        <f t="shared" si="8"/>
        <v>4</v>
      </c>
      <c r="AF7210" s="19" t="b">
        <f t="shared" si="13"/>
        <v>0</v>
      </c>
      <c r="AG7210" s="9"/>
      <c r="AH7210" s="9"/>
      <c r="AI7210" s="9"/>
    </row>
    <row r="7211" ht="15.0" customHeight="1">
      <c r="A7211" s="11">
        <v>7210.0</v>
      </c>
      <c r="B7211" s="12">
        <f t="shared" si="1148"/>
        <v>41060</v>
      </c>
      <c r="C7211" s="13">
        <v>2012.0</v>
      </c>
      <c r="D7211" s="11" t="s">
        <v>32</v>
      </c>
      <c r="E7211" s="11">
        <v>39.0</v>
      </c>
      <c r="F7211" s="14">
        <v>417.4</v>
      </c>
      <c r="G7211" s="15">
        <v>0.020509444934026556</v>
      </c>
      <c r="H7211" s="11" t="s">
        <v>45</v>
      </c>
      <c r="I7211" s="16">
        <v>60.184000000000005</v>
      </c>
      <c r="J7211" s="11" t="s">
        <v>1179</v>
      </c>
      <c r="K7211" s="11" t="s">
        <v>61</v>
      </c>
      <c r="L7211" s="11" t="s">
        <v>41</v>
      </c>
      <c r="M7211" s="11" t="s">
        <v>49</v>
      </c>
      <c r="N7211" s="11" t="s">
        <v>85</v>
      </c>
      <c r="O7211" s="11" t="s">
        <v>671</v>
      </c>
      <c r="P7211" s="11" t="s">
        <v>87</v>
      </c>
      <c r="Q7211" s="20">
        <v>41062.0</v>
      </c>
      <c r="R7211" s="17">
        <f t="shared" si="2"/>
        <v>335.0993907</v>
      </c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>
        <f t="shared" si="8"/>
        <v>3</v>
      </c>
      <c r="AF7211" s="19">
        <f t="shared" si="13"/>
        <v>4</v>
      </c>
      <c r="AG7211" s="9"/>
      <c r="AH7211" s="9"/>
      <c r="AI7211" s="9"/>
    </row>
    <row r="7212" ht="15.0" customHeight="1">
      <c r="A7212" s="11">
        <v>7211.0</v>
      </c>
      <c r="B7212" s="12">
        <f t="shared" si="1148"/>
        <v>41060</v>
      </c>
      <c r="C7212" s="13">
        <v>2012.0</v>
      </c>
      <c r="D7212" s="11" t="s">
        <v>32</v>
      </c>
      <c r="E7212" s="11">
        <v>8.0</v>
      </c>
      <c r="F7212" s="14">
        <v>115.9</v>
      </c>
      <c r="G7212" s="15">
        <v>0.09204612077389089</v>
      </c>
      <c r="H7212" s="11" t="s">
        <v>33</v>
      </c>
      <c r="I7212" s="16">
        <v>2.0</v>
      </c>
      <c r="J7212" s="11" t="s">
        <v>1179</v>
      </c>
      <c r="K7212" s="11" t="s">
        <v>61</v>
      </c>
      <c r="L7212" s="11" t="s">
        <v>41</v>
      </c>
      <c r="M7212" s="11" t="s">
        <v>66</v>
      </c>
      <c r="N7212" s="11" t="s">
        <v>80</v>
      </c>
      <c r="O7212" s="11">
        <v>6160.0</v>
      </c>
      <c r="P7212" s="11" t="s">
        <v>38</v>
      </c>
      <c r="Q7212" s="20">
        <v>41062.0</v>
      </c>
      <c r="R7212" s="17">
        <f t="shared" si="2"/>
        <v>85.52925542</v>
      </c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>
        <f t="shared" si="8"/>
        <v>3</v>
      </c>
      <c r="AF7212" s="19">
        <f t="shared" si="13"/>
        <v>4</v>
      </c>
      <c r="AG7212" s="9"/>
      <c r="AH7212" s="9"/>
      <c r="AI7212" s="9"/>
    </row>
    <row r="7213" ht="15.0" customHeight="1">
      <c r="A7213" s="11">
        <v>7212.0</v>
      </c>
      <c r="B7213" s="12">
        <f t="shared" si="1148"/>
        <v>41060</v>
      </c>
      <c r="C7213" s="13">
        <v>2012.0</v>
      </c>
      <c r="D7213" s="11" t="s">
        <v>44</v>
      </c>
      <c r="E7213" s="11">
        <v>43.0</v>
      </c>
      <c r="F7213" s="14">
        <v>6.4</v>
      </c>
      <c r="G7213" s="15">
        <v>0.09008403361344543</v>
      </c>
      <c r="H7213" s="11" t="s">
        <v>33</v>
      </c>
      <c r="I7213" s="16">
        <v>6.328</v>
      </c>
      <c r="J7213" s="11" t="s">
        <v>2528</v>
      </c>
      <c r="K7213" s="11" t="s">
        <v>61</v>
      </c>
      <c r="L7213" s="11" t="s">
        <v>48</v>
      </c>
      <c r="M7213" s="11" t="s">
        <v>28</v>
      </c>
      <c r="N7213" s="11" t="s">
        <v>56</v>
      </c>
      <c r="O7213" s="11" t="s">
        <v>1392</v>
      </c>
      <c r="P7213" s="11" t="s">
        <v>38</v>
      </c>
      <c r="Q7213" s="20">
        <v>41062.0</v>
      </c>
      <c r="R7213" s="17">
        <f t="shared" si="2"/>
        <v>25.36117782</v>
      </c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>
        <f t="shared" si="8"/>
        <v>4</v>
      </c>
      <c r="AF7213" s="19">
        <f t="shared" si="13"/>
        <v>4</v>
      </c>
      <c r="AG7213" s="9"/>
      <c r="AH7213" s="9"/>
      <c r="AI7213" s="9"/>
    </row>
    <row r="7214" ht="15.0" customHeight="1">
      <c r="A7214" s="11">
        <v>7213.0</v>
      </c>
      <c r="B7214" s="12">
        <f t="shared" si="1148"/>
        <v>41060</v>
      </c>
      <c r="C7214" s="13">
        <v>2012.0</v>
      </c>
      <c r="D7214" s="11" t="s">
        <v>39</v>
      </c>
      <c r="E7214" s="11">
        <v>46.0</v>
      </c>
      <c r="F7214" s="14">
        <v>195.9</v>
      </c>
      <c r="G7214" s="15">
        <v>0.01054428560457305</v>
      </c>
      <c r="H7214" s="11" t="s">
        <v>33</v>
      </c>
      <c r="I7214" s="16">
        <v>7.192</v>
      </c>
      <c r="J7214" s="11" t="s">
        <v>429</v>
      </c>
      <c r="K7214" s="11" t="s">
        <v>83</v>
      </c>
      <c r="L7214" s="11" t="s">
        <v>48</v>
      </c>
      <c r="M7214" s="11" t="s">
        <v>66</v>
      </c>
      <c r="N7214" s="11" t="s">
        <v>80</v>
      </c>
      <c r="O7214" s="11" t="s">
        <v>755</v>
      </c>
      <c r="P7214" s="11" t="s">
        <v>38</v>
      </c>
      <c r="Q7214" s="20">
        <v>41062.0</v>
      </c>
      <c r="R7214" s="17">
        <f t="shared" si="2"/>
        <v>95.0946098</v>
      </c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>
        <f t="shared" si="8"/>
        <v>4</v>
      </c>
      <c r="AF7214" s="19" t="b">
        <f t="shared" si="13"/>
        <v>0</v>
      </c>
      <c r="AG7214" s="9"/>
      <c r="AH7214" s="9"/>
      <c r="AI7214" s="9"/>
    </row>
    <row r="7215" ht="15.0" customHeight="1">
      <c r="A7215" s="11">
        <v>7214.0</v>
      </c>
      <c r="B7215" s="12">
        <f t="shared" si="1148"/>
        <v>41060</v>
      </c>
      <c r="C7215" s="13">
        <v>2012.0</v>
      </c>
      <c r="D7215" s="11" t="s">
        <v>44</v>
      </c>
      <c r="E7215" s="11">
        <v>17.0</v>
      </c>
      <c r="F7215" s="14">
        <v>6.4</v>
      </c>
      <c r="G7215" s="15">
        <v>0.0941401273885349</v>
      </c>
      <c r="H7215" s="11" t="s">
        <v>24</v>
      </c>
      <c r="I7215" s="16">
        <v>4.976</v>
      </c>
      <c r="J7215" s="11" t="s">
        <v>2281</v>
      </c>
      <c r="K7215" s="11" t="s">
        <v>65</v>
      </c>
      <c r="L7215" s="11" t="s">
        <v>41</v>
      </c>
      <c r="M7215" s="11" t="s">
        <v>28</v>
      </c>
      <c r="N7215" s="11" t="s">
        <v>56</v>
      </c>
      <c r="O7215" s="11" t="s">
        <v>1216</v>
      </c>
      <c r="P7215" s="11" t="s">
        <v>38</v>
      </c>
      <c r="Q7215" s="20">
        <v>41062.0</v>
      </c>
      <c r="R7215" s="17">
        <f t="shared" si="2"/>
        <v>10.71088713</v>
      </c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>
        <f t="shared" si="8"/>
        <v>3</v>
      </c>
      <c r="AF7215" s="19">
        <f t="shared" si="13"/>
        <v>5</v>
      </c>
      <c r="AG7215" s="9"/>
      <c r="AH7215" s="9"/>
      <c r="AI7215" s="9"/>
    </row>
    <row r="7216" ht="15.0" customHeight="1">
      <c r="A7216" s="11">
        <v>7215.0</v>
      </c>
      <c r="B7216" s="12">
        <f t="shared" ref="B7216:B7222" si="1149">DATE(2012,12,31)-213</f>
        <v>41061</v>
      </c>
      <c r="C7216" s="13">
        <v>2012.0</v>
      </c>
      <c r="D7216" s="11" t="s">
        <v>39</v>
      </c>
      <c r="E7216" s="11">
        <v>21.0</v>
      </c>
      <c r="F7216" s="14">
        <v>122.9</v>
      </c>
      <c r="G7216" s="15">
        <v>0.09634020971831947</v>
      </c>
      <c r="H7216" s="11" t="s">
        <v>45</v>
      </c>
      <c r="I7216" s="16">
        <v>56.160000000000004</v>
      </c>
      <c r="J7216" s="11" t="s">
        <v>930</v>
      </c>
      <c r="K7216" s="11" t="s">
        <v>61</v>
      </c>
      <c r="L7216" s="11" t="s">
        <v>27</v>
      </c>
      <c r="M7216" s="11" t="s">
        <v>49</v>
      </c>
      <c r="N7216" s="11" t="s">
        <v>50</v>
      </c>
      <c r="O7216" s="11" t="s">
        <v>537</v>
      </c>
      <c r="P7216" s="11" t="s">
        <v>52</v>
      </c>
      <c r="Q7216" s="20">
        <v>41062.0</v>
      </c>
      <c r="R7216" s="17">
        <f t="shared" si="2"/>
        <v>254.0549134</v>
      </c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>
        <f t="shared" si="8"/>
        <v>1</v>
      </c>
      <c r="AF7216" s="19">
        <f t="shared" si="13"/>
        <v>4</v>
      </c>
      <c r="AG7216" s="9"/>
      <c r="AH7216" s="9"/>
      <c r="AI7216" s="9"/>
    </row>
    <row r="7217" ht="15.0" customHeight="1">
      <c r="A7217" s="11">
        <v>7216.0</v>
      </c>
      <c r="B7217" s="12">
        <f t="shared" si="1149"/>
        <v>41061</v>
      </c>
      <c r="C7217" s="13">
        <v>2012.0</v>
      </c>
      <c r="D7217" s="11" t="s">
        <v>39</v>
      </c>
      <c r="E7217" s="11">
        <v>19.0</v>
      </c>
      <c r="F7217" s="14">
        <v>50.9</v>
      </c>
      <c r="G7217" s="15">
        <v>0.03186298914666921</v>
      </c>
      <c r="H7217" s="11" t="s">
        <v>33</v>
      </c>
      <c r="I7217" s="16">
        <v>5.2</v>
      </c>
      <c r="J7217" s="11" t="s">
        <v>930</v>
      </c>
      <c r="K7217" s="11" t="s">
        <v>61</v>
      </c>
      <c r="L7217" s="11" t="s">
        <v>27</v>
      </c>
      <c r="M7217" s="11" t="s">
        <v>66</v>
      </c>
      <c r="N7217" s="11" t="s">
        <v>67</v>
      </c>
      <c r="O7217" s="11" t="s">
        <v>1864</v>
      </c>
      <c r="P7217" s="11" t="s">
        <v>38</v>
      </c>
      <c r="Q7217" s="20">
        <v>41062.0</v>
      </c>
      <c r="R7217" s="17">
        <f t="shared" si="2"/>
        <v>30.98038435</v>
      </c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>
        <f t="shared" si="8"/>
        <v>1</v>
      </c>
      <c r="AF7217" s="19">
        <f t="shared" si="13"/>
        <v>4</v>
      </c>
      <c r="AG7217" s="9"/>
      <c r="AH7217" s="9"/>
      <c r="AI7217" s="9"/>
    </row>
    <row r="7218" ht="15.0" customHeight="1">
      <c r="A7218" s="11">
        <v>7217.0</v>
      </c>
      <c r="B7218" s="12">
        <f t="shared" si="1149"/>
        <v>41061</v>
      </c>
      <c r="C7218" s="13">
        <v>2012.0</v>
      </c>
      <c r="D7218" s="11" t="s">
        <v>39</v>
      </c>
      <c r="E7218" s="11">
        <v>3.0</v>
      </c>
      <c r="F7218" s="14">
        <v>35.4</v>
      </c>
      <c r="G7218" s="15">
        <v>0.014059753954305875</v>
      </c>
      <c r="H7218" s="11" t="s">
        <v>33</v>
      </c>
      <c r="I7218" s="16">
        <v>6.0</v>
      </c>
      <c r="J7218" s="11" t="s">
        <v>930</v>
      </c>
      <c r="K7218" s="11" t="s">
        <v>61</v>
      </c>
      <c r="L7218" s="11" t="s">
        <v>27</v>
      </c>
      <c r="M7218" s="11" t="s">
        <v>28</v>
      </c>
      <c r="N7218" s="11" t="s">
        <v>56</v>
      </c>
      <c r="O7218" s="11" t="s">
        <v>1451</v>
      </c>
      <c r="P7218" s="11" t="s">
        <v>38</v>
      </c>
      <c r="Q7218" s="20">
        <v>41062.0</v>
      </c>
      <c r="R7218" s="17">
        <f t="shared" si="2"/>
        <v>1.577504394</v>
      </c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>
        <f t="shared" si="8"/>
        <v>1</v>
      </c>
      <c r="AF7218" s="19">
        <f t="shared" si="13"/>
        <v>4</v>
      </c>
      <c r="AG7218" s="9"/>
      <c r="AH7218" s="9"/>
      <c r="AI7218" s="9"/>
    </row>
    <row r="7219" ht="15.0" customHeight="1">
      <c r="A7219" s="11">
        <v>7218.0</v>
      </c>
      <c r="B7219" s="12">
        <f t="shared" si="1149"/>
        <v>41061</v>
      </c>
      <c r="C7219" s="13">
        <v>2012.0</v>
      </c>
      <c r="D7219" s="11" t="s">
        <v>44</v>
      </c>
      <c r="E7219" s="11">
        <v>43.0</v>
      </c>
      <c r="F7219" s="14">
        <v>12.9</v>
      </c>
      <c r="G7219" s="15">
        <v>0.08795406070549622</v>
      </c>
      <c r="H7219" s="11" t="s">
        <v>33</v>
      </c>
      <c r="I7219" s="16">
        <v>1.192</v>
      </c>
      <c r="J7219" s="11" t="s">
        <v>1507</v>
      </c>
      <c r="K7219" s="11" t="s">
        <v>61</v>
      </c>
      <c r="L7219" s="11" t="s">
        <v>36</v>
      </c>
      <c r="M7219" s="11" t="s">
        <v>28</v>
      </c>
      <c r="N7219" s="11" t="s">
        <v>42</v>
      </c>
      <c r="O7219" s="11" t="s">
        <v>556</v>
      </c>
      <c r="P7219" s="11" t="s">
        <v>38</v>
      </c>
      <c r="Q7219" s="20">
        <v>41062.0</v>
      </c>
      <c r="R7219" s="17">
        <f t="shared" si="2"/>
        <v>48.89295871</v>
      </c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>
        <f t="shared" si="8"/>
        <v>2</v>
      </c>
      <c r="AF7219" s="19">
        <f t="shared" si="13"/>
        <v>4</v>
      </c>
      <c r="AG7219" s="9"/>
      <c r="AH7219" s="9"/>
      <c r="AI7219" s="9"/>
    </row>
    <row r="7220" ht="15.0" customHeight="1">
      <c r="A7220" s="11">
        <v>7219.0</v>
      </c>
      <c r="B7220" s="12">
        <f t="shared" si="1149"/>
        <v>41061</v>
      </c>
      <c r="C7220" s="13">
        <v>2012.0</v>
      </c>
      <c r="D7220" s="11" t="s">
        <v>44</v>
      </c>
      <c r="E7220" s="11">
        <v>24.0</v>
      </c>
      <c r="F7220" s="14">
        <v>2.1</v>
      </c>
      <c r="G7220" s="15">
        <v>0.0715714285714285</v>
      </c>
      <c r="H7220" s="11" t="s">
        <v>24</v>
      </c>
      <c r="I7220" s="16">
        <v>1.592</v>
      </c>
      <c r="J7220" s="11" t="s">
        <v>1507</v>
      </c>
      <c r="K7220" s="11" t="s">
        <v>61</v>
      </c>
      <c r="L7220" s="11" t="s">
        <v>36</v>
      </c>
      <c r="M7220" s="11" t="s">
        <v>66</v>
      </c>
      <c r="N7220" s="11" t="s">
        <v>67</v>
      </c>
      <c r="O7220" s="11" t="s">
        <v>1106</v>
      </c>
      <c r="P7220" s="11" t="s">
        <v>99</v>
      </c>
      <c r="Q7220" s="20">
        <v>41062.0</v>
      </c>
      <c r="R7220" s="17">
        <f t="shared" si="2"/>
        <v>3.721141714</v>
      </c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>
        <f t="shared" si="8"/>
        <v>2</v>
      </c>
      <c r="AF7220" s="19">
        <f t="shared" si="13"/>
        <v>4</v>
      </c>
      <c r="AG7220" s="9"/>
      <c r="AH7220" s="9"/>
      <c r="AI7220" s="9"/>
    </row>
    <row r="7221" ht="15.0" customHeight="1">
      <c r="A7221" s="11">
        <v>7220.0</v>
      </c>
      <c r="B7221" s="12">
        <f t="shared" si="1149"/>
        <v>41061</v>
      </c>
      <c r="C7221" s="13">
        <v>2012.0</v>
      </c>
      <c r="D7221" s="11" t="s">
        <v>44</v>
      </c>
      <c r="E7221" s="11">
        <v>35.0</v>
      </c>
      <c r="F7221" s="14">
        <v>180.9</v>
      </c>
      <c r="G7221" s="15">
        <v>0.01126339862163376</v>
      </c>
      <c r="H7221" s="11" t="s">
        <v>45</v>
      </c>
      <c r="I7221" s="16">
        <v>24.0</v>
      </c>
      <c r="J7221" s="11" t="s">
        <v>106</v>
      </c>
      <c r="K7221" s="11" t="s">
        <v>35</v>
      </c>
      <c r="L7221" s="11" t="s">
        <v>48</v>
      </c>
      <c r="M7221" s="11" t="s">
        <v>49</v>
      </c>
      <c r="N7221" s="11" t="s">
        <v>50</v>
      </c>
      <c r="O7221" s="11" t="s">
        <v>1677</v>
      </c>
      <c r="P7221" s="11" t="s">
        <v>52</v>
      </c>
      <c r="Q7221" s="20">
        <v>41062.0</v>
      </c>
      <c r="R7221" s="17">
        <f t="shared" si="2"/>
        <v>71.58452994</v>
      </c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>
        <f t="shared" si="8"/>
        <v>4</v>
      </c>
      <c r="AF7221" s="19">
        <f t="shared" si="13"/>
        <v>2</v>
      </c>
      <c r="AG7221" s="9"/>
      <c r="AH7221" s="9"/>
      <c r="AI7221" s="9"/>
    </row>
    <row r="7222" ht="15.0" customHeight="1">
      <c r="A7222" s="11">
        <v>7221.0</v>
      </c>
      <c r="B7222" s="12">
        <f t="shared" si="1149"/>
        <v>41061</v>
      </c>
      <c r="C7222" s="13">
        <v>2012.0</v>
      </c>
      <c r="D7222" s="11" t="s">
        <v>39</v>
      </c>
      <c r="E7222" s="11">
        <v>28.0</v>
      </c>
      <c r="F7222" s="14">
        <v>4.9</v>
      </c>
      <c r="G7222" s="15">
        <v>0.08088176352705395</v>
      </c>
      <c r="H7222" s="11" t="s">
        <v>33</v>
      </c>
      <c r="I7222" s="16">
        <v>0.392</v>
      </c>
      <c r="J7222" s="11" t="s">
        <v>2475</v>
      </c>
      <c r="K7222" s="11" t="s">
        <v>35</v>
      </c>
      <c r="L7222" s="11" t="s">
        <v>41</v>
      </c>
      <c r="M7222" s="11" t="s">
        <v>28</v>
      </c>
      <c r="N7222" s="11" t="s">
        <v>188</v>
      </c>
      <c r="O7222" s="11" t="s">
        <v>1703</v>
      </c>
      <c r="P7222" s="11" t="s">
        <v>38</v>
      </c>
      <c r="Q7222" s="20">
        <v>41063.0</v>
      </c>
      <c r="R7222" s="17">
        <f t="shared" si="2"/>
        <v>11.12868361</v>
      </c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>
        <f t="shared" si="8"/>
        <v>3</v>
      </c>
      <c r="AF7222" s="19">
        <f t="shared" si="13"/>
        <v>2</v>
      </c>
      <c r="AG7222" s="9"/>
      <c r="AH7222" s="9"/>
      <c r="AI7222" s="9"/>
    </row>
    <row r="7223" ht="15.0" customHeight="1">
      <c r="A7223" s="11">
        <v>7222.0</v>
      </c>
      <c r="B7223" s="12">
        <f t="shared" ref="B7223:B7234" si="1150">DATE(2012,12,31)-212</f>
        <v>41062</v>
      </c>
      <c r="C7223" s="13">
        <v>2012.0</v>
      </c>
      <c r="D7223" s="11" t="s">
        <v>102</v>
      </c>
      <c r="E7223" s="11">
        <v>19.0</v>
      </c>
      <c r="F7223" s="14">
        <v>70.9</v>
      </c>
      <c r="G7223" s="15">
        <v>0.04590172972227946</v>
      </c>
      <c r="H7223" s="11" t="s">
        <v>45</v>
      </c>
      <c r="I7223" s="16">
        <v>37.392</v>
      </c>
      <c r="J7223" s="11" t="s">
        <v>2276</v>
      </c>
      <c r="K7223" s="11" t="s">
        <v>65</v>
      </c>
      <c r="L7223" s="11" t="s">
        <v>27</v>
      </c>
      <c r="M7223" s="11" t="s">
        <v>49</v>
      </c>
      <c r="N7223" s="11" t="s">
        <v>156</v>
      </c>
      <c r="O7223" s="11" t="s">
        <v>244</v>
      </c>
      <c r="P7223" s="11" t="s">
        <v>87</v>
      </c>
      <c r="Q7223" s="20">
        <v>41063.0</v>
      </c>
      <c r="R7223" s="17">
        <f t="shared" si="2"/>
        <v>63.55057759</v>
      </c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>
        <f t="shared" si="8"/>
        <v>1</v>
      </c>
      <c r="AF7223" s="19">
        <f t="shared" si="13"/>
        <v>5</v>
      </c>
      <c r="AG7223" s="9"/>
      <c r="AH7223" s="9"/>
      <c r="AI7223" s="9"/>
    </row>
    <row r="7224" ht="15.0" customHeight="1">
      <c r="A7224" s="11">
        <v>7223.0</v>
      </c>
      <c r="B7224" s="12">
        <f t="shared" si="1150"/>
        <v>41062</v>
      </c>
      <c r="C7224" s="13">
        <v>2012.0</v>
      </c>
      <c r="D7224" s="11" t="s">
        <v>23</v>
      </c>
      <c r="E7224" s="11">
        <v>33.0</v>
      </c>
      <c r="F7224" s="14">
        <v>20.9</v>
      </c>
      <c r="G7224" s="15">
        <v>0.05249760503626676</v>
      </c>
      <c r="H7224" s="11" t="s">
        <v>33</v>
      </c>
      <c r="I7224" s="16">
        <v>2.64</v>
      </c>
      <c r="J7224" s="11" t="s">
        <v>2064</v>
      </c>
      <c r="K7224" s="11" t="s">
        <v>61</v>
      </c>
      <c r="L7224" s="11" t="s">
        <v>41</v>
      </c>
      <c r="M7224" s="11" t="s">
        <v>66</v>
      </c>
      <c r="N7224" s="11" t="s">
        <v>80</v>
      </c>
      <c r="O7224" s="11" t="s">
        <v>848</v>
      </c>
      <c r="P7224" s="11" t="s">
        <v>99</v>
      </c>
      <c r="Q7224" s="20">
        <v>41064.0</v>
      </c>
      <c r="R7224" s="17">
        <f t="shared" si="2"/>
        <v>36.34619187</v>
      </c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>
        <f t="shared" si="8"/>
        <v>3</v>
      </c>
      <c r="AF7224" s="19">
        <f t="shared" si="13"/>
        <v>4</v>
      </c>
      <c r="AG7224" s="9"/>
      <c r="AH7224" s="9"/>
      <c r="AI7224" s="9"/>
    </row>
    <row r="7225" ht="15.0" customHeight="1">
      <c r="A7225" s="11">
        <v>7224.0</v>
      </c>
      <c r="B7225" s="12">
        <f t="shared" si="1150"/>
        <v>41062</v>
      </c>
      <c r="C7225" s="13">
        <v>2012.0</v>
      </c>
      <c r="D7225" s="11" t="s">
        <v>44</v>
      </c>
      <c r="E7225" s="11">
        <v>41.0</v>
      </c>
      <c r="F7225" s="14">
        <v>2.0</v>
      </c>
      <c r="G7225" s="15">
        <v>0.0478587196467991</v>
      </c>
      <c r="H7225" s="11" t="s">
        <v>33</v>
      </c>
      <c r="I7225" s="16">
        <v>4.264</v>
      </c>
      <c r="J7225" s="11" t="s">
        <v>1472</v>
      </c>
      <c r="K7225" s="11" t="s">
        <v>83</v>
      </c>
      <c r="L7225" s="11" t="s">
        <v>48</v>
      </c>
      <c r="M7225" s="11" t="s">
        <v>49</v>
      </c>
      <c r="N7225" s="11" t="s">
        <v>73</v>
      </c>
      <c r="O7225" s="11" t="s">
        <v>286</v>
      </c>
      <c r="P7225" s="11" t="s">
        <v>38</v>
      </c>
      <c r="Q7225" s="20">
        <v>41064.0</v>
      </c>
      <c r="R7225" s="17">
        <f t="shared" si="2"/>
        <v>4.128484592</v>
      </c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>
        <f t="shared" si="8"/>
        <v>4</v>
      </c>
      <c r="AF7225" s="19" t="b">
        <f t="shared" si="13"/>
        <v>0</v>
      </c>
      <c r="AG7225" s="9"/>
      <c r="AH7225" s="9"/>
      <c r="AI7225" s="9"/>
    </row>
    <row r="7226" ht="15.0" customHeight="1">
      <c r="A7226" s="11">
        <v>7225.0</v>
      </c>
      <c r="B7226" s="12">
        <f t="shared" si="1150"/>
        <v>41062</v>
      </c>
      <c r="C7226" s="13">
        <v>2012.0</v>
      </c>
      <c r="D7226" s="11" t="s">
        <v>44</v>
      </c>
      <c r="E7226" s="11">
        <v>39.0</v>
      </c>
      <c r="F7226" s="14">
        <v>204.1</v>
      </c>
      <c r="G7226" s="15">
        <v>0.02946609684528384</v>
      </c>
      <c r="H7226" s="11" t="s">
        <v>33</v>
      </c>
      <c r="I7226" s="16">
        <v>11.192</v>
      </c>
      <c r="J7226" s="11" t="s">
        <v>1472</v>
      </c>
      <c r="K7226" s="11" t="s">
        <v>83</v>
      </c>
      <c r="L7226" s="11" t="s">
        <v>48</v>
      </c>
      <c r="M7226" s="11" t="s">
        <v>66</v>
      </c>
      <c r="N7226" s="11" t="s">
        <v>69</v>
      </c>
      <c r="O7226" s="11" t="s">
        <v>2022</v>
      </c>
      <c r="P7226" s="11" t="s">
        <v>75</v>
      </c>
      <c r="Q7226" s="20">
        <v>41064.0</v>
      </c>
      <c r="R7226" s="17">
        <f t="shared" si="2"/>
        <v>234.8769688</v>
      </c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>
        <f t="shared" si="8"/>
        <v>4</v>
      </c>
      <c r="AF7226" s="19" t="b">
        <f t="shared" si="13"/>
        <v>0</v>
      </c>
      <c r="AG7226" s="9"/>
      <c r="AH7226" s="9"/>
      <c r="AI7226" s="9"/>
    </row>
    <row r="7227" ht="15.0" customHeight="1">
      <c r="A7227" s="11">
        <v>7226.0</v>
      </c>
      <c r="B7227" s="12">
        <f t="shared" si="1150"/>
        <v>41062</v>
      </c>
      <c r="C7227" s="13">
        <v>2012.0</v>
      </c>
      <c r="D7227" s="11" t="s">
        <v>44</v>
      </c>
      <c r="E7227" s="11">
        <v>47.0</v>
      </c>
      <c r="F7227" s="14">
        <v>279.8</v>
      </c>
      <c r="G7227" s="15">
        <v>0.09125617599160896</v>
      </c>
      <c r="H7227" s="11" t="s">
        <v>45</v>
      </c>
      <c r="I7227" s="16">
        <v>18.552000000000003</v>
      </c>
      <c r="J7227" s="11" t="s">
        <v>1472</v>
      </c>
      <c r="K7227" s="11" t="s">
        <v>83</v>
      </c>
      <c r="L7227" s="11" t="s">
        <v>48</v>
      </c>
      <c r="M7227" s="11" t="s">
        <v>28</v>
      </c>
      <c r="N7227" s="11" t="s">
        <v>197</v>
      </c>
      <c r="O7227" s="11" t="s">
        <v>409</v>
      </c>
      <c r="P7227" s="11" t="s">
        <v>52</v>
      </c>
      <c r="Q7227" s="20">
        <v>41064.0</v>
      </c>
      <c r="R7227" s="17">
        <f t="shared" si="2"/>
        <v>1201.766453</v>
      </c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>
        <f t="shared" si="8"/>
        <v>4</v>
      </c>
      <c r="AF7227" s="19" t="b">
        <f t="shared" si="13"/>
        <v>0</v>
      </c>
      <c r="AG7227" s="9"/>
      <c r="AH7227" s="9"/>
      <c r="AI7227" s="9"/>
    </row>
    <row r="7228" ht="15.0" customHeight="1">
      <c r="A7228" s="11">
        <v>7227.0</v>
      </c>
      <c r="B7228" s="12">
        <f t="shared" si="1150"/>
        <v>41062</v>
      </c>
      <c r="C7228" s="13">
        <v>2012.0</v>
      </c>
      <c r="D7228" s="11" t="s">
        <v>102</v>
      </c>
      <c r="E7228" s="11">
        <v>2.0</v>
      </c>
      <c r="F7228" s="14">
        <v>5.4</v>
      </c>
      <c r="G7228" s="15">
        <v>0.04462809917355365</v>
      </c>
      <c r="H7228" s="11" t="s">
        <v>33</v>
      </c>
      <c r="I7228" s="16">
        <v>0.76</v>
      </c>
      <c r="J7228" s="11" t="s">
        <v>1780</v>
      </c>
      <c r="K7228" s="11" t="s">
        <v>26</v>
      </c>
      <c r="L7228" s="11" t="s">
        <v>27</v>
      </c>
      <c r="M7228" s="11" t="s">
        <v>28</v>
      </c>
      <c r="N7228" s="11" t="s">
        <v>56</v>
      </c>
      <c r="O7228" s="11" t="s">
        <v>1183</v>
      </c>
      <c r="P7228" s="11" t="s">
        <v>58</v>
      </c>
      <c r="Q7228" s="20">
        <v>41064.0</v>
      </c>
      <c r="R7228" s="17">
        <f t="shared" si="2"/>
        <v>0.5159008264</v>
      </c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>
        <f t="shared" si="8"/>
        <v>1</v>
      </c>
      <c r="AF7228" s="19">
        <f t="shared" si="13"/>
        <v>1</v>
      </c>
      <c r="AG7228" s="9"/>
      <c r="AH7228" s="9"/>
      <c r="AI7228" s="9"/>
    </row>
    <row r="7229" ht="15.0" customHeight="1">
      <c r="A7229" s="11">
        <v>7228.0</v>
      </c>
      <c r="B7229" s="12">
        <f t="shared" si="1150"/>
        <v>41062</v>
      </c>
      <c r="C7229" s="13">
        <v>2012.0</v>
      </c>
      <c r="D7229" s="11" t="s">
        <v>102</v>
      </c>
      <c r="E7229" s="11">
        <v>44.0</v>
      </c>
      <c r="F7229" s="14">
        <v>65.9</v>
      </c>
      <c r="G7229" s="15">
        <v>0.06684503328295317</v>
      </c>
      <c r="H7229" s="11" t="s">
        <v>33</v>
      </c>
      <c r="I7229" s="16">
        <v>2.232</v>
      </c>
      <c r="J7229" s="11" t="s">
        <v>1780</v>
      </c>
      <c r="K7229" s="11" t="s">
        <v>26</v>
      </c>
      <c r="L7229" s="11" t="s">
        <v>27</v>
      </c>
      <c r="M7229" s="11" t="s">
        <v>66</v>
      </c>
      <c r="N7229" s="11" t="s">
        <v>80</v>
      </c>
      <c r="O7229" s="11" t="s">
        <v>2264</v>
      </c>
      <c r="P7229" s="11" t="s">
        <v>38</v>
      </c>
      <c r="Q7229" s="20">
        <v>41064.0</v>
      </c>
      <c r="R7229" s="17">
        <f t="shared" si="2"/>
        <v>193.9730566</v>
      </c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>
        <f t="shared" si="8"/>
        <v>1</v>
      </c>
      <c r="AF7229" s="19">
        <f t="shared" si="13"/>
        <v>1</v>
      </c>
      <c r="AG7229" s="9"/>
      <c r="AH7229" s="9"/>
      <c r="AI7229" s="9"/>
    </row>
    <row r="7230" ht="15.0" customHeight="1">
      <c r="A7230" s="11">
        <v>7229.0</v>
      </c>
      <c r="B7230" s="12">
        <f t="shared" si="1150"/>
        <v>41062</v>
      </c>
      <c r="C7230" s="13">
        <v>2012.0</v>
      </c>
      <c r="D7230" s="11" t="s">
        <v>102</v>
      </c>
      <c r="E7230" s="11">
        <v>30.0</v>
      </c>
      <c r="F7230" s="14">
        <v>40.9</v>
      </c>
      <c r="G7230" s="15">
        <v>0.08529433598099612</v>
      </c>
      <c r="H7230" s="11" t="s">
        <v>33</v>
      </c>
      <c r="I7230" s="16">
        <v>5.2</v>
      </c>
      <c r="J7230" s="11" t="s">
        <v>1780</v>
      </c>
      <c r="K7230" s="11" t="s">
        <v>26</v>
      </c>
      <c r="L7230" s="11" t="s">
        <v>27</v>
      </c>
      <c r="M7230" s="11" t="s">
        <v>66</v>
      </c>
      <c r="N7230" s="11" t="s">
        <v>67</v>
      </c>
      <c r="O7230" s="11" t="s">
        <v>2574</v>
      </c>
      <c r="P7230" s="11" t="s">
        <v>38</v>
      </c>
      <c r="Q7230" s="20">
        <v>41065.0</v>
      </c>
      <c r="R7230" s="17">
        <f t="shared" si="2"/>
        <v>105.0996808</v>
      </c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>
        <f t="shared" si="8"/>
        <v>1</v>
      </c>
      <c r="AF7230" s="19">
        <f t="shared" si="13"/>
        <v>1</v>
      </c>
      <c r="AG7230" s="9"/>
      <c r="AH7230" s="9"/>
      <c r="AI7230" s="9"/>
    </row>
    <row r="7231" ht="15.0" customHeight="1">
      <c r="A7231" s="11">
        <v>7230.0</v>
      </c>
      <c r="B7231" s="12">
        <f t="shared" si="1150"/>
        <v>41062</v>
      </c>
      <c r="C7231" s="13">
        <v>2012.0</v>
      </c>
      <c r="D7231" s="11" t="s">
        <v>23</v>
      </c>
      <c r="E7231" s="11">
        <v>32.0</v>
      </c>
      <c r="F7231" s="14">
        <v>26.3</v>
      </c>
      <c r="G7231" s="15">
        <v>0.09242680965147451</v>
      </c>
      <c r="H7231" s="11" t="s">
        <v>33</v>
      </c>
      <c r="I7231" s="16">
        <v>4.712</v>
      </c>
      <c r="J7231" s="11" t="s">
        <v>1906</v>
      </c>
      <c r="K7231" s="11" t="s">
        <v>61</v>
      </c>
      <c r="L7231" s="11" t="s">
        <v>41</v>
      </c>
      <c r="M7231" s="11" t="s">
        <v>66</v>
      </c>
      <c r="N7231" s="11" t="s">
        <v>67</v>
      </c>
      <c r="O7231" s="11" t="s">
        <v>1990</v>
      </c>
      <c r="P7231" s="11" t="s">
        <v>38</v>
      </c>
      <c r="Q7231" s="20">
        <v>41065.0</v>
      </c>
      <c r="R7231" s="17">
        <f t="shared" si="2"/>
        <v>78.22191813</v>
      </c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>
        <f t="shared" si="8"/>
        <v>3</v>
      </c>
      <c r="AF7231" s="19">
        <f t="shared" si="13"/>
        <v>4</v>
      </c>
      <c r="AG7231" s="9"/>
      <c r="AH7231" s="9"/>
      <c r="AI7231" s="9"/>
    </row>
    <row r="7232" ht="15.0" customHeight="1">
      <c r="A7232" s="11">
        <v>7231.0</v>
      </c>
      <c r="B7232" s="12">
        <f t="shared" si="1150"/>
        <v>41062</v>
      </c>
      <c r="C7232" s="13">
        <v>2012.0</v>
      </c>
      <c r="D7232" s="11" t="s">
        <v>39</v>
      </c>
      <c r="E7232" s="11">
        <v>28.0</v>
      </c>
      <c r="F7232" s="14">
        <v>89.9</v>
      </c>
      <c r="G7232" s="15">
        <v>0.014107370618018783</v>
      </c>
      <c r="H7232" s="11" t="s">
        <v>45</v>
      </c>
      <c r="I7232" s="16">
        <v>33.6</v>
      </c>
      <c r="J7232" s="11" t="s">
        <v>307</v>
      </c>
      <c r="K7232" s="11" t="s">
        <v>61</v>
      </c>
      <c r="L7232" s="11" t="s">
        <v>48</v>
      </c>
      <c r="M7232" s="11" t="s">
        <v>49</v>
      </c>
      <c r="N7232" s="11" t="s">
        <v>50</v>
      </c>
      <c r="O7232" s="11" t="s">
        <v>1153</v>
      </c>
      <c r="P7232" s="11" t="s">
        <v>52</v>
      </c>
      <c r="Q7232" s="20">
        <v>41066.0</v>
      </c>
      <c r="R7232" s="17">
        <f t="shared" si="2"/>
        <v>35.98508097</v>
      </c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>
        <f t="shared" si="8"/>
        <v>4</v>
      </c>
      <c r="AF7232" s="19">
        <f t="shared" si="13"/>
        <v>4</v>
      </c>
      <c r="AG7232" s="9"/>
      <c r="AH7232" s="9"/>
      <c r="AI7232" s="9"/>
    </row>
    <row r="7233" ht="15.0" customHeight="1">
      <c r="A7233" s="11">
        <v>7232.0</v>
      </c>
      <c r="B7233" s="12">
        <f t="shared" si="1150"/>
        <v>41062</v>
      </c>
      <c r="C7233" s="13">
        <v>2012.0</v>
      </c>
      <c r="D7233" s="11" t="s">
        <v>39</v>
      </c>
      <c r="E7233" s="11">
        <v>34.0</v>
      </c>
      <c r="F7233" s="14">
        <v>65.9</v>
      </c>
      <c r="G7233" s="15">
        <v>0.049240677966101536</v>
      </c>
      <c r="H7233" s="11" t="s">
        <v>33</v>
      </c>
      <c r="I7233" s="16">
        <v>3.192</v>
      </c>
      <c r="J7233" s="11" t="s">
        <v>307</v>
      </c>
      <c r="K7233" s="11" t="s">
        <v>61</v>
      </c>
      <c r="L7233" s="11" t="s">
        <v>48</v>
      </c>
      <c r="M7233" s="11" t="s">
        <v>66</v>
      </c>
      <c r="N7233" s="11" t="s">
        <v>80</v>
      </c>
      <c r="O7233" s="11" t="s">
        <v>2197</v>
      </c>
      <c r="P7233" s="11" t="s">
        <v>38</v>
      </c>
      <c r="Q7233" s="20">
        <v>41066.0</v>
      </c>
      <c r="R7233" s="17">
        <f t="shared" si="2"/>
        <v>110.4858393</v>
      </c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>
        <f t="shared" si="8"/>
        <v>4</v>
      </c>
      <c r="AF7233" s="19">
        <f t="shared" si="13"/>
        <v>4</v>
      </c>
      <c r="AG7233" s="9"/>
      <c r="AH7233" s="9"/>
      <c r="AI7233" s="9"/>
    </row>
    <row r="7234" ht="15.0" customHeight="1">
      <c r="A7234" s="11">
        <v>7233.0</v>
      </c>
      <c r="B7234" s="12">
        <f t="shared" si="1150"/>
        <v>41062</v>
      </c>
      <c r="C7234" s="13">
        <v>2012.0</v>
      </c>
      <c r="D7234" s="11" t="s">
        <v>102</v>
      </c>
      <c r="E7234" s="11">
        <v>25.0</v>
      </c>
      <c r="F7234" s="14">
        <v>50.9</v>
      </c>
      <c r="G7234" s="15">
        <v>0.040909773307311215</v>
      </c>
      <c r="H7234" s="11" t="s">
        <v>33</v>
      </c>
      <c r="I7234" s="16">
        <v>5.2</v>
      </c>
      <c r="J7234" s="11" t="s">
        <v>525</v>
      </c>
      <c r="K7234" s="11" t="s">
        <v>65</v>
      </c>
      <c r="L7234" s="11" t="s">
        <v>41</v>
      </c>
      <c r="M7234" s="11" t="s">
        <v>66</v>
      </c>
      <c r="N7234" s="11" t="s">
        <v>67</v>
      </c>
      <c r="O7234" s="11" t="s">
        <v>1864</v>
      </c>
      <c r="P7234" s="11" t="s">
        <v>38</v>
      </c>
      <c r="Q7234" s="20">
        <v>41066.0</v>
      </c>
      <c r="R7234" s="17">
        <f t="shared" si="2"/>
        <v>52.27041735</v>
      </c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>
        <f t="shared" si="8"/>
        <v>3</v>
      </c>
      <c r="AF7234" s="19">
        <f t="shared" si="13"/>
        <v>5</v>
      </c>
      <c r="AG7234" s="9"/>
      <c r="AH7234" s="9"/>
      <c r="AI7234" s="9"/>
    </row>
    <row r="7235" ht="15.0" customHeight="1">
      <c r="A7235" s="11">
        <v>7234.0</v>
      </c>
      <c r="B7235" s="12">
        <f t="shared" ref="B7235:B7236" si="1151">DATE(2012,12,31)-211</f>
        <v>41063</v>
      </c>
      <c r="C7235" s="13">
        <v>2012.0</v>
      </c>
      <c r="D7235" s="11" t="s">
        <v>102</v>
      </c>
      <c r="E7235" s="11">
        <v>22.0</v>
      </c>
      <c r="F7235" s="14">
        <v>5.9</v>
      </c>
      <c r="G7235" s="15">
        <v>0.07946591707659868</v>
      </c>
      <c r="H7235" s="11" t="s">
        <v>33</v>
      </c>
      <c r="I7235" s="16">
        <v>1.192</v>
      </c>
      <c r="J7235" s="11" t="s">
        <v>453</v>
      </c>
      <c r="K7235" s="11" t="s">
        <v>61</v>
      </c>
      <c r="L7235" s="11" t="s">
        <v>36</v>
      </c>
      <c r="M7235" s="11" t="s">
        <v>28</v>
      </c>
      <c r="N7235" s="11" t="s">
        <v>42</v>
      </c>
      <c r="O7235" s="11" t="s">
        <v>1473</v>
      </c>
      <c r="P7235" s="11" t="s">
        <v>38</v>
      </c>
      <c r="Q7235" s="20">
        <v>41066.0</v>
      </c>
      <c r="R7235" s="17">
        <f t="shared" si="2"/>
        <v>10.40939941</v>
      </c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>
        <f t="shared" si="8"/>
        <v>2</v>
      </c>
      <c r="AF7235" s="19">
        <f t="shared" si="13"/>
        <v>4</v>
      </c>
      <c r="AG7235" s="9"/>
      <c r="AH7235" s="9"/>
      <c r="AI7235" s="9"/>
    </row>
    <row r="7236" ht="15.0" customHeight="1">
      <c r="A7236" s="11">
        <v>7235.0</v>
      </c>
      <c r="B7236" s="12">
        <f t="shared" si="1151"/>
        <v>41063</v>
      </c>
      <c r="C7236" s="13">
        <v>2012.0</v>
      </c>
      <c r="D7236" s="11" t="s">
        <v>102</v>
      </c>
      <c r="E7236" s="11">
        <v>35.0</v>
      </c>
      <c r="F7236" s="14">
        <v>60.6</v>
      </c>
      <c r="G7236" s="15">
        <v>0.0758624278960835</v>
      </c>
      <c r="H7236" s="11" t="s">
        <v>33</v>
      </c>
      <c r="I7236" s="16">
        <v>9.784</v>
      </c>
      <c r="J7236" s="11" t="s">
        <v>453</v>
      </c>
      <c r="K7236" s="11" t="s">
        <v>61</v>
      </c>
      <c r="L7236" s="11" t="s">
        <v>36</v>
      </c>
      <c r="M7236" s="11" t="s">
        <v>49</v>
      </c>
      <c r="N7236" s="11" t="s">
        <v>73</v>
      </c>
      <c r="O7236" s="11" t="s">
        <v>652</v>
      </c>
      <c r="P7236" s="11" t="s">
        <v>75</v>
      </c>
      <c r="Q7236" s="20">
        <v>41067.0</v>
      </c>
      <c r="R7236" s="17">
        <f t="shared" si="2"/>
        <v>161.6464476</v>
      </c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>
        <f t="shared" si="8"/>
        <v>2</v>
      </c>
      <c r="AF7236" s="19">
        <f t="shared" si="13"/>
        <v>4</v>
      </c>
      <c r="AG7236" s="9"/>
      <c r="AH7236" s="9"/>
      <c r="AI7236" s="9"/>
    </row>
    <row r="7237" ht="15.0" customHeight="1">
      <c r="A7237" s="11">
        <v>7236.0</v>
      </c>
      <c r="B7237" s="12">
        <f t="shared" ref="B7237:B7238" si="1152">DATE(2012,12,31)-210</f>
        <v>41064</v>
      </c>
      <c r="C7237" s="13">
        <v>2012.0</v>
      </c>
      <c r="D7237" s="11" t="s">
        <v>23</v>
      </c>
      <c r="E7237" s="11">
        <v>7.0</v>
      </c>
      <c r="F7237" s="14">
        <v>12.9</v>
      </c>
      <c r="G7237" s="15">
        <v>0.09860098522167497</v>
      </c>
      <c r="H7237" s="11" t="s">
        <v>33</v>
      </c>
      <c r="I7237" s="16">
        <v>1.192</v>
      </c>
      <c r="J7237" s="11" t="s">
        <v>839</v>
      </c>
      <c r="K7237" s="11" t="s">
        <v>83</v>
      </c>
      <c r="L7237" s="11" t="s">
        <v>27</v>
      </c>
      <c r="M7237" s="11" t="s">
        <v>28</v>
      </c>
      <c r="N7237" s="11" t="s">
        <v>42</v>
      </c>
      <c r="O7237" s="11" t="s">
        <v>556</v>
      </c>
      <c r="P7237" s="11" t="s">
        <v>38</v>
      </c>
      <c r="Q7237" s="20">
        <v>41067.0</v>
      </c>
      <c r="R7237" s="17">
        <f t="shared" si="2"/>
        <v>9.02120134</v>
      </c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>
        <f t="shared" si="8"/>
        <v>1</v>
      </c>
      <c r="AF7237" s="19" t="b">
        <f t="shared" si="13"/>
        <v>0</v>
      </c>
      <c r="AG7237" s="9"/>
      <c r="AH7237" s="9"/>
      <c r="AI7237" s="9"/>
    </row>
    <row r="7238" ht="15.0" customHeight="1">
      <c r="A7238" s="11">
        <v>7237.0</v>
      </c>
      <c r="B7238" s="12">
        <f t="shared" si="1152"/>
        <v>41064</v>
      </c>
      <c r="C7238" s="13">
        <v>2012.0</v>
      </c>
      <c r="D7238" s="11" t="s">
        <v>39</v>
      </c>
      <c r="E7238" s="11">
        <v>16.0</v>
      </c>
      <c r="F7238" s="14">
        <v>37.9</v>
      </c>
      <c r="G7238" s="15">
        <v>0.03162436548223356</v>
      </c>
      <c r="H7238" s="11" t="s">
        <v>33</v>
      </c>
      <c r="I7238" s="16">
        <v>4.064</v>
      </c>
      <c r="J7238" s="11" t="s">
        <v>82</v>
      </c>
      <c r="K7238" s="11" t="s">
        <v>83</v>
      </c>
      <c r="L7238" s="11" t="s">
        <v>27</v>
      </c>
      <c r="M7238" s="11" t="s">
        <v>28</v>
      </c>
      <c r="N7238" s="11" t="s">
        <v>56</v>
      </c>
      <c r="O7238" s="11" t="s">
        <v>1040</v>
      </c>
      <c r="P7238" s="11" t="s">
        <v>58</v>
      </c>
      <c r="Q7238" s="20">
        <v>41067.0</v>
      </c>
      <c r="R7238" s="17">
        <f t="shared" si="2"/>
        <v>19.30553665</v>
      </c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>
        <f t="shared" si="8"/>
        <v>1</v>
      </c>
      <c r="AF7238" s="19" t="b">
        <f t="shared" si="13"/>
        <v>0</v>
      </c>
      <c r="AG7238" s="9"/>
      <c r="AH7238" s="9"/>
      <c r="AI7238" s="9"/>
    </row>
    <row r="7239" ht="15.0" customHeight="1">
      <c r="A7239" s="11">
        <v>7238.0</v>
      </c>
      <c r="B7239" s="12">
        <f t="shared" ref="B7239:B7242" si="1153">DATE(2012,12,31)-209</f>
        <v>41065</v>
      </c>
      <c r="C7239" s="13">
        <v>2012.0</v>
      </c>
      <c r="D7239" s="11" t="s">
        <v>102</v>
      </c>
      <c r="E7239" s="11">
        <v>13.0</v>
      </c>
      <c r="F7239" s="14">
        <v>363.2</v>
      </c>
      <c r="G7239" s="15">
        <v>0.06631875603555323</v>
      </c>
      <c r="H7239" s="11" t="s">
        <v>33</v>
      </c>
      <c r="I7239" s="16">
        <v>15.991999999999999</v>
      </c>
      <c r="J7239" s="11" t="s">
        <v>541</v>
      </c>
      <c r="K7239" s="11" t="s">
        <v>65</v>
      </c>
      <c r="L7239" s="11" t="s">
        <v>27</v>
      </c>
      <c r="M7239" s="11" t="s">
        <v>28</v>
      </c>
      <c r="N7239" s="11" t="s">
        <v>197</v>
      </c>
      <c r="O7239" s="11" t="s">
        <v>1174</v>
      </c>
      <c r="P7239" s="11" t="s">
        <v>38</v>
      </c>
      <c r="Q7239" s="20">
        <v>41067.0</v>
      </c>
      <c r="R7239" s="17">
        <f t="shared" si="2"/>
        <v>314.191208</v>
      </c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>
        <f t="shared" si="8"/>
        <v>1</v>
      </c>
      <c r="AF7239" s="19">
        <f t="shared" si="13"/>
        <v>5</v>
      </c>
      <c r="AG7239" s="9"/>
      <c r="AH7239" s="9"/>
      <c r="AI7239" s="9"/>
    </row>
    <row r="7240" ht="15.0" customHeight="1">
      <c r="A7240" s="11">
        <v>7239.0</v>
      </c>
      <c r="B7240" s="12">
        <f t="shared" si="1153"/>
        <v>41065</v>
      </c>
      <c r="C7240" s="13">
        <v>2012.0</v>
      </c>
      <c r="D7240" s="11" t="s">
        <v>44</v>
      </c>
      <c r="E7240" s="11">
        <v>43.0</v>
      </c>
      <c r="F7240" s="14">
        <v>4.2</v>
      </c>
      <c r="G7240" s="15">
        <v>0.11227294569918311</v>
      </c>
      <c r="H7240" s="11" t="s">
        <v>33</v>
      </c>
      <c r="I7240" s="16">
        <v>4.136</v>
      </c>
      <c r="J7240" s="11" t="s">
        <v>2319</v>
      </c>
      <c r="K7240" s="11" t="s">
        <v>61</v>
      </c>
      <c r="L7240" s="11" t="s">
        <v>48</v>
      </c>
      <c r="M7240" s="11" t="s">
        <v>28</v>
      </c>
      <c r="N7240" s="11" t="s">
        <v>56</v>
      </c>
      <c r="O7240" s="11" t="s">
        <v>699</v>
      </c>
      <c r="P7240" s="11" t="s">
        <v>38</v>
      </c>
      <c r="Q7240" s="20">
        <v>41067.0</v>
      </c>
      <c r="R7240" s="17">
        <f t="shared" si="2"/>
        <v>20.7408549</v>
      </c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>
        <f t="shared" si="8"/>
        <v>4</v>
      </c>
      <c r="AF7240" s="19">
        <f t="shared" si="13"/>
        <v>4</v>
      </c>
      <c r="AG7240" s="9"/>
      <c r="AH7240" s="9"/>
      <c r="AI7240" s="9"/>
    </row>
    <row r="7241" ht="15.0" customHeight="1">
      <c r="A7241" s="11">
        <v>7240.0</v>
      </c>
      <c r="B7241" s="12">
        <f t="shared" si="1153"/>
        <v>41065</v>
      </c>
      <c r="C7241" s="13">
        <v>2012.0</v>
      </c>
      <c r="D7241" s="11" t="s">
        <v>44</v>
      </c>
      <c r="E7241" s="11">
        <v>31.0</v>
      </c>
      <c r="F7241" s="14">
        <v>175.9</v>
      </c>
      <c r="G7241" s="15">
        <v>0.04827737760957132</v>
      </c>
      <c r="H7241" s="11" t="s">
        <v>24</v>
      </c>
      <c r="I7241" s="16">
        <v>3.9920000000000004</v>
      </c>
      <c r="J7241" s="11" t="s">
        <v>2319</v>
      </c>
      <c r="K7241" s="11" t="s">
        <v>61</v>
      </c>
      <c r="L7241" s="11" t="s">
        <v>48</v>
      </c>
      <c r="M7241" s="11" t="s">
        <v>66</v>
      </c>
      <c r="N7241" s="11" t="s">
        <v>80</v>
      </c>
      <c r="O7241" s="11">
        <v>5165.0</v>
      </c>
      <c r="P7241" s="11" t="s">
        <v>38</v>
      </c>
      <c r="Q7241" s="20">
        <v>41067.0</v>
      </c>
      <c r="R7241" s="17">
        <f t="shared" si="2"/>
        <v>263.4444357</v>
      </c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>
        <f t="shared" si="8"/>
        <v>4</v>
      </c>
      <c r="AF7241" s="19">
        <f t="shared" si="13"/>
        <v>4</v>
      </c>
      <c r="AG7241" s="9"/>
      <c r="AH7241" s="9"/>
      <c r="AI7241" s="9"/>
    </row>
    <row r="7242" ht="15.0" customHeight="1">
      <c r="A7242" s="11">
        <v>7241.0</v>
      </c>
      <c r="B7242" s="12">
        <f t="shared" si="1153"/>
        <v>41065</v>
      </c>
      <c r="C7242" s="13">
        <v>2012.0</v>
      </c>
      <c r="D7242" s="11" t="s">
        <v>32</v>
      </c>
      <c r="E7242" s="11">
        <v>38.0</v>
      </c>
      <c r="F7242" s="14">
        <v>370.9</v>
      </c>
      <c r="G7242" s="15">
        <v>0.011493771882105222</v>
      </c>
      <c r="H7242" s="11" t="s">
        <v>45</v>
      </c>
      <c r="I7242" s="16">
        <v>79.2</v>
      </c>
      <c r="J7242" s="11" t="s">
        <v>1960</v>
      </c>
      <c r="K7242" s="11" t="s">
        <v>65</v>
      </c>
      <c r="L7242" s="11" t="s">
        <v>36</v>
      </c>
      <c r="M7242" s="11" t="s">
        <v>28</v>
      </c>
      <c r="N7242" s="11" t="s">
        <v>29</v>
      </c>
      <c r="O7242" s="11" t="s">
        <v>1898</v>
      </c>
      <c r="P7242" s="11" t="s">
        <v>52</v>
      </c>
      <c r="Q7242" s="20">
        <v>41068.0</v>
      </c>
      <c r="R7242" s="17">
        <f t="shared" si="2"/>
        <v>162.9058264</v>
      </c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>
        <f t="shared" si="8"/>
        <v>2</v>
      </c>
      <c r="AF7242" s="19">
        <f t="shared" si="13"/>
        <v>5</v>
      </c>
      <c r="AG7242" s="9"/>
      <c r="AH7242" s="9"/>
      <c r="AI7242" s="9"/>
    </row>
    <row r="7243" ht="15.0" customHeight="1">
      <c r="A7243" s="11">
        <v>7242.0</v>
      </c>
      <c r="B7243" s="12">
        <f t="shared" ref="B7243:B7245" si="1154">DATE(2012,12,31)-208</f>
        <v>41066</v>
      </c>
      <c r="C7243" s="13">
        <v>2012.0</v>
      </c>
      <c r="D7243" s="11" t="s">
        <v>39</v>
      </c>
      <c r="E7243" s="11">
        <v>31.0</v>
      </c>
      <c r="F7243" s="14">
        <v>12.5</v>
      </c>
      <c r="G7243" s="15">
        <v>0.008787648696532617</v>
      </c>
      <c r="H7243" s="11" t="s">
        <v>33</v>
      </c>
      <c r="I7243" s="16">
        <v>4.128</v>
      </c>
      <c r="J7243" s="11" t="s">
        <v>1120</v>
      </c>
      <c r="K7243" s="11" t="s">
        <v>35</v>
      </c>
      <c r="L7243" s="11" t="s">
        <v>36</v>
      </c>
      <c r="M7243" s="11" t="s">
        <v>49</v>
      </c>
      <c r="N7243" s="11" t="s">
        <v>73</v>
      </c>
      <c r="O7243" s="11" t="s">
        <v>1709</v>
      </c>
      <c r="P7243" s="11" t="s">
        <v>38</v>
      </c>
      <c r="Q7243" s="20">
        <v>41068.0</v>
      </c>
      <c r="R7243" s="17">
        <f t="shared" si="2"/>
        <v>3.441489284</v>
      </c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>
        <f t="shared" si="8"/>
        <v>2</v>
      </c>
      <c r="AF7243" s="19">
        <f t="shared" si="13"/>
        <v>2</v>
      </c>
      <c r="AG7243" s="9"/>
      <c r="AH7243" s="9"/>
      <c r="AI7243" s="9"/>
    </row>
    <row r="7244" ht="15.0" customHeight="1">
      <c r="A7244" s="11">
        <v>7243.0</v>
      </c>
      <c r="B7244" s="12">
        <f t="shared" si="1154"/>
        <v>41066</v>
      </c>
      <c r="C7244" s="13">
        <v>2012.0</v>
      </c>
      <c r="D7244" s="11" t="s">
        <v>44</v>
      </c>
      <c r="E7244" s="11">
        <v>2.0</v>
      </c>
      <c r="F7244" s="14">
        <v>50.9</v>
      </c>
      <c r="G7244" s="15">
        <v>0.1031014249790444</v>
      </c>
      <c r="H7244" s="11" t="s">
        <v>24</v>
      </c>
      <c r="I7244" s="16">
        <v>5.2</v>
      </c>
      <c r="J7244" s="11" t="s">
        <v>1901</v>
      </c>
      <c r="K7244" s="11" t="s">
        <v>35</v>
      </c>
      <c r="L7244" s="11" t="s">
        <v>27</v>
      </c>
      <c r="M7244" s="11" t="s">
        <v>66</v>
      </c>
      <c r="N7244" s="11" t="s">
        <v>67</v>
      </c>
      <c r="O7244" s="11" t="s">
        <v>1864</v>
      </c>
      <c r="P7244" s="11" t="s">
        <v>38</v>
      </c>
      <c r="Q7244" s="20">
        <v>41068.0</v>
      </c>
      <c r="R7244" s="17">
        <f t="shared" si="2"/>
        <v>11.03185247</v>
      </c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>
        <f t="shared" si="8"/>
        <v>1</v>
      </c>
      <c r="AF7244" s="19">
        <f t="shared" si="13"/>
        <v>2</v>
      </c>
      <c r="AG7244" s="9"/>
      <c r="AH7244" s="9"/>
      <c r="AI7244" s="9"/>
    </row>
    <row r="7245" ht="15.0" customHeight="1">
      <c r="A7245" s="11">
        <v>7244.0</v>
      </c>
      <c r="B7245" s="12">
        <f t="shared" si="1154"/>
        <v>41066</v>
      </c>
      <c r="C7245" s="13">
        <v>2012.0</v>
      </c>
      <c r="D7245" s="11" t="s">
        <v>102</v>
      </c>
      <c r="E7245" s="11">
        <v>20.0</v>
      </c>
      <c r="F7245" s="14">
        <v>6.4</v>
      </c>
      <c r="G7245" s="15">
        <v>0.04034532374100722</v>
      </c>
      <c r="H7245" s="11" t="s">
        <v>33</v>
      </c>
      <c r="I7245" s="16">
        <v>5.392</v>
      </c>
      <c r="J7245" s="11" t="s">
        <v>2217</v>
      </c>
      <c r="K7245" s="11" t="s">
        <v>83</v>
      </c>
      <c r="L7245" s="11" t="s">
        <v>36</v>
      </c>
      <c r="M7245" s="11" t="s">
        <v>28</v>
      </c>
      <c r="N7245" s="11" t="s">
        <v>56</v>
      </c>
      <c r="O7245" s="11" t="s">
        <v>2590</v>
      </c>
      <c r="P7245" s="11" t="s">
        <v>38</v>
      </c>
      <c r="Q7245" s="20">
        <v>41068.0</v>
      </c>
      <c r="R7245" s="17">
        <f t="shared" si="2"/>
        <v>5.381743424</v>
      </c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>
        <f t="shared" si="8"/>
        <v>2</v>
      </c>
      <c r="AF7245" s="19" t="b">
        <f t="shared" si="13"/>
        <v>0</v>
      </c>
      <c r="AG7245" s="9"/>
      <c r="AH7245" s="9"/>
      <c r="AI7245" s="9"/>
    </row>
    <row r="7246" ht="15.0" customHeight="1">
      <c r="A7246" s="11">
        <v>7245.0</v>
      </c>
      <c r="B7246" s="12">
        <f t="shared" ref="B7246:B7253" si="1155">DATE(2012,12,31)-207</f>
        <v>41067</v>
      </c>
      <c r="C7246" s="13">
        <v>2012.0</v>
      </c>
      <c r="D7246" s="11" t="s">
        <v>23</v>
      </c>
      <c r="E7246" s="11">
        <v>1.0</v>
      </c>
      <c r="F7246" s="14">
        <v>363.2</v>
      </c>
      <c r="G7246" s="15">
        <v>0.09219056739286566</v>
      </c>
      <c r="H7246" s="11" t="s">
        <v>33</v>
      </c>
      <c r="I7246" s="16">
        <v>15.991999999999999</v>
      </c>
      <c r="J7246" s="11" t="s">
        <v>2167</v>
      </c>
      <c r="K7246" s="11" t="s">
        <v>83</v>
      </c>
      <c r="L7246" s="11" t="s">
        <v>41</v>
      </c>
      <c r="M7246" s="11" t="s">
        <v>28</v>
      </c>
      <c r="N7246" s="11" t="s">
        <v>197</v>
      </c>
      <c r="O7246" s="11" t="s">
        <v>1174</v>
      </c>
      <c r="P7246" s="11" t="s">
        <v>38</v>
      </c>
      <c r="Q7246" s="20">
        <v>41068.0</v>
      </c>
      <c r="R7246" s="17">
        <f t="shared" si="2"/>
        <v>34.95792563</v>
      </c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>
        <f t="shared" si="8"/>
        <v>3</v>
      </c>
      <c r="AF7246" s="19" t="b">
        <f t="shared" si="13"/>
        <v>0</v>
      </c>
      <c r="AG7246" s="9"/>
      <c r="AH7246" s="9"/>
      <c r="AI7246" s="9"/>
    </row>
    <row r="7247" ht="15.0" customHeight="1">
      <c r="A7247" s="11">
        <v>7246.0</v>
      </c>
      <c r="B7247" s="12">
        <f t="shared" si="1155"/>
        <v>41067</v>
      </c>
      <c r="C7247" s="13">
        <v>2012.0</v>
      </c>
      <c r="D7247" s="11" t="s">
        <v>23</v>
      </c>
      <c r="E7247" s="11">
        <v>34.0</v>
      </c>
      <c r="F7247" s="14">
        <v>22.9</v>
      </c>
      <c r="G7247" s="15">
        <v>0.03425969230769246</v>
      </c>
      <c r="H7247" s="11" t="s">
        <v>33</v>
      </c>
      <c r="I7247" s="16">
        <v>6.064</v>
      </c>
      <c r="J7247" s="11" t="s">
        <v>2167</v>
      </c>
      <c r="K7247" s="11" t="s">
        <v>83</v>
      </c>
      <c r="L7247" s="11" t="s">
        <v>41</v>
      </c>
      <c r="M7247" s="11" t="s">
        <v>49</v>
      </c>
      <c r="N7247" s="11" t="s">
        <v>73</v>
      </c>
      <c r="O7247" s="11" t="s">
        <v>2284</v>
      </c>
      <c r="P7247" s="11" t="s">
        <v>38</v>
      </c>
      <c r="Q7247" s="20">
        <v>41069.0</v>
      </c>
      <c r="R7247" s="17">
        <f t="shared" si="2"/>
        <v>26.8823472</v>
      </c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>
        <f t="shared" si="8"/>
        <v>3</v>
      </c>
      <c r="AF7247" s="19" t="b">
        <f t="shared" si="13"/>
        <v>0</v>
      </c>
      <c r="AG7247" s="9"/>
      <c r="AH7247" s="9"/>
      <c r="AI7247" s="9"/>
    </row>
    <row r="7248" ht="15.0" customHeight="1">
      <c r="A7248" s="11">
        <v>7247.0</v>
      </c>
      <c r="B7248" s="12">
        <f t="shared" si="1155"/>
        <v>41067</v>
      </c>
      <c r="C7248" s="13">
        <v>2012.0</v>
      </c>
      <c r="D7248" s="11" t="s">
        <v>32</v>
      </c>
      <c r="E7248" s="11">
        <v>2.0</v>
      </c>
      <c r="F7248" s="14">
        <v>152.4</v>
      </c>
      <c r="G7248" s="15">
        <v>0.032055311125078534</v>
      </c>
      <c r="H7248" s="11" t="s">
        <v>33</v>
      </c>
      <c r="I7248" s="16">
        <v>3.2</v>
      </c>
      <c r="J7248" s="11" t="s">
        <v>1462</v>
      </c>
      <c r="K7248" s="11" t="s">
        <v>61</v>
      </c>
      <c r="L7248" s="11" t="s">
        <v>27</v>
      </c>
      <c r="M7248" s="11" t="s">
        <v>66</v>
      </c>
      <c r="N7248" s="11" t="s">
        <v>67</v>
      </c>
      <c r="O7248" s="11" t="s">
        <v>944</v>
      </c>
      <c r="P7248" s="11" t="s">
        <v>38</v>
      </c>
      <c r="Q7248" s="20">
        <v>41069.0</v>
      </c>
      <c r="R7248" s="17">
        <f t="shared" si="2"/>
        <v>9.873035827</v>
      </c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>
        <f t="shared" si="8"/>
        <v>1</v>
      </c>
      <c r="AF7248" s="19">
        <f t="shared" si="13"/>
        <v>4</v>
      </c>
      <c r="AG7248" s="9"/>
      <c r="AH7248" s="9"/>
      <c r="AI7248" s="9"/>
    </row>
    <row r="7249" ht="15.0" customHeight="1">
      <c r="A7249" s="11">
        <v>7248.0</v>
      </c>
      <c r="B7249" s="12">
        <f t="shared" si="1155"/>
        <v>41067</v>
      </c>
      <c r="C7249" s="13">
        <v>2012.0</v>
      </c>
      <c r="D7249" s="11" t="s">
        <v>32</v>
      </c>
      <c r="E7249" s="11">
        <v>5.0</v>
      </c>
      <c r="F7249" s="14">
        <v>32.9</v>
      </c>
      <c r="G7249" s="15">
        <v>0.09871931696905016</v>
      </c>
      <c r="H7249" s="11" t="s">
        <v>33</v>
      </c>
      <c r="I7249" s="16">
        <v>4.4</v>
      </c>
      <c r="J7249" s="11" t="s">
        <v>1462</v>
      </c>
      <c r="K7249" s="11" t="s">
        <v>61</v>
      </c>
      <c r="L7249" s="11" t="s">
        <v>27</v>
      </c>
      <c r="M7249" s="11" t="s">
        <v>66</v>
      </c>
      <c r="N7249" s="11" t="s">
        <v>67</v>
      </c>
      <c r="O7249" s="11" t="s">
        <v>420</v>
      </c>
      <c r="P7249" s="11" t="s">
        <v>38</v>
      </c>
      <c r="Q7249" s="20">
        <v>41069.0</v>
      </c>
      <c r="R7249" s="17">
        <f t="shared" si="2"/>
        <v>16.67369264</v>
      </c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>
        <f t="shared" si="8"/>
        <v>1</v>
      </c>
      <c r="AF7249" s="19">
        <f t="shared" si="13"/>
        <v>4</v>
      </c>
      <c r="AG7249" s="9"/>
      <c r="AH7249" s="9"/>
      <c r="AI7249" s="9"/>
    </row>
    <row r="7250" ht="15.0" customHeight="1">
      <c r="A7250" s="11">
        <v>7249.0</v>
      </c>
      <c r="B7250" s="12">
        <f t="shared" si="1155"/>
        <v>41067</v>
      </c>
      <c r="C7250" s="13">
        <v>2012.0</v>
      </c>
      <c r="D7250" s="11" t="s">
        <v>39</v>
      </c>
      <c r="E7250" s="11">
        <v>38.0</v>
      </c>
      <c r="F7250" s="14">
        <v>11.5</v>
      </c>
      <c r="G7250" s="15">
        <v>0.047814113597246105</v>
      </c>
      <c r="H7250" s="11" t="s">
        <v>33</v>
      </c>
      <c r="I7250" s="16">
        <v>5.5760000000000005</v>
      </c>
      <c r="J7250" s="11" t="s">
        <v>1702</v>
      </c>
      <c r="K7250" s="11" t="s">
        <v>35</v>
      </c>
      <c r="L7250" s="11" t="s">
        <v>41</v>
      </c>
      <c r="M7250" s="11" t="s">
        <v>28</v>
      </c>
      <c r="N7250" s="11" t="s">
        <v>236</v>
      </c>
      <c r="O7250" s="11" t="s">
        <v>376</v>
      </c>
      <c r="P7250" s="11" t="s">
        <v>38</v>
      </c>
      <c r="Q7250" s="20">
        <v>41069.0</v>
      </c>
      <c r="R7250" s="17">
        <f t="shared" si="2"/>
        <v>21.16137914</v>
      </c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>
        <f t="shared" si="8"/>
        <v>3</v>
      </c>
      <c r="AF7250" s="19">
        <f t="shared" si="13"/>
        <v>2</v>
      </c>
      <c r="AG7250" s="9"/>
      <c r="AH7250" s="9"/>
      <c r="AI7250" s="9"/>
    </row>
    <row r="7251" ht="15.0" customHeight="1">
      <c r="A7251" s="11">
        <v>7250.0</v>
      </c>
      <c r="B7251" s="12">
        <f t="shared" si="1155"/>
        <v>41067</v>
      </c>
      <c r="C7251" s="13">
        <v>2012.0</v>
      </c>
      <c r="D7251" s="11" t="s">
        <v>32</v>
      </c>
      <c r="E7251" s="11">
        <v>16.0</v>
      </c>
      <c r="F7251" s="14">
        <v>1.7</v>
      </c>
      <c r="G7251" s="15">
        <v>0.030572390572390615</v>
      </c>
      <c r="H7251" s="11" t="s">
        <v>33</v>
      </c>
      <c r="I7251" s="16">
        <v>1.592</v>
      </c>
      <c r="J7251" s="11" t="s">
        <v>613</v>
      </c>
      <c r="K7251" s="11" t="s">
        <v>65</v>
      </c>
      <c r="L7251" s="11" t="s">
        <v>41</v>
      </c>
      <c r="M7251" s="11" t="s">
        <v>66</v>
      </c>
      <c r="N7251" s="11" t="s">
        <v>67</v>
      </c>
      <c r="O7251" s="11" t="s">
        <v>149</v>
      </c>
      <c r="P7251" s="11" t="s">
        <v>99</v>
      </c>
      <c r="Q7251" s="20">
        <v>41069.0</v>
      </c>
      <c r="R7251" s="17">
        <f t="shared" si="2"/>
        <v>0.8802402694</v>
      </c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>
        <f t="shared" si="8"/>
        <v>3</v>
      </c>
      <c r="AF7251" s="19">
        <f t="shared" si="13"/>
        <v>5</v>
      </c>
      <c r="AG7251" s="9"/>
      <c r="AH7251" s="9"/>
      <c r="AI7251" s="9"/>
    </row>
    <row r="7252" ht="15.0" customHeight="1">
      <c r="A7252" s="11">
        <v>7251.0</v>
      </c>
      <c r="B7252" s="12">
        <f t="shared" si="1155"/>
        <v>41067</v>
      </c>
      <c r="C7252" s="13">
        <v>2012.0</v>
      </c>
      <c r="D7252" s="11" t="s">
        <v>32</v>
      </c>
      <c r="E7252" s="11">
        <v>12.0</v>
      </c>
      <c r="F7252" s="14">
        <v>20.9</v>
      </c>
      <c r="G7252" s="15">
        <v>0.08867313915857623</v>
      </c>
      <c r="H7252" s="11" t="s">
        <v>33</v>
      </c>
      <c r="I7252" s="16">
        <v>2.64</v>
      </c>
      <c r="J7252" s="11" t="s">
        <v>613</v>
      </c>
      <c r="K7252" s="11" t="s">
        <v>65</v>
      </c>
      <c r="L7252" s="11" t="s">
        <v>41</v>
      </c>
      <c r="M7252" s="11" t="s">
        <v>66</v>
      </c>
      <c r="N7252" s="11" t="s">
        <v>80</v>
      </c>
      <c r="O7252" s="11" t="s">
        <v>848</v>
      </c>
      <c r="P7252" s="11" t="s">
        <v>99</v>
      </c>
      <c r="Q7252" s="20">
        <v>41069.0</v>
      </c>
      <c r="R7252" s="17">
        <f t="shared" si="2"/>
        <v>22.47332039</v>
      </c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>
        <f t="shared" si="8"/>
        <v>3</v>
      </c>
      <c r="AF7252" s="19">
        <f t="shared" si="13"/>
        <v>5</v>
      </c>
      <c r="AG7252" s="9"/>
      <c r="AH7252" s="9"/>
      <c r="AI7252" s="9"/>
    </row>
    <row r="7253" ht="15.0" customHeight="1">
      <c r="A7253" s="11">
        <v>7252.0</v>
      </c>
      <c r="B7253" s="12">
        <f t="shared" si="1155"/>
        <v>41067</v>
      </c>
      <c r="C7253" s="13">
        <v>2012.0</v>
      </c>
      <c r="D7253" s="11" t="s">
        <v>39</v>
      </c>
      <c r="E7253" s="11">
        <v>36.0</v>
      </c>
      <c r="F7253" s="14">
        <v>120.9</v>
      </c>
      <c r="G7253" s="15">
        <v>0.09187076884620972</v>
      </c>
      <c r="H7253" s="11" t="s">
        <v>24</v>
      </c>
      <c r="I7253" s="16">
        <v>7.256</v>
      </c>
      <c r="J7253" s="11" t="s">
        <v>456</v>
      </c>
      <c r="K7253" s="11" t="s">
        <v>35</v>
      </c>
      <c r="L7253" s="11" t="s">
        <v>27</v>
      </c>
      <c r="M7253" s="11" t="s">
        <v>28</v>
      </c>
      <c r="N7253" s="11" t="s">
        <v>42</v>
      </c>
      <c r="O7253" s="11" t="s">
        <v>772</v>
      </c>
      <c r="P7253" s="11" t="s">
        <v>38</v>
      </c>
      <c r="Q7253" s="20">
        <v>41069.0</v>
      </c>
      <c r="R7253" s="17">
        <f t="shared" si="2"/>
        <v>400.5249486</v>
      </c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>
        <f t="shared" si="8"/>
        <v>1</v>
      </c>
      <c r="AF7253" s="19">
        <f t="shared" si="13"/>
        <v>2</v>
      </c>
      <c r="AG7253" s="9"/>
      <c r="AH7253" s="9"/>
      <c r="AI7253" s="9"/>
    </row>
    <row r="7254" ht="15.0" customHeight="1">
      <c r="A7254" s="11">
        <v>7253.0</v>
      </c>
      <c r="B7254" s="12">
        <f t="shared" ref="B7254:B7263" si="1156">DATE(2012,12,31)-206</f>
        <v>41068</v>
      </c>
      <c r="C7254" s="13">
        <v>2012.0</v>
      </c>
      <c r="D7254" s="11" t="s">
        <v>23</v>
      </c>
      <c r="E7254" s="11">
        <v>32.0</v>
      </c>
      <c r="F7254" s="14">
        <v>21.7</v>
      </c>
      <c r="G7254" s="15">
        <v>0.005332195191350189</v>
      </c>
      <c r="H7254" s="11" t="s">
        <v>33</v>
      </c>
      <c r="I7254" s="16">
        <v>4.752000000000001</v>
      </c>
      <c r="J7254" s="11" t="s">
        <v>863</v>
      </c>
      <c r="K7254" s="11" t="s">
        <v>714</v>
      </c>
      <c r="L7254" s="11" t="s">
        <v>27</v>
      </c>
      <c r="M7254" s="11" t="s">
        <v>28</v>
      </c>
      <c r="N7254" s="11" t="s">
        <v>197</v>
      </c>
      <c r="O7254" s="11" t="s">
        <v>1574</v>
      </c>
      <c r="P7254" s="11" t="s">
        <v>75</v>
      </c>
      <c r="Q7254" s="20">
        <v>41069.0</v>
      </c>
      <c r="R7254" s="17">
        <f t="shared" si="2"/>
        <v>3.728014932</v>
      </c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>
        <f t="shared" si="8"/>
        <v>1</v>
      </c>
      <c r="AF7254" s="19" t="b">
        <f t="shared" si="13"/>
        <v>0</v>
      </c>
      <c r="AG7254" s="9"/>
      <c r="AH7254" s="9"/>
      <c r="AI7254" s="9"/>
    </row>
    <row r="7255" ht="15.0" customHeight="1">
      <c r="A7255" s="11">
        <v>7254.0</v>
      </c>
      <c r="B7255" s="12">
        <f t="shared" si="1156"/>
        <v>41068</v>
      </c>
      <c r="C7255" s="13">
        <v>2012.0</v>
      </c>
      <c r="D7255" s="11" t="s">
        <v>23</v>
      </c>
      <c r="E7255" s="11">
        <v>31.0</v>
      </c>
      <c r="F7255" s="14">
        <v>47.9</v>
      </c>
      <c r="G7255" s="15">
        <v>0.04050819037791831</v>
      </c>
      <c r="H7255" s="11" t="s">
        <v>33</v>
      </c>
      <c r="I7255" s="16">
        <v>2.888</v>
      </c>
      <c r="J7255" s="11" t="s">
        <v>863</v>
      </c>
      <c r="K7255" s="11" t="s">
        <v>714</v>
      </c>
      <c r="L7255" s="11" t="s">
        <v>27</v>
      </c>
      <c r="M7255" s="11" t="s">
        <v>66</v>
      </c>
      <c r="N7255" s="11" t="s">
        <v>67</v>
      </c>
      <c r="O7255" s="11" t="s">
        <v>854</v>
      </c>
      <c r="P7255" s="11" t="s">
        <v>99</v>
      </c>
      <c r="Q7255" s="20">
        <v>41069.0</v>
      </c>
      <c r="R7255" s="17">
        <f t="shared" si="2"/>
        <v>60.26759955</v>
      </c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>
        <f t="shared" si="8"/>
        <v>1</v>
      </c>
      <c r="AF7255" s="19" t="b">
        <f t="shared" si="13"/>
        <v>0</v>
      </c>
      <c r="AG7255" s="9"/>
      <c r="AH7255" s="9"/>
      <c r="AI7255" s="9"/>
    </row>
    <row r="7256" ht="15.0" customHeight="1">
      <c r="A7256" s="11">
        <v>7255.0</v>
      </c>
      <c r="B7256" s="12">
        <f t="shared" si="1156"/>
        <v>41068</v>
      </c>
      <c r="C7256" s="13">
        <v>2012.0</v>
      </c>
      <c r="D7256" s="11" t="s">
        <v>32</v>
      </c>
      <c r="E7256" s="11">
        <v>31.0</v>
      </c>
      <c r="F7256" s="14">
        <v>9.7</v>
      </c>
      <c r="G7256" s="15">
        <v>0.006894329896907173</v>
      </c>
      <c r="H7256" s="11" t="s">
        <v>33</v>
      </c>
      <c r="I7256" s="16">
        <v>7.56</v>
      </c>
      <c r="J7256" s="11" t="s">
        <v>1353</v>
      </c>
      <c r="K7256" s="11" t="s">
        <v>26</v>
      </c>
      <c r="L7256" s="11" t="s">
        <v>36</v>
      </c>
      <c r="M7256" s="11" t="s">
        <v>28</v>
      </c>
      <c r="N7256" s="11" t="s">
        <v>29</v>
      </c>
      <c r="O7256" s="11" t="s">
        <v>660</v>
      </c>
      <c r="P7256" s="11" t="s">
        <v>38</v>
      </c>
      <c r="Q7256" s="20">
        <v>41069.0</v>
      </c>
      <c r="R7256" s="17">
        <f t="shared" si="2"/>
        <v>2.125246134</v>
      </c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>
        <f t="shared" si="8"/>
        <v>2</v>
      </c>
      <c r="AF7256" s="19">
        <f t="shared" si="13"/>
        <v>1</v>
      </c>
      <c r="AG7256" s="9"/>
      <c r="AH7256" s="9"/>
      <c r="AI7256" s="9"/>
    </row>
    <row r="7257" ht="15.0" customHeight="1">
      <c r="A7257" s="11">
        <v>7256.0</v>
      </c>
      <c r="B7257" s="12">
        <f t="shared" si="1156"/>
        <v>41068</v>
      </c>
      <c r="C7257" s="13">
        <v>2012.0</v>
      </c>
      <c r="D7257" s="11" t="s">
        <v>102</v>
      </c>
      <c r="E7257" s="11">
        <v>24.0</v>
      </c>
      <c r="F7257" s="14">
        <v>4.9</v>
      </c>
      <c r="G7257" s="15">
        <v>0.05483613109512379</v>
      </c>
      <c r="H7257" s="11" t="s">
        <v>33</v>
      </c>
      <c r="I7257" s="16">
        <v>0.6400000000000001</v>
      </c>
      <c r="J7257" s="11" t="s">
        <v>2069</v>
      </c>
      <c r="K7257" s="11" t="s">
        <v>35</v>
      </c>
      <c r="L7257" s="11" t="s">
        <v>41</v>
      </c>
      <c r="M7257" s="11" t="s">
        <v>28</v>
      </c>
      <c r="N7257" s="11" t="s">
        <v>56</v>
      </c>
      <c r="O7257" s="11" t="s">
        <v>517</v>
      </c>
      <c r="P7257" s="11" t="s">
        <v>58</v>
      </c>
      <c r="Q7257" s="20">
        <v>41069.0</v>
      </c>
      <c r="R7257" s="17">
        <f t="shared" si="2"/>
        <v>6.483824141</v>
      </c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>
        <f t="shared" si="8"/>
        <v>3</v>
      </c>
      <c r="AF7257" s="19">
        <f t="shared" si="13"/>
        <v>2</v>
      </c>
      <c r="AG7257" s="9"/>
      <c r="AH7257" s="9"/>
      <c r="AI7257" s="9"/>
    </row>
    <row r="7258" ht="15.0" customHeight="1">
      <c r="A7258" s="11">
        <v>7257.0</v>
      </c>
      <c r="B7258" s="12">
        <f t="shared" si="1156"/>
        <v>41068</v>
      </c>
      <c r="C7258" s="13">
        <v>2012.0</v>
      </c>
      <c r="D7258" s="11" t="s">
        <v>102</v>
      </c>
      <c r="E7258" s="11">
        <v>10.0</v>
      </c>
      <c r="F7258" s="14">
        <v>11.9</v>
      </c>
      <c r="G7258" s="15">
        <v>0.051049382716049384</v>
      </c>
      <c r="H7258" s="11" t="s">
        <v>33</v>
      </c>
      <c r="I7258" s="16">
        <v>3.9840000000000004</v>
      </c>
      <c r="J7258" s="11" t="s">
        <v>898</v>
      </c>
      <c r="K7258" s="11" t="s">
        <v>35</v>
      </c>
      <c r="L7258" s="11" t="s">
        <v>48</v>
      </c>
      <c r="M7258" s="11" t="s">
        <v>28</v>
      </c>
      <c r="N7258" s="11" t="s">
        <v>197</v>
      </c>
      <c r="O7258" s="11" t="s">
        <v>1001</v>
      </c>
      <c r="P7258" s="11" t="s">
        <v>38</v>
      </c>
      <c r="Q7258" s="20">
        <v>41070.0</v>
      </c>
      <c r="R7258" s="17">
        <f t="shared" si="2"/>
        <v>6.278257284</v>
      </c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>
        <f t="shared" si="8"/>
        <v>4</v>
      </c>
      <c r="AF7258" s="19">
        <f t="shared" si="13"/>
        <v>2</v>
      </c>
      <c r="AG7258" s="9"/>
      <c r="AH7258" s="9"/>
      <c r="AI7258" s="9"/>
    </row>
    <row r="7259" ht="15.0" customHeight="1">
      <c r="A7259" s="11">
        <v>7258.0</v>
      </c>
      <c r="B7259" s="12">
        <f t="shared" si="1156"/>
        <v>41068</v>
      </c>
      <c r="C7259" s="13">
        <v>2012.0</v>
      </c>
      <c r="D7259" s="11" t="s">
        <v>102</v>
      </c>
      <c r="E7259" s="11">
        <v>11.0</v>
      </c>
      <c r="F7259" s="14">
        <v>195.9</v>
      </c>
      <c r="G7259" s="15">
        <v>0.07481995884773661</v>
      </c>
      <c r="H7259" s="11" t="s">
        <v>33</v>
      </c>
      <c r="I7259" s="16">
        <v>3.3600000000000003</v>
      </c>
      <c r="J7259" s="11" t="s">
        <v>898</v>
      </c>
      <c r="K7259" s="11" t="s">
        <v>35</v>
      </c>
      <c r="L7259" s="11" t="s">
        <v>48</v>
      </c>
      <c r="M7259" s="11" t="s">
        <v>66</v>
      </c>
      <c r="N7259" s="11" t="s">
        <v>80</v>
      </c>
      <c r="O7259" s="11" t="s">
        <v>2067</v>
      </c>
      <c r="P7259" s="11" t="s">
        <v>38</v>
      </c>
      <c r="Q7259" s="20">
        <v>41070.0</v>
      </c>
      <c r="R7259" s="17">
        <f t="shared" si="2"/>
        <v>161.4809244</v>
      </c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>
        <f t="shared" si="8"/>
        <v>4</v>
      </c>
      <c r="AF7259" s="19">
        <f t="shared" si="13"/>
        <v>2</v>
      </c>
      <c r="AG7259" s="9"/>
      <c r="AH7259" s="9"/>
      <c r="AI7259" s="9"/>
    </row>
    <row r="7260" ht="15.0" customHeight="1">
      <c r="A7260" s="11">
        <v>7259.0</v>
      </c>
      <c r="B7260" s="12">
        <f t="shared" si="1156"/>
        <v>41068</v>
      </c>
      <c r="C7260" s="13">
        <v>2012.0</v>
      </c>
      <c r="D7260" s="11" t="s">
        <v>23</v>
      </c>
      <c r="E7260" s="11">
        <v>2.0</v>
      </c>
      <c r="F7260" s="14">
        <v>328.1</v>
      </c>
      <c r="G7260" s="15">
        <v>0.07961116020704449</v>
      </c>
      <c r="H7260" s="11" t="s">
        <v>45</v>
      </c>
      <c r="I7260" s="16">
        <v>72.84</v>
      </c>
      <c r="J7260" s="11" t="s">
        <v>2033</v>
      </c>
      <c r="K7260" s="11" t="s">
        <v>65</v>
      </c>
      <c r="L7260" s="11" t="s">
        <v>27</v>
      </c>
      <c r="M7260" s="11" t="s">
        <v>28</v>
      </c>
      <c r="N7260" s="11" t="s">
        <v>197</v>
      </c>
      <c r="O7260" s="11" t="s">
        <v>348</v>
      </c>
      <c r="P7260" s="11" t="s">
        <v>52</v>
      </c>
      <c r="Q7260" s="20">
        <v>41070.0</v>
      </c>
      <c r="R7260" s="17">
        <f t="shared" si="2"/>
        <v>58.03972024</v>
      </c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>
        <f t="shared" si="8"/>
        <v>1</v>
      </c>
      <c r="AF7260" s="19">
        <f t="shared" si="13"/>
        <v>5</v>
      </c>
      <c r="AG7260" s="9"/>
      <c r="AH7260" s="9"/>
      <c r="AI7260" s="9"/>
    </row>
    <row r="7261" ht="15.0" customHeight="1">
      <c r="A7261" s="11">
        <v>7260.0</v>
      </c>
      <c r="B7261" s="12">
        <f t="shared" si="1156"/>
        <v>41068</v>
      </c>
      <c r="C7261" s="13">
        <v>2012.0</v>
      </c>
      <c r="D7261" s="11" t="s">
        <v>23</v>
      </c>
      <c r="E7261" s="11">
        <v>48.0</v>
      </c>
      <c r="F7261" s="14">
        <v>65.9</v>
      </c>
      <c r="G7261" s="15">
        <v>0.03542799995553826</v>
      </c>
      <c r="H7261" s="11" t="s">
        <v>33</v>
      </c>
      <c r="I7261" s="16">
        <v>4.208</v>
      </c>
      <c r="J7261" s="11" t="s">
        <v>2033</v>
      </c>
      <c r="K7261" s="11" t="s">
        <v>65</v>
      </c>
      <c r="L7261" s="11" t="s">
        <v>27</v>
      </c>
      <c r="M7261" s="11" t="s">
        <v>66</v>
      </c>
      <c r="N7261" s="11" t="s">
        <v>80</v>
      </c>
      <c r="O7261" s="11">
        <v>8860.0</v>
      </c>
      <c r="P7261" s="11" t="s">
        <v>38</v>
      </c>
      <c r="Q7261" s="20">
        <v>41070.0</v>
      </c>
      <c r="R7261" s="17">
        <f t="shared" si="2"/>
        <v>112.2149305</v>
      </c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>
        <f t="shared" si="8"/>
        <v>1</v>
      </c>
      <c r="AF7261" s="19">
        <f t="shared" si="13"/>
        <v>5</v>
      </c>
      <c r="AG7261" s="9"/>
      <c r="AH7261" s="9"/>
      <c r="AI7261" s="9"/>
    </row>
    <row r="7262" ht="15.0" customHeight="1">
      <c r="A7262" s="11">
        <v>7261.0</v>
      </c>
      <c r="B7262" s="12">
        <f t="shared" si="1156"/>
        <v>41068</v>
      </c>
      <c r="C7262" s="13">
        <v>2012.0</v>
      </c>
      <c r="D7262" s="11" t="s">
        <v>23</v>
      </c>
      <c r="E7262" s="11">
        <v>13.0</v>
      </c>
      <c r="F7262" s="14">
        <v>289.5</v>
      </c>
      <c r="G7262" s="15">
        <v>0.03022810663792882</v>
      </c>
      <c r="H7262" s="11" t="s">
        <v>33</v>
      </c>
      <c r="I7262" s="16">
        <v>15.991999999999999</v>
      </c>
      <c r="J7262" s="11" t="s">
        <v>2391</v>
      </c>
      <c r="K7262" s="11" t="s">
        <v>47</v>
      </c>
      <c r="L7262" s="11" t="s">
        <v>48</v>
      </c>
      <c r="M7262" s="11" t="s">
        <v>28</v>
      </c>
      <c r="N7262" s="11" t="s">
        <v>197</v>
      </c>
      <c r="O7262" s="11" t="s">
        <v>2120</v>
      </c>
      <c r="P7262" s="11" t="s">
        <v>38</v>
      </c>
      <c r="Q7262" s="20">
        <v>41071.0</v>
      </c>
      <c r="R7262" s="17">
        <f t="shared" si="2"/>
        <v>114.2468872</v>
      </c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>
        <f t="shared" si="8"/>
        <v>4</v>
      </c>
      <c r="AF7262" s="19">
        <f t="shared" si="13"/>
        <v>3</v>
      </c>
      <c r="AG7262" s="9"/>
      <c r="AH7262" s="9"/>
      <c r="AI7262" s="9"/>
    </row>
    <row r="7263" ht="15.0" customHeight="1">
      <c r="A7263" s="11">
        <v>7262.0</v>
      </c>
      <c r="B7263" s="12">
        <f t="shared" si="1156"/>
        <v>41068</v>
      </c>
      <c r="C7263" s="13">
        <v>2012.0</v>
      </c>
      <c r="D7263" s="11" t="s">
        <v>23</v>
      </c>
      <c r="E7263" s="11">
        <v>39.0</v>
      </c>
      <c r="F7263" s="14">
        <v>1.6</v>
      </c>
      <c r="G7263" s="15">
        <v>0.0938285714285714</v>
      </c>
      <c r="H7263" s="11" t="s">
        <v>33</v>
      </c>
      <c r="I7263" s="16">
        <v>1.032</v>
      </c>
      <c r="J7263" s="11" t="s">
        <v>2391</v>
      </c>
      <c r="K7263" s="11" t="s">
        <v>47</v>
      </c>
      <c r="L7263" s="11" t="s">
        <v>48</v>
      </c>
      <c r="M7263" s="11" t="s">
        <v>28</v>
      </c>
      <c r="N7263" s="11" t="s">
        <v>62</v>
      </c>
      <c r="O7263" s="11" t="s">
        <v>1962</v>
      </c>
      <c r="P7263" s="11" t="s">
        <v>58</v>
      </c>
      <c r="Q7263" s="20">
        <v>41071.0</v>
      </c>
      <c r="R7263" s="17">
        <f t="shared" si="2"/>
        <v>5.951733943</v>
      </c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>
        <f t="shared" si="8"/>
        <v>4</v>
      </c>
      <c r="AF7263" s="19">
        <f t="shared" si="13"/>
        <v>3</v>
      </c>
      <c r="AG7263" s="9"/>
      <c r="AH7263" s="9"/>
      <c r="AI7263" s="9"/>
    </row>
    <row r="7264" ht="15.0" customHeight="1">
      <c r="A7264" s="11">
        <v>7263.0</v>
      </c>
      <c r="B7264" s="12">
        <f>DATE(2012,12,31)-205</f>
        <v>41069</v>
      </c>
      <c r="C7264" s="13">
        <v>2012.0</v>
      </c>
      <c r="D7264" s="11" t="s">
        <v>23</v>
      </c>
      <c r="E7264" s="11">
        <v>24.0</v>
      </c>
      <c r="F7264" s="14">
        <v>19.9</v>
      </c>
      <c r="G7264" s="15">
        <v>0.09007302003370167</v>
      </c>
      <c r="H7264" s="11" t="s">
        <v>33</v>
      </c>
      <c r="I7264" s="16">
        <v>8.392000000000001</v>
      </c>
      <c r="J7264" s="11" t="s">
        <v>1876</v>
      </c>
      <c r="K7264" s="11" t="s">
        <v>61</v>
      </c>
      <c r="L7264" s="11" t="s">
        <v>27</v>
      </c>
      <c r="M7264" s="11" t="s">
        <v>49</v>
      </c>
      <c r="N7264" s="11" t="s">
        <v>73</v>
      </c>
      <c r="O7264" s="11" t="s">
        <v>1135</v>
      </c>
      <c r="P7264" s="11" t="s">
        <v>38</v>
      </c>
      <c r="Q7264" s="20">
        <v>41071.0</v>
      </c>
      <c r="R7264" s="17">
        <f t="shared" si="2"/>
        <v>43.77476715</v>
      </c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>
        <f t="shared" si="8"/>
        <v>1</v>
      </c>
      <c r="AF7264" s="19">
        <f t="shared" si="13"/>
        <v>4</v>
      </c>
      <c r="AG7264" s="9"/>
      <c r="AH7264" s="9"/>
      <c r="AI7264" s="9"/>
    </row>
    <row r="7265" ht="15.0" customHeight="1">
      <c r="A7265" s="11">
        <v>7264.0</v>
      </c>
      <c r="B7265" s="12">
        <f t="shared" ref="B7265:B7270" si="1157">DATE(2012,12,31)-204</f>
        <v>41070</v>
      </c>
      <c r="C7265" s="13">
        <v>2012.0</v>
      </c>
      <c r="D7265" s="11" t="s">
        <v>39</v>
      </c>
      <c r="E7265" s="11">
        <v>1.0</v>
      </c>
      <c r="F7265" s="14">
        <v>3.7</v>
      </c>
      <c r="G7265" s="15">
        <v>0.07565217391304345</v>
      </c>
      <c r="H7265" s="11" t="s">
        <v>33</v>
      </c>
      <c r="I7265" s="16">
        <v>0.5519999999999999</v>
      </c>
      <c r="J7265" s="11" t="s">
        <v>1108</v>
      </c>
      <c r="K7265" s="11" t="s">
        <v>47</v>
      </c>
      <c r="L7265" s="11" t="s">
        <v>48</v>
      </c>
      <c r="M7265" s="11" t="s">
        <v>28</v>
      </c>
      <c r="N7265" s="11" t="s">
        <v>42</v>
      </c>
      <c r="O7265" s="11" t="s">
        <v>2200</v>
      </c>
      <c r="P7265" s="11" t="s">
        <v>38</v>
      </c>
      <c r="Q7265" s="20">
        <v>41071.0</v>
      </c>
      <c r="R7265" s="17">
        <f t="shared" si="2"/>
        <v>0.3216730435</v>
      </c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>
        <f t="shared" si="8"/>
        <v>4</v>
      </c>
      <c r="AF7265" s="19">
        <f t="shared" si="13"/>
        <v>3</v>
      </c>
      <c r="AG7265" s="9"/>
      <c r="AH7265" s="9"/>
      <c r="AI7265" s="9"/>
    </row>
    <row r="7266" ht="15.0" customHeight="1">
      <c r="A7266" s="11">
        <v>7265.0</v>
      </c>
      <c r="B7266" s="12">
        <f t="shared" si="1157"/>
        <v>41070</v>
      </c>
      <c r="C7266" s="13">
        <v>2012.0</v>
      </c>
      <c r="D7266" s="11" t="s">
        <v>32</v>
      </c>
      <c r="E7266" s="11">
        <v>5.0</v>
      </c>
      <c r="F7266" s="14">
        <v>34.5</v>
      </c>
      <c r="G7266" s="15">
        <v>0.10153999999999996</v>
      </c>
      <c r="H7266" s="11" t="s">
        <v>33</v>
      </c>
      <c r="I7266" s="16">
        <v>7.192</v>
      </c>
      <c r="J7266" s="11" t="s">
        <v>485</v>
      </c>
      <c r="K7266" s="11" t="s">
        <v>47</v>
      </c>
      <c r="L7266" s="11" t="s">
        <v>48</v>
      </c>
      <c r="M7266" s="11" t="s">
        <v>28</v>
      </c>
      <c r="N7266" s="11" t="s">
        <v>62</v>
      </c>
      <c r="O7266" s="11" t="s">
        <v>2007</v>
      </c>
      <c r="P7266" s="11" t="s">
        <v>99</v>
      </c>
      <c r="Q7266" s="20">
        <v>41071.0</v>
      </c>
      <c r="R7266" s="17">
        <f t="shared" si="2"/>
        <v>18.24592568</v>
      </c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>
        <f t="shared" si="8"/>
        <v>4</v>
      </c>
      <c r="AF7266" s="19">
        <f t="shared" si="13"/>
        <v>3</v>
      </c>
      <c r="AG7266" s="9"/>
      <c r="AH7266" s="9"/>
      <c r="AI7266" s="9"/>
    </row>
    <row r="7267" ht="15.0" customHeight="1">
      <c r="A7267" s="11">
        <v>7266.0</v>
      </c>
      <c r="B7267" s="12">
        <f t="shared" si="1157"/>
        <v>41070</v>
      </c>
      <c r="C7267" s="13">
        <v>2012.0</v>
      </c>
      <c r="D7267" s="11" t="s">
        <v>102</v>
      </c>
      <c r="E7267" s="11">
        <v>3.0</v>
      </c>
      <c r="F7267" s="14">
        <v>9.7</v>
      </c>
      <c r="G7267" s="15">
        <v>0.047796610169491535</v>
      </c>
      <c r="H7267" s="11" t="s">
        <v>33</v>
      </c>
      <c r="I7267" s="16">
        <v>4.608</v>
      </c>
      <c r="J7267" s="11" t="s">
        <v>148</v>
      </c>
      <c r="K7267" s="11" t="s">
        <v>65</v>
      </c>
      <c r="L7267" s="11" t="s">
        <v>41</v>
      </c>
      <c r="M7267" s="11" t="s">
        <v>28</v>
      </c>
      <c r="N7267" s="11" t="s">
        <v>236</v>
      </c>
      <c r="O7267" s="11" t="s">
        <v>809</v>
      </c>
      <c r="P7267" s="11" t="s">
        <v>38</v>
      </c>
      <c r="Q7267" s="20">
        <v>41071.0</v>
      </c>
      <c r="R7267" s="17">
        <f t="shared" si="2"/>
        <v>1.611128136</v>
      </c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>
        <f t="shared" si="8"/>
        <v>3</v>
      </c>
      <c r="AF7267" s="19">
        <f t="shared" si="13"/>
        <v>5</v>
      </c>
      <c r="AG7267" s="9"/>
      <c r="AH7267" s="9"/>
      <c r="AI7267" s="9"/>
    </row>
    <row r="7268" ht="15.0" customHeight="1">
      <c r="A7268" s="11">
        <v>7267.0</v>
      </c>
      <c r="B7268" s="12">
        <f t="shared" si="1157"/>
        <v>41070</v>
      </c>
      <c r="C7268" s="13">
        <v>2012.0</v>
      </c>
      <c r="D7268" s="11" t="s">
        <v>102</v>
      </c>
      <c r="E7268" s="11">
        <v>11.0</v>
      </c>
      <c r="F7268" s="14">
        <v>21.3</v>
      </c>
      <c r="G7268" s="15">
        <v>0.048869633714060605</v>
      </c>
      <c r="H7268" s="11" t="s">
        <v>33</v>
      </c>
      <c r="I7268" s="16">
        <v>7.192</v>
      </c>
      <c r="J7268" s="11" t="s">
        <v>148</v>
      </c>
      <c r="K7268" s="11" t="s">
        <v>65</v>
      </c>
      <c r="L7268" s="11" t="s">
        <v>41</v>
      </c>
      <c r="M7268" s="11" t="s">
        <v>28</v>
      </c>
      <c r="N7268" s="11" t="s">
        <v>62</v>
      </c>
      <c r="O7268" s="11" t="s">
        <v>890</v>
      </c>
      <c r="P7268" s="11" t="s">
        <v>99</v>
      </c>
      <c r="Q7268" s="20">
        <v>41072.0</v>
      </c>
      <c r="R7268" s="17">
        <f t="shared" si="2"/>
        <v>11.80162558</v>
      </c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>
        <f t="shared" si="8"/>
        <v>3</v>
      </c>
      <c r="AF7268" s="19">
        <f t="shared" si="13"/>
        <v>5</v>
      </c>
      <c r="AG7268" s="9"/>
      <c r="AH7268" s="9"/>
      <c r="AI7268" s="9"/>
    </row>
    <row r="7269" ht="15.0" customHeight="1">
      <c r="A7269" s="11">
        <v>7268.0</v>
      </c>
      <c r="B7269" s="12">
        <f t="shared" si="1157"/>
        <v>41070</v>
      </c>
      <c r="C7269" s="13">
        <v>2012.0</v>
      </c>
      <c r="D7269" s="11" t="s">
        <v>102</v>
      </c>
      <c r="E7269" s="11">
        <v>3.0</v>
      </c>
      <c r="F7269" s="14">
        <v>145.9</v>
      </c>
      <c r="G7269" s="15">
        <v>0.03125934910046481</v>
      </c>
      <c r="H7269" s="11" t="s">
        <v>45</v>
      </c>
      <c r="I7269" s="16">
        <v>41.536</v>
      </c>
      <c r="J7269" s="11" t="s">
        <v>148</v>
      </c>
      <c r="K7269" s="11" t="s">
        <v>65</v>
      </c>
      <c r="L7269" s="11" t="s">
        <v>41</v>
      </c>
      <c r="M7269" s="11" t="s">
        <v>49</v>
      </c>
      <c r="N7269" s="11" t="s">
        <v>85</v>
      </c>
      <c r="O7269" s="11" t="s">
        <v>1418</v>
      </c>
      <c r="P7269" s="11" t="s">
        <v>87</v>
      </c>
      <c r="Q7269" s="20">
        <v>41072.0</v>
      </c>
      <c r="R7269" s="17">
        <f t="shared" si="2"/>
        <v>14.98060543</v>
      </c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>
        <f t="shared" si="8"/>
        <v>3</v>
      </c>
      <c r="AF7269" s="19">
        <f t="shared" si="13"/>
        <v>5</v>
      </c>
      <c r="AG7269" s="9"/>
      <c r="AH7269" s="9"/>
      <c r="AI7269" s="9"/>
    </row>
    <row r="7270" ht="15.0" customHeight="1">
      <c r="A7270" s="11">
        <v>7269.0</v>
      </c>
      <c r="B7270" s="12">
        <f t="shared" si="1157"/>
        <v>41070</v>
      </c>
      <c r="C7270" s="13">
        <v>2012.0</v>
      </c>
      <c r="D7270" s="11" t="s">
        <v>32</v>
      </c>
      <c r="E7270" s="11">
        <v>46.0</v>
      </c>
      <c r="F7270" s="14">
        <v>3.2</v>
      </c>
      <c r="G7270" s="15">
        <v>0.11006474396703936</v>
      </c>
      <c r="H7270" s="11" t="s">
        <v>33</v>
      </c>
      <c r="I7270" s="16">
        <v>4.0</v>
      </c>
      <c r="J7270" s="11" t="s">
        <v>1921</v>
      </c>
      <c r="K7270" s="11" t="s">
        <v>35</v>
      </c>
      <c r="L7270" s="11" t="s">
        <v>27</v>
      </c>
      <c r="M7270" s="11" t="s">
        <v>28</v>
      </c>
      <c r="N7270" s="11" t="s">
        <v>62</v>
      </c>
      <c r="O7270" s="11" t="s">
        <v>2132</v>
      </c>
      <c r="P7270" s="11" t="s">
        <v>58</v>
      </c>
      <c r="Q7270" s="20">
        <v>41072.0</v>
      </c>
      <c r="R7270" s="17">
        <f t="shared" si="2"/>
        <v>16.64178929</v>
      </c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>
        <f t="shared" si="8"/>
        <v>1</v>
      </c>
      <c r="AF7270" s="19">
        <f t="shared" si="13"/>
        <v>2</v>
      </c>
      <c r="AG7270" s="9"/>
      <c r="AH7270" s="9"/>
      <c r="AI7270" s="9"/>
    </row>
    <row r="7271" ht="15.0" customHeight="1">
      <c r="A7271" s="11">
        <v>7270.0</v>
      </c>
      <c r="B7271" s="12">
        <f t="shared" ref="B7271:B7278" si="1158">DATE(2012,12,31)-203</f>
        <v>41071</v>
      </c>
      <c r="C7271" s="13">
        <v>2012.0</v>
      </c>
      <c r="D7271" s="11" t="s">
        <v>44</v>
      </c>
      <c r="E7271" s="11">
        <v>46.0</v>
      </c>
      <c r="F7271" s="14">
        <v>125.9</v>
      </c>
      <c r="G7271" s="15">
        <v>0.010785826449102207</v>
      </c>
      <c r="H7271" s="11" t="s">
        <v>33</v>
      </c>
      <c r="I7271" s="16">
        <v>4.208</v>
      </c>
      <c r="J7271" s="11" t="s">
        <v>174</v>
      </c>
      <c r="K7271" s="11" t="s">
        <v>35</v>
      </c>
      <c r="L7271" s="11" t="s">
        <v>36</v>
      </c>
      <c r="M7271" s="11" t="s">
        <v>66</v>
      </c>
      <c r="N7271" s="11" t="s">
        <v>80</v>
      </c>
      <c r="O7271" s="11">
        <v>232.0</v>
      </c>
      <c r="P7271" s="11" t="s">
        <v>38</v>
      </c>
      <c r="Q7271" s="20">
        <v>41072.0</v>
      </c>
      <c r="R7271" s="17">
        <f t="shared" si="2"/>
        <v>62.51042206</v>
      </c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>
        <f t="shared" si="8"/>
        <v>2</v>
      </c>
      <c r="AF7271" s="19">
        <f t="shared" si="13"/>
        <v>2</v>
      </c>
      <c r="AG7271" s="9"/>
      <c r="AH7271" s="9"/>
      <c r="AI7271" s="9"/>
    </row>
    <row r="7272" ht="15.0" customHeight="1">
      <c r="A7272" s="11">
        <v>7271.0</v>
      </c>
      <c r="B7272" s="12">
        <f t="shared" si="1158"/>
        <v>41071</v>
      </c>
      <c r="C7272" s="13">
        <v>2012.0</v>
      </c>
      <c r="D7272" s="11" t="s">
        <v>32</v>
      </c>
      <c r="E7272" s="11">
        <v>23.0</v>
      </c>
      <c r="F7272" s="14">
        <v>40.9</v>
      </c>
      <c r="G7272" s="15">
        <v>0.09393521180755239</v>
      </c>
      <c r="H7272" s="11" t="s">
        <v>33</v>
      </c>
      <c r="I7272" s="16">
        <v>4.688000000000001</v>
      </c>
      <c r="J7272" s="11" t="s">
        <v>815</v>
      </c>
      <c r="K7272" s="11" t="s">
        <v>61</v>
      </c>
      <c r="L7272" s="11" t="s">
        <v>36</v>
      </c>
      <c r="M7272" s="11" t="s">
        <v>28</v>
      </c>
      <c r="N7272" s="11" t="s">
        <v>56</v>
      </c>
      <c r="O7272" s="11" t="s">
        <v>2366</v>
      </c>
      <c r="P7272" s="11" t="s">
        <v>38</v>
      </c>
      <c r="Q7272" s="20">
        <v>41072.0</v>
      </c>
      <c r="R7272" s="17">
        <f t="shared" si="2"/>
        <v>88.80522202</v>
      </c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>
        <f t="shared" si="8"/>
        <v>2</v>
      </c>
      <c r="AF7272" s="19">
        <f t="shared" si="13"/>
        <v>4</v>
      </c>
      <c r="AG7272" s="9"/>
      <c r="AH7272" s="9"/>
      <c r="AI7272" s="9"/>
    </row>
    <row r="7273" ht="15.0" customHeight="1">
      <c r="A7273" s="11">
        <v>7272.0</v>
      </c>
      <c r="B7273" s="12">
        <f t="shared" si="1158"/>
        <v>41071</v>
      </c>
      <c r="C7273" s="13">
        <v>2012.0</v>
      </c>
      <c r="D7273" s="11" t="s">
        <v>102</v>
      </c>
      <c r="E7273" s="11">
        <v>2.0</v>
      </c>
      <c r="F7273" s="14">
        <v>8.0</v>
      </c>
      <c r="G7273" s="15">
        <v>0.1328838951310861</v>
      </c>
      <c r="H7273" s="11" t="s">
        <v>33</v>
      </c>
      <c r="I7273" s="16">
        <v>7.152</v>
      </c>
      <c r="J7273" s="11" t="s">
        <v>1345</v>
      </c>
      <c r="K7273" s="11" t="s">
        <v>83</v>
      </c>
      <c r="L7273" s="11" t="s">
        <v>48</v>
      </c>
      <c r="M7273" s="11" t="s">
        <v>28</v>
      </c>
      <c r="N7273" s="11" t="s">
        <v>42</v>
      </c>
      <c r="O7273" s="11" t="s">
        <v>1126</v>
      </c>
      <c r="P7273" s="11" t="s">
        <v>38</v>
      </c>
      <c r="Q7273" s="20">
        <v>41072.0</v>
      </c>
      <c r="R7273" s="17">
        <f t="shared" si="2"/>
        <v>3.07652794</v>
      </c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>
        <f t="shared" si="8"/>
        <v>4</v>
      </c>
      <c r="AF7273" s="19" t="b">
        <f t="shared" si="13"/>
        <v>0</v>
      </c>
      <c r="AG7273" s="9"/>
      <c r="AH7273" s="9"/>
      <c r="AI7273" s="9"/>
    </row>
    <row r="7274" ht="15.0" customHeight="1">
      <c r="A7274" s="11">
        <v>7273.0</v>
      </c>
      <c r="B7274" s="12">
        <f t="shared" si="1158"/>
        <v>41071</v>
      </c>
      <c r="C7274" s="13">
        <v>2012.0</v>
      </c>
      <c r="D7274" s="11" t="s">
        <v>39</v>
      </c>
      <c r="E7274" s="11">
        <v>27.0</v>
      </c>
      <c r="F7274" s="14">
        <v>33.9</v>
      </c>
      <c r="G7274" s="15">
        <v>0.0885770209434332</v>
      </c>
      <c r="H7274" s="11" t="s">
        <v>24</v>
      </c>
      <c r="I7274" s="16">
        <v>15.991999999999999</v>
      </c>
      <c r="J7274" s="11" t="s">
        <v>155</v>
      </c>
      <c r="K7274" s="11" t="s">
        <v>117</v>
      </c>
      <c r="L7274" s="11" t="s">
        <v>41</v>
      </c>
      <c r="M7274" s="11" t="s">
        <v>49</v>
      </c>
      <c r="N7274" s="11" t="s">
        <v>73</v>
      </c>
      <c r="O7274" s="11" t="s">
        <v>1820</v>
      </c>
      <c r="P7274" s="11" t="s">
        <v>38</v>
      </c>
      <c r="Q7274" s="20">
        <v>41072.0</v>
      </c>
      <c r="R7274" s="17">
        <f t="shared" si="2"/>
        <v>82.49107099</v>
      </c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>
        <f t="shared" si="8"/>
        <v>3</v>
      </c>
      <c r="AF7274" s="19" t="b">
        <f t="shared" si="13"/>
        <v>0</v>
      </c>
      <c r="AG7274" s="9"/>
      <c r="AH7274" s="9"/>
      <c r="AI7274" s="9"/>
    </row>
    <row r="7275" ht="15.0" customHeight="1">
      <c r="A7275" s="11">
        <v>7274.0</v>
      </c>
      <c r="B7275" s="12">
        <f t="shared" si="1158"/>
        <v>41071</v>
      </c>
      <c r="C7275" s="13">
        <v>2012.0</v>
      </c>
      <c r="D7275" s="11" t="s">
        <v>44</v>
      </c>
      <c r="E7275" s="11">
        <v>1.0</v>
      </c>
      <c r="F7275" s="14">
        <v>18.9</v>
      </c>
      <c r="G7275" s="15">
        <v>0.11142857142857143</v>
      </c>
      <c r="H7275" s="11" t="s">
        <v>24</v>
      </c>
      <c r="I7275" s="16">
        <v>7.224</v>
      </c>
      <c r="J7275" s="11" t="s">
        <v>2297</v>
      </c>
      <c r="K7275" s="11" t="s">
        <v>47</v>
      </c>
      <c r="L7275" s="11" t="s">
        <v>41</v>
      </c>
      <c r="M7275" s="11" t="s">
        <v>28</v>
      </c>
      <c r="N7275" s="11" t="s">
        <v>56</v>
      </c>
      <c r="O7275" s="11" t="s">
        <v>388</v>
      </c>
      <c r="P7275" s="11" t="s">
        <v>38</v>
      </c>
      <c r="Q7275" s="20">
        <v>41072.0</v>
      </c>
      <c r="R7275" s="17">
        <f t="shared" si="2"/>
        <v>2.91096</v>
      </c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>
        <f t="shared" si="8"/>
        <v>3</v>
      </c>
      <c r="AF7275" s="19">
        <f t="shared" si="13"/>
        <v>3</v>
      </c>
      <c r="AG7275" s="9"/>
      <c r="AH7275" s="9"/>
      <c r="AI7275" s="9"/>
    </row>
    <row r="7276" ht="15.0" customHeight="1">
      <c r="A7276" s="11">
        <v>7275.0</v>
      </c>
      <c r="B7276" s="12">
        <f t="shared" si="1158"/>
        <v>41071</v>
      </c>
      <c r="C7276" s="13">
        <v>2012.0</v>
      </c>
      <c r="D7276" s="11" t="s">
        <v>102</v>
      </c>
      <c r="E7276" s="11">
        <v>7.0</v>
      </c>
      <c r="F7276" s="14">
        <v>120.9</v>
      </c>
      <c r="G7276" s="15">
        <v>0.09493160401256447</v>
      </c>
      <c r="H7276" s="11" t="s">
        <v>45</v>
      </c>
      <c r="I7276" s="16">
        <v>46.912000000000006</v>
      </c>
      <c r="J7276" s="11" t="s">
        <v>1629</v>
      </c>
      <c r="K7276" s="11" t="s">
        <v>65</v>
      </c>
      <c r="L7276" s="11" t="s">
        <v>41</v>
      </c>
      <c r="M7276" s="11" t="s">
        <v>49</v>
      </c>
      <c r="N7276" s="11" t="s">
        <v>156</v>
      </c>
      <c r="O7276" s="11" t="s">
        <v>649</v>
      </c>
      <c r="P7276" s="11" t="s">
        <v>87</v>
      </c>
      <c r="Q7276" s="20">
        <v>41072.0</v>
      </c>
      <c r="R7276" s="17">
        <f t="shared" si="2"/>
        <v>84.79404788</v>
      </c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>
        <f t="shared" si="8"/>
        <v>3</v>
      </c>
      <c r="AF7276" s="19">
        <f t="shared" si="13"/>
        <v>5</v>
      </c>
      <c r="AG7276" s="9"/>
      <c r="AH7276" s="9"/>
      <c r="AI7276" s="9"/>
    </row>
    <row r="7277" ht="15.0" customHeight="1">
      <c r="A7277" s="11">
        <v>7276.0</v>
      </c>
      <c r="B7277" s="12">
        <f t="shared" si="1158"/>
        <v>41071</v>
      </c>
      <c r="C7277" s="13">
        <v>2012.0</v>
      </c>
      <c r="D7277" s="11" t="s">
        <v>102</v>
      </c>
      <c r="E7277" s="11">
        <v>41.0</v>
      </c>
      <c r="F7277" s="14">
        <v>20.9</v>
      </c>
      <c r="G7277" s="15">
        <v>0.014630243456394965</v>
      </c>
      <c r="H7277" s="11" t="s">
        <v>33</v>
      </c>
      <c r="I7277" s="16">
        <v>5.2</v>
      </c>
      <c r="J7277" s="11" t="s">
        <v>1629</v>
      </c>
      <c r="K7277" s="11" t="s">
        <v>65</v>
      </c>
      <c r="L7277" s="11" t="s">
        <v>41</v>
      </c>
      <c r="M7277" s="11" t="s">
        <v>66</v>
      </c>
      <c r="N7277" s="11" t="s">
        <v>67</v>
      </c>
      <c r="O7277" s="11" t="s">
        <v>2130</v>
      </c>
      <c r="P7277" s="11" t="s">
        <v>38</v>
      </c>
      <c r="Q7277" s="20">
        <v>41072.0</v>
      </c>
      <c r="R7277" s="17">
        <f t="shared" si="2"/>
        <v>12.61273288</v>
      </c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>
        <f t="shared" si="8"/>
        <v>3</v>
      </c>
      <c r="AF7277" s="19">
        <f t="shared" si="13"/>
        <v>5</v>
      </c>
      <c r="AG7277" s="9"/>
      <c r="AH7277" s="9"/>
      <c r="AI7277" s="9"/>
    </row>
    <row r="7278" ht="15.0" customHeight="1">
      <c r="A7278" s="11">
        <v>7277.0</v>
      </c>
      <c r="B7278" s="12">
        <f t="shared" si="1158"/>
        <v>41071</v>
      </c>
      <c r="C7278" s="13">
        <v>2012.0</v>
      </c>
      <c r="D7278" s="11" t="s">
        <v>102</v>
      </c>
      <c r="E7278" s="11">
        <v>46.0</v>
      </c>
      <c r="F7278" s="14">
        <v>20.9</v>
      </c>
      <c r="G7278" s="15">
        <v>0.0949186341830495</v>
      </c>
      <c r="H7278" s="11" t="s">
        <v>33</v>
      </c>
      <c r="I7278" s="16">
        <v>0.792</v>
      </c>
      <c r="J7278" s="11" t="s">
        <v>1629</v>
      </c>
      <c r="K7278" s="11" t="s">
        <v>65</v>
      </c>
      <c r="L7278" s="11" t="s">
        <v>41</v>
      </c>
      <c r="M7278" s="11" t="s">
        <v>66</v>
      </c>
      <c r="N7278" s="11" t="s">
        <v>80</v>
      </c>
      <c r="O7278" s="11" t="s">
        <v>1854</v>
      </c>
      <c r="P7278" s="11" t="s">
        <v>58</v>
      </c>
      <c r="Q7278" s="20">
        <v>41073.0</v>
      </c>
      <c r="R7278" s="17">
        <f t="shared" si="2"/>
        <v>91.32995046</v>
      </c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>
        <f t="shared" si="8"/>
        <v>3</v>
      </c>
      <c r="AF7278" s="19">
        <f t="shared" si="13"/>
        <v>5</v>
      </c>
      <c r="AG7278" s="9"/>
      <c r="AH7278" s="9"/>
      <c r="AI7278" s="9"/>
    </row>
    <row r="7279" ht="15.0" customHeight="1">
      <c r="A7279" s="11">
        <v>7278.0</v>
      </c>
      <c r="B7279" s="12">
        <f t="shared" ref="B7279:B7284" si="1159">DATE(2012,12,31)-202</f>
        <v>41072</v>
      </c>
      <c r="C7279" s="13">
        <v>2012.0</v>
      </c>
      <c r="D7279" s="11" t="s">
        <v>39</v>
      </c>
      <c r="E7279" s="11">
        <v>11.0</v>
      </c>
      <c r="F7279" s="14">
        <v>28.1</v>
      </c>
      <c r="G7279" s="15">
        <v>0.0721853916104428</v>
      </c>
      <c r="H7279" s="11" t="s">
        <v>24</v>
      </c>
      <c r="I7279" s="16">
        <v>7.192</v>
      </c>
      <c r="J7279" s="11" t="s">
        <v>2375</v>
      </c>
      <c r="K7279" s="11" t="s">
        <v>117</v>
      </c>
      <c r="L7279" s="11" t="s">
        <v>48</v>
      </c>
      <c r="M7279" s="11" t="s">
        <v>28</v>
      </c>
      <c r="N7279" s="11" t="s">
        <v>62</v>
      </c>
      <c r="O7279" s="11" t="s">
        <v>2547</v>
      </c>
      <c r="P7279" s="11" t="s">
        <v>99</v>
      </c>
      <c r="Q7279" s="20">
        <v>41073.0</v>
      </c>
      <c r="R7279" s="17">
        <f t="shared" si="2"/>
        <v>22.83166188</v>
      </c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>
        <f t="shared" si="8"/>
        <v>4</v>
      </c>
      <c r="AF7279" s="19" t="b">
        <f t="shared" si="13"/>
        <v>0</v>
      </c>
      <c r="AG7279" s="9"/>
      <c r="AH7279" s="9"/>
      <c r="AI7279" s="9"/>
    </row>
    <row r="7280" ht="15.0" customHeight="1">
      <c r="A7280" s="11">
        <v>7279.0</v>
      </c>
      <c r="B7280" s="12">
        <f t="shared" si="1159"/>
        <v>41072</v>
      </c>
      <c r="C7280" s="13">
        <v>2012.0</v>
      </c>
      <c r="D7280" s="11" t="s">
        <v>44</v>
      </c>
      <c r="E7280" s="11">
        <v>3.0</v>
      </c>
      <c r="F7280" s="14">
        <v>43.4</v>
      </c>
      <c r="G7280" s="15">
        <v>0.03358600583090382</v>
      </c>
      <c r="H7280" s="11" t="s">
        <v>33</v>
      </c>
      <c r="I7280" s="16">
        <v>2.3920000000000003</v>
      </c>
      <c r="J7280" s="11" t="s">
        <v>597</v>
      </c>
      <c r="K7280" s="11" t="s">
        <v>26</v>
      </c>
      <c r="L7280" s="11" t="s">
        <v>27</v>
      </c>
      <c r="M7280" s="11" t="s">
        <v>28</v>
      </c>
      <c r="N7280" s="11" t="s">
        <v>42</v>
      </c>
      <c r="O7280" s="11" t="s">
        <v>2518</v>
      </c>
      <c r="P7280" s="11" t="s">
        <v>38</v>
      </c>
      <c r="Q7280" s="20">
        <v>41073.0</v>
      </c>
      <c r="R7280" s="17">
        <f t="shared" si="2"/>
        <v>4.453235685</v>
      </c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>
        <f t="shared" si="8"/>
        <v>1</v>
      </c>
      <c r="AF7280" s="19">
        <f t="shared" si="13"/>
        <v>1</v>
      </c>
      <c r="AG7280" s="9"/>
      <c r="AH7280" s="9"/>
      <c r="AI7280" s="9"/>
    </row>
    <row r="7281" ht="15.0" customHeight="1">
      <c r="A7281" s="11">
        <v>7280.0</v>
      </c>
      <c r="B7281" s="12">
        <f t="shared" si="1159"/>
        <v>41072</v>
      </c>
      <c r="C7281" s="13">
        <v>2012.0</v>
      </c>
      <c r="D7281" s="11" t="s">
        <v>102</v>
      </c>
      <c r="E7281" s="11">
        <v>27.0</v>
      </c>
      <c r="F7281" s="14">
        <v>14.5</v>
      </c>
      <c r="G7281" s="15">
        <v>0.043889427740058114</v>
      </c>
      <c r="H7281" s="11" t="s">
        <v>33</v>
      </c>
      <c r="I7281" s="16">
        <v>2.8000000000000003</v>
      </c>
      <c r="J7281" s="11" t="s">
        <v>1490</v>
      </c>
      <c r="K7281" s="11" t="s">
        <v>61</v>
      </c>
      <c r="L7281" s="11" t="s">
        <v>48</v>
      </c>
      <c r="M7281" s="11" t="s">
        <v>28</v>
      </c>
      <c r="N7281" s="11" t="s">
        <v>197</v>
      </c>
      <c r="O7281" s="11" t="s">
        <v>198</v>
      </c>
      <c r="P7281" s="11" t="s">
        <v>38</v>
      </c>
      <c r="Q7281" s="20">
        <v>41074.0</v>
      </c>
      <c r="R7281" s="17">
        <f t="shared" si="2"/>
        <v>17.30560136</v>
      </c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>
        <f t="shared" si="8"/>
        <v>4</v>
      </c>
      <c r="AF7281" s="19">
        <f t="shared" si="13"/>
        <v>4</v>
      </c>
      <c r="AG7281" s="9"/>
      <c r="AH7281" s="9"/>
      <c r="AI7281" s="9"/>
    </row>
    <row r="7282" ht="15.0" customHeight="1">
      <c r="A7282" s="11">
        <v>7281.0</v>
      </c>
      <c r="B7282" s="12">
        <f t="shared" si="1159"/>
        <v>41072</v>
      </c>
      <c r="C7282" s="13">
        <v>2012.0</v>
      </c>
      <c r="D7282" s="11" t="s">
        <v>102</v>
      </c>
      <c r="E7282" s="11">
        <v>22.0</v>
      </c>
      <c r="F7282" s="14">
        <v>270.9</v>
      </c>
      <c r="G7282" s="15">
        <v>0.09198913224959407</v>
      </c>
      <c r="H7282" s="11" t="s">
        <v>45</v>
      </c>
      <c r="I7282" s="16">
        <v>22.448</v>
      </c>
      <c r="J7282" s="11" t="s">
        <v>1490</v>
      </c>
      <c r="K7282" s="11" t="s">
        <v>61</v>
      </c>
      <c r="L7282" s="11" t="s">
        <v>48</v>
      </c>
      <c r="M7282" s="11" t="s">
        <v>66</v>
      </c>
      <c r="N7282" s="11" t="s">
        <v>69</v>
      </c>
      <c r="O7282" s="11" t="s">
        <v>916</v>
      </c>
      <c r="P7282" s="11" t="s">
        <v>52</v>
      </c>
      <c r="Q7282" s="20">
        <v>41074.0</v>
      </c>
      <c r="R7282" s="17">
        <f t="shared" si="2"/>
        <v>550.3018024</v>
      </c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>
        <f t="shared" si="8"/>
        <v>4</v>
      </c>
      <c r="AF7282" s="19">
        <f t="shared" si="13"/>
        <v>4</v>
      </c>
      <c r="AG7282" s="9"/>
      <c r="AH7282" s="9"/>
      <c r="AI7282" s="9"/>
    </row>
    <row r="7283" ht="15.0" customHeight="1">
      <c r="A7283" s="11">
        <v>7282.0</v>
      </c>
      <c r="B7283" s="12">
        <f t="shared" si="1159"/>
        <v>41072</v>
      </c>
      <c r="C7283" s="13">
        <v>2012.0</v>
      </c>
      <c r="D7283" s="11" t="s">
        <v>23</v>
      </c>
      <c r="E7283" s="11">
        <v>41.0</v>
      </c>
      <c r="F7283" s="14">
        <v>9.1</v>
      </c>
      <c r="G7283" s="15">
        <v>0.05847776940467227</v>
      </c>
      <c r="H7283" s="11" t="s">
        <v>33</v>
      </c>
      <c r="I7283" s="16">
        <v>1.72</v>
      </c>
      <c r="J7283" s="11" t="s">
        <v>46</v>
      </c>
      <c r="K7283" s="11" t="s">
        <v>47</v>
      </c>
      <c r="L7283" s="11" t="s">
        <v>48</v>
      </c>
      <c r="M7283" s="11" t="s">
        <v>28</v>
      </c>
      <c r="N7283" s="11" t="s">
        <v>56</v>
      </c>
      <c r="O7283" s="11" t="s">
        <v>57</v>
      </c>
      <c r="P7283" s="11" t="s">
        <v>58</v>
      </c>
      <c r="Q7283" s="20">
        <v>41074.0</v>
      </c>
      <c r="R7283" s="17">
        <f t="shared" si="2"/>
        <v>21.91863753</v>
      </c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>
        <f t="shared" si="8"/>
        <v>4</v>
      </c>
      <c r="AF7283" s="19">
        <f t="shared" si="13"/>
        <v>3</v>
      </c>
      <c r="AG7283" s="9"/>
      <c r="AH7283" s="9"/>
      <c r="AI7283" s="9"/>
    </row>
    <row r="7284" ht="15.0" customHeight="1">
      <c r="A7284" s="11">
        <v>7283.0</v>
      </c>
      <c r="B7284" s="12">
        <f t="shared" si="1159"/>
        <v>41072</v>
      </c>
      <c r="C7284" s="13">
        <v>2012.0</v>
      </c>
      <c r="D7284" s="11" t="s">
        <v>44</v>
      </c>
      <c r="E7284" s="11">
        <v>21.0</v>
      </c>
      <c r="F7284" s="14">
        <v>2.6</v>
      </c>
      <c r="G7284" s="15">
        <v>0.04051446945337626</v>
      </c>
      <c r="H7284" s="11" t="s">
        <v>33</v>
      </c>
      <c r="I7284" s="16">
        <v>5.08</v>
      </c>
      <c r="J7284" s="11" t="s">
        <v>436</v>
      </c>
      <c r="K7284" s="11" t="s">
        <v>65</v>
      </c>
      <c r="L7284" s="11" t="s">
        <v>36</v>
      </c>
      <c r="M7284" s="11" t="s">
        <v>28</v>
      </c>
      <c r="N7284" s="11" t="s">
        <v>236</v>
      </c>
      <c r="O7284" s="11" t="s">
        <v>1846</v>
      </c>
      <c r="P7284" s="11" t="s">
        <v>38</v>
      </c>
      <c r="Q7284" s="20">
        <v>41074.0</v>
      </c>
      <c r="R7284" s="17">
        <f t="shared" si="2"/>
        <v>2.417903537</v>
      </c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>
        <f t="shared" si="8"/>
        <v>2</v>
      </c>
      <c r="AF7284" s="19">
        <f t="shared" si="13"/>
        <v>5</v>
      </c>
      <c r="AG7284" s="9"/>
      <c r="AH7284" s="9"/>
      <c r="AI7284" s="9"/>
    </row>
    <row r="7285" ht="15.0" customHeight="1">
      <c r="A7285" s="11">
        <v>7284.0</v>
      </c>
      <c r="B7285" s="12">
        <f t="shared" ref="B7285:B7291" si="1160">DATE(2012,12,31)-201</f>
        <v>41073</v>
      </c>
      <c r="C7285" s="13">
        <v>2012.0</v>
      </c>
      <c r="D7285" s="11" t="s">
        <v>102</v>
      </c>
      <c r="E7285" s="11">
        <v>41.0</v>
      </c>
      <c r="F7285" s="14">
        <v>3.1</v>
      </c>
      <c r="G7285" s="15">
        <v>0.015038284839203666</v>
      </c>
      <c r="H7285" s="11" t="s">
        <v>33</v>
      </c>
      <c r="I7285" s="16">
        <v>1.536</v>
      </c>
      <c r="J7285" s="11" t="s">
        <v>1355</v>
      </c>
      <c r="K7285" s="11" t="s">
        <v>61</v>
      </c>
      <c r="L7285" s="11" t="s">
        <v>27</v>
      </c>
      <c r="M7285" s="11" t="s">
        <v>28</v>
      </c>
      <c r="N7285" s="11" t="s">
        <v>442</v>
      </c>
      <c r="O7285" s="11" t="s">
        <v>1776</v>
      </c>
      <c r="P7285" s="11" t="s">
        <v>58</v>
      </c>
      <c r="Q7285" s="20">
        <v>41074.0</v>
      </c>
      <c r="R7285" s="17">
        <f t="shared" si="2"/>
        <v>1.934464809</v>
      </c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>
        <f t="shared" si="8"/>
        <v>1</v>
      </c>
      <c r="AF7285" s="19">
        <f t="shared" si="13"/>
        <v>4</v>
      </c>
      <c r="AG7285" s="9"/>
      <c r="AH7285" s="9"/>
      <c r="AI7285" s="9"/>
    </row>
    <row r="7286" ht="15.0" customHeight="1">
      <c r="A7286" s="11">
        <v>7285.0</v>
      </c>
      <c r="B7286" s="12">
        <f t="shared" si="1160"/>
        <v>41073</v>
      </c>
      <c r="C7286" s="13">
        <v>2012.0</v>
      </c>
      <c r="D7286" s="11" t="s">
        <v>102</v>
      </c>
      <c r="E7286" s="11">
        <v>21.0</v>
      </c>
      <c r="F7286" s="14">
        <v>6.3</v>
      </c>
      <c r="G7286" s="15">
        <v>0.01904200442151808</v>
      </c>
      <c r="H7286" s="11" t="s">
        <v>24</v>
      </c>
      <c r="I7286" s="16">
        <v>0.8160000000000001</v>
      </c>
      <c r="J7286" s="11" t="s">
        <v>1355</v>
      </c>
      <c r="K7286" s="11" t="s">
        <v>61</v>
      </c>
      <c r="L7286" s="11" t="s">
        <v>27</v>
      </c>
      <c r="M7286" s="11" t="s">
        <v>28</v>
      </c>
      <c r="N7286" s="11" t="s">
        <v>56</v>
      </c>
      <c r="O7286" s="11" t="s">
        <v>315</v>
      </c>
      <c r="P7286" s="11" t="s">
        <v>58</v>
      </c>
      <c r="Q7286" s="20">
        <v>41074.0</v>
      </c>
      <c r="R7286" s="17">
        <f t="shared" si="2"/>
        <v>2.534795461</v>
      </c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>
        <f t="shared" si="8"/>
        <v>1</v>
      </c>
      <c r="AF7286" s="19">
        <f t="shared" si="13"/>
        <v>4</v>
      </c>
      <c r="AG7286" s="9"/>
      <c r="AH7286" s="9"/>
      <c r="AI7286" s="9"/>
    </row>
    <row r="7287" ht="15.0" customHeight="1">
      <c r="A7287" s="11">
        <v>7286.0</v>
      </c>
      <c r="B7287" s="12">
        <f t="shared" si="1160"/>
        <v>41073</v>
      </c>
      <c r="C7287" s="13">
        <v>2012.0</v>
      </c>
      <c r="D7287" s="11" t="s">
        <v>23</v>
      </c>
      <c r="E7287" s="11">
        <v>40.0</v>
      </c>
      <c r="F7287" s="14">
        <v>16.5</v>
      </c>
      <c r="G7287" s="15">
        <v>0.06679064525218358</v>
      </c>
      <c r="H7287" s="11" t="s">
        <v>33</v>
      </c>
      <c r="I7287" s="16">
        <v>2.3920000000000003</v>
      </c>
      <c r="J7287" s="11" t="s">
        <v>2405</v>
      </c>
      <c r="K7287" s="11" t="s">
        <v>61</v>
      </c>
      <c r="L7287" s="11" t="s">
        <v>27</v>
      </c>
      <c r="M7287" s="11" t="s">
        <v>28</v>
      </c>
      <c r="N7287" s="11" t="s">
        <v>42</v>
      </c>
      <c r="O7287" s="11" t="s">
        <v>2536</v>
      </c>
      <c r="P7287" s="11" t="s">
        <v>38</v>
      </c>
      <c r="Q7287" s="20">
        <v>41074.0</v>
      </c>
      <c r="R7287" s="17">
        <f t="shared" si="2"/>
        <v>44.24158909</v>
      </c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>
        <f t="shared" si="8"/>
        <v>1</v>
      </c>
      <c r="AF7287" s="19">
        <f t="shared" si="13"/>
        <v>4</v>
      </c>
      <c r="AG7287" s="9"/>
      <c r="AH7287" s="9"/>
      <c r="AI7287" s="9"/>
    </row>
    <row r="7288" ht="15.0" customHeight="1">
      <c r="A7288" s="11">
        <v>7287.0</v>
      </c>
      <c r="B7288" s="12">
        <f t="shared" si="1160"/>
        <v>41073</v>
      </c>
      <c r="C7288" s="13">
        <v>2012.0</v>
      </c>
      <c r="D7288" s="11" t="s">
        <v>23</v>
      </c>
      <c r="E7288" s="11">
        <v>22.0</v>
      </c>
      <c r="F7288" s="14">
        <v>55.4</v>
      </c>
      <c r="G7288" s="15">
        <v>0.01239754759599866</v>
      </c>
      <c r="H7288" s="11" t="s">
        <v>33</v>
      </c>
      <c r="I7288" s="16">
        <v>5.432</v>
      </c>
      <c r="J7288" s="11" t="s">
        <v>2405</v>
      </c>
      <c r="K7288" s="11" t="s">
        <v>61</v>
      </c>
      <c r="L7288" s="11" t="s">
        <v>27</v>
      </c>
      <c r="M7288" s="11" t="s">
        <v>28</v>
      </c>
      <c r="N7288" s="11" t="s">
        <v>56</v>
      </c>
      <c r="O7288" s="11" t="s">
        <v>761</v>
      </c>
      <c r="P7288" s="11" t="s">
        <v>38</v>
      </c>
      <c r="Q7288" s="20">
        <v>41074.0</v>
      </c>
      <c r="R7288" s="17">
        <f t="shared" si="2"/>
        <v>15.17747449</v>
      </c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>
        <f t="shared" si="8"/>
        <v>1</v>
      </c>
      <c r="AF7288" s="19">
        <f t="shared" si="13"/>
        <v>4</v>
      </c>
      <c r="AG7288" s="9"/>
      <c r="AH7288" s="9"/>
      <c r="AI7288" s="9"/>
    </row>
    <row r="7289" ht="15.0" customHeight="1">
      <c r="A7289" s="11">
        <v>7288.0</v>
      </c>
      <c r="B7289" s="12">
        <f t="shared" si="1160"/>
        <v>41073</v>
      </c>
      <c r="C7289" s="13">
        <v>2012.0</v>
      </c>
      <c r="D7289" s="11" t="s">
        <v>23</v>
      </c>
      <c r="E7289" s="11">
        <v>45.0</v>
      </c>
      <c r="F7289" s="14">
        <v>78.8</v>
      </c>
      <c r="G7289" s="15">
        <v>0.03101615876802952</v>
      </c>
      <c r="H7289" s="11" t="s">
        <v>33</v>
      </c>
      <c r="I7289" s="16">
        <v>28.0</v>
      </c>
      <c r="J7289" s="11" t="s">
        <v>2405</v>
      </c>
      <c r="K7289" s="11" t="s">
        <v>61</v>
      </c>
      <c r="L7289" s="11" t="s">
        <v>27</v>
      </c>
      <c r="M7289" s="11" t="s">
        <v>28</v>
      </c>
      <c r="N7289" s="11" t="s">
        <v>29</v>
      </c>
      <c r="O7289" s="11" t="s">
        <v>1933</v>
      </c>
      <c r="P7289" s="11" t="s">
        <v>31</v>
      </c>
      <c r="Q7289" s="20">
        <v>41075.0</v>
      </c>
      <c r="R7289" s="17">
        <f t="shared" si="2"/>
        <v>110.8517514</v>
      </c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>
        <f t="shared" si="8"/>
        <v>1</v>
      </c>
      <c r="AF7289" s="19">
        <f t="shared" si="13"/>
        <v>4</v>
      </c>
      <c r="AG7289" s="9"/>
      <c r="AH7289" s="9"/>
      <c r="AI7289" s="9"/>
    </row>
    <row r="7290" ht="15.0" customHeight="1">
      <c r="A7290" s="11">
        <v>7289.0</v>
      </c>
      <c r="B7290" s="12">
        <f t="shared" si="1160"/>
        <v>41073</v>
      </c>
      <c r="C7290" s="13">
        <v>2012.0</v>
      </c>
      <c r="D7290" s="11" t="s">
        <v>23</v>
      </c>
      <c r="E7290" s="11">
        <v>47.0</v>
      </c>
      <c r="F7290" s="14">
        <v>167.2</v>
      </c>
      <c r="G7290" s="15">
        <v>0.04885726346258221</v>
      </c>
      <c r="H7290" s="11" t="s">
        <v>24</v>
      </c>
      <c r="I7290" s="16">
        <v>28.0</v>
      </c>
      <c r="J7290" s="11" t="s">
        <v>2267</v>
      </c>
      <c r="K7290" s="11" t="s">
        <v>65</v>
      </c>
      <c r="L7290" s="11" t="s">
        <v>48</v>
      </c>
      <c r="M7290" s="11" t="s">
        <v>28</v>
      </c>
      <c r="N7290" s="11" t="s">
        <v>29</v>
      </c>
      <c r="O7290" s="11" t="s">
        <v>1971</v>
      </c>
      <c r="P7290" s="11" t="s">
        <v>31</v>
      </c>
      <c r="Q7290" s="20">
        <v>41075.0</v>
      </c>
      <c r="R7290" s="17">
        <f t="shared" si="2"/>
        <v>385.3079226</v>
      </c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>
        <f t="shared" si="8"/>
        <v>4</v>
      </c>
      <c r="AF7290" s="19">
        <f t="shared" si="13"/>
        <v>5</v>
      </c>
      <c r="AG7290" s="9"/>
      <c r="AH7290" s="9"/>
      <c r="AI7290" s="9"/>
    </row>
    <row r="7291" ht="15.0" customHeight="1">
      <c r="A7291" s="11">
        <v>7290.0</v>
      </c>
      <c r="B7291" s="12">
        <f t="shared" si="1160"/>
        <v>41073</v>
      </c>
      <c r="C7291" s="13">
        <v>2012.0</v>
      </c>
      <c r="D7291" s="11" t="s">
        <v>23</v>
      </c>
      <c r="E7291" s="11">
        <v>43.0</v>
      </c>
      <c r="F7291" s="14">
        <v>195.9</v>
      </c>
      <c r="G7291" s="15">
        <v>0.06593081126616944</v>
      </c>
      <c r="H7291" s="11" t="s">
        <v>33</v>
      </c>
      <c r="I7291" s="16">
        <v>3.192</v>
      </c>
      <c r="J7291" s="11" t="s">
        <v>2267</v>
      </c>
      <c r="K7291" s="11" t="s">
        <v>65</v>
      </c>
      <c r="L7291" s="11" t="s">
        <v>48</v>
      </c>
      <c r="M7291" s="11" t="s">
        <v>66</v>
      </c>
      <c r="N7291" s="11" t="s">
        <v>80</v>
      </c>
      <c r="O7291" s="11" t="s">
        <v>2483</v>
      </c>
      <c r="P7291" s="11" t="s">
        <v>38</v>
      </c>
      <c r="Q7291" s="20">
        <v>41075.0</v>
      </c>
      <c r="R7291" s="17">
        <f t="shared" si="2"/>
        <v>555.591826</v>
      </c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>
        <f t="shared" si="8"/>
        <v>4</v>
      </c>
      <c r="AF7291" s="19">
        <f t="shared" si="13"/>
        <v>5</v>
      </c>
      <c r="AG7291" s="9"/>
      <c r="AH7291" s="9"/>
      <c r="AI7291" s="9"/>
    </row>
    <row r="7292" ht="15.0" customHeight="1">
      <c r="A7292" s="11">
        <v>7291.0</v>
      </c>
      <c r="B7292" s="12">
        <f t="shared" ref="B7292:B7295" si="1161">DATE(2012,12,31)-200</f>
        <v>41074</v>
      </c>
      <c r="C7292" s="13">
        <v>2012.0</v>
      </c>
      <c r="D7292" s="11" t="s">
        <v>39</v>
      </c>
      <c r="E7292" s="11">
        <v>22.0</v>
      </c>
      <c r="F7292" s="14">
        <v>11.5</v>
      </c>
      <c r="G7292" s="15">
        <v>0.03488072699734955</v>
      </c>
      <c r="H7292" s="11" t="s">
        <v>33</v>
      </c>
      <c r="I7292" s="16">
        <v>1.888</v>
      </c>
      <c r="J7292" s="11" t="s">
        <v>1716</v>
      </c>
      <c r="K7292" s="11" t="s">
        <v>65</v>
      </c>
      <c r="L7292" s="11" t="s">
        <v>27</v>
      </c>
      <c r="M7292" s="11" t="s">
        <v>28</v>
      </c>
      <c r="N7292" s="11" t="s">
        <v>62</v>
      </c>
      <c r="O7292" s="11" t="s">
        <v>246</v>
      </c>
      <c r="P7292" s="11" t="s">
        <v>58</v>
      </c>
      <c r="Q7292" s="20">
        <v>41076.0</v>
      </c>
      <c r="R7292" s="17">
        <f t="shared" si="2"/>
        <v>8.890678743</v>
      </c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>
        <f t="shared" si="8"/>
        <v>1</v>
      </c>
      <c r="AF7292" s="19">
        <f t="shared" si="13"/>
        <v>5</v>
      </c>
      <c r="AG7292" s="9"/>
      <c r="AH7292" s="9"/>
      <c r="AI7292" s="9"/>
    </row>
    <row r="7293" ht="15.0" customHeight="1">
      <c r="A7293" s="11">
        <v>7292.0</v>
      </c>
      <c r="B7293" s="12">
        <f t="shared" si="1161"/>
        <v>41074</v>
      </c>
      <c r="C7293" s="13">
        <v>2012.0</v>
      </c>
      <c r="D7293" s="11" t="s">
        <v>44</v>
      </c>
      <c r="E7293" s="11">
        <v>27.0</v>
      </c>
      <c r="F7293" s="14">
        <v>205.9</v>
      </c>
      <c r="G7293" s="15">
        <v>0.05717965665090576</v>
      </c>
      <c r="H7293" s="11" t="s">
        <v>33</v>
      </c>
      <c r="I7293" s="16">
        <v>4.0</v>
      </c>
      <c r="J7293" s="11" t="s">
        <v>653</v>
      </c>
      <c r="K7293" s="11" t="s">
        <v>65</v>
      </c>
      <c r="L7293" s="11" t="s">
        <v>41</v>
      </c>
      <c r="M7293" s="11" t="s">
        <v>66</v>
      </c>
      <c r="N7293" s="11" t="s">
        <v>80</v>
      </c>
      <c r="O7293" s="11" t="s">
        <v>2025</v>
      </c>
      <c r="P7293" s="11" t="s">
        <v>38</v>
      </c>
      <c r="Q7293" s="20">
        <v>41076.0</v>
      </c>
      <c r="R7293" s="17">
        <f t="shared" si="2"/>
        <v>318.1075838</v>
      </c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>
        <f t="shared" si="8"/>
        <v>3</v>
      </c>
      <c r="AF7293" s="19">
        <f t="shared" si="13"/>
        <v>5</v>
      </c>
      <c r="AG7293" s="9"/>
      <c r="AH7293" s="9"/>
      <c r="AI7293" s="9"/>
    </row>
    <row r="7294" ht="15.0" customHeight="1">
      <c r="A7294" s="11">
        <v>7293.0</v>
      </c>
      <c r="B7294" s="12">
        <f t="shared" si="1161"/>
        <v>41074</v>
      </c>
      <c r="C7294" s="13">
        <v>2012.0</v>
      </c>
      <c r="D7294" s="11" t="s">
        <v>102</v>
      </c>
      <c r="E7294" s="11">
        <v>47.0</v>
      </c>
      <c r="F7294" s="14">
        <v>105.2</v>
      </c>
      <c r="G7294" s="15">
        <v>0.011142303775732302</v>
      </c>
      <c r="H7294" s="11" t="s">
        <v>33</v>
      </c>
      <c r="I7294" s="16">
        <v>8.096</v>
      </c>
      <c r="J7294" s="11" t="s">
        <v>1209</v>
      </c>
      <c r="K7294" s="11" t="s">
        <v>65</v>
      </c>
      <c r="L7294" s="11" t="s">
        <v>48</v>
      </c>
      <c r="M7294" s="11" t="s">
        <v>49</v>
      </c>
      <c r="N7294" s="11" t="s">
        <v>73</v>
      </c>
      <c r="O7294" s="11" t="s">
        <v>1459</v>
      </c>
      <c r="P7294" s="11" t="s">
        <v>31</v>
      </c>
      <c r="Q7294" s="20">
        <v>41076.0</v>
      </c>
      <c r="R7294" s="17">
        <f t="shared" si="2"/>
        <v>55.18221488</v>
      </c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>
        <f t="shared" si="8"/>
        <v>4</v>
      </c>
      <c r="AF7294" s="19">
        <f t="shared" si="13"/>
        <v>5</v>
      </c>
      <c r="AG7294" s="9"/>
      <c r="AH7294" s="9"/>
      <c r="AI7294" s="9"/>
    </row>
    <row r="7295" ht="15.0" customHeight="1">
      <c r="A7295" s="11">
        <v>7294.0</v>
      </c>
      <c r="B7295" s="12">
        <f t="shared" si="1161"/>
        <v>41074</v>
      </c>
      <c r="C7295" s="13">
        <v>2012.0</v>
      </c>
      <c r="D7295" s="11" t="s">
        <v>102</v>
      </c>
      <c r="E7295" s="11">
        <v>12.0</v>
      </c>
      <c r="F7295" s="14">
        <v>31.7</v>
      </c>
      <c r="G7295" s="15">
        <v>0.06941728064300064</v>
      </c>
      <c r="H7295" s="11" t="s">
        <v>45</v>
      </c>
      <c r="I7295" s="16">
        <v>36.408</v>
      </c>
      <c r="J7295" s="11" t="s">
        <v>1209</v>
      </c>
      <c r="K7295" s="11" t="s">
        <v>65</v>
      </c>
      <c r="L7295" s="11" t="s">
        <v>48</v>
      </c>
      <c r="M7295" s="11" t="s">
        <v>49</v>
      </c>
      <c r="N7295" s="11" t="s">
        <v>85</v>
      </c>
      <c r="O7295" s="11" t="s">
        <v>399</v>
      </c>
      <c r="P7295" s="11" t="s">
        <v>87</v>
      </c>
      <c r="Q7295" s="20">
        <v>41076.0</v>
      </c>
      <c r="R7295" s="17">
        <f t="shared" si="2"/>
        <v>28.93367791</v>
      </c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>
        <f t="shared" si="8"/>
        <v>4</v>
      </c>
      <c r="AF7295" s="19">
        <f t="shared" si="13"/>
        <v>5</v>
      </c>
      <c r="AG7295" s="9"/>
      <c r="AH7295" s="9"/>
      <c r="AI7295" s="9"/>
    </row>
    <row r="7296" ht="15.0" customHeight="1">
      <c r="A7296" s="11">
        <v>7295.0</v>
      </c>
      <c r="B7296" s="12">
        <f t="shared" ref="B7296:B7299" si="1162">DATE(2012,12,31)-199</f>
        <v>41075</v>
      </c>
      <c r="C7296" s="13">
        <v>2012.0</v>
      </c>
      <c r="D7296" s="11" t="s">
        <v>102</v>
      </c>
      <c r="E7296" s="11">
        <v>41.0</v>
      </c>
      <c r="F7296" s="14">
        <v>48.9</v>
      </c>
      <c r="G7296" s="15">
        <v>0.02095488648543308</v>
      </c>
      <c r="H7296" s="11" t="s">
        <v>33</v>
      </c>
      <c r="I7296" s="16">
        <v>4.688000000000001</v>
      </c>
      <c r="J7296" s="11" t="s">
        <v>604</v>
      </c>
      <c r="K7296" s="11" t="s">
        <v>83</v>
      </c>
      <c r="L7296" s="11" t="s">
        <v>36</v>
      </c>
      <c r="M7296" s="11" t="s">
        <v>28</v>
      </c>
      <c r="N7296" s="11" t="s">
        <v>56</v>
      </c>
      <c r="O7296" s="11" t="s">
        <v>2073</v>
      </c>
      <c r="P7296" s="11" t="s">
        <v>38</v>
      </c>
      <c r="Q7296" s="20">
        <v>41077.0</v>
      </c>
      <c r="R7296" s="17">
        <f t="shared" si="2"/>
        <v>42.11068842</v>
      </c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>
        <f t="shared" si="8"/>
        <v>2</v>
      </c>
      <c r="AF7296" s="19" t="b">
        <f t="shared" si="13"/>
        <v>0</v>
      </c>
      <c r="AG7296" s="9"/>
      <c r="AH7296" s="9"/>
      <c r="AI7296" s="9"/>
    </row>
    <row r="7297" ht="15.0" customHeight="1">
      <c r="A7297" s="11">
        <v>7296.0</v>
      </c>
      <c r="B7297" s="12">
        <f t="shared" si="1162"/>
        <v>41075</v>
      </c>
      <c r="C7297" s="13">
        <v>2012.0</v>
      </c>
      <c r="D7297" s="11" t="s">
        <v>23</v>
      </c>
      <c r="E7297" s="11">
        <v>35.0</v>
      </c>
      <c r="F7297" s="14">
        <v>20.3</v>
      </c>
      <c r="G7297" s="15">
        <v>0.07583531472907024</v>
      </c>
      <c r="H7297" s="11" t="s">
        <v>33</v>
      </c>
      <c r="I7297" s="16">
        <v>28.0</v>
      </c>
      <c r="J7297" s="11" t="s">
        <v>1332</v>
      </c>
      <c r="K7297" s="11" t="s">
        <v>35</v>
      </c>
      <c r="L7297" s="11" t="s">
        <v>41</v>
      </c>
      <c r="M7297" s="11" t="s">
        <v>28</v>
      </c>
      <c r="N7297" s="11" t="s">
        <v>29</v>
      </c>
      <c r="O7297" s="11" t="s">
        <v>162</v>
      </c>
      <c r="P7297" s="11" t="s">
        <v>31</v>
      </c>
      <c r="Q7297" s="20">
        <v>41077.0</v>
      </c>
      <c r="R7297" s="17">
        <f t="shared" si="2"/>
        <v>56.00437993</v>
      </c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>
        <f t="shared" si="8"/>
        <v>3</v>
      </c>
      <c r="AF7297" s="19">
        <f t="shared" si="13"/>
        <v>2</v>
      </c>
      <c r="AG7297" s="9"/>
      <c r="AH7297" s="9"/>
      <c r="AI7297" s="9"/>
    </row>
    <row r="7298" ht="15.0" customHeight="1">
      <c r="A7298" s="11">
        <v>7297.0</v>
      </c>
      <c r="B7298" s="12">
        <f t="shared" si="1162"/>
        <v>41075</v>
      </c>
      <c r="C7298" s="13">
        <v>2012.0</v>
      </c>
      <c r="D7298" s="11" t="s">
        <v>23</v>
      </c>
      <c r="E7298" s="11">
        <v>1.0</v>
      </c>
      <c r="F7298" s="14">
        <v>320.9</v>
      </c>
      <c r="G7298" s="15">
        <v>0.050167741935483866</v>
      </c>
      <c r="H7298" s="11" t="s">
        <v>45</v>
      </c>
      <c r="I7298" s="16">
        <v>47.160000000000004</v>
      </c>
      <c r="J7298" s="11" t="s">
        <v>703</v>
      </c>
      <c r="K7298" s="11" t="s">
        <v>35</v>
      </c>
      <c r="L7298" s="11" t="s">
        <v>41</v>
      </c>
      <c r="M7298" s="11" t="s">
        <v>49</v>
      </c>
      <c r="N7298" s="11" t="s">
        <v>50</v>
      </c>
      <c r="O7298" s="11" t="s">
        <v>311</v>
      </c>
      <c r="P7298" s="11" t="s">
        <v>52</v>
      </c>
      <c r="Q7298" s="20">
        <v>41077.0</v>
      </c>
      <c r="R7298" s="17">
        <f t="shared" si="2"/>
        <v>18.4647391</v>
      </c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>
        <f t="shared" si="8"/>
        <v>3</v>
      </c>
      <c r="AF7298" s="19">
        <f t="shared" si="13"/>
        <v>2</v>
      </c>
      <c r="AG7298" s="9"/>
      <c r="AH7298" s="9"/>
      <c r="AI7298" s="9"/>
    </row>
    <row r="7299" ht="15.0" customHeight="1">
      <c r="A7299" s="11">
        <v>7298.0</v>
      </c>
      <c r="B7299" s="12">
        <f t="shared" si="1162"/>
        <v>41075</v>
      </c>
      <c r="C7299" s="13">
        <v>2012.0</v>
      </c>
      <c r="D7299" s="11" t="s">
        <v>23</v>
      </c>
      <c r="E7299" s="11">
        <v>48.0</v>
      </c>
      <c r="F7299" s="14">
        <v>2.2</v>
      </c>
      <c r="G7299" s="15">
        <v>0.0625550660792951</v>
      </c>
      <c r="H7299" s="11" t="s">
        <v>33</v>
      </c>
      <c r="I7299" s="16">
        <v>0.8</v>
      </c>
      <c r="J7299" s="11" t="s">
        <v>703</v>
      </c>
      <c r="K7299" s="11" t="s">
        <v>35</v>
      </c>
      <c r="L7299" s="11" t="s">
        <v>41</v>
      </c>
      <c r="M7299" s="11" t="s">
        <v>28</v>
      </c>
      <c r="N7299" s="11" t="s">
        <v>62</v>
      </c>
      <c r="O7299" s="11" t="s">
        <v>1786</v>
      </c>
      <c r="P7299" s="11" t="s">
        <v>58</v>
      </c>
      <c r="Q7299" s="20">
        <v>41077.0</v>
      </c>
      <c r="R7299" s="17">
        <f t="shared" si="2"/>
        <v>6.655859031</v>
      </c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>
        <f t="shared" si="8"/>
        <v>3</v>
      </c>
      <c r="AF7299" s="19">
        <f t="shared" si="13"/>
        <v>2</v>
      </c>
      <c r="AG7299" s="9"/>
      <c r="AH7299" s="9"/>
      <c r="AI7299" s="9"/>
    </row>
    <row r="7300" ht="15.0" customHeight="1">
      <c r="A7300" s="11">
        <v>7299.0</v>
      </c>
      <c r="B7300" s="12">
        <f t="shared" ref="B7300:B7302" si="1163">DATE(2012,12,31)-198</f>
        <v>41076</v>
      </c>
      <c r="C7300" s="13">
        <v>2012.0</v>
      </c>
      <c r="D7300" s="11" t="s">
        <v>39</v>
      </c>
      <c r="E7300" s="11">
        <v>6.0</v>
      </c>
      <c r="F7300" s="14">
        <v>14.9</v>
      </c>
      <c r="G7300" s="15">
        <v>0.06038910505836561</v>
      </c>
      <c r="H7300" s="11" t="s">
        <v>33</v>
      </c>
      <c r="I7300" s="16">
        <v>7.192</v>
      </c>
      <c r="J7300" s="11" t="s">
        <v>271</v>
      </c>
      <c r="K7300" s="11" t="s">
        <v>61</v>
      </c>
      <c r="L7300" s="11" t="s">
        <v>48</v>
      </c>
      <c r="M7300" s="11" t="s">
        <v>49</v>
      </c>
      <c r="N7300" s="11" t="s">
        <v>73</v>
      </c>
      <c r="O7300" s="11" t="s">
        <v>1793</v>
      </c>
      <c r="P7300" s="11" t="s">
        <v>99</v>
      </c>
      <c r="Q7300" s="20">
        <v>41077.0</v>
      </c>
      <c r="R7300" s="17">
        <f t="shared" si="2"/>
        <v>5.833104436</v>
      </c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>
        <f t="shared" si="8"/>
        <v>4</v>
      </c>
      <c r="AF7300" s="19">
        <f t="shared" si="13"/>
        <v>4</v>
      </c>
      <c r="AG7300" s="9"/>
      <c r="AH7300" s="9"/>
      <c r="AI7300" s="9"/>
    </row>
    <row r="7301" ht="15.0" customHeight="1">
      <c r="A7301" s="11">
        <v>7300.0</v>
      </c>
      <c r="B7301" s="12">
        <f t="shared" si="1163"/>
        <v>41076</v>
      </c>
      <c r="C7301" s="13">
        <v>2012.0</v>
      </c>
      <c r="D7301" s="11" t="s">
        <v>102</v>
      </c>
      <c r="E7301" s="11">
        <v>24.0</v>
      </c>
      <c r="F7301" s="14">
        <v>225.0</v>
      </c>
      <c r="G7301" s="15">
        <v>0.06647707906560404</v>
      </c>
      <c r="H7301" s="11" t="s">
        <v>45</v>
      </c>
      <c r="I7301" s="16">
        <v>22.928</v>
      </c>
      <c r="J7301" s="11" t="s">
        <v>2187</v>
      </c>
      <c r="K7301" s="11" t="s">
        <v>26</v>
      </c>
      <c r="L7301" s="11" t="s">
        <v>36</v>
      </c>
      <c r="M7301" s="11" t="s">
        <v>28</v>
      </c>
      <c r="N7301" s="11" t="s">
        <v>29</v>
      </c>
      <c r="O7301" s="11" t="s">
        <v>1742</v>
      </c>
      <c r="P7301" s="11" t="s">
        <v>52</v>
      </c>
      <c r="Q7301" s="20">
        <v>41078.0</v>
      </c>
      <c r="R7301" s="17">
        <f t="shared" si="2"/>
        <v>360.5004134</v>
      </c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>
        <f t="shared" si="8"/>
        <v>2</v>
      </c>
      <c r="AF7301" s="19">
        <f t="shared" si="13"/>
        <v>1</v>
      </c>
      <c r="AG7301" s="9"/>
      <c r="AH7301" s="9"/>
      <c r="AI7301" s="9"/>
    </row>
    <row r="7302" ht="15.0" customHeight="1">
      <c r="A7302" s="11">
        <v>7301.0</v>
      </c>
      <c r="B7302" s="12">
        <f t="shared" si="1163"/>
        <v>41076</v>
      </c>
      <c r="C7302" s="13">
        <v>2012.0</v>
      </c>
      <c r="D7302" s="11" t="s">
        <v>102</v>
      </c>
      <c r="E7302" s="11">
        <v>10.0</v>
      </c>
      <c r="F7302" s="14">
        <v>4.8</v>
      </c>
      <c r="G7302" s="15">
        <v>0.01083503054989824</v>
      </c>
      <c r="H7302" s="11" t="s">
        <v>24</v>
      </c>
      <c r="I7302" s="16">
        <v>0.568</v>
      </c>
      <c r="J7302" s="11" t="s">
        <v>963</v>
      </c>
      <c r="K7302" s="11" t="s">
        <v>35</v>
      </c>
      <c r="L7302" s="11" t="s">
        <v>41</v>
      </c>
      <c r="M7302" s="11" t="s">
        <v>28</v>
      </c>
      <c r="N7302" s="11" t="s">
        <v>62</v>
      </c>
      <c r="O7302" s="11" t="s">
        <v>949</v>
      </c>
      <c r="P7302" s="11" t="s">
        <v>58</v>
      </c>
      <c r="Q7302" s="20">
        <v>41078.0</v>
      </c>
      <c r="R7302" s="17">
        <f t="shared" si="2"/>
        <v>0.5262357637</v>
      </c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>
        <f t="shared" si="8"/>
        <v>3</v>
      </c>
      <c r="AF7302" s="19">
        <f t="shared" si="13"/>
        <v>2</v>
      </c>
      <c r="AG7302" s="9"/>
      <c r="AH7302" s="9"/>
      <c r="AI7302" s="9"/>
    </row>
    <row r="7303" ht="15.0" customHeight="1">
      <c r="A7303" s="11">
        <v>7302.0</v>
      </c>
      <c r="B7303" s="12">
        <f t="shared" ref="B7303:B7304" si="1164">DATE(2012,12,31)-197</f>
        <v>41077</v>
      </c>
      <c r="C7303" s="13">
        <v>2012.0</v>
      </c>
      <c r="D7303" s="11" t="s">
        <v>32</v>
      </c>
      <c r="E7303" s="11">
        <v>48.0</v>
      </c>
      <c r="F7303" s="14">
        <v>100.9</v>
      </c>
      <c r="G7303" s="15">
        <v>0.08426973907150115</v>
      </c>
      <c r="H7303" s="11" t="s">
        <v>45</v>
      </c>
      <c r="I7303" s="16">
        <v>20.976</v>
      </c>
      <c r="J7303" s="11" t="s">
        <v>1450</v>
      </c>
      <c r="K7303" s="11" t="s">
        <v>65</v>
      </c>
      <c r="L7303" s="11" t="s">
        <v>48</v>
      </c>
      <c r="M7303" s="11" t="s">
        <v>49</v>
      </c>
      <c r="N7303" s="11" t="s">
        <v>156</v>
      </c>
      <c r="O7303" s="11" t="s">
        <v>2437</v>
      </c>
      <c r="P7303" s="11" t="s">
        <v>87</v>
      </c>
      <c r="Q7303" s="20">
        <v>41079.0</v>
      </c>
      <c r="R7303" s="17">
        <f t="shared" si="2"/>
        <v>409.9028423</v>
      </c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>
        <f t="shared" si="8"/>
        <v>4</v>
      </c>
      <c r="AF7303" s="19">
        <f t="shared" si="13"/>
        <v>5</v>
      </c>
      <c r="AG7303" s="9"/>
      <c r="AH7303" s="9"/>
      <c r="AI7303" s="9"/>
    </row>
    <row r="7304" ht="15.0" customHeight="1">
      <c r="A7304" s="11">
        <v>7303.0</v>
      </c>
      <c r="B7304" s="12">
        <f t="shared" si="1164"/>
        <v>41077</v>
      </c>
      <c r="C7304" s="13">
        <v>2012.0</v>
      </c>
      <c r="D7304" s="11" t="s">
        <v>23</v>
      </c>
      <c r="E7304" s="11">
        <v>37.0</v>
      </c>
      <c r="F7304" s="14">
        <v>19.9</v>
      </c>
      <c r="G7304" s="15">
        <v>0.06292689065056001</v>
      </c>
      <c r="H7304" s="11" t="s">
        <v>33</v>
      </c>
      <c r="I7304" s="16">
        <v>8.392000000000001</v>
      </c>
      <c r="J7304" s="11" t="s">
        <v>634</v>
      </c>
      <c r="K7304" s="11" t="s">
        <v>61</v>
      </c>
      <c r="L7304" s="11" t="s">
        <v>41</v>
      </c>
      <c r="M7304" s="11" t="s">
        <v>49</v>
      </c>
      <c r="N7304" s="11" t="s">
        <v>73</v>
      </c>
      <c r="O7304" s="11" t="s">
        <v>1135</v>
      </c>
      <c r="P7304" s="11" t="s">
        <v>38</v>
      </c>
      <c r="Q7304" s="20">
        <v>41079.0</v>
      </c>
      <c r="R7304" s="17">
        <f t="shared" si="2"/>
        <v>46.86115205</v>
      </c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>
        <f t="shared" si="8"/>
        <v>3</v>
      </c>
      <c r="AF7304" s="19">
        <f t="shared" si="13"/>
        <v>4</v>
      </c>
      <c r="AG7304" s="9"/>
      <c r="AH7304" s="9"/>
      <c r="AI7304" s="9"/>
    </row>
    <row r="7305" ht="15.0" customHeight="1">
      <c r="A7305" s="11">
        <v>7304.0</v>
      </c>
      <c r="B7305" s="12">
        <f t="shared" ref="B7305:B7310" si="1165">DATE(2012,12,31)-196</f>
        <v>41078</v>
      </c>
      <c r="C7305" s="13">
        <v>2012.0</v>
      </c>
      <c r="D7305" s="11" t="s">
        <v>39</v>
      </c>
      <c r="E7305" s="11">
        <v>46.0</v>
      </c>
      <c r="F7305" s="14">
        <v>48.9</v>
      </c>
      <c r="G7305" s="15">
        <v>0.0748193166885676</v>
      </c>
      <c r="H7305" s="11" t="s">
        <v>33</v>
      </c>
      <c r="I7305" s="16">
        <v>3.6</v>
      </c>
      <c r="J7305" s="11" t="s">
        <v>285</v>
      </c>
      <c r="K7305" s="11" t="s">
        <v>26</v>
      </c>
      <c r="L7305" s="11" t="s">
        <v>27</v>
      </c>
      <c r="M7305" s="11" t="s">
        <v>28</v>
      </c>
      <c r="N7305" s="11" t="s">
        <v>197</v>
      </c>
      <c r="O7305" s="11" t="s">
        <v>2179</v>
      </c>
      <c r="P7305" s="11" t="s">
        <v>38</v>
      </c>
      <c r="Q7305" s="20">
        <v>41079.0</v>
      </c>
      <c r="R7305" s="17">
        <f t="shared" si="2"/>
        <v>168.5679205</v>
      </c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>
        <f t="shared" si="8"/>
        <v>1</v>
      </c>
      <c r="AF7305" s="19">
        <f t="shared" si="13"/>
        <v>1</v>
      </c>
      <c r="AG7305" s="9"/>
      <c r="AH7305" s="9"/>
      <c r="AI7305" s="9"/>
    </row>
    <row r="7306" ht="15.0" customHeight="1">
      <c r="A7306" s="11">
        <v>7305.0</v>
      </c>
      <c r="B7306" s="12">
        <f t="shared" si="1165"/>
        <v>41078</v>
      </c>
      <c r="C7306" s="13">
        <v>2012.0</v>
      </c>
      <c r="D7306" s="11" t="s">
        <v>39</v>
      </c>
      <c r="E7306" s="11">
        <v>46.0</v>
      </c>
      <c r="F7306" s="14">
        <v>15.5</v>
      </c>
      <c r="G7306" s="15">
        <v>0.05224823485693058</v>
      </c>
      <c r="H7306" s="11" t="s">
        <v>33</v>
      </c>
      <c r="I7306" s="16">
        <v>1.1119999999999999</v>
      </c>
      <c r="J7306" s="11" t="s">
        <v>285</v>
      </c>
      <c r="K7306" s="11" t="s">
        <v>26</v>
      </c>
      <c r="L7306" s="11" t="s">
        <v>27</v>
      </c>
      <c r="M7306" s="11" t="s">
        <v>28</v>
      </c>
      <c r="N7306" s="11" t="s">
        <v>236</v>
      </c>
      <c r="O7306" s="11" t="s">
        <v>885</v>
      </c>
      <c r="P7306" s="11" t="s">
        <v>38</v>
      </c>
      <c r="Q7306" s="20">
        <v>41079.0</v>
      </c>
      <c r="R7306" s="17">
        <f t="shared" si="2"/>
        <v>37.31109149</v>
      </c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>
        <f t="shared" si="8"/>
        <v>1</v>
      </c>
      <c r="AF7306" s="19">
        <f t="shared" si="13"/>
        <v>1</v>
      </c>
      <c r="AG7306" s="9"/>
      <c r="AH7306" s="9"/>
      <c r="AI7306" s="9"/>
    </row>
    <row r="7307" ht="15.0" customHeight="1">
      <c r="A7307" s="11">
        <v>7306.0</v>
      </c>
      <c r="B7307" s="12">
        <f t="shared" si="1165"/>
        <v>41078</v>
      </c>
      <c r="C7307" s="13">
        <v>2012.0</v>
      </c>
      <c r="D7307" s="11" t="s">
        <v>39</v>
      </c>
      <c r="E7307" s="11">
        <v>28.0</v>
      </c>
      <c r="F7307" s="14">
        <v>20.2</v>
      </c>
      <c r="G7307" s="15">
        <v>0.09475820516886001</v>
      </c>
      <c r="H7307" s="11" t="s">
        <v>33</v>
      </c>
      <c r="I7307" s="16">
        <v>5.336</v>
      </c>
      <c r="J7307" s="11" t="s">
        <v>285</v>
      </c>
      <c r="K7307" s="11" t="s">
        <v>26</v>
      </c>
      <c r="L7307" s="11" t="s">
        <v>27</v>
      </c>
      <c r="M7307" s="11" t="s">
        <v>49</v>
      </c>
      <c r="N7307" s="11" t="s">
        <v>73</v>
      </c>
      <c r="O7307" s="11" t="s">
        <v>2268</v>
      </c>
      <c r="P7307" s="11" t="s">
        <v>99</v>
      </c>
      <c r="Q7307" s="20">
        <v>41079.0</v>
      </c>
      <c r="R7307" s="17">
        <f t="shared" si="2"/>
        <v>54.10087063</v>
      </c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>
        <f t="shared" si="8"/>
        <v>1</v>
      </c>
      <c r="AF7307" s="19">
        <f t="shared" si="13"/>
        <v>1</v>
      </c>
      <c r="AG7307" s="9"/>
      <c r="AH7307" s="9"/>
      <c r="AI7307" s="9"/>
    </row>
    <row r="7308" ht="15.0" customHeight="1">
      <c r="A7308" s="11">
        <v>7307.0</v>
      </c>
      <c r="B7308" s="12">
        <f t="shared" si="1165"/>
        <v>41078</v>
      </c>
      <c r="C7308" s="13">
        <v>2012.0</v>
      </c>
      <c r="D7308" s="11" t="s">
        <v>39</v>
      </c>
      <c r="E7308" s="11">
        <v>13.0</v>
      </c>
      <c r="F7308" s="14">
        <v>14.4</v>
      </c>
      <c r="G7308" s="15">
        <v>0.05886497064579248</v>
      </c>
      <c r="H7308" s="11" t="s">
        <v>33</v>
      </c>
      <c r="I7308" s="16">
        <v>5.168</v>
      </c>
      <c r="J7308" s="11" t="s">
        <v>285</v>
      </c>
      <c r="K7308" s="11" t="s">
        <v>26</v>
      </c>
      <c r="L7308" s="11" t="s">
        <v>27</v>
      </c>
      <c r="M7308" s="11" t="s">
        <v>28</v>
      </c>
      <c r="N7308" s="11" t="s">
        <v>42</v>
      </c>
      <c r="O7308" s="11" t="s">
        <v>547</v>
      </c>
      <c r="P7308" s="11" t="s">
        <v>38</v>
      </c>
      <c r="Q7308" s="20">
        <v>41079.0</v>
      </c>
      <c r="R7308" s="17">
        <f t="shared" si="2"/>
        <v>11.32373667</v>
      </c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>
        <f t="shared" si="8"/>
        <v>1</v>
      </c>
      <c r="AF7308" s="19">
        <f t="shared" si="13"/>
        <v>1</v>
      </c>
      <c r="AG7308" s="9"/>
      <c r="AH7308" s="9"/>
      <c r="AI7308" s="9"/>
    </row>
    <row r="7309" ht="15.0" customHeight="1">
      <c r="A7309" s="11">
        <v>7308.0</v>
      </c>
      <c r="B7309" s="12">
        <f t="shared" si="1165"/>
        <v>41078</v>
      </c>
      <c r="C7309" s="13">
        <v>2012.0</v>
      </c>
      <c r="D7309" s="11" t="s">
        <v>39</v>
      </c>
      <c r="E7309" s="11">
        <v>3.0</v>
      </c>
      <c r="F7309" s="14">
        <v>449.9</v>
      </c>
      <c r="G7309" s="15">
        <v>0.06013315944814344</v>
      </c>
      <c r="H7309" s="11" t="s">
        <v>33</v>
      </c>
      <c r="I7309" s="16">
        <v>19.592</v>
      </c>
      <c r="J7309" s="11" t="s">
        <v>285</v>
      </c>
      <c r="K7309" s="11" t="s">
        <v>26</v>
      </c>
      <c r="L7309" s="11" t="s">
        <v>27</v>
      </c>
      <c r="M7309" s="11" t="s">
        <v>66</v>
      </c>
      <c r="N7309" s="11" t="s">
        <v>170</v>
      </c>
      <c r="O7309" s="11" t="s">
        <v>2606</v>
      </c>
      <c r="P7309" s="11" t="s">
        <v>31</v>
      </c>
      <c r="Q7309" s="20">
        <v>41079.0</v>
      </c>
      <c r="R7309" s="17">
        <f t="shared" si="2"/>
        <v>82.33985417</v>
      </c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>
        <f t="shared" si="8"/>
        <v>1</v>
      </c>
      <c r="AF7309" s="19">
        <f t="shared" si="13"/>
        <v>1</v>
      </c>
      <c r="AG7309" s="9"/>
      <c r="AH7309" s="9"/>
      <c r="AI7309" s="9"/>
    </row>
    <row r="7310" ht="15.0" customHeight="1">
      <c r="A7310" s="11">
        <v>7309.0</v>
      </c>
      <c r="B7310" s="12">
        <f t="shared" si="1165"/>
        <v>41078</v>
      </c>
      <c r="C7310" s="13">
        <v>2012.0</v>
      </c>
      <c r="D7310" s="11" t="s">
        <v>39</v>
      </c>
      <c r="E7310" s="11">
        <v>15.0</v>
      </c>
      <c r="F7310" s="14">
        <v>0.9</v>
      </c>
      <c r="G7310" s="15">
        <v>0.15144385026737964</v>
      </c>
      <c r="H7310" s="11" t="s">
        <v>33</v>
      </c>
      <c r="I7310" s="16">
        <v>2.368</v>
      </c>
      <c r="J7310" s="11" t="s">
        <v>499</v>
      </c>
      <c r="K7310" s="11" t="s">
        <v>83</v>
      </c>
      <c r="L7310" s="11" t="s">
        <v>41</v>
      </c>
      <c r="M7310" s="11" t="s">
        <v>66</v>
      </c>
      <c r="N7310" s="11" t="s">
        <v>67</v>
      </c>
      <c r="O7310" s="11" t="s">
        <v>2482</v>
      </c>
      <c r="P7310" s="11" t="s">
        <v>99</v>
      </c>
      <c r="Q7310" s="20">
        <v>41079.0</v>
      </c>
      <c r="R7310" s="17">
        <f t="shared" si="2"/>
        <v>2.403111016</v>
      </c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>
        <f t="shared" si="8"/>
        <v>3</v>
      </c>
      <c r="AF7310" s="19" t="b">
        <f t="shared" si="13"/>
        <v>0</v>
      </c>
      <c r="AG7310" s="9"/>
      <c r="AH7310" s="9"/>
      <c r="AI7310" s="9"/>
    </row>
    <row r="7311" ht="15.0" customHeight="1">
      <c r="A7311" s="11">
        <v>7310.0</v>
      </c>
      <c r="B7311" s="12">
        <f t="shared" ref="B7311:B7319" si="1166">DATE(2012,12,31)-195</f>
        <v>41079</v>
      </c>
      <c r="C7311" s="13">
        <v>2012.0</v>
      </c>
      <c r="D7311" s="11" t="s">
        <v>44</v>
      </c>
      <c r="E7311" s="11">
        <v>4.0</v>
      </c>
      <c r="F7311" s="14">
        <v>113.9</v>
      </c>
      <c r="G7311" s="15">
        <v>0.03228410008071025</v>
      </c>
      <c r="H7311" s="11" t="s">
        <v>45</v>
      </c>
      <c r="I7311" s="16">
        <v>24.0</v>
      </c>
      <c r="J7311" s="11" t="s">
        <v>1929</v>
      </c>
      <c r="K7311" s="11" t="s">
        <v>83</v>
      </c>
      <c r="L7311" s="11" t="s">
        <v>48</v>
      </c>
      <c r="M7311" s="11" t="s">
        <v>49</v>
      </c>
      <c r="N7311" s="11" t="s">
        <v>50</v>
      </c>
      <c r="O7311" s="11" t="s">
        <v>816</v>
      </c>
      <c r="P7311" s="11" t="s">
        <v>52</v>
      </c>
      <c r="Q7311" s="20">
        <v>41080.0</v>
      </c>
      <c r="R7311" s="17">
        <f t="shared" si="2"/>
        <v>15.4834544</v>
      </c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>
        <f t="shared" si="8"/>
        <v>4</v>
      </c>
      <c r="AF7311" s="19" t="b">
        <f t="shared" si="13"/>
        <v>0</v>
      </c>
      <c r="AG7311" s="9"/>
      <c r="AH7311" s="9"/>
      <c r="AI7311" s="9"/>
    </row>
    <row r="7312" ht="15.0" customHeight="1">
      <c r="A7312" s="11">
        <v>7311.0</v>
      </c>
      <c r="B7312" s="12">
        <f t="shared" si="1166"/>
        <v>41079</v>
      </c>
      <c r="C7312" s="13">
        <v>2012.0</v>
      </c>
      <c r="D7312" s="11" t="s">
        <v>44</v>
      </c>
      <c r="E7312" s="11">
        <v>40.0</v>
      </c>
      <c r="F7312" s="14">
        <v>23.9</v>
      </c>
      <c r="G7312" s="15">
        <v>0.0871580547112462</v>
      </c>
      <c r="H7312" s="11" t="s">
        <v>33</v>
      </c>
      <c r="I7312" s="16">
        <v>5.04</v>
      </c>
      <c r="J7312" s="11" t="s">
        <v>1929</v>
      </c>
      <c r="K7312" s="11" t="s">
        <v>83</v>
      </c>
      <c r="L7312" s="11" t="s">
        <v>48</v>
      </c>
      <c r="M7312" s="11" t="s">
        <v>66</v>
      </c>
      <c r="N7312" s="11" t="s">
        <v>69</v>
      </c>
      <c r="O7312" s="11" t="s">
        <v>1394</v>
      </c>
      <c r="P7312" s="11" t="s">
        <v>75</v>
      </c>
      <c r="Q7312" s="20">
        <v>41080.0</v>
      </c>
      <c r="R7312" s="17">
        <f t="shared" si="2"/>
        <v>83.7623769</v>
      </c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>
        <f t="shared" si="8"/>
        <v>4</v>
      </c>
      <c r="AF7312" s="19" t="b">
        <f t="shared" si="13"/>
        <v>0</v>
      </c>
      <c r="AG7312" s="9"/>
      <c r="AH7312" s="9"/>
      <c r="AI7312" s="9"/>
    </row>
    <row r="7313" ht="15.0" customHeight="1">
      <c r="A7313" s="11">
        <v>7312.0</v>
      </c>
      <c r="B7313" s="12">
        <f t="shared" si="1166"/>
        <v>41079</v>
      </c>
      <c r="C7313" s="13">
        <v>2012.0</v>
      </c>
      <c r="D7313" s="11" t="s">
        <v>39</v>
      </c>
      <c r="E7313" s="11">
        <v>34.0</v>
      </c>
      <c r="F7313" s="14">
        <v>279.4</v>
      </c>
      <c r="G7313" s="15">
        <v>0.039440254869540746</v>
      </c>
      <c r="H7313" s="11" t="s">
        <v>33</v>
      </c>
      <c r="I7313" s="16">
        <v>28.0</v>
      </c>
      <c r="J7313" s="11" t="s">
        <v>1326</v>
      </c>
      <c r="K7313" s="11" t="s">
        <v>26</v>
      </c>
      <c r="L7313" s="11" t="s">
        <v>27</v>
      </c>
      <c r="M7313" s="11" t="s">
        <v>28</v>
      </c>
      <c r="N7313" s="11" t="s">
        <v>29</v>
      </c>
      <c r="O7313" s="11" t="s">
        <v>1313</v>
      </c>
      <c r="P7313" s="11" t="s">
        <v>31</v>
      </c>
      <c r="Q7313" s="20">
        <v>41080.0</v>
      </c>
      <c r="R7313" s="17">
        <f t="shared" si="2"/>
        <v>375.7709723</v>
      </c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>
        <f t="shared" si="8"/>
        <v>1</v>
      </c>
      <c r="AF7313" s="19">
        <f t="shared" si="13"/>
        <v>1</v>
      </c>
      <c r="AG7313" s="9"/>
      <c r="AH7313" s="9"/>
      <c r="AI7313" s="9"/>
    </row>
    <row r="7314" ht="15.0" customHeight="1">
      <c r="A7314" s="11">
        <v>7313.0</v>
      </c>
      <c r="B7314" s="12">
        <f t="shared" si="1166"/>
        <v>41079</v>
      </c>
      <c r="C7314" s="13">
        <v>2012.0</v>
      </c>
      <c r="D7314" s="11" t="s">
        <v>39</v>
      </c>
      <c r="E7314" s="11">
        <v>16.0</v>
      </c>
      <c r="F7314" s="14">
        <v>155.9</v>
      </c>
      <c r="G7314" s="15">
        <v>0.09207999128951477</v>
      </c>
      <c r="H7314" s="11" t="s">
        <v>33</v>
      </c>
      <c r="I7314" s="16">
        <v>7.192</v>
      </c>
      <c r="J7314" s="11" t="s">
        <v>1326</v>
      </c>
      <c r="K7314" s="11" t="s">
        <v>26</v>
      </c>
      <c r="L7314" s="11" t="s">
        <v>27</v>
      </c>
      <c r="M7314" s="11" t="s">
        <v>66</v>
      </c>
      <c r="N7314" s="11" t="s">
        <v>80</v>
      </c>
      <c r="O7314" s="11" t="s">
        <v>2480</v>
      </c>
      <c r="P7314" s="11" t="s">
        <v>38</v>
      </c>
      <c r="Q7314" s="20">
        <v>41080.0</v>
      </c>
      <c r="R7314" s="17">
        <f t="shared" si="2"/>
        <v>230.3465696</v>
      </c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>
        <f t="shared" si="8"/>
        <v>1</v>
      </c>
      <c r="AF7314" s="19">
        <f t="shared" si="13"/>
        <v>1</v>
      </c>
      <c r="AG7314" s="9"/>
      <c r="AH7314" s="9"/>
      <c r="AI7314" s="9"/>
    </row>
    <row r="7315" ht="15.0" customHeight="1">
      <c r="A7315" s="11">
        <v>7314.0</v>
      </c>
      <c r="B7315" s="12">
        <f t="shared" si="1166"/>
        <v>41079</v>
      </c>
      <c r="C7315" s="13">
        <v>2012.0</v>
      </c>
      <c r="D7315" s="11" t="s">
        <v>102</v>
      </c>
      <c r="E7315" s="11">
        <v>18.0</v>
      </c>
      <c r="F7315" s="14">
        <v>22.3</v>
      </c>
      <c r="G7315" s="15">
        <v>0.057702825888787584</v>
      </c>
      <c r="H7315" s="11" t="s">
        <v>33</v>
      </c>
      <c r="I7315" s="16">
        <v>12.08</v>
      </c>
      <c r="J7315" s="11" t="s">
        <v>617</v>
      </c>
      <c r="K7315" s="11" t="s">
        <v>61</v>
      </c>
      <c r="L7315" s="11" t="s">
        <v>27</v>
      </c>
      <c r="M7315" s="11" t="s">
        <v>28</v>
      </c>
      <c r="N7315" s="11" t="s">
        <v>42</v>
      </c>
      <c r="O7315" s="11" t="s">
        <v>1052</v>
      </c>
      <c r="P7315" s="11" t="s">
        <v>38</v>
      </c>
      <c r="Q7315" s="20">
        <v>41080.0</v>
      </c>
      <c r="R7315" s="17">
        <f t="shared" si="2"/>
        <v>23.85896445</v>
      </c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>
        <f t="shared" si="8"/>
        <v>1</v>
      </c>
      <c r="AF7315" s="19">
        <f t="shared" si="13"/>
        <v>4</v>
      </c>
      <c r="AG7315" s="9"/>
      <c r="AH7315" s="9"/>
      <c r="AI7315" s="9"/>
    </row>
    <row r="7316" ht="15.0" customHeight="1">
      <c r="A7316" s="11">
        <v>7315.0</v>
      </c>
      <c r="B7316" s="12">
        <f t="shared" si="1166"/>
        <v>41079</v>
      </c>
      <c r="C7316" s="13">
        <v>2012.0</v>
      </c>
      <c r="D7316" s="11" t="s">
        <v>102</v>
      </c>
      <c r="E7316" s="11">
        <v>30.0</v>
      </c>
      <c r="F7316" s="14">
        <v>60.9</v>
      </c>
      <c r="G7316" s="15">
        <v>0.09499828875959515</v>
      </c>
      <c r="H7316" s="11" t="s">
        <v>45</v>
      </c>
      <c r="I7316" s="16">
        <v>24.0</v>
      </c>
      <c r="J7316" s="11" t="s">
        <v>617</v>
      </c>
      <c r="K7316" s="11" t="s">
        <v>61</v>
      </c>
      <c r="L7316" s="11" t="s">
        <v>27</v>
      </c>
      <c r="M7316" s="11" t="s">
        <v>49</v>
      </c>
      <c r="N7316" s="11" t="s">
        <v>50</v>
      </c>
      <c r="O7316" s="11" t="s">
        <v>1028</v>
      </c>
      <c r="P7316" s="11" t="s">
        <v>52</v>
      </c>
      <c r="Q7316" s="20">
        <v>41081.0</v>
      </c>
      <c r="R7316" s="17">
        <f t="shared" si="2"/>
        <v>175.8418325</v>
      </c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>
        <f t="shared" si="8"/>
        <v>1</v>
      </c>
      <c r="AF7316" s="19">
        <f t="shared" si="13"/>
        <v>4</v>
      </c>
      <c r="AG7316" s="9"/>
      <c r="AH7316" s="9"/>
      <c r="AI7316" s="9"/>
    </row>
    <row r="7317" ht="15.0" customHeight="1">
      <c r="A7317" s="11">
        <v>7316.0</v>
      </c>
      <c r="B7317" s="12">
        <f t="shared" si="1166"/>
        <v>41079</v>
      </c>
      <c r="C7317" s="13">
        <v>2012.0</v>
      </c>
      <c r="D7317" s="11" t="s">
        <v>102</v>
      </c>
      <c r="E7317" s="11">
        <v>48.0</v>
      </c>
      <c r="F7317" s="14">
        <v>2.8</v>
      </c>
      <c r="G7317" s="15">
        <v>0.047565278757939373</v>
      </c>
      <c r="H7317" s="11" t="s">
        <v>33</v>
      </c>
      <c r="I7317" s="16">
        <v>0.5599999999999999</v>
      </c>
      <c r="J7317" s="11" t="s">
        <v>617</v>
      </c>
      <c r="K7317" s="11" t="s">
        <v>61</v>
      </c>
      <c r="L7317" s="11" t="s">
        <v>27</v>
      </c>
      <c r="M7317" s="11" t="s">
        <v>28</v>
      </c>
      <c r="N7317" s="11" t="s">
        <v>62</v>
      </c>
      <c r="O7317" s="11" t="s">
        <v>321</v>
      </c>
      <c r="P7317" s="11" t="s">
        <v>58</v>
      </c>
      <c r="Q7317" s="20">
        <v>41081.0</v>
      </c>
      <c r="R7317" s="17">
        <f t="shared" si="2"/>
        <v>6.419410021</v>
      </c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>
        <f t="shared" si="8"/>
        <v>1</v>
      </c>
      <c r="AF7317" s="19">
        <f t="shared" si="13"/>
        <v>4</v>
      </c>
      <c r="AG7317" s="9"/>
      <c r="AH7317" s="9"/>
      <c r="AI7317" s="9"/>
    </row>
    <row r="7318" ht="15.0" customHeight="1">
      <c r="A7318" s="11">
        <v>7317.0</v>
      </c>
      <c r="B7318" s="12">
        <f t="shared" si="1166"/>
        <v>41079</v>
      </c>
      <c r="C7318" s="13">
        <v>2012.0</v>
      </c>
      <c r="D7318" s="11" t="s">
        <v>39</v>
      </c>
      <c r="E7318" s="11">
        <v>43.0</v>
      </c>
      <c r="F7318" s="14">
        <v>12.2</v>
      </c>
      <c r="G7318" s="15">
        <v>0.0760628272251308</v>
      </c>
      <c r="H7318" s="11" t="s">
        <v>33</v>
      </c>
      <c r="I7318" s="16">
        <v>4.816</v>
      </c>
      <c r="J7318" s="11" t="s">
        <v>1257</v>
      </c>
      <c r="K7318" s="11" t="s">
        <v>35</v>
      </c>
      <c r="L7318" s="11" t="s">
        <v>36</v>
      </c>
      <c r="M7318" s="11" t="s">
        <v>49</v>
      </c>
      <c r="N7318" s="11" t="s">
        <v>73</v>
      </c>
      <c r="O7318" s="11" t="s">
        <v>1925</v>
      </c>
      <c r="P7318" s="11" t="s">
        <v>99</v>
      </c>
      <c r="Q7318" s="20">
        <v>41081.0</v>
      </c>
      <c r="R7318" s="17">
        <f t="shared" si="2"/>
        <v>40.26887774</v>
      </c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>
        <f t="shared" si="8"/>
        <v>2</v>
      </c>
      <c r="AF7318" s="19">
        <f t="shared" si="13"/>
        <v>2</v>
      </c>
      <c r="AG7318" s="9"/>
      <c r="AH7318" s="9"/>
      <c r="AI7318" s="9"/>
    </row>
    <row r="7319" ht="15.0" customHeight="1">
      <c r="A7319" s="11">
        <v>7318.0</v>
      </c>
      <c r="B7319" s="12">
        <f t="shared" si="1166"/>
        <v>41079</v>
      </c>
      <c r="C7319" s="13">
        <v>2012.0</v>
      </c>
      <c r="D7319" s="11" t="s">
        <v>32</v>
      </c>
      <c r="E7319" s="11">
        <v>30.0</v>
      </c>
      <c r="F7319" s="14">
        <v>20.1</v>
      </c>
      <c r="G7319" s="15">
        <v>0.034200696422918564</v>
      </c>
      <c r="H7319" s="11" t="s">
        <v>33</v>
      </c>
      <c r="I7319" s="16">
        <v>7.192</v>
      </c>
      <c r="J7319" s="11" t="s">
        <v>2449</v>
      </c>
      <c r="K7319" s="11" t="s">
        <v>35</v>
      </c>
      <c r="L7319" s="11" t="s">
        <v>48</v>
      </c>
      <c r="M7319" s="11" t="s">
        <v>28</v>
      </c>
      <c r="N7319" s="11" t="s">
        <v>62</v>
      </c>
      <c r="O7319" s="11" t="s">
        <v>2371</v>
      </c>
      <c r="P7319" s="11" t="s">
        <v>99</v>
      </c>
      <c r="Q7319" s="20">
        <v>41081.0</v>
      </c>
      <c r="R7319" s="17">
        <f t="shared" si="2"/>
        <v>20.86899135</v>
      </c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>
        <f t="shared" si="8"/>
        <v>4</v>
      </c>
      <c r="AF7319" s="19">
        <f t="shared" si="13"/>
        <v>2</v>
      </c>
      <c r="AG7319" s="9"/>
      <c r="AH7319" s="9"/>
      <c r="AI7319" s="9"/>
    </row>
    <row r="7320" ht="15.0" customHeight="1">
      <c r="A7320" s="11">
        <v>7319.0</v>
      </c>
      <c r="B7320" s="12">
        <f t="shared" ref="B7320:B7324" si="1167">DATE(2012,12,31)-194</f>
        <v>41080</v>
      </c>
      <c r="C7320" s="13">
        <v>2012.0</v>
      </c>
      <c r="D7320" s="11" t="s">
        <v>102</v>
      </c>
      <c r="E7320" s="11">
        <v>6.0</v>
      </c>
      <c r="F7320" s="14">
        <v>13.9</v>
      </c>
      <c r="G7320" s="15">
        <v>0.04986184909670556</v>
      </c>
      <c r="H7320" s="11" t="s">
        <v>33</v>
      </c>
      <c r="I7320" s="16">
        <v>6.008</v>
      </c>
      <c r="J7320" s="11" t="s">
        <v>2194</v>
      </c>
      <c r="K7320" s="11" t="s">
        <v>47</v>
      </c>
      <c r="L7320" s="11" t="s">
        <v>41</v>
      </c>
      <c r="M7320" s="11" t="s">
        <v>66</v>
      </c>
      <c r="N7320" s="11" t="s">
        <v>69</v>
      </c>
      <c r="O7320" s="11" t="s">
        <v>607</v>
      </c>
      <c r="P7320" s="11" t="s">
        <v>75</v>
      </c>
      <c r="Q7320" s="20">
        <v>41081.0</v>
      </c>
      <c r="R7320" s="17">
        <f t="shared" si="2"/>
        <v>4.458048204</v>
      </c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>
        <f t="shared" si="8"/>
        <v>3</v>
      </c>
      <c r="AF7320" s="19">
        <f t="shared" si="13"/>
        <v>3</v>
      </c>
      <c r="AG7320" s="9"/>
      <c r="AH7320" s="9"/>
      <c r="AI7320" s="9"/>
    </row>
    <row r="7321" ht="15.0" customHeight="1">
      <c r="A7321" s="11">
        <v>7320.0</v>
      </c>
      <c r="B7321" s="12">
        <f t="shared" si="1167"/>
        <v>41080</v>
      </c>
      <c r="C7321" s="13">
        <v>2012.0</v>
      </c>
      <c r="D7321" s="11" t="s">
        <v>102</v>
      </c>
      <c r="E7321" s="11">
        <v>42.0</v>
      </c>
      <c r="F7321" s="14">
        <v>37.7</v>
      </c>
      <c r="G7321" s="15">
        <v>0.011273226088040858</v>
      </c>
      <c r="H7321" s="11" t="s">
        <v>33</v>
      </c>
      <c r="I7321" s="16">
        <v>2.32</v>
      </c>
      <c r="J7321" s="11" t="s">
        <v>2194</v>
      </c>
      <c r="K7321" s="11" t="s">
        <v>47</v>
      </c>
      <c r="L7321" s="11" t="s">
        <v>41</v>
      </c>
      <c r="M7321" s="11" t="s">
        <v>28</v>
      </c>
      <c r="N7321" s="11" t="s">
        <v>62</v>
      </c>
      <c r="O7321" s="11" t="s">
        <v>2511</v>
      </c>
      <c r="P7321" s="11" t="s">
        <v>99</v>
      </c>
      <c r="Q7321" s="20">
        <v>41081.0</v>
      </c>
      <c r="R7321" s="17">
        <f t="shared" si="2"/>
        <v>17.87618007</v>
      </c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>
        <f t="shared" si="8"/>
        <v>3</v>
      </c>
      <c r="AF7321" s="19">
        <f t="shared" si="13"/>
        <v>3</v>
      </c>
      <c r="AG7321" s="9"/>
      <c r="AH7321" s="9"/>
      <c r="AI7321" s="9"/>
    </row>
    <row r="7322" ht="15.0" customHeight="1">
      <c r="A7322" s="11">
        <v>7321.0</v>
      </c>
      <c r="B7322" s="12">
        <f t="shared" si="1167"/>
        <v>41080</v>
      </c>
      <c r="C7322" s="13">
        <v>2012.0</v>
      </c>
      <c r="D7322" s="11" t="s">
        <v>102</v>
      </c>
      <c r="E7322" s="11">
        <v>48.0</v>
      </c>
      <c r="F7322" s="14">
        <v>227.5</v>
      </c>
      <c r="G7322" s="15">
        <v>0.010702433028451544</v>
      </c>
      <c r="H7322" s="11" t="s">
        <v>45</v>
      </c>
      <c r="I7322" s="16">
        <v>25.983999999999998</v>
      </c>
      <c r="J7322" s="11" t="s">
        <v>2194</v>
      </c>
      <c r="K7322" s="11" t="s">
        <v>47</v>
      </c>
      <c r="L7322" s="11" t="s">
        <v>41</v>
      </c>
      <c r="M7322" s="11" t="s">
        <v>49</v>
      </c>
      <c r="N7322" s="11" t="s">
        <v>85</v>
      </c>
      <c r="O7322" s="11" t="s">
        <v>1279</v>
      </c>
      <c r="P7322" s="11" t="s">
        <v>87</v>
      </c>
      <c r="Q7322" s="20">
        <v>41082.0</v>
      </c>
      <c r="R7322" s="17">
        <f t="shared" si="2"/>
        <v>117.1486607</v>
      </c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>
        <f t="shared" si="8"/>
        <v>3</v>
      </c>
      <c r="AF7322" s="19">
        <f t="shared" si="13"/>
        <v>3</v>
      </c>
      <c r="AG7322" s="9"/>
      <c r="AH7322" s="9"/>
      <c r="AI7322" s="9"/>
    </row>
    <row r="7323" ht="15.0" customHeight="1">
      <c r="A7323" s="11">
        <v>7322.0</v>
      </c>
      <c r="B7323" s="12">
        <f t="shared" si="1167"/>
        <v>41080</v>
      </c>
      <c r="C7323" s="13">
        <v>2012.0</v>
      </c>
      <c r="D7323" s="11" t="s">
        <v>102</v>
      </c>
      <c r="E7323" s="11">
        <v>28.0</v>
      </c>
      <c r="F7323" s="14">
        <v>7.9</v>
      </c>
      <c r="G7323" s="15">
        <v>0.06195751770095784</v>
      </c>
      <c r="H7323" s="11" t="s">
        <v>33</v>
      </c>
      <c r="I7323" s="16">
        <v>4.024</v>
      </c>
      <c r="J7323" s="11" t="s">
        <v>1961</v>
      </c>
      <c r="K7323" s="11" t="s">
        <v>65</v>
      </c>
      <c r="L7323" s="11" t="s">
        <v>27</v>
      </c>
      <c r="M7323" s="11" t="s">
        <v>66</v>
      </c>
      <c r="N7323" s="11" t="s">
        <v>80</v>
      </c>
      <c r="O7323" s="11" t="s">
        <v>1603</v>
      </c>
      <c r="P7323" s="11" t="s">
        <v>75</v>
      </c>
      <c r="Q7323" s="20">
        <v>41083.0</v>
      </c>
      <c r="R7323" s="17">
        <f t="shared" si="2"/>
        <v>13.95431997</v>
      </c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>
        <f t="shared" si="8"/>
        <v>1</v>
      </c>
      <c r="AF7323" s="19">
        <f t="shared" si="13"/>
        <v>5</v>
      </c>
      <c r="AG7323" s="9"/>
      <c r="AH7323" s="9"/>
      <c r="AI7323" s="9"/>
    </row>
    <row r="7324" ht="15.0" customHeight="1">
      <c r="A7324" s="11">
        <v>7323.0</v>
      </c>
      <c r="B7324" s="12">
        <f t="shared" si="1167"/>
        <v>41080</v>
      </c>
      <c r="C7324" s="13">
        <v>2012.0</v>
      </c>
      <c r="D7324" s="11" t="s">
        <v>32</v>
      </c>
      <c r="E7324" s="11">
        <v>18.0</v>
      </c>
      <c r="F7324" s="14">
        <v>65.9</v>
      </c>
      <c r="G7324" s="15">
        <v>0.03128977134022296</v>
      </c>
      <c r="H7324" s="11" t="s">
        <v>33</v>
      </c>
      <c r="I7324" s="16">
        <v>4.248</v>
      </c>
      <c r="J7324" s="11" t="s">
        <v>829</v>
      </c>
      <c r="K7324" s="11" t="s">
        <v>83</v>
      </c>
      <c r="L7324" s="11" t="s">
        <v>36</v>
      </c>
      <c r="M7324" s="11" t="s">
        <v>66</v>
      </c>
      <c r="N7324" s="11" t="s">
        <v>80</v>
      </c>
      <c r="O7324" s="11">
        <v>3390.0</v>
      </c>
      <c r="P7324" s="11" t="s">
        <v>38</v>
      </c>
      <c r="Q7324" s="20">
        <v>41083.0</v>
      </c>
      <c r="R7324" s="17">
        <f t="shared" si="2"/>
        <v>37.24884571</v>
      </c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>
        <f t="shared" si="8"/>
        <v>2</v>
      </c>
      <c r="AF7324" s="19" t="b">
        <f t="shared" si="13"/>
        <v>0</v>
      </c>
      <c r="AG7324" s="9"/>
      <c r="AH7324" s="9"/>
      <c r="AI7324" s="9"/>
    </row>
    <row r="7325" ht="15.0" customHeight="1">
      <c r="A7325" s="11">
        <v>7324.0</v>
      </c>
      <c r="B7325" s="12">
        <f t="shared" ref="B7325:B7326" si="1168">DATE(2012,12,31)-192</f>
        <v>41082</v>
      </c>
      <c r="C7325" s="13">
        <v>2012.0</v>
      </c>
      <c r="D7325" s="11" t="s">
        <v>102</v>
      </c>
      <c r="E7325" s="11">
        <v>48.0</v>
      </c>
      <c r="F7325" s="14">
        <v>5.7</v>
      </c>
      <c r="G7325" s="15">
        <v>0.08964250573958656</v>
      </c>
      <c r="H7325" s="11" t="s">
        <v>33</v>
      </c>
      <c r="I7325" s="16">
        <v>3.968</v>
      </c>
      <c r="J7325" s="11" t="s">
        <v>2314</v>
      </c>
      <c r="K7325" s="11" t="s">
        <v>61</v>
      </c>
      <c r="L7325" s="11" t="s">
        <v>41</v>
      </c>
      <c r="M7325" s="11" t="s">
        <v>28</v>
      </c>
      <c r="N7325" s="11" t="s">
        <v>56</v>
      </c>
      <c r="O7325" s="11" t="s">
        <v>2173</v>
      </c>
      <c r="P7325" s="11" t="s">
        <v>38</v>
      </c>
      <c r="Q7325" s="20">
        <v>41083.0</v>
      </c>
      <c r="R7325" s="17">
        <f t="shared" si="2"/>
        <v>24.88189103</v>
      </c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>
        <f t="shared" si="8"/>
        <v>3</v>
      </c>
      <c r="AF7325" s="19">
        <f t="shared" si="13"/>
        <v>4</v>
      </c>
      <c r="AG7325" s="9"/>
      <c r="AH7325" s="9"/>
      <c r="AI7325" s="9"/>
    </row>
    <row r="7326" ht="15.0" customHeight="1">
      <c r="A7326" s="11">
        <v>7325.0</v>
      </c>
      <c r="B7326" s="12">
        <f t="shared" si="1168"/>
        <v>41082</v>
      </c>
      <c r="C7326" s="13">
        <v>2012.0</v>
      </c>
      <c r="D7326" s="11" t="s">
        <v>32</v>
      </c>
      <c r="E7326" s="11">
        <v>20.0</v>
      </c>
      <c r="F7326" s="14">
        <v>70.9</v>
      </c>
      <c r="G7326" s="15">
        <v>0.08697196498794868</v>
      </c>
      <c r="H7326" s="11" t="s">
        <v>45</v>
      </c>
      <c r="I7326" s="16">
        <v>21.480000000000004</v>
      </c>
      <c r="J7326" s="11" t="s">
        <v>1831</v>
      </c>
      <c r="K7326" s="11" t="s">
        <v>61</v>
      </c>
      <c r="L7326" s="11" t="s">
        <v>48</v>
      </c>
      <c r="M7326" s="11" t="s">
        <v>49</v>
      </c>
      <c r="N7326" s="11" t="s">
        <v>156</v>
      </c>
      <c r="O7326" s="11" t="s">
        <v>1719</v>
      </c>
      <c r="P7326" s="11" t="s">
        <v>87</v>
      </c>
      <c r="Q7326" s="20">
        <v>41083.0</v>
      </c>
      <c r="R7326" s="17">
        <f t="shared" si="2"/>
        <v>125.1944042</v>
      </c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>
        <f t="shared" si="8"/>
        <v>4</v>
      </c>
      <c r="AF7326" s="19">
        <f t="shared" si="13"/>
        <v>4</v>
      </c>
      <c r="AG7326" s="9"/>
      <c r="AH7326" s="9"/>
      <c r="AI7326" s="9"/>
    </row>
    <row r="7327" ht="15.0" customHeight="1">
      <c r="A7327" s="11">
        <v>7326.0</v>
      </c>
      <c r="B7327" s="12">
        <f t="shared" ref="B7327:B7328" si="1169">DATE(2012,12,31)-191</f>
        <v>41083</v>
      </c>
      <c r="C7327" s="13">
        <v>2012.0</v>
      </c>
      <c r="D7327" s="11" t="s">
        <v>32</v>
      </c>
      <c r="E7327" s="11">
        <v>25.0</v>
      </c>
      <c r="F7327" s="14">
        <v>43.9</v>
      </c>
      <c r="G7327" s="15">
        <v>0.07719321694094053</v>
      </c>
      <c r="H7327" s="11" t="s">
        <v>33</v>
      </c>
      <c r="I7327" s="16">
        <v>7.192</v>
      </c>
      <c r="J7327" s="11" t="s">
        <v>1831</v>
      </c>
      <c r="K7327" s="11" t="s">
        <v>61</v>
      </c>
      <c r="L7327" s="11" t="s">
        <v>48</v>
      </c>
      <c r="M7327" s="11" t="s">
        <v>28</v>
      </c>
      <c r="N7327" s="11" t="s">
        <v>62</v>
      </c>
      <c r="O7327" s="11" t="s">
        <v>482</v>
      </c>
      <c r="P7327" s="11" t="s">
        <v>99</v>
      </c>
      <c r="Q7327" s="20">
        <v>41084.0</v>
      </c>
      <c r="R7327" s="17">
        <f t="shared" si="2"/>
        <v>85.27472921</v>
      </c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>
        <f t="shared" si="8"/>
        <v>4</v>
      </c>
      <c r="AF7327" s="19">
        <f t="shared" si="13"/>
        <v>4</v>
      </c>
      <c r="AG7327" s="9"/>
      <c r="AH7327" s="9"/>
      <c r="AI7327" s="9"/>
    </row>
    <row r="7328" ht="15.0" customHeight="1">
      <c r="A7328" s="11">
        <v>7327.0</v>
      </c>
      <c r="B7328" s="12">
        <f t="shared" si="1169"/>
        <v>41083</v>
      </c>
      <c r="C7328" s="13">
        <v>2012.0</v>
      </c>
      <c r="D7328" s="11" t="s">
        <v>32</v>
      </c>
      <c r="E7328" s="11">
        <v>14.0</v>
      </c>
      <c r="F7328" s="14">
        <v>2.2</v>
      </c>
      <c r="G7328" s="15">
        <v>0.045540166204986104</v>
      </c>
      <c r="H7328" s="11" t="s">
        <v>33</v>
      </c>
      <c r="I7328" s="16">
        <v>3.6560000000000006</v>
      </c>
      <c r="J7328" s="11" t="s">
        <v>1831</v>
      </c>
      <c r="K7328" s="11" t="s">
        <v>61</v>
      </c>
      <c r="L7328" s="11" t="s">
        <v>48</v>
      </c>
      <c r="M7328" s="11" t="s">
        <v>49</v>
      </c>
      <c r="N7328" s="11" t="s">
        <v>73</v>
      </c>
      <c r="O7328" s="11" t="s">
        <v>1229</v>
      </c>
      <c r="P7328" s="11" t="s">
        <v>99</v>
      </c>
      <c r="Q7328" s="20">
        <v>41085.0</v>
      </c>
      <c r="R7328" s="17">
        <f t="shared" si="2"/>
        <v>1.569131967</v>
      </c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>
        <f t="shared" si="8"/>
        <v>4</v>
      </c>
      <c r="AF7328" s="19">
        <f t="shared" si="13"/>
        <v>4</v>
      </c>
      <c r="AG7328" s="9"/>
      <c r="AH7328" s="9"/>
      <c r="AI7328" s="9"/>
    </row>
    <row r="7329" ht="15.0" customHeight="1">
      <c r="A7329" s="11">
        <v>7328.0</v>
      </c>
      <c r="B7329" s="12">
        <f t="shared" ref="B7329:B7332" si="1170">DATE(2012,12,31)-190</f>
        <v>41084</v>
      </c>
      <c r="C7329" s="13">
        <v>2012.0</v>
      </c>
      <c r="D7329" s="11" t="s">
        <v>102</v>
      </c>
      <c r="E7329" s="11">
        <v>3.0</v>
      </c>
      <c r="F7329" s="14">
        <v>3.2</v>
      </c>
      <c r="G7329" s="15">
        <v>0.15527950310559005</v>
      </c>
      <c r="H7329" s="11" t="s">
        <v>33</v>
      </c>
      <c r="I7329" s="16">
        <v>4.0</v>
      </c>
      <c r="J7329" s="11" t="s">
        <v>1214</v>
      </c>
      <c r="K7329" s="11" t="s">
        <v>35</v>
      </c>
      <c r="L7329" s="11" t="s">
        <v>27</v>
      </c>
      <c r="M7329" s="11" t="s">
        <v>28</v>
      </c>
      <c r="N7329" s="11" t="s">
        <v>62</v>
      </c>
      <c r="O7329" s="11" t="s">
        <v>2132</v>
      </c>
      <c r="P7329" s="11" t="s">
        <v>58</v>
      </c>
      <c r="Q7329" s="20">
        <v>41085.0</v>
      </c>
      <c r="R7329" s="17">
        <f t="shared" si="2"/>
        <v>2.111801242</v>
      </c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>
        <f t="shared" si="8"/>
        <v>1</v>
      </c>
      <c r="AF7329" s="19">
        <f t="shared" si="13"/>
        <v>2</v>
      </c>
      <c r="AG7329" s="9"/>
      <c r="AH7329" s="9"/>
      <c r="AI7329" s="9"/>
    </row>
    <row r="7330" ht="15.0" customHeight="1">
      <c r="A7330" s="11">
        <v>7329.0</v>
      </c>
      <c r="B7330" s="12">
        <f t="shared" si="1170"/>
        <v>41084</v>
      </c>
      <c r="C7330" s="13">
        <v>2012.0</v>
      </c>
      <c r="D7330" s="11" t="s">
        <v>23</v>
      </c>
      <c r="E7330" s="11">
        <v>4.0</v>
      </c>
      <c r="F7330" s="14">
        <v>415.8</v>
      </c>
      <c r="G7330" s="15">
        <v>0.03990354805373746</v>
      </c>
      <c r="H7330" s="11" t="s">
        <v>33</v>
      </c>
      <c r="I7330" s="16">
        <v>9.096</v>
      </c>
      <c r="J7330" s="11" t="s">
        <v>1939</v>
      </c>
      <c r="K7330" s="11" t="s">
        <v>83</v>
      </c>
      <c r="L7330" s="11" t="s">
        <v>27</v>
      </c>
      <c r="M7330" s="11" t="s">
        <v>28</v>
      </c>
      <c r="N7330" s="11" t="s">
        <v>29</v>
      </c>
      <c r="O7330" s="11" t="s">
        <v>1234</v>
      </c>
      <c r="P7330" s="11" t="s">
        <v>38</v>
      </c>
      <c r="Q7330" s="20">
        <v>41086.0</v>
      </c>
      <c r="R7330" s="17">
        <f t="shared" si="2"/>
        <v>66.7305438</v>
      </c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>
        <f t="shared" si="8"/>
        <v>1</v>
      </c>
      <c r="AF7330" s="19" t="b">
        <f t="shared" si="13"/>
        <v>0</v>
      </c>
      <c r="AG7330" s="9"/>
      <c r="AH7330" s="9"/>
      <c r="AI7330" s="9"/>
    </row>
    <row r="7331" ht="15.0" customHeight="1">
      <c r="A7331" s="11">
        <v>7330.0</v>
      </c>
      <c r="B7331" s="12">
        <f t="shared" si="1170"/>
        <v>41084</v>
      </c>
      <c r="C7331" s="13">
        <v>2012.0</v>
      </c>
      <c r="D7331" s="11" t="s">
        <v>44</v>
      </c>
      <c r="E7331" s="11">
        <v>6.0</v>
      </c>
      <c r="F7331" s="14">
        <v>13.9</v>
      </c>
      <c r="G7331" s="15">
        <v>0.04986184909670556</v>
      </c>
      <c r="H7331" s="11" t="s">
        <v>33</v>
      </c>
      <c r="I7331" s="16">
        <v>6.008</v>
      </c>
      <c r="J7331" s="11" t="s">
        <v>133</v>
      </c>
      <c r="K7331" s="11" t="s">
        <v>65</v>
      </c>
      <c r="L7331" s="11" t="s">
        <v>41</v>
      </c>
      <c r="M7331" s="11" t="s">
        <v>66</v>
      </c>
      <c r="N7331" s="11" t="s">
        <v>69</v>
      </c>
      <c r="O7331" s="11" t="s">
        <v>607</v>
      </c>
      <c r="P7331" s="11" t="s">
        <v>75</v>
      </c>
      <c r="Q7331" s="20">
        <v>41086.0</v>
      </c>
      <c r="R7331" s="17">
        <f t="shared" si="2"/>
        <v>4.458048204</v>
      </c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>
        <f t="shared" si="8"/>
        <v>3</v>
      </c>
      <c r="AF7331" s="19">
        <f t="shared" si="13"/>
        <v>5</v>
      </c>
      <c r="AG7331" s="9"/>
      <c r="AH7331" s="9"/>
      <c r="AI7331" s="9"/>
    </row>
    <row r="7332" ht="15.0" customHeight="1">
      <c r="A7332" s="11">
        <v>7331.0</v>
      </c>
      <c r="B7332" s="12">
        <f t="shared" si="1170"/>
        <v>41084</v>
      </c>
      <c r="C7332" s="13">
        <v>2012.0</v>
      </c>
      <c r="D7332" s="11" t="s">
        <v>39</v>
      </c>
      <c r="E7332" s="11">
        <v>47.0</v>
      </c>
      <c r="F7332" s="14">
        <v>36.6</v>
      </c>
      <c r="G7332" s="15">
        <v>0.042217202049699774</v>
      </c>
      <c r="H7332" s="11" t="s">
        <v>33</v>
      </c>
      <c r="I7332" s="16">
        <v>18.080000000000002</v>
      </c>
      <c r="J7332" s="11" t="s">
        <v>453</v>
      </c>
      <c r="K7332" s="11" t="s">
        <v>61</v>
      </c>
      <c r="L7332" s="11" t="s">
        <v>36</v>
      </c>
      <c r="M7332" s="11" t="s">
        <v>49</v>
      </c>
      <c r="N7332" s="11" t="s">
        <v>73</v>
      </c>
      <c r="O7332" s="11" t="s">
        <v>2607</v>
      </c>
      <c r="P7332" s="11" t="s">
        <v>31</v>
      </c>
      <c r="Q7332" s="20">
        <v>41086.0</v>
      </c>
      <c r="R7332" s="17">
        <f t="shared" si="2"/>
        <v>73.38531798</v>
      </c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>
        <f t="shared" si="8"/>
        <v>2</v>
      </c>
      <c r="AF7332" s="19">
        <f t="shared" si="13"/>
        <v>4</v>
      </c>
      <c r="AG7332" s="9"/>
      <c r="AH7332" s="9"/>
      <c r="AI7332" s="9"/>
    </row>
    <row r="7333" ht="15.0" customHeight="1">
      <c r="A7333" s="11">
        <v>7332.0</v>
      </c>
      <c r="B7333" s="12">
        <f t="shared" ref="B7333:B7335" si="1171">DATE(2012,12,31)-189</f>
        <v>41085</v>
      </c>
      <c r="C7333" s="13">
        <v>2012.0</v>
      </c>
      <c r="D7333" s="11" t="s">
        <v>39</v>
      </c>
      <c r="E7333" s="11">
        <v>17.0</v>
      </c>
      <c r="F7333" s="14">
        <v>208.1</v>
      </c>
      <c r="G7333" s="15">
        <v>0.013913473152520093</v>
      </c>
      <c r="H7333" s="11" t="s">
        <v>45</v>
      </c>
      <c r="I7333" s="16">
        <v>54.416</v>
      </c>
      <c r="J7333" s="11" t="s">
        <v>546</v>
      </c>
      <c r="K7333" s="11" t="s">
        <v>61</v>
      </c>
      <c r="L7333" s="11" t="s">
        <v>48</v>
      </c>
      <c r="M7333" s="11" t="s">
        <v>28</v>
      </c>
      <c r="N7333" s="11" t="s">
        <v>197</v>
      </c>
      <c r="O7333" s="11" t="s">
        <v>294</v>
      </c>
      <c r="P7333" s="11" t="s">
        <v>52</v>
      </c>
      <c r="Q7333" s="20">
        <v>41087.0</v>
      </c>
      <c r="R7333" s="17">
        <f t="shared" si="2"/>
        <v>49.97880953</v>
      </c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>
        <f t="shared" si="8"/>
        <v>4</v>
      </c>
      <c r="AF7333" s="19">
        <f t="shared" si="13"/>
        <v>4</v>
      </c>
      <c r="AG7333" s="9"/>
      <c r="AH7333" s="9"/>
      <c r="AI7333" s="9"/>
    </row>
    <row r="7334" ht="15.0" customHeight="1">
      <c r="A7334" s="11">
        <v>7333.0</v>
      </c>
      <c r="B7334" s="12">
        <f t="shared" si="1171"/>
        <v>41085</v>
      </c>
      <c r="C7334" s="13">
        <v>2012.0</v>
      </c>
      <c r="D7334" s="11" t="s">
        <v>23</v>
      </c>
      <c r="E7334" s="11">
        <v>4.0</v>
      </c>
      <c r="F7334" s="14">
        <v>10.9</v>
      </c>
      <c r="G7334" s="15">
        <v>0.09809885931558943</v>
      </c>
      <c r="H7334" s="11" t="s">
        <v>24</v>
      </c>
      <c r="I7334" s="16">
        <v>3.84</v>
      </c>
      <c r="J7334" s="11" t="s">
        <v>887</v>
      </c>
      <c r="K7334" s="11" t="s">
        <v>61</v>
      </c>
      <c r="L7334" s="11" t="s">
        <v>36</v>
      </c>
      <c r="M7334" s="11" t="s">
        <v>28</v>
      </c>
      <c r="N7334" s="11" t="s">
        <v>236</v>
      </c>
      <c r="O7334" s="11" t="s">
        <v>1494</v>
      </c>
      <c r="P7334" s="11" t="s">
        <v>38</v>
      </c>
      <c r="Q7334" s="20">
        <v>41087.0</v>
      </c>
      <c r="R7334" s="17">
        <f t="shared" si="2"/>
        <v>4.653809886</v>
      </c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>
        <f t="shared" si="8"/>
        <v>2</v>
      </c>
      <c r="AF7334" s="19">
        <f t="shared" si="13"/>
        <v>4</v>
      </c>
      <c r="AG7334" s="9"/>
      <c r="AH7334" s="9"/>
      <c r="AI7334" s="9"/>
    </row>
    <row r="7335" ht="15.0" customHeight="1">
      <c r="A7335" s="11">
        <v>7334.0</v>
      </c>
      <c r="B7335" s="12">
        <f t="shared" si="1171"/>
        <v>41085</v>
      </c>
      <c r="C7335" s="13">
        <v>2012.0</v>
      </c>
      <c r="D7335" s="11" t="s">
        <v>23</v>
      </c>
      <c r="E7335" s="11">
        <v>49.0</v>
      </c>
      <c r="F7335" s="14">
        <v>11.9</v>
      </c>
      <c r="G7335" s="15">
        <v>0.08960966542750926</v>
      </c>
      <c r="H7335" s="11" t="s">
        <v>33</v>
      </c>
      <c r="I7335" s="16">
        <v>4.648</v>
      </c>
      <c r="J7335" s="11" t="s">
        <v>887</v>
      </c>
      <c r="K7335" s="11" t="s">
        <v>61</v>
      </c>
      <c r="L7335" s="11" t="s">
        <v>36</v>
      </c>
      <c r="M7335" s="11" t="s">
        <v>28</v>
      </c>
      <c r="N7335" s="11" t="s">
        <v>62</v>
      </c>
      <c r="O7335" s="11" t="s">
        <v>955</v>
      </c>
      <c r="P7335" s="11" t="s">
        <v>99</v>
      </c>
      <c r="Q7335" s="20">
        <v>41087.0</v>
      </c>
      <c r="R7335" s="17">
        <f t="shared" si="2"/>
        <v>52.66790164</v>
      </c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>
        <f t="shared" si="8"/>
        <v>2</v>
      </c>
      <c r="AF7335" s="19">
        <f t="shared" si="13"/>
        <v>4</v>
      </c>
      <c r="AG7335" s="9"/>
      <c r="AH7335" s="9"/>
      <c r="AI7335" s="9"/>
    </row>
    <row r="7336" ht="15.0" customHeight="1">
      <c r="A7336" s="11">
        <v>7335.0</v>
      </c>
      <c r="B7336" s="12">
        <f t="shared" ref="B7336:B7341" si="1172">DATE(2012,12,31)-188</f>
        <v>41086</v>
      </c>
      <c r="C7336" s="13">
        <v>2012.0</v>
      </c>
      <c r="D7336" s="11" t="s">
        <v>23</v>
      </c>
      <c r="E7336" s="11">
        <v>19.0</v>
      </c>
      <c r="F7336" s="14">
        <v>33.2</v>
      </c>
      <c r="G7336" s="15">
        <v>0.026681934594168653</v>
      </c>
      <c r="H7336" s="11" t="s">
        <v>33</v>
      </c>
      <c r="I7336" s="16">
        <v>1.592</v>
      </c>
      <c r="J7336" s="11" t="s">
        <v>597</v>
      </c>
      <c r="K7336" s="11" t="s">
        <v>26</v>
      </c>
      <c r="L7336" s="11" t="s">
        <v>27</v>
      </c>
      <c r="M7336" s="11" t="s">
        <v>66</v>
      </c>
      <c r="N7336" s="11" t="s">
        <v>67</v>
      </c>
      <c r="O7336" s="11" t="s">
        <v>2362</v>
      </c>
      <c r="P7336" s="11" t="s">
        <v>99</v>
      </c>
      <c r="Q7336" s="20">
        <v>41087.0</v>
      </c>
      <c r="R7336" s="17">
        <f t="shared" si="2"/>
        <v>16.87344198</v>
      </c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>
        <f t="shared" si="8"/>
        <v>1</v>
      </c>
      <c r="AF7336" s="19">
        <f t="shared" si="13"/>
        <v>1</v>
      </c>
      <c r="AG7336" s="9"/>
      <c r="AH7336" s="9"/>
      <c r="AI7336" s="9"/>
    </row>
    <row r="7337" ht="15.0" customHeight="1">
      <c r="A7337" s="11">
        <v>7336.0</v>
      </c>
      <c r="B7337" s="12">
        <f t="shared" si="1172"/>
        <v>41086</v>
      </c>
      <c r="C7337" s="13">
        <v>2012.0</v>
      </c>
      <c r="D7337" s="11" t="s">
        <v>32</v>
      </c>
      <c r="E7337" s="11">
        <v>41.0</v>
      </c>
      <c r="F7337" s="14">
        <v>100.9</v>
      </c>
      <c r="G7337" s="15">
        <v>0.03012104043265515</v>
      </c>
      <c r="H7337" s="11" t="s">
        <v>33</v>
      </c>
      <c r="I7337" s="16">
        <v>5.744</v>
      </c>
      <c r="J7337" s="11" t="s">
        <v>1942</v>
      </c>
      <c r="K7337" s="11" t="s">
        <v>65</v>
      </c>
      <c r="L7337" s="11" t="s">
        <v>48</v>
      </c>
      <c r="M7337" s="11" t="s">
        <v>66</v>
      </c>
      <c r="N7337" s="11" t="s">
        <v>67</v>
      </c>
      <c r="O7337" s="11" t="s">
        <v>1031</v>
      </c>
      <c r="P7337" s="11" t="s">
        <v>38</v>
      </c>
      <c r="Q7337" s="20">
        <v>41088.0</v>
      </c>
      <c r="R7337" s="17">
        <f t="shared" si="2"/>
        <v>124.7807474</v>
      </c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>
        <f t="shared" si="8"/>
        <v>4</v>
      </c>
      <c r="AF7337" s="19">
        <f t="shared" si="13"/>
        <v>5</v>
      </c>
      <c r="AG7337" s="9"/>
      <c r="AH7337" s="9"/>
      <c r="AI7337" s="9"/>
    </row>
    <row r="7338" ht="15.0" customHeight="1">
      <c r="A7338" s="11">
        <v>7337.0</v>
      </c>
      <c r="B7338" s="12">
        <f t="shared" si="1172"/>
        <v>41086</v>
      </c>
      <c r="C7338" s="13">
        <v>2012.0</v>
      </c>
      <c r="D7338" s="11" t="s">
        <v>32</v>
      </c>
      <c r="E7338" s="11">
        <v>12.0</v>
      </c>
      <c r="F7338" s="14">
        <v>40.9</v>
      </c>
      <c r="G7338" s="15">
        <v>0.014308426073132046</v>
      </c>
      <c r="H7338" s="11" t="s">
        <v>33</v>
      </c>
      <c r="I7338" s="16">
        <v>5.2</v>
      </c>
      <c r="J7338" s="11" t="s">
        <v>1942</v>
      </c>
      <c r="K7338" s="11" t="s">
        <v>65</v>
      </c>
      <c r="L7338" s="11" t="s">
        <v>48</v>
      </c>
      <c r="M7338" s="11" t="s">
        <v>66</v>
      </c>
      <c r="N7338" s="11" t="s">
        <v>67</v>
      </c>
      <c r="O7338" s="11" t="s">
        <v>272</v>
      </c>
      <c r="P7338" s="11" t="s">
        <v>38</v>
      </c>
      <c r="Q7338" s="20">
        <v>41088.0</v>
      </c>
      <c r="R7338" s="17">
        <f t="shared" si="2"/>
        <v>7.096979332</v>
      </c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>
        <f t="shared" si="8"/>
        <v>4</v>
      </c>
      <c r="AF7338" s="19">
        <f t="shared" si="13"/>
        <v>5</v>
      </c>
      <c r="AG7338" s="9"/>
      <c r="AH7338" s="9"/>
      <c r="AI7338" s="9"/>
    </row>
    <row r="7339" ht="15.0" customHeight="1">
      <c r="A7339" s="11">
        <v>7338.0</v>
      </c>
      <c r="B7339" s="12">
        <f t="shared" si="1172"/>
        <v>41086</v>
      </c>
      <c r="C7339" s="13">
        <v>2012.0</v>
      </c>
      <c r="D7339" s="11" t="s">
        <v>32</v>
      </c>
      <c r="E7339" s="11">
        <v>15.0</v>
      </c>
      <c r="F7339" s="14">
        <v>4.1</v>
      </c>
      <c r="G7339" s="15">
        <v>0.00966613672496032</v>
      </c>
      <c r="H7339" s="11" t="s">
        <v>24</v>
      </c>
      <c r="I7339" s="16">
        <v>0.792</v>
      </c>
      <c r="J7339" s="11" t="s">
        <v>1942</v>
      </c>
      <c r="K7339" s="11" t="s">
        <v>65</v>
      </c>
      <c r="L7339" s="11" t="s">
        <v>48</v>
      </c>
      <c r="M7339" s="11" t="s">
        <v>28</v>
      </c>
      <c r="N7339" s="11" t="s">
        <v>188</v>
      </c>
      <c r="O7339" s="11" t="s">
        <v>189</v>
      </c>
      <c r="P7339" s="11" t="s">
        <v>38</v>
      </c>
      <c r="Q7339" s="20">
        <v>41088.0</v>
      </c>
      <c r="R7339" s="17">
        <f t="shared" si="2"/>
        <v>0.6021229889</v>
      </c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>
        <f t="shared" si="8"/>
        <v>4</v>
      </c>
      <c r="AF7339" s="19">
        <f t="shared" si="13"/>
        <v>5</v>
      </c>
      <c r="AG7339" s="9"/>
      <c r="AH7339" s="9"/>
      <c r="AI7339" s="9"/>
    </row>
    <row r="7340" ht="15.0" customHeight="1">
      <c r="A7340" s="11">
        <v>7339.0</v>
      </c>
      <c r="B7340" s="12">
        <f t="shared" si="1172"/>
        <v>41086</v>
      </c>
      <c r="C7340" s="13">
        <v>2012.0</v>
      </c>
      <c r="D7340" s="11" t="s">
        <v>44</v>
      </c>
      <c r="E7340" s="11">
        <v>27.0</v>
      </c>
      <c r="F7340" s="14">
        <v>10.9</v>
      </c>
      <c r="G7340" s="15">
        <v>0.04747915330339953</v>
      </c>
      <c r="H7340" s="11" t="s">
        <v>33</v>
      </c>
      <c r="I7340" s="16">
        <v>2.696</v>
      </c>
      <c r="J7340" s="11" t="s">
        <v>2383</v>
      </c>
      <c r="K7340" s="11" t="s">
        <v>117</v>
      </c>
      <c r="L7340" s="11" t="s">
        <v>48</v>
      </c>
      <c r="M7340" s="11" t="s">
        <v>28</v>
      </c>
      <c r="N7340" s="11" t="s">
        <v>442</v>
      </c>
      <c r="O7340" s="11" t="s">
        <v>1111</v>
      </c>
      <c r="P7340" s="11" t="s">
        <v>99</v>
      </c>
      <c r="Q7340" s="20">
        <v>41088.0</v>
      </c>
      <c r="R7340" s="17">
        <f t="shared" si="2"/>
        <v>14.10111861</v>
      </c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>
        <f t="shared" si="8"/>
        <v>4</v>
      </c>
      <c r="AF7340" s="19" t="b">
        <f t="shared" si="13"/>
        <v>0</v>
      </c>
      <c r="AG7340" s="9"/>
      <c r="AH7340" s="9"/>
      <c r="AI7340" s="9"/>
    </row>
    <row r="7341" ht="15.0" customHeight="1">
      <c r="A7341" s="11">
        <v>7340.0</v>
      </c>
      <c r="B7341" s="12">
        <f t="shared" si="1172"/>
        <v>41086</v>
      </c>
      <c r="C7341" s="13">
        <v>2012.0</v>
      </c>
      <c r="D7341" s="11" t="s">
        <v>102</v>
      </c>
      <c r="E7341" s="11">
        <v>8.0</v>
      </c>
      <c r="F7341" s="14">
        <v>8.6</v>
      </c>
      <c r="G7341" s="15">
        <v>0.045683646112600555</v>
      </c>
      <c r="H7341" s="11" t="s">
        <v>33</v>
      </c>
      <c r="I7341" s="16">
        <v>2.3920000000000003</v>
      </c>
      <c r="J7341" s="11" t="s">
        <v>2304</v>
      </c>
      <c r="K7341" s="11" t="s">
        <v>26</v>
      </c>
      <c r="L7341" s="11" t="s">
        <v>48</v>
      </c>
      <c r="M7341" s="11" t="s">
        <v>28</v>
      </c>
      <c r="N7341" s="11" t="s">
        <v>42</v>
      </c>
      <c r="O7341" s="11" t="s">
        <v>2146</v>
      </c>
      <c r="P7341" s="11" t="s">
        <v>38</v>
      </c>
      <c r="Q7341" s="20">
        <v>41088.0</v>
      </c>
      <c r="R7341" s="17">
        <f t="shared" si="2"/>
        <v>3.252310134</v>
      </c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>
        <f t="shared" si="8"/>
        <v>4</v>
      </c>
      <c r="AF7341" s="19">
        <f t="shared" si="13"/>
        <v>1</v>
      </c>
      <c r="AG7341" s="9"/>
      <c r="AH7341" s="9"/>
      <c r="AI7341" s="9"/>
    </row>
    <row r="7342" ht="15.0" customHeight="1">
      <c r="A7342" s="11">
        <v>7341.0</v>
      </c>
      <c r="B7342" s="12">
        <f t="shared" ref="B7342:B7349" si="1173">DATE(2012,12,31)-187</f>
        <v>41087</v>
      </c>
      <c r="C7342" s="13">
        <v>2012.0</v>
      </c>
      <c r="D7342" s="11" t="s">
        <v>44</v>
      </c>
      <c r="E7342" s="11">
        <v>49.0</v>
      </c>
      <c r="F7342" s="14">
        <v>5.8</v>
      </c>
      <c r="G7342" s="15">
        <v>0.0808843967150981</v>
      </c>
      <c r="H7342" s="11" t="s">
        <v>24</v>
      </c>
      <c r="I7342" s="16">
        <v>6.792000000000001</v>
      </c>
      <c r="J7342" s="11" t="s">
        <v>370</v>
      </c>
      <c r="K7342" s="11" t="s">
        <v>65</v>
      </c>
      <c r="L7342" s="11" t="s">
        <v>48</v>
      </c>
      <c r="M7342" s="11" t="s">
        <v>28</v>
      </c>
      <c r="N7342" s="11" t="s">
        <v>42</v>
      </c>
      <c r="O7342" s="11" t="s">
        <v>338</v>
      </c>
      <c r="P7342" s="11" t="s">
        <v>38</v>
      </c>
      <c r="Q7342" s="20">
        <v>41088.0</v>
      </c>
      <c r="R7342" s="17">
        <f t="shared" si="2"/>
        <v>23.53671237</v>
      </c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>
        <f t="shared" si="8"/>
        <v>4</v>
      </c>
      <c r="AF7342" s="19">
        <f t="shared" si="13"/>
        <v>5</v>
      </c>
      <c r="AG7342" s="9"/>
      <c r="AH7342" s="9"/>
      <c r="AI7342" s="9"/>
    </row>
    <row r="7343" ht="15.0" customHeight="1">
      <c r="A7343" s="11">
        <v>7342.0</v>
      </c>
      <c r="B7343" s="12">
        <f t="shared" si="1173"/>
        <v>41087</v>
      </c>
      <c r="C7343" s="13">
        <v>2012.0</v>
      </c>
      <c r="D7343" s="11" t="s">
        <v>32</v>
      </c>
      <c r="E7343" s="11">
        <v>47.0</v>
      </c>
      <c r="F7343" s="14">
        <v>41.4</v>
      </c>
      <c r="G7343" s="15">
        <v>0.03404317814657081</v>
      </c>
      <c r="H7343" s="11" t="s">
        <v>33</v>
      </c>
      <c r="I7343" s="16">
        <v>27.360000000000003</v>
      </c>
      <c r="J7343" s="11" t="s">
        <v>910</v>
      </c>
      <c r="K7343" s="11" t="s">
        <v>117</v>
      </c>
      <c r="L7343" s="11" t="s">
        <v>48</v>
      </c>
      <c r="M7343" s="11" t="s">
        <v>49</v>
      </c>
      <c r="N7343" s="11" t="s">
        <v>73</v>
      </c>
      <c r="O7343" s="11" t="s">
        <v>686</v>
      </c>
      <c r="P7343" s="11" t="s">
        <v>58</v>
      </c>
      <c r="Q7343" s="20">
        <v>41088.0</v>
      </c>
      <c r="R7343" s="17">
        <f t="shared" si="2"/>
        <v>67.17263739</v>
      </c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>
        <f t="shared" si="8"/>
        <v>4</v>
      </c>
      <c r="AF7343" s="19" t="b">
        <f t="shared" si="13"/>
        <v>0</v>
      </c>
      <c r="AG7343" s="9"/>
      <c r="AH7343" s="9"/>
      <c r="AI7343" s="9"/>
    </row>
    <row r="7344" ht="15.0" customHeight="1">
      <c r="A7344" s="11">
        <v>7343.0</v>
      </c>
      <c r="B7344" s="12">
        <f t="shared" si="1173"/>
        <v>41087</v>
      </c>
      <c r="C7344" s="13">
        <v>2012.0</v>
      </c>
      <c r="D7344" s="11" t="s">
        <v>32</v>
      </c>
      <c r="E7344" s="11">
        <v>6.0</v>
      </c>
      <c r="F7344" s="14">
        <v>2.7</v>
      </c>
      <c r="G7344" s="15">
        <v>0.04666666666666646</v>
      </c>
      <c r="H7344" s="11" t="s">
        <v>33</v>
      </c>
      <c r="I7344" s="16">
        <v>0.96</v>
      </c>
      <c r="J7344" s="11" t="s">
        <v>910</v>
      </c>
      <c r="K7344" s="11" t="s">
        <v>117</v>
      </c>
      <c r="L7344" s="11" t="s">
        <v>48</v>
      </c>
      <c r="M7344" s="11" t="s">
        <v>28</v>
      </c>
      <c r="N7344" s="11" t="s">
        <v>62</v>
      </c>
      <c r="O7344" s="11" t="s">
        <v>1514</v>
      </c>
      <c r="P7344" s="11" t="s">
        <v>58</v>
      </c>
      <c r="Q7344" s="20">
        <v>41089.0</v>
      </c>
      <c r="R7344" s="17">
        <f t="shared" si="2"/>
        <v>0.8008</v>
      </c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>
        <f t="shared" si="8"/>
        <v>4</v>
      </c>
      <c r="AF7344" s="19" t="b">
        <f t="shared" si="13"/>
        <v>0</v>
      </c>
      <c r="AG7344" s="9"/>
      <c r="AH7344" s="9"/>
      <c r="AI7344" s="9"/>
    </row>
    <row r="7345" ht="15.0" customHeight="1">
      <c r="A7345" s="11">
        <v>7344.0</v>
      </c>
      <c r="B7345" s="12">
        <f t="shared" si="1173"/>
        <v>41087</v>
      </c>
      <c r="C7345" s="13">
        <v>2012.0</v>
      </c>
      <c r="D7345" s="11" t="s">
        <v>32</v>
      </c>
      <c r="E7345" s="11">
        <v>49.0</v>
      </c>
      <c r="F7345" s="14">
        <v>155.9</v>
      </c>
      <c r="G7345" s="15">
        <v>0.06605154777762835</v>
      </c>
      <c r="H7345" s="11" t="s">
        <v>24</v>
      </c>
      <c r="I7345" s="16">
        <v>3.12</v>
      </c>
      <c r="J7345" s="11" t="s">
        <v>910</v>
      </c>
      <c r="K7345" s="11" t="s">
        <v>117</v>
      </c>
      <c r="L7345" s="11" t="s">
        <v>48</v>
      </c>
      <c r="M7345" s="11" t="s">
        <v>66</v>
      </c>
      <c r="N7345" s="11" t="s">
        <v>80</v>
      </c>
      <c r="O7345" s="11" t="s">
        <v>1157</v>
      </c>
      <c r="P7345" s="11" t="s">
        <v>38</v>
      </c>
      <c r="Q7345" s="20">
        <v>41089.0</v>
      </c>
      <c r="R7345" s="17">
        <f t="shared" si="2"/>
        <v>504.7804595</v>
      </c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>
        <f t="shared" si="8"/>
        <v>4</v>
      </c>
      <c r="AF7345" s="19" t="b">
        <f t="shared" si="13"/>
        <v>0</v>
      </c>
      <c r="AG7345" s="9"/>
      <c r="AH7345" s="9"/>
      <c r="AI7345" s="9"/>
    </row>
    <row r="7346" ht="15.0" customHeight="1">
      <c r="A7346" s="11">
        <v>7345.0</v>
      </c>
      <c r="B7346" s="12">
        <f t="shared" si="1173"/>
        <v>41087</v>
      </c>
      <c r="C7346" s="13">
        <v>2012.0</v>
      </c>
      <c r="D7346" s="11" t="s">
        <v>44</v>
      </c>
      <c r="E7346" s="11">
        <v>50.0</v>
      </c>
      <c r="F7346" s="14">
        <v>1.7</v>
      </c>
      <c r="G7346" s="15">
        <v>0.044022346368715055</v>
      </c>
      <c r="H7346" s="11" t="s">
        <v>24</v>
      </c>
      <c r="I7346" s="16">
        <v>0.5599999999999999</v>
      </c>
      <c r="J7346" s="11" t="s">
        <v>1123</v>
      </c>
      <c r="K7346" s="11" t="s">
        <v>61</v>
      </c>
      <c r="L7346" s="11" t="s">
        <v>48</v>
      </c>
      <c r="M7346" s="11" t="s">
        <v>28</v>
      </c>
      <c r="N7346" s="11" t="s">
        <v>62</v>
      </c>
      <c r="O7346" s="11" t="s">
        <v>182</v>
      </c>
      <c r="P7346" s="11" t="s">
        <v>58</v>
      </c>
      <c r="Q7346" s="20">
        <v>41089.0</v>
      </c>
      <c r="R7346" s="17">
        <f t="shared" si="2"/>
        <v>3.766551955</v>
      </c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>
        <f t="shared" si="8"/>
        <v>4</v>
      </c>
      <c r="AF7346" s="19">
        <f t="shared" si="13"/>
        <v>4</v>
      </c>
      <c r="AG7346" s="9"/>
      <c r="AH7346" s="9"/>
      <c r="AI7346" s="9"/>
    </row>
    <row r="7347" ht="15.0" customHeight="1">
      <c r="A7347" s="11">
        <v>7346.0</v>
      </c>
      <c r="B7347" s="12">
        <f t="shared" si="1173"/>
        <v>41087</v>
      </c>
      <c r="C7347" s="13">
        <v>2012.0</v>
      </c>
      <c r="D7347" s="11" t="s">
        <v>39</v>
      </c>
      <c r="E7347" s="11">
        <v>17.0</v>
      </c>
      <c r="F7347" s="14">
        <v>15.1</v>
      </c>
      <c r="G7347" s="15">
        <v>0.04317550729797076</v>
      </c>
      <c r="H7347" s="11" t="s">
        <v>33</v>
      </c>
      <c r="I7347" s="16">
        <v>12.072000000000001</v>
      </c>
      <c r="J7347" s="11" t="s">
        <v>363</v>
      </c>
      <c r="K7347" s="11" t="s">
        <v>65</v>
      </c>
      <c r="L7347" s="11" t="s">
        <v>27</v>
      </c>
      <c r="M7347" s="11" t="s">
        <v>28</v>
      </c>
      <c r="N7347" s="11" t="s">
        <v>42</v>
      </c>
      <c r="O7347" s="11" t="s">
        <v>598</v>
      </c>
      <c r="P7347" s="11" t="s">
        <v>38</v>
      </c>
      <c r="Q7347" s="20">
        <v>41089.0</v>
      </c>
      <c r="R7347" s="17">
        <f t="shared" si="2"/>
        <v>11.60436745</v>
      </c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>
        <f t="shared" si="8"/>
        <v>1</v>
      </c>
      <c r="AF7347" s="19">
        <f t="shared" si="13"/>
        <v>5</v>
      </c>
      <c r="AG7347" s="9"/>
      <c r="AH7347" s="9"/>
      <c r="AI7347" s="9"/>
    </row>
    <row r="7348" ht="15.0" customHeight="1">
      <c r="A7348" s="11">
        <v>7347.0</v>
      </c>
      <c r="B7348" s="12">
        <f t="shared" si="1173"/>
        <v>41087</v>
      </c>
      <c r="C7348" s="13">
        <v>2012.0</v>
      </c>
      <c r="D7348" s="11" t="s">
        <v>32</v>
      </c>
      <c r="E7348" s="11">
        <v>43.0</v>
      </c>
      <c r="F7348" s="14">
        <v>15.1</v>
      </c>
      <c r="G7348" s="15">
        <v>0.07766068653764656</v>
      </c>
      <c r="H7348" s="11" t="s">
        <v>33</v>
      </c>
      <c r="I7348" s="16">
        <v>3.6240000000000006</v>
      </c>
      <c r="J7348" s="11" t="s">
        <v>1777</v>
      </c>
      <c r="K7348" s="11" t="s">
        <v>83</v>
      </c>
      <c r="L7348" s="11" t="s">
        <v>48</v>
      </c>
      <c r="M7348" s="11" t="s">
        <v>28</v>
      </c>
      <c r="N7348" s="11" t="s">
        <v>29</v>
      </c>
      <c r="O7348" s="11" t="s">
        <v>946</v>
      </c>
      <c r="P7348" s="11" t="s">
        <v>38</v>
      </c>
      <c r="Q7348" s="20">
        <v>41089.0</v>
      </c>
      <c r="R7348" s="17">
        <f t="shared" si="2"/>
        <v>50.7065261</v>
      </c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>
        <f t="shared" si="8"/>
        <v>4</v>
      </c>
      <c r="AF7348" s="19" t="b">
        <f t="shared" si="13"/>
        <v>0</v>
      </c>
      <c r="AG7348" s="9"/>
      <c r="AH7348" s="9"/>
      <c r="AI7348" s="9"/>
    </row>
    <row r="7349" ht="15.0" customHeight="1">
      <c r="A7349" s="11">
        <v>7348.0</v>
      </c>
      <c r="B7349" s="12">
        <f t="shared" si="1173"/>
        <v>41087</v>
      </c>
      <c r="C7349" s="13">
        <v>2012.0</v>
      </c>
      <c r="D7349" s="11" t="s">
        <v>44</v>
      </c>
      <c r="E7349" s="11">
        <v>8.0</v>
      </c>
      <c r="F7349" s="14">
        <v>95.9</v>
      </c>
      <c r="G7349" s="15">
        <v>0.02461944144792037</v>
      </c>
      <c r="H7349" s="11" t="s">
        <v>45</v>
      </c>
      <c r="I7349" s="16">
        <v>46.56</v>
      </c>
      <c r="J7349" s="11" t="s">
        <v>1936</v>
      </c>
      <c r="K7349" s="11" t="s">
        <v>35</v>
      </c>
      <c r="L7349" s="11" t="s">
        <v>27</v>
      </c>
      <c r="M7349" s="11" t="s">
        <v>49</v>
      </c>
      <c r="N7349" s="11" t="s">
        <v>50</v>
      </c>
      <c r="O7349" s="11" t="s">
        <v>2247</v>
      </c>
      <c r="P7349" s="11" t="s">
        <v>52</v>
      </c>
      <c r="Q7349" s="20">
        <v>41089.0</v>
      </c>
      <c r="R7349" s="17">
        <f t="shared" si="2"/>
        <v>20.03431667</v>
      </c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>
        <f t="shared" si="8"/>
        <v>1</v>
      </c>
      <c r="AF7349" s="19">
        <f t="shared" si="13"/>
        <v>2</v>
      </c>
      <c r="AG7349" s="9"/>
      <c r="AH7349" s="9"/>
      <c r="AI7349" s="9"/>
    </row>
    <row r="7350" ht="15.0" customHeight="1">
      <c r="A7350" s="11">
        <v>7349.0</v>
      </c>
      <c r="B7350" s="12">
        <f t="shared" ref="B7350:B7355" si="1174">DATE(2012,12,31)-186</f>
        <v>41088</v>
      </c>
      <c r="C7350" s="13">
        <v>2012.0</v>
      </c>
      <c r="D7350" s="11" t="s">
        <v>44</v>
      </c>
      <c r="E7350" s="11">
        <v>47.0</v>
      </c>
      <c r="F7350" s="14">
        <v>216.6</v>
      </c>
      <c r="G7350" s="15">
        <v>0.05778064278478686</v>
      </c>
      <c r="H7350" s="11" t="s">
        <v>45</v>
      </c>
      <c r="I7350" s="16">
        <v>51.36000000000001</v>
      </c>
      <c r="J7350" s="11" t="s">
        <v>337</v>
      </c>
      <c r="K7350" s="11" t="s">
        <v>117</v>
      </c>
      <c r="L7350" s="11" t="s">
        <v>48</v>
      </c>
      <c r="M7350" s="11" t="s">
        <v>49</v>
      </c>
      <c r="N7350" s="11" t="s">
        <v>50</v>
      </c>
      <c r="O7350" s="11" t="s">
        <v>2426</v>
      </c>
      <c r="P7350" s="11" t="s">
        <v>52</v>
      </c>
      <c r="Q7350" s="20">
        <v>41090.0</v>
      </c>
      <c r="R7350" s="17">
        <f t="shared" si="2"/>
        <v>591.1861135</v>
      </c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>
        <f t="shared" si="8"/>
        <v>4</v>
      </c>
      <c r="AF7350" s="19" t="b">
        <f t="shared" si="13"/>
        <v>0</v>
      </c>
      <c r="AG7350" s="9"/>
      <c r="AH7350" s="9"/>
      <c r="AI7350" s="9"/>
    </row>
    <row r="7351" ht="15.0" customHeight="1">
      <c r="A7351" s="11">
        <v>7350.0</v>
      </c>
      <c r="B7351" s="12">
        <f t="shared" si="1174"/>
        <v>41088</v>
      </c>
      <c r="C7351" s="13">
        <v>2012.0</v>
      </c>
      <c r="D7351" s="11" t="s">
        <v>44</v>
      </c>
      <c r="E7351" s="11">
        <v>26.0</v>
      </c>
      <c r="F7351" s="14">
        <v>140.8</v>
      </c>
      <c r="G7351" s="15">
        <v>0.03515552855327401</v>
      </c>
      <c r="H7351" s="11" t="s">
        <v>33</v>
      </c>
      <c r="I7351" s="16">
        <v>19.592</v>
      </c>
      <c r="J7351" s="11" t="s">
        <v>337</v>
      </c>
      <c r="K7351" s="11" t="s">
        <v>117</v>
      </c>
      <c r="L7351" s="11" t="s">
        <v>48</v>
      </c>
      <c r="M7351" s="11" t="s">
        <v>49</v>
      </c>
      <c r="N7351" s="11" t="s">
        <v>50</v>
      </c>
      <c r="O7351" s="11" t="s">
        <v>2054</v>
      </c>
      <c r="P7351" s="11" t="s">
        <v>31</v>
      </c>
      <c r="Q7351" s="20">
        <v>41090.0</v>
      </c>
      <c r="R7351" s="17">
        <f t="shared" si="2"/>
        <v>129.386126</v>
      </c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>
        <f t="shared" si="8"/>
        <v>4</v>
      </c>
      <c r="AF7351" s="19" t="b">
        <f t="shared" si="13"/>
        <v>0</v>
      </c>
      <c r="AG7351" s="9"/>
      <c r="AH7351" s="9"/>
      <c r="AI7351" s="9"/>
    </row>
    <row r="7352" ht="15.0" customHeight="1">
      <c r="A7352" s="11">
        <v>7351.0</v>
      </c>
      <c r="B7352" s="12">
        <f t="shared" si="1174"/>
        <v>41088</v>
      </c>
      <c r="C7352" s="13">
        <v>2012.0</v>
      </c>
      <c r="D7352" s="11" t="s">
        <v>102</v>
      </c>
      <c r="E7352" s="11">
        <v>26.0</v>
      </c>
      <c r="F7352" s="14">
        <v>296.1</v>
      </c>
      <c r="G7352" s="15">
        <v>0.08409194695186153</v>
      </c>
      <c r="H7352" s="11" t="s">
        <v>45</v>
      </c>
      <c r="I7352" s="16">
        <v>43.296</v>
      </c>
      <c r="J7352" s="11" t="s">
        <v>2156</v>
      </c>
      <c r="K7352" s="11" t="s">
        <v>65</v>
      </c>
      <c r="L7352" s="11" t="s">
        <v>27</v>
      </c>
      <c r="M7352" s="11" t="s">
        <v>49</v>
      </c>
      <c r="N7352" s="11" t="s">
        <v>85</v>
      </c>
      <c r="O7352" s="11" t="s">
        <v>807</v>
      </c>
      <c r="P7352" s="11" t="s">
        <v>87</v>
      </c>
      <c r="Q7352" s="20">
        <v>41090.0</v>
      </c>
      <c r="R7352" s="17">
        <f t="shared" si="2"/>
        <v>651.0311077</v>
      </c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>
        <f t="shared" si="8"/>
        <v>1</v>
      </c>
      <c r="AF7352" s="19">
        <f t="shared" si="13"/>
        <v>5</v>
      </c>
      <c r="AG7352" s="9"/>
      <c r="AH7352" s="9"/>
      <c r="AI7352" s="9"/>
    </row>
    <row r="7353" ht="15.0" customHeight="1">
      <c r="A7353" s="11">
        <v>7352.0</v>
      </c>
      <c r="B7353" s="12">
        <f t="shared" si="1174"/>
        <v>41088</v>
      </c>
      <c r="C7353" s="13">
        <v>2012.0</v>
      </c>
      <c r="D7353" s="11" t="s">
        <v>32</v>
      </c>
      <c r="E7353" s="11">
        <v>39.0</v>
      </c>
      <c r="F7353" s="14">
        <v>22.2</v>
      </c>
      <c r="G7353" s="15">
        <v>0.06766988210075035</v>
      </c>
      <c r="H7353" s="11" t="s">
        <v>33</v>
      </c>
      <c r="I7353" s="16">
        <v>4.064</v>
      </c>
      <c r="J7353" s="11" t="s">
        <v>353</v>
      </c>
      <c r="K7353" s="11" t="s">
        <v>83</v>
      </c>
      <c r="L7353" s="11" t="s">
        <v>41</v>
      </c>
      <c r="M7353" s="11" t="s">
        <v>49</v>
      </c>
      <c r="N7353" s="11" t="s">
        <v>73</v>
      </c>
      <c r="O7353" s="11" t="s">
        <v>2488</v>
      </c>
      <c r="P7353" s="11" t="s">
        <v>99</v>
      </c>
      <c r="Q7353" s="20">
        <v>41090.0</v>
      </c>
      <c r="R7353" s="17">
        <f t="shared" si="2"/>
        <v>58.86359432</v>
      </c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>
        <f t="shared" si="8"/>
        <v>3</v>
      </c>
      <c r="AF7353" s="19" t="b">
        <f t="shared" si="13"/>
        <v>0</v>
      </c>
      <c r="AG7353" s="9"/>
      <c r="AH7353" s="9"/>
      <c r="AI7353" s="9"/>
    </row>
    <row r="7354" ht="15.0" customHeight="1">
      <c r="A7354" s="11">
        <v>7353.0</v>
      </c>
      <c r="B7354" s="12">
        <f t="shared" si="1174"/>
        <v>41088</v>
      </c>
      <c r="C7354" s="13">
        <v>2012.0</v>
      </c>
      <c r="D7354" s="11" t="s">
        <v>32</v>
      </c>
      <c r="E7354" s="11">
        <v>38.0</v>
      </c>
      <c r="F7354" s="14">
        <v>55.9</v>
      </c>
      <c r="G7354" s="15">
        <v>0.06699446834665043</v>
      </c>
      <c r="H7354" s="11" t="s">
        <v>33</v>
      </c>
      <c r="I7354" s="16">
        <v>1.0</v>
      </c>
      <c r="J7354" s="11" t="s">
        <v>353</v>
      </c>
      <c r="K7354" s="11" t="s">
        <v>83</v>
      </c>
      <c r="L7354" s="11" t="s">
        <v>41</v>
      </c>
      <c r="M7354" s="11" t="s">
        <v>66</v>
      </c>
      <c r="N7354" s="11" t="s">
        <v>80</v>
      </c>
      <c r="O7354" s="11" t="s">
        <v>1275</v>
      </c>
      <c r="P7354" s="11" t="s">
        <v>99</v>
      </c>
      <c r="Q7354" s="20">
        <v>41090.0</v>
      </c>
      <c r="R7354" s="17">
        <f t="shared" si="2"/>
        <v>142.3766441</v>
      </c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>
        <f t="shared" si="8"/>
        <v>3</v>
      </c>
      <c r="AF7354" s="19" t="b">
        <f t="shared" si="13"/>
        <v>0</v>
      </c>
      <c r="AG7354" s="9"/>
      <c r="AH7354" s="9"/>
      <c r="AI7354" s="9"/>
    </row>
    <row r="7355" ht="15.0" customHeight="1">
      <c r="A7355" s="11">
        <v>7354.0</v>
      </c>
      <c r="B7355" s="12">
        <f t="shared" si="1174"/>
        <v>41088</v>
      </c>
      <c r="C7355" s="13">
        <v>2012.0</v>
      </c>
      <c r="D7355" s="11" t="s">
        <v>39</v>
      </c>
      <c r="E7355" s="11">
        <v>32.0</v>
      </c>
      <c r="F7355" s="14">
        <v>223.9</v>
      </c>
      <c r="G7355" s="15">
        <v>0.04834540005834456</v>
      </c>
      <c r="H7355" s="11" t="s">
        <v>24</v>
      </c>
      <c r="I7355" s="16">
        <v>12.008000000000001</v>
      </c>
      <c r="J7355" s="11" t="s">
        <v>2545</v>
      </c>
      <c r="K7355" s="11" t="s">
        <v>65</v>
      </c>
      <c r="L7355" s="11" t="s">
        <v>27</v>
      </c>
      <c r="M7355" s="11" t="s">
        <v>28</v>
      </c>
      <c r="N7355" s="11" t="s">
        <v>42</v>
      </c>
      <c r="O7355" s="11" t="s">
        <v>1988</v>
      </c>
      <c r="P7355" s="11" t="s">
        <v>38</v>
      </c>
      <c r="Q7355" s="20">
        <v>41090.0</v>
      </c>
      <c r="R7355" s="17">
        <f t="shared" si="2"/>
        <v>346.9656539</v>
      </c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>
        <f t="shared" si="8"/>
        <v>1</v>
      </c>
      <c r="AF7355" s="19">
        <f t="shared" si="13"/>
        <v>5</v>
      </c>
      <c r="AG7355" s="9"/>
      <c r="AH7355" s="9"/>
      <c r="AI7355" s="9"/>
    </row>
    <row r="7356" ht="15.0" customHeight="1">
      <c r="A7356" s="11">
        <v>7355.0</v>
      </c>
      <c r="B7356" s="12">
        <f t="shared" ref="B7356:B7365" si="1175">DATE(2012,12,31)-185</f>
        <v>41089</v>
      </c>
      <c r="C7356" s="13">
        <v>2012.0</v>
      </c>
      <c r="D7356" s="11" t="s">
        <v>44</v>
      </c>
      <c r="E7356" s="11">
        <v>46.0</v>
      </c>
      <c r="F7356" s="14">
        <v>165.9</v>
      </c>
      <c r="G7356" s="15">
        <v>0.09181260020188817</v>
      </c>
      <c r="H7356" s="11" t="s">
        <v>33</v>
      </c>
      <c r="I7356" s="16">
        <v>15.991999999999999</v>
      </c>
      <c r="J7356" s="11" t="s">
        <v>373</v>
      </c>
      <c r="K7356" s="11" t="s">
        <v>83</v>
      </c>
      <c r="L7356" s="11" t="s">
        <v>48</v>
      </c>
      <c r="M7356" s="11" t="s">
        <v>28</v>
      </c>
      <c r="N7356" s="11" t="s">
        <v>42</v>
      </c>
      <c r="O7356" s="11" t="s">
        <v>1117</v>
      </c>
      <c r="P7356" s="11" t="s">
        <v>38</v>
      </c>
      <c r="Q7356" s="20">
        <v>41090.0</v>
      </c>
      <c r="R7356" s="17">
        <f t="shared" si="2"/>
        <v>702.1269443</v>
      </c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>
        <f t="shared" si="8"/>
        <v>4</v>
      </c>
      <c r="AF7356" s="19" t="b">
        <f t="shared" si="13"/>
        <v>0</v>
      </c>
      <c r="AG7356" s="9"/>
      <c r="AH7356" s="9"/>
      <c r="AI7356" s="9"/>
    </row>
    <row r="7357" ht="15.0" customHeight="1">
      <c r="A7357" s="11">
        <v>7356.0</v>
      </c>
      <c r="B7357" s="12">
        <f t="shared" si="1175"/>
        <v>41089</v>
      </c>
      <c r="C7357" s="13">
        <v>2012.0</v>
      </c>
      <c r="D7357" s="11" t="s">
        <v>32</v>
      </c>
      <c r="E7357" s="11">
        <v>39.0</v>
      </c>
      <c r="F7357" s="14">
        <v>99.9</v>
      </c>
      <c r="G7357" s="15">
        <v>0.0671947352106629</v>
      </c>
      <c r="H7357" s="11" t="s">
        <v>33</v>
      </c>
      <c r="I7357" s="16">
        <v>15.991999999999999</v>
      </c>
      <c r="J7357" s="11" t="s">
        <v>1901</v>
      </c>
      <c r="K7357" s="11" t="s">
        <v>35</v>
      </c>
      <c r="L7357" s="11" t="s">
        <v>48</v>
      </c>
      <c r="M7357" s="11" t="s">
        <v>66</v>
      </c>
      <c r="N7357" s="11" t="s">
        <v>67</v>
      </c>
      <c r="O7357" s="11" t="s">
        <v>845</v>
      </c>
      <c r="P7357" s="11" t="s">
        <v>38</v>
      </c>
      <c r="Q7357" s="20">
        <v>41090.0</v>
      </c>
      <c r="R7357" s="17">
        <f t="shared" si="2"/>
        <v>262.8719861</v>
      </c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>
        <f t="shared" si="8"/>
        <v>4</v>
      </c>
      <c r="AF7357" s="19">
        <f t="shared" si="13"/>
        <v>2</v>
      </c>
      <c r="AG7357" s="9"/>
      <c r="AH7357" s="9"/>
      <c r="AI7357" s="9"/>
    </row>
    <row r="7358" ht="15.0" customHeight="1">
      <c r="A7358" s="11">
        <v>7357.0</v>
      </c>
      <c r="B7358" s="12">
        <f t="shared" si="1175"/>
        <v>41089</v>
      </c>
      <c r="C7358" s="13">
        <v>2012.0</v>
      </c>
      <c r="D7358" s="11" t="s">
        <v>32</v>
      </c>
      <c r="E7358" s="11">
        <v>32.0</v>
      </c>
      <c r="F7358" s="14">
        <v>11.3</v>
      </c>
      <c r="G7358" s="15">
        <v>0.09637172516065254</v>
      </c>
      <c r="H7358" s="11" t="s">
        <v>33</v>
      </c>
      <c r="I7358" s="16">
        <v>4.008</v>
      </c>
      <c r="J7358" s="11" t="s">
        <v>1901</v>
      </c>
      <c r="K7358" s="11" t="s">
        <v>35</v>
      </c>
      <c r="L7358" s="11" t="s">
        <v>48</v>
      </c>
      <c r="M7358" s="11" t="s">
        <v>28</v>
      </c>
      <c r="N7358" s="11" t="s">
        <v>56</v>
      </c>
      <c r="O7358" s="11" t="s">
        <v>260</v>
      </c>
      <c r="P7358" s="11" t="s">
        <v>38</v>
      </c>
      <c r="Q7358" s="20">
        <v>41091.0</v>
      </c>
      <c r="R7358" s="17">
        <f t="shared" si="2"/>
        <v>35.23427369</v>
      </c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>
        <f t="shared" si="8"/>
        <v>4</v>
      </c>
      <c r="AF7358" s="19">
        <f t="shared" si="13"/>
        <v>2</v>
      </c>
      <c r="AG7358" s="9"/>
      <c r="AH7358" s="9"/>
      <c r="AI7358" s="9"/>
    </row>
    <row r="7359" ht="15.0" customHeight="1">
      <c r="A7359" s="11">
        <v>7358.0</v>
      </c>
      <c r="B7359" s="12">
        <f t="shared" si="1175"/>
        <v>41089</v>
      </c>
      <c r="C7359" s="13">
        <v>2012.0</v>
      </c>
      <c r="D7359" s="11" t="s">
        <v>23</v>
      </c>
      <c r="E7359" s="11">
        <v>46.0</v>
      </c>
      <c r="F7359" s="14">
        <v>205.9</v>
      </c>
      <c r="G7359" s="15">
        <v>0.07456855716922717</v>
      </c>
      <c r="H7359" s="11" t="s">
        <v>33</v>
      </c>
      <c r="I7359" s="16">
        <v>4.0</v>
      </c>
      <c r="J7359" s="11" t="s">
        <v>446</v>
      </c>
      <c r="K7359" s="11" t="s">
        <v>61</v>
      </c>
      <c r="L7359" s="11" t="s">
        <v>48</v>
      </c>
      <c r="M7359" s="11" t="s">
        <v>66</v>
      </c>
      <c r="N7359" s="11" t="s">
        <v>80</v>
      </c>
      <c r="O7359" s="11" t="s">
        <v>2025</v>
      </c>
      <c r="P7359" s="11" t="s">
        <v>38</v>
      </c>
      <c r="Q7359" s="20">
        <v>41091.0</v>
      </c>
      <c r="R7359" s="17">
        <f t="shared" si="2"/>
        <v>706.5669066</v>
      </c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>
        <f t="shared" si="8"/>
        <v>4</v>
      </c>
      <c r="AF7359" s="19">
        <f t="shared" si="13"/>
        <v>4</v>
      </c>
      <c r="AG7359" s="9"/>
      <c r="AH7359" s="9"/>
      <c r="AI7359" s="9"/>
    </row>
    <row r="7360" ht="15.0" customHeight="1">
      <c r="A7360" s="11">
        <v>7359.0</v>
      </c>
      <c r="B7360" s="12">
        <f t="shared" si="1175"/>
        <v>41089</v>
      </c>
      <c r="C7360" s="13">
        <v>2012.0</v>
      </c>
      <c r="D7360" s="11" t="s">
        <v>44</v>
      </c>
      <c r="E7360" s="11">
        <v>6.0</v>
      </c>
      <c r="F7360" s="14">
        <v>140.8</v>
      </c>
      <c r="G7360" s="15">
        <v>0.043919920362791694</v>
      </c>
      <c r="H7360" s="11" t="s">
        <v>24</v>
      </c>
      <c r="I7360" s="16">
        <v>19.592</v>
      </c>
      <c r="J7360" s="11" t="s">
        <v>863</v>
      </c>
      <c r="K7360" s="11" t="s">
        <v>117</v>
      </c>
      <c r="L7360" s="11" t="s">
        <v>27</v>
      </c>
      <c r="M7360" s="11" t="s">
        <v>49</v>
      </c>
      <c r="N7360" s="11" t="s">
        <v>50</v>
      </c>
      <c r="O7360" s="11" t="s">
        <v>2054</v>
      </c>
      <c r="P7360" s="11" t="s">
        <v>31</v>
      </c>
      <c r="Q7360" s="20">
        <v>41091.0</v>
      </c>
      <c r="R7360" s="17">
        <f t="shared" si="2"/>
        <v>37.9640278</v>
      </c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>
        <f t="shared" si="8"/>
        <v>1</v>
      </c>
      <c r="AF7360" s="19" t="b">
        <f t="shared" si="13"/>
        <v>0</v>
      </c>
      <c r="AG7360" s="9"/>
      <c r="AH7360" s="9"/>
      <c r="AI7360" s="9"/>
    </row>
    <row r="7361" ht="15.0" customHeight="1">
      <c r="A7361" s="11">
        <v>7360.0</v>
      </c>
      <c r="B7361" s="12">
        <f t="shared" si="1175"/>
        <v>41089</v>
      </c>
      <c r="C7361" s="13">
        <v>2012.0</v>
      </c>
      <c r="D7361" s="11" t="s">
        <v>23</v>
      </c>
      <c r="E7361" s="11">
        <v>37.0</v>
      </c>
      <c r="F7361" s="14">
        <v>83.9</v>
      </c>
      <c r="G7361" s="15">
        <v>0.030694293436053413</v>
      </c>
      <c r="H7361" s="11" t="s">
        <v>33</v>
      </c>
      <c r="I7361" s="16">
        <v>15.991999999999999</v>
      </c>
      <c r="J7361" s="11" t="s">
        <v>2194</v>
      </c>
      <c r="K7361" s="11" t="s">
        <v>47</v>
      </c>
      <c r="L7361" s="11" t="s">
        <v>41</v>
      </c>
      <c r="M7361" s="11" t="s">
        <v>28</v>
      </c>
      <c r="N7361" s="11" t="s">
        <v>236</v>
      </c>
      <c r="O7361" s="11" t="s">
        <v>2170</v>
      </c>
      <c r="P7361" s="11" t="s">
        <v>38</v>
      </c>
      <c r="Q7361" s="20">
        <v>41091.0</v>
      </c>
      <c r="R7361" s="17">
        <f t="shared" si="2"/>
        <v>95.77515825</v>
      </c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>
        <f t="shared" si="8"/>
        <v>3</v>
      </c>
      <c r="AF7361" s="19">
        <f t="shared" si="13"/>
        <v>3</v>
      </c>
      <c r="AG7361" s="9"/>
      <c r="AH7361" s="9"/>
      <c r="AI7361" s="9"/>
    </row>
    <row r="7362" ht="15.0" customHeight="1">
      <c r="A7362" s="11">
        <v>7361.0</v>
      </c>
      <c r="B7362" s="12">
        <f t="shared" si="1175"/>
        <v>41089</v>
      </c>
      <c r="C7362" s="13">
        <v>2012.0</v>
      </c>
      <c r="D7362" s="11" t="s">
        <v>23</v>
      </c>
      <c r="E7362" s="11">
        <v>13.0</v>
      </c>
      <c r="F7362" s="14">
        <v>22.8</v>
      </c>
      <c r="G7362" s="15">
        <v>0.061541341653666114</v>
      </c>
      <c r="H7362" s="11" t="s">
        <v>33</v>
      </c>
      <c r="I7362" s="16">
        <v>4.376</v>
      </c>
      <c r="J7362" s="11" t="s">
        <v>2194</v>
      </c>
      <c r="K7362" s="11" t="s">
        <v>47</v>
      </c>
      <c r="L7362" s="11" t="s">
        <v>41</v>
      </c>
      <c r="M7362" s="11" t="s">
        <v>28</v>
      </c>
      <c r="N7362" s="11" t="s">
        <v>56</v>
      </c>
      <c r="O7362" s="11" t="s">
        <v>2087</v>
      </c>
      <c r="P7362" s="11" t="s">
        <v>38</v>
      </c>
      <c r="Q7362" s="20">
        <v>41091.0</v>
      </c>
      <c r="R7362" s="17">
        <f t="shared" si="2"/>
        <v>18.51015858</v>
      </c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>
        <f t="shared" si="8"/>
        <v>3</v>
      </c>
      <c r="AF7362" s="19">
        <f t="shared" si="13"/>
        <v>3</v>
      </c>
      <c r="AG7362" s="9"/>
      <c r="AH7362" s="9"/>
      <c r="AI7362" s="9"/>
    </row>
    <row r="7363" ht="15.0" customHeight="1">
      <c r="A7363" s="11">
        <v>7362.0</v>
      </c>
      <c r="B7363" s="12">
        <f t="shared" si="1175"/>
        <v>41089</v>
      </c>
      <c r="C7363" s="13">
        <v>2012.0</v>
      </c>
      <c r="D7363" s="11" t="s">
        <v>44</v>
      </c>
      <c r="E7363" s="11">
        <v>31.0</v>
      </c>
      <c r="F7363" s="14">
        <v>125.9</v>
      </c>
      <c r="G7363" s="15">
        <v>0.04843936551253628</v>
      </c>
      <c r="H7363" s="11" t="s">
        <v>24</v>
      </c>
      <c r="I7363" s="16">
        <v>2.4000000000000004</v>
      </c>
      <c r="J7363" s="11" t="s">
        <v>2023</v>
      </c>
      <c r="K7363" s="11" t="s">
        <v>83</v>
      </c>
      <c r="L7363" s="11" t="s">
        <v>36</v>
      </c>
      <c r="M7363" s="11" t="s">
        <v>66</v>
      </c>
      <c r="N7363" s="11" t="s">
        <v>80</v>
      </c>
      <c r="O7363" s="11" t="s">
        <v>1383</v>
      </c>
      <c r="P7363" s="11" t="s">
        <v>38</v>
      </c>
      <c r="Q7363" s="20">
        <v>41091.0</v>
      </c>
      <c r="R7363" s="17">
        <f t="shared" si="2"/>
        <v>189.1702541</v>
      </c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>
        <f t="shared" si="8"/>
        <v>2</v>
      </c>
      <c r="AF7363" s="19" t="b">
        <f t="shared" si="13"/>
        <v>0</v>
      </c>
      <c r="AG7363" s="9"/>
      <c r="AH7363" s="9"/>
      <c r="AI7363" s="9"/>
    </row>
    <row r="7364" ht="15.0" customHeight="1">
      <c r="A7364" s="11">
        <v>7363.0</v>
      </c>
      <c r="B7364" s="12">
        <f t="shared" si="1175"/>
        <v>41089</v>
      </c>
      <c r="C7364" s="13">
        <v>2012.0</v>
      </c>
      <c r="D7364" s="11" t="s">
        <v>44</v>
      </c>
      <c r="E7364" s="11">
        <v>24.0</v>
      </c>
      <c r="F7364" s="14">
        <v>195.9</v>
      </c>
      <c r="G7364" s="15">
        <v>0.04840880821528851</v>
      </c>
      <c r="H7364" s="11" t="s">
        <v>24</v>
      </c>
      <c r="I7364" s="16">
        <v>7.192</v>
      </c>
      <c r="J7364" s="11" t="s">
        <v>2023</v>
      </c>
      <c r="K7364" s="11" t="s">
        <v>83</v>
      </c>
      <c r="L7364" s="11" t="s">
        <v>36</v>
      </c>
      <c r="M7364" s="11" t="s">
        <v>66</v>
      </c>
      <c r="N7364" s="11" t="s">
        <v>80</v>
      </c>
      <c r="O7364" s="11" t="s">
        <v>755</v>
      </c>
      <c r="P7364" s="11" t="s">
        <v>38</v>
      </c>
      <c r="Q7364" s="20">
        <v>41093.0</v>
      </c>
      <c r="R7364" s="17">
        <f t="shared" si="2"/>
        <v>227.9470089</v>
      </c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>
        <f t="shared" si="8"/>
        <v>2</v>
      </c>
      <c r="AF7364" s="19" t="b">
        <f t="shared" si="13"/>
        <v>0</v>
      </c>
      <c r="AG7364" s="9"/>
      <c r="AH7364" s="9"/>
      <c r="AI7364" s="9"/>
    </row>
    <row r="7365" ht="15.0" customHeight="1">
      <c r="A7365" s="11">
        <v>7364.0</v>
      </c>
      <c r="B7365" s="12">
        <f t="shared" si="1175"/>
        <v>41089</v>
      </c>
      <c r="C7365" s="13">
        <v>2012.0</v>
      </c>
      <c r="D7365" s="11" t="s">
        <v>23</v>
      </c>
      <c r="E7365" s="11">
        <v>4.0</v>
      </c>
      <c r="F7365" s="14">
        <v>180.9</v>
      </c>
      <c r="G7365" s="15">
        <v>0.0731465410364493</v>
      </c>
      <c r="H7365" s="11" t="s">
        <v>45</v>
      </c>
      <c r="I7365" s="16">
        <v>24.0</v>
      </c>
      <c r="J7365" s="11" t="s">
        <v>2276</v>
      </c>
      <c r="K7365" s="11" t="s">
        <v>65</v>
      </c>
      <c r="L7365" s="11" t="s">
        <v>36</v>
      </c>
      <c r="M7365" s="11" t="s">
        <v>49</v>
      </c>
      <c r="N7365" s="11" t="s">
        <v>50</v>
      </c>
      <c r="O7365" s="11" t="s">
        <v>1677</v>
      </c>
      <c r="P7365" s="11" t="s">
        <v>52</v>
      </c>
      <c r="Q7365" s="20">
        <v>41093.0</v>
      </c>
      <c r="R7365" s="17">
        <f t="shared" si="2"/>
        <v>54.68435408</v>
      </c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>
        <f t="shared" si="8"/>
        <v>2</v>
      </c>
      <c r="AF7365" s="19">
        <f t="shared" si="13"/>
        <v>5</v>
      </c>
      <c r="AG7365" s="9"/>
      <c r="AH7365" s="9"/>
      <c r="AI7365" s="9"/>
    </row>
    <row r="7366" ht="15.0" customHeight="1">
      <c r="A7366" s="11">
        <v>7365.0</v>
      </c>
      <c r="B7366" s="12">
        <f t="shared" ref="B7366:B7367" si="1176">DATE(2012,12,31)-184</f>
        <v>41090</v>
      </c>
      <c r="C7366" s="13">
        <v>2012.0</v>
      </c>
      <c r="D7366" s="11" t="s">
        <v>32</v>
      </c>
      <c r="E7366" s="11">
        <v>18.0</v>
      </c>
      <c r="F7366" s="14">
        <v>3.8</v>
      </c>
      <c r="G7366" s="15">
        <v>0.0760549313358302</v>
      </c>
      <c r="H7366" s="11" t="s">
        <v>33</v>
      </c>
      <c r="I7366" s="16">
        <v>5.6080000000000005</v>
      </c>
      <c r="J7366" s="11" t="s">
        <v>1857</v>
      </c>
      <c r="K7366" s="11" t="s">
        <v>61</v>
      </c>
      <c r="L7366" s="11" t="s">
        <v>27</v>
      </c>
      <c r="M7366" s="11" t="s">
        <v>28</v>
      </c>
      <c r="N7366" s="11" t="s">
        <v>42</v>
      </c>
      <c r="O7366" s="11" t="s">
        <v>1632</v>
      </c>
      <c r="P7366" s="11" t="s">
        <v>38</v>
      </c>
      <c r="Q7366" s="20">
        <v>41093.0</v>
      </c>
      <c r="R7366" s="17">
        <f t="shared" si="2"/>
        <v>5.628673358</v>
      </c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>
        <f t="shared" si="8"/>
        <v>1</v>
      </c>
      <c r="AF7366" s="19">
        <f t="shared" si="13"/>
        <v>4</v>
      </c>
      <c r="AG7366" s="9"/>
      <c r="AH7366" s="9"/>
      <c r="AI7366" s="9"/>
    </row>
    <row r="7367" ht="15.0" customHeight="1">
      <c r="A7367" s="11">
        <v>7366.0</v>
      </c>
      <c r="B7367" s="12">
        <f t="shared" si="1176"/>
        <v>41090</v>
      </c>
      <c r="C7367" s="13">
        <v>2012.0</v>
      </c>
      <c r="D7367" s="11" t="s">
        <v>44</v>
      </c>
      <c r="E7367" s="11">
        <v>5.0</v>
      </c>
      <c r="F7367" s="14">
        <v>54.7</v>
      </c>
      <c r="G7367" s="15">
        <v>0.010870017331022613</v>
      </c>
      <c r="H7367" s="11" t="s">
        <v>33</v>
      </c>
      <c r="I7367" s="16">
        <v>11.864</v>
      </c>
      <c r="J7367" s="11" t="s">
        <v>821</v>
      </c>
      <c r="K7367" s="11" t="s">
        <v>117</v>
      </c>
      <c r="L7367" s="11" t="s">
        <v>27</v>
      </c>
      <c r="M7367" s="11" t="s">
        <v>49</v>
      </c>
      <c r="N7367" s="11" t="s">
        <v>73</v>
      </c>
      <c r="O7367" s="11" t="s">
        <v>2430</v>
      </c>
      <c r="P7367" s="11" t="s">
        <v>38</v>
      </c>
      <c r="Q7367" s="20">
        <v>41093.0</v>
      </c>
      <c r="R7367" s="17">
        <f t="shared" si="2"/>
        <v>3.101911626</v>
      </c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>
        <f t="shared" si="8"/>
        <v>1</v>
      </c>
      <c r="AF7367" s="19" t="b">
        <f t="shared" si="13"/>
        <v>0</v>
      </c>
      <c r="AG7367" s="9"/>
      <c r="AH7367" s="9"/>
      <c r="AI7367" s="9"/>
    </row>
    <row r="7368" ht="15.0" customHeight="1">
      <c r="A7368" s="11">
        <v>7367.0</v>
      </c>
      <c r="B7368" s="12">
        <f>DATE(2012,12,31)-183</f>
        <v>41091</v>
      </c>
      <c r="C7368" s="13">
        <v>2012.0</v>
      </c>
      <c r="D7368" s="11" t="s">
        <v>23</v>
      </c>
      <c r="E7368" s="11">
        <v>20.0</v>
      </c>
      <c r="F7368" s="14">
        <v>6.4</v>
      </c>
      <c r="G7368" s="15">
        <v>0.08481761871988996</v>
      </c>
      <c r="H7368" s="11" t="s">
        <v>33</v>
      </c>
      <c r="I7368" s="16">
        <v>4.976</v>
      </c>
      <c r="J7368" s="11" t="s">
        <v>1798</v>
      </c>
      <c r="K7368" s="11" t="s">
        <v>83</v>
      </c>
      <c r="L7368" s="11" t="s">
        <v>48</v>
      </c>
      <c r="M7368" s="11" t="s">
        <v>28</v>
      </c>
      <c r="N7368" s="11" t="s">
        <v>56</v>
      </c>
      <c r="O7368" s="11" t="s">
        <v>1216</v>
      </c>
      <c r="P7368" s="11" t="s">
        <v>38</v>
      </c>
      <c r="Q7368" s="20">
        <v>41093.0</v>
      </c>
      <c r="R7368" s="17">
        <f t="shared" si="2"/>
        <v>11.27870767</v>
      </c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>
        <f t="shared" si="8"/>
        <v>4</v>
      </c>
      <c r="AF7368" s="19" t="b">
        <f t="shared" si="13"/>
        <v>0</v>
      </c>
      <c r="AG7368" s="9"/>
      <c r="AH7368" s="9"/>
      <c r="AI7368" s="9"/>
    </row>
    <row r="7369" ht="15.0" customHeight="1">
      <c r="A7369" s="11">
        <v>7368.0</v>
      </c>
      <c r="B7369" s="12">
        <f t="shared" ref="B7369:B7377" si="1177">DATE(2012,12,31)-182</f>
        <v>41092</v>
      </c>
      <c r="C7369" s="13">
        <v>2012.0</v>
      </c>
      <c r="D7369" s="11" t="s">
        <v>23</v>
      </c>
      <c r="E7369" s="11">
        <v>21.0</v>
      </c>
      <c r="F7369" s="14">
        <v>6.3</v>
      </c>
      <c r="G7369" s="15">
        <v>0.03910209992758874</v>
      </c>
      <c r="H7369" s="11" t="s">
        <v>33</v>
      </c>
      <c r="I7369" s="16">
        <v>0.4</v>
      </c>
      <c r="J7369" s="11" t="s">
        <v>659</v>
      </c>
      <c r="K7369" s="11" t="s">
        <v>26</v>
      </c>
      <c r="L7369" s="11" t="s">
        <v>48</v>
      </c>
      <c r="M7369" s="11" t="s">
        <v>28</v>
      </c>
      <c r="N7369" s="11" t="s">
        <v>188</v>
      </c>
      <c r="O7369" s="11" t="s">
        <v>516</v>
      </c>
      <c r="P7369" s="11" t="s">
        <v>38</v>
      </c>
      <c r="Q7369" s="20">
        <v>41093.0</v>
      </c>
      <c r="R7369" s="17">
        <f t="shared" si="2"/>
        <v>5.18884866</v>
      </c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>
        <f t="shared" si="8"/>
        <v>4</v>
      </c>
      <c r="AF7369" s="19">
        <f t="shared" si="13"/>
        <v>1</v>
      </c>
      <c r="AG7369" s="9"/>
      <c r="AH7369" s="9"/>
      <c r="AI7369" s="9"/>
    </row>
    <row r="7370" ht="15.0" customHeight="1">
      <c r="A7370" s="11">
        <v>7369.0</v>
      </c>
      <c r="B7370" s="12">
        <f t="shared" si="1177"/>
        <v>41092</v>
      </c>
      <c r="C7370" s="13">
        <v>2012.0</v>
      </c>
      <c r="D7370" s="11" t="s">
        <v>44</v>
      </c>
      <c r="E7370" s="11">
        <v>3.0</v>
      </c>
      <c r="F7370" s="14">
        <v>11.6</v>
      </c>
      <c r="G7370" s="15">
        <v>0.10655319148936176</v>
      </c>
      <c r="H7370" s="11" t="s">
        <v>33</v>
      </c>
      <c r="I7370" s="16">
        <v>7.192</v>
      </c>
      <c r="J7370" s="11" t="s">
        <v>1370</v>
      </c>
      <c r="K7370" s="11" t="s">
        <v>83</v>
      </c>
      <c r="L7370" s="11" t="s">
        <v>27</v>
      </c>
      <c r="M7370" s="11" t="s">
        <v>28</v>
      </c>
      <c r="N7370" s="11" t="s">
        <v>62</v>
      </c>
      <c r="O7370" s="11" t="s">
        <v>201</v>
      </c>
      <c r="P7370" s="11" t="s">
        <v>99</v>
      </c>
      <c r="Q7370" s="20">
        <v>41093.0</v>
      </c>
      <c r="R7370" s="17">
        <f t="shared" si="2"/>
        <v>4.474381617</v>
      </c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>
        <f t="shared" si="8"/>
        <v>1</v>
      </c>
      <c r="AF7370" s="19" t="b">
        <f t="shared" si="13"/>
        <v>0</v>
      </c>
      <c r="AG7370" s="9"/>
      <c r="AH7370" s="9"/>
      <c r="AI7370" s="9"/>
    </row>
    <row r="7371" ht="15.0" customHeight="1">
      <c r="A7371" s="11">
        <v>7370.0</v>
      </c>
      <c r="B7371" s="12">
        <f t="shared" si="1177"/>
        <v>41092</v>
      </c>
      <c r="C7371" s="13">
        <v>2012.0</v>
      </c>
      <c r="D7371" s="11" t="s">
        <v>39</v>
      </c>
      <c r="E7371" s="11">
        <v>20.0</v>
      </c>
      <c r="F7371" s="14">
        <v>25.9</v>
      </c>
      <c r="G7371" s="15">
        <v>0.061294033069733876</v>
      </c>
      <c r="H7371" s="11" t="s">
        <v>33</v>
      </c>
      <c r="I7371" s="16">
        <v>4.296</v>
      </c>
      <c r="J7371" s="11" t="s">
        <v>491</v>
      </c>
      <c r="K7371" s="11" t="s">
        <v>47</v>
      </c>
      <c r="L7371" s="11" t="s">
        <v>48</v>
      </c>
      <c r="M7371" s="11" t="s">
        <v>28</v>
      </c>
      <c r="N7371" s="11" t="s">
        <v>197</v>
      </c>
      <c r="O7371" s="11" t="s">
        <v>1931</v>
      </c>
      <c r="P7371" s="11" t="s">
        <v>75</v>
      </c>
      <c r="Q7371" s="20">
        <v>41093.0</v>
      </c>
      <c r="R7371" s="17">
        <f t="shared" si="2"/>
        <v>32.0136283</v>
      </c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>
        <f t="shared" si="8"/>
        <v>4</v>
      </c>
      <c r="AF7371" s="19">
        <f t="shared" si="13"/>
        <v>3</v>
      </c>
      <c r="AG7371" s="9"/>
      <c r="AH7371" s="9"/>
      <c r="AI7371" s="9"/>
    </row>
    <row r="7372" ht="15.0" customHeight="1">
      <c r="A7372" s="11">
        <v>7371.0</v>
      </c>
      <c r="B7372" s="12">
        <f t="shared" si="1177"/>
        <v>41092</v>
      </c>
      <c r="C7372" s="13">
        <v>2012.0</v>
      </c>
      <c r="D7372" s="11" t="s">
        <v>39</v>
      </c>
      <c r="E7372" s="11">
        <v>34.0</v>
      </c>
      <c r="F7372" s="14">
        <v>155.0</v>
      </c>
      <c r="G7372" s="15">
        <v>0.04823092188345662</v>
      </c>
      <c r="H7372" s="11" t="s">
        <v>33</v>
      </c>
      <c r="I7372" s="16">
        <v>5.656000000000001</v>
      </c>
      <c r="J7372" s="11" t="s">
        <v>491</v>
      </c>
      <c r="K7372" s="11" t="s">
        <v>47</v>
      </c>
      <c r="L7372" s="11" t="s">
        <v>48</v>
      </c>
      <c r="M7372" s="11" t="s">
        <v>28</v>
      </c>
      <c r="N7372" s="11" t="s">
        <v>29</v>
      </c>
      <c r="O7372" s="11" t="s">
        <v>54</v>
      </c>
      <c r="P7372" s="11" t="s">
        <v>38</v>
      </c>
      <c r="Q7372" s="20">
        <v>41094.0</v>
      </c>
      <c r="R7372" s="17">
        <f t="shared" si="2"/>
        <v>254.4497524</v>
      </c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>
        <f t="shared" si="8"/>
        <v>4</v>
      </c>
      <c r="AF7372" s="19">
        <f t="shared" si="13"/>
        <v>3</v>
      </c>
      <c r="AG7372" s="9"/>
      <c r="AH7372" s="9"/>
      <c r="AI7372" s="9"/>
    </row>
    <row r="7373" ht="15.0" customHeight="1">
      <c r="A7373" s="11">
        <v>7372.0</v>
      </c>
      <c r="B7373" s="12">
        <f t="shared" si="1177"/>
        <v>41092</v>
      </c>
      <c r="C7373" s="13">
        <v>2012.0</v>
      </c>
      <c r="D7373" s="11" t="s">
        <v>23</v>
      </c>
      <c r="E7373" s="11">
        <v>44.0</v>
      </c>
      <c r="F7373" s="14">
        <v>70.7</v>
      </c>
      <c r="G7373" s="15">
        <v>0.025898755081300816</v>
      </c>
      <c r="H7373" s="11" t="s">
        <v>33</v>
      </c>
      <c r="I7373" s="16">
        <v>30.064</v>
      </c>
      <c r="J7373" s="11" t="s">
        <v>494</v>
      </c>
      <c r="K7373" s="11" t="s">
        <v>83</v>
      </c>
      <c r="L7373" s="11" t="s">
        <v>48</v>
      </c>
      <c r="M7373" s="11" t="s">
        <v>49</v>
      </c>
      <c r="N7373" s="11" t="s">
        <v>73</v>
      </c>
      <c r="O7373" s="11" t="s">
        <v>2056</v>
      </c>
      <c r="P7373" s="11" t="s">
        <v>58</v>
      </c>
      <c r="Q7373" s="20">
        <v>41094.0</v>
      </c>
      <c r="R7373" s="17">
        <f t="shared" si="2"/>
        <v>81.34446748</v>
      </c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>
        <f t="shared" si="8"/>
        <v>4</v>
      </c>
      <c r="AF7373" s="19" t="b">
        <f t="shared" si="13"/>
        <v>0</v>
      </c>
      <c r="AG7373" s="9"/>
      <c r="AH7373" s="9"/>
      <c r="AI7373" s="9"/>
    </row>
    <row r="7374" ht="15.0" customHeight="1">
      <c r="A7374" s="11">
        <v>7373.0</v>
      </c>
      <c r="B7374" s="12">
        <f t="shared" si="1177"/>
        <v>41092</v>
      </c>
      <c r="C7374" s="13">
        <v>2012.0</v>
      </c>
      <c r="D7374" s="11" t="s">
        <v>23</v>
      </c>
      <c r="E7374" s="11">
        <v>17.0</v>
      </c>
      <c r="F7374" s="14">
        <v>65.9</v>
      </c>
      <c r="G7374" s="15">
        <v>0.06811141416645995</v>
      </c>
      <c r="H7374" s="11" t="s">
        <v>24</v>
      </c>
      <c r="I7374" s="16">
        <v>7.192</v>
      </c>
      <c r="J7374" s="11" t="s">
        <v>494</v>
      </c>
      <c r="K7374" s="11" t="s">
        <v>83</v>
      </c>
      <c r="L7374" s="11" t="s">
        <v>48</v>
      </c>
      <c r="M7374" s="11" t="s">
        <v>66</v>
      </c>
      <c r="N7374" s="11" t="s">
        <v>80</v>
      </c>
      <c r="O7374" s="11" t="s">
        <v>1506</v>
      </c>
      <c r="P7374" s="11" t="s">
        <v>38</v>
      </c>
      <c r="Q7374" s="20">
        <v>41094.0</v>
      </c>
      <c r="R7374" s="17">
        <f t="shared" si="2"/>
        <v>76.79507458</v>
      </c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>
        <f t="shared" si="8"/>
        <v>4</v>
      </c>
      <c r="AF7374" s="19" t="b">
        <f t="shared" si="13"/>
        <v>0</v>
      </c>
      <c r="AG7374" s="9"/>
      <c r="AH7374" s="9"/>
      <c r="AI7374" s="9"/>
    </row>
    <row r="7375" ht="15.0" customHeight="1">
      <c r="A7375" s="11">
        <v>7374.0</v>
      </c>
      <c r="B7375" s="12">
        <f t="shared" si="1177"/>
        <v>41092</v>
      </c>
      <c r="C7375" s="13">
        <v>2012.0</v>
      </c>
      <c r="D7375" s="11" t="s">
        <v>32</v>
      </c>
      <c r="E7375" s="11">
        <v>23.0</v>
      </c>
      <c r="F7375" s="14">
        <v>18.9</v>
      </c>
      <c r="G7375" s="15">
        <v>0.027027741083223273</v>
      </c>
      <c r="H7375" s="11" t="s">
        <v>33</v>
      </c>
      <c r="I7375" s="16">
        <v>7.224</v>
      </c>
      <c r="J7375" s="11" t="s">
        <v>274</v>
      </c>
      <c r="K7375" s="11" t="s">
        <v>35</v>
      </c>
      <c r="L7375" s="11" t="s">
        <v>48</v>
      </c>
      <c r="M7375" s="11" t="s">
        <v>28</v>
      </c>
      <c r="N7375" s="11" t="s">
        <v>56</v>
      </c>
      <c r="O7375" s="11" t="s">
        <v>388</v>
      </c>
      <c r="P7375" s="11" t="s">
        <v>38</v>
      </c>
      <c r="Q7375" s="20">
        <v>41094.0</v>
      </c>
      <c r="R7375" s="17">
        <f t="shared" si="2"/>
        <v>11.94420745</v>
      </c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>
        <f t="shared" si="8"/>
        <v>4</v>
      </c>
      <c r="AF7375" s="19">
        <f t="shared" si="13"/>
        <v>2</v>
      </c>
      <c r="AG7375" s="9"/>
      <c r="AH7375" s="9"/>
      <c r="AI7375" s="9"/>
    </row>
    <row r="7376" ht="15.0" customHeight="1">
      <c r="A7376" s="11">
        <v>7375.0</v>
      </c>
      <c r="B7376" s="12">
        <f t="shared" si="1177"/>
        <v>41092</v>
      </c>
      <c r="C7376" s="13">
        <v>2012.0</v>
      </c>
      <c r="D7376" s="11" t="s">
        <v>23</v>
      </c>
      <c r="E7376" s="11">
        <v>42.0</v>
      </c>
      <c r="F7376" s="14">
        <v>19.9</v>
      </c>
      <c r="G7376" s="15">
        <v>0.07902267996055674</v>
      </c>
      <c r="H7376" s="11" t="s">
        <v>24</v>
      </c>
      <c r="I7376" s="16">
        <v>4.776</v>
      </c>
      <c r="J7376" s="11" t="s">
        <v>205</v>
      </c>
      <c r="K7376" s="11" t="s">
        <v>83</v>
      </c>
      <c r="L7376" s="11" t="s">
        <v>36</v>
      </c>
      <c r="M7376" s="11" t="s">
        <v>28</v>
      </c>
      <c r="N7376" s="11" t="s">
        <v>56</v>
      </c>
      <c r="O7376" s="11" t="s">
        <v>1866</v>
      </c>
      <c r="P7376" s="11" t="s">
        <v>38</v>
      </c>
      <c r="Q7376" s="20">
        <v>41095.0</v>
      </c>
      <c r="R7376" s="17">
        <f t="shared" si="2"/>
        <v>66.42456823</v>
      </c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>
        <f t="shared" si="8"/>
        <v>2</v>
      </c>
      <c r="AF7376" s="19" t="b">
        <f t="shared" si="13"/>
        <v>0</v>
      </c>
      <c r="AG7376" s="9"/>
      <c r="AH7376" s="9"/>
      <c r="AI7376" s="9"/>
    </row>
    <row r="7377" ht="15.0" customHeight="1">
      <c r="A7377" s="11">
        <v>7376.0</v>
      </c>
      <c r="B7377" s="12">
        <f t="shared" si="1177"/>
        <v>41092</v>
      </c>
      <c r="C7377" s="13">
        <v>2012.0</v>
      </c>
      <c r="D7377" s="11" t="s">
        <v>23</v>
      </c>
      <c r="E7377" s="11">
        <v>18.0</v>
      </c>
      <c r="F7377" s="14">
        <v>95.9</v>
      </c>
      <c r="G7377" s="15">
        <v>0.05224485385488143</v>
      </c>
      <c r="H7377" s="11" t="s">
        <v>24</v>
      </c>
      <c r="I7377" s="16">
        <v>28.0</v>
      </c>
      <c r="J7377" s="11" t="s">
        <v>205</v>
      </c>
      <c r="K7377" s="11" t="s">
        <v>83</v>
      </c>
      <c r="L7377" s="11" t="s">
        <v>36</v>
      </c>
      <c r="M7377" s="11" t="s">
        <v>28</v>
      </c>
      <c r="N7377" s="11" t="s">
        <v>29</v>
      </c>
      <c r="O7377" s="11" t="s">
        <v>30</v>
      </c>
      <c r="P7377" s="11" t="s">
        <v>31</v>
      </c>
      <c r="Q7377" s="20">
        <v>41095.0</v>
      </c>
      <c r="R7377" s="17">
        <f t="shared" si="2"/>
        <v>91.64792263</v>
      </c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>
        <f t="shared" si="8"/>
        <v>2</v>
      </c>
      <c r="AF7377" s="19" t="b">
        <f t="shared" si="13"/>
        <v>0</v>
      </c>
      <c r="AG7377" s="9"/>
      <c r="AH7377" s="9"/>
      <c r="AI7377" s="9"/>
    </row>
    <row r="7378" ht="15.0" customHeight="1">
      <c r="A7378" s="11">
        <v>7377.0</v>
      </c>
      <c r="B7378" s="12">
        <f t="shared" ref="B7378:B7383" si="1178">DATE(2012,12,31)-181</f>
        <v>41093</v>
      </c>
      <c r="C7378" s="13">
        <v>2012.0</v>
      </c>
      <c r="D7378" s="11" t="s">
        <v>32</v>
      </c>
      <c r="E7378" s="11">
        <v>13.0</v>
      </c>
      <c r="F7378" s="14">
        <v>3.6</v>
      </c>
      <c r="G7378" s="15">
        <v>0.0634920634920634</v>
      </c>
      <c r="H7378" s="11" t="s">
        <v>33</v>
      </c>
      <c r="I7378" s="16">
        <v>0.4</v>
      </c>
      <c r="J7378" s="11" t="s">
        <v>823</v>
      </c>
      <c r="K7378" s="11" t="s">
        <v>61</v>
      </c>
      <c r="L7378" s="11" t="s">
        <v>41</v>
      </c>
      <c r="M7378" s="11" t="s">
        <v>28</v>
      </c>
      <c r="N7378" s="11" t="s">
        <v>188</v>
      </c>
      <c r="O7378" s="11" t="s">
        <v>1867</v>
      </c>
      <c r="P7378" s="11" t="s">
        <v>38</v>
      </c>
      <c r="Q7378" s="20">
        <v>41095.0</v>
      </c>
      <c r="R7378" s="17">
        <f t="shared" si="2"/>
        <v>2.996825397</v>
      </c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>
        <f t="shared" si="8"/>
        <v>3</v>
      </c>
      <c r="AF7378" s="19">
        <f t="shared" si="13"/>
        <v>4</v>
      </c>
      <c r="AG7378" s="9"/>
      <c r="AH7378" s="9"/>
      <c r="AI7378" s="9"/>
    </row>
    <row r="7379" ht="15.0" customHeight="1">
      <c r="A7379" s="11">
        <v>7378.0</v>
      </c>
      <c r="B7379" s="12">
        <f t="shared" si="1178"/>
        <v>41093</v>
      </c>
      <c r="C7379" s="13">
        <v>2012.0</v>
      </c>
      <c r="D7379" s="11" t="s">
        <v>102</v>
      </c>
      <c r="E7379" s="11">
        <v>48.0</v>
      </c>
      <c r="F7379" s="14">
        <v>35.9</v>
      </c>
      <c r="G7379" s="15">
        <v>0.059048242741759585</v>
      </c>
      <c r="H7379" s="11" t="s">
        <v>33</v>
      </c>
      <c r="I7379" s="16">
        <v>1.0</v>
      </c>
      <c r="J7379" s="11" t="s">
        <v>1581</v>
      </c>
      <c r="K7379" s="11" t="s">
        <v>61</v>
      </c>
      <c r="L7379" s="11" t="s">
        <v>48</v>
      </c>
      <c r="M7379" s="11" t="s">
        <v>66</v>
      </c>
      <c r="N7379" s="11" t="s">
        <v>80</v>
      </c>
      <c r="O7379" s="11" t="s">
        <v>2300</v>
      </c>
      <c r="P7379" s="11" t="s">
        <v>99</v>
      </c>
      <c r="Q7379" s="20">
        <v>41095.0</v>
      </c>
      <c r="R7379" s="17">
        <f t="shared" si="2"/>
        <v>101.8109801</v>
      </c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>
        <f t="shared" si="8"/>
        <v>4</v>
      </c>
      <c r="AF7379" s="19">
        <f t="shared" si="13"/>
        <v>4</v>
      </c>
      <c r="AG7379" s="9"/>
      <c r="AH7379" s="9"/>
      <c r="AI7379" s="9"/>
    </row>
    <row r="7380" ht="15.0" customHeight="1">
      <c r="A7380" s="11">
        <v>7379.0</v>
      </c>
      <c r="B7380" s="12">
        <f t="shared" si="1178"/>
        <v>41093</v>
      </c>
      <c r="C7380" s="13">
        <v>2012.0</v>
      </c>
      <c r="D7380" s="11" t="s">
        <v>102</v>
      </c>
      <c r="E7380" s="11">
        <v>42.0</v>
      </c>
      <c r="F7380" s="14">
        <v>25.9</v>
      </c>
      <c r="G7380" s="15">
        <v>0.023519313304721106</v>
      </c>
      <c r="H7380" s="11" t="s">
        <v>33</v>
      </c>
      <c r="I7380" s="16">
        <v>4.296</v>
      </c>
      <c r="J7380" s="11" t="s">
        <v>1581</v>
      </c>
      <c r="K7380" s="11" t="s">
        <v>61</v>
      </c>
      <c r="L7380" s="11" t="s">
        <v>48</v>
      </c>
      <c r="M7380" s="11" t="s">
        <v>28</v>
      </c>
      <c r="N7380" s="11" t="s">
        <v>197</v>
      </c>
      <c r="O7380" s="11" t="s">
        <v>1931</v>
      </c>
      <c r="P7380" s="11" t="s">
        <v>75</v>
      </c>
      <c r="Q7380" s="20">
        <v>41095.0</v>
      </c>
      <c r="R7380" s="17">
        <f t="shared" si="2"/>
        <v>25.68534798</v>
      </c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>
        <f t="shared" si="8"/>
        <v>4</v>
      </c>
      <c r="AF7380" s="19">
        <f t="shared" si="13"/>
        <v>4</v>
      </c>
      <c r="AG7380" s="9"/>
      <c r="AH7380" s="9"/>
      <c r="AI7380" s="9"/>
    </row>
    <row r="7381" ht="15.0" customHeight="1">
      <c r="A7381" s="11">
        <v>7380.0</v>
      </c>
      <c r="B7381" s="12">
        <f t="shared" si="1178"/>
        <v>41093</v>
      </c>
      <c r="C7381" s="13">
        <v>2012.0</v>
      </c>
      <c r="D7381" s="11" t="s">
        <v>102</v>
      </c>
      <c r="E7381" s="11">
        <v>19.0</v>
      </c>
      <c r="F7381" s="14">
        <v>6.2</v>
      </c>
      <c r="G7381" s="15">
        <v>0.04257456828885405</v>
      </c>
      <c r="H7381" s="11" t="s">
        <v>33</v>
      </c>
      <c r="I7381" s="16">
        <v>4.176</v>
      </c>
      <c r="J7381" s="11" t="s">
        <v>1581</v>
      </c>
      <c r="K7381" s="11" t="s">
        <v>61</v>
      </c>
      <c r="L7381" s="11" t="s">
        <v>48</v>
      </c>
      <c r="M7381" s="11" t="s">
        <v>49</v>
      </c>
      <c r="N7381" s="11" t="s">
        <v>73</v>
      </c>
      <c r="O7381" s="11" t="s">
        <v>1591</v>
      </c>
      <c r="P7381" s="11" t="s">
        <v>38</v>
      </c>
      <c r="Q7381" s="20">
        <v>41095.0</v>
      </c>
      <c r="R7381" s="17">
        <f t="shared" si="2"/>
        <v>5.193075542</v>
      </c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>
        <f t="shared" si="8"/>
        <v>4</v>
      </c>
      <c r="AF7381" s="19">
        <f t="shared" si="13"/>
        <v>4</v>
      </c>
      <c r="AG7381" s="9"/>
      <c r="AH7381" s="9"/>
      <c r="AI7381" s="9"/>
    </row>
    <row r="7382" ht="15.0" customHeight="1">
      <c r="A7382" s="11">
        <v>7381.0</v>
      </c>
      <c r="B7382" s="12">
        <f t="shared" si="1178"/>
        <v>41093</v>
      </c>
      <c r="C7382" s="13">
        <v>2012.0</v>
      </c>
      <c r="D7382" s="11" t="s">
        <v>102</v>
      </c>
      <c r="E7382" s="11">
        <v>34.0</v>
      </c>
      <c r="F7382" s="14">
        <v>1.2</v>
      </c>
      <c r="G7382" s="15">
        <v>0.04919540229885059</v>
      </c>
      <c r="H7382" s="11" t="s">
        <v>33</v>
      </c>
      <c r="I7382" s="16">
        <v>0.5599999999999999</v>
      </c>
      <c r="J7382" s="11" t="s">
        <v>1811</v>
      </c>
      <c r="K7382" s="11" t="s">
        <v>65</v>
      </c>
      <c r="L7382" s="11" t="s">
        <v>48</v>
      </c>
      <c r="M7382" s="11" t="s">
        <v>28</v>
      </c>
      <c r="N7382" s="11" t="s">
        <v>216</v>
      </c>
      <c r="O7382" s="11" t="s">
        <v>1436</v>
      </c>
      <c r="P7382" s="11" t="s">
        <v>58</v>
      </c>
      <c r="Q7382" s="20">
        <v>41096.0</v>
      </c>
      <c r="R7382" s="17">
        <f t="shared" si="2"/>
        <v>2.034721839</v>
      </c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>
        <f t="shared" si="8"/>
        <v>4</v>
      </c>
      <c r="AF7382" s="19">
        <f t="shared" si="13"/>
        <v>5</v>
      </c>
      <c r="AG7382" s="9"/>
      <c r="AH7382" s="9"/>
      <c r="AI7382" s="9"/>
    </row>
    <row r="7383" ht="15.0" customHeight="1">
      <c r="A7383" s="11">
        <v>7382.0</v>
      </c>
      <c r="B7383" s="12">
        <f t="shared" si="1178"/>
        <v>41093</v>
      </c>
      <c r="C7383" s="13">
        <v>2012.0</v>
      </c>
      <c r="D7383" s="11" t="s">
        <v>39</v>
      </c>
      <c r="E7383" s="11">
        <v>49.0</v>
      </c>
      <c r="F7383" s="14">
        <v>195.9</v>
      </c>
      <c r="G7383" s="15">
        <v>0.029745879120879105</v>
      </c>
      <c r="H7383" s="11" t="s">
        <v>33</v>
      </c>
      <c r="I7383" s="16">
        <v>7.192</v>
      </c>
      <c r="J7383" s="11" t="s">
        <v>863</v>
      </c>
      <c r="K7383" s="11" t="s">
        <v>117</v>
      </c>
      <c r="L7383" s="11" t="s">
        <v>48</v>
      </c>
      <c r="M7383" s="11" t="s">
        <v>66</v>
      </c>
      <c r="N7383" s="11" t="s">
        <v>80</v>
      </c>
      <c r="O7383" s="11" t="s">
        <v>1645</v>
      </c>
      <c r="P7383" s="11" t="s">
        <v>38</v>
      </c>
      <c r="Q7383" s="20">
        <v>41096.0</v>
      </c>
      <c r="R7383" s="17">
        <f t="shared" si="2"/>
        <v>285.7476006</v>
      </c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>
        <f t="shared" si="8"/>
        <v>4</v>
      </c>
      <c r="AF7383" s="19" t="b">
        <f t="shared" si="13"/>
        <v>0</v>
      </c>
      <c r="AG7383" s="9"/>
      <c r="AH7383" s="9"/>
      <c r="AI7383" s="9"/>
    </row>
    <row r="7384" ht="15.0" customHeight="1">
      <c r="A7384" s="11">
        <v>7383.0</v>
      </c>
      <c r="B7384" s="12">
        <f t="shared" ref="B7384:B7386" si="1179">DATE(2012,12,31)-179</f>
        <v>41095</v>
      </c>
      <c r="C7384" s="13">
        <v>2012.0</v>
      </c>
      <c r="D7384" s="11" t="s">
        <v>23</v>
      </c>
      <c r="E7384" s="11">
        <v>46.0</v>
      </c>
      <c r="F7384" s="14">
        <v>6.8</v>
      </c>
      <c r="G7384" s="15">
        <v>0.030066788099574804</v>
      </c>
      <c r="H7384" s="11" t="s">
        <v>33</v>
      </c>
      <c r="I7384" s="16">
        <v>6.696</v>
      </c>
      <c r="J7384" s="11" t="s">
        <v>1384</v>
      </c>
      <c r="K7384" s="11" t="s">
        <v>35</v>
      </c>
      <c r="L7384" s="11" t="s">
        <v>36</v>
      </c>
      <c r="M7384" s="11" t="s">
        <v>28</v>
      </c>
      <c r="N7384" s="11" t="s">
        <v>442</v>
      </c>
      <c r="O7384" s="11" t="s">
        <v>443</v>
      </c>
      <c r="P7384" s="11" t="s">
        <v>99</v>
      </c>
      <c r="Q7384" s="20">
        <v>41096.0</v>
      </c>
      <c r="R7384" s="17">
        <f t="shared" si="2"/>
        <v>9.606218531</v>
      </c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>
        <f t="shared" si="8"/>
        <v>2</v>
      </c>
      <c r="AF7384" s="19">
        <f t="shared" si="13"/>
        <v>2</v>
      </c>
      <c r="AG7384" s="9"/>
      <c r="AH7384" s="9"/>
      <c r="AI7384" s="9"/>
    </row>
    <row r="7385" ht="15.0" customHeight="1">
      <c r="A7385" s="11">
        <v>7384.0</v>
      </c>
      <c r="B7385" s="12">
        <f t="shared" si="1179"/>
        <v>41095</v>
      </c>
      <c r="C7385" s="13">
        <v>2012.0</v>
      </c>
      <c r="D7385" s="11" t="s">
        <v>23</v>
      </c>
      <c r="E7385" s="11">
        <v>10.0</v>
      </c>
      <c r="F7385" s="14">
        <v>4.5</v>
      </c>
      <c r="G7385" s="15">
        <v>0.03565762004175362</v>
      </c>
      <c r="H7385" s="11" t="s">
        <v>33</v>
      </c>
      <c r="I7385" s="16">
        <v>1.192</v>
      </c>
      <c r="J7385" s="11" t="s">
        <v>1384</v>
      </c>
      <c r="K7385" s="11" t="s">
        <v>35</v>
      </c>
      <c r="L7385" s="11" t="s">
        <v>36</v>
      </c>
      <c r="M7385" s="11" t="s">
        <v>28</v>
      </c>
      <c r="N7385" s="11" t="s">
        <v>42</v>
      </c>
      <c r="O7385" s="11" t="s">
        <v>957</v>
      </c>
      <c r="P7385" s="11" t="s">
        <v>38</v>
      </c>
      <c r="Q7385" s="20">
        <v>41097.0</v>
      </c>
      <c r="R7385" s="17">
        <f t="shared" si="2"/>
        <v>1.647096785</v>
      </c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>
        <f t="shared" si="8"/>
        <v>2</v>
      </c>
      <c r="AF7385" s="19">
        <f t="shared" si="13"/>
        <v>2</v>
      </c>
      <c r="AG7385" s="9"/>
      <c r="AH7385" s="9"/>
      <c r="AI7385" s="9"/>
    </row>
    <row r="7386" ht="15.0" customHeight="1">
      <c r="A7386" s="11">
        <v>7385.0</v>
      </c>
      <c r="B7386" s="12">
        <f t="shared" si="1179"/>
        <v>41095</v>
      </c>
      <c r="C7386" s="13">
        <v>2012.0</v>
      </c>
      <c r="D7386" s="11" t="s">
        <v>102</v>
      </c>
      <c r="E7386" s="11">
        <v>3.0</v>
      </c>
      <c r="F7386" s="14">
        <v>3.6</v>
      </c>
      <c r="G7386" s="15">
        <v>0.05084745762711861</v>
      </c>
      <c r="H7386" s="11" t="s">
        <v>33</v>
      </c>
      <c r="I7386" s="16">
        <v>0.4</v>
      </c>
      <c r="J7386" s="11" t="s">
        <v>1447</v>
      </c>
      <c r="K7386" s="11" t="s">
        <v>61</v>
      </c>
      <c r="L7386" s="11" t="s">
        <v>36</v>
      </c>
      <c r="M7386" s="11" t="s">
        <v>28</v>
      </c>
      <c r="N7386" s="11" t="s">
        <v>188</v>
      </c>
      <c r="O7386" s="11" t="s">
        <v>2240</v>
      </c>
      <c r="P7386" s="11" t="s">
        <v>38</v>
      </c>
      <c r="Q7386" s="20">
        <v>41097.0</v>
      </c>
      <c r="R7386" s="17">
        <f t="shared" si="2"/>
        <v>0.5694915254</v>
      </c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>
        <f t="shared" si="8"/>
        <v>2</v>
      </c>
      <c r="AF7386" s="19">
        <f t="shared" si="13"/>
        <v>4</v>
      </c>
      <c r="AG7386" s="9"/>
      <c r="AH7386" s="9"/>
      <c r="AI7386" s="9"/>
    </row>
    <row r="7387" ht="15.0" customHeight="1">
      <c r="A7387" s="11">
        <v>7386.0</v>
      </c>
      <c r="B7387" s="12">
        <f>DATE(2012,12,31)-178</f>
        <v>41096</v>
      </c>
      <c r="C7387" s="13">
        <v>2012.0</v>
      </c>
      <c r="D7387" s="11" t="s">
        <v>23</v>
      </c>
      <c r="E7387" s="11">
        <v>40.0</v>
      </c>
      <c r="F7387" s="14">
        <v>8.7</v>
      </c>
      <c r="G7387" s="15">
        <v>0.09203684749232348</v>
      </c>
      <c r="H7387" s="11" t="s">
        <v>33</v>
      </c>
      <c r="I7387" s="16">
        <v>6.832</v>
      </c>
      <c r="J7387" s="11" t="s">
        <v>716</v>
      </c>
      <c r="K7387" s="11" t="s">
        <v>61</v>
      </c>
      <c r="L7387" s="11" t="s">
        <v>41</v>
      </c>
      <c r="M7387" s="11" t="s">
        <v>49</v>
      </c>
      <c r="N7387" s="11" t="s">
        <v>73</v>
      </c>
      <c r="O7387" s="11" t="s">
        <v>1838</v>
      </c>
      <c r="P7387" s="11" t="s">
        <v>99</v>
      </c>
      <c r="Q7387" s="20">
        <v>41098.0</v>
      </c>
      <c r="R7387" s="17">
        <f t="shared" si="2"/>
        <v>32.65761867</v>
      </c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>
        <f t="shared" si="8"/>
        <v>3</v>
      </c>
      <c r="AF7387" s="19">
        <f t="shared" si="13"/>
        <v>4</v>
      </c>
      <c r="AG7387" s="9"/>
      <c r="AH7387" s="9"/>
      <c r="AI7387" s="9"/>
    </row>
    <row r="7388" ht="15.0" customHeight="1">
      <c r="A7388" s="11">
        <v>7387.0</v>
      </c>
      <c r="B7388" s="12">
        <f t="shared" ref="B7388:B7391" si="1180">DATE(2012,12,31)-177</f>
        <v>41097</v>
      </c>
      <c r="C7388" s="13">
        <v>2012.0</v>
      </c>
      <c r="D7388" s="11" t="s">
        <v>44</v>
      </c>
      <c r="E7388" s="11">
        <v>30.0</v>
      </c>
      <c r="F7388" s="14">
        <v>3.8</v>
      </c>
      <c r="G7388" s="15">
        <v>0.11270029673590509</v>
      </c>
      <c r="H7388" s="11" t="s">
        <v>24</v>
      </c>
      <c r="I7388" s="16">
        <v>5.6080000000000005</v>
      </c>
      <c r="J7388" s="11" t="s">
        <v>91</v>
      </c>
      <c r="K7388" s="11" t="s">
        <v>35</v>
      </c>
      <c r="L7388" s="11" t="s">
        <v>48</v>
      </c>
      <c r="M7388" s="11" t="s">
        <v>28</v>
      </c>
      <c r="N7388" s="11" t="s">
        <v>42</v>
      </c>
      <c r="O7388" s="11" t="s">
        <v>1632</v>
      </c>
      <c r="P7388" s="11" t="s">
        <v>38</v>
      </c>
      <c r="Q7388" s="20">
        <v>41099.0</v>
      </c>
      <c r="R7388" s="17">
        <f t="shared" si="2"/>
        <v>13.47985709</v>
      </c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>
        <f t="shared" si="8"/>
        <v>4</v>
      </c>
      <c r="AF7388" s="19">
        <f t="shared" si="13"/>
        <v>2</v>
      </c>
      <c r="AG7388" s="9"/>
      <c r="AH7388" s="9"/>
      <c r="AI7388" s="9"/>
    </row>
    <row r="7389" ht="15.0" customHeight="1">
      <c r="A7389" s="11">
        <v>7388.0</v>
      </c>
      <c r="B7389" s="12">
        <f t="shared" si="1180"/>
        <v>41097</v>
      </c>
      <c r="C7389" s="13">
        <v>2012.0</v>
      </c>
      <c r="D7389" s="11" t="s">
        <v>102</v>
      </c>
      <c r="E7389" s="11">
        <v>15.0</v>
      </c>
      <c r="F7389" s="14">
        <v>45.9</v>
      </c>
      <c r="G7389" s="15">
        <v>0.050730637422892445</v>
      </c>
      <c r="H7389" s="11" t="s">
        <v>33</v>
      </c>
      <c r="I7389" s="16">
        <v>3.9920000000000004</v>
      </c>
      <c r="J7389" s="11" t="s">
        <v>528</v>
      </c>
      <c r="K7389" s="11" t="s">
        <v>83</v>
      </c>
      <c r="L7389" s="11" t="s">
        <v>48</v>
      </c>
      <c r="M7389" s="11" t="s">
        <v>66</v>
      </c>
      <c r="N7389" s="11" t="s">
        <v>80</v>
      </c>
      <c r="O7389" s="11" t="s">
        <v>783</v>
      </c>
      <c r="P7389" s="11" t="s">
        <v>38</v>
      </c>
      <c r="Q7389" s="20">
        <v>41099.0</v>
      </c>
      <c r="R7389" s="17">
        <f t="shared" si="2"/>
        <v>35.13056057</v>
      </c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>
        <f t="shared" si="8"/>
        <v>4</v>
      </c>
      <c r="AF7389" s="19" t="b">
        <f t="shared" si="13"/>
        <v>0</v>
      </c>
      <c r="AG7389" s="9"/>
      <c r="AH7389" s="9"/>
      <c r="AI7389" s="9"/>
    </row>
    <row r="7390" ht="15.0" customHeight="1">
      <c r="A7390" s="11">
        <v>7389.0</v>
      </c>
      <c r="B7390" s="12">
        <f t="shared" si="1180"/>
        <v>41097</v>
      </c>
      <c r="C7390" s="13">
        <v>2012.0</v>
      </c>
      <c r="D7390" s="11" t="s">
        <v>44</v>
      </c>
      <c r="E7390" s="11">
        <v>35.0</v>
      </c>
      <c r="F7390" s="14">
        <v>26.6</v>
      </c>
      <c r="G7390" s="15">
        <v>0.08489236790606652</v>
      </c>
      <c r="H7390" s="11" t="s">
        <v>33</v>
      </c>
      <c r="I7390" s="16">
        <v>4.24</v>
      </c>
      <c r="J7390" s="11" t="s">
        <v>120</v>
      </c>
      <c r="K7390" s="11" t="s">
        <v>35</v>
      </c>
      <c r="L7390" s="11" t="s">
        <v>41</v>
      </c>
      <c r="M7390" s="11" t="s">
        <v>49</v>
      </c>
      <c r="N7390" s="11" t="s">
        <v>50</v>
      </c>
      <c r="O7390" s="11" t="s">
        <v>2451</v>
      </c>
      <c r="P7390" s="11" t="s">
        <v>75</v>
      </c>
      <c r="Q7390" s="20">
        <v>41099.0</v>
      </c>
      <c r="R7390" s="17">
        <f t="shared" si="2"/>
        <v>79.39473816</v>
      </c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>
        <f t="shared" si="8"/>
        <v>3</v>
      </c>
      <c r="AF7390" s="19">
        <f t="shared" si="13"/>
        <v>2</v>
      </c>
      <c r="AG7390" s="9"/>
      <c r="AH7390" s="9"/>
      <c r="AI7390" s="9"/>
    </row>
    <row r="7391" ht="15.0" customHeight="1">
      <c r="A7391" s="11">
        <v>7390.0</v>
      </c>
      <c r="B7391" s="12">
        <f t="shared" si="1180"/>
        <v>41097</v>
      </c>
      <c r="C7391" s="13">
        <v>2012.0</v>
      </c>
      <c r="D7391" s="11" t="s">
        <v>44</v>
      </c>
      <c r="E7391" s="11">
        <v>13.0</v>
      </c>
      <c r="F7391" s="14">
        <v>3.0</v>
      </c>
      <c r="G7391" s="15">
        <v>0.048038277511961616</v>
      </c>
      <c r="H7391" s="11" t="s">
        <v>33</v>
      </c>
      <c r="I7391" s="16">
        <v>0.792</v>
      </c>
      <c r="J7391" s="11" t="s">
        <v>120</v>
      </c>
      <c r="K7391" s="11" t="s">
        <v>35</v>
      </c>
      <c r="L7391" s="11" t="s">
        <v>41</v>
      </c>
      <c r="M7391" s="11" t="s">
        <v>49</v>
      </c>
      <c r="N7391" s="11" t="s">
        <v>73</v>
      </c>
      <c r="O7391" s="11" t="s">
        <v>1102</v>
      </c>
      <c r="P7391" s="11" t="s">
        <v>75</v>
      </c>
      <c r="Q7391" s="20">
        <v>41099.0</v>
      </c>
      <c r="R7391" s="17">
        <f t="shared" si="2"/>
        <v>1.911539139</v>
      </c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>
        <f t="shared" si="8"/>
        <v>3</v>
      </c>
      <c r="AF7391" s="19">
        <f t="shared" si="13"/>
        <v>2</v>
      </c>
      <c r="AG7391" s="9"/>
      <c r="AH7391" s="9"/>
      <c r="AI7391" s="9"/>
    </row>
    <row r="7392" ht="15.0" customHeight="1">
      <c r="A7392" s="11">
        <v>7391.0</v>
      </c>
      <c r="B7392" s="12">
        <f t="shared" ref="B7392:B7396" si="1181">DATE(2012,12,31)-176</f>
        <v>41098</v>
      </c>
      <c r="C7392" s="13">
        <v>2012.0</v>
      </c>
      <c r="D7392" s="11" t="s">
        <v>32</v>
      </c>
      <c r="E7392" s="11">
        <v>28.0</v>
      </c>
      <c r="F7392" s="14">
        <v>200.9</v>
      </c>
      <c r="G7392" s="15">
        <v>0.07489670336883228</v>
      </c>
      <c r="H7392" s="11" t="s">
        <v>45</v>
      </c>
      <c r="I7392" s="16">
        <v>12.472000000000001</v>
      </c>
      <c r="J7392" s="11" t="s">
        <v>588</v>
      </c>
      <c r="K7392" s="11" t="s">
        <v>47</v>
      </c>
      <c r="L7392" s="11" t="s">
        <v>27</v>
      </c>
      <c r="M7392" s="11" t="s">
        <v>66</v>
      </c>
      <c r="N7392" s="11" t="s">
        <v>69</v>
      </c>
      <c r="O7392" s="11" t="s">
        <v>1675</v>
      </c>
      <c r="P7392" s="11" t="s">
        <v>52</v>
      </c>
      <c r="Q7392" s="20">
        <v>41099.0</v>
      </c>
      <c r="R7392" s="17">
        <f t="shared" si="2"/>
        <v>422.2430475</v>
      </c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>
        <f t="shared" si="8"/>
        <v>1</v>
      </c>
      <c r="AF7392" s="19">
        <f t="shared" si="13"/>
        <v>3</v>
      </c>
      <c r="AG7392" s="9"/>
      <c r="AH7392" s="9"/>
      <c r="AI7392" s="9"/>
    </row>
    <row r="7393" ht="15.0" customHeight="1">
      <c r="A7393" s="11">
        <v>7392.0</v>
      </c>
      <c r="B7393" s="12">
        <f t="shared" si="1181"/>
        <v>41098</v>
      </c>
      <c r="C7393" s="13">
        <v>2012.0</v>
      </c>
      <c r="D7393" s="11" t="s">
        <v>32</v>
      </c>
      <c r="E7393" s="11">
        <v>39.0</v>
      </c>
      <c r="F7393" s="14">
        <v>4.4</v>
      </c>
      <c r="G7393" s="15">
        <v>0.09372312983662934</v>
      </c>
      <c r="H7393" s="11" t="s">
        <v>33</v>
      </c>
      <c r="I7393" s="16">
        <v>39.2</v>
      </c>
      <c r="J7393" s="11" t="s">
        <v>588</v>
      </c>
      <c r="K7393" s="11" t="s">
        <v>47</v>
      </c>
      <c r="L7393" s="11" t="s">
        <v>27</v>
      </c>
      <c r="M7393" s="11" t="s">
        <v>28</v>
      </c>
      <c r="N7393" s="11" t="s">
        <v>197</v>
      </c>
      <c r="O7393" s="11" t="s">
        <v>1096</v>
      </c>
      <c r="P7393" s="11" t="s">
        <v>31</v>
      </c>
      <c r="Q7393" s="20">
        <v>41099.0</v>
      </c>
      <c r="R7393" s="17">
        <f t="shared" si="2"/>
        <v>19.75683577</v>
      </c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>
        <f t="shared" si="8"/>
        <v>1</v>
      </c>
      <c r="AF7393" s="19">
        <f t="shared" si="13"/>
        <v>3</v>
      </c>
      <c r="AG7393" s="9"/>
      <c r="AH7393" s="9"/>
      <c r="AI7393" s="9"/>
    </row>
    <row r="7394" ht="15.0" customHeight="1">
      <c r="A7394" s="11">
        <v>7393.0</v>
      </c>
      <c r="B7394" s="12">
        <f t="shared" si="1181"/>
        <v>41098</v>
      </c>
      <c r="C7394" s="13">
        <v>2012.0</v>
      </c>
      <c r="D7394" s="11" t="s">
        <v>32</v>
      </c>
      <c r="E7394" s="11">
        <v>49.0</v>
      </c>
      <c r="F7394" s="14">
        <v>22.8</v>
      </c>
      <c r="G7394" s="15">
        <v>0.027123684443265253</v>
      </c>
      <c r="H7394" s="11" t="s">
        <v>33</v>
      </c>
      <c r="I7394" s="16">
        <v>9.232</v>
      </c>
      <c r="J7394" s="11" t="s">
        <v>588</v>
      </c>
      <c r="K7394" s="11" t="s">
        <v>47</v>
      </c>
      <c r="L7394" s="11" t="s">
        <v>27</v>
      </c>
      <c r="M7394" s="11" t="s">
        <v>28</v>
      </c>
      <c r="N7394" s="11" t="s">
        <v>56</v>
      </c>
      <c r="O7394" s="11" t="s">
        <v>969</v>
      </c>
      <c r="P7394" s="11" t="s">
        <v>38</v>
      </c>
      <c r="Q7394" s="20">
        <v>41100.0</v>
      </c>
      <c r="R7394" s="17">
        <f t="shared" si="2"/>
        <v>30.55298611</v>
      </c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>
        <f t="shared" si="8"/>
        <v>1</v>
      </c>
      <c r="AF7394" s="19">
        <f t="shared" si="13"/>
        <v>3</v>
      </c>
      <c r="AG7394" s="9"/>
      <c r="AH7394" s="9"/>
      <c r="AI7394" s="9"/>
    </row>
    <row r="7395" ht="15.0" customHeight="1">
      <c r="A7395" s="11">
        <v>7394.0</v>
      </c>
      <c r="B7395" s="12">
        <f t="shared" si="1181"/>
        <v>41098</v>
      </c>
      <c r="C7395" s="13">
        <v>2012.0</v>
      </c>
      <c r="D7395" s="11" t="s">
        <v>32</v>
      </c>
      <c r="E7395" s="11">
        <v>27.0</v>
      </c>
      <c r="F7395" s="14">
        <v>225.0</v>
      </c>
      <c r="G7395" s="15">
        <v>0.039439219948647714</v>
      </c>
      <c r="H7395" s="11" t="s">
        <v>45</v>
      </c>
      <c r="I7395" s="16">
        <v>22.928</v>
      </c>
      <c r="J7395" s="11" t="s">
        <v>588</v>
      </c>
      <c r="K7395" s="11" t="s">
        <v>47</v>
      </c>
      <c r="L7395" s="11" t="s">
        <v>27</v>
      </c>
      <c r="M7395" s="11" t="s">
        <v>28</v>
      </c>
      <c r="N7395" s="11" t="s">
        <v>29</v>
      </c>
      <c r="O7395" s="11" t="s">
        <v>1742</v>
      </c>
      <c r="P7395" s="11" t="s">
        <v>52</v>
      </c>
      <c r="Q7395" s="20">
        <v>41100.0</v>
      </c>
      <c r="R7395" s="17">
        <f t="shared" si="2"/>
        <v>240.4975236</v>
      </c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>
        <f t="shared" si="8"/>
        <v>1</v>
      </c>
      <c r="AF7395" s="19">
        <f t="shared" si="13"/>
        <v>3</v>
      </c>
      <c r="AG7395" s="9"/>
      <c r="AH7395" s="9"/>
      <c r="AI7395" s="9"/>
    </row>
    <row r="7396" ht="15.0" customHeight="1">
      <c r="A7396" s="11">
        <v>7395.0</v>
      </c>
      <c r="B7396" s="12">
        <f t="shared" si="1181"/>
        <v>41098</v>
      </c>
      <c r="C7396" s="13">
        <v>2012.0</v>
      </c>
      <c r="D7396" s="11" t="s">
        <v>102</v>
      </c>
      <c r="E7396" s="11">
        <v>6.0</v>
      </c>
      <c r="F7396" s="14">
        <v>30.9</v>
      </c>
      <c r="G7396" s="15">
        <v>0.026851566512583507</v>
      </c>
      <c r="H7396" s="11" t="s">
        <v>33</v>
      </c>
      <c r="I7396" s="16">
        <v>4.072</v>
      </c>
      <c r="J7396" s="11" t="s">
        <v>1101</v>
      </c>
      <c r="K7396" s="11" t="s">
        <v>65</v>
      </c>
      <c r="L7396" s="11" t="s">
        <v>48</v>
      </c>
      <c r="M7396" s="11" t="s">
        <v>28</v>
      </c>
      <c r="N7396" s="11" t="s">
        <v>56</v>
      </c>
      <c r="O7396" s="11" t="s">
        <v>150</v>
      </c>
      <c r="P7396" s="11" t="s">
        <v>38</v>
      </c>
      <c r="Q7396" s="20">
        <v>41100.0</v>
      </c>
      <c r="R7396" s="17">
        <f t="shared" si="2"/>
        <v>5.08762001</v>
      </c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>
        <f t="shared" si="8"/>
        <v>4</v>
      </c>
      <c r="AF7396" s="19">
        <f t="shared" si="13"/>
        <v>5</v>
      </c>
      <c r="AG7396" s="9"/>
      <c r="AH7396" s="9"/>
      <c r="AI7396" s="9"/>
    </row>
    <row r="7397" ht="15.0" customHeight="1">
      <c r="A7397" s="11">
        <v>7396.0</v>
      </c>
      <c r="B7397" s="12">
        <f t="shared" ref="B7397:B7410" si="1182">DATE(2012,12,31)-175</f>
        <v>41099</v>
      </c>
      <c r="C7397" s="13">
        <v>2012.0</v>
      </c>
      <c r="D7397" s="11" t="s">
        <v>32</v>
      </c>
      <c r="E7397" s="11">
        <v>27.0</v>
      </c>
      <c r="F7397" s="14">
        <v>320.9</v>
      </c>
      <c r="G7397" s="15">
        <v>0.035360033325991753</v>
      </c>
      <c r="H7397" s="11" t="s">
        <v>45</v>
      </c>
      <c r="I7397" s="16">
        <v>47.160000000000004</v>
      </c>
      <c r="J7397" s="11" t="s">
        <v>2439</v>
      </c>
      <c r="K7397" s="11" t="s">
        <v>35</v>
      </c>
      <c r="L7397" s="11" t="s">
        <v>41</v>
      </c>
      <c r="M7397" s="11" t="s">
        <v>49</v>
      </c>
      <c r="N7397" s="11" t="s">
        <v>50</v>
      </c>
      <c r="O7397" s="11" t="s">
        <v>311</v>
      </c>
      <c r="P7397" s="11" t="s">
        <v>52</v>
      </c>
      <c r="Q7397" s="20">
        <v>41100.0</v>
      </c>
      <c r="R7397" s="17">
        <f t="shared" si="2"/>
        <v>308.0375159</v>
      </c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>
        <f t="shared" si="8"/>
        <v>3</v>
      </c>
      <c r="AF7397" s="19">
        <f t="shared" si="13"/>
        <v>2</v>
      </c>
      <c r="AG7397" s="9"/>
      <c r="AH7397" s="9"/>
      <c r="AI7397" s="9"/>
    </row>
    <row r="7398" ht="15.0" customHeight="1">
      <c r="A7398" s="11">
        <v>7397.0</v>
      </c>
      <c r="B7398" s="12">
        <f t="shared" si="1182"/>
        <v>41099</v>
      </c>
      <c r="C7398" s="13">
        <v>2012.0</v>
      </c>
      <c r="D7398" s="11" t="s">
        <v>32</v>
      </c>
      <c r="E7398" s="11">
        <v>1.0</v>
      </c>
      <c r="F7398" s="14">
        <v>4.7</v>
      </c>
      <c r="G7398" s="15">
        <v>0.051929824561403555</v>
      </c>
      <c r="H7398" s="11" t="s">
        <v>33</v>
      </c>
      <c r="I7398" s="16">
        <v>0.7040000000000001</v>
      </c>
      <c r="J7398" s="11" t="s">
        <v>2439</v>
      </c>
      <c r="K7398" s="11" t="s">
        <v>35</v>
      </c>
      <c r="L7398" s="11" t="s">
        <v>41</v>
      </c>
      <c r="M7398" s="11" t="s">
        <v>28</v>
      </c>
      <c r="N7398" s="11" t="s">
        <v>56</v>
      </c>
      <c r="O7398" s="11" t="s">
        <v>1258</v>
      </c>
      <c r="P7398" s="11" t="s">
        <v>58</v>
      </c>
      <c r="Q7398" s="20">
        <v>41100.0</v>
      </c>
      <c r="R7398" s="17">
        <f t="shared" si="2"/>
        <v>0.2806287719</v>
      </c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>
        <f t="shared" si="8"/>
        <v>3</v>
      </c>
      <c r="AF7398" s="19">
        <f t="shared" si="13"/>
        <v>2</v>
      </c>
      <c r="AG7398" s="9"/>
      <c r="AH7398" s="9"/>
      <c r="AI7398" s="9"/>
    </row>
    <row r="7399" ht="15.0" customHeight="1">
      <c r="A7399" s="11">
        <v>7398.0</v>
      </c>
      <c r="B7399" s="12">
        <f t="shared" si="1182"/>
        <v>41099</v>
      </c>
      <c r="C7399" s="13">
        <v>2012.0</v>
      </c>
      <c r="D7399" s="11" t="s">
        <v>32</v>
      </c>
      <c r="E7399" s="11">
        <v>42.0</v>
      </c>
      <c r="F7399" s="14">
        <v>4.2</v>
      </c>
      <c r="G7399" s="15">
        <v>0.09199384930804705</v>
      </c>
      <c r="H7399" s="11" t="s">
        <v>33</v>
      </c>
      <c r="I7399" s="16">
        <v>0.752</v>
      </c>
      <c r="J7399" s="11" t="s">
        <v>2439</v>
      </c>
      <c r="K7399" s="11" t="s">
        <v>35</v>
      </c>
      <c r="L7399" s="11" t="s">
        <v>41</v>
      </c>
      <c r="M7399" s="11" t="s">
        <v>28</v>
      </c>
      <c r="N7399" s="11" t="s">
        <v>62</v>
      </c>
      <c r="O7399" s="11" t="s">
        <v>291</v>
      </c>
      <c r="P7399" s="11" t="s">
        <v>58</v>
      </c>
      <c r="Q7399" s="20">
        <v>41100.0</v>
      </c>
      <c r="R7399" s="17">
        <f t="shared" si="2"/>
        <v>16.29689439</v>
      </c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>
        <f t="shared" si="8"/>
        <v>3</v>
      </c>
      <c r="AF7399" s="19">
        <f t="shared" si="13"/>
        <v>2</v>
      </c>
      <c r="AG7399" s="9"/>
      <c r="AH7399" s="9"/>
      <c r="AI7399" s="9"/>
    </row>
    <row r="7400" ht="15.0" customHeight="1">
      <c r="A7400" s="11">
        <v>7399.0</v>
      </c>
      <c r="B7400" s="12">
        <f t="shared" si="1182"/>
        <v>41099</v>
      </c>
      <c r="C7400" s="13">
        <v>2012.0</v>
      </c>
      <c r="D7400" s="11" t="s">
        <v>32</v>
      </c>
      <c r="E7400" s="11">
        <v>13.0</v>
      </c>
      <c r="F7400" s="14">
        <v>125.9</v>
      </c>
      <c r="G7400" s="15">
        <v>0.09186104493323727</v>
      </c>
      <c r="H7400" s="11" t="s">
        <v>33</v>
      </c>
      <c r="I7400" s="16">
        <v>2.4000000000000004</v>
      </c>
      <c r="J7400" s="11" t="s">
        <v>2439</v>
      </c>
      <c r="K7400" s="11" t="s">
        <v>35</v>
      </c>
      <c r="L7400" s="11" t="s">
        <v>41</v>
      </c>
      <c r="M7400" s="11" t="s">
        <v>66</v>
      </c>
      <c r="N7400" s="11" t="s">
        <v>80</v>
      </c>
      <c r="O7400" s="11" t="s">
        <v>1383</v>
      </c>
      <c r="P7400" s="11" t="s">
        <v>38</v>
      </c>
      <c r="Q7400" s="20">
        <v>41100.0</v>
      </c>
      <c r="R7400" s="17">
        <f t="shared" si="2"/>
        <v>150.5694388</v>
      </c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>
        <f t="shared" si="8"/>
        <v>3</v>
      </c>
      <c r="AF7400" s="19">
        <f t="shared" si="13"/>
        <v>2</v>
      </c>
      <c r="AG7400" s="9"/>
      <c r="AH7400" s="9"/>
      <c r="AI7400" s="9"/>
    </row>
    <row r="7401" ht="15.0" customHeight="1">
      <c r="A7401" s="11">
        <v>7400.0</v>
      </c>
      <c r="B7401" s="12">
        <f t="shared" si="1182"/>
        <v>41099</v>
      </c>
      <c r="C7401" s="13">
        <v>2012.0</v>
      </c>
      <c r="D7401" s="11" t="s">
        <v>39</v>
      </c>
      <c r="E7401" s="11">
        <v>37.0</v>
      </c>
      <c r="F7401" s="14">
        <v>11.9</v>
      </c>
      <c r="G7401" s="15">
        <v>0.027399299474605995</v>
      </c>
      <c r="H7401" s="11" t="s">
        <v>33</v>
      </c>
      <c r="I7401" s="16">
        <v>3.9840000000000004</v>
      </c>
      <c r="J7401" s="11" t="s">
        <v>243</v>
      </c>
      <c r="K7401" s="11" t="s">
        <v>61</v>
      </c>
      <c r="L7401" s="11" t="s">
        <v>41</v>
      </c>
      <c r="M7401" s="11" t="s">
        <v>28</v>
      </c>
      <c r="N7401" s="11" t="s">
        <v>197</v>
      </c>
      <c r="O7401" s="11" t="s">
        <v>1001</v>
      </c>
      <c r="P7401" s="11" t="s">
        <v>38</v>
      </c>
      <c r="Q7401" s="20">
        <v>41101.0</v>
      </c>
      <c r="R7401" s="17">
        <f t="shared" si="2"/>
        <v>12.17307037</v>
      </c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>
        <f t="shared" si="8"/>
        <v>3</v>
      </c>
      <c r="AF7401" s="19">
        <f t="shared" si="13"/>
        <v>4</v>
      </c>
      <c r="AG7401" s="9"/>
      <c r="AH7401" s="9"/>
      <c r="AI7401" s="9"/>
    </row>
    <row r="7402" ht="15.0" customHeight="1">
      <c r="A7402" s="11">
        <v>7401.0</v>
      </c>
      <c r="B7402" s="12">
        <f t="shared" si="1182"/>
        <v>41099</v>
      </c>
      <c r="C7402" s="13">
        <v>2012.0</v>
      </c>
      <c r="D7402" s="11" t="s">
        <v>39</v>
      </c>
      <c r="E7402" s="11">
        <v>41.0</v>
      </c>
      <c r="F7402" s="14">
        <v>9.4</v>
      </c>
      <c r="G7402" s="15">
        <v>0.0850514499532273</v>
      </c>
      <c r="H7402" s="11" t="s">
        <v>24</v>
      </c>
      <c r="I7402" s="16">
        <v>5.832000000000001</v>
      </c>
      <c r="J7402" s="11" t="s">
        <v>243</v>
      </c>
      <c r="K7402" s="11" t="s">
        <v>61</v>
      </c>
      <c r="L7402" s="11" t="s">
        <v>41</v>
      </c>
      <c r="M7402" s="11" t="s">
        <v>49</v>
      </c>
      <c r="N7402" s="11" t="s">
        <v>73</v>
      </c>
      <c r="O7402" s="11" t="s">
        <v>298</v>
      </c>
      <c r="P7402" s="11" t="s">
        <v>99</v>
      </c>
      <c r="Q7402" s="20">
        <v>41101.0</v>
      </c>
      <c r="R7402" s="17">
        <f t="shared" si="2"/>
        <v>33.27484887</v>
      </c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>
        <f t="shared" si="8"/>
        <v>3</v>
      </c>
      <c r="AF7402" s="19">
        <f t="shared" si="13"/>
        <v>4</v>
      </c>
      <c r="AG7402" s="9"/>
      <c r="AH7402" s="9"/>
      <c r="AI7402" s="9"/>
    </row>
    <row r="7403" ht="15.0" customHeight="1">
      <c r="A7403" s="11">
        <v>7402.0</v>
      </c>
      <c r="B7403" s="12">
        <f t="shared" si="1182"/>
        <v>41099</v>
      </c>
      <c r="C7403" s="13">
        <v>2012.0</v>
      </c>
      <c r="D7403" s="11" t="s">
        <v>39</v>
      </c>
      <c r="E7403" s="11">
        <v>4.0</v>
      </c>
      <c r="F7403" s="14">
        <v>5.9</v>
      </c>
      <c r="G7403" s="15">
        <v>0.07738562091503264</v>
      </c>
      <c r="H7403" s="11" t="s">
        <v>33</v>
      </c>
      <c r="I7403" s="16">
        <v>4.632000000000001</v>
      </c>
      <c r="J7403" s="11" t="s">
        <v>243</v>
      </c>
      <c r="K7403" s="11" t="s">
        <v>61</v>
      </c>
      <c r="L7403" s="11" t="s">
        <v>41</v>
      </c>
      <c r="M7403" s="11" t="s">
        <v>28</v>
      </c>
      <c r="N7403" s="11" t="s">
        <v>56</v>
      </c>
      <c r="O7403" s="11" t="s">
        <v>283</v>
      </c>
      <c r="P7403" s="11" t="s">
        <v>38</v>
      </c>
      <c r="Q7403" s="20">
        <v>41101.0</v>
      </c>
      <c r="R7403" s="17">
        <f t="shared" si="2"/>
        <v>2.18475085</v>
      </c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>
        <f t="shared" si="8"/>
        <v>3</v>
      </c>
      <c r="AF7403" s="19">
        <f t="shared" si="13"/>
        <v>4</v>
      </c>
      <c r="AG7403" s="9"/>
      <c r="AH7403" s="9"/>
      <c r="AI7403" s="9"/>
    </row>
    <row r="7404" ht="15.0" customHeight="1">
      <c r="A7404" s="11">
        <v>7403.0</v>
      </c>
      <c r="B7404" s="12">
        <f t="shared" si="1182"/>
        <v>41099</v>
      </c>
      <c r="C7404" s="13">
        <v>2012.0</v>
      </c>
      <c r="D7404" s="11" t="s">
        <v>32</v>
      </c>
      <c r="E7404" s="11">
        <v>27.0</v>
      </c>
      <c r="F7404" s="14">
        <v>12.2</v>
      </c>
      <c r="G7404" s="15">
        <v>0.09181324647122696</v>
      </c>
      <c r="H7404" s="11" t="s">
        <v>33</v>
      </c>
      <c r="I7404" s="16">
        <v>5.176</v>
      </c>
      <c r="J7404" s="11" t="s">
        <v>2251</v>
      </c>
      <c r="K7404" s="11" t="s">
        <v>35</v>
      </c>
      <c r="L7404" s="11" t="s">
        <v>36</v>
      </c>
      <c r="M7404" s="11" t="s">
        <v>28</v>
      </c>
      <c r="N7404" s="11" t="s">
        <v>56</v>
      </c>
      <c r="O7404" s="11" t="s">
        <v>2006</v>
      </c>
      <c r="P7404" s="11" t="s">
        <v>38</v>
      </c>
      <c r="Q7404" s="20">
        <v>41101.0</v>
      </c>
      <c r="R7404" s="17">
        <f t="shared" si="2"/>
        <v>30.71850875</v>
      </c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>
        <f t="shared" si="8"/>
        <v>2</v>
      </c>
      <c r="AF7404" s="19">
        <f t="shared" si="13"/>
        <v>2</v>
      </c>
      <c r="AG7404" s="9"/>
      <c r="AH7404" s="9"/>
      <c r="AI7404" s="9"/>
    </row>
    <row r="7405" ht="15.0" customHeight="1">
      <c r="A7405" s="11">
        <v>7404.0</v>
      </c>
      <c r="B7405" s="12">
        <f t="shared" si="1182"/>
        <v>41099</v>
      </c>
      <c r="C7405" s="13">
        <v>2012.0</v>
      </c>
      <c r="D7405" s="11" t="s">
        <v>23</v>
      </c>
      <c r="E7405" s="11">
        <v>2.0</v>
      </c>
      <c r="F7405" s="14">
        <v>10.9</v>
      </c>
      <c r="G7405" s="15">
        <v>0.06953846153846154</v>
      </c>
      <c r="H7405" s="11" t="s">
        <v>33</v>
      </c>
      <c r="I7405" s="16">
        <v>2.3920000000000003</v>
      </c>
      <c r="J7405" s="11" t="s">
        <v>1017</v>
      </c>
      <c r="K7405" s="11" t="s">
        <v>117</v>
      </c>
      <c r="L7405" s="11" t="s">
        <v>48</v>
      </c>
      <c r="M7405" s="11" t="s">
        <v>28</v>
      </c>
      <c r="N7405" s="11" t="s">
        <v>42</v>
      </c>
      <c r="O7405" s="11" t="s">
        <v>811</v>
      </c>
      <c r="P7405" s="11" t="s">
        <v>38</v>
      </c>
      <c r="Q7405" s="20">
        <v>41101.0</v>
      </c>
      <c r="R7405" s="17">
        <f t="shared" si="2"/>
        <v>1.682274462</v>
      </c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>
        <f t="shared" si="8"/>
        <v>4</v>
      </c>
      <c r="AF7405" s="19" t="b">
        <f t="shared" si="13"/>
        <v>0</v>
      </c>
      <c r="AG7405" s="9"/>
      <c r="AH7405" s="9"/>
      <c r="AI7405" s="9"/>
    </row>
    <row r="7406" ht="15.0" customHeight="1">
      <c r="A7406" s="11">
        <v>7405.0</v>
      </c>
      <c r="B7406" s="12">
        <f t="shared" si="1182"/>
        <v>41099</v>
      </c>
      <c r="C7406" s="13">
        <v>2012.0</v>
      </c>
      <c r="D7406" s="11" t="s">
        <v>39</v>
      </c>
      <c r="E7406" s="11">
        <v>36.0</v>
      </c>
      <c r="F7406" s="14">
        <v>5.7</v>
      </c>
      <c r="G7406" s="15">
        <v>0.09919035314384145</v>
      </c>
      <c r="H7406" s="11" t="s">
        <v>33</v>
      </c>
      <c r="I7406" s="16">
        <v>3.968</v>
      </c>
      <c r="J7406" s="11" t="s">
        <v>1444</v>
      </c>
      <c r="K7406" s="11" t="s">
        <v>61</v>
      </c>
      <c r="L7406" s="11" t="s">
        <v>36</v>
      </c>
      <c r="M7406" s="11" t="s">
        <v>28</v>
      </c>
      <c r="N7406" s="11" t="s">
        <v>56</v>
      </c>
      <c r="O7406" s="11" t="s">
        <v>2173</v>
      </c>
      <c r="P7406" s="11" t="s">
        <v>38</v>
      </c>
      <c r="Q7406" s="20">
        <v>41101.0</v>
      </c>
      <c r="R7406" s="17">
        <f t="shared" si="2"/>
        <v>20.74744779</v>
      </c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>
        <f t="shared" si="8"/>
        <v>2</v>
      </c>
      <c r="AF7406" s="19">
        <f t="shared" si="13"/>
        <v>4</v>
      </c>
      <c r="AG7406" s="9"/>
      <c r="AH7406" s="9"/>
      <c r="AI7406" s="9"/>
    </row>
    <row r="7407" ht="15.0" customHeight="1">
      <c r="A7407" s="11">
        <v>7406.0</v>
      </c>
      <c r="B7407" s="12">
        <f t="shared" si="1182"/>
        <v>41099</v>
      </c>
      <c r="C7407" s="13">
        <v>2012.0</v>
      </c>
      <c r="D7407" s="11" t="s">
        <v>44</v>
      </c>
      <c r="E7407" s="11">
        <v>34.0</v>
      </c>
      <c r="F7407" s="14">
        <v>28.5</v>
      </c>
      <c r="G7407" s="15">
        <v>0.020898173377737382</v>
      </c>
      <c r="H7407" s="11" t="s">
        <v>24</v>
      </c>
      <c r="I7407" s="16">
        <v>1.192</v>
      </c>
      <c r="J7407" s="11" t="s">
        <v>2476</v>
      </c>
      <c r="K7407" s="11" t="s">
        <v>61</v>
      </c>
      <c r="L7407" s="11" t="s">
        <v>48</v>
      </c>
      <c r="M7407" s="11" t="s">
        <v>28</v>
      </c>
      <c r="N7407" s="11" t="s">
        <v>42</v>
      </c>
      <c r="O7407" s="11" t="s">
        <v>1003</v>
      </c>
      <c r="P7407" s="11" t="s">
        <v>38</v>
      </c>
      <c r="Q7407" s="20">
        <v>41101.0</v>
      </c>
      <c r="R7407" s="17">
        <f t="shared" si="2"/>
        <v>20.27524063</v>
      </c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>
        <f t="shared" si="8"/>
        <v>4</v>
      </c>
      <c r="AF7407" s="19">
        <f t="shared" si="13"/>
        <v>4</v>
      </c>
      <c r="AG7407" s="9"/>
      <c r="AH7407" s="9"/>
      <c r="AI7407" s="9"/>
    </row>
    <row r="7408" ht="15.0" customHeight="1">
      <c r="A7408" s="11">
        <v>7407.0</v>
      </c>
      <c r="B7408" s="12">
        <f t="shared" si="1182"/>
        <v>41099</v>
      </c>
      <c r="C7408" s="13">
        <v>2012.0</v>
      </c>
      <c r="D7408" s="11" t="s">
        <v>32</v>
      </c>
      <c r="E7408" s="11">
        <v>4.0</v>
      </c>
      <c r="F7408" s="14">
        <v>2.0</v>
      </c>
      <c r="G7408" s="15">
        <v>0.09823529411764709</v>
      </c>
      <c r="H7408" s="11" t="s">
        <v>33</v>
      </c>
      <c r="I7408" s="16">
        <v>4.264</v>
      </c>
      <c r="J7408" s="11" t="s">
        <v>1884</v>
      </c>
      <c r="K7408" s="11" t="s">
        <v>117</v>
      </c>
      <c r="L7408" s="11" t="s">
        <v>48</v>
      </c>
      <c r="M7408" s="11" t="s">
        <v>49</v>
      </c>
      <c r="N7408" s="11" t="s">
        <v>73</v>
      </c>
      <c r="O7408" s="11" t="s">
        <v>286</v>
      </c>
      <c r="P7408" s="11" t="s">
        <v>38</v>
      </c>
      <c r="Q7408" s="20">
        <v>41101.0</v>
      </c>
      <c r="R7408" s="17">
        <f t="shared" si="2"/>
        <v>1.204757647</v>
      </c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>
        <f t="shared" si="8"/>
        <v>4</v>
      </c>
      <c r="AF7408" s="19" t="b">
        <f t="shared" si="13"/>
        <v>0</v>
      </c>
      <c r="AG7408" s="9"/>
      <c r="AH7408" s="9"/>
      <c r="AI7408" s="9"/>
    </row>
    <row r="7409" ht="15.0" customHeight="1">
      <c r="A7409" s="11">
        <v>7408.0</v>
      </c>
      <c r="B7409" s="12">
        <f t="shared" si="1182"/>
        <v>41099</v>
      </c>
      <c r="C7409" s="13">
        <v>2012.0</v>
      </c>
      <c r="D7409" s="11" t="s">
        <v>32</v>
      </c>
      <c r="E7409" s="11">
        <v>39.0</v>
      </c>
      <c r="F7409" s="14">
        <v>6.4</v>
      </c>
      <c r="G7409" s="15">
        <v>0.03838504672897186</v>
      </c>
      <c r="H7409" s="11" t="s">
        <v>33</v>
      </c>
      <c r="I7409" s="16">
        <v>7.632</v>
      </c>
      <c r="J7409" s="11" t="s">
        <v>1884</v>
      </c>
      <c r="K7409" s="11" t="s">
        <v>117</v>
      </c>
      <c r="L7409" s="11" t="s">
        <v>48</v>
      </c>
      <c r="M7409" s="11" t="s">
        <v>28</v>
      </c>
      <c r="N7409" s="11" t="s">
        <v>56</v>
      </c>
      <c r="O7409" s="11" t="s">
        <v>1474</v>
      </c>
      <c r="P7409" s="11" t="s">
        <v>38</v>
      </c>
      <c r="Q7409" s="20">
        <v>41101.0</v>
      </c>
      <c r="R7409" s="17">
        <f t="shared" si="2"/>
        <v>9.87386234</v>
      </c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>
        <f t="shared" si="8"/>
        <v>4</v>
      </c>
      <c r="AF7409" s="19" t="b">
        <f t="shared" si="13"/>
        <v>0</v>
      </c>
      <c r="AG7409" s="9"/>
      <c r="AH7409" s="9"/>
      <c r="AI7409" s="9"/>
    </row>
    <row r="7410" ht="15.0" customHeight="1">
      <c r="A7410" s="11">
        <v>7409.0</v>
      </c>
      <c r="B7410" s="12">
        <f t="shared" si="1182"/>
        <v>41099</v>
      </c>
      <c r="C7410" s="13">
        <v>2012.0</v>
      </c>
      <c r="D7410" s="11" t="s">
        <v>32</v>
      </c>
      <c r="E7410" s="11">
        <v>5.0</v>
      </c>
      <c r="F7410" s="14">
        <v>64.9</v>
      </c>
      <c r="G7410" s="15">
        <v>0.0873783185840708</v>
      </c>
      <c r="H7410" s="11" t="s">
        <v>24</v>
      </c>
      <c r="I7410" s="16">
        <v>5.5040000000000004</v>
      </c>
      <c r="J7410" s="11" t="s">
        <v>1884</v>
      </c>
      <c r="K7410" s="11" t="s">
        <v>117</v>
      </c>
      <c r="L7410" s="11" t="s">
        <v>48</v>
      </c>
      <c r="M7410" s="11" t="s">
        <v>28</v>
      </c>
      <c r="N7410" s="11" t="s">
        <v>29</v>
      </c>
      <c r="O7410" s="11" t="s">
        <v>2193</v>
      </c>
      <c r="P7410" s="11" t="s">
        <v>38</v>
      </c>
      <c r="Q7410" s="20">
        <v>41101.0</v>
      </c>
      <c r="R7410" s="17">
        <f t="shared" si="2"/>
        <v>28.83519465</v>
      </c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>
        <f t="shared" si="8"/>
        <v>4</v>
      </c>
      <c r="AF7410" s="19" t="b">
        <f t="shared" si="13"/>
        <v>0</v>
      </c>
      <c r="AG7410" s="9"/>
      <c r="AH7410" s="9"/>
      <c r="AI7410" s="9"/>
    </row>
    <row r="7411" ht="15.0" customHeight="1">
      <c r="A7411" s="11">
        <v>7410.0</v>
      </c>
      <c r="B7411" s="12">
        <f t="shared" ref="B7411:B7417" si="1183">DATE(2012,12,31)-174</f>
        <v>41100</v>
      </c>
      <c r="C7411" s="13">
        <v>2012.0</v>
      </c>
      <c r="D7411" s="11" t="s">
        <v>44</v>
      </c>
      <c r="E7411" s="11">
        <v>10.0</v>
      </c>
      <c r="F7411" s="14">
        <v>100.9</v>
      </c>
      <c r="G7411" s="15">
        <v>0.011429106925311511</v>
      </c>
      <c r="H7411" s="11" t="s">
        <v>45</v>
      </c>
      <c r="I7411" s="16">
        <v>45.904</v>
      </c>
      <c r="J7411" s="11" t="s">
        <v>639</v>
      </c>
      <c r="K7411" s="11" t="s">
        <v>35</v>
      </c>
      <c r="L7411" s="11" t="s">
        <v>27</v>
      </c>
      <c r="M7411" s="11" t="s">
        <v>49</v>
      </c>
      <c r="N7411" s="11" t="s">
        <v>156</v>
      </c>
      <c r="O7411" s="11" t="s">
        <v>852</v>
      </c>
      <c r="P7411" s="11" t="s">
        <v>87</v>
      </c>
      <c r="Q7411" s="20">
        <v>41102.0</v>
      </c>
      <c r="R7411" s="17">
        <f t="shared" si="2"/>
        <v>12.05661061</v>
      </c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>
        <f t="shared" si="8"/>
        <v>1</v>
      </c>
      <c r="AF7411" s="19">
        <f t="shared" si="13"/>
        <v>2</v>
      </c>
      <c r="AG7411" s="9"/>
      <c r="AH7411" s="9"/>
      <c r="AI7411" s="9"/>
    </row>
    <row r="7412" ht="15.0" customHeight="1">
      <c r="A7412" s="11">
        <v>7411.0</v>
      </c>
      <c r="B7412" s="12">
        <f t="shared" si="1183"/>
        <v>41100</v>
      </c>
      <c r="C7412" s="13">
        <v>2012.0</v>
      </c>
      <c r="D7412" s="11" t="s">
        <v>44</v>
      </c>
      <c r="E7412" s="11">
        <v>16.0</v>
      </c>
      <c r="F7412" s="14">
        <v>3.6</v>
      </c>
      <c r="G7412" s="15">
        <v>0.049441786283891564</v>
      </c>
      <c r="H7412" s="11" t="s">
        <v>33</v>
      </c>
      <c r="I7412" s="16">
        <v>2.0</v>
      </c>
      <c r="J7412" s="11" t="s">
        <v>639</v>
      </c>
      <c r="K7412" s="11" t="s">
        <v>35</v>
      </c>
      <c r="L7412" s="11" t="s">
        <v>27</v>
      </c>
      <c r="M7412" s="11" t="s">
        <v>28</v>
      </c>
      <c r="N7412" s="11" t="s">
        <v>236</v>
      </c>
      <c r="O7412" s="11" t="s">
        <v>1171</v>
      </c>
      <c r="P7412" s="11" t="s">
        <v>38</v>
      </c>
      <c r="Q7412" s="20">
        <v>41102.0</v>
      </c>
      <c r="R7412" s="17">
        <f t="shared" si="2"/>
        <v>2.946730463</v>
      </c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>
        <f t="shared" si="8"/>
        <v>1</v>
      </c>
      <c r="AF7412" s="19">
        <f t="shared" si="13"/>
        <v>2</v>
      </c>
      <c r="AG7412" s="9"/>
      <c r="AH7412" s="9"/>
      <c r="AI7412" s="9"/>
    </row>
    <row r="7413" ht="15.0" customHeight="1">
      <c r="A7413" s="11">
        <v>7412.0</v>
      </c>
      <c r="B7413" s="12">
        <f t="shared" si="1183"/>
        <v>41100</v>
      </c>
      <c r="C7413" s="13">
        <v>2012.0</v>
      </c>
      <c r="D7413" s="11" t="s">
        <v>32</v>
      </c>
      <c r="E7413" s="11">
        <v>41.0</v>
      </c>
      <c r="F7413" s="14">
        <v>7.3</v>
      </c>
      <c r="G7413" s="15">
        <v>0.05219981383803913</v>
      </c>
      <c r="H7413" s="11" t="s">
        <v>24</v>
      </c>
      <c r="I7413" s="16">
        <v>6.176</v>
      </c>
      <c r="J7413" s="11" t="s">
        <v>1355</v>
      </c>
      <c r="K7413" s="11" t="s">
        <v>61</v>
      </c>
      <c r="L7413" s="11" t="s">
        <v>27</v>
      </c>
      <c r="M7413" s="11" t="s">
        <v>28</v>
      </c>
      <c r="N7413" s="11" t="s">
        <v>42</v>
      </c>
      <c r="O7413" s="11" t="s">
        <v>1822</v>
      </c>
      <c r="P7413" s="11" t="s">
        <v>38</v>
      </c>
      <c r="Q7413" s="20">
        <v>41102.0</v>
      </c>
      <c r="R7413" s="17">
        <f t="shared" si="2"/>
        <v>15.94579033</v>
      </c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>
        <f t="shared" si="8"/>
        <v>1</v>
      </c>
      <c r="AF7413" s="19">
        <f t="shared" si="13"/>
        <v>4</v>
      </c>
      <c r="AG7413" s="9"/>
      <c r="AH7413" s="9"/>
      <c r="AI7413" s="9"/>
    </row>
    <row r="7414" ht="15.0" customHeight="1">
      <c r="A7414" s="11">
        <v>7413.0</v>
      </c>
      <c r="B7414" s="12">
        <f t="shared" si="1183"/>
        <v>41100</v>
      </c>
      <c r="C7414" s="13">
        <v>2012.0</v>
      </c>
      <c r="D7414" s="11" t="s">
        <v>32</v>
      </c>
      <c r="E7414" s="11">
        <v>24.0</v>
      </c>
      <c r="F7414" s="14">
        <v>161.5</v>
      </c>
      <c r="G7414" s="15">
        <v>0.0837844582028766</v>
      </c>
      <c r="H7414" s="11" t="s">
        <v>33</v>
      </c>
      <c r="I7414" s="16">
        <v>15.991999999999999</v>
      </c>
      <c r="J7414" s="11" t="s">
        <v>1355</v>
      </c>
      <c r="K7414" s="11" t="s">
        <v>61</v>
      </c>
      <c r="L7414" s="11" t="s">
        <v>27</v>
      </c>
      <c r="M7414" s="11" t="s">
        <v>28</v>
      </c>
      <c r="N7414" s="11" t="s">
        <v>29</v>
      </c>
      <c r="O7414" s="11" t="s">
        <v>230</v>
      </c>
      <c r="P7414" s="11" t="s">
        <v>38</v>
      </c>
      <c r="Q7414" s="20">
        <v>41102.0</v>
      </c>
      <c r="R7414" s="17">
        <f t="shared" si="2"/>
        <v>326.088441</v>
      </c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>
        <f t="shared" si="8"/>
        <v>1</v>
      </c>
      <c r="AF7414" s="19">
        <f t="shared" si="13"/>
        <v>4</v>
      </c>
      <c r="AG7414" s="9"/>
      <c r="AH7414" s="9"/>
      <c r="AI7414" s="9"/>
    </row>
    <row r="7415" ht="15.0" customHeight="1">
      <c r="A7415" s="11">
        <v>7414.0</v>
      </c>
      <c r="B7415" s="12">
        <f t="shared" si="1183"/>
        <v>41100</v>
      </c>
      <c r="C7415" s="13">
        <v>2012.0</v>
      </c>
      <c r="D7415" s="11" t="s">
        <v>23</v>
      </c>
      <c r="E7415" s="11">
        <v>23.0</v>
      </c>
      <c r="F7415" s="14">
        <v>43.9</v>
      </c>
      <c r="G7415" s="15">
        <v>0.040519924098671806</v>
      </c>
      <c r="H7415" s="11" t="s">
        <v>33</v>
      </c>
      <c r="I7415" s="16">
        <v>1.592</v>
      </c>
      <c r="J7415" s="11" t="s">
        <v>1533</v>
      </c>
      <c r="K7415" s="11" t="s">
        <v>61</v>
      </c>
      <c r="L7415" s="11" t="s">
        <v>41</v>
      </c>
      <c r="M7415" s="11" t="s">
        <v>66</v>
      </c>
      <c r="N7415" s="11" t="s">
        <v>67</v>
      </c>
      <c r="O7415" s="11" t="s">
        <v>1631</v>
      </c>
      <c r="P7415" s="11" t="s">
        <v>99</v>
      </c>
      <c r="Q7415" s="20">
        <v>41102.0</v>
      </c>
      <c r="R7415" s="17">
        <f t="shared" si="2"/>
        <v>40.97747508</v>
      </c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>
        <f t="shared" si="8"/>
        <v>3</v>
      </c>
      <c r="AF7415" s="19">
        <f t="shared" si="13"/>
        <v>4</v>
      </c>
      <c r="AG7415" s="9"/>
      <c r="AH7415" s="9"/>
      <c r="AI7415" s="9"/>
    </row>
    <row r="7416" ht="15.0" customHeight="1">
      <c r="A7416" s="11">
        <v>7415.0</v>
      </c>
      <c r="B7416" s="12">
        <f t="shared" si="1183"/>
        <v>41100</v>
      </c>
      <c r="C7416" s="13">
        <v>2012.0</v>
      </c>
      <c r="D7416" s="11" t="s">
        <v>32</v>
      </c>
      <c r="E7416" s="11">
        <v>49.0</v>
      </c>
      <c r="F7416" s="14">
        <v>16.9</v>
      </c>
      <c r="G7416" s="15">
        <v>0.049515116942384585</v>
      </c>
      <c r="H7416" s="11" t="s">
        <v>24</v>
      </c>
      <c r="I7416" s="16">
        <v>5.0</v>
      </c>
      <c r="J7416" s="11" t="s">
        <v>1903</v>
      </c>
      <c r="K7416" s="11" t="s">
        <v>65</v>
      </c>
      <c r="L7416" s="11" t="s">
        <v>48</v>
      </c>
      <c r="M7416" s="11" t="s">
        <v>28</v>
      </c>
      <c r="N7416" s="11" t="s">
        <v>29</v>
      </c>
      <c r="O7416" s="11" t="s">
        <v>2019</v>
      </c>
      <c r="P7416" s="11" t="s">
        <v>38</v>
      </c>
      <c r="Q7416" s="20">
        <v>41102.0</v>
      </c>
      <c r="R7416" s="17">
        <f t="shared" si="2"/>
        <v>41.25104392</v>
      </c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>
        <f t="shared" si="8"/>
        <v>4</v>
      </c>
      <c r="AF7416" s="19">
        <f t="shared" si="13"/>
        <v>5</v>
      </c>
      <c r="AG7416" s="9"/>
      <c r="AH7416" s="9"/>
      <c r="AI7416" s="9"/>
    </row>
    <row r="7417" ht="15.0" customHeight="1">
      <c r="A7417" s="11">
        <v>7416.0</v>
      </c>
      <c r="B7417" s="12">
        <f t="shared" si="1183"/>
        <v>41100</v>
      </c>
      <c r="C7417" s="13">
        <v>2012.0</v>
      </c>
      <c r="D7417" s="11" t="s">
        <v>102</v>
      </c>
      <c r="E7417" s="11">
        <v>8.0</v>
      </c>
      <c r="F7417" s="14">
        <v>5.1</v>
      </c>
      <c r="G7417" s="15">
        <v>0.06408247422680421</v>
      </c>
      <c r="H7417" s="11" t="s">
        <v>24</v>
      </c>
      <c r="I7417" s="16">
        <v>4.5920000000000005</v>
      </c>
      <c r="J7417" s="11" t="s">
        <v>1861</v>
      </c>
      <c r="K7417" s="11" t="s">
        <v>83</v>
      </c>
      <c r="L7417" s="11" t="s">
        <v>36</v>
      </c>
      <c r="M7417" s="11" t="s">
        <v>28</v>
      </c>
      <c r="N7417" s="11" t="s">
        <v>42</v>
      </c>
      <c r="O7417" s="11" t="s">
        <v>487</v>
      </c>
      <c r="P7417" s="11" t="s">
        <v>38</v>
      </c>
      <c r="Q7417" s="20">
        <v>41102.0</v>
      </c>
      <c r="R7417" s="17">
        <f t="shared" si="2"/>
        <v>2.90883167</v>
      </c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>
        <f t="shared" si="8"/>
        <v>2</v>
      </c>
      <c r="AF7417" s="19" t="b">
        <f t="shared" si="13"/>
        <v>0</v>
      </c>
      <c r="AG7417" s="9"/>
      <c r="AH7417" s="9"/>
      <c r="AI7417" s="9"/>
    </row>
    <row r="7418" ht="15.0" customHeight="1">
      <c r="A7418" s="11">
        <v>7417.0</v>
      </c>
      <c r="B7418" s="12">
        <f t="shared" ref="B7418:B7423" si="1184">DATE(2012,12,31)-173</f>
        <v>41101</v>
      </c>
      <c r="C7418" s="13">
        <v>2012.0</v>
      </c>
      <c r="D7418" s="11" t="s">
        <v>23</v>
      </c>
      <c r="E7418" s="11">
        <v>36.0</v>
      </c>
      <c r="F7418" s="14">
        <v>6.2</v>
      </c>
      <c r="G7418" s="15">
        <v>0.045371380612673026</v>
      </c>
      <c r="H7418" s="11" t="s">
        <v>33</v>
      </c>
      <c r="I7418" s="16">
        <v>4.288</v>
      </c>
      <c r="J7418" s="11" t="s">
        <v>202</v>
      </c>
      <c r="K7418" s="11" t="s">
        <v>35</v>
      </c>
      <c r="L7418" s="11" t="s">
        <v>27</v>
      </c>
      <c r="M7418" s="11" t="s">
        <v>28</v>
      </c>
      <c r="N7418" s="11" t="s">
        <v>42</v>
      </c>
      <c r="O7418" s="11" t="s">
        <v>1624</v>
      </c>
      <c r="P7418" s="11" t="s">
        <v>38</v>
      </c>
      <c r="Q7418" s="20">
        <v>41102.0</v>
      </c>
      <c r="R7418" s="17">
        <f t="shared" si="2"/>
        <v>10.32144463</v>
      </c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>
        <f t="shared" si="8"/>
        <v>1</v>
      </c>
      <c r="AF7418" s="19">
        <f t="shared" si="13"/>
        <v>2</v>
      </c>
      <c r="AG7418" s="9"/>
      <c r="AH7418" s="9"/>
      <c r="AI7418" s="9"/>
    </row>
    <row r="7419" ht="15.0" customHeight="1">
      <c r="A7419" s="11">
        <v>7418.0</v>
      </c>
      <c r="B7419" s="12">
        <f t="shared" si="1184"/>
        <v>41101</v>
      </c>
      <c r="C7419" s="13">
        <v>2012.0</v>
      </c>
      <c r="D7419" s="11" t="s">
        <v>44</v>
      </c>
      <c r="E7419" s="11">
        <v>9.0</v>
      </c>
      <c r="F7419" s="14">
        <v>124.4</v>
      </c>
      <c r="G7419" s="15">
        <v>0.05666422942562356</v>
      </c>
      <c r="H7419" s="11" t="s">
        <v>45</v>
      </c>
      <c r="I7419" s="16">
        <v>41.552</v>
      </c>
      <c r="J7419" s="11" t="s">
        <v>1423</v>
      </c>
      <c r="K7419" s="11" t="s">
        <v>61</v>
      </c>
      <c r="L7419" s="11" t="s">
        <v>48</v>
      </c>
      <c r="M7419" s="11" t="s">
        <v>49</v>
      </c>
      <c r="N7419" s="11" t="s">
        <v>85</v>
      </c>
      <c r="O7419" s="11" t="s">
        <v>1711</v>
      </c>
      <c r="P7419" s="11" t="s">
        <v>87</v>
      </c>
      <c r="Q7419" s="20">
        <v>41102.0</v>
      </c>
      <c r="R7419" s="17">
        <f t="shared" si="2"/>
        <v>65.79578333</v>
      </c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>
        <f t="shared" si="8"/>
        <v>4</v>
      </c>
      <c r="AF7419" s="19">
        <f t="shared" si="13"/>
        <v>4</v>
      </c>
      <c r="AG7419" s="9"/>
      <c r="AH7419" s="9"/>
      <c r="AI7419" s="9"/>
    </row>
    <row r="7420" ht="15.0" customHeight="1">
      <c r="A7420" s="11">
        <v>7419.0</v>
      </c>
      <c r="B7420" s="12">
        <f t="shared" si="1184"/>
        <v>41101</v>
      </c>
      <c r="C7420" s="13">
        <v>2012.0</v>
      </c>
      <c r="D7420" s="11" t="s">
        <v>23</v>
      </c>
      <c r="E7420" s="11">
        <v>5.0</v>
      </c>
      <c r="F7420" s="14">
        <v>60.9</v>
      </c>
      <c r="G7420" s="15">
        <v>0.013263546798029534</v>
      </c>
      <c r="H7420" s="11" t="s">
        <v>33</v>
      </c>
      <c r="I7420" s="16">
        <v>15.991999999999999</v>
      </c>
      <c r="J7420" s="11" t="s">
        <v>1415</v>
      </c>
      <c r="K7420" s="11" t="s">
        <v>65</v>
      </c>
      <c r="L7420" s="11" t="s">
        <v>36</v>
      </c>
      <c r="M7420" s="11" t="s">
        <v>28</v>
      </c>
      <c r="N7420" s="11" t="s">
        <v>236</v>
      </c>
      <c r="O7420" s="11" t="s">
        <v>1755</v>
      </c>
      <c r="P7420" s="11" t="s">
        <v>38</v>
      </c>
      <c r="Q7420" s="20">
        <v>41103.0</v>
      </c>
      <c r="R7420" s="17">
        <f t="shared" si="2"/>
        <v>4.25086064</v>
      </c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>
        <f t="shared" si="8"/>
        <v>2</v>
      </c>
      <c r="AF7420" s="19">
        <f t="shared" si="13"/>
        <v>5</v>
      </c>
      <c r="AG7420" s="9"/>
      <c r="AH7420" s="9"/>
      <c r="AI7420" s="9"/>
    </row>
    <row r="7421" ht="15.0" customHeight="1">
      <c r="A7421" s="11">
        <v>7420.0</v>
      </c>
      <c r="B7421" s="12">
        <f t="shared" si="1184"/>
        <v>41101</v>
      </c>
      <c r="C7421" s="13">
        <v>2012.0</v>
      </c>
      <c r="D7421" s="11" t="s">
        <v>39</v>
      </c>
      <c r="E7421" s="11">
        <v>2.0</v>
      </c>
      <c r="F7421" s="14">
        <v>8.0</v>
      </c>
      <c r="G7421" s="15">
        <v>0.12633962264150939</v>
      </c>
      <c r="H7421" s="11" t="s">
        <v>33</v>
      </c>
      <c r="I7421" s="16">
        <v>7.152</v>
      </c>
      <c r="J7421" s="11" t="s">
        <v>423</v>
      </c>
      <c r="K7421" s="11" t="s">
        <v>35</v>
      </c>
      <c r="L7421" s="11" t="s">
        <v>48</v>
      </c>
      <c r="M7421" s="11" t="s">
        <v>28</v>
      </c>
      <c r="N7421" s="11" t="s">
        <v>42</v>
      </c>
      <c r="O7421" s="11" t="s">
        <v>1126</v>
      </c>
      <c r="P7421" s="11" t="s">
        <v>38</v>
      </c>
      <c r="Q7421" s="20">
        <v>41103.0</v>
      </c>
      <c r="R7421" s="17">
        <f t="shared" si="2"/>
        <v>2.925014943</v>
      </c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>
        <f t="shared" si="8"/>
        <v>4</v>
      </c>
      <c r="AF7421" s="19">
        <f t="shared" si="13"/>
        <v>2</v>
      </c>
      <c r="AG7421" s="9"/>
      <c r="AH7421" s="9"/>
      <c r="AI7421" s="9"/>
    </row>
    <row r="7422" ht="15.0" customHeight="1">
      <c r="A7422" s="11">
        <v>7421.0</v>
      </c>
      <c r="B7422" s="12">
        <f t="shared" si="1184"/>
        <v>41101</v>
      </c>
      <c r="C7422" s="13">
        <v>2012.0</v>
      </c>
      <c r="D7422" s="11" t="s">
        <v>39</v>
      </c>
      <c r="E7422" s="11">
        <v>22.0</v>
      </c>
      <c r="F7422" s="14">
        <v>7.9</v>
      </c>
      <c r="G7422" s="15">
        <v>0.04120819848975181</v>
      </c>
      <c r="H7422" s="11" t="s">
        <v>24</v>
      </c>
      <c r="I7422" s="16">
        <v>3.9600000000000004</v>
      </c>
      <c r="J7422" s="11" t="s">
        <v>426</v>
      </c>
      <c r="K7422" s="11" t="s">
        <v>61</v>
      </c>
      <c r="L7422" s="11" t="s">
        <v>48</v>
      </c>
      <c r="M7422" s="11" t="s">
        <v>49</v>
      </c>
      <c r="N7422" s="11" t="s">
        <v>73</v>
      </c>
      <c r="O7422" s="11" t="s">
        <v>1481</v>
      </c>
      <c r="P7422" s="11" t="s">
        <v>38</v>
      </c>
      <c r="Q7422" s="20">
        <v>41103.0</v>
      </c>
      <c r="R7422" s="17">
        <f t="shared" si="2"/>
        <v>7.325169364</v>
      </c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>
        <f t="shared" si="8"/>
        <v>4</v>
      </c>
      <c r="AF7422" s="19">
        <f t="shared" si="13"/>
        <v>4</v>
      </c>
      <c r="AG7422" s="9"/>
      <c r="AH7422" s="9"/>
      <c r="AI7422" s="9"/>
    </row>
    <row r="7423" ht="15.0" customHeight="1">
      <c r="A7423" s="11">
        <v>7422.0</v>
      </c>
      <c r="B7423" s="12">
        <f t="shared" si="1184"/>
        <v>41101</v>
      </c>
      <c r="C7423" s="13">
        <v>2012.0</v>
      </c>
      <c r="D7423" s="11" t="s">
        <v>44</v>
      </c>
      <c r="E7423" s="11">
        <v>25.0</v>
      </c>
      <c r="F7423" s="14">
        <v>6.6</v>
      </c>
      <c r="G7423" s="15">
        <v>0.019850831899024715</v>
      </c>
      <c r="H7423" s="11" t="s">
        <v>33</v>
      </c>
      <c r="I7423" s="16">
        <v>5.84</v>
      </c>
      <c r="J7423" s="11" t="s">
        <v>412</v>
      </c>
      <c r="K7423" s="11" t="s">
        <v>35</v>
      </c>
      <c r="L7423" s="11" t="s">
        <v>27</v>
      </c>
      <c r="M7423" s="11" t="s">
        <v>28</v>
      </c>
      <c r="N7423" s="11" t="s">
        <v>56</v>
      </c>
      <c r="O7423" s="11" t="s">
        <v>2129</v>
      </c>
      <c r="P7423" s="11" t="s">
        <v>38</v>
      </c>
      <c r="Q7423" s="20">
        <v>41103.0</v>
      </c>
      <c r="R7423" s="17">
        <f t="shared" si="2"/>
        <v>3.391316122</v>
      </c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>
        <f t="shared" si="8"/>
        <v>1</v>
      </c>
      <c r="AF7423" s="19">
        <f t="shared" si="13"/>
        <v>2</v>
      </c>
      <c r="AG7423" s="9"/>
      <c r="AH7423" s="9"/>
      <c r="AI7423" s="9"/>
    </row>
    <row r="7424" ht="15.0" customHeight="1">
      <c r="A7424" s="11">
        <v>7423.0</v>
      </c>
      <c r="B7424" s="12">
        <f t="shared" ref="B7424:B7430" si="1185">DATE(2012,12,31)-172</f>
        <v>41102</v>
      </c>
      <c r="C7424" s="13">
        <v>2012.0</v>
      </c>
      <c r="D7424" s="11" t="s">
        <v>39</v>
      </c>
      <c r="E7424" s="11">
        <v>13.0</v>
      </c>
      <c r="F7424" s="14">
        <v>4.9</v>
      </c>
      <c r="G7424" s="15">
        <v>0.06255720053835796</v>
      </c>
      <c r="H7424" s="11" t="s">
        <v>33</v>
      </c>
      <c r="I7424" s="16">
        <v>5.952000000000001</v>
      </c>
      <c r="J7424" s="11" t="s">
        <v>462</v>
      </c>
      <c r="K7424" s="11" t="s">
        <v>35</v>
      </c>
      <c r="L7424" s="11" t="s">
        <v>41</v>
      </c>
      <c r="M7424" s="11" t="s">
        <v>28</v>
      </c>
      <c r="N7424" s="11" t="s">
        <v>56</v>
      </c>
      <c r="O7424" s="11" t="s">
        <v>1230</v>
      </c>
      <c r="P7424" s="11" t="s">
        <v>38</v>
      </c>
      <c r="Q7424" s="20">
        <v>41104.0</v>
      </c>
      <c r="R7424" s="17">
        <f t="shared" si="2"/>
        <v>4.357234132</v>
      </c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>
        <f t="shared" si="8"/>
        <v>3</v>
      </c>
      <c r="AF7424" s="19">
        <f t="shared" si="13"/>
        <v>2</v>
      </c>
      <c r="AG7424" s="9"/>
      <c r="AH7424" s="9"/>
      <c r="AI7424" s="9"/>
    </row>
    <row r="7425" ht="15.0" customHeight="1">
      <c r="A7425" s="11">
        <v>7424.0</v>
      </c>
      <c r="B7425" s="12">
        <f t="shared" si="1185"/>
        <v>41102</v>
      </c>
      <c r="C7425" s="13">
        <v>2012.0</v>
      </c>
      <c r="D7425" s="11" t="s">
        <v>39</v>
      </c>
      <c r="E7425" s="11">
        <v>5.0</v>
      </c>
      <c r="F7425" s="14">
        <v>6.4</v>
      </c>
      <c r="G7425" s="15">
        <v>0.09531322505800456</v>
      </c>
      <c r="H7425" s="11" t="s">
        <v>33</v>
      </c>
      <c r="I7425" s="16">
        <v>6.992000000000001</v>
      </c>
      <c r="J7425" s="11" t="s">
        <v>462</v>
      </c>
      <c r="K7425" s="11" t="s">
        <v>35</v>
      </c>
      <c r="L7425" s="11" t="s">
        <v>41</v>
      </c>
      <c r="M7425" s="11" t="s">
        <v>28</v>
      </c>
      <c r="N7425" s="11" t="s">
        <v>56</v>
      </c>
      <c r="O7425" s="11" t="s">
        <v>2047</v>
      </c>
      <c r="P7425" s="11" t="s">
        <v>38</v>
      </c>
      <c r="Q7425" s="20">
        <v>41104.0</v>
      </c>
      <c r="R7425" s="17">
        <f t="shared" si="2"/>
        <v>3.716453271</v>
      </c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>
        <f t="shared" si="8"/>
        <v>3</v>
      </c>
      <c r="AF7425" s="19">
        <f t="shared" si="13"/>
        <v>2</v>
      </c>
      <c r="AG7425" s="9"/>
      <c r="AH7425" s="9"/>
      <c r="AI7425" s="9"/>
    </row>
    <row r="7426" ht="15.0" customHeight="1">
      <c r="A7426" s="11">
        <v>7425.0</v>
      </c>
      <c r="B7426" s="12">
        <f t="shared" si="1185"/>
        <v>41102</v>
      </c>
      <c r="C7426" s="13">
        <v>2012.0</v>
      </c>
      <c r="D7426" s="11" t="s">
        <v>39</v>
      </c>
      <c r="E7426" s="11">
        <v>30.0</v>
      </c>
      <c r="F7426" s="14">
        <v>38.9</v>
      </c>
      <c r="G7426" s="15">
        <v>0.05406475104884031</v>
      </c>
      <c r="H7426" s="11" t="s">
        <v>24</v>
      </c>
      <c r="I7426" s="16">
        <v>28.0</v>
      </c>
      <c r="J7426" s="11" t="s">
        <v>462</v>
      </c>
      <c r="K7426" s="11" t="s">
        <v>35</v>
      </c>
      <c r="L7426" s="11" t="s">
        <v>41</v>
      </c>
      <c r="M7426" s="11" t="s">
        <v>28</v>
      </c>
      <c r="N7426" s="11" t="s">
        <v>29</v>
      </c>
      <c r="O7426" s="11" t="s">
        <v>2455</v>
      </c>
      <c r="P7426" s="11" t="s">
        <v>31</v>
      </c>
      <c r="Q7426" s="20">
        <v>41104.0</v>
      </c>
      <c r="R7426" s="17">
        <f t="shared" si="2"/>
        <v>64.6073775</v>
      </c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>
        <f t="shared" si="8"/>
        <v>3</v>
      </c>
      <c r="AF7426" s="19">
        <f t="shared" si="13"/>
        <v>2</v>
      </c>
      <c r="AG7426" s="9"/>
      <c r="AH7426" s="9"/>
      <c r="AI7426" s="9"/>
    </row>
    <row r="7427" ht="15.0" customHeight="1">
      <c r="A7427" s="11">
        <v>7426.0</v>
      </c>
      <c r="B7427" s="12">
        <f t="shared" si="1185"/>
        <v>41102</v>
      </c>
      <c r="C7427" s="13">
        <v>2012.0</v>
      </c>
      <c r="D7427" s="11" t="s">
        <v>44</v>
      </c>
      <c r="E7427" s="11">
        <v>45.0</v>
      </c>
      <c r="F7427" s="14">
        <v>6.8</v>
      </c>
      <c r="G7427" s="15">
        <v>0.03367372353673716</v>
      </c>
      <c r="H7427" s="11" t="s">
        <v>33</v>
      </c>
      <c r="I7427" s="16">
        <v>4.384</v>
      </c>
      <c r="J7427" s="11" t="s">
        <v>1754</v>
      </c>
      <c r="K7427" s="11" t="s">
        <v>35</v>
      </c>
      <c r="L7427" s="11" t="s">
        <v>41</v>
      </c>
      <c r="M7427" s="11" t="s">
        <v>28</v>
      </c>
      <c r="N7427" s="11" t="s">
        <v>42</v>
      </c>
      <c r="O7427" s="11" t="s">
        <v>2379</v>
      </c>
      <c r="P7427" s="11" t="s">
        <v>38</v>
      </c>
      <c r="Q7427" s="20">
        <v>41104.0</v>
      </c>
      <c r="R7427" s="17">
        <f t="shared" si="2"/>
        <v>10.45178501</v>
      </c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>
        <f t="shared" si="8"/>
        <v>3</v>
      </c>
      <c r="AF7427" s="19">
        <f t="shared" si="13"/>
        <v>2</v>
      </c>
      <c r="AG7427" s="9"/>
      <c r="AH7427" s="9"/>
      <c r="AI7427" s="9"/>
    </row>
    <row r="7428" ht="15.0" customHeight="1">
      <c r="A7428" s="11">
        <v>7427.0</v>
      </c>
      <c r="B7428" s="12">
        <f t="shared" si="1185"/>
        <v>41102</v>
      </c>
      <c r="C7428" s="13">
        <v>2012.0</v>
      </c>
      <c r="D7428" s="11" t="s">
        <v>44</v>
      </c>
      <c r="E7428" s="11">
        <v>28.0</v>
      </c>
      <c r="F7428" s="14">
        <v>3.7</v>
      </c>
      <c r="G7428" s="15">
        <v>0.07734278122232063</v>
      </c>
      <c r="H7428" s="11" t="s">
        <v>33</v>
      </c>
      <c r="I7428" s="16">
        <v>0.568</v>
      </c>
      <c r="J7428" s="11" t="s">
        <v>1754</v>
      </c>
      <c r="K7428" s="11" t="s">
        <v>35</v>
      </c>
      <c r="L7428" s="11" t="s">
        <v>41</v>
      </c>
      <c r="M7428" s="11" t="s">
        <v>28</v>
      </c>
      <c r="N7428" s="11" t="s">
        <v>216</v>
      </c>
      <c r="O7428" s="11" t="s">
        <v>2032</v>
      </c>
      <c r="P7428" s="11" t="s">
        <v>58</v>
      </c>
      <c r="Q7428" s="20">
        <v>41104.0</v>
      </c>
      <c r="R7428" s="17">
        <f t="shared" si="2"/>
        <v>8.056642834</v>
      </c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>
        <f t="shared" si="8"/>
        <v>3</v>
      </c>
      <c r="AF7428" s="19">
        <f t="shared" si="13"/>
        <v>2</v>
      </c>
      <c r="AG7428" s="9"/>
      <c r="AH7428" s="9"/>
      <c r="AI7428" s="9"/>
    </row>
    <row r="7429" ht="15.0" customHeight="1">
      <c r="A7429" s="11">
        <v>7428.0</v>
      </c>
      <c r="B7429" s="12">
        <f t="shared" si="1185"/>
        <v>41102</v>
      </c>
      <c r="C7429" s="13">
        <v>2012.0</v>
      </c>
      <c r="D7429" s="11" t="s">
        <v>23</v>
      </c>
      <c r="E7429" s="11">
        <v>3.0</v>
      </c>
      <c r="F7429" s="14">
        <v>77.5</v>
      </c>
      <c r="G7429" s="15">
        <v>0.032430213464696246</v>
      </c>
      <c r="H7429" s="11" t="s">
        <v>33</v>
      </c>
      <c r="I7429" s="16">
        <v>3.2</v>
      </c>
      <c r="J7429" s="11" t="s">
        <v>82</v>
      </c>
      <c r="K7429" s="11" t="s">
        <v>83</v>
      </c>
      <c r="L7429" s="11" t="s">
        <v>27</v>
      </c>
      <c r="M7429" s="11" t="s">
        <v>66</v>
      </c>
      <c r="N7429" s="11" t="s">
        <v>67</v>
      </c>
      <c r="O7429" s="11" t="s">
        <v>1361</v>
      </c>
      <c r="P7429" s="11" t="s">
        <v>38</v>
      </c>
      <c r="Q7429" s="20">
        <v>41104.0</v>
      </c>
      <c r="R7429" s="17">
        <f t="shared" si="2"/>
        <v>7.643801314</v>
      </c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>
        <f t="shared" si="8"/>
        <v>1</v>
      </c>
      <c r="AF7429" s="19" t="b">
        <f t="shared" si="13"/>
        <v>0</v>
      </c>
      <c r="AG7429" s="9"/>
      <c r="AH7429" s="9"/>
      <c r="AI7429" s="9"/>
    </row>
    <row r="7430" ht="15.0" customHeight="1">
      <c r="A7430" s="11">
        <v>7429.0</v>
      </c>
      <c r="B7430" s="12">
        <f t="shared" si="1185"/>
        <v>41102</v>
      </c>
      <c r="C7430" s="13">
        <v>2012.0</v>
      </c>
      <c r="D7430" s="11" t="s">
        <v>102</v>
      </c>
      <c r="E7430" s="11">
        <v>17.0</v>
      </c>
      <c r="F7430" s="14">
        <v>6.6</v>
      </c>
      <c r="G7430" s="15">
        <v>0.04117263843648218</v>
      </c>
      <c r="H7430" s="11" t="s">
        <v>24</v>
      </c>
      <c r="I7430" s="16">
        <v>5.5440000000000005</v>
      </c>
      <c r="J7430" s="11" t="s">
        <v>2271</v>
      </c>
      <c r="K7430" s="11" t="s">
        <v>35</v>
      </c>
      <c r="L7430" s="11" t="s">
        <v>48</v>
      </c>
      <c r="M7430" s="11" t="s">
        <v>28</v>
      </c>
      <c r="N7430" s="11" t="s">
        <v>56</v>
      </c>
      <c r="O7430" s="11" t="s">
        <v>554</v>
      </c>
      <c r="P7430" s="11" t="s">
        <v>38</v>
      </c>
      <c r="Q7430" s="20">
        <v>41104.0</v>
      </c>
      <c r="R7430" s="17">
        <f t="shared" si="2"/>
        <v>4.84783114</v>
      </c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>
        <f t="shared" si="8"/>
        <v>4</v>
      </c>
      <c r="AF7430" s="19">
        <f t="shared" si="13"/>
        <v>2</v>
      </c>
      <c r="AG7430" s="9"/>
      <c r="AH7430" s="9"/>
      <c r="AI7430" s="9"/>
    </row>
    <row r="7431" ht="15.0" customHeight="1">
      <c r="A7431" s="11">
        <v>7430.0</v>
      </c>
      <c r="B7431" s="12">
        <f t="shared" ref="B7431:B7437" si="1186">DATE(2012,12,31)-171</f>
        <v>41103</v>
      </c>
      <c r="C7431" s="13">
        <v>2012.0</v>
      </c>
      <c r="D7431" s="11" t="s">
        <v>23</v>
      </c>
      <c r="E7431" s="11">
        <v>48.0</v>
      </c>
      <c r="F7431" s="14">
        <v>50.9</v>
      </c>
      <c r="G7431" s="15">
        <v>0.022220805609785406</v>
      </c>
      <c r="H7431" s="11" t="s">
        <v>33</v>
      </c>
      <c r="I7431" s="16">
        <v>10.928</v>
      </c>
      <c r="J7431" s="11" t="s">
        <v>2105</v>
      </c>
      <c r="K7431" s="11" t="s">
        <v>61</v>
      </c>
      <c r="L7431" s="11" t="s">
        <v>36</v>
      </c>
      <c r="M7431" s="11" t="s">
        <v>28</v>
      </c>
      <c r="N7431" s="11" t="s">
        <v>197</v>
      </c>
      <c r="O7431" s="11" t="s">
        <v>1638</v>
      </c>
      <c r="P7431" s="11" t="s">
        <v>38</v>
      </c>
      <c r="Q7431" s="20">
        <v>41104.0</v>
      </c>
      <c r="R7431" s="17">
        <f t="shared" si="2"/>
        <v>54.53270123</v>
      </c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>
        <f t="shared" si="8"/>
        <v>2</v>
      </c>
      <c r="AF7431" s="19">
        <f t="shared" si="13"/>
        <v>4</v>
      </c>
      <c r="AG7431" s="9"/>
      <c r="AH7431" s="9"/>
      <c r="AI7431" s="9"/>
    </row>
    <row r="7432" ht="15.0" customHeight="1">
      <c r="A7432" s="11">
        <v>7431.0</v>
      </c>
      <c r="B7432" s="12">
        <f t="shared" si="1186"/>
        <v>41103</v>
      </c>
      <c r="C7432" s="13">
        <v>2012.0</v>
      </c>
      <c r="D7432" s="11" t="s">
        <v>23</v>
      </c>
      <c r="E7432" s="11">
        <v>29.0</v>
      </c>
      <c r="F7432" s="14">
        <v>205.9</v>
      </c>
      <c r="G7432" s="15">
        <v>0.04832075341042859</v>
      </c>
      <c r="H7432" s="11" t="s">
        <v>33</v>
      </c>
      <c r="I7432" s="16">
        <v>7.192</v>
      </c>
      <c r="J7432" s="11" t="s">
        <v>2105</v>
      </c>
      <c r="K7432" s="11" t="s">
        <v>61</v>
      </c>
      <c r="L7432" s="11" t="s">
        <v>36</v>
      </c>
      <c r="M7432" s="11" t="s">
        <v>66</v>
      </c>
      <c r="N7432" s="11" t="s">
        <v>80</v>
      </c>
      <c r="O7432" s="11" t="s">
        <v>614</v>
      </c>
      <c r="P7432" s="11" t="s">
        <v>38</v>
      </c>
      <c r="Q7432" s="20">
        <v>41105.0</v>
      </c>
      <c r="R7432" s="17">
        <f t="shared" si="2"/>
        <v>288.8755735</v>
      </c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>
        <f t="shared" si="8"/>
        <v>2</v>
      </c>
      <c r="AF7432" s="19">
        <f t="shared" si="13"/>
        <v>4</v>
      </c>
      <c r="AG7432" s="9"/>
      <c r="AH7432" s="9"/>
      <c r="AI7432" s="9"/>
    </row>
    <row r="7433" ht="15.0" customHeight="1">
      <c r="A7433" s="11">
        <v>7432.0</v>
      </c>
      <c r="B7433" s="12">
        <f t="shared" si="1186"/>
        <v>41103</v>
      </c>
      <c r="C7433" s="13">
        <v>2012.0</v>
      </c>
      <c r="D7433" s="11" t="s">
        <v>102</v>
      </c>
      <c r="E7433" s="11">
        <v>44.0</v>
      </c>
      <c r="F7433" s="14">
        <v>55.4</v>
      </c>
      <c r="G7433" s="15">
        <v>0.06726023213194873</v>
      </c>
      <c r="H7433" s="11" t="s">
        <v>33</v>
      </c>
      <c r="I7433" s="16">
        <v>5.432</v>
      </c>
      <c r="J7433" s="11" t="s">
        <v>1472</v>
      </c>
      <c r="K7433" s="11" t="s">
        <v>83</v>
      </c>
      <c r="L7433" s="11" t="s">
        <v>27</v>
      </c>
      <c r="M7433" s="11" t="s">
        <v>28</v>
      </c>
      <c r="N7433" s="11" t="s">
        <v>56</v>
      </c>
      <c r="O7433" s="11" t="s">
        <v>761</v>
      </c>
      <c r="P7433" s="11" t="s">
        <v>38</v>
      </c>
      <c r="Q7433" s="20">
        <v>41105.0</v>
      </c>
      <c r="R7433" s="17">
        <f t="shared" si="2"/>
        <v>164.3188994</v>
      </c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>
        <f t="shared" si="8"/>
        <v>1</v>
      </c>
      <c r="AF7433" s="19" t="b">
        <f t="shared" si="13"/>
        <v>0</v>
      </c>
      <c r="AG7433" s="9"/>
      <c r="AH7433" s="9"/>
      <c r="AI7433" s="9"/>
    </row>
    <row r="7434" ht="15.0" customHeight="1">
      <c r="A7434" s="11">
        <v>7433.0</v>
      </c>
      <c r="B7434" s="12">
        <f t="shared" si="1186"/>
        <v>41103</v>
      </c>
      <c r="C7434" s="13">
        <v>2012.0</v>
      </c>
      <c r="D7434" s="11" t="s">
        <v>23</v>
      </c>
      <c r="E7434" s="11">
        <v>46.0</v>
      </c>
      <c r="F7434" s="14">
        <v>48.0</v>
      </c>
      <c r="G7434" s="15">
        <v>0.021055983019368524</v>
      </c>
      <c r="H7434" s="11" t="s">
        <v>24</v>
      </c>
      <c r="I7434" s="16">
        <v>5.784000000000001</v>
      </c>
      <c r="J7434" s="11" t="s">
        <v>514</v>
      </c>
      <c r="K7434" s="11" t="s">
        <v>61</v>
      </c>
      <c r="L7434" s="11" t="s">
        <v>27</v>
      </c>
      <c r="M7434" s="11" t="s">
        <v>28</v>
      </c>
      <c r="N7434" s="11" t="s">
        <v>56</v>
      </c>
      <c r="O7434" s="11" t="s">
        <v>2248</v>
      </c>
      <c r="P7434" s="11" t="s">
        <v>38</v>
      </c>
      <c r="Q7434" s="20">
        <v>41105.0</v>
      </c>
      <c r="R7434" s="17">
        <f t="shared" si="2"/>
        <v>46.61339831</v>
      </c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>
        <f t="shared" si="8"/>
        <v>1</v>
      </c>
      <c r="AF7434" s="19">
        <f t="shared" si="13"/>
        <v>4</v>
      </c>
      <c r="AG7434" s="9"/>
      <c r="AH7434" s="9"/>
      <c r="AI7434" s="9"/>
    </row>
    <row r="7435" ht="15.0" customHeight="1">
      <c r="A7435" s="11">
        <v>7434.0</v>
      </c>
      <c r="B7435" s="12">
        <f t="shared" si="1186"/>
        <v>41103</v>
      </c>
      <c r="C7435" s="13">
        <v>2012.0</v>
      </c>
      <c r="D7435" s="11" t="s">
        <v>102</v>
      </c>
      <c r="E7435" s="11">
        <v>50.0</v>
      </c>
      <c r="F7435" s="14">
        <v>299.9</v>
      </c>
      <c r="G7435" s="15">
        <v>0.09131963033393506</v>
      </c>
      <c r="H7435" s="11" t="s">
        <v>24</v>
      </c>
      <c r="I7435" s="16">
        <v>9.312000000000001</v>
      </c>
      <c r="J7435" s="11" t="s">
        <v>1231</v>
      </c>
      <c r="K7435" s="11" t="s">
        <v>65</v>
      </c>
      <c r="L7435" s="11" t="s">
        <v>48</v>
      </c>
      <c r="M7435" s="11" t="s">
        <v>66</v>
      </c>
      <c r="N7435" s="11" t="s">
        <v>170</v>
      </c>
      <c r="O7435" s="11" t="s">
        <v>1844</v>
      </c>
      <c r="P7435" s="11" t="s">
        <v>31</v>
      </c>
      <c r="Q7435" s="20">
        <v>41106.0</v>
      </c>
      <c r="R7435" s="17">
        <f t="shared" si="2"/>
        <v>1370.188225</v>
      </c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>
        <f t="shared" si="8"/>
        <v>4</v>
      </c>
      <c r="AF7435" s="19">
        <f t="shared" si="13"/>
        <v>5</v>
      </c>
      <c r="AG7435" s="9"/>
      <c r="AH7435" s="9"/>
      <c r="AI7435" s="9"/>
    </row>
    <row r="7436" ht="15.0" customHeight="1">
      <c r="A7436" s="11">
        <v>7435.0</v>
      </c>
      <c r="B7436" s="12">
        <f t="shared" si="1186"/>
        <v>41103</v>
      </c>
      <c r="C7436" s="13">
        <v>2012.0</v>
      </c>
      <c r="D7436" s="11" t="s">
        <v>102</v>
      </c>
      <c r="E7436" s="11">
        <v>38.0</v>
      </c>
      <c r="F7436" s="14">
        <v>33.9</v>
      </c>
      <c r="G7436" s="15">
        <v>0.061664867976113445</v>
      </c>
      <c r="H7436" s="11" t="s">
        <v>33</v>
      </c>
      <c r="I7436" s="16">
        <v>15.991999999999999</v>
      </c>
      <c r="J7436" s="11" t="s">
        <v>1231</v>
      </c>
      <c r="K7436" s="11" t="s">
        <v>65</v>
      </c>
      <c r="L7436" s="11" t="s">
        <v>48</v>
      </c>
      <c r="M7436" s="11" t="s">
        <v>49</v>
      </c>
      <c r="N7436" s="11" t="s">
        <v>73</v>
      </c>
      <c r="O7436" s="11" t="s">
        <v>1820</v>
      </c>
      <c r="P7436" s="11" t="s">
        <v>38</v>
      </c>
      <c r="Q7436" s="20">
        <v>41106.0</v>
      </c>
      <c r="R7436" s="17">
        <f t="shared" si="2"/>
        <v>80.4228275</v>
      </c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>
        <f t="shared" si="8"/>
        <v>4</v>
      </c>
      <c r="AF7436" s="19">
        <f t="shared" si="13"/>
        <v>5</v>
      </c>
      <c r="AG7436" s="9"/>
      <c r="AH7436" s="9"/>
      <c r="AI7436" s="9"/>
    </row>
    <row r="7437" ht="15.0" customHeight="1">
      <c r="A7437" s="11">
        <v>7436.0</v>
      </c>
      <c r="B7437" s="12">
        <f t="shared" si="1186"/>
        <v>41103</v>
      </c>
      <c r="C7437" s="13">
        <v>2012.0</v>
      </c>
      <c r="D7437" s="11" t="s">
        <v>102</v>
      </c>
      <c r="E7437" s="11">
        <v>49.0</v>
      </c>
      <c r="F7437" s="14">
        <v>55.9</v>
      </c>
      <c r="G7437" s="15">
        <v>0.040337251609291976</v>
      </c>
      <c r="H7437" s="11" t="s">
        <v>33</v>
      </c>
      <c r="I7437" s="16">
        <v>4.0</v>
      </c>
      <c r="J7437" s="11" t="s">
        <v>1231</v>
      </c>
      <c r="K7437" s="11" t="s">
        <v>65</v>
      </c>
      <c r="L7437" s="11" t="s">
        <v>48</v>
      </c>
      <c r="M7437" s="11" t="s">
        <v>66</v>
      </c>
      <c r="N7437" s="11" t="s">
        <v>80</v>
      </c>
      <c r="O7437" s="11" t="s">
        <v>1026</v>
      </c>
      <c r="P7437" s="11" t="s">
        <v>99</v>
      </c>
      <c r="Q7437" s="20">
        <v>41106.0</v>
      </c>
      <c r="R7437" s="17">
        <f t="shared" si="2"/>
        <v>110.6491149</v>
      </c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>
        <f t="shared" si="8"/>
        <v>4</v>
      </c>
      <c r="AF7437" s="19">
        <f t="shared" si="13"/>
        <v>5</v>
      </c>
      <c r="AG7437" s="9"/>
      <c r="AH7437" s="9"/>
      <c r="AI7437" s="9"/>
    </row>
    <row r="7438" ht="15.0" customHeight="1">
      <c r="A7438" s="11">
        <v>7437.0</v>
      </c>
      <c r="B7438" s="12">
        <f t="shared" ref="B7438:B7440" si="1187">DATE(2012,12,31)-170</f>
        <v>41104</v>
      </c>
      <c r="C7438" s="13">
        <v>2012.0</v>
      </c>
      <c r="D7438" s="11" t="s">
        <v>39</v>
      </c>
      <c r="E7438" s="11">
        <v>27.0</v>
      </c>
      <c r="F7438" s="14">
        <v>31.7</v>
      </c>
      <c r="G7438" s="15">
        <v>0.03195755249491984</v>
      </c>
      <c r="H7438" s="11" t="s">
        <v>33</v>
      </c>
      <c r="I7438" s="16">
        <v>1.592</v>
      </c>
      <c r="J7438" s="11" t="s">
        <v>2241</v>
      </c>
      <c r="K7438" s="11" t="s">
        <v>83</v>
      </c>
      <c r="L7438" s="11" t="s">
        <v>41</v>
      </c>
      <c r="M7438" s="11" t="s">
        <v>66</v>
      </c>
      <c r="N7438" s="11" t="s">
        <v>67</v>
      </c>
      <c r="O7438" s="11" t="s">
        <v>502</v>
      </c>
      <c r="P7438" s="11" t="s">
        <v>99</v>
      </c>
      <c r="Q7438" s="20">
        <v>41106.0</v>
      </c>
      <c r="R7438" s="17">
        <f t="shared" si="2"/>
        <v>27.4033456</v>
      </c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>
        <f t="shared" si="8"/>
        <v>3</v>
      </c>
      <c r="AF7438" s="19" t="b">
        <f t="shared" si="13"/>
        <v>0</v>
      </c>
      <c r="AG7438" s="9"/>
      <c r="AH7438" s="9"/>
      <c r="AI7438" s="9"/>
    </row>
    <row r="7439" ht="15.0" customHeight="1">
      <c r="A7439" s="11">
        <v>7438.0</v>
      </c>
      <c r="B7439" s="12">
        <f t="shared" si="1187"/>
        <v>41104</v>
      </c>
      <c r="C7439" s="13">
        <v>2012.0</v>
      </c>
      <c r="D7439" s="11" t="s">
        <v>23</v>
      </c>
      <c r="E7439" s="11">
        <v>23.0</v>
      </c>
      <c r="F7439" s="14">
        <v>223.9</v>
      </c>
      <c r="G7439" s="15">
        <v>0.06629499656307662</v>
      </c>
      <c r="H7439" s="11" t="s">
        <v>33</v>
      </c>
      <c r="I7439" s="16">
        <v>12.008000000000001</v>
      </c>
      <c r="J7439" s="11" t="s">
        <v>1814</v>
      </c>
      <c r="K7439" s="11" t="s">
        <v>35</v>
      </c>
      <c r="L7439" s="11" t="s">
        <v>48</v>
      </c>
      <c r="M7439" s="11" t="s">
        <v>28</v>
      </c>
      <c r="N7439" s="11" t="s">
        <v>42</v>
      </c>
      <c r="O7439" s="11" t="s">
        <v>1988</v>
      </c>
      <c r="P7439" s="11" t="s">
        <v>38</v>
      </c>
      <c r="Q7439" s="20">
        <v>41106.0</v>
      </c>
      <c r="R7439" s="17">
        <f t="shared" si="2"/>
        <v>342.1954141</v>
      </c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>
        <f t="shared" si="8"/>
        <v>4</v>
      </c>
      <c r="AF7439" s="19">
        <f t="shared" si="13"/>
        <v>2</v>
      </c>
      <c r="AG7439" s="9"/>
      <c r="AH7439" s="9"/>
      <c r="AI7439" s="9"/>
    </row>
    <row r="7440" ht="15.0" customHeight="1">
      <c r="A7440" s="11">
        <v>7439.0</v>
      </c>
      <c r="B7440" s="12">
        <f t="shared" si="1187"/>
        <v>41104</v>
      </c>
      <c r="C7440" s="13">
        <v>2012.0</v>
      </c>
      <c r="D7440" s="11" t="s">
        <v>44</v>
      </c>
      <c r="E7440" s="11">
        <v>2.0</v>
      </c>
      <c r="F7440" s="14">
        <v>4.2</v>
      </c>
      <c r="G7440" s="15">
        <v>0.15146666666666656</v>
      </c>
      <c r="H7440" s="11" t="s">
        <v>33</v>
      </c>
      <c r="I7440" s="16">
        <v>4.328</v>
      </c>
      <c r="J7440" s="11" t="s">
        <v>2392</v>
      </c>
      <c r="K7440" s="11" t="s">
        <v>26</v>
      </c>
      <c r="L7440" s="11" t="s">
        <v>48</v>
      </c>
      <c r="M7440" s="11" t="s">
        <v>28</v>
      </c>
      <c r="N7440" s="11" t="s">
        <v>42</v>
      </c>
      <c r="O7440" s="11" t="s">
        <v>1475</v>
      </c>
      <c r="P7440" s="11" t="s">
        <v>38</v>
      </c>
      <c r="Q7440" s="20">
        <v>41107.0</v>
      </c>
      <c r="R7440" s="17">
        <f t="shared" si="2"/>
        <v>1.927867733</v>
      </c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>
        <f t="shared" si="8"/>
        <v>4</v>
      </c>
      <c r="AF7440" s="19">
        <f t="shared" si="13"/>
        <v>1</v>
      </c>
      <c r="AG7440" s="9"/>
      <c r="AH7440" s="9"/>
      <c r="AI7440" s="9"/>
    </row>
    <row r="7441" ht="15.0" customHeight="1">
      <c r="A7441" s="11">
        <v>7440.0</v>
      </c>
      <c r="B7441" s="12">
        <f t="shared" ref="B7441:B7444" si="1188">DATE(2012,12,31)-169</f>
        <v>41105</v>
      </c>
      <c r="C7441" s="13">
        <v>2012.0</v>
      </c>
      <c r="D7441" s="11" t="s">
        <v>23</v>
      </c>
      <c r="E7441" s="11">
        <v>31.0</v>
      </c>
      <c r="F7441" s="14">
        <v>6.4</v>
      </c>
      <c r="G7441" s="15">
        <v>0.01798165137614674</v>
      </c>
      <c r="H7441" s="11" t="s">
        <v>33</v>
      </c>
      <c r="I7441" s="16">
        <v>4.976</v>
      </c>
      <c r="J7441" s="11" t="s">
        <v>507</v>
      </c>
      <c r="K7441" s="11" t="s">
        <v>61</v>
      </c>
      <c r="L7441" s="11" t="s">
        <v>48</v>
      </c>
      <c r="M7441" s="11" t="s">
        <v>28</v>
      </c>
      <c r="N7441" s="11" t="s">
        <v>56</v>
      </c>
      <c r="O7441" s="11" t="s">
        <v>1216</v>
      </c>
      <c r="P7441" s="11" t="s">
        <v>38</v>
      </c>
      <c r="Q7441" s="20">
        <v>41107.0</v>
      </c>
      <c r="R7441" s="17">
        <f t="shared" si="2"/>
        <v>3.65703633</v>
      </c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>
        <f t="shared" si="8"/>
        <v>4</v>
      </c>
      <c r="AF7441" s="19">
        <f t="shared" si="13"/>
        <v>4</v>
      </c>
      <c r="AG7441" s="9"/>
      <c r="AH7441" s="9"/>
      <c r="AI7441" s="9"/>
    </row>
    <row r="7442" ht="15.0" customHeight="1">
      <c r="A7442" s="11">
        <v>7441.0</v>
      </c>
      <c r="B7442" s="12">
        <f t="shared" si="1188"/>
        <v>41105</v>
      </c>
      <c r="C7442" s="13">
        <v>2012.0</v>
      </c>
      <c r="D7442" s="11" t="s">
        <v>23</v>
      </c>
      <c r="E7442" s="11">
        <v>22.0</v>
      </c>
      <c r="F7442" s="14">
        <v>19.8</v>
      </c>
      <c r="G7442" s="15">
        <v>0.06021413276231264</v>
      </c>
      <c r="H7442" s="11" t="s">
        <v>33</v>
      </c>
      <c r="I7442" s="16">
        <v>3.28</v>
      </c>
      <c r="J7442" s="11" t="s">
        <v>507</v>
      </c>
      <c r="K7442" s="11" t="s">
        <v>61</v>
      </c>
      <c r="L7442" s="11" t="s">
        <v>48</v>
      </c>
      <c r="M7442" s="11" t="s">
        <v>28</v>
      </c>
      <c r="N7442" s="11" t="s">
        <v>62</v>
      </c>
      <c r="O7442" s="11" t="s">
        <v>1318</v>
      </c>
      <c r="P7442" s="11" t="s">
        <v>58</v>
      </c>
      <c r="Q7442" s="20">
        <v>41107.0</v>
      </c>
      <c r="R7442" s="17">
        <f t="shared" si="2"/>
        <v>26.42677859</v>
      </c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>
        <f t="shared" si="8"/>
        <v>4</v>
      </c>
      <c r="AF7442" s="19">
        <f t="shared" si="13"/>
        <v>4</v>
      </c>
      <c r="AG7442" s="9"/>
      <c r="AH7442" s="9"/>
      <c r="AI7442" s="9"/>
    </row>
    <row r="7443" ht="15.0" customHeight="1">
      <c r="A7443" s="11">
        <v>7442.0</v>
      </c>
      <c r="B7443" s="12">
        <f t="shared" si="1188"/>
        <v>41105</v>
      </c>
      <c r="C7443" s="13">
        <v>2012.0</v>
      </c>
      <c r="D7443" s="11" t="s">
        <v>32</v>
      </c>
      <c r="E7443" s="11">
        <v>50.0</v>
      </c>
      <c r="F7443" s="14">
        <v>3.2</v>
      </c>
      <c r="G7443" s="15">
        <v>0.04742755765819032</v>
      </c>
      <c r="H7443" s="11" t="s">
        <v>33</v>
      </c>
      <c r="I7443" s="16">
        <v>1.08</v>
      </c>
      <c r="J7443" s="11" t="s">
        <v>1415</v>
      </c>
      <c r="K7443" s="11" t="s">
        <v>65</v>
      </c>
      <c r="L7443" s="11" t="s">
        <v>36</v>
      </c>
      <c r="M7443" s="11" t="s">
        <v>28</v>
      </c>
      <c r="N7443" s="11" t="s">
        <v>216</v>
      </c>
      <c r="O7443" s="11" t="s">
        <v>217</v>
      </c>
      <c r="P7443" s="11" t="s">
        <v>58</v>
      </c>
      <c r="Q7443" s="20">
        <v>41107.0</v>
      </c>
      <c r="R7443" s="17">
        <f t="shared" si="2"/>
        <v>7.639630988</v>
      </c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>
        <f t="shared" si="8"/>
        <v>2</v>
      </c>
      <c r="AF7443" s="19">
        <f t="shared" si="13"/>
        <v>5</v>
      </c>
      <c r="AG7443" s="9"/>
      <c r="AH7443" s="9"/>
      <c r="AI7443" s="9"/>
    </row>
    <row r="7444" ht="15.0" customHeight="1">
      <c r="A7444" s="11">
        <v>7443.0</v>
      </c>
      <c r="B7444" s="12">
        <f t="shared" si="1188"/>
        <v>41105</v>
      </c>
      <c r="C7444" s="13">
        <v>2012.0</v>
      </c>
      <c r="D7444" s="11" t="s">
        <v>32</v>
      </c>
      <c r="E7444" s="11">
        <v>23.0</v>
      </c>
      <c r="F7444" s="14">
        <v>51.7</v>
      </c>
      <c r="G7444" s="15">
        <v>0.02374270900842514</v>
      </c>
      <c r="H7444" s="11" t="s">
        <v>33</v>
      </c>
      <c r="I7444" s="16">
        <v>15.991999999999999</v>
      </c>
      <c r="J7444" s="11" t="s">
        <v>1415</v>
      </c>
      <c r="K7444" s="11" t="s">
        <v>65</v>
      </c>
      <c r="L7444" s="11" t="s">
        <v>36</v>
      </c>
      <c r="M7444" s="11" t="s">
        <v>49</v>
      </c>
      <c r="N7444" s="11" t="s">
        <v>73</v>
      </c>
      <c r="O7444" s="11" t="s">
        <v>1487</v>
      </c>
      <c r="P7444" s="11" t="s">
        <v>38</v>
      </c>
      <c r="Q7444" s="20">
        <v>41107.0</v>
      </c>
      <c r="R7444" s="17">
        <f t="shared" si="2"/>
        <v>28.61214868</v>
      </c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>
        <f t="shared" si="8"/>
        <v>2</v>
      </c>
      <c r="AF7444" s="19">
        <f t="shared" si="13"/>
        <v>5</v>
      </c>
      <c r="AG7444" s="9"/>
      <c r="AH7444" s="9"/>
      <c r="AI7444" s="9"/>
    </row>
    <row r="7445" ht="15.0" customHeight="1">
      <c r="A7445" s="11">
        <v>7444.0</v>
      </c>
      <c r="B7445" s="12">
        <f t="shared" ref="B7445:B7455" si="1189">DATE(2012,12,31)-168</f>
        <v>41106</v>
      </c>
      <c r="C7445" s="13">
        <v>2012.0</v>
      </c>
      <c r="D7445" s="11" t="s">
        <v>102</v>
      </c>
      <c r="E7445" s="11">
        <v>50.0</v>
      </c>
      <c r="F7445" s="14">
        <v>27.1</v>
      </c>
      <c r="G7445" s="15">
        <v>0.023604159196844703</v>
      </c>
      <c r="H7445" s="11" t="s">
        <v>33</v>
      </c>
      <c r="I7445" s="16">
        <v>6.5840000000000005</v>
      </c>
      <c r="J7445" s="11" t="s">
        <v>942</v>
      </c>
      <c r="K7445" s="11" t="s">
        <v>61</v>
      </c>
      <c r="L7445" s="11" t="s">
        <v>48</v>
      </c>
      <c r="M7445" s="11" t="s">
        <v>28</v>
      </c>
      <c r="N7445" s="11" t="s">
        <v>236</v>
      </c>
      <c r="O7445" s="11" t="s">
        <v>1376</v>
      </c>
      <c r="P7445" s="11" t="s">
        <v>38</v>
      </c>
      <c r="Q7445" s="20">
        <v>41107.0</v>
      </c>
      <c r="R7445" s="17">
        <f t="shared" si="2"/>
        <v>32.1390455</v>
      </c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>
        <f t="shared" si="8"/>
        <v>4</v>
      </c>
      <c r="AF7445" s="19">
        <f t="shared" si="13"/>
        <v>4</v>
      </c>
      <c r="AG7445" s="9"/>
      <c r="AH7445" s="9"/>
      <c r="AI7445" s="9"/>
    </row>
    <row r="7446" ht="15.0" customHeight="1">
      <c r="A7446" s="11">
        <v>7445.0</v>
      </c>
      <c r="B7446" s="12">
        <f t="shared" si="1189"/>
        <v>41106</v>
      </c>
      <c r="C7446" s="13">
        <v>2012.0</v>
      </c>
      <c r="D7446" s="11" t="s">
        <v>44</v>
      </c>
      <c r="E7446" s="11">
        <v>16.0</v>
      </c>
      <c r="F7446" s="14">
        <v>599.9</v>
      </c>
      <c r="G7446" s="15">
        <v>0.060655424290597726</v>
      </c>
      <c r="H7446" s="11" t="s">
        <v>33</v>
      </c>
      <c r="I7446" s="16">
        <v>19.592</v>
      </c>
      <c r="J7446" s="11" t="s">
        <v>167</v>
      </c>
      <c r="K7446" s="11" t="s">
        <v>26</v>
      </c>
      <c r="L7446" s="11" t="s">
        <v>27</v>
      </c>
      <c r="M7446" s="11" t="s">
        <v>66</v>
      </c>
      <c r="N7446" s="11" t="s">
        <v>170</v>
      </c>
      <c r="O7446" s="11" t="s">
        <v>2110</v>
      </c>
      <c r="P7446" s="11" t="s">
        <v>31</v>
      </c>
      <c r="Q7446" s="20">
        <v>41107.0</v>
      </c>
      <c r="R7446" s="17">
        <f t="shared" si="2"/>
        <v>583.3833856</v>
      </c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>
        <f t="shared" si="8"/>
        <v>1</v>
      </c>
      <c r="AF7446" s="19">
        <f t="shared" si="13"/>
        <v>1</v>
      </c>
      <c r="AG7446" s="9"/>
      <c r="AH7446" s="9"/>
      <c r="AI7446" s="9"/>
    </row>
    <row r="7447" ht="15.0" customHeight="1">
      <c r="A7447" s="11">
        <v>7446.0</v>
      </c>
      <c r="B7447" s="12">
        <f t="shared" si="1189"/>
        <v>41106</v>
      </c>
      <c r="C7447" s="13">
        <v>2012.0</v>
      </c>
      <c r="D7447" s="11" t="s">
        <v>44</v>
      </c>
      <c r="E7447" s="11">
        <v>36.0</v>
      </c>
      <c r="F7447" s="14">
        <v>6.4</v>
      </c>
      <c r="G7447" s="15">
        <v>0.02691990090834014</v>
      </c>
      <c r="H7447" s="11" t="s">
        <v>33</v>
      </c>
      <c r="I7447" s="16">
        <v>5.28</v>
      </c>
      <c r="J7447" s="11" t="s">
        <v>167</v>
      </c>
      <c r="K7447" s="11" t="s">
        <v>26</v>
      </c>
      <c r="L7447" s="11" t="s">
        <v>27</v>
      </c>
      <c r="M7447" s="11" t="s">
        <v>28</v>
      </c>
      <c r="N7447" s="11" t="s">
        <v>56</v>
      </c>
      <c r="O7447" s="11" t="s">
        <v>543</v>
      </c>
      <c r="P7447" s="11" t="s">
        <v>38</v>
      </c>
      <c r="Q7447" s="20">
        <v>41107.0</v>
      </c>
      <c r="R7447" s="17">
        <f t="shared" si="2"/>
        <v>6.344482246</v>
      </c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>
        <f t="shared" si="8"/>
        <v>1</v>
      </c>
      <c r="AF7447" s="19">
        <f t="shared" si="13"/>
        <v>1</v>
      </c>
      <c r="AG7447" s="9"/>
      <c r="AH7447" s="9"/>
      <c r="AI7447" s="9"/>
    </row>
    <row r="7448" ht="15.0" customHeight="1">
      <c r="A7448" s="11">
        <v>7447.0</v>
      </c>
      <c r="B7448" s="12">
        <f t="shared" si="1189"/>
        <v>41106</v>
      </c>
      <c r="C7448" s="13">
        <v>2012.0</v>
      </c>
      <c r="D7448" s="11" t="s">
        <v>44</v>
      </c>
      <c r="E7448" s="11">
        <v>39.0</v>
      </c>
      <c r="F7448" s="14">
        <v>19.8</v>
      </c>
      <c r="G7448" s="15">
        <v>0.012881873727087581</v>
      </c>
      <c r="H7448" s="11" t="s">
        <v>33</v>
      </c>
      <c r="I7448" s="16">
        <v>3.28</v>
      </c>
      <c r="J7448" s="11" t="s">
        <v>167</v>
      </c>
      <c r="K7448" s="11" t="s">
        <v>26</v>
      </c>
      <c r="L7448" s="11" t="s">
        <v>27</v>
      </c>
      <c r="M7448" s="11" t="s">
        <v>28</v>
      </c>
      <c r="N7448" s="11" t="s">
        <v>62</v>
      </c>
      <c r="O7448" s="11" t="s">
        <v>1318</v>
      </c>
      <c r="P7448" s="11" t="s">
        <v>58</v>
      </c>
      <c r="Q7448" s="20">
        <v>41108.0</v>
      </c>
      <c r="R7448" s="17">
        <f t="shared" si="2"/>
        <v>9.989635438</v>
      </c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>
        <f t="shared" si="8"/>
        <v>1</v>
      </c>
      <c r="AF7448" s="19">
        <f t="shared" si="13"/>
        <v>1</v>
      </c>
      <c r="AG7448" s="9"/>
      <c r="AH7448" s="9"/>
      <c r="AI7448" s="9"/>
    </row>
    <row r="7449" ht="15.0" customHeight="1">
      <c r="A7449" s="11">
        <v>7448.0</v>
      </c>
      <c r="B7449" s="12">
        <f t="shared" si="1189"/>
        <v>41106</v>
      </c>
      <c r="C7449" s="13">
        <v>2012.0</v>
      </c>
      <c r="D7449" s="11" t="s">
        <v>44</v>
      </c>
      <c r="E7449" s="11">
        <v>46.0</v>
      </c>
      <c r="F7449" s="14">
        <v>45.9</v>
      </c>
      <c r="G7449" s="15">
        <v>0.09307952840300095</v>
      </c>
      <c r="H7449" s="11" t="s">
        <v>33</v>
      </c>
      <c r="I7449" s="16">
        <v>3.9920000000000004</v>
      </c>
      <c r="J7449" s="11" t="s">
        <v>2329</v>
      </c>
      <c r="K7449" s="11" t="s">
        <v>35</v>
      </c>
      <c r="L7449" s="11" t="s">
        <v>27</v>
      </c>
      <c r="M7449" s="11" t="s">
        <v>66</v>
      </c>
      <c r="N7449" s="11" t="s">
        <v>80</v>
      </c>
      <c r="O7449" s="11" t="s">
        <v>1060</v>
      </c>
      <c r="P7449" s="11" t="s">
        <v>38</v>
      </c>
      <c r="Q7449" s="20">
        <v>41108.0</v>
      </c>
      <c r="R7449" s="17">
        <f t="shared" si="2"/>
        <v>196.8996897</v>
      </c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>
        <f t="shared" si="8"/>
        <v>1</v>
      </c>
      <c r="AF7449" s="19">
        <f t="shared" si="13"/>
        <v>2</v>
      </c>
      <c r="AG7449" s="9"/>
      <c r="AH7449" s="9"/>
      <c r="AI7449" s="9"/>
    </row>
    <row r="7450" ht="15.0" customHeight="1">
      <c r="A7450" s="11">
        <v>7449.0</v>
      </c>
      <c r="B7450" s="12">
        <f t="shared" si="1189"/>
        <v>41106</v>
      </c>
      <c r="C7450" s="13">
        <v>2012.0</v>
      </c>
      <c r="D7450" s="11" t="s">
        <v>102</v>
      </c>
      <c r="E7450" s="11">
        <v>23.0</v>
      </c>
      <c r="F7450" s="14">
        <v>2.7</v>
      </c>
      <c r="G7450" s="15">
        <v>0.041396054628224606</v>
      </c>
      <c r="H7450" s="11" t="s">
        <v>33</v>
      </c>
      <c r="I7450" s="16">
        <v>1.072</v>
      </c>
      <c r="J7450" s="11" t="s">
        <v>803</v>
      </c>
      <c r="K7450" s="11" t="s">
        <v>61</v>
      </c>
      <c r="L7450" s="11" t="s">
        <v>36</v>
      </c>
      <c r="M7450" s="11" t="s">
        <v>28</v>
      </c>
      <c r="N7450" s="11" t="s">
        <v>62</v>
      </c>
      <c r="O7450" s="11" t="s">
        <v>1514</v>
      </c>
      <c r="P7450" s="11" t="s">
        <v>58</v>
      </c>
      <c r="Q7450" s="20">
        <v>41108.0</v>
      </c>
      <c r="R7450" s="17">
        <f t="shared" si="2"/>
        <v>2.615071563</v>
      </c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>
        <f t="shared" si="8"/>
        <v>2</v>
      </c>
      <c r="AF7450" s="19">
        <f t="shared" si="13"/>
        <v>4</v>
      </c>
      <c r="AG7450" s="9"/>
      <c r="AH7450" s="9"/>
      <c r="AI7450" s="9"/>
    </row>
    <row r="7451" ht="15.0" customHeight="1">
      <c r="A7451" s="11">
        <v>7450.0</v>
      </c>
      <c r="B7451" s="12">
        <f t="shared" si="1189"/>
        <v>41106</v>
      </c>
      <c r="C7451" s="13">
        <v>2012.0</v>
      </c>
      <c r="D7451" s="11" t="s">
        <v>102</v>
      </c>
      <c r="E7451" s="11">
        <v>4.0</v>
      </c>
      <c r="F7451" s="14">
        <v>15.4</v>
      </c>
      <c r="G7451" s="15">
        <v>0.0854758800521512</v>
      </c>
      <c r="H7451" s="11" t="s">
        <v>33</v>
      </c>
      <c r="I7451" s="16">
        <v>8.544</v>
      </c>
      <c r="J7451" s="11" t="s">
        <v>803</v>
      </c>
      <c r="K7451" s="11" t="s">
        <v>61</v>
      </c>
      <c r="L7451" s="11" t="s">
        <v>36</v>
      </c>
      <c r="M7451" s="11" t="s">
        <v>28</v>
      </c>
      <c r="N7451" s="11" t="s">
        <v>29</v>
      </c>
      <c r="O7451" s="11" t="s">
        <v>1180</v>
      </c>
      <c r="P7451" s="11" t="s">
        <v>38</v>
      </c>
      <c r="Q7451" s="20">
        <v>41108.0</v>
      </c>
      <c r="R7451" s="17">
        <f t="shared" si="2"/>
        <v>5.99562013</v>
      </c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>
        <f t="shared" si="8"/>
        <v>2</v>
      </c>
      <c r="AF7451" s="19">
        <f t="shared" si="13"/>
        <v>4</v>
      </c>
      <c r="AG7451" s="9"/>
      <c r="AH7451" s="9"/>
      <c r="AI7451" s="9"/>
    </row>
    <row r="7452" ht="15.0" customHeight="1">
      <c r="A7452" s="11">
        <v>7451.0</v>
      </c>
      <c r="B7452" s="12">
        <f t="shared" si="1189"/>
        <v>41106</v>
      </c>
      <c r="C7452" s="13">
        <v>2012.0</v>
      </c>
      <c r="D7452" s="11" t="s">
        <v>23</v>
      </c>
      <c r="E7452" s="11">
        <v>17.0</v>
      </c>
      <c r="F7452" s="14">
        <v>209.3</v>
      </c>
      <c r="G7452" s="15">
        <v>0.02364353653264159</v>
      </c>
      <c r="H7452" s="11" t="s">
        <v>33</v>
      </c>
      <c r="I7452" s="16">
        <v>55.2</v>
      </c>
      <c r="J7452" s="11" t="s">
        <v>793</v>
      </c>
      <c r="K7452" s="11" t="s">
        <v>65</v>
      </c>
      <c r="L7452" s="11" t="s">
        <v>27</v>
      </c>
      <c r="M7452" s="11" t="s">
        <v>49</v>
      </c>
      <c r="N7452" s="11" t="s">
        <v>85</v>
      </c>
      <c r="O7452" s="11" t="s">
        <v>1727</v>
      </c>
      <c r="P7452" s="11" t="s">
        <v>31</v>
      </c>
      <c r="Q7452" s="20">
        <v>41109.0</v>
      </c>
      <c r="R7452" s="17">
        <f t="shared" si="2"/>
        <v>85.43119055</v>
      </c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>
        <f t="shared" si="8"/>
        <v>1</v>
      </c>
      <c r="AF7452" s="19">
        <f t="shared" si="13"/>
        <v>5</v>
      </c>
      <c r="AG7452" s="9"/>
      <c r="AH7452" s="9"/>
      <c r="AI7452" s="9"/>
    </row>
    <row r="7453" ht="15.0" customHeight="1">
      <c r="A7453" s="11">
        <v>7452.0</v>
      </c>
      <c r="B7453" s="12">
        <f t="shared" si="1189"/>
        <v>41106</v>
      </c>
      <c r="C7453" s="13">
        <v>2012.0</v>
      </c>
      <c r="D7453" s="11" t="s">
        <v>44</v>
      </c>
      <c r="E7453" s="11">
        <v>30.0</v>
      </c>
      <c r="F7453" s="14">
        <v>306.1</v>
      </c>
      <c r="G7453" s="15">
        <v>0.08320809594007732</v>
      </c>
      <c r="H7453" s="11" t="s">
        <v>45</v>
      </c>
      <c r="I7453" s="16">
        <v>21.224000000000004</v>
      </c>
      <c r="J7453" s="11" t="s">
        <v>1277</v>
      </c>
      <c r="K7453" s="11" t="s">
        <v>65</v>
      </c>
      <c r="L7453" s="11" t="s">
        <v>41</v>
      </c>
      <c r="M7453" s="11" t="s">
        <v>66</v>
      </c>
      <c r="N7453" s="11" t="s">
        <v>69</v>
      </c>
      <c r="O7453" s="11" t="s">
        <v>303</v>
      </c>
      <c r="P7453" s="11" t="s">
        <v>52</v>
      </c>
      <c r="Q7453" s="20">
        <v>41109.0</v>
      </c>
      <c r="R7453" s="17">
        <f t="shared" si="2"/>
        <v>765.8659536</v>
      </c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>
        <f t="shared" si="8"/>
        <v>3</v>
      </c>
      <c r="AF7453" s="19">
        <f t="shared" si="13"/>
        <v>5</v>
      </c>
      <c r="AG7453" s="9"/>
      <c r="AH7453" s="9"/>
      <c r="AI7453" s="9"/>
    </row>
    <row r="7454" ht="15.0" customHeight="1">
      <c r="A7454" s="11">
        <v>7453.0</v>
      </c>
      <c r="B7454" s="12">
        <f t="shared" si="1189"/>
        <v>41106</v>
      </c>
      <c r="C7454" s="13">
        <v>2012.0</v>
      </c>
      <c r="D7454" s="11" t="s">
        <v>44</v>
      </c>
      <c r="E7454" s="11">
        <v>26.0</v>
      </c>
      <c r="F7454" s="14">
        <v>4.9</v>
      </c>
      <c r="G7454" s="15">
        <v>0.06992237120677479</v>
      </c>
      <c r="H7454" s="11" t="s">
        <v>33</v>
      </c>
      <c r="I7454" s="16">
        <v>4.392</v>
      </c>
      <c r="J7454" s="11" t="s">
        <v>1277</v>
      </c>
      <c r="K7454" s="11" t="s">
        <v>65</v>
      </c>
      <c r="L7454" s="11" t="s">
        <v>41</v>
      </c>
      <c r="M7454" s="11" t="s">
        <v>28</v>
      </c>
      <c r="N7454" s="11" t="s">
        <v>56</v>
      </c>
      <c r="O7454" s="11" t="s">
        <v>1297</v>
      </c>
      <c r="P7454" s="11" t="s">
        <v>38</v>
      </c>
      <c r="Q7454" s="20">
        <v>41109.0</v>
      </c>
      <c r="R7454" s="17">
        <f t="shared" si="2"/>
        <v>9.215209146</v>
      </c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>
        <f t="shared" si="8"/>
        <v>3</v>
      </c>
      <c r="AF7454" s="19">
        <f t="shared" si="13"/>
        <v>5</v>
      </c>
      <c r="AG7454" s="9"/>
      <c r="AH7454" s="9"/>
      <c r="AI7454" s="9"/>
    </row>
    <row r="7455" ht="15.0" customHeight="1">
      <c r="A7455" s="11">
        <v>7454.0</v>
      </c>
      <c r="B7455" s="12">
        <f t="shared" si="1189"/>
        <v>41106</v>
      </c>
      <c r="C7455" s="13">
        <v>2012.0</v>
      </c>
      <c r="D7455" s="11" t="s">
        <v>23</v>
      </c>
      <c r="E7455" s="11">
        <v>34.0</v>
      </c>
      <c r="F7455" s="14">
        <v>2.6</v>
      </c>
      <c r="G7455" s="15">
        <v>0.027816704035874332</v>
      </c>
      <c r="H7455" s="11" t="s">
        <v>33</v>
      </c>
      <c r="I7455" s="16">
        <v>0.4</v>
      </c>
      <c r="J7455" s="11" t="s">
        <v>1982</v>
      </c>
      <c r="K7455" s="11" t="s">
        <v>65</v>
      </c>
      <c r="L7455" s="11" t="s">
        <v>36</v>
      </c>
      <c r="M7455" s="11" t="s">
        <v>28</v>
      </c>
      <c r="N7455" s="11" t="s">
        <v>188</v>
      </c>
      <c r="O7455" s="11" t="s">
        <v>918</v>
      </c>
      <c r="P7455" s="11" t="s">
        <v>38</v>
      </c>
      <c r="Q7455" s="20">
        <v>41109.0</v>
      </c>
      <c r="R7455" s="17">
        <f t="shared" si="2"/>
        <v>2.470123318</v>
      </c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>
        <f t="shared" si="8"/>
        <v>2</v>
      </c>
      <c r="AF7455" s="19">
        <f t="shared" si="13"/>
        <v>5</v>
      </c>
      <c r="AG7455" s="9"/>
      <c r="AH7455" s="9"/>
      <c r="AI7455" s="9"/>
    </row>
    <row r="7456" ht="15.0" customHeight="1">
      <c r="A7456" s="11">
        <v>7455.0</v>
      </c>
      <c r="B7456" s="12">
        <f t="shared" ref="B7456:B7461" si="1190">DATE(2012,12,31)-167</f>
        <v>41107</v>
      </c>
      <c r="C7456" s="13">
        <v>2012.0</v>
      </c>
      <c r="D7456" s="11" t="s">
        <v>23</v>
      </c>
      <c r="E7456" s="11">
        <v>5.0</v>
      </c>
      <c r="F7456" s="14">
        <v>40.9</v>
      </c>
      <c r="G7456" s="15">
        <v>0.09410109890109884</v>
      </c>
      <c r="H7456" s="11" t="s">
        <v>33</v>
      </c>
      <c r="I7456" s="16">
        <v>1.592</v>
      </c>
      <c r="J7456" s="11" t="s">
        <v>235</v>
      </c>
      <c r="K7456" s="11" t="s">
        <v>61</v>
      </c>
      <c r="L7456" s="11" t="s">
        <v>48</v>
      </c>
      <c r="M7456" s="11" t="s">
        <v>66</v>
      </c>
      <c r="N7456" s="11" t="s">
        <v>67</v>
      </c>
      <c r="O7456" s="11" t="s">
        <v>2453</v>
      </c>
      <c r="P7456" s="11" t="s">
        <v>99</v>
      </c>
      <c r="Q7456" s="20">
        <v>41109.0</v>
      </c>
      <c r="R7456" s="17">
        <f t="shared" si="2"/>
        <v>19.39348367</v>
      </c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>
        <f t="shared" si="8"/>
        <v>4</v>
      </c>
      <c r="AF7456" s="19">
        <f t="shared" si="13"/>
        <v>4</v>
      </c>
      <c r="AG7456" s="9"/>
      <c r="AH7456" s="9"/>
      <c r="AI7456" s="9"/>
    </row>
    <row r="7457" ht="15.0" customHeight="1">
      <c r="A7457" s="11">
        <v>7456.0</v>
      </c>
      <c r="B7457" s="12">
        <f t="shared" si="1190"/>
        <v>41107</v>
      </c>
      <c r="C7457" s="13">
        <v>2012.0</v>
      </c>
      <c r="D7457" s="11" t="s">
        <v>32</v>
      </c>
      <c r="E7457" s="11">
        <v>44.0</v>
      </c>
      <c r="F7457" s="14">
        <v>2.9</v>
      </c>
      <c r="G7457" s="15">
        <v>0.07864845434938891</v>
      </c>
      <c r="H7457" s="11" t="s">
        <v>33</v>
      </c>
      <c r="I7457" s="16">
        <v>0.5599999999999999</v>
      </c>
      <c r="J7457" s="11" t="s">
        <v>2127</v>
      </c>
      <c r="K7457" s="11" t="s">
        <v>35</v>
      </c>
      <c r="L7457" s="11" t="s">
        <v>48</v>
      </c>
      <c r="M7457" s="11" t="s">
        <v>28</v>
      </c>
      <c r="N7457" s="11" t="s">
        <v>62</v>
      </c>
      <c r="O7457" s="11" t="s">
        <v>480</v>
      </c>
      <c r="P7457" s="11" t="s">
        <v>58</v>
      </c>
      <c r="Q7457" s="20">
        <v>41109.0</v>
      </c>
      <c r="R7457" s="17">
        <f t="shared" si="2"/>
        <v>10.07958591</v>
      </c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>
        <f t="shared" si="8"/>
        <v>4</v>
      </c>
      <c r="AF7457" s="19">
        <f t="shared" si="13"/>
        <v>2</v>
      </c>
      <c r="AG7457" s="9"/>
      <c r="AH7457" s="9"/>
      <c r="AI7457" s="9"/>
    </row>
    <row r="7458" ht="15.0" customHeight="1">
      <c r="A7458" s="11">
        <v>7457.0</v>
      </c>
      <c r="B7458" s="12">
        <f t="shared" si="1190"/>
        <v>41107</v>
      </c>
      <c r="C7458" s="13">
        <v>2012.0</v>
      </c>
      <c r="D7458" s="11" t="s">
        <v>39</v>
      </c>
      <c r="E7458" s="11">
        <v>21.0</v>
      </c>
      <c r="F7458" s="14">
        <v>10.0</v>
      </c>
      <c r="G7458" s="15">
        <v>0.07642077695329542</v>
      </c>
      <c r="H7458" s="11" t="s">
        <v>24</v>
      </c>
      <c r="I7458" s="16">
        <v>1.592</v>
      </c>
      <c r="J7458" s="11" t="s">
        <v>2116</v>
      </c>
      <c r="K7458" s="11" t="s">
        <v>65</v>
      </c>
      <c r="L7458" s="11" t="s">
        <v>48</v>
      </c>
      <c r="M7458" s="11" t="s">
        <v>66</v>
      </c>
      <c r="N7458" s="11" t="s">
        <v>67</v>
      </c>
      <c r="O7458" s="11" t="s">
        <v>1598</v>
      </c>
      <c r="P7458" s="11" t="s">
        <v>99</v>
      </c>
      <c r="Q7458" s="20">
        <v>41110.0</v>
      </c>
      <c r="R7458" s="17">
        <f t="shared" si="2"/>
        <v>16.17002504</v>
      </c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>
        <f t="shared" si="8"/>
        <v>4</v>
      </c>
      <c r="AF7458" s="19">
        <f t="shared" si="13"/>
        <v>5</v>
      </c>
      <c r="AG7458" s="9"/>
      <c r="AH7458" s="9"/>
      <c r="AI7458" s="9"/>
    </row>
    <row r="7459" ht="15.0" customHeight="1">
      <c r="A7459" s="11">
        <v>7458.0</v>
      </c>
      <c r="B7459" s="12">
        <f t="shared" si="1190"/>
        <v>41107</v>
      </c>
      <c r="C7459" s="13">
        <v>2012.0</v>
      </c>
      <c r="D7459" s="11" t="s">
        <v>39</v>
      </c>
      <c r="E7459" s="11">
        <v>47.0</v>
      </c>
      <c r="F7459" s="14">
        <v>16.7</v>
      </c>
      <c r="G7459" s="15">
        <v>0.026935266165698416</v>
      </c>
      <c r="H7459" s="11" t="s">
        <v>33</v>
      </c>
      <c r="I7459" s="16">
        <v>4.064</v>
      </c>
      <c r="J7459" s="11" t="s">
        <v>2116</v>
      </c>
      <c r="K7459" s="11" t="s">
        <v>65</v>
      </c>
      <c r="L7459" s="11" t="s">
        <v>48</v>
      </c>
      <c r="M7459" s="11" t="s">
        <v>28</v>
      </c>
      <c r="N7459" s="11" t="s">
        <v>42</v>
      </c>
      <c r="O7459" s="11" t="s">
        <v>2503</v>
      </c>
      <c r="P7459" s="11" t="s">
        <v>38</v>
      </c>
      <c r="Q7459" s="20">
        <v>41110.0</v>
      </c>
      <c r="R7459" s="17">
        <f t="shared" si="2"/>
        <v>21.25095534</v>
      </c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>
        <f t="shared" si="8"/>
        <v>4</v>
      </c>
      <c r="AF7459" s="19">
        <f t="shared" si="13"/>
        <v>5</v>
      </c>
      <c r="AG7459" s="9"/>
      <c r="AH7459" s="9"/>
      <c r="AI7459" s="9"/>
    </row>
    <row r="7460" ht="15.0" customHeight="1">
      <c r="A7460" s="11">
        <v>7459.0</v>
      </c>
      <c r="B7460" s="12">
        <f t="shared" si="1190"/>
        <v>41107</v>
      </c>
      <c r="C7460" s="13">
        <v>2012.0</v>
      </c>
      <c r="D7460" s="11" t="s">
        <v>39</v>
      </c>
      <c r="E7460" s="11">
        <v>11.0</v>
      </c>
      <c r="F7460" s="14">
        <v>59.7</v>
      </c>
      <c r="G7460" s="15">
        <v>0.027631542003593794</v>
      </c>
      <c r="H7460" s="11" t="s">
        <v>33</v>
      </c>
      <c r="I7460" s="16">
        <v>8.232</v>
      </c>
      <c r="J7460" s="11" t="s">
        <v>2116</v>
      </c>
      <c r="K7460" s="11" t="s">
        <v>65</v>
      </c>
      <c r="L7460" s="11" t="s">
        <v>48</v>
      </c>
      <c r="M7460" s="11" t="s">
        <v>28</v>
      </c>
      <c r="N7460" s="11" t="s">
        <v>42</v>
      </c>
      <c r="O7460" s="11" t="s">
        <v>1991</v>
      </c>
      <c r="P7460" s="11" t="s">
        <v>38</v>
      </c>
      <c r="Q7460" s="20">
        <v>41110.0</v>
      </c>
      <c r="R7460" s="17">
        <f t="shared" si="2"/>
        <v>18.37309649</v>
      </c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>
        <f t="shared" si="8"/>
        <v>4</v>
      </c>
      <c r="AF7460" s="19">
        <f t="shared" si="13"/>
        <v>5</v>
      </c>
      <c r="AG7460" s="9"/>
      <c r="AH7460" s="9"/>
      <c r="AI7460" s="9"/>
    </row>
    <row r="7461" ht="15.0" customHeight="1">
      <c r="A7461" s="11">
        <v>7460.0</v>
      </c>
      <c r="B7461" s="12">
        <f t="shared" si="1190"/>
        <v>41107</v>
      </c>
      <c r="C7461" s="13">
        <v>2012.0</v>
      </c>
      <c r="D7461" s="11" t="s">
        <v>39</v>
      </c>
      <c r="E7461" s="11">
        <v>47.0</v>
      </c>
      <c r="F7461" s="14">
        <v>11.6</v>
      </c>
      <c r="G7461" s="15">
        <v>0.03674467341949018</v>
      </c>
      <c r="H7461" s="11" t="s">
        <v>24</v>
      </c>
      <c r="I7461" s="16">
        <v>6.36</v>
      </c>
      <c r="J7461" s="11" t="s">
        <v>320</v>
      </c>
      <c r="K7461" s="11" t="s">
        <v>65</v>
      </c>
      <c r="L7461" s="11" t="s">
        <v>41</v>
      </c>
      <c r="M7461" s="11" t="s">
        <v>28</v>
      </c>
      <c r="N7461" s="11" t="s">
        <v>62</v>
      </c>
      <c r="O7461" s="11" t="s">
        <v>1924</v>
      </c>
      <c r="P7461" s="11" t="s">
        <v>99</v>
      </c>
      <c r="Q7461" s="20">
        <v>41110.0</v>
      </c>
      <c r="R7461" s="17">
        <f t="shared" si="2"/>
        <v>20.26689207</v>
      </c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>
        <f t="shared" si="8"/>
        <v>3</v>
      </c>
      <c r="AF7461" s="19">
        <f t="shared" si="13"/>
        <v>5</v>
      </c>
      <c r="AG7461" s="9"/>
      <c r="AH7461" s="9"/>
      <c r="AI7461" s="9"/>
    </row>
    <row r="7462" ht="15.0" customHeight="1">
      <c r="A7462" s="11">
        <v>7461.0</v>
      </c>
      <c r="B7462" s="12">
        <f t="shared" ref="B7462:B7463" si="1191">DATE(2012,12,31)-166</f>
        <v>41108</v>
      </c>
      <c r="C7462" s="13">
        <v>2012.0</v>
      </c>
      <c r="D7462" s="11" t="s">
        <v>39</v>
      </c>
      <c r="E7462" s="11">
        <v>42.0</v>
      </c>
      <c r="F7462" s="14">
        <v>31.7</v>
      </c>
      <c r="G7462" s="15">
        <v>0.008403653762505672</v>
      </c>
      <c r="H7462" s="11" t="s">
        <v>45</v>
      </c>
      <c r="I7462" s="16">
        <v>36.408</v>
      </c>
      <c r="J7462" s="11" t="s">
        <v>1578</v>
      </c>
      <c r="K7462" s="11" t="s">
        <v>26</v>
      </c>
      <c r="L7462" s="11" t="s">
        <v>48</v>
      </c>
      <c r="M7462" s="11" t="s">
        <v>49</v>
      </c>
      <c r="N7462" s="11" t="s">
        <v>85</v>
      </c>
      <c r="O7462" s="11" t="s">
        <v>399</v>
      </c>
      <c r="P7462" s="11" t="s">
        <v>87</v>
      </c>
      <c r="Q7462" s="20">
        <v>41110.0</v>
      </c>
      <c r="R7462" s="17">
        <f t="shared" si="2"/>
        <v>11.49458485</v>
      </c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>
        <f t="shared" si="8"/>
        <v>4</v>
      </c>
      <c r="AF7462" s="19">
        <f t="shared" si="13"/>
        <v>1</v>
      </c>
      <c r="AG7462" s="9"/>
      <c r="AH7462" s="9"/>
      <c r="AI7462" s="9"/>
    </row>
    <row r="7463" ht="15.0" customHeight="1">
      <c r="A7463" s="11">
        <v>7462.0</v>
      </c>
      <c r="B7463" s="12">
        <f t="shared" si="1191"/>
        <v>41108</v>
      </c>
      <c r="C7463" s="13">
        <v>2012.0</v>
      </c>
      <c r="D7463" s="11" t="s">
        <v>23</v>
      </c>
      <c r="E7463" s="11">
        <v>33.0</v>
      </c>
      <c r="F7463" s="14">
        <v>3.1</v>
      </c>
      <c r="G7463" s="15">
        <v>0.08835820895522394</v>
      </c>
      <c r="H7463" s="11" t="s">
        <v>33</v>
      </c>
      <c r="I7463" s="16">
        <v>1.536</v>
      </c>
      <c r="J7463" s="11" t="s">
        <v>1130</v>
      </c>
      <c r="K7463" s="11" t="s">
        <v>61</v>
      </c>
      <c r="L7463" s="11" t="s">
        <v>36</v>
      </c>
      <c r="M7463" s="11" t="s">
        <v>28</v>
      </c>
      <c r="N7463" s="11" t="s">
        <v>442</v>
      </c>
      <c r="O7463" s="11" t="s">
        <v>1776</v>
      </c>
      <c r="P7463" s="11" t="s">
        <v>58</v>
      </c>
      <c r="Q7463" s="20">
        <v>41110.0</v>
      </c>
      <c r="R7463" s="17">
        <f t="shared" si="2"/>
        <v>9.174762985</v>
      </c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>
        <f t="shared" si="8"/>
        <v>2</v>
      </c>
      <c r="AF7463" s="19">
        <f t="shared" si="13"/>
        <v>4</v>
      </c>
      <c r="AG7463" s="9"/>
      <c r="AH7463" s="9"/>
      <c r="AI7463" s="9"/>
    </row>
    <row r="7464" ht="15.0" customHeight="1">
      <c r="A7464" s="11">
        <v>7463.0</v>
      </c>
      <c r="B7464" s="12">
        <f t="shared" ref="B7464:B7469" si="1192">DATE(2012,12,31)-165</f>
        <v>41109</v>
      </c>
      <c r="C7464" s="13">
        <v>2012.0</v>
      </c>
      <c r="D7464" s="11" t="s">
        <v>32</v>
      </c>
      <c r="E7464" s="11">
        <v>17.0</v>
      </c>
      <c r="F7464" s="14">
        <v>40.4</v>
      </c>
      <c r="G7464" s="15">
        <v>0.0636930455635493</v>
      </c>
      <c r="H7464" s="11" t="s">
        <v>33</v>
      </c>
      <c r="I7464" s="16">
        <v>15.991999999999999</v>
      </c>
      <c r="J7464" s="11" t="s">
        <v>1831</v>
      </c>
      <c r="K7464" s="11" t="s">
        <v>61</v>
      </c>
      <c r="L7464" s="11" t="s">
        <v>27</v>
      </c>
      <c r="M7464" s="11" t="s">
        <v>66</v>
      </c>
      <c r="N7464" s="11" t="s">
        <v>67</v>
      </c>
      <c r="O7464" s="11" t="s">
        <v>1079</v>
      </c>
      <c r="P7464" s="11" t="s">
        <v>38</v>
      </c>
      <c r="Q7464" s="20">
        <v>41111.0</v>
      </c>
      <c r="R7464" s="17">
        <f t="shared" si="2"/>
        <v>44.76296288</v>
      </c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>
        <f t="shared" si="8"/>
        <v>1</v>
      </c>
      <c r="AF7464" s="19">
        <f t="shared" si="13"/>
        <v>4</v>
      </c>
      <c r="AG7464" s="9"/>
      <c r="AH7464" s="9"/>
      <c r="AI7464" s="9"/>
    </row>
    <row r="7465" ht="15.0" customHeight="1">
      <c r="A7465" s="11">
        <v>7464.0</v>
      </c>
      <c r="B7465" s="12">
        <f t="shared" si="1192"/>
        <v>41109</v>
      </c>
      <c r="C7465" s="13">
        <v>2012.0</v>
      </c>
      <c r="D7465" s="11" t="s">
        <v>102</v>
      </c>
      <c r="E7465" s="11">
        <v>50.0</v>
      </c>
      <c r="F7465" s="14">
        <v>212.6</v>
      </c>
      <c r="G7465" s="15">
        <v>0.039393666624660144</v>
      </c>
      <c r="H7465" s="11" t="s">
        <v>45</v>
      </c>
      <c r="I7465" s="16">
        <v>41.760000000000005</v>
      </c>
      <c r="J7465" s="11" t="s">
        <v>1507</v>
      </c>
      <c r="K7465" s="11" t="s">
        <v>61</v>
      </c>
      <c r="L7465" s="11" t="s">
        <v>36</v>
      </c>
      <c r="M7465" s="11" t="s">
        <v>49</v>
      </c>
      <c r="N7465" s="11" t="s">
        <v>85</v>
      </c>
      <c r="O7465" s="11" t="s">
        <v>86</v>
      </c>
      <c r="P7465" s="11" t="s">
        <v>87</v>
      </c>
      <c r="Q7465" s="20">
        <v>41111.0</v>
      </c>
      <c r="R7465" s="17">
        <f t="shared" si="2"/>
        <v>420.3997557</v>
      </c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>
        <f t="shared" si="8"/>
        <v>2</v>
      </c>
      <c r="AF7465" s="19">
        <f t="shared" si="13"/>
        <v>4</v>
      </c>
      <c r="AG7465" s="9"/>
      <c r="AH7465" s="9"/>
      <c r="AI7465" s="9"/>
    </row>
    <row r="7466" ht="15.0" customHeight="1">
      <c r="A7466" s="11">
        <v>7465.0</v>
      </c>
      <c r="B7466" s="12">
        <f t="shared" si="1192"/>
        <v>41109</v>
      </c>
      <c r="C7466" s="13">
        <v>2012.0</v>
      </c>
      <c r="D7466" s="11" t="s">
        <v>102</v>
      </c>
      <c r="E7466" s="11">
        <v>33.0</v>
      </c>
      <c r="F7466" s="14">
        <v>70.9</v>
      </c>
      <c r="G7466" s="15">
        <v>0.04880821862183757</v>
      </c>
      <c r="H7466" s="11" t="s">
        <v>33</v>
      </c>
      <c r="I7466" s="16">
        <v>2.8000000000000003</v>
      </c>
      <c r="J7466" s="11" t="s">
        <v>1507</v>
      </c>
      <c r="K7466" s="11" t="s">
        <v>61</v>
      </c>
      <c r="L7466" s="11" t="s">
        <v>36</v>
      </c>
      <c r="M7466" s="11" t="s">
        <v>28</v>
      </c>
      <c r="N7466" s="11" t="s">
        <v>197</v>
      </c>
      <c r="O7466" s="11" t="s">
        <v>1134</v>
      </c>
      <c r="P7466" s="11" t="s">
        <v>38</v>
      </c>
      <c r="Q7466" s="20">
        <v>41111.0</v>
      </c>
      <c r="R7466" s="17">
        <f t="shared" si="2"/>
        <v>114.3332521</v>
      </c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>
        <f t="shared" si="8"/>
        <v>2</v>
      </c>
      <c r="AF7466" s="19">
        <f t="shared" si="13"/>
        <v>4</v>
      </c>
      <c r="AG7466" s="9"/>
      <c r="AH7466" s="9"/>
      <c r="AI7466" s="9"/>
    </row>
    <row r="7467" ht="15.0" customHeight="1">
      <c r="A7467" s="11">
        <v>7466.0</v>
      </c>
      <c r="B7467" s="12">
        <f t="shared" si="1192"/>
        <v>41109</v>
      </c>
      <c r="C7467" s="13">
        <v>2012.0</v>
      </c>
      <c r="D7467" s="11" t="s">
        <v>23</v>
      </c>
      <c r="E7467" s="11">
        <v>45.0</v>
      </c>
      <c r="F7467" s="14">
        <v>10.3</v>
      </c>
      <c r="G7467" s="15">
        <v>0.021195789473684057</v>
      </c>
      <c r="H7467" s="11" t="s">
        <v>33</v>
      </c>
      <c r="I7467" s="16">
        <v>1.4320000000000002</v>
      </c>
      <c r="J7467" s="11" t="s">
        <v>1572</v>
      </c>
      <c r="K7467" s="11" t="s">
        <v>83</v>
      </c>
      <c r="L7467" s="11" t="s">
        <v>48</v>
      </c>
      <c r="M7467" s="11" t="s">
        <v>28</v>
      </c>
      <c r="N7467" s="11" t="s">
        <v>56</v>
      </c>
      <c r="O7467" s="11" t="s">
        <v>1671</v>
      </c>
      <c r="P7467" s="11" t="s">
        <v>58</v>
      </c>
      <c r="Q7467" s="20">
        <v>41112.0</v>
      </c>
      <c r="R7467" s="17">
        <f t="shared" si="2"/>
        <v>9.854600792</v>
      </c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>
        <f t="shared" si="8"/>
        <v>4</v>
      </c>
      <c r="AF7467" s="19" t="b">
        <f t="shared" si="13"/>
        <v>0</v>
      </c>
      <c r="AG7467" s="9"/>
      <c r="AH7467" s="9"/>
      <c r="AI7467" s="9"/>
    </row>
    <row r="7468" ht="15.0" customHeight="1">
      <c r="A7468" s="11">
        <v>7467.0</v>
      </c>
      <c r="B7468" s="12">
        <f t="shared" si="1192"/>
        <v>41109</v>
      </c>
      <c r="C7468" s="13">
        <v>2012.0</v>
      </c>
      <c r="D7468" s="11" t="s">
        <v>23</v>
      </c>
      <c r="E7468" s="11">
        <v>27.0</v>
      </c>
      <c r="F7468" s="14">
        <v>5.8</v>
      </c>
      <c r="G7468" s="15">
        <v>0.06704358068315673</v>
      </c>
      <c r="H7468" s="11" t="s">
        <v>33</v>
      </c>
      <c r="I7468" s="16">
        <v>1.816</v>
      </c>
      <c r="J7468" s="11" t="s">
        <v>1572</v>
      </c>
      <c r="K7468" s="11" t="s">
        <v>83</v>
      </c>
      <c r="L7468" s="11" t="s">
        <v>48</v>
      </c>
      <c r="M7468" s="11" t="s">
        <v>28</v>
      </c>
      <c r="N7468" s="11" t="s">
        <v>62</v>
      </c>
      <c r="O7468" s="11" t="s">
        <v>1391</v>
      </c>
      <c r="P7468" s="11" t="s">
        <v>58</v>
      </c>
      <c r="Q7468" s="20">
        <v>41112.0</v>
      </c>
      <c r="R7468" s="17">
        <f t="shared" si="2"/>
        <v>10.62077588</v>
      </c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>
        <f t="shared" si="8"/>
        <v>4</v>
      </c>
      <c r="AF7468" s="19" t="b">
        <f t="shared" si="13"/>
        <v>0</v>
      </c>
      <c r="AG7468" s="9"/>
      <c r="AH7468" s="9"/>
      <c r="AI7468" s="9"/>
    </row>
    <row r="7469" ht="15.0" customHeight="1">
      <c r="A7469" s="11">
        <v>7468.0</v>
      </c>
      <c r="B7469" s="12">
        <f t="shared" si="1192"/>
        <v>41109</v>
      </c>
      <c r="C7469" s="13">
        <v>2012.0</v>
      </c>
      <c r="D7469" s="11" t="s">
        <v>102</v>
      </c>
      <c r="E7469" s="11">
        <v>12.0</v>
      </c>
      <c r="F7469" s="14">
        <v>40.9</v>
      </c>
      <c r="G7469" s="15">
        <v>0.07379082568807352</v>
      </c>
      <c r="H7469" s="11" t="s">
        <v>33</v>
      </c>
      <c r="I7469" s="16">
        <v>13.984000000000002</v>
      </c>
      <c r="J7469" s="11" t="s">
        <v>1061</v>
      </c>
      <c r="K7469" s="11" t="s">
        <v>26</v>
      </c>
      <c r="L7469" s="11" t="s">
        <v>36</v>
      </c>
      <c r="M7469" s="11" t="s">
        <v>28</v>
      </c>
      <c r="N7469" s="11" t="s">
        <v>56</v>
      </c>
      <c r="O7469" s="11" t="s">
        <v>1172</v>
      </c>
      <c r="P7469" s="11" t="s">
        <v>38</v>
      </c>
      <c r="Q7469" s="20">
        <v>41112.0</v>
      </c>
      <c r="R7469" s="17">
        <f t="shared" si="2"/>
        <v>37.24842815</v>
      </c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>
        <f t="shared" si="8"/>
        <v>2</v>
      </c>
      <c r="AF7469" s="19">
        <f t="shared" si="13"/>
        <v>1</v>
      </c>
      <c r="AG7469" s="9"/>
      <c r="AH7469" s="9"/>
      <c r="AI7469" s="9"/>
    </row>
    <row r="7470" ht="15.0" customHeight="1">
      <c r="A7470" s="11">
        <v>7469.0</v>
      </c>
      <c r="B7470" s="12">
        <f t="shared" ref="B7470:B7474" si="1193">DATE(2012,12,31)-164</f>
        <v>41110</v>
      </c>
      <c r="C7470" s="13">
        <v>2012.0</v>
      </c>
      <c r="D7470" s="11" t="s">
        <v>44</v>
      </c>
      <c r="E7470" s="11">
        <v>20.0</v>
      </c>
      <c r="F7470" s="14">
        <v>4.1</v>
      </c>
      <c r="G7470" s="15">
        <v>0.017878426698450536</v>
      </c>
      <c r="H7470" s="11" t="s">
        <v>33</v>
      </c>
      <c r="I7470" s="16">
        <v>0.4</v>
      </c>
      <c r="J7470" s="11" t="s">
        <v>581</v>
      </c>
      <c r="K7470" s="11" t="s">
        <v>47</v>
      </c>
      <c r="L7470" s="11" t="s">
        <v>36</v>
      </c>
      <c r="M7470" s="11" t="s">
        <v>28</v>
      </c>
      <c r="N7470" s="11" t="s">
        <v>188</v>
      </c>
      <c r="O7470" s="11" t="s">
        <v>1968</v>
      </c>
      <c r="P7470" s="11" t="s">
        <v>38</v>
      </c>
      <c r="Q7470" s="20">
        <v>41112.0</v>
      </c>
      <c r="R7470" s="17">
        <f t="shared" si="2"/>
        <v>1.47318236</v>
      </c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>
        <f t="shared" si="8"/>
        <v>2</v>
      </c>
      <c r="AF7470" s="19">
        <f t="shared" si="13"/>
        <v>3</v>
      </c>
      <c r="AG7470" s="9"/>
      <c r="AH7470" s="9"/>
      <c r="AI7470" s="9"/>
    </row>
    <row r="7471" ht="15.0" customHeight="1">
      <c r="A7471" s="11">
        <v>7470.0</v>
      </c>
      <c r="B7471" s="12">
        <f t="shared" si="1193"/>
        <v>41110</v>
      </c>
      <c r="C7471" s="13">
        <v>2012.0</v>
      </c>
      <c r="D7471" s="11" t="s">
        <v>44</v>
      </c>
      <c r="E7471" s="11">
        <v>11.0</v>
      </c>
      <c r="F7471" s="14">
        <v>209.8</v>
      </c>
      <c r="G7471" s="15">
        <v>0.04038305952282667</v>
      </c>
      <c r="H7471" s="11" t="s">
        <v>33</v>
      </c>
      <c r="I7471" s="16">
        <v>16.968</v>
      </c>
      <c r="J7471" s="11" t="s">
        <v>581</v>
      </c>
      <c r="K7471" s="11" t="s">
        <v>47</v>
      </c>
      <c r="L7471" s="11" t="s">
        <v>36</v>
      </c>
      <c r="M7471" s="11" t="s">
        <v>49</v>
      </c>
      <c r="N7471" s="11" t="s">
        <v>73</v>
      </c>
      <c r="O7471" s="11" t="s">
        <v>109</v>
      </c>
      <c r="P7471" s="11" t="s">
        <v>31</v>
      </c>
      <c r="Q7471" s="20">
        <v>41112.0</v>
      </c>
      <c r="R7471" s="17">
        <f t="shared" si="2"/>
        <v>93.88124452</v>
      </c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>
        <f t="shared" si="8"/>
        <v>2</v>
      </c>
      <c r="AF7471" s="19">
        <f t="shared" si="13"/>
        <v>3</v>
      </c>
      <c r="AG7471" s="9"/>
      <c r="AH7471" s="9"/>
      <c r="AI7471" s="9"/>
    </row>
    <row r="7472" ht="15.0" customHeight="1">
      <c r="A7472" s="11">
        <v>7471.0</v>
      </c>
      <c r="B7472" s="12">
        <f t="shared" si="1193"/>
        <v>41110</v>
      </c>
      <c r="C7472" s="13">
        <v>2012.0</v>
      </c>
      <c r="D7472" s="11" t="s">
        <v>23</v>
      </c>
      <c r="E7472" s="11">
        <v>26.0</v>
      </c>
      <c r="F7472" s="14">
        <v>4.9</v>
      </c>
      <c r="G7472" s="15">
        <v>0.03198231392778169</v>
      </c>
      <c r="H7472" s="11" t="s">
        <v>33</v>
      </c>
      <c r="I7472" s="16">
        <v>3.9600000000000004</v>
      </c>
      <c r="J7472" s="11" t="s">
        <v>1094</v>
      </c>
      <c r="K7472" s="11" t="s">
        <v>65</v>
      </c>
      <c r="L7472" s="11" t="s">
        <v>27</v>
      </c>
      <c r="M7472" s="11" t="s">
        <v>28</v>
      </c>
      <c r="N7472" s="11" t="s">
        <v>42</v>
      </c>
      <c r="O7472" s="11" t="s">
        <v>1350</v>
      </c>
      <c r="P7472" s="11" t="s">
        <v>38</v>
      </c>
      <c r="Q7472" s="20">
        <v>41112.0</v>
      </c>
      <c r="R7472" s="17">
        <f t="shared" si="2"/>
        <v>4.201196758</v>
      </c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>
        <f t="shared" si="8"/>
        <v>1</v>
      </c>
      <c r="AF7472" s="19">
        <f t="shared" si="13"/>
        <v>5</v>
      </c>
      <c r="AG7472" s="9"/>
      <c r="AH7472" s="9"/>
      <c r="AI7472" s="9"/>
    </row>
    <row r="7473" ht="15.0" customHeight="1">
      <c r="A7473" s="11">
        <v>7472.0</v>
      </c>
      <c r="B7473" s="12">
        <f t="shared" si="1193"/>
        <v>41110</v>
      </c>
      <c r="C7473" s="13">
        <v>2012.0</v>
      </c>
      <c r="D7473" s="11" t="s">
        <v>23</v>
      </c>
      <c r="E7473" s="11">
        <v>28.0</v>
      </c>
      <c r="F7473" s="14">
        <v>7.5</v>
      </c>
      <c r="G7473" s="15">
        <v>0.08810949529512413</v>
      </c>
      <c r="H7473" s="11" t="s">
        <v>33</v>
      </c>
      <c r="I7473" s="16">
        <v>3.2</v>
      </c>
      <c r="J7473" s="11" t="s">
        <v>1094</v>
      </c>
      <c r="K7473" s="11" t="s">
        <v>65</v>
      </c>
      <c r="L7473" s="11" t="s">
        <v>27</v>
      </c>
      <c r="M7473" s="11" t="s">
        <v>49</v>
      </c>
      <c r="N7473" s="11" t="s">
        <v>73</v>
      </c>
      <c r="O7473" s="11" t="s">
        <v>883</v>
      </c>
      <c r="P7473" s="11" t="s">
        <v>58</v>
      </c>
      <c r="Q7473" s="20">
        <v>41112.0</v>
      </c>
      <c r="R7473" s="17">
        <f t="shared" si="2"/>
        <v>18.7849444</v>
      </c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>
        <f t="shared" si="8"/>
        <v>1</v>
      </c>
      <c r="AF7473" s="19">
        <f t="shared" si="13"/>
        <v>5</v>
      </c>
      <c r="AG7473" s="9"/>
      <c r="AH7473" s="9"/>
      <c r="AI7473" s="9"/>
    </row>
    <row r="7474" ht="15.0" customHeight="1">
      <c r="A7474" s="11">
        <v>7473.0</v>
      </c>
      <c r="B7474" s="12">
        <f t="shared" si="1193"/>
        <v>41110</v>
      </c>
      <c r="C7474" s="13">
        <v>2012.0</v>
      </c>
      <c r="D7474" s="11" t="s">
        <v>23</v>
      </c>
      <c r="E7474" s="11">
        <v>39.0</v>
      </c>
      <c r="F7474" s="14">
        <v>2.1</v>
      </c>
      <c r="G7474" s="15">
        <v>0.07484304932735428</v>
      </c>
      <c r="H7474" s="11" t="s">
        <v>33</v>
      </c>
      <c r="I7474" s="16">
        <v>0.6240000000000001</v>
      </c>
      <c r="J7474" s="11" t="s">
        <v>1094</v>
      </c>
      <c r="K7474" s="11" t="s">
        <v>65</v>
      </c>
      <c r="L7474" s="11" t="s">
        <v>27</v>
      </c>
      <c r="M7474" s="11" t="s">
        <v>28</v>
      </c>
      <c r="N7474" s="11" t="s">
        <v>216</v>
      </c>
      <c r="O7474" s="11" t="s">
        <v>341</v>
      </c>
      <c r="P7474" s="11" t="s">
        <v>58</v>
      </c>
      <c r="Q7474" s="20">
        <v>41112.0</v>
      </c>
      <c r="R7474" s="17">
        <f t="shared" si="2"/>
        <v>6.176347803</v>
      </c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>
        <f t="shared" si="8"/>
        <v>1</v>
      </c>
      <c r="AF7474" s="19">
        <f t="shared" si="13"/>
        <v>5</v>
      </c>
      <c r="AG7474" s="9"/>
      <c r="AH7474" s="9"/>
      <c r="AI7474" s="9"/>
    </row>
    <row r="7475" ht="15.0" customHeight="1">
      <c r="A7475" s="11">
        <v>7474.0</v>
      </c>
      <c r="B7475" s="12">
        <f t="shared" ref="B7475:B7489" si="1194">DATE(2012,12,31)-163</f>
        <v>41111</v>
      </c>
      <c r="C7475" s="13">
        <v>2012.0</v>
      </c>
      <c r="D7475" s="11" t="s">
        <v>44</v>
      </c>
      <c r="E7475" s="11">
        <v>40.0</v>
      </c>
      <c r="F7475" s="14">
        <v>6.4</v>
      </c>
      <c r="G7475" s="15">
        <v>0.05455861070911717</v>
      </c>
      <c r="H7475" s="11" t="s">
        <v>33</v>
      </c>
      <c r="I7475" s="16">
        <v>5.32</v>
      </c>
      <c r="J7475" s="11" t="s">
        <v>1017</v>
      </c>
      <c r="K7475" s="11" t="s">
        <v>117</v>
      </c>
      <c r="L7475" s="11" t="s">
        <v>48</v>
      </c>
      <c r="M7475" s="11" t="s">
        <v>28</v>
      </c>
      <c r="N7475" s="11" t="s">
        <v>56</v>
      </c>
      <c r="O7475" s="11" t="s">
        <v>2282</v>
      </c>
      <c r="P7475" s="11" t="s">
        <v>38</v>
      </c>
      <c r="Q7475" s="20">
        <v>41112.0</v>
      </c>
      <c r="R7475" s="17">
        <f t="shared" si="2"/>
        <v>14.25725615</v>
      </c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>
        <f t="shared" si="8"/>
        <v>4</v>
      </c>
      <c r="AF7475" s="19" t="b">
        <f t="shared" si="13"/>
        <v>0</v>
      </c>
      <c r="AG7475" s="9"/>
      <c r="AH7475" s="9"/>
      <c r="AI7475" s="9"/>
    </row>
    <row r="7476" ht="15.0" customHeight="1">
      <c r="A7476" s="11">
        <v>7475.0</v>
      </c>
      <c r="B7476" s="12">
        <f t="shared" si="1194"/>
        <v>41111</v>
      </c>
      <c r="C7476" s="13">
        <v>2012.0</v>
      </c>
      <c r="D7476" s="11" t="s">
        <v>44</v>
      </c>
      <c r="E7476" s="11">
        <v>18.0</v>
      </c>
      <c r="F7476" s="14">
        <v>6.4</v>
      </c>
      <c r="G7476" s="15">
        <v>0.06114374034003096</v>
      </c>
      <c r="H7476" s="11" t="s">
        <v>24</v>
      </c>
      <c r="I7476" s="16">
        <v>6.288</v>
      </c>
      <c r="J7476" s="11" t="s">
        <v>1017</v>
      </c>
      <c r="K7476" s="11" t="s">
        <v>117</v>
      </c>
      <c r="L7476" s="11" t="s">
        <v>48</v>
      </c>
      <c r="M7476" s="11" t="s">
        <v>28</v>
      </c>
      <c r="N7476" s="11" t="s">
        <v>56</v>
      </c>
      <c r="O7476" s="11" t="s">
        <v>1285</v>
      </c>
      <c r="P7476" s="11" t="s">
        <v>38</v>
      </c>
      <c r="Q7476" s="20">
        <v>41112.0</v>
      </c>
      <c r="R7476" s="17">
        <f t="shared" si="2"/>
        <v>7.428230726</v>
      </c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>
        <f t="shared" si="8"/>
        <v>4</v>
      </c>
      <c r="AF7476" s="19" t="b">
        <f t="shared" si="13"/>
        <v>0</v>
      </c>
      <c r="AG7476" s="9"/>
      <c r="AH7476" s="9"/>
      <c r="AI7476" s="9"/>
    </row>
    <row r="7477" ht="15.0" customHeight="1">
      <c r="A7477" s="11">
        <v>7476.0</v>
      </c>
      <c r="B7477" s="12">
        <f t="shared" si="1194"/>
        <v>41111</v>
      </c>
      <c r="C7477" s="13">
        <v>2012.0</v>
      </c>
      <c r="D7477" s="11" t="s">
        <v>39</v>
      </c>
      <c r="E7477" s="11">
        <v>42.0</v>
      </c>
      <c r="F7477" s="14">
        <v>304.9</v>
      </c>
      <c r="G7477" s="15">
        <v>0.06598444010606376</v>
      </c>
      <c r="H7477" s="11" t="s">
        <v>33</v>
      </c>
      <c r="I7477" s="16">
        <v>15.991999999999999</v>
      </c>
      <c r="J7477" s="11" t="s">
        <v>1165</v>
      </c>
      <c r="K7477" s="11" t="s">
        <v>35</v>
      </c>
      <c r="L7477" s="11" t="s">
        <v>48</v>
      </c>
      <c r="M7477" s="11" t="s">
        <v>28</v>
      </c>
      <c r="N7477" s="11" t="s">
        <v>42</v>
      </c>
      <c r="O7477" s="11" t="s">
        <v>1505</v>
      </c>
      <c r="P7477" s="11" t="s">
        <v>38</v>
      </c>
      <c r="Q7477" s="20">
        <v>41112.0</v>
      </c>
      <c r="R7477" s="17">
        <f t="shared" si="2"/>
        <v>846.0387663</v>
      </c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>
        <f t="shared" si="8"/>
        <v>4</v>
      </c>
      <c r="AF7477" s="19">
        <f t="shared" si="13"/>
        <v>2</v>
      </c>
      <c r="AG7477" s="9"/>
      <c r="AH7477" s="9"/>
      <c r="AI7477" s="9"/>
    </row>
    <row r="7478" ht="15.0" customHeight="1">
      <c r="A7478" s="11">
        <v>7477.0</v>
      </c>
      <c r="B7478" s="12">
        <f t="shared" si="1194"/>
        <v>41111</v>
      </c>
      <c r="C7478" s="13">
        <v>2012.0</v>
      </c>
      <c r="D7478" s="11" t="s">
        <v>44</v>
      </c>
      <c r="E7478" s="11">
        <v>31.0</v>
      </c>
      <c r="F7478" s="14">
        <v>14.9</v>
      </c>
      <c r="G7478" s="15">
        <v>0.06499501694239575</v>
      </c>
      <c r="H7478" s="11" t="s">
        <v>33</v>
      </c>
      <c r="I7478" s="16">
        <v>7.192</v>
      </c>
      <c r="J7478" s="11" t="s">
        <v>2224</v>
      </c>
      <c r="K7478" s="11" t="s">
        <v>35</v>
      </c>
      <c r="L7478" s="11" t="s">
        <v>27</v>
      </c>
      <c r="M7478" s="11" t="s">
        <v>49</v>
      </c>
      <c r="N7478" s="11" t="s">
        <v>73</v>
      </c>
      <c r="O7478" s="11" t="s">
        <v>1793</v>
      </c>
      <c r="P7478" s="11" t="s">
        <v>99</v>
      </c>
      <c r="Q7478" s="20">
        <v>41113.0</v>
      </c>
      <c r="R7478" s="17">
        <f t="shared" si="2"/>
        <v>30.48864249</v>
      </c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>
        <f t="shared" si="8"/>
        <v>1</v>
      </c>
      <c r="AF7478" s="19">
        <f t="shared" si="13"/>
        <v>2</v>
      </c>
      <c r="AG7478" s="9"/>
      <c r="AH7478" s="9"/>
      <c r="AI7478" s="9"/>
    </row>
    <row r="7479" ht="15.0" customHeight="1">
      <c r="A7479" s="11">
        <v>7478.0</v>
      </c>
      <c r="B7479" s="12">
        <f t="shared" si="1194"/>
        <v>41111</v>
      </c>
      <c r="C7479" s="13">
        <v>2012.0</v>
      </c>
      <c r="D7479" s="11" t="s">
        <v>44</v>
      </c>
      <c r="E7479" s="11">
        <v>44.0</v>
      </c>
      <c r="F7479" s="14">
        <v>24.9</v>
      </c>
      <c r="G7479" s="15">
        <v>0.0848541423570595</v>
      </c>
      <c r="H7479" s="11" t="s">
        <v>33</v>
      </c>
      <c r="I7479" s="16">
        <v>2.3920000000000003</v>
      </c>
      <c r="J7479" s="11" t="s">
        <v>2224</v>
      </c>
      <c r="K7479" s="11" t="s">
        <v>35</v>
      </c>
      <c r="L7479" s="11" t="s">
        <v>27</v>
      </c>
      <c r="M7479" s="11" t="s">
        <v>28</v>
      </c>
      <c r="N7479" s="11" t="s">
        <v>42</v>
      </c>
      <c r="O7479" s="11" t="s">
        <v>1626</v>
      </c>
      <c r="P7479" s="11" t="s">
        <v>38</v>
      </c>
      <c r="Q7479" s="20">
        <v>41113.0</v>
      </c>
      <c r="R7479" s="17">
        <f t="shared" si="2"/>
        <v>93.16916947</v>
      </c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>
        <f t="shared" si="8"/>
        <v>1</v>
      </c>
      <c r="AF7479" s="19">
        <f t="shared" si="13"/>
        <v>2</v>
      </c>
      <c r="AG7479" s="9"/>
      <c r="AH7479" s="9"/>
      <c r="AI7479" s="9"/>
    </row>
    <row r="7480" ht="15.0" customHeight="1">
      <c r="A7480" s="11">
        <v>7479.0</v>
      </c>
      <c r="B7480" s="12">
        <f t="shared" si="1194"/>
        <v>41111</v>
      </c>
      <c r="C7480" s="13">
        <v>2012.0</v>
      </c>
      <c r="D7480" s="11" t="s">
        <v>102</v>
      </c>
      <c r="E7480" s="11">
        <v>45.0</v>
      </c>
      <c r="F7480" s="14">
        <v>65.9</v>
      </c>
      <c r="G7480" s="15">
        <v>0.03547025286155707</v>
      </c>
      <c r="H7480" s="11" t="s">
        <v>33</v>
      </c>
      <c r="I7480" s="16">
        <v>4.208</v>
      </c>
      <c r="J7480" s="11" t="s">
        <v>2000</v>
      </c>
      <c r="K7480" s="11" t="s">
        <v>35</v>
      </c>
      <c r="L7480" s="11" t="s">
        <v>36</v>
      </c>
      <c r="M7480" s="11" t="s">
        <v>66</v>
      </c>
      <c r="N7480" s="11" t="s">
        <v>80</v>
      </c>
      <c r="O7480" s="11">
        <v>8860.0</v>
      </c>
      <c r="P7480" s="11" t="s">
        <v>38</v>
      </c>
      <c r="Q7480" s="20">
        <v>41113.0</v>
      </c>
      <c r="R7480" s="17">
        <f t="shared" si="2"/>
        <v>105.3362937</v>
      </c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>
        <f t="shared" si="8"/>
        <v>2</v>
      </c>
      <c r="AF7480" s="19">
        <f t="shared" si="13"/>
        <v>2</v>
      </c>
      <c r="AG7480" s="9"/>
      <c r="AH7480" s="9"/>
      <c r="AI7480" s="9"/>
    </row>
    <row r="7481" ht="15.0" customHeight="1">
      <c r="A7481" s="11">
        <v>7480.0</v>
      </c>
      <c r="B7481" s="12">
        <f t="shared" si="1194"/>
        <v>41111</v>
      </c>
      <c r="C7481" s="13">
        <v>2012.0</v>
      </c>
      <c r="D7481" s="11" t="s">
        <v>32</v>
      </c>
      <c r="E7481" s="11">
        <v>5.0</v>
      </c>
      <c r="F7481" s="14">
        <v>89.9</v>
      </c>
      <c r="G7481" s="15">
        <v>0.09072087332956887</v>
      </c>
      <c r="H7481" s="11" t="s">
        <v>45</v>
      </c>
      <c r="I7481" s="16">
        <v>33.6</v>
      </c>
      <c r="J7481" s="11" t="s">
        <v>786</v>
      </c>
      <c r="K7481" s="11" t="s">
        <v>35</v>
      </c>
      <c r="L7481" s="11" t="s">
        <v>48</v>
      </c>
      <c r="M7481" s="11" t="s">
        <v>49</v>
      </c>
      <c r="N7481" s="11" t="s">
        <v>50</v>
      </c>
      <c r="O7481" s="11" t="s">
        <v>1153</v>
      </c>
      <c r="P7481" s="11" t="s">
        <v>52</v>
      </c>
      <c r="Q7481" s="20">
        <v>41113.0</v>
      </c>
      <c r="R7481" s="17">
        <f t="shared" si="2"/>
        <v>43.82725391</v>
      </c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>
        <f t="shared" si="8"/>
        <v>4</v>
      </c>
      <c r="AF7481" s="19">
        <f t="shared" si="13"/>
        <v>2</v>
      </c>
      <c r="AG7481" s="9"/>
      <c r="AH7481" s="9"/>
      <c r="AI7481" s="9"/>
    </row>
    <row r="7482" ht="15.0" customHeight="1">
      <c r="A7482" s="11">
        <v>7481.0</v>
      </c>
      <c r="B7482" s="12">
        <f t="shared" si="1194"/>
        <v>41111</v>
      </c>
      <c r="C7482" s="13">
        <v>2012.0</v>
      </c>
      <c r="D7482" s="11" t="s">
        <v>23</v>
      </c>
      <c r="E7482" s="11">
        <v>16.0</v>
      </c>
      <c r="F7482" s="14">
        <v>35.9</v>
      </c>
      <c r="G7482" s="15">
        <v>0.09412872841444275</v>
      </c>
      <c r="H7482" s="11" t="s">
        <v>33</v>
      </c>
      <c r="I7482" s="16">
        <v>2.64</v>
      </c>
      <c r="J7482" s="11" t="s">
        <v>1685</v>
      </c>
      <c r="K7482" s="11" t="s">
        <v>61</v>
      </c>
      <c r="L7482" s="11" t="s">
        <v>41</v>
      </c>
      <c r="M7482" s="11" t="s">
        <v>66</v>
      </c>
      <c r="N7482" s="11" t="s">
        <v>80</v>
      </c>
      <c r="O7482" s="11" t="s">
        <v>837</v>
      </c>
      <c r="P7482" s="11" t="s">
        <v>99</v>
      </c>
      <c r="Q7482" s="20">
        <v>41113.0</v>
      </c>
      <c r="R7482" s="17">
        <f t="shared" si="2"/>
        <v>54.31604144</v>
      </c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>
        <f t="shared" si="8"/>
        <v>3</v>
      </c>
      <c r="AF7482" s="19">
        <f t="shared" si="13"/>
        <v>4</v>
      </c>
      <c r="AG7482" s="9"/>
      <c r="AH7482" s="9"/>
      <c r="AI7482" s="9"/>
    </row>
    <row r="7483" ht="15.0" customHeight="1">
      <c r="A7483" s="11">
        <v>7482.0</v>
      </c>
      <c r="B7483" s="12">
        <f t="shared" si="1194"/>
        <v>41111</v>
      </c>
      <c r="C7483" s="13">
        <v>2012.0</v>
      </c>
      <c r="D7483" s="11" t="s">
        <v>23</v>
      </c>
      <c r="E7483" s="11">
        <v>39.0</v>
      </c>
      <c r="F7483" s="14">
        <v>160.9</v>
      </c>
      <c r="G7483" s="15">
        <v>0.07540218412400185</v>
      </c>
      <c r="H7483" s="11" t="s">
        <v>45</v>
      </c>
      <c r="I7483" s="16">
        <v>24.0</v>
      </c>
      <c r="J7483" s="11" t="s">
        <v>1685</v>
      </c>
      <c r="K7483" s="11" t="s">
        <v>61</v>
      </c>
      <c r="L7483" s="11" t="s">
        <v>41</v>
      </c>
      <c r="M7483" s="11" t="s">
        <v>49</v>
      </c>
      <c r="N7483" s="11" t="s">
        <v>50</v>
      </c>
      <c r="O7483" s="11" t="s">
        <v>515</v>
      </c>
      <c r="P7483" s="11" t="s">
        <v>52</v>
      </c>
      <c r="Q7483" s="20">
        <v>41114.0</v>
      </c>
      <c r="R7483" s="17">
        <f t="shared" si="2"/>
        <v>474.965898</v>
      </c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>
        <f t="shared" si="8"/>
        <v>3</v>
      </c>
      <c r="AF7483" s="19">
        <f t="shared" si="13"/>
        <v>4</v>
      </c>
      <c r="AG7483" s="9"/>
      <c r="AH7483" s="9"/>
      <c r="AI7483" s="9"/>
    </row>
    <row r="7484" ht="15.0" customHeight="1">
      <c r="A7484" s="11">
        <v>7483.0</v>
      </c>
      <c r="B7484" s="12">
        <f t="shared" si="1194"/>
        <v>41111</v>
      </c>
      <c r="C7484" s="13">
        <v>2012.0</v>
      </c>
      <c r="D7484" s="11" t="s">
        <v>23</v>
      </c>
      <c r="E7484" s="11">
        <v>4.0</v>
      </c>
      <c r="F7484" s="14">
        <v>270.9</v>
      </c>
      <c r="G7484" s="15">
        <v>0.047150610583446516</v>
      </c>
      <c r="H7484" s="11" t="s">
        <v>45</v>
      </c>
      <c r="I7484" s="16">
        <v>40.0</v>
      </c>
      <c r="J7484" s="11" t="s">
        <v>2541</v>
      </c>
      <c r="K7484" s="11" t="s">
        <v>47</v>
      </c>
      <c r="L7484" s="11" t="s">
        <v>27</v>
      </c>
      <c r="M7484" s="11" t="s">
        <v>49</v>
      </c>
      <c r="N7484" s="11" t="s">
        <v>50</v>
      </c>
      <c r="O7484" s="11" t="s">
        <v>623</v>
      </c>
      <c r="P7484" s="11" t="s">
        <v>52</v>
      </c>
      <c r="Q7484" s="20">
        <v>41115.0</v>
      </c>
      <c r="R7484" s="17">
        <f t="shared" si="2"/>
        <v>52.97842605</v>
      </c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>
        <f t="shared" si="8"/>
        <v>1</v>
      </c>
      <c r="AF7484" s="19">
        <f t="shared" si="13"/>
        <v>3</v>
      </c>
      <c r="AG7484" s="9"/>
      <c r="AH7484" s="9"/>
      <c r="AI7484" s="9"/>
    </row>
    <row r="7485" ht="15.0" customHeight="1">
      <c r="A7485" s="11">
        <v>7484.0</v>
      </c>
      <c r="B7485" s="12">
        <f t="shared" si="1194"/>
        <v>41111</v>
      </c>
      <c r="C7485" s="13">
        <v>2012.0</v>
      </c>
      <c r="D7485" s="11" t="s">
        <v>102</v>
      </c>
      <c r="E7485" s="11">
        <v>10.0</v>
      </c>
      <c r="F7485" s="14">
        <v>55.5</v>
      </c>
      <c r="G7485" s="15">
        <v>0.036395930889714136</v>
      </c>
      <c r="H7485" s="11" t="s">
        <v>33</v>
      </c>
      <c r="I7485" s="16">
        <v>41.760000000000005</v>
      </c>
      <c r="J7485" s="11" t="s">
        <v>1536</v>
      </c>
      <c r="K7485" s="11" t="s">
        <v>61</v>
      </c>
      <c r="L7485" s="11" t="s">
        <v>36</v>
      </c>
      <c r="M7485" s="11" t="s">
        <v>49</v>
      </c>
      <c r="N7485" s="11" t="s">
        <v>73</v>
      </c>
      <c r="O7485" s="11" t="s">
        <v>1293</v>
      </c>
      <c r="P7485" s="11" t="s">
        <v>75</v>
      </c>
      <c r="Q7485" s="20">
        <v>41115.0</v>
      </c>
      <c r="R7485" s="17">
        <f t="shared" si="2"/>
        <v>21.71963572</v>
      </c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>
        <f t="shared" si="8"/>
        <v>2</v>
      </c>
      <c r="AF7485" s="19">
        <f t="shared" si="13"/>
        <v>4</v>
      </c>
      <c r="AG7485" s="9"/>
      <c r="AH7485" s="9"/>
      <c r="AI7485" s="9"/>
    </row>
    <row r="7486" ht="15.0" customHeight="1">
      <c r="A7486" s="11">
        <v>7485.0</v>
      </c>
      <c r="B7486" s="12">
        <f t="shared" si="1194"/>
        <v>41111</v>
      </c>
      <c r="C7486" s="13">
        <v>2012.0</v>
      </c>
      <c r="D7486" s="11" t="s">
        <v>102</v>
      </c>
      <c r="E7486" s="11">
        <v>23.0</v>
      </c>
      <c r="F7486" s="14">
        <v>15.5</v>
      </c>
      <c r="G7486" s="15">
        <v>0.013548210871346725</v>
      </c>
      <c r="H7486" s="11" t="s">
        <v>24</v>
      </c>
      <c r="I7486" s="16">
        <v>4.64</v>
      </c>
      <c r="J7486" s="11" t="s">
        <v>1536</v>
      </c>
      <c r="K7486" s="11" t="s">
        <v>61</v>
      </c>
      <c r="L7486" s="11" t="s">
        <v>36</v>
      </c>
      <c r="M7486" s="11" t="s">
        <v>28</v>
      </c>
      <c r="N7486" s="11" t="s">
        <v>29</v>
      </c>
      <c r="O7486" s="11" t="s">
        <v>2548</v>
      </c>
      <c r="P7486" s="11" t="s">
        <v>38</v>
      </c>
      <c r="Q7486" s="20">
        <v>41115.0</v>
      </c>
      <c r="R7486" s="17">
        <f t="shared" si="2"/>
        <v>4.892800874</v>
      </c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>
        <f t="shared" si="8"/>
        <v>2</v>
      </c>
      <c r="AF7486" s="19">
        <f t="shared" si="13"/>
        <v>4</v>
      </c>
      <c r="AG7486" s="9"/>
      <c r="AH7486" s="9"/>
      <c r="AI7486" s="9"/>
    </row>
    <row r="7487" ht="15.0" customHeight="1">
      <c r="A7487" s="11">
        <v>7486.0</v>
      </c>
      <c r="B7487" s="12">
        <f t="shared" si="1194"/>
        <v>41111</v>
      </c>
      <c r="C7487" s="13">
        <v>2012.0</v>
      </c>
      <c r="D7487" s="11" t="s">
        <v>23</v>
      </c>
      <c r="E7487" s="11">
        <v>4.0</v>
      </c>
      <c r="F7487" s="14">
        <v>56.9</v>
      </c>
      <c r="G7487" s="15">
        <v>0.05896483603318849</v>
      </c>
      <c r="H7487" s="11" t="s">
        <v>33</v>
      </c>
      <c r="I7487" s="16">
        <v>10.576</v>
      </c>
      <c r="J7487" s="11" t="s">
        <v>1355</v>
      </c>
      <c r="K7487" s="11" t="s">
        <v>61</v>
      </c>
      <c r="L7487" s="11" t="s">
        <v>27</v>
      </c>
      <c r="M7487" s="11" t="s">
        <v>28</v>
      </c>
      <c r="N7487" s="11" t="s">
        <v>197</v>
      </c>
      <c r="O7487" s="11" t="s">
        <v>2152</v>
      </c>
      <c r="P7487" s="11" t="s">
        <v>38</v>
      </c>
      <c r="Q7487" s="20">
        <v>41115.0</v>
      </c>
      <c r="R7487" s="17">
        <f t="shared" si="2"/>
        <v>14.04400879</v>
      </c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>
        <f t="shared" si="8"/>
        <v>1</v>
      </c>
      <c r="AF7487" s="19">
        <f t="shared" si="13"/>
        <v>4</v>
      </c>
      <c r="AG7487" s="9"/>
      <c r="AH7487" s="9"/>
      <c r="AI7487" s="9"/>
    </row>
    <row r="7488" ht="15.0" customHeight="1">
      <c r="A7488" s="11">
        <v>7487.0</v>
      </c>
      <c r="B7488" s="12">
        <f t="shared" si="1194"/>
        <v>41111</v>
      </c>
      <c r="C7488" s="13">
        <v>2012.0</v>
      </c>
      <c r="D7488" s="11" t="s">
        <v>23</v>
      </c>
      <c r="E7488" s="11">
        <v>43.0</v>
      </c>
      <c r="F7488" s="14">
        <v>80.9</v>
      </c>
      <c r="G7488" s="15">
        <v>0.03161427663044965</v>
      </c>
      <c r="H7488" s="11" t="s">
        <v>45</v>
      </c>
      <c r="I7488" s="16">
        <v>24.048000000000002</v>
      </c>
      <c r="J7488" s="11" t="s">
        <v>2495</v>
      </c>
      <c r="K7488" s="11" t="s">
        <v>61</v>
      </c>
      <c r="L7488" s="11" t="s">
        <v>48</v>
      </c>
      <c r="M7488" s="11" t="s">
        <v>66</v>
      </c>
      <c r="N7488" s="11" t="s">
        <v>69</v>
      </c>
      <c r="O7488" s="11" t="s">
        <v>645</v>
      </c>
      <c r="P7488" s="11" t="s">
        <v>87</v>
      </c>
      <c r="Q7488" s="20">
        <v>41115.0</v>
      </c>
      <c r="R7488" s="17">
        <f t="shared" si="2"/>
        <v>110.7368442</v>
      </c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>
        <f t="shared" si="8"/>
        <v>4</v>
      </c>
      <c r="AF7488" s="19">
        <f t="shared" si="13"/>
        <v>4</v>
      </c>
      <c r="AG7488" s="9"/>
      <c r="AH7488" s="9"/>
      <c r="AI7488" s="9"/>
    </row>
    <row r="7489" ht="15.0" customHeight="1">
      <c r="A7489" s="11">
        <v>7488.0</v>
      </c>
      <c r="B7489" s="12">
        <f t="shared" si="1194"/>
        <v>41111</v>
      </c>
      <c r="C7489" s="13">
        <v>2012.0</v>
      </c>
      <c r="D7489" s="11" t="s">
        <v>23</v>
      </c>
      <c r="E7489" s="11">
        <v>38.0</v>
      </c>
      <c r="F7489" s="14">
        <v>5.2</v>
      </c>
      <c r="G7489" s="15">
        <v>0.066814404432133</v>
      </c>
      <c r="H7489" s="11" t="s">
        <v>33</v>
      </c>
      <c r="I7489" s="16">
        <v>4.5280000000000005</v>
      </c>
      <c r="J7489" s="11" t="s">
        <v>2495</v>
      </c>
      <c r="K7489" s="11" t="s">
        <v>61</v>
      </c>
      <c r="L7489" s="11" t="s">
        <v>48</v>
      </c>
      <c r="M7489" s="11" t="s">
        <v>28</v>
      </c>
      <c r="N7489" s="11" t="s">
        <v>56</v>
      </c>
      <c r="O7489" s="11" t="s">
        <v>79</v>
      </c>
      <c r="P7489" s="11" t="s">
        <v>38</v>
      </c>
      <c r="Q7489" s="20">
        <v>41115.0</v>
      </c>
      <c r="R7489" s="17">
        <f t="shared" si="2"/>
        <v>13.50506194</v>
      </c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>
        <f t="shared" si="8"/>
        <v>4</v>
      </c>
      <c r="AF7489" s="19">
        <f t="shared" si="13"/>
        <v>4</v>
      </c>
      <c r="AG7489" s="9"/>
      <c r="AH7489" s="9"/>
      <c r="AI7489" s="9"/>
    </row>
    <row r="7490" ht="15.0" customHeight="1">
      <c r="A7490" s="11">
        <v>7489.0</v>
      </c>
      <c r="B7490" s="12">
        <f t="shared" ref="B7490:B7492" si="1195">DATE(2012,12,31)-162</f>
        <v>41112</v>
      </c>
      <c r="C7490" s="13">
        <v>2012.0</v>
      </c>
      <c r="D7490" s="11" t="s">
        <v>39</v>
      </c>
      <c r="E7490" s="11">
        <v>10.0</v>
      </c>
      <c r="F7490" s="14">
        <v>15.0</v>
      </c>
      <c r="G7490" s="15">
        <v>0.011230283911671931</v>
      </c>
      <c r="H7490" s="11" t="s">
        <v>24</v>
      </c>
      <c r="I7490" s="16">
        <v>6.720000000000001</v>
      </c>
      <c r="J7490" s="11" t="s">
        <v>1715</v>
      </c>
      <c r="K7490" s="11" t="s">
        <v>26</v>
      </c>
      <c r="L7490" s="11" t="s">
        <v>36</v>
      </c>
      <c r="M7490" s="11" t="s">
        <v>28</v>
      </c>
      <c r="N7490" s="11" t="s">
        <v>42</v>
      </c>
      <c r="O7490" s="11" t="s">
        <v>1525</v>
      </c>
      <c r="P7490" s="11" t="s">
        <v>38</v>
      </c>
      <c r="Q7490" s="20">
        <v>41115.0</v>
      </c>
      <c r="R7490" s="17">
        <f t="shared" si="2"/>
        <v>1.760010095</v>
      </c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>
        <f t="shared" si="8"/>
        <v>2</v>
      </c>
      <c r="AF7490" s="19">
        <f t="shared" si="13"/>
        <v>1</v>
      </c>
      <c r="AG7490" s="9"/>
      <c r="AH7490" s="9"/>
      <c r="AI7490" s="9"/>
    </row>
    <row r="7491" ht="15.0" customHeight="1">
      <c r="A7491" s="11">
        <v>7490.0</v>
      </c>
      <c r="B7491" s="12">
        <f t="shared" si="1195"/>
        <v>41112</v>
      </c>
      <c r="C7491" s="13">
        <v>2012.0</v>
      </c>
      <c r="D7491" s="11" t="s">
        <v>44</v>
      </c>
      <c r="E7491" s="11">
        <v>31.0</v>
      </c>
      <c r="F7491" s="14">
        <v>15.0</v>
      </c>
      <c r="G7491" s="15">
        <v>0.02287748691099472</v>
      </c>
      <c r="H7491" s="11" t="s">
        <v>33</v>
      </c>
      <c r="I7491" s="16">
        <v>1.576</v>
      </c>
      <c r="J7491" s="11" t="s">
        <v>2026</v>
      </c>
      <c r="K7491" s="11" t="s">
        <v>65</v>
      </c>
      <c r="L7491" s="11" t="s">
        <v>41</v>
      </c>
      <c r="M7491" s="11" t="s">
        <v>28</v>
      </c>
      <c r="N7491" s="11" t="s">
        <v>56</v>
      </c>
      <c r="O7491" s="11" t="s">
        <v>59</v>
      </c>
      <c r="P7491" s="11" t="s">
        <v>58</v>
      </c>
      <c r="Q7491" s="20">
        <v>41115.0</v>
      </c>
      <c r="R7491" s="17">
        <f t="shared" si="2"/>
        <v>10.67408633</v>
      </c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>
        <f t="shared" si="8"/>
        <v>3</v>
      </c>
      <c r="AF7491" s="19">
        <f t="shared" si="13"/>
        <v>5</v>
      </c>
      <c r="AG7491" s="9"/>
      <c r="AH7491" s="9"/>
      <c r="AI7491" s="9"/>
    </row>
    <row r="7492" ht="15.0" customHeight="1">
      <c r="A7492" s="11">
        <v>7491.0</v>
      </c>
      <c r="B7492" s="12">
        <f t="shared" si="1195"/>
        <v>41112</v>
      </c>
      <c r="C7492" s="13">
        <v>2012.0</v>
      </c>
      <c r="D7492" s="11" t="s">
        <v>23</v>
      </c>
      <c r="E7492" s="11">
        <v>45.0</v>
      </c>
      <c r="F7492" s="14">
        <v>8.8</v>
      </c>
      <c r="G7492" s="15">
        <v>0.07317750520712786</v>
      </c>
      <c r="H7492" s="11" t="s">
        <v>33</v>
      </c>
      <c r="I7492" s="16">
        <v>4.4799999999999995</v>
      </c>
      <c r="J7492" s="11" t="s">
        <v>2016</v>
      </c>
      <c r="K7492" s="11" t="s">
        <v>35</v>
      </c>
      <c r="L7492" s="11" t="s">
        <v>36</v>
      </c>
      <c r="M7492" s="11" t="s">
        <v>28</v>
      </c>
      <c r="N7492" s="11" t="s">
        <v>42</v>
      </c>
      <c r="O7492" s="11" t="s">
        <v>1443</v>
      </c>
      <c r="P7492" s="11" t="s">
        <v>38</v>
      </c>
      <c r="Q7492" s="20">
        <v>41115.0</v>
      </c>
      <c r="R7492" s="17">
        <f t="shared" si="2"/>
        <v>29.30612729</v>
      </c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>
        <f t="shared" si="8"/>
        <v>2</v>
      </c>
      <c r="AF7492" s="19">
        <f t="shared" si="13"/>
        <v>2</v>
      </c>
      <c r="AG7492" s="9"/>
      <c r="AH7492" s="9"/>
      <c r="AI7492" s="9"/>
    </row>
    <row r="7493" ht="15.0" customHeight="1">
      <c r="A7493" s="11">
        <v>7492.0</v>
      </c>
      <c r="B7493" s="12">
        <f t="shared" ref="B7493:B7494" si="1196">DATE(2012,12,31)-161</f>
        <v>41113</v>
      </c>
      <c r="C7493" s="13">
        <v>2012.0</v>
      </c>
      <c r="D7493" s="11" t="s">
        <v>39</v>
      </c>
      <c r="E7493" s="11">
        <v>32.0</v>
      </c>
      <c r="F7493" s="14">
        <v>5.1</v>
      </c>
      <c r="G7493" s="15">
        <v>0.07293588301462327</v>
      </c>
      <c r="H7493" s="11" t="s">
        <v>33</v>
      </c>
      <c r="I7493" s="16">
        <v>1.6320000000000001</v>
      </c>
      <c r="J7493" s="11" t="s">
        <v>2603</v>
      </c>
      <c r="K7493" s="11" t="s">
        <v>26</v>
      </c>
      <c r="L7493" s="11" t="s">
        <v>41</v>
      </c>
      <c r="M7493" s="11" t="s">
        <v>28</v>
      </c>
      <c r="N7493" s="11" t="s">
        <v>56</v>
      </c>
      <c r="O7493" s="11" t="s">
        <v>1340</v>
      </c>
      <c r="P7493" s="11" t="s">
        <v>58</v>
      </c>
      <c r="Q7493" s="20">
        <v>41116.0</v>
      </c>
      <c r="R7493" s="17">
        <f t="shared" si="2"/>
        <v>12.02216747</v>
      </c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>
        <f t="shared" si="8"/>
        <v>3</v>
      </c>
      <c r="AF7493" s="19">
        <f t="shared" si="13"/>
        <v>1</v>
      </c>
      <c r="AG7493" s="9"/>
      <c r="AH7493" s="9"/>
      <c r="AI7493" s="9"/>
    </row>
    <row r="7494" ht="15.0" customHeight="1">
      <c r="A7494" s="11">
        <v>7493.0</v>
      </c>
      <c r="B7494" s="12">
        <f t="shared" si="1196"/>
        <v>41113</v>
      </c>
      <c r="C7494" s="13">
        <v>2012.0</v>
      </c>
      <c r="D7494" s="11" t="s">
        <v>39</v>
      </c>
      <c r="E7494" s="11">
        <v>20.0</v>
      </c>
      <c r="F7494" s="14">
        <v>23.9</v>
      </c>
      <c r="G7494" s="15">
        <v>0.07461988304093574</v>
      </c>
      <c r="H7494" s="11" t="s">
        <v>45</v>
      </c>
      <c r="I7494" s="16">
        <v>12.544</v>
      </c>
      <c r="J7494" s="11" t="s">
        <v>2281</v>
      </c>
      <c r="K7494" s="11" t="s">
        <v>65</v>
      </c>
      <c r="L7494" s="11" t="s">
        <v>41</v>
      </c>
      <c r="M7494" s="11" t="s">
        <v>49</v>
      </c>
      <c r="N7494" s="11" t="s">
        <v>73</v>
      </c>
      <c r="O7494" s="11" t="s">
        <v>1255</v>
      </c>
      <c r="P7494" s="11" t="s">
        <v>52</v>
      </c>
      <c r="Q7494" s="20">
        <v>41117.0</v>
      </c>
      <c r="R7494" s="17">
        <f t="shared" si="2"/>
        <v>36.60433591</v>
      </c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>
        <f t="shared" si="8"/>
        <v>3</v>
      </c>
      <c r="AF7494" s="19">
        <f t="shared" si="13"/>
        <v>5</v>
      </c>
      <c r="AG7494" s="9"/>
      <c r="AH7494" s="9"/>
      <c r="AI7494" s="9"/>
    </row>
    <row r="7495" ht="15.0" customHeight="1">
      <c r="A7495" s="11">
        <v>7494.0</v>
      </c>
      <c r="B7495" s="12">
        <f>DATE(2012,12,31)-160</f>
        <v>41114</v>
      </c>
      <c r="C7495" s="13">
        <v>2012.0</v>
      </c>
      <c r="D7495" s="11" t="s">
        <v>39</v>
      </c>
      <c r="E7495" s="11">
        <v>17.0</v>
      </c>
      <c r="F7495" s="14">
        <v>4.2</v>
      </c>
      <c r="G7495" s="15">
        <v>0.10923456790123455</v>
      </c>
      <c r="H7495" s="11" t="s">
        <v>33</v>
      </c>
      <c r="I7495" s="16">
        <v>0.752</v>
      </c>
      <c r="J7495" s="11" t="s">
        <v>196</v>
      </c>
      <c r="K7495" s="11" t="s">
        <v>65</v>
      </c>
      <c r="L7495" s="11" t="s">
        <v>27</v>
      </c>
      <c r="M7495" s="11" t="s">
        <v>28</v>
      </c>
      <c r="N7495" s="11" t="s">
        <v>62</v>
      </c>
      <c r="O7495" s="11" t="s">
        <v>291</v>
      </c>
      <c r="P7495" s="11" t="s">
        <v>58</v>
      </c>
      <c r="Q7495" s="20">
        <v>41117.0</v>
      </c>
      <c r="R7495" s="17">
        <f t="shared" si="2"/>
        <v>7.881492543</v>
      </c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>
        <f t="shared" si="8"/>
        <v>1</v>
      </c>
      <c r="AF7495" s="19">
        <f t="shared" si="13"/>
        <v>5</v>
      </c>
      <c r="AG7495" s="9"/>
      <c r="AH7495" s="9"/>
      <c r="AI7495" s="9"/>
    </row>
    <row r="7496" ht="15.0" customHeight="1">
      <c r="A7496" s="11">
        <v>7495.0</v>
      </c>
      <c r="B7496" s="12">
        <f t="shared" ref="B7496:B7499" si="1197">DATE(2012,12,31)-159</f>
        <v>41115</v>
      </c>
      <c r="C7496" s="13">
        <v>2012.0</v>
      </c>
      <c r="D7496" s="11" t="s">
        <v>23</v>
      </c>
      <c r="E7496" s="11">
        <v>31.0</v>
      </c>
      <c r="F7496" s="14">
        <v>65.9</v>
      </c>
      <c r="G7496" s="15">
        <v>0.07611897251013966</v>
      </c>
      <c r="H7496" s="11" t="s">
        <v>33</v>
      </c>
      <c r="I7496" s="16">
        <v>7.192</v>
      </c>
      <c r="J7496" s="11" t="s">
        <v>953</v>
      </c>
      <c r="K7496" s="11" t="s">
        <v>65</v>
      </c>
      <c r="L7496" s="11" t="s">
        <v>48</v>
      </c>
      <c r="M7496" s="11" t="s">
        <v>66</v>
      </c>
      <c r="N7496" s="11" t="s">
        <v>80</v>
      </c>
      <c r="O7496" s="11">
        <v>5180.0</v>
      </c>
      <c r="P7496" s="11" t="s">
        <v>38</v>
      </c>
      <c r="Q7496" s="20">
        <v>41117.0</v>
      </c>
      <c r="R7496" s="17">
        <f t="shared" si="2"/>
        <v>156.0508966</v>
      </c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>
        <f t="shared" si="8"/>
        <v>4</v>
      </c>
      <c r="AF7496" s="19">
        <f t="shared" si="13"/>
        <v>5</v>
      </c>
      <c r="AG7496" s="9"/>
      <c r="AH7496" s="9"/>
      <c r="AI7496" s="9"/>
    </row>
    <row r="7497" ht="15.0" customHeight="1">
      <c r="A7497" s="11">
        <v>7496.0</v>
      </c>
      <c r="B7497" s="12">
        <f t="shared" si="1197"/>
        <v>41115</v>
      </c>
      <c r="C7497" s="13">
        <v>2012.0</v>
      </c>
      <c r="D7497" s="11" t="s">
        <v>32</v>
      </c>
      <c r="E7497" s="11">
        <v>10.0</v>
      </c>
      <c r="F7497" s="14">
        <v>500.9</v>
      </c>
      <c r="G7497" s="15">
        <v>0.020772899834517633</v>
      </c>
      <c r="H7497" s="11" t="s">
        <v>45</v>
      </c>
      <c r="I7497" s="16">
        <v>20.8</v>
      </c>
      <c r="J7497" s="11" t="s">
        <v>1039</v>
      </c>
      <c r="K7497" s="11" t="s">
        <v>35</v>
      </c>
      <c r="L7497" s="11" t="s">
        <v>48</v>
      </c>
      <c r="M7497" s="11" t="s">
        <v>49</v>
      </c>
      <c r="N7497" s="11" t="s">
        <v>50</v>
      </c>
      <c r="O7497" s="11" t="s">
        <v>1649</v>
      </c>
      <c r="P7497" s="11" t="s">
        <v>52</v>
      </c>
      <c r="Q7497" s="20">
        <v>41117.0</v>
      </c>
      <c r="R7497" s="17">
        <f t="shared" si="2"/>
        <v>104.4835316</v>
      </c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>
        <f t="shared" si="8"/>
        <v>4</v>
      </c>
      <c r="AF7497" s="19">
        <f t="shared" si="13"/>
        <v>2</v>
      </c>
      <c r="AG7497" s="9"/>
      <c r="AH7497" s="9"/>
      <c r="AI7497" s="9"/>
    </row>
    <row r="7498" ht="15.0" customHeight="1">
      <c r="A7498" s="11">
        <v>7497.0</v>
      </c>
      <c r="B7498" s="12">
        <f t="shared" si="1197"/>
        <v>41115</v>
      </c>
      <c r="C7498" s="13">
        <v>2012.0</v>
      </c>
      <c r="D7498" s="11" t="s">
        <v>32</v>
      </c>
      <c r="E7498" s="11">
        <v>45.0</v>
      </c>
      <c r="F7498" s="14">
        <v>70.8</v>
      </c>
      <c r="G7498" s="15">
        <v>0.016503124905648942</v>
      </c>
      <c r="H7498" s="11" t="s">
        <v>45</v>
      </c>
      <c r="I7498" s="16">
        <v>71.44</v>
      </c>
      <c r="J7498" s="11" t="s">
        <v>1039</v>
      </c>
      <c r="K7498" s="11" t="s">
        <v>35</v>
      </c>
      <c r="L7498" s="11" t="s">
        <v>48</v>
      </c>
      <c r="M7498" s="11" t="s">
        <v>49</v>
      </c>
      <c r="N7498" s="11" t="s">
        <v>85</v>
      </c>
      <c r="O7498" s="11" t="s">
        <v>1522</v>
      </c>
      <c r="P7498" s="11" t="s">
        <v>87</v>
      </c>
      <c r="Q7498" s="20">
        <v>41117.0</v>
      </c>
      <c r="R7498" s="17">
        <f t="shared" si="2"/>
        <v>53.75793919</v>
      </c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>
        <f t="shared" si="8"/>
        <v>4</v>
      </c>
      <c r="AF7498" s="19">
        <f t="shared" si="13"/>
        <v>2</v>
      </c>
      <c r="AG7498" s="9"/>
      <c r="AH7498" s="9"/>
      <c r="AI7498" s="9"/>
    </row>
    <row r="7499" ht="15.0" customHeight="1">
      <c r="A7499" s="11">
        <v>7498.0</v>
      </c>
      <c r="B7499" s="12">
        <f t="shared" si="1197"/>
        <v>41115</v>
      </c>
      <c r="C7499" s="13">
        <v>2012.0</v>
      </c>
      <c r="D7499" s="11" t="s">
        <v>102</v>
      </c>
      <c r="E7499" s="11">
        <v>28.0</v>
      </c>
      <c r="F7499" s="14">
        <v>41.7</v>
      </c>
      <c r="G7499" s="15">
        <v>0.06632653061224493</v>
      </c>
      <c r="H7499" s="11" t="s">
        <v>24</v>
      </c>
      <c r="I7499" s="16">
        <v>3.6</v>
      </c>
      <c r="J7499" s="11" t="s">
        <v>2000</v>
      </c>
      <c r="K7499" s="11" t="s">
        <v>35</v>
      </c>
      <c r="L7499" s="11" t="s">
        <v>36</v>
      </c>
      <c r="M7499" s="11" t="s">
        <v>28</v>
      </c>
      <c r="N7499" s="11" t="s">
        <v>197</v>
      </c>
      <c r="O7499" s="11" t="s">
        <v>2474</v>
      </c>
      <c r="P7499" s="11" t="s">
        <v>38</v>
      </c>
      <c r="Q7499" s="20">
        <v>41118.0</v>
      </c>
      <c r="R7499" s="17">
        <f t="shared" si="2"/>
        <v>77.68163265</v>
      </c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>
        <f t="shared" si="8"/>
        <v>2</v>
      </c>
      <c r="AF7499" s="19">
        <f t="shared" si="13"/>
        <v>2</v>
      </c>
      <c r="AG7499" s="9"/>
      <c r="AH7499" s="9"/>
      <c r="AI7499" s="9"/>
    </row>
    <row r="7500" ht="15.0" customHeight="1">
      <c r="A7500" s="11">
        <v>7499.0</v>
      </c>
      <c r="B7500" s="12">
        <f t="shared" ref="B7500:B7503" si="1198">DATE(2012,12,31)-158</f>
        <v>41116</v>
      </c>
      <c r="C7500" s="13">
        <v>2012.0</v>
      </c>
      <c r="D7500" s="11" t="s">
        <v>44</v>
      </c>
      <c r="E7500" s="11">
        <v>16.0</v>
      </c>
      <c r="F7500" s="14">
        <v>216.6</v>
      </c>
      <c r="G7500" s="15">
        <v>0.060013363624214874</v>
      </c>
      <c r="H7500" s="11" t="s">
        <v>45</v>
      </c>
      <c r="I7500" s="16">
        <v>51.36000000000001</v>
      </c>
      <c r="J7500" s="11" t="s">
        <v>2360</v>
      </c>
      <c r="K7500" s="11" t="s">
        <v>35</v>
      </c>
      <c r="L7500" s="11" t="s">
        <v>41</v>
      </c>
      <c r="M7500" s="11" t="s">
        <v>49</v>
      </c>
      <c r="N7500" s="11" t="s">
        <v>50</v>
      </c>
      <c r="O7500" s="11" t="s">
        <v>2426</v>
      </c>
      <c r="P7500" s="11" t="s">
        <v>52</v>
      </c>
      <c r="Q7500" s="20">
        <v>41118.0</v>
      </c>
      <c r="R7500" s="17">
        <f t="shared" si="2"/>
        <v>211.0645993</v>
      </c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>
        <f t="shared" si="8"/>
        <v>3</v>
      </c>
      <c r="AF7500" s="19">
        <f t="shared" si="13"/>
        <v>2</v>
      </c>
      <c r="AG7500" s="9"/>
      <c r="AH7500" s="9"/>
      <c r="AI7500" s="9"/>
    </row>
    <row r="7501" ht="15.0" customHeight="1">
      <c r="A7501" s="11">
        <v>7500.0</v>
      </c>
      <c r="B7501" s="12">
        <f t="shared" si="1198"/>
        <v>41116</v>
      </c>
      <c r="C7501" s="13">
        <v>2012.0</v>
      </c>
      <c r="D7501" s="11" t="s">
        <v>44</v>
      </c>
      <c r="E7501" s="11">
        <v>8.0</v>
      </c>
      <c r="F7501" s="14">
        <v>16.7</v>
      </c>
      <c r="G7501" s="15">
        <v>0.04044107512060645</v>
      </c>
      <c r="H7501" s="11" t="s">
        <v>33</v>
      </c>
      <c r="I7501" s="16">
        <v>5.632000000000001</v>
      </c>
      <c r="J7501" s="11" t="s">
        <v>2360</v>
      </c>
      <c r="K7501" s="11" t="s">
        <v>35</v>
      </c>
      <c r="L7501" s="11" t="s">
        <v>41</v>
      </c>
      <c r="M7501" s="11" t="s">
        <v>28</v>
      </c>
      <c r="N7501" s="11" t="s">
        <v>29</v>
      </c>
      <c r="O7501" s="11" t="s">
        <v>1647</v>
      </c>
      <c r="P7501" s="11" t="s">
        <v>38</v>
      </c>
      <c r="Q7501" s="20">
        <v>41118.0</v>
      </c>
      <c r="R7501" s="17">
        <f t="shared" si="2"/>
        <v>5.630691771</v>
      </c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>
        <f t="shared" si="8"/>
        <v>3</v>
      </c>
      <c r="AF7501" s="19">
        <f t="shared" si="13"/>
        <v>2</v>
      </c>
      <c r="AG7501" s="9"/>
      <c r="AH7501" s="9"/>
      <c r="AI7501" s="9"/>
    </row>
    <row r="7502" ht="15.0" customHeight="1">
      <c r="A7502" s="11">
        <v>7501.0</v>
      </c>
      <c r="B7502" s="12">
        <f t="shared" si="1198"/>
        <v>41116</v>
      </c>
      <c r="C7502" s="13">
        <v>2012.0</v>
      </c>
      <c r="D7502" s="11" t="s">
        <v>44</v>
      </c>
      <c r="E7502" s="11">
        <v>31.0</v>
      </c>
      <c r="F7502" s="14">
        <v>15.3</v>
      </c>
      <c r="G7502" s="15">
        <v>0.06936581593194129</v>
      </c>
      <c r="H7502" s="11" t="s">
        <v>33</v>
      </c>
      <c r="I7502" s="16">
        <v>7.024</v>
      </c>
      <c r="J7502" s="11" t="s">
        <v>1744</v>
      </c>
      <c r="K7502" s="11" t="s">
        <v>61</v>
      </c>
      <c r="L7502" s="11" t="s">
        <v>36</v>
      </c>
      <c r="M7502" s="11" t="s">
        <v>28</v>
      </c>
      <c r="N7502" s="11" t="s">
        <v>29</v>
      </c>
      <c r="O7502" s="11" t="s">
        <v>1397</v>
      </c>
      <c r="P7502" s="11" t="s">
        <v>38</v>
      </c>
      <c r="Q7502" s="20">
        <v>41118.0</v>
      </c>
      <c r="R7502" s="17">
        <f t="shared" si="2"/>
        <v>33.38743199</v>
      </c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>
        <f t="shared" si="8"/>
        <v>2</v>
      </c>
      <c r="AF7502" s="19">
        <f t="shared" si="13"/>
        <v>4</v>
      </c>
      <c r="AG7502" s="9"/>
      <c r="AH7502" s="9"/>
      <c r="AI7502" s="9"/>
    </row>
    <row r="7503" ht="15.0" customHeight="1">
      <c r="A7503" s="11">
        <v>7502.0</v>
      </c>
      <c r="B7503" s="12">
        <f t="shared" si="1198"/>
        <v>41116</v>
      </c>
      <c r="C7503" s="13">
        <v>2012.0</v>
      </c>
      <c r="D7503" s="11" t="s">
        <v>23</v>
      </c>
      <c r="E7503" s="11">
        <v>30.0</v>
      </c>
      <c r="F7503" s="14">
        <v>15.9</v>
      </c>
      <c r="G7503" s="15">
        <v>0.08007662835249044</v>
      </c>
      <c r="H7503" s="11" t="s">
        <v>33</v>
      </c>
      <c r="I7503" s="16">
        <v>3.2</v>
      </c>
      <c r="J7503" s="11" t="s">
        <v>200</v>
      </c>
      <c r="K7503" s="11" t="s">
        <v>47</v>
      </c>
      <c r="L7503" s="11" t="s">
        <v>48</v>
      </c>
      <c r="M7503" s="11" t="s">
        <v>66</v>
      </c>
      <c r="N7503" s="11" t="s">
        <v>67</v>
      </c>
      <c r="O7503" s="11" t="s">
        <v>941</v>
      </c>
      <c r="P7503" s="11" t="s">
        <v>38</v>
      </c>
      <c r="Q7503" s="20">
        <v>41118.0</v>
      </c>
      <c r="R7503" s="17">
        <f t="shared" si="2"/>
        <v>38.45279693</v>
      </c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>
        <f t="shared" si="8"/>
        <v>4</v>
      </c>
      <c r="AF7503" s="19">
        <f t="shared" si="13"/>
        <v>3</v>
      </c>
      <c r="AG7503" s="9"/>
      <c r="AH7503" s="9"/>
      <c r="AI7503" s="9"/>
    </row>
    <row r="7504" ht="15.0" customHeight="1">
      <c r="A7504" s="11">
        <v>7503.0</v>
      </c>
      <c r="B7504" s="12">
        <f t="shared" ref="B7504:B7507" si="1199">DATE(2012,12,31)-157</f>
        <v>41117</v>
      </c>
      <c r="C7504" s="13">
        <v>2012.0</v>
      </c>
      <c r="D7504" s="11" t="s">
        <v>32</v>
      </c>
      <c r="E7504" s="11">
        <v>8.0</v>
      </c>
      <c r="F7504" s="14">
        <v>140.8</v>
      </c>
      <c r="G7504" s="15">
        <v>0.027602039708054433</v>
      </c>
      <c r="H7504" s="11" t="s">
        <v>33</v>
      </c>
      <c r="I7504" s="16">
        <v>19.592</v>
      </c>
      <c r="J7504" s="11" t="s">
        <v>1058</v>
      </c>
      <c r="K7504" s="11" t="s">
        <v>61</v>
      </c>
      <c r="L7504" s="11" t="s">
        <v>41</v>
      </c>
      <c r="M7504" s="11" t="s">
        <v>49</v>
      </c>
      <c r="N7504" s="11" t="s">
        <v>50</v>
      </c>
      <c r="O7504" s="11" t="s">
        <v>2054</v>
      </c>
      <c r="P7504" s="11" t="s">
        <v>31</v>
      </c>
      <c r="Q7504" s="20">
        <v>41119.0</v>
      </c>
      <c r="R7504" s="17">
        <f t="shared" si="2"/>
        <v>31.63171669</v>
      </c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>
        <f t="shared" si="8"/>
        <v>3</v>
      </c>
      <c r="AF7504" s="19">
        <f t="shared" si="13"/>
        <v>4</v>
      </c>
      <c r="AG7504" s="9"/>
      <c r="AH7504" s="9"/>
      <c r="AI7504" s="9"/>
    </row>
    <row r="7505" ht="15.0" customHeight="1">
      <c r="A7505" s="11">
        <v>7504.0</v>
      </c>
      <c r="B7505" s="12">
        <f t="shared" si="1199"/>
        <v>41117</v>
      </c>
      <c r="C7505" s="13">
        <v>2012.0</v>
      </c>
      <c r="D7505" s="11" t="s">
        <v>39</v>
      </c>
      <c r="E7505" s="11">
        <v>32.0</v>
      </c>
      <c r="F7505" s="14">
        <v>200.9</v>
      </c>
      <c r="G7505" s="15">
        <v>0.09165275270758122</v>
      </c>
      <c r="H7505" s="11" t="s">
        <v>45</v>
      </c>
      <c r="I7505" s="16">
        <v>12.472000000000001</v>
      </c>
      <c r="J7505" s="11" t="s">
        <v>2545</v>
      </c>
      <c r="K7505" s="11" t="s">
        <v>65</v>
      </c>
      <c r="L7505" s="11" t="s">
        <v>27</v>
      </c>
      <c r="M7505" s="11" t="s">
        <v>66</v>
      </c>
      <c r="N7505" s="11" t="s">
        <v>69</v>
      </c>
      <c r="O7505" s="11" t="s">
        <v>1675</v>
      </c>
      <c r="P7505" s="11" t="s">
        <v>52</v>
      </c>
      <c r="Q7505" s="20">
        <v>41119.0</v>
      </c>
      <c r="R7505" s="17">
        <f t="shared" si="2"/>
        <v>590.3603097</v>
      </c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>
        <f t="shared" si="8"/>
        <v>1</v>
      </c>
      <c r="AF7505" s="19">
        <f t="shared" si="13"/>
        <v>5</v>
      </c>
      <c r="AG7505" s="9"/>
      <c r="AH7505" s="9"/>
      <c r="AI7505" s="9"/>
    </row>
    <row r="7506" ht="15.0" customHeight="1">
      <c r="A7506" s="11">
        <v>7505.0</v>
      </c>
      <c r="B7506" s="12">
        <f t="shared" si="1199"/>
        <v>41117</v>
      </c>
      <c r="C7506" s="13">
        <v>2012.0</v>
      </c>
      <c r="D7506" s="11" t="s">
        <v>44</v>
      </c>
      <c r="E7506" s="11">
        <v>12.0</v>
      </c>
      <c r="F7506" s="14">
        <v>105.3</v>
      </c>
      <c r="G7506" s="15">
        <v>0.023668873164422087</v>
      </c>
      <c r="H7506" s="11" t="s">
        <v>24</v>
      </c>
      <c r="I7506" s="16">
        <v>19.592</v>
      </c>
      <c r="J7506" s="11" t="s">
        <v>1303</v>
      </c>
      <c r="K7506" s="11" t="s">
        <v>61</v>
      </c>
      <c r="L7506" s="11" t="s">
        <v>41</v>
      </c>
      <c r="M7506" s="11" t="s">
        <v>49</v>
      </c>
      <c r="N7506" s="11" t="s">
        <v>73</v>
      </c>
      <c r="O7506" s="11" t="s">
        <v>406</v>
      </c>
      <c r="P7506" s="11" t="s">
        <v>31</v>
      </c>
      <c r="Q7506" s="20">
        <v>41119.0</v>
      </c>
      <c r="R7506" s="17">
        <f t="shared" si="2"/>
        <v>30.37170869</v>
      </c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>
        <f t="shared" si="8"/>
        <v>3</v>
      </c>
      <c r="AF7506" s="19">
        <f t="shared" si="13"/>
        <v>4</v>
      </c>
      <c r="AG7506" s="9"/>
      <c r="AH7506" s="9"/>
      <c r="AI7506" s="9"/>
    </row>
    <row r="7507" ht="15.0" customHeight="1">
      <c r="A7507" s="11">
        <v>7506.0</v>
      </c>
      <c r="B7507" s="12">
        <f t="shared" si="1199"/>
        <v>41117</v>
      </c>
      <c r="C7507" s="13">
        <v>2012.0</v>
      </c>
      <c r="D7507" s="11" t="s">
        <v>44</v>
      </c>
      <c r="E7507" s="11">
        <v>42.0</v>
      </c>
      <c r="F7507" s="14">
        <v>39.8</v>
      </c>
      <c r="G7507" s="15">
        <v>0.07644709257420279</v>
      </c>
      <c r="H7507" s="11" t="s">
        <v>33</v>
      </c>
      <c r="I7507" s="16">
        <v>2.4320000000000004</v>
      </c>
      <c r="J7507" s="11" t="s">
        <v>1303</v>
      </c>
      <c r="K7507" s="11" t="s">
        <v>61</v>
      </c>
      <c r="L7507" s="11" t="s">
        <v>41</v>
      </c>
      <c r="M7507" s="11" t="s">
        <v>49</v>
      </c>
      <c r="N7507" s="11" t="s">
        <v>73</v>
      </c>
      <c r="O7507" s="11" t="s">
        <v>1149</v>
      </c>
      <c r="P7507" s="11" t="s">
        <v>58</v>
      </c>
      <c r="Q7507" s="20">
        <v>41120.0</v>
      </c>
      <c r="R7507" s="17">
        <f t="shared" si="2"/>
        <v>127.9748793</v>
      </c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>
        <f t="shared" si="8"/>
        <v>3</v>
      </c>
      <c r="AF7507" s="19">
        <f t="shared" si="13"/>
        <v>4</v>
      </c>
      <c r="AG7507" s="9"/>
      <c r="AH7507" s="9"/>
      <c r="AI7507" s="9"/>
    </row>
    <row r="7508" ht="15.0" customHeight="1">
      <c r="A7508" s="11">
        <v>7507.0</v>
      </c>
      <c r="B7508" s="12">
        <f t="shared" ref="B7508:B7513" si="1200">DATE(2012,12,31)-156</f>
        <v>41118</v>
      </c>
      <c r="C7508" s="13">
        <v>2012.0</v>
      </c>
      <c r="D7508" s="11" t="s">
        <v>44</v>
      </c>
      <c r="E7508" s="11">
        <v>46.0</v>
      </c>
      <c r="F7508" s="14">
        <v>4.9</v>
      </c>
      <c r="G7508" s="15">
        <v>0.03899371069182383</v>
      </c>
      <c r="H7508" s="11" t="s">
        <v>33</v>
      </c>
      <c r="I7508" s="16">
        <v>3.8000000000000003</v>
      </c>
      <c r="J7508" s="11" t="s">
        <v>113</v>
      </c>
      <c r="K7508" s="11" t="s">
        <v>61</v>
      </c>
      <c r="L7508" s="11" t="s">
        <v>48</v>
      </c>
      <c r="M7508" s="11" t="s">
        <v>28</v>
      </c>
      <c r="N7508" s="11" t="s">
        <v>56</v>
      </c>
      <c r="O7508" s="11" t="s">
        <v>313</v>
      </c>
      <c r="P7508" s="11" t="s">
        <v>38</v>
      </c>
      <c r="Q7508" s="20">
        <v>41120.0</v>
      </c>
      <c r="R7508" s="17">
        <f t="shared" si="2"/>
        <v>8.937358491</v>
      </c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>
        <f t="shared" si="8"/>
        <v>4</v>
      </c>
      <c r="AF7508" s="19">
        <f t="shared" si="13"/>
        <v>4</v>
      </c>
      <c r="AG7508" s="9"/>
      <c r="AH7508" s="9"/>
      <c r="AI7508" s="9"/>
    </row>
    <row r="7509" ht="15.0" customHeight="1">
      <c r="A7509" s="11">
        <v>7508.0</v>
      </c>
      <c r="B7509" s="12">
        <f t="shared" si="1200"/>
        <v>41118</v>
      </c>
      <c r="C7509" s="13">
        <v>2012.0</v>
      </c>
      <c r="D7509" s="11" t="s">
        <v>44</v>
      </c>
      <c r="E7509" s="11">
        <v>27.0</v>
      </c>
      <c r="F7509" s="14">
        <v>66.9</v>
      </c>
      <c r="G7509" s="15">
        <v>0.06809619032969275</v>
      </c>
      <c r="H7509" s="11" t="s">
        <v>33</v>
      </c>
      <c r="I7509" s="16">
        <v>11.192</v>
      </c>
      <c r="J7509" s="11" t="s">
        <v>113</v>
      </c>
      <c r="K7509" s="11" t="s">
        <v>61</v>
      </c>
      <c r="L7509" s="11" t="s">
        <v>48</v>
      </c>
      <c r="M7509" s="11" t="s">
        <v>66</v>
      </c>
      <c r="N7509" s="11" t="s">
        <v>80</v>
      </c>
      <c r="O7509" s="11" t="s">
        <v>2501</v>
      </c>
      <c r="P7509" s="11" t="s">
        <v>75</v>
      </c>
      <c r="Q7509" s="20">
        <v>41120.0</v>
      </c>
      <c r="R7509" s="17">
        <f t="shared" si="2"/>
        <v>123.7642812</v>
      </c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>
        <f t="shared" si="8"/>
        <v>4</v>
      </c>
      <c r="AF7509" s="19">
        <f t="shared" si="13"/>
        <v>4</v>
      </c>
      <c r="AG7509" s="9"/>
      <c r="AH7509" s="9"/>
      <c r="AI7509" s="9"/>
    </row>
    <row r="7510" ht="15.0" customHeight="1">
      <c r="A7510" s="11">
        <v>7509.0</v>
      </c>
      <c r="B7510" s="12">
        <f t="shared" si="1200"/>
        <v>41118</v>
      </c>
      <c r="C7510" s="13">
        <v>2012.0</v>
      </c>
      <c r="D7510" s="11" t="s">
        <v>102</v>
      </c>
      <c r="E7510" s="11">
        <v>49.0</v>
      </c>
      <c r="F7510" s="14">
        <v>65.9</v>
      </c>
      <c r="G7510" s="15">
        <v>0.030688497061292938</v>
      </c>
      <c r="H7510" s="11" t="s">
        <v>33</v>
      </c>
      <c r="I7510" s="16">
        <v>3.3600000000000003</v>
      </c>
      <c r="J7510" s="11" t="s">
        <v>243</v>
      </c>
      <c r="K7510" s="11" t="s">
        <v>61</v>
      </c>
      <c r="L7510" s="11" t="s">
        <v>41</v>
      </c>
      <c r="M7510" s="11" t="s">
        <v>66</v>
      </c>
      <c r="N7510" s="11" t="s">
        <v>80</v>
      </c>
      <c r="O7510" s="11" t="s">
        <v>2572</v>
      </c>
      <c r="P7510" s="11" t="s">
        <v>38</v>
      </c>
      <c r="Q7510" s="20">
        <v>41121.0</v>
      </c>
      <c r="R7510" s="17">
        <f t="shared" si="2"/>
        <v>99.19933921</v>
      </c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>
        <f t="shared" si="8"/>
        <v>3</v>
      </c>
      <c r="AF7510" s="19">
        <f t="shared" si="13"/>
        <v>4</v>
      </c>
      <c r="AG7510" s="9"/>
      <c r="AH7510" s="9"/>
      <c r="AI7510" s="9"/>
    </row>
    <row r="7511" ht="15.0" customHeight="1">
      <c r="A7511" s="11">
        <v>7510.0</v>
      </c>
      <c r="B7511" s="12">
        <f t="shared" si="1200"/>
        <v>41118</v>
      </c>
      <c r="C7511" s="13">
        <v>2012.0</v>
      </c>
      <c r="D7511" s="11" t="s">
        <v>102</v>
      </c>
      <c r="E7511" s="11">
        <v>38.0</v>
      </c>
      <c r="F7511" s="14">
        <v>3.7</v>
      </c>
      <c r="G7511" s="15">
        <v>0.0500134589502018</v>
      </c>
      <c r="H7511" s="11" t="s">
        <v>33</v>
      </c>
      <c r="I7511" s="16">
        <v>0.568</v>
      </c>
      <c r="J7511" s="11" t="s">
        <v>243</v>
      </c>
      <c r="K7511" s="11" t="s">
        <v>61</v>
      </c>
      <c r="L7511" s="11" t="s">
        <v>41</v>
      </c>
      <c r="M7511" s="11" t="s">
        <v>28</v>
      </c>
      <c r="N7511" s="11" t="s">
        <v>216</v>
      </c>
      <c r="O7511" s="11" t="s">
        <v>2032</v>
      </c>
      <c r="P7511" s="11" t="s">
        <v>58</v>
      </c>
      <c r="Q7511" s="20">
        <v>41121.0</v>
      </c>
      <c r="R7511" s="17">
        <f t="shared" si="2"/>
        <v>7.060299973</v>
      </c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>
        <f t="shared" si="8"/>
        <v>3</v>
      </c>
      <c r="AF7511" s="19">
        <f t="shared" si="13"/>
        <v>4</v>
      </c>
      <c r="AG7511" s="9"/>
      <c r="AH7511" s="9"/>
      <c r="AI7511" s="9"/>
    </row>
    <row r="7512" ht="15.0" customHeight="1">
      <c r="A7512" s="11">
        <v>7511.0</v>
      </c>
      <c r="B7512" s="12">
        <f t="shared" si="1200"/>
        <v>41118</v>
      </c>
      <c r="C7512" s="13">
        <v>2012.0</v>
      </c>
      <c r="D7512" s="11" t="s">
        <v>102</v>
      </c>
      <c r="E7512" s="11">
        <v>31.0</v>
      </c>
      <c r="F7512" s="14">
        <v>70.9</v>
      </c>
      <c r="G7512" s="15">
        <v>0.05119993167648821</v>
      </c>
      <c r="H7512" s="11" t="s">
        <v>45</v>
      </c>
      <c r="I7512" s="16">
        <v>24.0</v>
      </c>
      <c r="J7512" s="11" t="s">
        <v>1482</v>
      </c>
      <c r="K7512" s="11" t="s">
        <v>61</v>
      </c>
      <c r="L7512" s="11" t="s">
        <v>36</v>
      </c>
      <c r="M7512" s="11" t="s">
        <v>49</v>
      </c>
      <c r="N7512" s="11" t="s">
        <v>50</v>
      </c>
      <c r="O7512" s="11" t="s">
        <v>1855</v>
      </c>
      <c r="P7512" s="11" t="s">
        <v>52</v>
      </c>
      <c r="Q7512" s="20">
        <v>41121.0</v>
      </c>
      <c r="R7512" s="17">
        <f t="shared" si="2"/>
        <v>113.7611282</v>
      </c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>
        <f t="shared" si="8"/>
        <v>2</v>
      </c>
      <c r="AF7512" s="19">
        <f t="shared" si="13"/>
        <v>4</v>
      </c>
      <c r="AG7512" s="9"/>
      <c r="AH7512" s="9"/>
      <c r="AI7512" s="9"/>
    </row>
    <row r="7513" ht="15.0" customHeight="1">
      <c r="A7513" s="11">
        <v>7512.0</v>
      </c>
      <c r="B7513" s="12">
        <f t="shared" si="1200"/>
        <v>41118</v>
      </c>
      <c r="C7513" s="13">
        <v>2012.0</v>
      </c>
      <c r="D7513" s="11" t="s">
        <v>44</v>
      </c>
      <c r="E7513" s="11">
        <v>39.0</v>
      </c>
      <c r="F7513" s="14">
        <v>70.7</v>
      </c>
      <c r="G7513" s="15">
        <v>0.07666489996024915</v>
      </c>
      <c r="H7513" s="11" t="s">
        <v>33</v>
      </c>
      <c r="I7513" s="16">
        <v>30.064</v>
      </c>
      <c r="J7513" s="11" t="s">
        <v>219</v>
      </c>
      <c r="K7513" s="11" t="s">
        <v>61</v>
      </c>
      <c r="L7513" s="11" t="s">
        <v>48</v>
      </c>
      <c r="M7513" s="11" t="s">
        <v>49</v>
      </c>
      <c r="N7513" s="11" t="s">
        <v>73</v>
      </c>
      <c r="O7513" s="11" t="s">
        <v>2056</v>
      </c>
      <c r="P7513" s="11" t="s">
        <v>58</v>
      </c>
      <c r="Q7513" s="20">
        <v>41121.0</v>
      </c>
      <c r="R7513" s="17">
        <f t="shared" si="2"/>
        <v>213.6929822</v>
      </c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>
        <f t="shared" si="8"/>
        <v>4</v>
      </c>
      <c r="AF7513" s="19">
        <f t="shared" si="13"/>
        <v>4</v>
      </c>
      <c r="AG7513" s="9"/>
      <c r="AH7513" s="9"/>
      <c r="AI7513" s="9"/>
    </row>
    <row r="7514" ht="15.0" customHeight="1">
      <c r="A7514" s="11">
        <v>7513.0</v>
      </c>
      <c r="B7514" s="12">
        <f t="shared" ref="B7514:B7525" si="1201">DATE(2012,12,31)-155</f>
        <v>41119</v>
      </c>
      <c r="C7514" s="13">
        <v>2012.0</v>
      </c>
      <c r="D7514" s="11" t="s">
        <v>44</v>
      </c>
      <c r="E7514" s="11">
        <v>2.0</v>
      </c>
      <c r="F7514" s="14">
        <v>4.1</v>
      </c>
      <c r="G7514" s="15">
        <v>0.03311827956989264</v>
      </c>
      <c r="H7514" s="11" t="s">
        <v>33</v>
      </c>
      <c r="I7514" s="16">
        <v>0.792</v>
      </c>
      <c r="J7514" s="11" t="s">
        <v>2016</v>
      </c>
      <c r="K7514" s="11" t="s">
        <v>35</v>
      </c>
      <c r="L7514" s="11" t="s">
        <v>36</v>
      </c>
      <c r="M7514" s="11" t="s">
        <v>28</v>
      </c>
      <c r="N7514" s="11" t="s">
        <v>188</v>
      </c>
      <c r="O7514" s="11" t="s">
        <v>189</v>
      </c>
      <c r="P7514" s="11" t="s">
        <v>38</v>
      </c>
      <c r="Q7514" s="20">
        <v>41121.0</v>
      </c>
      <c r="R7514" s="17">
        <f t="shared" si="2"/>
        <v>0.2977995699</v>
      </c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>
        <f t="shared" si="8"/>
        <v>2</v>
      </c>
      <c r="AF7514" s="19">
        <f t="shared" si="13"/>
        <v>2</v>
      </c>
      <c r="AG7514" s="9"/>
      <c r="AH7514" s="9"/>
      <c r="AI7514" s="9"/>
    </row>
    <row r="7515" ht="15.0" customHeight="1">
      <c r="A7515" s="11">
        <v>7514.0</v>
      </c>
      <c r="B7515" s="12">
        <f t="shared" si="1201"/>
        <v>41119</v>
      </c>
      <c r="C7515" s="13">
        <v>2012.0</v>
      </c>
      <c r="D7515" s="11" t="s">
        <v>44</v>
      </c>
      <c r="E7515" s="11">
        <v>41.0</v>
      </c>
      <c r="F7515" s="14">
        <v>14.9</v>
      </c>
      <c r="G7515" s="15">
        <v>0.08962525818825604</v>
      </c>
      <c r="H7515" s="11" t="s">
        <v>24</v>
      </c>
      <c r="I7515" s="16">
        <v>6.152000000000001</v>
      </c>
      <c r="J7515" s="11" t="s">
        <v>2016</v>
      </c>
      <c r="K7515" s="11" t="s">
        <v>35</v>
      </c>
      <c r="L7515" s="11" t="s">
        <v>36</v>
      </c>
      <c r="M7515" s="11" t="s">
        <v>28</v>
      </c>
      <c r="N7515" s="11" t="s">
        <v>29</v>
      </c>
      <c r="O7515" s="11" t="s">
        <v>951</v>
      </c>
      <c r="P7515" s="11" t="s">
        <v>38</v>
      </c>
      <c r="Q7515" s="20">
        <v>41121.0</v>
      </c>
      <c r="R7515" s="17">
        <f t="shared" si="2"/>
        <v>55.30344482</v>
      </c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>
        <f t="shared" si="8"/>
        <v>2</v>
      </c>
      <c r="AF7515" s="19">
        <f t="shared" si="13"/>
        <v>2</v>
      </c>
      <c r="AG7515" s="9"/>
      <c r="AH7515" s="9"/>
      <c r="AI7515" s="9"/>
    </row>
    <row r="7516" ht="15.0" customHeight="1">
      <c r="A7516" s="11">
        <v>7515.0</v>
      </c>
      <c r="B7516" s="12">
        <f t="shared" si="1201"/>
        <v>41119</v>
      </c>
      <c r="C7516" s="13">
        <v>2012.0</v>
      </c>
      <c r="D7516" s="11" t="s">
        <v>32</v>
      </c>
      <c r="E7516" s="11">
        <v>38.0</v>
      </c>
      <c r="F7516" s="14">
        <v>3.2</v>
      </c>
      <c r="G7516" s="15">
        <v>0.039875195007800165</v>
      </c>
      <c r="H7516" s="11" t="s">
        <v>33</v>
      </c>
      <c r="I7516" s="16">
        <v>1.4880000000000002</v>
      </c>
      <c r="J7516" s="11" t="s">
        <v>1130</v>
      </c>
      <c r="K7516" s="11" t="s">
        <v>61</v>
      </c>
      <c r="L7516" s="11" t="s">
        <v>36</v>
      </c>
      <c r="M7516" s="11" t="s">
        <v>28</v>
      </c>
      <c r="N7516" s="11" t="s">
        <v>62</v>
      </c>
      <c r="O7516" s="11" t="s">
        <v>1973</v>
      </c>
      <c r="P7516" s="11" t="s">
        <v>58</v>
      </c>
      <c r="Q7516" s="20">
        <v>41121.0</v>
      </c>
      <c r="R7516" s="17">
        <f t="shared" si="2"/>
        <v>4.908158003</v>
      </c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>
        <f t="shared" si="8"/>
        <v>2</v>
      </c>
      <c r="AF7516" s="19">
        <f t="shared" si="13"/>
        <v>4</v>
      </c>
      <c r="AG7516" s="9"/>
      <c r="AH7516" s="9"/>
      <c r="AI7516" s="9"/>
    </row>
    <row r="7517" ht="15.0" customHeight="1">
      <c r="A7517" s="11">
        <v>7516.0</v>
      </c>
      <c r="B7517" s="12">
        <f t="shared" si="1201"/>
        <v>41119</v>
      </c>
      <c r="C7517" s="13">
        <v>2012.0</v>
      </c>
      <c r="D7517" s="11" t="s">
        <v>23</v>
      </c>
      <c r="E7517" s="11">
        <v>5.0</v>
      </c>
      <c r="F7517" s="14">
        <v>15.6</v>
      </c>
      <c r="G7517" s="15">
        <v>0.054814814814814906</v>
      </c>
      <c r="H7517" s="11" t="s">
        <v>33</v>
      </c>
      <c r="I7517" s="16">
        <v>1.1119999999999999</v>
      </c>
      <c r="J7517" s="11" t="s">
        <v>1277</v>
      </c>
      <c r="K7517" s="11" t="s">
        <v>65</v>
      </c>
      <c r="L7517" s="11" t="s">
        <v>48</v>
      </c>
      <c r="M7517" s="11" t="s">
        <v>28</v>
      </c>
      <c r="N7517" s="11" t="s">
        <v>236</v>
      </c>
      <c r="O7517" s="11" t="s">
        <v>1274</v>
      </c>
      <c r="P7517" s="11" t="s">
        <v>38</v>
      </c>
      <c r="Q7517" s="20">
        <v>41122.0</v>
      </c>
      <c r="R7517" s="17">
        <f t="shared" si="2"/>
        <v>4.33650963</v>
      </c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>
        <f t="shared" si="8"/>
        <v>4</v>
      </c>
      <c r="AF7517" s="19">
        <f t="shared" si="13"/>
        <v>5</v>
      </c>
      <c r="AG7517" s="9"/>
      <c r="AH7517" s="9"/>
      <c r="AI7517" s="9"/>
    </row>
    <row r="7518" ht="15.0" customHeight="1">
      <c r="A7518" s="11">
        <v>7517.0</v>
      </c>
      <c r="B7518" s="12">
        <f t="shared" si="1201"/>
        <v>41119</v>
      </c>
      <c r="C7518" s="13">
        <v>2012.0</v>
      </c>
      <c r="D7518" s="11" t="s">
        <v>23</v>
      </c>
      <c r="E7518" s="11">
        <v>19.0</v>
      </c>
      <c r="F7518" s="14">
        <v>5.9</v>
      </c>
      <c r="G7518" s="15">
        <v>0.10191653786707884</v>
      </c>
      <c r="H7518" s="11" t="s">
        <v>33</v>
      </c>
      <c r="I7518" s="16">
        <v>4.112</v>
      </c>
      <c r="J7518" s="11" t="s">
        <v>1277</v>
      </c>
      <c r="K7518" s="11" t="s">
        <v>65</v>
      </c>
      <c r="L7518" s="11" t="s">
        <v>48</v>
      </c>
      <c r="M7518" s="11" t="s">
        <v>28</v>
      </c>
      <c r="N7518" s="11" t="s">
        <v>56</v>
      </c>
      <c r="O7518" s="11" t="s">
        <v>906</v>
      </c>
      <c r="P7518" s="11" t="s">
        <v>38</v>
      </c>
      <c r="Q7518" s="20">
        <v>41122.0</v>
      </c>
      <c r="R7518" s="17">
        <f t="shared" si="2"/>
        <v>11.8439247</v>
      </c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>
        <f t="shared" si="8"/>
        <v>4</v>
      </c>
      <c r="AF7518" s="19">
        <f t="shared" si="13"/>
        <v>5</v>
      </c>
      <c r="AG7518" s="9"/>
      <c r="AH7518" s="9"/>
      <c r="AI7518" s="9"/>
    </row>
    <row r="7519" ht="15.0" customHeight="1">
      <c r="A7519" s="11">
        <v>7518.0</v>
      </c>
      <c r="B7519" s="12">
        <f t="shared" si="1201"/>
        <v>41119</v>
      </c>
      <c r="C7519" s="13">
        <v>2012.0</v>
      </c>
      <c r="D7519" s="11" t="s">
        <v>44</v>
      </c>
      <c r="E7519" s="11">
        <v>9.0</v>
      </c>
      <c r="F7519" s="14">
        <v>6.0</v>
      </c>
      <c r="G7519" s="15">
        <v>0.06287671232876707</v>
      </c>
      <c r="H7519" s="11" t="s">
        <v>33</v>
      </c>
      <c r="I7519" s="16">
        <v>0.7280000000000001</v>
      </c>
      <c r="J7519" s="11" t="s">
        <v>2434</v>
      </c>
      <c r="K7519" s="11" t="s">
        <v>65</v>
      </c>
      <c r="L7519" s="11" t="s">
        <v>27</v>
      </c>
      <c r="M7519" s="11" t="s">
        <v>28</v>
      </c>
      <c r="N7519" s="11" t="s">
        <v>62</v>
      </c>
      <c r="O7519" s="11" t="s">
        <v>1808</v>
      </c>
      <c r="P7519" s="11" t="s">
        <v>58</v>
      </c>
      <c r="Q7519" s="20">
        <v>41122.0</v>
      </c>
      <c r="R7519" s="17">
        <f t="shared" si="2"/>
        <v>3.441116712</v>
      </c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>
        <f t="shared" si="8"/>
        <v>1</v>
      </c>
      <c r="AF7519" s="19">
        <f t="shared" si="13"/>
        <v>5</v>
      </c>
      <c r="AG7519" s="9"/>
      <c r="AH7519" s="9"/>
      <c r="AI7519" s="9"/>
    </row>
    <row r="7520" ht="15.0" customHeight="1">
      <c r="A7520" s="11">
        <v>7519.0</v>
      </c>
      <c r="B7520" s="12">
        <f t="shared" si="1201"/>
        <v>41119</v>
      </c>
      <c r="C7520" s="13">
        <v>2012.0</v>
      </c>
      <c r="D7520" s="11" t="s">
        <v>102</v>
      </c>
      <c r="E7520" s="11">
        <v>40.0</v>
      </c>
      <c r="F7520" s="14">
        <v>6.6</v>
      </c>
      <c r="G7520" s="15">
        <v>0.022472567666422846</v>
      </c>
      <c r="H7520" s="11" t="s">
        <v>33</v>
      </c>
      <c r="I7520" s="16">
        <v>3.2560000000000002</v>
      </c>
      <c r="J7520" s="11" t="s">
        <v>756</v>
      </c>
      <c r="K7520" s="11" t="s">
        <v>65</v>
      </c>
      <c r="L7520" s="11" t="s">
        <v>27</v>
      </c>
      <c r="M7520" s="11" t="s">
        <v>66</v>
      </c>
      <c r="N7520" s="11" t="s">
        <v>67</v>
      </c>
      <c r="O7520" s="11" t="s">
        <v>2406</v>
      </c>
      <c r="P7520" s="11" t="s">
        <v>99</v>
      </c>
      <c r="Q7520" s="20">
        <v>41122.0</v>
      </c>
      <c r="R7520" s="17">
        <f t="shared" si="2"/>
        <v>6.005928544</v>
      </c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>
        <f t="shared" si="8"/>
        <v>1</v>
      </c>
      <c r="AF7520" s="19">
        <f t="shared" si="13"/>
        <v>5</v>
      </c>
      <c r="AG7520" s="9"/>
      <c r="AH7520" s="9"/>
      <c r="AI7520" s="9"/>
    </row>
    <row r="7521" ht="15.0" customHeight="1">
      <c r="A7521" s="11">
        <v>7520.0</v>
      </c>
      <c r="B7521" s="12">
        <f t="shared" si="1201"/>
        <v>41119</v>
      </c>
      <c r="C7521" s="13">
        <v>2012.0</v>
      </c>
      <c r="D7521" s="11" t="s">
        <v>102</v>
      </c>
      <c r="E7521" s="11">
        <v>22.0</v>
      </c>
      <c r="F7521" s="14">
        <v>155.9</v>
      </c>
      <c r="G7521" s="15">
        <v>0.020616770221740806</v>
      </c>
      <c r="H7521" s="11" t="s">
        <v>24</v>
      </c>
      <c r="I7521" s="16">
        <v>6.464</v>
      </c>
      <c r="J7521" s="11" t="s">
        <v>756</v>
      </c>
      <c r="K7521" s="11" t="s">
        <v>65</v>
      </c>
      <c r="L7521" s="11" t="s">
        <v>27</v>
      </c>
      <c r="M7521" s="11" t="s">
        <v>66</v>
      </c>
      <c r="N7521" s="11" t="s">
        <v>80</v>
      </c>
      <c r="O7521" s="11" t="s">
        <v>1794</v>
      </c>
      <c r="P7521" s="11" t="s">
        <v>38</v>
      </c>
      <c r="Q7521" s="20">
        <v>41122.0</v>
      </c>
      <c r="R7521" s="17">
        <f t="shared" si="2"/>
        <v>70.84466531</v>
      </c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>
        <f t="shared" si="8"/>
        <v>1</v>
      </c>
      <c r="AF7521" s="19">
        <f t="shared" si="13"/>
        <v>5</v>
      </c>
      <c r="AG7521" s="9"/>
      <c r="AH7521" s="9"/>
      <c r="AI7521" s="9"/>
    </row>
    <row r="7522" ht="15.0" customHeight="1">
      <c r="A7522" s="11">
        <v>7521.0</v>
      </c>
      <c r="B7522" s="12">
        <f t="shared" si="1201"/>
        <v>41119</v>
      </c>
      <c r="C7522" s="13">
        <v>2012.0</v>
      </c>
      <c r="D7522" s="11" t="s">
        <v>39</v>
      </c>
      <c r="E7522" s="11">
        <v>39.0</v>
      </c>
      <c r="F7522" s="14">
        <v>6.2</v>
      </c>
      <c r="G7522" s="15">
        <v>0.08944485566247216</v>
      </c>
      <c r="H7522" s="11" t="s">
        <v>33</v>
      </c>
      <c r="I7522" s="16">
        <v>4.232</v>
      </c>
      <c r="J7522" s="11" t="s">
        <v>2017</v>
      </c>
      <c r="K7522" s="11" t="s">
        <v>65</v>
      </c>
      <c r="L7522" s="11" t="s">
        <v>48</v>
      </c>
      <c r="M7522" s="11" t="s">
        <v>49</v>
      </c>
      <c r="N7522" s="11" t="s">
        <v>73</v>
      </c>
      <c r="O7522" s="11" t="s">
        <v>1248</v>
      </c>
      <c r="P7522" s="11" t="s">
        <v>38</v>
      </c>
      <c r="Q7522" s="20">
        <v>41122.0</v>
      </c>
      <c r="R7522" s="17">
        <f t="shared" si="2"/>
        <v>22.00629673</v>
      </c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>
        <f t="shared" si="8"/>
        <v>4</v>
      </c>
      <c r="AF7522" s="19">
        <f t="shared" si="13"/>
        <v>5</v>
      </c>
      <c r="AG7522" s="9"/>
      <c r="AH7522" s="9"/>
      <c r="AI7522" s="9"/>
    </row>
    <row r="7523" ht="15.0" customHeight="1">
      <c r="A7523" s="11">
        <v>7522.0</v>
      </c>
      <c r="B7523" s="12">
        <f t="shared" si="1201"/>
        <v>41119</v>
      </c>
      <c r="C7523" s="13">
        <v>2012.0</v>
      </c>
      <c r="D7523" s="11" t="s">
        <v>32</v>
      </c>
      <c r="E7523" s="11">
        <v>3.0</v>
      </c>
      <c r="F7523" s="14">
        <v>20.9</v>
      </c>
      <c r="G7523" s="15">
        <v>0.14463791700569575</v>
      </c>
      <c r="H7523" s="11" t="s">
        <v>45</v>
      </c>
      <c r="I7523" s="16">
        <v>42.42400000000001</v>
      </c>
      <c r="J7523" s="11" t="s">
        <v>1008</v>
      </c>
      <c r="K7523" s="11" t="s">
        <v>65</v>
      </c>
      <c r="L7523" s="11" t="s">
        <v>48</v>
      </c>
      <c r="M7523" s="11" t="s">
        <v>28</v>
      </c>
      <c r="N7523" s="11" t="s">
        <v>29</v>
      </c>
      <c r="O7523" s="11" t="s">
        <v>725</v>
      </c>
      <c r="P7523" s="11" t="s">
        <v>52</v>
      </c>
      <c r="Q7523" s="20">
        <v>41122.0</v>
      </c>
      <c r="R7523" s="17">
        <f t="shared" si="2"/>
        <v>15.20491639</v>
      </c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>
        <f t="shared" si="8"/>
        <v>4</v>
      </c>
      <c r="AF7523" s="19">
        <f t="shared" si="13"/>
        <v>5</v>
      </c>
      <c r="AG7523" s="9"/>
      <c r="AH7523" s="9"/>
      <c r="AI7523" s="9"/>
    </row>
    <row r="7524" ht="15.0" customHeight="1">
      <c r="A7524" s="11">
        <v>7523.0</v>
      </c>
      <c r="B7524" s="12">
        <f t="shared" si="1201"/>
        <v>41119</v>
      </c>
      <c r="C7524" s="13">
        <v>2012.0</v>
      </c>
      <c r="D7524" s="11" t="s">
        <v>44</v>
      </c>
      <c r="E7524" s="11">
        <v>32.0</v>
      </c>
      <c r="F7524" s="14">
        <v>177.9</v>
      </c>
      <c r="G7524" s="15">
        <v>0.03892643732487074</v>
      </c>
      <c r="H7524" s="11" t="s">
        <v>33</v>
      </c>
      <c r="I7524" s="16">
        <v>0.792</v>
      </c>
      <c r="J7524" s="11" t="s">
        <v>2524</v>
      </c>
      <c r="K7524" s="11" t="s">
        <v>117</v>
      </c>
      <c r="L7524" s="11" t="s">
        <v>48</v>
      </c>
      <c r="M7524" s="11" t="s">
        <v>28</v>
      </c>
      <c r="N7524" s="11" t="s">
        <v>197</v>
      </c>
      <c r="O7524" s="11" t="s">
        <v>1467</v>
      </c>
      <c r="P7524" s="11" t="s">
        <v>38</v>
      </c>
      <c r="Q7524" s="20">
        <v>41122.0</v>
      </c>
      <c r="R7524" s="17">
        <f t="shared" si="2"/>
        <v>221.6312521</v>
      </c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>
        <f t="shared" si="8"/>
        <v>4</v>
      </c>
      <c r="AF7524" s="19" t="b">
        <f t="shared" si="13"/>
        <v>0</v>
      </c>
      <c r="AG7524" s="9"/>
      <c r="AH7524" s="9"/>
      <c r="AI7524" s="9"/>
    </row>
    <row r="7525" ht="15.0" customHeight="1">
      <c r="A7525" s="11">
        <v>7524.0</v>
      </c>
      <c r="B7525" s="12">
        <f t="shared" si="1201"/>
        <v>41119</v>
      </c>
      <c r="C7525" s="13">
        <v>2012.0</v>
      </c>
      <c r="D7525" s="11" t="s">
        <v>44</v>
      </c>
      <c r="E7525" s="11">
        <v>16.0</v>
      </c>
      <c r="F7525" s="14">
        <v>50.9</v>
      </c>
      <c r="G7525" s="15">
        <v>0.04316106604866749</v>
      </c>
      <c r="H7525" s="11" t="s">
        <v>45</v>
      </c>
      <c r="I7525" s="16">
        <v>11.352</v>
      </c>
      <c r="J7525" s="11" t="s">
        <v>2524</v>
      </c>
      <c r="K7525" s="11" t="s">
        <v>117</v>
      </c>
      <c r="L7525" s="11" t="s">
        <v>48</v>
      </c>
      <c r="M7525" s="11" t="s">
        <v>49</v>
      </c>
      <c r="N7525" s="11" t="s">
        <v>50</v>
      </c>
      <c r="O7525" s="11" t="s">
        <v>2249</v>
      </c>
      <c r="P7525" s="11" t="s">
        <v>52</v>
      </c>
      <c r="Q7525" s="20">
        <v>41123.0</v>
      </c>
      <c r="R7525" s="17">
        <f t="shared" si="2"/>
        <v>35.64033661</v>
      </c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>
        <f t="shared" si="8"/>
        <v>4</v>
      </c>
      <c r="AF7525" s="19" t="b">
        <f t="shared" si="13"/>
        <v>0</v>
      </c>
      <c r="AG7525" s="9"/>
      <c r="AH7525" s="9"/>
      <c r="AI7525" s="9"/>
    </row>
    <row r="7526" ht="15.0" customHeight="1">
      <c r="A7526" s="11">
        <v>7525.0</v>
      </c>
      <c r="B7526" s="12">
        <f t="shared" ref="B7526:B7529" si="1202">DATE(2012,12,31)-154</f>
        <v>41120</v>
      </c>
      <c r="C7526" s="13">
        <v>2012.0</v>
      </c>
      <c r="D7526" s="11" t="s">
        <v>102</v>
      </c>
      <c r="E7526" s="11">
        <v>16.0</v>
      </c>
      <c r="F7526" s="14">
        <v>6.4</v>
      </c>
      <c r="G7526" s="15">
        <v>0.051760563380281656</v>
      </c>
      <c r="H7526" s="11" t="s">
        <v>33</v>
      </c>
      <c r="I7526" s="16">
        <v>5.32</v>
      </c>
      <c r="J7526" s="11" t="s">
        <v>1524</v>
      </c>
      <c r="K7526" s="11" t="s">
        <v>26</v>
      </c>
      <c r="L7526" s="11" t="s">
        <v>48</v>
      </c>
      <c r="M7526" s="11" t="s">
        <v>28</v>
      </c>
      <c r="N7526" s="11" t="s">
        <v>56</v>
      </c>
      <c r="O7526" s="11" t="s">
        <v>2282</v>
      </c>
      <c r="P7526" s="11" t="s">
        <v>38</v>
      </c>
      <c r="Q7526" s="20">
        <v>41123.0</v>
      </c>
      <c r="R7526" s="17">
        <f t="shared" si="2"/>
        <v>5.575647887</v>
      </c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>
        <f t="shared" si="8"/>
        <v>4</v>
      </c>
      <c r="AF7526" s="19">
        <f t="shared" si="13"/>
        <v>1</v>
      </c>
      <c r="AG7526" s="9"/>
      <c r="AH7526" s="9"/>
      <c r="AI7526" s="9"/>
    </row>
    <row r="7527" ht="15.0" customHeight="1">
      <c r="A7527" s="11">
        <v>7526.0</v>
      </c>
      <c r="B7527" s="12">
        <f t="shared" si="1202"/>
        <v>41120</v>
      </c>
      <c r="C7527" s="13">
        <v>2012.0</v>
      </c>
      <c r="D7527" s="11" t="s">
        <v>102</v>
      </c>
      <c r="E7527" s="11">
        <v>4.0</v>
      </c>
      <c r="F7527" s="14">
        <v>1889.9</v>
      </c>
      <c r="G7527" s="15">
        <v>0.02967837792834906</v>
      </c>
      <c r="H7527" s="11" t="s">
        <v>33</v>
      </c>
      <c r="I7527" s="16">
        <v>15.991999999999999</v>
      </c>
      <c r="J7527" s="11" t="s">
        <v>398</v>
      </c>
      <c r="K7527" s="11" t="s">
        <v>35</v>
      </c>
      <c r="L7527" s="11" t="s">
        <v>27</v>
      </c>
      <c r="M7527" s="11" t="s">
        <v>28</v>
      </c>
      <c r="N7527" s="11" t="s">
        <v>42</v>
      </c>
      <c r="O7527" s="11" t="s">
        <v>1628</v>
      </c>
      <c r="P7527" s="11" t="s">
        <v>38</v>
      </c>
      <c r="Q7527" s="20">
        <v>41123.0</v>
      </c>
      <c r="R7527" s="17">
        <f t="shared" si="2"/>
        <v>224.8312824</v>
      </c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>
        <f t="shared" si="8"/>
        <v>1</v>
      </c>
      <c r="AF7527" s="19">
        <f t="shared" si="13"/>
        <v>2</v>
      </c>
      <c r="AG7527" s="9"/>
      <c r="AH7527" s="9"/>
      <c r="AI7527" s="9"/>
    </row>
    <row r="7528" ht="15.0" customHeight="1">
      <c r="A7528" s="11">
        <v>7527.0</v>
      </c>
      <c r="B7528" s="12">
        <f t="shared" si="1202"/>
        <v>41120</v>
      </c>
      <c r="C7528" s="13">
        <v>2012.0</v>
      </c>
      <c r="D7528" s="11" t="s">
        <v>102</v>
      </c>
      <c r="E7528" s="11">
        <v>50.0</v>
      </c>
      <c r="F7528" s="14">
        <v>6.6</v>
      </c>
      <c r="G7528" s="15">
        <v>0.05347249647390696</v>
      </c>
      <c r="H7528" s="11" t="s">
        <v>33</v>
      </c>
      <c r="I7528" s="16">
        <v>5.5440000000000005</v>
      </c>
      <c r="J7528" s="11" t="s">
        <v>398</v>
      </c>
      <c r="K7528" s="11" t="s">
        <v>35</v>
      </c>
      <c r="L7528" s="11" t="s">
        <v>27</v>
      </c>
      <c r="M7528" s="11" t="s">
        <v>28</v>
      </c>
      <c r="N7528" s="11" t="s">
        <v>56</v>
      </c>
      <c r="O7528" s="11" t="s">
        <v>554</v>
      </c>
      <c r="P7528" s="11" t="s">
        <v>38</v>
      </c>
      <c r="Q7528" s="20">
        <v>41123.0</v>
      </c>
      <c r="R7528" s="17">
        <f t="shared" si="2"/>
        <v>17.94237536</v>
      </c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>
        <f t="shared" si="8"/>
        <v>1</v>
      </c>
      <c r="AF7528" s="19">
        <f t="shared" si="13"/>
        <v>2</v>
      </c>
      <c r="AG7528" s="9"/>
      <c r="AH7528" s="9"/>
      <c r="AI7528" s="9"/>
    </row>
    <row r="7529" ht="15.0" customHeight="1">
      <c r="A7529" s="11">
        <v>7528.0</v>
      </c>
      <c r="B7529" s="12">
        <f t="shared" si="1202"/>
        <v>41120</v>
      </c>
      <c r="C7529" s="13">
        <v>2012.0</v>
      </c>
      <c r="D7529" s="11" t="s">
        <v>44</v>
      </c>
      <c r="E7529" s="11">
        <v>3.0</v>
      </c>
      <c r="F7529" s="14">
        <v>199.9</v>
      </c>
      <c r="G7529" s="15">
        <v>0.09007934175727299</v>
      </c>
      <c r="H7529" s="11" t="s">
        <v>33</v>
      </c>
      <c r="I7529" s="16">
        <v>19.592</v>
      </c>
      <c r="J7529" s="11" t="s">
        <v>1470</v>
      </c>
      <c r="K7529" s="11" t="s">
        <v>65</v>
      </c>
      <c r="L7529" s="11" t="s">
        <v>27</v>
      </c>
      <c r="M7529" s="11" t="s">
        <v>66</v>
      </c>
      <c r="N7529" s="11" t="s">
        <v>170</v>
      </c>
      <c r="O7529" s="11" t="s">
        <v>451</v>
      </c>
      <c r="P7529" s="11" t="s">
        <v>31</v>
      </c>
      <c r="Q7529" s="20">
        <v>41123.0</v>
      </c>
      <c r="R7529" s="17">
        <f t="shared" si="2"/>
        <v>55.78541572</v>
      </c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>
        <f t="shared" si="8"/>
        <v>1</v>
      </c>
      <c r="AF7529" s="19">
        <f t="shared" si="13"/>
        <v>5</v>
      </c>
      <c r="AG7529" s="9"/>
      <c r="AH7529" s="9"/>
      <c r="AI7529" s="9"/>
    </row>
    <row r="7530" ht="15.0" customHeight="1">
      <c r="A7530" s="11">
        <v>7529.0</v>
      </c>
      <c r="B7530" s="12">
        <f t="shared" ref="B7530:B7535" si="1203">DATE(2012,12,31)-153</f>
        <v>41121</v>
      </c>
      <c r="C7530" s="13">
        <v>2012.0</v>
      </c>
      <c r="D7530" s="11" t="s">
        <v>39</v>
      </c>
      <c r="E7530" s="11">
        <v>28.0</v>
      </c>
      <c r="F7530" s="14">
        <v>2.1</v>
      </c>
      <c r="G7530" s="15">
        <v>0.03372799999999995</v>
      </c>
      <c r="H7530" s="11" t="s">
        <v>33</v>
      </c>
      <c r="I7530" s="16">
        <v>1.592</v>
      </c>
      <c r="J7530" s="11" t="s">
        <v>485</v>
      </c>
      <c r="K7530" s="11" t="s">
        <v>47</v>
      </c>
      <c r="L7530" s="11" t="s">
        <v>41</v>
      </c>
      <c r="M7530" s="11" t="s">
        <v>66</v>
      </c>
      <c r="N7530" s="11" t="s">
        <v>67</v>
      </c>
      <c r="O7530" s="11" t="s">
        <v>1106</v>
      </c>
      <c r="P7530" s="11" t="s">
        <v>99</v>
      </c>
      <c r="Q7530" s="20">
        <v>41123.0</v>
      </c>
      <c r="R7530" s="17">
        <f t="shared" si="2"/>
        <v>2.036901376</v>
      </c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>
        <f t="shared" si="8"/>
        <v>3</v>
      </c>
      <c r="AF7530" s="19">
        <f t="shared" si="13"/>
        <v>3</v>
      </c>
      <c r="AG7530" s="9"/>
      <c r="AH7530" s="9"/>
      <c r="AI7530" s="9"/>
    </row>
    <row r="7531" ht="15.0" customHeight="1">
      <c r="A7531" s="11">
        <v>7530.0</v>
      </c>
      <c r="B7531" s="12">
        <f t="shared" si="1203"/>
        <v>41121</v>
      </c>
      <c r="C7531" s="13">
        <v>2012.0</v>
      </c>
      <c r="D7531" s="11" t="s">
        <v>39</v>
      </c>
      <c r="E7531" s="11">
        <v>6.0</v>
      </c>
      <c r="F7531" s="14">
        <v>11.3</v>
      </c>
      <c r="G7531" s="15">
        <v>0.10280373831775681</v>
      </c>
      <c r="H7531" s="11" t="s">
        <v>33</v>
      </c>
      <c r="I7531" s="16">
        <v>9.0</v>
      </c>
      <c r="J7531" s="11" t="s">
        <v>485</v>
      </c>
      <c r="K7531" s="11" t="s">
        <v>47</v>
      </c>
      <c r="L7531" s="11" t="s">
        <v>41</v>
      </c>
      <c r="M7531" s="11" t="s">
        <v>28</v>
      </c>
      <c r="N7531" s="11" t="s">
        <v>56</v>
      </c>
      <c r="O7531" s="11" t="s">
        <v>777</v>
      </c>
      <c r="P7531" s="11" t="s">
        <v>38</v>
      </c>
      <c r="Q7531" s="20">
        <v>41123.0</v>
      </c>
      <c r="R7531" s="17">
        <f t="shared" si="2"/>
        <v>7.895327103</v>
      </c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>
        <f t="shared" si="8"/>
        <v>3</v>
      </c>
      <c r="AF7531" s="19">
        <f t="shared" si="13"/>
        <v>3</v>
      </c>
      <c r="AG7531" s="9"/>
      <c r="AH7531" s="9"/>
      <c r="AI7531" s="9"/>
    </row>
    <row r="7532" ht="15.0" customHeight="1">
      <c r="A7532" s="11">
        <v>7531.0</v>
      </c>
      <c r="B7532" s="12">
        <f t="shared" si="1203"/>
        <v>41121</v>
      </c>
      <c r="C7532" s="13">
        <v>2012.0</v>
      </c>
      <c r="D7532" s="11" t="s">
        <v>39</v>
      </c>
      <c r="E7532" s="11">
        <v>17.0</v>
      </c>
      <c r="F7532" s="14">
        <v>48.9</v>
      </c>
      <c r="G7532" s="15">
        <v>0.039912713908349676</v>
      </c>
      <c r="H7532" s="11" t="s">
        <v>24</v>
      </c>
      <c r="I7532" s="16">
        <v>4.648</v>
      </c>
      <c r="J7532" s="11" t="s">
        <v>485</v>
      </c>
      <c r="K7532" s="11" t="s">
        <v>47</v>
      </c>
      <c r="L7532" s="11" t="s">
        <v>41</v>
      </c>
      <c r="M7532" s="11" t="s">
        <v>28</v>
      </c>
      <c r="N7532" s="11" t="s">
        <v>56</v>
      </c>
      <c r="O7532" s="11" t="s">
        <v>378</v>
      </c>
      <c r="P7532" s="11" t="s">
        <v>38</v>
      </c>
      <c r="Q7532" s="20">
        <v>41123.0</v>
      </c>
      <c r="R7532" s="17">
        <f t="shared" si="2"/>
        <v>33.36495337</v>
      </c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>
        <f t="shared" si="8"/>
        <v>3</v>
      </c>
      <c r="AF7532" s="19">
        <f t="shared" si="13"/>
        <v>3</v>
      </c>
      <c r="AG7532" s="9"/>
      <c r="AH7532" s="9"/>
      <c r="AI7532" s="9"/>
    </row>
    <row r="7533" ht="15.0" customHeight="1">
      <c r="A7533" s="11">
        <v>7532.0</v>
      </c>
      <c r="B7533" s="12">
        <f t="shared" si="1203"/>
        <v>41121</v>
      </c>
      <c r="C7533" s="13">
        <v>2012.0</v>
      </c>
      <c r="D7533" s="11" t="s">
        <v>23</v>
      </c>
      <c r="E7533" s="11">
        <v>1.0</v>
      </c>
      <c r="F7533" s="14">
        <v>150.9</v>
      </c>
      <c r="G7533" s="15">
        <v>0.09573412698412691</v>
      </c>
      <c r="H7533" s="11" t="s">
        <v>45</v>
      </c>
      <c r="I7533" s="16">
        <v>31.400000000000002</v>
      </c>
      <c r="J7533" s="11" t="s">
        <v>2441</v>
      </c>
      <c r="K7533" s="11" t="s">
        <v>35</v>
      </c>
      <c r="L7533" s="11" t="s">
        <v>48</v>
      </c>
      <c r="M7533" s="11" t="s">
        <v>49</v>
      </c>
      <c r="N7533" s="11" t="s">
        <v>85</v>
      </c>
      <c r="O7533" s="11" t="s">
        <v>127</v>
      </c>
      <c r="P7533" s="11" t="s">
        <v>87</v>
      </c>
      <c r="Q7533" s="20">
        <v>41123.0</v>
      </c>
      <c r="R7533" s="17">
        <f t="shared" si="2"/>
        <v>17.45233135</v>
      </c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>
        <f t="shared" si="8"/>
        <v>4</v>
      </c>
      <c r="AF7533" s="19">
        <f t="shared" si="13"/>
        <v>2</v>
      </c>
      <c r="AG7533" s="9"/>
      <c r="AH7533" s="9"/>
      <c r="AI7533" s="9"/>
    </row>
    <row r="7534" ht="15.0" customHeight="1">
      <c r="A7534" s="11">
        <v>7533.0</v>
      </c>
      <c r="B7534" s="12">
        <f t="shared" si="1203"/>
        <v>41121</v>
      </c>
      <c r="C7534" s="13">
        <v>2012.0</v>
      </c>
      <c r="D7534" s="11" t="s">
        <v>39</v>
      </c>
      <c r="E7534" s="11">
        <v>47.0</v>
      </c>
      <c r="F7534" s="14">
        <v>4.4</v>
      </c>
      <c r="G7534" s="15">
        <v>0.08855131530196361</v>
      </c>
      <c r="H7534" s="11" t="s">
        <v>33</v>
      </c>
      <c r="I7534" s="16">
        <v>39.2</v>
      </c>
      <c r="J7534" s="11" t="s">
        <v>1935</v>
      </c>
      <c r="K7534" s="11" t="s">
        <v>35</v>
      </c>
      <c r="L7534" s="11" t="s">
        <v>36</v>
      </c>
      <c r="M7534" s="11" t="s">
        <v>28</v>
      </c>
      <c r="N7534" s="11" t="s">
        <v>197</v>
      </c>
      <c r="O7534" s="11" t="s">
        <v>1096</v>
      </c>
      <c r="P7534" s="11" t="s">
        <v>31</v>
      </c>
      <c r="Q7534" s="20">
        <v>41123.0</v>
      </c>
      <c r="R7534" s="17">
        <f t="shared" si="2"/>
        <v>21.78362356</v>
      </c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>
        <f t="shared" si="8"/>
        <v>2</v>
      </c>
      <c r="AF7534" s="19">
        <f t="shared" si="13"/>
        <v>2</v>
      </c>
      <c r="AG7534" s="9"/>
      <c r="AH7534" s="9"/>
      <c r="AI7534" s="9"/>
    </row>
    <row r="7535" ht="15.0" customHeight="1">
      <c r="A7535" s="11">
        <v>7534.0</v>
      </c>
      <c r="B7535" s="12">
        <f t="shared" si="1203"/>
        <v>41121</v>
      </c>
      <c r="C7535" s="13">
        <v>2012.0</v>
      </c>
      <c r="D7535" s="11" t="s">
        <v>39</v>
      </c>
      <c r="E7535" s="11">
        <v>29.0</v>
      </c>
      <c r="F7535" s="14">
        <v>218.7</v>
      </c>
      <c r="G7535" s="15">
        <v>0.07628609378609377</v>
      </c>
      <c r="H7535" s="11" t="s">
        <v>45</v>
      </c>
      <c r="I7535" s="16">
        <v>55.712</v>
      </c>
      <c r="J7535" s="11" t="s">
        <v>1935</v>
      </c>
      <c r="K7535" s="11" t="s">
        <v>35</v>
      </c>
      <c r="L7535" s="11" t="s">
        <v>36</v>
      </c>
      <c r="M7535" s="11" t="s">
        <v>49</v>
      </c>
      <c r="N7535" s="11" t="s">
        <v>85</v>
      </c>
      <c r="O7535" s="11" t="s">
        <v>522</v>
      </c>
      <c r="P7535" s="11" t="s">
        <v>87</v>
      </c>
      <c r="Q7535" s="20">
        <v>41124.0</v>
      </c>
      <c r="R7535" s="17">
        <f t="shared" si="2"/>
        <v>488.0793435</v>
      </c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>
        <f t="shared" si="8"/>
        <v>2</v>
      </c>
      <c r="AF7535" s="19">
        <f t="shared" si="13"/>
        <v>2</v>
      </c>
      <c r="AG7535" s="9"/>
      <c r="AH7535" s="9"/>
      <c r="AI7535" s="9"/>
    </row>
    <row r="7536" ht="15.0" customHeight="1">
      <c r="A7536" s="11">
        <v>7535.0</v>
      </c>
      <c r="B7536" s="12">
        <f t="shared" ref="B7536:B7543" si="1204">DATE(2012,12,31)-152</f>
        <v>41122</v>
      </c>
      <c r="C7536" s="13">
        <v>2012.0</v>
      </c>
      <c r="D7536" s="11" t="s">
        <v>23</v>
      </c>
      <c r="E7536" s="11">
        <v>6.0</v>
      </c>
      <c r="F7536" s="14">
        <v>3502.1</v>
      </c>
      <c r="G7536" s="15">
        <v>0.056690182562335094</v>
      </c>
      <c r="H7536" s="11" t="s">
        <v>45</v>
      </c>
      <c r="I7536" s="16">
        <v>6.984000000000001</v>
      </c>
      <c r="J7536" s="11" t="s">
        <v>1951</v>
      </c>
      <c r="K7536" s="11" t="s">
        <v>61</v>
      </c>
      <c r="L7536" s="11" t="s">
        <v>36</v>
      </c>
      <c r="M7536" s="11" t="s">
        <v>66</v>
      </c>
      <c r="N7536" s="11" t="s">
        <v>69</v>
      </c>
      <c r="O7536" s="11" t="s">
        <v>1658</v>
      </c>
      <c r="P7536" s="11" t="s">
        <v>87</v>
      </c>
      <c r="Q7536" s="20">
        <v>41124.0</v>
      </c>
      <c r="R7536" s="17">
        <f t="shared" si="2"/>
        <v>1191.604054</v>
      </c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>
        <f t="shared" si="8"/>
        <v>2</v>
      </c>
      <c r="AF7536" s="19">
        <f t="shared" si="13"/>
        <v>4</v>
      </c>
      <c r="AG7536" s="9"/>
      <c r="AH7536" s="9"/>
      <c r="AI7536" s="9"/>
    </row>
    <row r="7537" ht="15.0" customHeight="1">
      <c r="A7537" s="11">
        <v>7536.0</v>
      </c>
      <c r="B7537" s="12">
        <f t="shared" si="1204"/>
        <v>41122</v>
      </c>
      <c r="C7537" s="13">
        <v>2012.0</v>
      </c>
      <c r="D7537" s="11" t="s">
        <v>32</v>
      </c>
      <c r="E7537" s="11">
        <v>5.0</v>
      </c>
      <c r="F7537" s="14">
        <v>8.0</v>
      </c>
      <c r="G7537" s="15">
        <v>0.094304068522484</v>
      </c>
      <c r="H7537" s="11" t="s">
        <v>33</v>
      </c>
      <c r="I7537" s="16">
        <v>2.2960000000000003</v>
      </c>
      <c r="J7537" s="11" t="s">
        <v>1825</v>
      </c>
      <c r="K7537" s="11" t="s">
        <v>65</v>
      </c>
      <c r="L7537" s="11" t="s">
        <v>36</v>
      </c>
      <c r="M7537" s="11" t="s">
        <v>28</v>
      </c>
      <c r="N7537" s="11" t="s">
        <v>56</v>
      </c>
      <c r="O7537" s="11" t="s">
        <v>331</v>
      </c>
      <c r="P7537" s="11" t="s">
        <v>58</v>
      </c>
      <c r="Q7537" s="20">
        <v>41124.0</v>
      </c>
      <c r="R7537" s="17">
        <f t="shared" si="2"/>
        <v>3.988684882</v>
      </c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>
        <f t="shared" si="8"/>
        <v>2</v>
      </c>
      <c r="AF7537" s="19">
        <f t="shared" si="13"/>
        <v>5</v>
      </c>
      <c r="AG7537" s="9"/>
      <c r="AH7537" s="9"/>
      <c r="AI7537" s="9"/>
    </row>
    <row r="7538" ht="15.0" customHeight="1">
      <c r="A7538" s="11">
        <v>7537.0</v>
      </c>
      <c r="B7538" s="12">
        <f t="shared" si="1204"/>
        <v>41122</v>
      </c>
      <c r="C7538" s="13">
        <v>2012.0</v>
      </c>
      <c r="D7538" s="11" t="s">
        <v>32</v>
      </c>
      <c r="E7538" s="11">
        <v>8.0</v>
      </c>
      <c r="F7538" s="14">
        <v>205.9</v>
      </c>
      <c r="G7538" s="15">
        <v>0.09229013497201792</v>
      </c>
      <c r="H7538" s="11" t="s">
        <v>33</v>
      </c>
      <c r="I7538" s="16">
        <v>7.192</v>
      </c>
      <c r="J7538" s="11" t="s">
        <v>1825</v>
      </c>
      <c r="K7538" s="11" t="s">
        <v>65</v>
      </c>
      <c r="L7538" s="11" t="s">
        <v>36</v>
      </c>
      <c r="M7538" s="11" t="s">
        <v>66</v>
      </c>
      <c r="N7538" s="11" t="s">
        <v>80</v>
      </c>
      <c r="O7538" s="11" t="s">
        <v>614</v>
      </c>
      <c r="P7538" s="11" t="s">
        <v>38</v>
      </c>
      <c r="Q7538" s="20">
        <v>41124.0</v>
      </c>
      <c r="R7538" s="17">
        <f t="shared" si="2"/>
        <v>152.684061</v>
      </c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>
        <f t="shared" si="8"/>
        <v>2</v>
      </c>
      <c r="AF7538" s="19">
        <f t="shared" si="13"/>
        <v>5</v>
      </c>
      <c r="AG7538" s="9"/>
      <c r="AH7538" s="9"/>
      <c r="AI7538" s="9"/>
    </row>
    <row r="7539" ht="15.0" customHeight="1">
      <c r="A7539" s="11">
        <v>7538.0</v>
      </c>
      <c r="B7539" s="12">
        <f t="shared" si="1204"/>
        <v>41122</v>
      </c>
      <c r="C7539" s="13">
        <v>2012.0</v>
      </c>
      <c r="D7539" s="11" t="s">
        <v>23</v>
      </c>
      <c r="E7539" s="11">
        <v>34.0</v>
      </c>
      <c r="F7539" s="14">
        <v>4.9</v>
      </c>
      <c r="G7539" s="15">
        <v>0.025350827153451157</v>
      </c>
      <c r="H7539" s="11" t="s">
        <v>33</v>
      </c>
      <c r="I7539" s="16">
        <v>4.256</v>
      </c>
      <c r="J7539" s="11" t="s">
        <v>1716</v>
      </c>
      <c r="K7539" s="11" t="s">
        <v>65</v>
      </c>
      <c r="L7539" s="11" t="s">
        <v>27</v>
      </c>
      <c r="M7539" s="11" t="s">
        <v>49</v>
      </c>
      <c r="N7539" s="11" t="s">
        <v>73</v>
      </c>
      <c r="O7539" s="11" t="s">
        <v>2580</v>
      </c>
      <c r="P7539" s="11" t="s">
        <v>38</v>
      </c>
      <c r="Q7539" s="20">
        <v>41124.0</v>
      </c>
      <c r="R7539" s="17">
        <f t="shared" si="2"/>
        <v>4.331340924</v>
      </c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>
        <f t="shared" si="8"/>
        <v>1</v>
      </c>
      <c r="AF7539" s="19">
        <f t="shared" si="13"/>
        <v>5</v>
      </c>
      <c r="AG7539" s="9"/>
      <c r="AH7539" s="9"/>
      <c r="AI7539" s="9"/>
    </row>
    <row r="7540" ht="15.0" customHeight="1">
      <c r="A7540" s="11">
        <v>7539.0</v>
      </c>
      <c r="B7540" s="12">
        <f t="shared" si="1204"/>
        <v>41122</v>
      </c>
      <c r="C7540" s="13">
        <v>2012.0</v>
      </c>
      <c r="D7540" s="11" t="s">
        <v>23</v>
      </c>
      <c r="E7540" s="11">
        <v>39.0</v>
      </c>
      <c r="F7540" s="14">
        <v>14.9</v>
      </c>
      <c r="G7540" s="15">
        <v>0.007852677817198702</v>
      </c>
      <c r="H7540" s="11" t="s">
        <v>33</v>
      </c>
      <c r="I7540" s="16">
        <v>6.152000000000001</v>
      </c>
      <c r="J7540" s="11" t="s">
        <v>1716</v>
      </c>
      <c r="K7540" s="11" t="s">
        <v>65</v>
      </c>
      <c r="L7540" s="11" t="s">
        <v>27</v>
      </c>
      <c r="M7540" s="11" t="s">
        <v>28</v>
      </c>
      <c r="N7540" s="11" t="s">
        <v>29</v>
      </c>
      <c r="O7540" s="11" t="s">
        <v>951</v>
      </c>
      <c r="P7540" s="11" t="s">
        <v>38</v>
      </c>
      <c r="Q7540" s="20">
        <v>41124.0</v>
      </c>
      <c r="R7540" s="17">
        <f t="shared" si="2"/>
        <v>4.611500754</v>
      </c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>
        <f t="shared" si="8"/>
        <v>1</v>
      </c>
      <c r="AF7540" s="19">
        <f t="shared" si="13"/>
        <v>5</v>
      </c>
      <c r="AG7540" s="9"/>
      <c r="AH7540" s="9"/>
      <c r="AI7540" s="9"/>
    </row>
    <row r="7541" ht="15.0" customHeight="1">
      <c r="A7541" s="11">
        <v>7540.0</v>
      </c>
      <c r="B7541" s="12">
        <f t="shared" si="1204"/>
        <v>41122</v>
      </c>
      <c r="C7541" s="13">
        <v>2012.0</v>
      </c>
      <c r="D7541" s="11" t="s">
        <v>23</v>
      </c>
      <c r="E7541" s="11">
        <v>18.0</v>
      </c>
      <c r="F7541" s="14">
        <v>11.9</v>
      </c>
      <c r="G7541" s="15">
        <v>0.04806282722513073</v>
      </c>
      <c r="H7541" s="11" t="s">
        <v>24</v>
      </c>
      <c r="I7541" s="16">
        <v>3.9840000000000004</v>
      </c>
      <c r="J7541" s="11" t="s">
        <v>1716</v>
      </c>
      <c r="K7541" s="11" t="s">
        <v>65</v>
      </c>
      <c r="L7541" s="11" t="s">
        <v>27</v>
      </c>
      <c r="M7541" s="11" t="s">
        <v>28</v>
      </c>
      <c r="N7541" s="11" t="s">
        <v>197</v>
      </c>
      <c r="O7541" s="11" t="s">
        <v>1001</v>
      </c>
      <c r="P7541" s="11" t="s">
        <v>38</v>
      </c>
      <c r="Q7541" s="20">
        <v>41124.0</v>
      </c>
      <c r="R7541" s="17">
        <f t="shared" si="2"/>
        <v>10.4865399</v>
      </c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>
        <f t="shared" si="8"/>
        <v>1</v>
      </c>
      <c r="AF7541" s="19">
        <f t="shared" si="13"/>
        <v>5</v>
      </c>
      <c r="AG7541" s="9"/>
      <c r="AH7541" s="9"/>
      <c r="AI7541" s="9"/>
    </row>
    <row r="7542" ht="15.0" customHeight="1">
      <c r="A7542" s="11">
        <v>7541.0</v>
      </c>
      <c r="B7542" s="12">
        <f t="shared" si="1204"/>
        <v>41122</v>
      </c>
      <c r="C7542" s="13">
        <v>2012.0</v>
      </c>
      <c r="D7542" s="11" t="s">
        <v>32</v>
      </c>
      <c r="E7542" s="11">
        <v>41.0</v>
      </c>
      <c r="F7542" s="14">
        <v>115.7</v>
      </c>
      <c r="G7542" s="15">
        <v>0.039278440264814994</v>
      </c>
      <c r="H7542" s="11" t="s">
        <v>33</v>
      </c>
      <c r="I7542" s="16">
        <v>1.592</v>
      </c>
      <c r="J7542" s="11" t="s">
        <v>1199</v>
      </c>
      <c r="K7542" s="11" t="s">
        <v>83</v>
      </c>
      <c r="L7542" s="11" t="s">
        <v>36</v>
      </c>
      <c r="M7542" s="11" t="s">
        <v>66</v>
      </c>
      <c r="N7542" s="11" t="s">
        <v>67</v>
      </c>
      <c r="O7542" s="11" t="s">
        <v>1616</v>
      </c>
      <c r="P7542" s="11" t="s">
        <v>99</v>
      </c>
      <c r="Q7542" s="20">
        <v>41125.0</v>
      </c>
      <c r="R7542" s="17">
        <f t="shared" si="2"/>
        <v>186.3876684</v>
      </c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>
        <f t="shared" si="8"/>
        <v>2</v>
      </c>
      <c r="AF7542" s="19" t="b">
        <f t="shared" si="13"/>
        <v>0</v>
      </c>
      <c r="AG7542" s="9"/>
      <c r="AH7542" s="9"/>
      <c r="AI7542" s="9"/>
    </row>
    <row r="7543" ht="15.0" customHeight="1">
      <c r="A7543" s="11">
        <v>7542.0</v>
      </c>
      <c r="B7543" s="12">
        <f t="shared" si="1204"/>
        <v>41122</v>
      </c>
      <c r="C7543" s="13">
        <v>2012.0</v>
      </c>
      <c r="D7543" s="11" t="s">
        <v>44</v>
      </c>
      <c r="E7543" s="11">
        <v>26.0</v>
      </c>
      <c r="F7543" s="14">
        <v>5.2</v>
      </c>
      <c r="G7543" s="15">
        <v>0.01860199714693278</v>
      </c>
      <c r="H7543" s="11" t="s">
        <v>33</v>
      </c>
      <c r="I7543" s="16">
        <v>2.3920000000000003</v>
      </c>
      <c r="J7543" s="11" t="s">
        <v>2478</v>
      </c>
      <c r="K7543" s="11" t="s">
        <v>65</v>
      </c>
      <c r="L7543" s="11" t="s">
        <v>41</v>
      </c>
      <c r="M7543" s="11" t="s">
        <v>28</v>
      </c>
      <c r="N7543" s="11" t="s">
        <v>42</v>
      </c>
      <c r="O7543" s="11" t="s">
        <v>2199</v>
      </c>
      <c r="P7543" s="11" t="s">
        <v>38</v>
      </c>
      <c r="Q7543" s="20">
        <v>41125.0</v>
      </c>
      <c r="R7543" s="17">
        <f t="shared" si="2"/>
        <v>2.559485991</v>
      </c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>
        <f t="shared" si="8"/>
        <v>3</v>
      </c>
      <c r="AF7543" s="19">
        <f t="shared" si="13"/>
        <v>5</v>
      </c>
      <c r="AG7543" s="9"/>
      <c r="AH7543" s="9"/>
      <c r="AI7543" s="9"/>
    </row>
    <row r="7544" ht="15.0" customHeight="1">
      <c r="A7544" s="11">
        <v>7543.0</v>
      </c>
      <c r="B7544" s="12">
        <f t="shared" ref="B7544:B7547" si="1205">DATE(2012,12,31)-151</f>
        <v>41123</v>
      </c>
      <c r="C7544" s="13">
        <v>2012.0</v>
      </c>
      <c r="D7544" s="11" t="s">
        <v>44</v>
      </c>
      <c r="E7544" s="11">
        <v>18.0</v>
      </c>
      <c r="F7544" s="14">
        <v>100.9</v>
      </c>
      <c r="G7544" s="15">
        <v>0.06974989915288421</v>
      </c>
      <c r="H7544" s="11" t="s">
        <v>45</v>
      </c>
      <c r="I7544" s="16">
        <v>28.672000000000004</v>
      </c>
      <c r="J7544" s="11" t="s">
        <v>2084</v>
      </c>
      <c r="K7544" s="11" t="s">
        <v>61</v>
      </c>
      <c r="L7544" s="11" t="s">
        <v>36</v>
      </c>
      <c r="M7544" s="11" t="s">
        <v>49</v>
      </c>
      <c r="N7544" s="11" t="s">
        <v>156</v>
      </c>
      <c r="O7544" s="11" t="s">
        <v>165</v>
      </c>
      <c r="P7544" s="11" t="s">
        <v>87</v>
      </c>
      <c r="Q7544" s="20">
        <v>41125.0</v>
      </c>
      <c r="R7544" s="17">
        <f t="shared" si="2"/>
        <v>128.6796359</v>
      </c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>
        <f t="shared" si="8"/>
        <v>2</v>
      </c>
      <c r="AF7544" s="19">
        <f t="shared" si="13"/>
        <v>4</v>
      </c>
      <c r="AG7544" s="9"/>
      <c r="AH7544" s="9"/>
      <c r="AI7544" s="9"/>
    </row>
    <row r="7545" ht="15.0" customHeight="1">
      <c r="A7545" s="11">
        <v>7544.0</v>
      </c>
      <c r="B7545" s="12">
        <f t="shared" si="1205"/>
        <v>41123</v>
      </c>
      <c r="C7545" s="13">
        <v>2012.0</v>
      </c>
      <c r="D7545" s="11" t="s">
        <v>44</v>
      </c>
      <c r="E7545" s="11">
        <v>49.0</v>
      </c>
      <c r="F7545" s="14">
        <v>70.9</v>
      </c>
      <c r="G7545" s="15">
        <v>0.012517091361093845</v>
      </c>
      <c r="H7545" s="11" t="s">
        <v>45</v>
      </c>
      <c r="I7545" s="16">
        <v>21.392</v>
      </c>
      <c r="J7545" s="11" t="s">
        <v>2084</v>
      </c>
      <c r="K7545" s="11" t="s">
        <v>61</v>
      </c>
      <c r="L7545" s="11" t="s">
        <v>36</v>
      </c>
      <c r="M7545" s="11" t="s">
        <v>49</v>
      </c>
      <c r="N7545" s="11" t="s">
        <v>156</v>
      </c>
      <c r="O7545" s="11" t="s">
        <v>1909</v>
      </c>
      <c r="P7545" s="11" t="s">
        <v>87</v>
      </c>
      <c r="Q7545" s="20">
        <v>41125.0</v>
      </c>
      <c r="R7545" s="17">
        <f t="shared" si="2"/>
        <v>43.75339272</v>
      </c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>
        <f t="shared" si="8"/>
        <v>2</v>
      </c>
      <c r="AF7545" s="19">
        <f t="shared" si="13"/>
        <v>4</v>
      </c>
      <c r="AG7545" s="9"/>
      <c r="AH7545" s="9"/>
      <c r="AI7545" s="9"/>
    </row>
    <row r="7546" ht="15.0" customHeight="1">
      <c r="A7546" s="11">
        <v>7545.0</v>
      </c>
      <c r="B7546" s="12">
        <f t="shared" si="1205"/>
        <v>41123</v>
      </c>
      <c r="C7546" s="13">
        <v>2012.0</v>
      </c>
      <c r="D7546" s="11" t="s">
        <v>44</v>
      </c>
      <c r="E7546" s="11">
        <v>16.0</v>
      </c>
      <c r="F7546" s="14">
        <v>182.5</v>
      </c>
      <c r="G7546" s="15">
        <v>0.052242609582059125</v>
      </c>
      <c r="H7546" s="11" t="s">
        <v>33</v>
      </c>
      <c r="I7546" s="16">
        <v>55.2</v>
      </c>
      <c r="J7546" s="11" t="s">
        <v>2084</v>
      </c>
      <c r="K7546" s="11" t="s">
        <v>61</v>
      </c>
      <c r="L7546" s="11" t="s">
        <v>36</v>
      </c>
      <c r="M7546" s="11" t="s">
        <v>49</v>
      </c>
      <c r="N7546" s="11" t="s">
        <v>85</v>
      </c>
      <c r="O7546" s="11" t="s">
        <v>2523</v>
      </c>
      <c r="P7546" s="11" t="s">
        <v>31</v>
      </c>
      <c r="Q7546" s="20">
        <v>41125.0</v>
      </c>
      <c r="R7546" s="17">
        <f t="shared" si="2"/>
        <v>155.432212</v>
      </c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>
        <f t="shared" si="8"/>
        <v>2</v>
      </c>
      <c r="AF7546" s="19">
        <f t="shared" si="13"/>
        <v>4</v>
      </c>
      <c r="AG7546" s="9"/>
      <c r="AH7546" s="9"/>
      <c r="AI7546" s="9"/>
    </row>
    <row r="7547" ht="15.0" customHeight="1">
      <c r="A7547" s="11">
        <v>7546.0</v>
      </c>
      <c r="B7547" s="12">
        <f t="shared" si="1205"/>
        <v>41123</v>
      </c>
      <c r="C7547" s="13">
        <v>2012.0</v>
      </c>
      <c r="D7547" s="11" t="s">
        <v>39</v>
      </c>
      <c r="E7547" s="11">
        <v>48.0</v>
      </c>
      <c r="F7547" s="14">
        <v>40.9</v>
      </c>
      <c r="G7547" s="15">
        <v>0.03588128062259703</v>
      </c>
      <c r="H7547" s="11" t="s">
        <v>33</v>
      </c>
      <c r="I7547" s="16">
        <v>1.592</v>
      </c>
      <c r="J7547" s="11" t="s">
        <v>2131</v>
      </c>
      <c r="K7547" s="11" t="s">
        <v>26</v>
      </c>
      <c r="L7547" s="11" t="s">
        <v>48</v>
      </c>
      <c r="M7547" s="11" t="s">
        <v>66</v>
      </c>
      <c r="N7547" s="11" t="s">
        <v>67</v>
      </c>
      <c r="O7547" s="11" t="s">
        <v>2453</v>
      </c>
      <c r="P7547" s="11" t="s">
        <v>99</v>
      </c>
      <c r="Q7547" s="20">
        <v>41126.0</v>
      </c>
      <c r="R7547" s="17">
        <f t="shared" si="2"/>
        <v>70.49925312</v>
      </c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>
        <f t="shared" si="8"/>
        <v>4</v>
      </c>
      <c r="AF7547" s="19">
        <f t="shared" si="13"/>
        <v>1</v>
      </c>
      <c r="AG7547" s="9"/>
      <c r="AH7547" s="9"/>
      <c r="AI7547" s="9"/>
    </row>
    <row r="7548" ht="15.0" customHeight="1">
      <c r="A7548" s="11">
        <v>7547.0</v>
      </c>
      <c r="B7548" s="12">
        <f t="shared" ref="B7548:B7549" si="1206">DATE(2012,12,31)-150</f>
        <v>41124</v>
      </c>
      <c r="C7548" s="13">
        <v>2012.0</v>
      </c>
      <c r="D7548" s="11" t="s">
        <v>23</v>
      </c>
      <c r="E7548" s="11">
        <v>37.0</v>
      </c>
      <c r="F7548" s="14">
        <v>7.6</v>
      </c>
      <c r="G7548" s="15">
        <v>0.07878943979394731</v>
      </c>
      <c r="H7548" s="11" t="s">
        <v>33</v>
      </c>
      <c r="I7548" s="16">
        <v>4.928000000000001</v>
      </c>
      <c r="J7548" s="11" t="s">
        <v>2205</v>
      </c>
      <c r="K7548" s="11" t="s">
        <v>35</v>
      </c>
      <c r="L7548" s="11" t="s">
        <v>48</v>
      </c>
      <c r="M7548" s="11" t="s">
        <v>28</v>
      </c>
      <c r="N7548" s="11" t="s">
        <v>42</v>
      </c>
      <c r="O7548" s="11" t="s">
        <v>134</v>
      </c>
      <c r="P7548" s="11" t="s">
        <v>38</v>
      </c>
      <c r="Q7548" s="20">
        <v>41126.0</v>
      </c>
      <c r="R7548" s="17">
        <f t="shared" si="2"/>
        <v>22.54386483</v>
      </c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>
        <f t="shared" si="8"/>
        <v>4</v>
      </c>
      <c r="AF7548" s="19">
        <f t="shared" si="13"/>
        <v>2</v>
      </c>
      <c r="AG7548" s="9"/>
      <c r="AH7548" s="9"/>
      <c r="AI7548" s="9"/>
    </row>
    <row r="7549" ht="15.0" customHeight="1">
      <c r="A7549" s="11">
        <v>7548.0</v>
      </c>
      <c r="B7549" s="12">
        <f t="shared" si="1206"/>
        <v>41124</v>
      </c>
      <c r="C7549" s="13">
        <v>2012.0</v>
      </c>
      <c r="D7549" s="11" t="s">
        <v>32</v>
      </c>
      <c r="E7549" s="11">
        <v>17.0</v>
      </c>
      <c r="F7549" s="14">
        <v>10.9</v>
      </c>
      <c r="G7549" s="15">
        <v>0.039366377107817985</v>
      </c>
      <c r="H7549" s="11" t="s">
        <v>33</v>
      </c>
      <c r="I7549" s="16">
        <v>2.696</v>
      </c>
      <c r="J7549" s="11" t="s">
        <v>1401</v>
      </c>
      <c r="K7549" s="11" t="s">
        <v>83</v>
      </c>
      <c r="L7549" s="11" t="s">
        <v>41</v>
      </c>
      <c r="M7549" s="11" t="s">
        <v>28</v>
      </c>
      <c r="N7549" s="11" t="s">
        <v>442</v>
      </c>
      <c r="O7549" s="11" t="s">
        <v>1111</v>
      </c>
      <c r="P7549" s="11" t="s">
        <v>99</v>
      </c>
      <c r="Q7549" s="20">
        <v>41126.0</v>
      </c>
      <c r="R7549" s="17">
        <f t="shared" si="2"/>
        <v>7.400721431</v>
      </c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>
        <f t="shared" si="8"/>
        <v>3</v>
      </c>
      <c r="AF7549" s="19" t="b">
        <f t="shared" si="13"/>
        <v>0</v>
      </c>
      <c r="AG7549" s="9"/>
      <c r="AH7549" s="9"/>
      <c r="AI7549" s="9"/>
    </row>
    <row r="7550" ht="15.0" customHeight="1">
      <c r="A7550" s="11">
        <v>7549.0</v>
      </c>
      <c r="B7550" s="12">
        <f t="shared" ref="B7550:B7560" si="1207">DATE(2012,12,31)-149</f>
        <v>41125</v>
      </c>
      <c r="C7550" s="13">
        <v>2012.0</v>
      </c>
      <c r="D7550" s="11" t="s">
        <v>23</v>
      </c>
      <c r="E7550" s="11">
        <v>15.0</v>
      </c>
      <c r="F7550" s="14">
        <v>5.2</v>
      </c>
      <c r="G7550" s="15">
        <v>0.04066825775656326</v>
      </c>
      <c r="H7550" s="11" t="s">
        <v>33</v>
      </c>
      <c r="I7550" s="16">
        <v>2.3920000000000003</v>
      </c>
      <c r="J7550" s="11" t="s">
        <v>1393</v>
      </c>
      <c r="K7550" s="11" t="s">
        <v>117</v>
      </c>
      <c r="L7550" s="11" t="s">
        <v>36</v>
      </c>
      <c r="M7550" s="11" t="s">
        <v>28</v>
      </c>
      <c r="N7550" s="11" t="s">
        <v>42</v>
      </c>
      <c r="O7550" s="11" t="s">
        <v>2199</v>
      </c>
      <c r="P7550" s="11" t="s">
        <v>38</v>
      </c>
      <c r="Q7550" s="20">
        <v>41126.0</v>
      </c>
      <c r="R7550" s="17">
        <f t="shared" si="2"/>
        <v>3.269402578</v>
      </c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>
        <f t="shared" si="8"/>
        <v>2</v>
      </c>
      <c r="AF7550" s="19" t="b">
        <f t="shared" si="13"/>
        <v>0</v>
      </c>
      <c r="AG7550" s="9"/>
      <c r="AH7550" s="9"/>
      <c r="AI7550" s="9"/>
    </row>
    <row r="7551" ht="15.0" customHeight="1">
      <c r="A7551" s="11">
        <v>7550.0</v>
      </c>
      <c r="B7551" s="12">
        <f t="shared" si="1207"/>
        <v>41125</v>
      </c>
      <c r="C7551" s="13">
        <v>2012.0</v>
      </c>
      <c r="D7551" s="11" t="s">
        <v>32</v>
      </c>
      <c r="E7551" s="11">
        <v>30.0</v>
      </c>
      <c r="F7551" s="14">
        <v>2.8</v>
      </c>
      <c r="G7551" s="15">
        <v>0.10895679662802954</v>
      </c>
      <c r="H7551" s="11" t="s">
        <v>33</v>
      </c>
      <c r="I7551" s="16">
        <v>0.5599999999999999</v>
      </c>
      <c r="J7551" s="11" t="s">
        <v>1827</v>
      </c>
      <c r="K7551" s="11" t="s">
        <v>117</v>
      </c>
      <c r="L7551" s="11" t="s">
        <v>27</v>
      </c>
      <c r="M7551" s="11" t="s">
        <v>28</v>
      </c>
      <c r="N7551" s="11" t="s">
        <v>62</v>
      </c>
      <c r="O7551" s="11" t="s">
        <v>321</v>
      </c>
      <c r="P7551" s="11" t="s">
        <v>58</v>
      </c>
      <c r="Q7551" s="20">
        <v>41126.0</v>
      </c>
      <c r="R7551" s="17">
        <f t="shared" si="2"/>
        <v>9.213386723</v>
      </c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>
        <f t="shared" si="8"/>
        <v>1</v>
      </c>
      <c r="AF7551" s="19" t="b">
        <f t="shared" si="13"/>
        <v>0</v>
      </c>
      <c r="AG7551" s="9"/>
      <c r="AH7551" s="9"/>
      <c r="AI7551" s="9"/>
    </row>
    <row r="7552" ht="15.0" customHeight="1">
      <c r="A7552" s="11">
        <v>7551.0</v>
      </c>
      <c r="B7552" s="12">
        <f t="shared" si="1207"/>
        <v>41125</v>
      </c>
      <c r="C7552" s="13">
        <v>2012.0</v>
      </c>
      <c r="D7552" s="11" t="s">
        <v>39</v>
      </c>
      <c r="E7552" s="11">
        <v>4.0</v>
      </c>
      <c r="F7552" s="14">
        <v>6.4</v>
      </c>
      <c r="G7552" s="15">
        <v>0.1338243626062322</v>
      </c>
      <c r="H7552" s="11" t="s">
        <v>33</v>
      </c>
      <c r="I7552" s="16">
        <v>4.976</v>
      </c>
      <c r="J7552" s="11" t="s">
        <v>2527</v>
      </c>
      <c r="K7552" s="11" t="s">
        <v>61</v>
      </c>
      <c r="L7552" s="11" t="s">
        <v>36</v>
      </c>
      <c r="M7552" s="11" t="s">
        <v>28</v>
      </c>
      <c r="N7552" s="11" t="s">
        <v>56</v>
      </c>
      <c r="O7552" s="11" t="s">
        <v>1216</v>
      </c>
      <c r="P7552" s="11" t="s">
        <v>38</v>
      </c>
      <c r="Q7552" s="20">
        <v>41126.0</v>
      </c>
      <c r="R7552" s="17">
        <f t="shared" si="2"/>
        <v>4.091813711</v>
      </c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>
        <f t="shared" si="8"/>
        <v>2</v>
      </c>
      <c r="AF7552" s="19">
        <f t="shared" si="13"/>
        <v>4</v>
      </c>
      <c r="AG7552" s="9"/>
      <c r="AH7552" s="9"/>
      <c r="AI7552" s="9"/>
    </row>
    <row r="7553" ht="15.0" customHeight="1">
      <c r="A7553" s="11">
        <v>7552.0</v>
      </c>
      <c r="B7553" s="12">
        <f t="shared" si="1207"/>
        <v>41125</v>
      </c>
      <c r="C7553" s="13">
        <v>2012.0</v>
      </c>
      <c r="D7553" s="11" t="s">
        <v>39</v>
      </c>
      <c r="E7553" s="11">
        <v>48.0</v>
      </c>
      <c r="F7553" s="14">
        <v>35.9</v>
      </c>
      <c r="G7553" s="15">
        <v>0.059048242741759585</v>
      </c>
      <c r="H7553" s="11" t="s">
        <v>33</v>
      </c>
      <c r="I7553" s="16">
        <v>1.0</v>
      </c>
      <c r="J7553" s="11" t="s">
        <v>2527</v>
      </c>
      <c r="K7553" s="11" t="s">
        <v>61</v>
      </c>
      <c r="L7553" s="11" t="s">
        <v>36</v>
      </c>
      <c r="M7553" s="11" t="s">
        <v>66</v>
      </c>
      <c r="N7553" s="11" t="s">
        <v>80</v>
      </c>
      <c r="O7553" s="11" t="s">
        <v>2300</v>
      </c>
      <c r="P7553" s="11" t="s">
        <v>99</v>
      </c>
      <c r="Q7553" s="20">
        <v>41126.0</v>
      </c>
      <c r="R7553" s="17">
        <f t="shared" si="2"/>
        <v>101.8109801</v>
      </c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>
        <f t="shared" si="8"/>
        <v>2</v>
      </c>
      <c r="AF7553" s="19">
        <f t="shared" si="13"/>
        <v>4</v>
      </c>
      <c r="AG7553" s="9"/>
      <c r="AH7553" s="9"/>
      <c r="AI7553" s="9"/>
    </row>
    <row r="7554" ht="15.0" customHeight="1">
      <c r="A7554" s="11">
        <v>7553.0</v>
      </c>
      <c r="B7554" s="12">
        <f t="shared" si="1207"/>
        <v>41125</v>
      </c>
      <c r="C7554" s="13">
        <v>2012.0</v>
      </c>
      <c r="D7554" s="11" t="s">
        <v>32</v>
      </c>
      <c r="E7554" s="11">
        <v>45.0</v>
      </c>
      <c r="F7554" s="14">
        <v>10.4</v>
      </c>
      <c r="G7554" s="15">
        <v>0.0648001590773513</v>
      </c>
      <c r="H7554" s="11" t="s">
        <v>33</v>
      </c>
      <c r="I7554" s="16">
        <v>2.3120000000000003</v>
      </c>
      <c r="J7554" s="11" t="s">
        <v>1975</v>
      </c>
      <c r="K7554" s="11" t="s">
        <v>26</v>
      </c>
      <c r="L7554" s="11" t="s">
        <v>27</v>
      </c>
      <c r="M7554" s="11" t="s">
        <v>28</v>
      </c>
      <c r="N7554" s="11" t="s">
        <v>62</v>
      </c>
      <c r="O7554" s="11" t="s">
        <v>1491</v>
      </c>
      <c r="P7554" s="11" t="s">
        <v>99</v>
      </c>
      <c r="Q7554" s="20">
        <v>41127.0</v>
      </c>
      <c r="R7554" s="17">
        <f t="shared" si="2"/>
        <v>30.47629242</v>
      </c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>
        <f t="shared" si="8"/>
        <v>1</v>
      </c>
      <c r="AF7554" s="19">
        <f t="shared" si="13"/>
        <v>1</v>
      </c>
      <c r="AG7554" s="9"/>
      <c r="AH7554" s="9"/>
      <c r="AI7554" s="9"/>
    </row>
    <row r="7555" ht="15.0" customHeight="1">
      <c r="A7555" s="11">
        <v>7554.0</v>
      </c>
      <c r="B7555" s="12">
        <f t="shared" si="1207"/>
        <v>41125</v>
      </c>
      <c r="C7555" s="13">
        <v>2012.0</v>
      </c>
      <c r="D7555" s="11" t="s">
        <v>23</v>
      </c>
      <c r="E7555" s="11">
        <v>42.0</v>
      </c>
      <c r="F7555" s="14">
        <v>2.8</v>
      </c>
      <c r="G7555" s="15">
        <v>0.07506250000000003</v>
      </c>
      <c r="H7555" s="11" t="s">
        <v>33</v>
      </c>
      <c r="I7555" s="16">
        <v>0.792</v>
      </c>
      <c r="J7555" s="11" t="s">
        <v>1496</v>
      </c>
      <c r="K7555" s="11" t="s">
        <v>61</v>
      </c>
      <c r="L7555" s="11" t="s">
        <v>48</v>
      </c>
      <c r="M7555" s="11" t="s">
        <v>28</v>
      </c>
      <c r="N7555" s="11" t="s">
        <v>188</v>
      </c>
      <c r="O7555" s="11" t="s">
        <v>1570</v>
      </c>
      <c r="P7555" s="11" t="s">
        <v>38</v>
      </c>
      <c r="Q7555" s="20">
        <v>41127.0</v>
      </c>
      <c r="R7555" s="17">
        <f t="shared" si="2"/>
        <v>8.8867995</v>
      </c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>
        <f t="shared" si="8"/>
        <v>4</v>
      </c>
      <c r="AF7555" s="19">
        <f t="shared" si="13"/>
        <v>4</v>
      </c>
      <c r="AG7555" s="9"/>
      <c r="AH7555" s="9"/>
      <c r="AI7555" s="9"/>
    </row>
    <row r="7556" ht="15.0" customHeight="1">
      <c r="A7556" s="11">
        <v>7555.0</v>
      </c>
      <c r="B7556" s="12">
        <f t="shared" si="1207"/>
        <v>41125</v>
      </c>
      <c r="C7556" s="13">
        <v>2012.0</v>
      </c>
      <c r="D7556" s="11" t="s">
        <v>23</v>
      </c>
      <c r="E7556" s="11">
        <v>2.0</v>
      </c>
      <c r="F7556" s="14">
        <v>2.0</v>
      </c>
      <c r="G7556" s="15">
        <v>0.09276595744680849</v>
      </c>
      <c r="H7556" s="11" t="s">
        <v>24</v>
      </c>
      <c r="I7556" s="16">
        <v>0.264</v>
      </c>
      <c r="J7556" s="11" t="s">
        <v>1496</v>
      </c>
      <c r="K7556" s="11" t="s">
        <v>61</v>
      </c>
      <c r="L7556" s="11" t="s">
        <v>48</v>
      </c>
      <c r="M7556" s="11" t="s">
        <v>49</v>
      </c>
      <c r="N7556" s="11" t="s">
        <v>73</v>
      </c>
      <c r="O7556" s="11" t="s">
        <v>286</v>
      </c>
      <c r="P7556" s="11" t="s">
        <v>38</v>
      </c>
      <c r="Q7556" s="20">
        <v>41127.0</v>
      </c>
      <c r="R7556" s="17">
        <f t="shared" si="2"/>
        <v>0.3955540426</v>
      </c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>
        <f t="shared" si="8"/>
        <v>4</v>
      </c>
      <c r="AF7556" s="19">
        <f t="shared" si="13"/>
        <v>4</v>
      </c>
      <c r="AG7556" s="9"/>
      <c r="AH7556" s="9"/>
      <c r="AI7556" s="9"/>
    </row>
    <row r="7557" ht="15.0" customHeight="1">
      <c r="A7557" s="11">
        <v>7556.0</v>
      </c>
      <c r="B7557" s="12">
        <f t="shared" si="1207"/>
        <v>41125</v>
      </c>
      <c r="C7557" s="13">
        <v>2012.0</v>
      </c>
      <c r="D7557" s="11" t="s">
        <v>23</v>
      </c>
      <c r="E7557" s="11">
        <v>2.0</v>
      </c>
      <c r="F7557" s="14">
        <v>65.9</v>
      </c>
      <c r="G7557" s="15">
        <v>0.08668941979522177</v>
      </c>
      <c r="H7557" s="11" t="s">
        <v>33</v>
      </c>
      <c r="I7557" s="16">
        <v>2.0</v>
      </c>
      <c r="J7557" s="11" t="s">
        <v>1496</v>
      </c>
      <c r="K7557" s="11" t="s">
        <v>61</v>
      </c>
      <c r="L7557" s="11" t="s">
        <v>48</v>
      </c>
      <c r="M7557" s="11" t="s">
        <v>66</v>
      </c>
      <c r="N7557" s="11" t="s">
        <v>80</v>
      </c>
      <c r="O7557" s="11" t="s">
        <v>2385</v>
      </c>
      <c r="P7557" s="11" t="s">
        <v>38</v>
      </c>
      <c r="Q7557" s="20">
        <v>41127.0</v>
      </c>
      <c r="R7557" s="17">
        <f t="shared" si="2"/>
        <v>11.59904437</v>
      </c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>
        <f t="shared" si="8"/>
        <v>4</v>
      </c>
      <c r="AF7557" s="19">
        <f t="shared" si="13"/>
        <v>4</v>
      </c>
      <c r="AG7557" s="9"/>
      <c r="AH7557" s="9"/>
      <c r="AI7557" s="9"/>
    </row>
    <row r="7558" ht="15.0" customHeight="1">
      <c r="A7558" s="11">
        <v>7557.0</v>
      </c>
      <c r="B7558" s="12">
        <f t="shared" si="1207"/>
        <v>41125</v>
      </c>
      <c r="C7558" s="13">
        <v>2012.0</v>
      </c>
      <c r="D7558" s="11" t="s">
        <v>39</v>
      </c>
      <c r="E7558" s="11">
        <v>23.0</v>
      </c>
      <c r="F7558" s="14">
        <v>3.9</v>
      </c>
      <c r="G7558" s="15">
        <v>0.025613660618996857</v>
      </c>
      <c r="H7558" s="11" t="s">
        <v>33</v>
      </c>
      <c r="I7558" s="16">
        <v>1.6</v>
      </c>
      <c r="J7558" s="11" t="s">
        <v>832</v>
      </c>
      <c r="K7558" s="11" t="s">
        <v>65</v>
      </c>
      <c r="L7558" s="11" t="s">
        <v>48</v>
      </c>
      <c r="M7558" s="11" t="s">
        <v>28</v>
      </c>
      <c r="N7558" s="11" t="s">
        <v>216</v>
      </c>
      <c r="O7558" s="11" t="s">
        <v>1856</v>
      </c>
      <c r="P7558" s="11" t="s">
        <v>58</v>
      </c>
      <c r="Q7558" s="20">
        <v>41127.0</v>
      </c>
      <c r="R7558" s="17">
        <f t="shared" si="2"/>
        <v>2.338527215</v>
      </c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>
        <f t="shared" si="8"/>
        <v>4</v>
      </c>
      <c r="AF7558" s="19">
        <f t="shared" si="13"/>
        <v>5</v>
      </c>
      <c r="AG7558" s="9"/>
      <c r="AH7558" s="9"/>
      <c r="AI7558" s="9"/>
    </row>
    <row r="7559" ht="15.0" customHeight="1">
      <c r="A7559" s="11">
        <v>7558.0</v>
      </c>
      <c r="B7559" s="12">
        <f t="shared" si="1207"/>
        <v>41125</v>
      </c>
      <c r="C7559" s="13">
        <v>2012.0</v>
      </c>
      <c r="D7559" s="11" t="s">
        <v>39</v>
      </c>
      <c r="E7559" s="11">
        <v>6.0</v>
      </c>
      <c r="F7559" s="14">
        <v>64.9</v>
      </c>
      <c r="G7559" s="15">
        <v>0.06087039239001176</v>
      </c>
      <c r="H7559" s="11" t="s">
        <v>33</v>
      </c>
      <c r="I7559" s="16">
        <v>5.5040000000000004</v>
      </c>
      <c r="J7559" s="11" t="s">
        <v>832</v>
      </c>
      <c r="K7559" s="11" t="s">
        <v>65</v>
      </c>
      <c r="L7559" s="11" t="s">
        <v>48</v>
      </c>
      <c r="M7559" s="11" t="s">
        <v>28</v>
      </c>
      <c r="N7559" s="11" t="s">
        <v>29</v>
      </c>
      <c r="O7559" s="11" t="s">
        <v>2193</v>
      </c>
      <c r="P7559" s="11" t="s">
        <v>38</v>
      </c>
      <c r="Q7559" s="20">
        <v>41127.0</v>
      </c>
      <c r="R7559" s="17">
        <f t="shared" si="2"/>
        <v>24.03796144</v>
      </c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>
        <f t="shared" si="8"/>
        <v>4</v>
      </c>
      <c r="AF7559" s="19">
        <f t="shared" si="13"/>
        <v>5</v>
      </c>
      <c r="AG7559" s="9"/>
      <c r="AH7559" s="9"/>
      <c r="AI7559" s="9"/>
    </row>
    <row r="7560" ht="15.0" customHeight="1">
      <c r="A7560" s="11">
        <v>7559.0</v>
      </c>
      <c r="B7560" s="12">
        <f t="shared" si="1207"/>
        <v>41125</v>
      </c>
      <c r="C7560" s="13">
        <v>2012.0</v>
      </c>
      <c r="D7560" s="11" t="s">
        <v>39</v>
      </c>
      <c r="E7560" s="11">
        <v>39.0</v>
      </c>
      <c r="F7560" s="14">
        <v>10.6</v>
      </c>
      <c r="G7560" s="15">
        <v>0.025605600933489</v>
      </c>
      <c r="H7560" s="11" t="s">
        <v>33</v>
      </c>
      <c r="I7560" s="16">
        <v>4.128</v>
      </c>
      <c r="J7560" s="11" t="s">
        <v>1980</v>
      </c>
      <c r="K7560" s="11" t="s">
        <v>61</v>
      </c>
      <c r="L7560" s="11" t="s">
        <v>36</v>
      </c>
      <c r="M7560" s="11" t="s">
        <v>49</v>
      </c>
      <c r="N7560" s="11" t="s">
        <v>73</v>
      </c>
      <c r="O7560" s="11" t="s">
        <v>975</v>
      </c>
      <c r="P7560" s="11" t="s">
        <v>38</v>
      </c>
      <c r="Q7560" s="20">
        <v>41127.0</v>
      </c>
      <c r="R7560" s="17">
        <f t="shared" si="2"/>
        <v>10.69105535</v>
      </c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>
        <f t="shared" si="8"/>
        <v>2</v>
      </c>
      <c r="AF7560" s="19">
        <f t="shared" si="13"/>
        <v>4</v>
      </c>
      <c r="AG7560" s="9"/>
      <c r="AH7560" s="9"/>
      <c r="AI7560" s="9"/>
    </row>
    <row r="7561" ht="15.0" customHeight="1">
      <c r="A7561" s="11">
        <v>7560.0</v>
      </c>
      <c r="B7561" s="12">
        <f t="shared" ref="B7561:B7569" si="1208">DATE(2012,12,31)-148</f>
        <v>41126</v>
      </c>
      <c r="C7561" s="13">
        <v>2012.0</v>
      </c>
      <c r="D7561" s="11" t="s">
        <v>102</v>
      </c>
      <c r="E7561" s="11">
        <v>19.0</v>
      </c>
      <c r="F7561" s="14">
        <v>6.4</v>
      </c>
      <c r="G7561" s="15">
        <v>0.06792064658339446</v>
      </c>
      <c r="H7561" s="11" t="s">
        <v>33</v>
      </c>
      <c r="I7561" s="16">
        <v>5.256</v>
      </c>
      <c r="J7561" s="11" t="s">
        <v>2568</v>
      </c>
      <c r="K7561" s="11" t="s">
        <v>117</v>
      </c>
      <c r="L7561" s="11" t="s">
        <v>48</v>
      </c>
      <c r="M7561" s="11" t="s">
        <v>28</v>
      </c>
      <c r="N7561" s="11" t="s">
        <v>56</v>
      </c>
      <c r="O7561" s="11" t="s">
        <v>1768</v>
      </c>
      <c r="P7561" s="11" t="s">
        <v>38</v>
      </c>
      <c r="Q7561" s="20">
        <v>41127.0</v>
      </c>
      <c r="R7561" s="17">
        <f t="shared" si="2"/>
        <v>8.616141543</v>
      </c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>
        <f t="shared" si="8"/>
        <v>4</v>
      </c>
      <c r="AF7561" s="19" t="b">
        <f t="shared" si="13"/>
        <v>0</v>
      </c>
      <c r="AG7561" s="9"/>
      <c r="AH7561" s="9"/>
      <c r="AI7561" s="9"/>
    </row>
    <row r="7562" ht="15.0" customHeight="1">
      <c r="A7562" s="11">
        <v>7561.0</v>
      </c>
      <c r="B7562" s="12">
        <f t="shared" si="1208"/>
        <v>41126</v>
      </c>
      <c r="C7562" s="13">
        <v>2012.0</v>
      </c>
      <c r="D7562" s="11" t="s">
        <v>32</v>
      </c>
      <c r="E7562" s="11">
        <v>6.0</v>
      </c>
      <c r="F7562" s="14">
        <v>131.1</v>
      </c>
      <c r="G7562" s="15">
        <v>0.08293501048218038</v>
      </c>
      <c r="H7562" s="11" t="s">
        <v>33</v>
      </c>
      <c r="I7562" s="16">
        <v>0.792</v>
      </c>
      <c r="J7562" s="11" t="s">
        <v>1684</v>
      </c>
      <c r="K7562" s="11" t="s">
        <v>47</v>
      </c>
      <c r="L7562" s="11" t="s">
        <v>48</v>
      </c>
      <c r="M7562" s="11" t="s">
        <v>28</v>
      </c>
      <c r="N7562" s="11" t="s">
        <v>197</v>
      </c>
      <c r="O7562" s="11" t="s">
        <v>2275</v>
      </c>
      <c r="P7562" s="11" t="s">
        <v>38</v>
      </c>
      <c r="Q7562" s="20">
        <v>41128.0</v>
      </c>
      <c r="R7562" s="17">
        <f t="shared" si="2"/>
        <v>65.30236377</v>
      </c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>
        <f t="shared" si="8"/>
        <v>4</v>
      </c>
      <c r="AF7562" s="19">
        <f t="shared" si="13"/>
        <v>3</v>
      </c>
      <c r="AG7562" s="9"/>
      <c r="AH7562" s="9"/>
      <c r="AI7562" s="9"/>
    </row>
    <row r="7563" ht="15.0" customHeight="1">
      <c r="A7563" s="11">
        <v>7562.0</v>
      </c>
      <c r="B7563" s="12">
        <f t="shared" si="1208"/>
        <v>41126</v>
      </c>
      <c r="C7563" s="13">
        <v>2012.0</v>
      </c>
      <c r="D7563" s="11" t="s">
        <v>32</v>
      </c>
      <c r="E7563" s="11">
        <v>43.0</v>
      </c>
      <c r="F7563" s="14">
        <v>11.0</v>
      </c>
      <c r="G7563" s="15">
        <v>0.057289608850256815</v>
      </c>
      <c r="H7563" s="11" t="s">
        <v>33</v>
      </c>
      <c r="I7563" s="16">
        <v>4.2</v>
      </c>
      <c r="J7563" s="11" t="s">
        <v>1684</v>
      </c>
      <c r="K7563" s="11" t="s">
        <v>47</v>
      </c>
      <c r="L7563" s="11" t="s">
        <v>48</v>
      </c>
      <c r="M7563" s="11" t="s">
        <v>28</v>
      </c>
      <c r="N7563" s="11" t="s">
        <v>236</v>
      </c>
      <c r="O7563" s="11" t="s">
        <v>2307</v>
      </c>
      <c r="P7563" s="11" t="s">
        <v>38</v>
      </c>
      <c r="Q7563" s="20">
        <v>41128.0</v>
      </c>
      <c r="R7563" s="17">
        <f t="shared" si="2"/>
        <v>27.33860134</v>
      </c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>
        <f t="shared" si="8"/>
        <v>4</v>
      </c>
      <c r="AF7563" s="19">
        <f t="shared" si="13"/>
        <v>3</v>
      </c>
      <c r="AG7563" s="9"/>
      <c r="AH7563" s="9"/>
      <c r="AI7563" s="9"/>
    </row>
    <row r="7564" ht="15.0" customHeight="1">
      <c r="A7564" s="11">
        <v>7563.0</v>
      </c>
      <c r="B7564" s="12">
        <f t="shared" si="1208"/>
        <v>41126</v>
      </c>
      <c r="C7564" s="13">
        <v>2012.0</v>
      </c>
      <c r="D7564" s="11" t="s">
        <v>32</v>
      </c>
      <c r="E7564" s="11">
        <v>39.0</v>
      </c>
      <c r="F7564" s="14">
        <v>13.7</v>
      </c>
      <c r="G7564" s="15">
        <v>0.06555498014845504</v>
      </c>
      <c r="H7564" s="11" t="s">
        <v>33</v>
      </c>
      <c r="I7564" s="16">
        <v>7.024</v>
      </c>
      <c r="J7564" s="11" t="s">
        <v>1684</v>
      </c>
      <c r="K7564" s="11" t="s">
        <v>47</v>
      </c>
      <c r="L7564" s="11" t="s">
        <v>48</v>
      </c>
      <c r="M7564" s="11" t="s">
        <v>49</v>
      </c>
      <c r="N7564" s="11" t="s">
        <v>73</v>
      </c>
      <c r="O7564" s="11" t="s">
        <v>728</v>
      </c>
      <c r="P7564" s="11" t="s">
        <v>38</v>
      </c>
      <c r="Q7564" s="20">
        <v>41128.0</v>
      </c>
      <c r="R7564" s="17">
        <f t="shared" si="2"/>
        <v>35.48648407</v>
      </c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>
        <f t="shared" si="8"/>
        <v>4</v>
      </c>
      <c r="AF7564" s="19">
        <f t="shared" si="13"/>
        <v>3</v>
      </c>
      <c r="AG7564" s="9"/>
      <c r="AH7564" s="9"/>
      <c r="AI7564" s="9"/>
    </row>
    <row r="7565" ht="15.0" customHeight="1">
      <c r="A7565" s="11">
        <v>7564.0</v>
      </c>
      <c r="B7565" s="12">
        <f t="shared" si="1208"/>
        <v>41126</v>
      </c>
      <c r="C7565" s="13">
        <v>2012.0</v>
      </c>
      <c r="D7565" s="11" t="s">
        <v>39</v>
      </c>
      <c r="E7565" s="11">
        <v>41.0</v>
      </c>
      <c r="F7565" s="14">
        <v>19.9</v>
      </c>
      <c r="G7565" s="15">
        <v>0.09589777195281791</v>
      </c>
      <c r="H7565" s="11" t="s">
        <v>33</v>
      </c>
      <c r="I7565" s="16">
        <v>11.896</v>
      </c>
      <c r="J7565" s="11" t="s">
        <v>1560</v>
      </c>
      <c r="K7565" s="11" t="s">
        <v>26</v>
      </c>
      <c r="L7565" s="11" t="s">
        <v>48</v>
      </c>
      <c r="M7565" s="11" t="s">
        <v>49</v>
      </c>
      <c r="N7565" s="11" t="s">
        <v>73</v>
      </c>
      <c r="O7565" s="11" t="s">
        <v>2149</v>
      </c>
      <c r="P7565" s="11" t="s">
        <v>31</v>
      </c>
      <c r="Q7565" s="20">
        <v>41128.0</v>
      </c>
      <c r="R7565" s="17">
        <f t="shared" si="2"/>
        <v>79.38379203</v>
      </c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>
        <f t="shared" si="8"/>
        <v>4</v>
      </c>
      <c r="AF7565" s="19">
        <f t="shared" si="13"/>
        <v>1</v>
      </c>
      <c r="AG7565" s="9"/>
      <c r="AH7565" s="9"/>
      <c r="AI7565" s="9"/>
    </row>
    <row r="7566" ht="15.0" customHeight="1">
      <c r="A7566" s="11">
        <v>7565.0</v>
      </c>
      <c r="B7566" s="12">
        <f t="shared" si="1208"/>
        <v>41126</v>
      </c>
      <c r="C7566" s="13">
        <v>2012.0</v>
      </c>
      <c r="D7566" s="11" t="s">
        <v>32</v>
      </c>
      <c r="E7566" s="11">
        <v>18.0</v>
      </c>
      <c r="F7566" s="14">
        <v>5.0</v>
      </c>
      <c r="G7566" s="15">
        <v>0.08376000000000004</v>
      </c>
      <c r="H7566" s="11" t="s">
        <v>33</v>
      </c>
      <c r="I7566" s="16">
        <v>1.6239999999999999</v>
      </c>
      <c r="J7566" s="11" t="s">
        <v>1068</v>
      </c>
      <c r="K7566" s="11" t="s">
        <v>35</v>
      </c>
      <c r="L7566" s="11" t="s">
        <v>41</v>
      </c>
      <c r="M7566" s="11" t="s">
        <v>49</v>
      </c>
      <c r="N7566" s="11" t="s">
        <v>73</v>
      </c>
      <c r="O7566" s="11" t="s">
        <v>1583</v>
      </c>
      <c r="P7566" s="11" t="s">
        <v>58</v>
      </c>
      <c r="Q7566" s="20">
        <v>41128.0</v>
      </c>
      <c r="R7566" s="17">
        <f t="shared" si="2"/>
        <v>7.67442624</v>
      </c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>
        <f t="shared" si="8"/>
        <v>3</v>
      </c>
      <c r="AF7566" s="19">
        <f t="shared" si="13"/>
        <v>2</v>
      </c>
      <c r="AG7566" s="9"/>
      <c r="AH7566" s="9"/>
      <c r="AI7566" s="9"/>
    </row>
    <row r="7567" ht="15.0" customHeight="1">
      <c r="A7567" s="11">
        <v>7566.0</v>
      </c>
      <c r="B7567" s="12">
        <f t="shared" si="1208"/>
        <v>41126</v>
      </c>
      <c r="C7567" s="13">
        <v>2012.0</v>
      </c>
      <c r="D7567" s="11" t="s">
        <v>32</v>
      </c>
      <c r="E7567" s="11">
        <v>42.0</v>
      </c>
      <c r="F7567" s="14">
        <v>15.1</v>
      </c>
      <c r="G7567" s="15">
        <v>0.03301394784718021</v>
      </c>
      <c r="H7567" s="11" t="s">
        <v>33</v>
      </c>
      <c r="I7567" s="16">
        <v>3.6240000000000006</v>
      </c>
      <c r="J7567" s="11" t="s">
        <v>1068</v>
      </c>
      <c r="K7567" s="11" t="s">
        <v>35</v>
      </c>
      <c r="L7567" s="11" t="s">
        <v>41</v>
      </c>
      <c r="M7567" s="11" t="s">
        <v>28</v>
      </c>
      <c r="N7567" s="11" t="s">
        <v>29</v>
      </c>
      <c r="O7567" s="11" t="s">
        <v>946</v>
      </c>
      <c r="P7567" s="11" t="s">
        <v>38</v>
      </c>
      <c r="Q7567" s="20">
        <v>41128.0</v>
      </c>
      <c r="R7567" s="17">
        <f t="shared" si="2"/>
        <v>21.05708827</v>
      </c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>
        <f t="shared" si="8"/>
        <v>3</v>
      </c>
      <c r="AF7567" s="19">
        <f t="shared" si="13"/>
        <v>2</v>
      </c>
      <c r="AG7567" s="9"/>
      <c r="AH7567" s="9"/>
      <c r="AI7567" s="9"/>
    </row>
    <row r="7568" ht="15.0" customHeight="1">
      <c r="A7568" s="11">
        <v>7567.0</v>
      </c>
      <c r="B7568" s="12">
        <f t="shared" si="1208"/>
        <v>41126</v>
      </c>
      <c r="C7568" s="13">
        <v>2012.0</v>
      </c>
      <c r="D7568" s="11" t="s">
        <v>44</v>
      </c>
      <c r="E7568" s="11">
        <v>11.0</v>
      </c>
      <c r="F7568" s="14">
        <v>115.9</v>
      </c>
      <c r="G7568" s="15">
        <v>0.06522274948650751</v>
      </c>
      <c r="H7568" s="11" t="s">
        <v>45</v>
      </c>
      <c r="I7568" s="16">
        <v>44.912000000000006</v>
      </c>
      <c r="J7568" s="11" t="s">
        <v>567</v>
      </c>
      <c r="K7568" s="11" t="s">
        <v>35</v>
      </c>
      <c r="L7568" s="11" t="s">
        <v>36</v>
      </c>
      <c r="M7568" s="11" t="s">
        <v>66</v>
      </c>
      <c r="N7568" s="11" t="s">
        <v>69</v>
      </c>
      <c r="O7568" s="11" t="s">
        <v>289</v>
      </c>
      <c r="P7568" s="11" t="s">
        <v>52</v>
      </c>
      <c r="Q7568" s="20">
        <v>41128.0</v>
      </c>
      <c r="R7568" s="17">
        <f t="shared" si="2"/>
        <v>86.08176745</v>
      </c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>
        <f t="shared" si="8"/>
        <v>2</v>
      </c>
      <c r="AF7568" s="19">
        <f t="shared" si="13"/>
        <v>2</v>
      </c>
      <c r="AG7568" s="9"/>
      <c r="AH7568" s="9"/>
      <c r="AI7568" s="9"/>
    </row>
    <row r="7569" ht="15.0" customHeight="1">
      <c r="A7569" s="11">
        <v>7568.0</v>
      </c>
      <c r="B7569" s="12">
        <f t="shared" si="1208"/>
        <v>41126</v>
      </c>
      <c r="C7569" s="13">
        <v>2012.0</v>
      </c>
      <c r="D7569" s="11" t="s">
        <v>44</v>
      </c>
      <c r="E7569" s="11">
        <v>46.0</v>
      </c>
      <c r="F7569" s="14">
        <v>9.3</v>
      </c>
      <c r="G7569" s="15">
        <v>0.0932162275198661</v>
      </c>
      <c r="H7569" s="11" t="s">
        <v>24</v>
      </c>
      <c r="I7569" s="16">
        <v>5.824000000000001</v>
      </c>
      <c r="J7569" s="11" t="s">
        <v>567</v>
      </c>
      <c r="K7569" s="11" t="s">
        <v>35</v>
      </c>
      <c r="L7569" s="11" t="s">
        <v>36</v>
      </c>
      <c r="M7569" s="11" t="s">
        <v>28</v>
      </c>
      <c r="N7569" s="11" t="s">
        <v>29</v>
      </c>
      <c r="O7569" s="11" t="s">
        <v>2382</v>
      </c>
      <c r="P7569" s="11" t="s">
        <v>38</v>
      </c>
      <c r="Q7569" s="20">
        <v>41128.0</v>
      </c>
      <c r="R7569" s="17">
        <f t="shared" si="2"/>
        <v>40.42079344</v>
      </c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>
        <f t="shared" si="8"/>
        <v>2</v>
      </c>
      <c r="AF7569" s="19">
        <f t="shared" si="13"/>
        <v>2</v>
      </c>
      <c r="AG7569" s="9"/>
      <c r="AH7569" s="9"/>
      <c r="AI7569" s="9"/>
    </row>
    <row r="7570" ht="15.0" customHeight="1">
      <c r="A7570" s="11">
        <v>7569.0</v>
      </c>
      <c r="B7570" s="12">
        <f t="shared" ref="B7570:B7572" si="1209">DATE(2012,12,31)-147</f>
        <v>41127</v>
      </c>
      <c r="C7570" s="13">
        <v>2012.0</v>
      </c>
      <c r="D7570" s="11" t="s">
        <v>32</v>
      </c>
      <c r="E7570" s="11">
        <v>16.0</v>
      </c>
      <c r="F7570" s="14">
        <v>5.9</v>
      </c>
      <c r="G7570" s="15">
        <v>0.05941391941391941</v>
      </c>
      <c r="H7570" s="11" t="s">
        <v>33</v>
      </c>
      <c r="I7570" s="16">
        <v>8.312000000000001</v>
      </c>
      <c r="J7570" s="11" t="s">
        <v>1357</v>
      </c>
      <c r="K7570" s="11" t="s">
        <v>35</v>
      </c>
      <c r="L7570" s="11" t="s">
        <v>27</v>
      </c>
      <c r="M7570" s="11" t="s">
        <v>28</v>
      </c>
      <c r="N7570" s="11" t="s">
        <v>56</v>
      </c>
      <c r="O7570" s="11" t="s">
        <v>2400</v>
      </c>
      <c r="P7570" s="11" t="s">
        <v>38</v>
      </c>
      <c r="Q7570" s="20">
        <v>41128.0</v>
      </c>
      <c r="R7570" s="17">
        <f t="shared" si="2"/>
        <v>6.102522491</v>
      </c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>
        <f t="shared" si="8"/>
        <v>1</v>
      </c>
      <c r="AF7570" s="19">
        <f t="shared" si="13"/>
        <v>2</v>
      </c>
      <c r="AG7570" s="9"/>
      <c r="AH7570" s="9"/>
      <c r="AI7570" s="9"/>
    </row>
    <row r="7571" ht="15.0" customHeight="1">
      <c r="A7571" s="11">
        <v>7570.0</v>
      </c>
      <c r="B7571" s="12">
        <f t="shared" si="1209"/>
        <v>41127</v>
      </c>
      <c r="C7571" s="13">
        <v>2012.0</v>
      </c>
      <c r="D7571" s="11" t="s">
        <v>32</v>
      </c>
      <c r="E7571" s="11">
        <v>26.0</v>
      </c>
      <c r="F7571" s="14">
        <v>2.9</v>
      </c>
      <c r="G7571" s="15">
        <v>0.0434213836477989</v>
      </c>
      <c r="H7571" s="11" t="s">
        <v>33</v>
      </c>
      <c r="I7571" s="16">
        <v>0.6480000000000001</v>
      </c>
      <c r="J7571" s="11" t="s">
        <v>1357</v>
      </c>
      <c r="K7571" s="11" t="s">
        <v>35</v>
      </c>
      <c r="L7571" s="11" t="s">
        <v>27</v>
      </c>
      <c r="M7571" s="11" t="s">
        <v>28</v>
      </c>
      <c r="N7571" s="11" t="s">
        <v>62</v>
      </c>
      <c r="O7571" s="11" t="s">
        <v>1910</v>
      </c>
      <c r="P7571" s="11" t="s">
        <v>58</v>
      </c>
      <c r="Q7571" s="20">
        <v>41129.0</v>
      </c>
      <c r="R7571" s="17">
        <f t="shared" si="2"/>
        <v>3.302109384</v>
      </c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>
        <f t="shared" si="8"/>
        <v>1</v>
      </c>
      <c r="AF7571" s="19">
        <f t="shared" si="13"/>
        <v>2</v>
      </c>
      <c r="AG7571" s="9"/>
      <c r="AH7571" s="9"/>
      <c r="AI7571" s="9"/>
    </row>
    <row r="7572" ht="15.0" customHeight="1">
      <c r="A7572" s="11">
        <v>7571.0</v>
      </c>
      <c r="B7572" s="12">
        <f t="shared" si="1209"/>
        <v>41127</v>
      </c>
      <c r="C7572" s="13">
        <v>2012.0</v>
      </c>
      <c r="D7572" s="11" t="s">
        <v>102</v>
      </c>
      <c r="E7572" s="11">
        <v>25.0</v>
      </c>
      <c r="F7572" s="14">
        <v>6.4</v>
      </c>
      <c r="G7572" s="15">
        <v>0.08370083102493077</v>
      </c>
      <c r="H7572" s="11" t="s">
        <v>33</v>
      </c>
      <c r="I7572" s="16">
        <v>5.392</v>
      </c>
      <c r="J7572" s="11" t="s">
        <v>479</v>
      </c>
      <c r="K7572" s="11" t="s">
        <v>35</v>
      </c>
      <c r="L7572" s="11" t="s">
        <v>48</v>
      </c>
      <c r="M7572" s="11" t="s">
        <v>28</v>
      </c>
      <c r="N7572" s="11" t="s">
        <v>56</v>
      </c>
      <c r="O7572" s="11" t="s">
        <v>2590</v>
      </c>
      <c r="P7572" s="11" t="s">
        <v>38</v>
      </c>
      <c r="Q7572" s="20">
        <v>41129.0</v>
      </c>
      <c r="R7572" s="17">
        <f t="shared" si="2"/>
        <v>13.84344784</v>
      </c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>
        <f t="shared" si="8"/>
        <v>4</v>
      </c>
      <c r="AF7572" s="19">
        <f t="shared" si="13"/>
        <v>2</v>
      </c>
      <c r="AG7572" s="9"/>
      <c r="AH7572" s="9"/>
      <c r="AI7572" s="9"/>
    </row>
    <row r="7573" ht="15.0" customHeight="1">
      <c r="A7573" s="11">
        <v>7572.0</v>
      </c>
      <c r="B7573" s="12">
        <f t="shared" ref="B7573:B7579" si="1210">DATE(2012,12,31)-146</f>
        <v>41128</v>
      </c>
      <c r="C7573" s="13">
        <v>2012.0</v>
      </c>
      <c r="D7573" s="11" t="s">
        <v>23</v>
      </c>
      <c r="E7573" s="11">
        <v>38.0</v>
      </c>
      <c r="F7573" s="14">
        <v>161.5</v>
      </c>
      <c r="G7573" s="15">
        <v>0.02053613498885702</v>
      </c>
      <c r="H7573" s="11" t="s">
        <v>33</v>
      </c>
      <c r="I7573" s="16">
        <v>15.991999999999999</v>
      </c>
      <c r="J7573" s="11" t="s">
        <v>1817</v>
      </c>
      <c r="K7573" s="11" t="s">
        <v>65</v>
      </c>
      <c r="L7573" s="11" t="s">
        <v>48</v>
      </c>
      <c r="M7573" s="11" t="s">
        <v>28</v>
      </c>
      <c r="N7573" s="11" t="s">
        <v>29</v>
      </c>
      <c r="O7573" s="11" t="s">
        <v>230</v>
      </c>
      <c r="P7573" s="11" t="s">
        <v>38</v>
      </c>
      <c r="Q7573" s="20">
        <v>41129.0</v>
      </c>
      <c r="R7573" s="17">
        <f t="shared" si="2"/>
        <v>126.3586743</v>
      </c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>
        <f t="shared" si="8"/>
        <v>4</v>
      </c>
      <c r="AF7573" s="19">
        <f t="shared" si="13"/>
        <v>5</v>
      </c>
      <c r="AG7573" s="9"/>
      <c r="AH7573" s="9"/>
      <c r="AI7573" s="9"/>
    </row>
    <row r="7574" ht="15.0" customHeight="1">
      <c r="A7574" s="11">
        <v>7573.0</v>
      </c>
      <c r="B7574" s="12">
        <f t="shared" si="1210"/>
        <v>41128</v>
      </c>
      <c r="C7574" s="13">
        <v>2012.0</v>
      </c>
      <c r="D7574" s="11" t="s">
        <v>32</v>
      </c>
      <c r="E7574" s="11">
        <v>44.0</v>
      </c>
      <c r="F7574" s="14">
        <v>535.6</v>
      </c>
      <c r="G7574" s="15">
        <v>0.029317875859911136</v>
      </c>
      <c r="H7574" s="11" t="s">
        <v>45</v>
      </c>
      <c r="I7574" s="16">
        <v>11.76</v>
      </c>
      <c r="J7574" s="11" t="s">
        <v>2097</v>
      </c>
      <c r="K7574" s="11" t="s">
        <v>61</v>
      </c>
      <c r="L7574" s="11" t="s">
        <v>36</v>
      </c>
      <c r="M7574" s="11" t="s">
        <v>66</v>
      </c>
      <c r="N7574" s="11" t="s">
        <v>69</v>
      </c>
      <c r="O7574" s="11" t="s">
        <v>1781</v>
      </c>
      <c r="P7574" s="11" t="s">
        <v>52</v>
      </c>
      <c r="Q7574" s="20">
        <v>41129.0</v>
      </c>
      <c r="R7574" s="17">
        <f t="shared" si="2"/>
        <v>691.2615679</v>
      </c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>
        <f t="shared" si="8"/>
        <v>2</v>
      </c>
      <c r="AF7574" s="19">
        <f t="shared" si="13"/>
        <v>4</v>
      </c>
      <c r="AG7574" s="9"/>
      <c r="AH7574" s="9"/>
      <c r="AI7574" s="9"/>
    </row>
    <row r="7575" ht="15.0" customHeight="1">
      <c r="A7575" s="11">
        <v>7574.0</v>
      </c>
      <c r="B7575" s="12">
        <f t="shared" si="1210"/>
        <v>41128</v>
      </c>
      <c r="C7575" s="13">
        <v>2012.0</v>
      </c>
      <c r="D7575" s="11" t="s">
        <v>44</v>
      </c>
      <c r="E7575" s="11">
        <v>45.0</v>
      </c>
      <c r="F7575" s="14">
        <v>550.9</v>
      </c>
      <c r="G7575" s="15">
        <v>0.02090424528301887</v>
      </c>
      <c r="H7575" s="11" t="s">
        <v>45</v>
      </c>
      <c r="I7575" s="16">
        <v>117.69600000000001</v>
      </c>
      <c r="J7575" s="11" t="s">
        <v>373</v>
      </c>
      <c r="K7575" s="11" t="s">
        <v>83</v>
      </c>
      <c r="L7575" s="11" t="s">
        <v>36</v>
      </c>
      <c r="M7575" s="11" t="s">
        <v>49</v>
      </c>
      <c r="N7575" s="11" t="s">
        <v>85</v>
      </c>
      <c r="O7575" s="11" t="s">
        <v>2492</v>
      </c>
      <c r="P7575" s="11" t="s">
        <v>87</v>
      </c>
      <c r="Q7575" s="20">
        <v>41130.0</v>
      </c>
      <c r="R7575" s="17">
        <f t="shared" si="2"/>
        <v>520.6870387</v>
      </c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>
        <f t="shared" si="8"/>
        <v>2</v>
      </c>
      <c r="AF7575" s="19" t="b">
        <f t="shared" si="13"/>
        <v>0</v>
      </c>
      <c r="AG7575" s="9"/>
      <c r="AH7575" s="9"/>
      <c r="AI7575" s="9"/>
    </row>
    <row r="7576" ht="15.0" customHeight="1">
      <c r="A7576" s="11">
        <v>7575.0</v>
      </c>
      <c r="B7576" s="12">
        <f t="shared" si="1210"/>
        <v>41128</v>
      </c>
      <c r="C7576" s="13">
        <v>2012.0</v>
      </c>
      <c r="D7576" s="11" t="s">
        <v>102</v>
      </c>
      <c r="E7576" s="11">
        <v>27.0</v>
      </c>
      <c r="F7576" s="14">
        <v>810.9</v>
      </c>
      <c r="G7576" s="15">
        <v>0.08279192450365498</v>
      </c>
      <c r="H7576" s="11" t="s">
        <v>45</v>
      </c>
      <c r="I7576" s="16">
        <v>12.847999999999999</v>
      </c>
      <c r="J7576" s="11" t="s">
        <v>919</v>
      </c>
      <c r="K7576" s="11" t="s">
        <v>61</v>
      </c>
      <c r="L7576" s="11" t="s">
        <v>48</v>
      </c>
      <c r="M7576" s="11" t="s">
        <v>66</v>
      </c>
      <c r="N7576" s="11" t="s">
        <v>69</v>
      </c>
      <c r="O7576" s="11" t="s">
        <v>2460</v>
      </c>
      <c r="P7576" s="11" t="s">
        <v>52</v>
      </c>
      <c r="Q7576" s="20">
        <v>41130.0</v>
      </c>
      <c r="R7576" s="17">
        <f t="shared" si="2"/>
        <v>1813.734943</v>
      </c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>
        <f t="shared" si="8"/>
        <v>4</v>
      </c>
      <c r="AF7576" s="19">
        <f t="shared" si="13"/>
        <v>4</v>
      </c>
      <c r="AG7576" s="9"/>
      <c r="AH7576" s="9"/>
      <c r="AI7576" s="9"/>
    </row>
    <row r="7577" ht="15.0" customHeight="1">
      <c r="A7577" s="11">
        <v>7576.0</v>
      </c>
      <c r="B7577" s="12">
        <f t="shared" si="1210"/>
        <v>41128</v>
      </c>
      <c r="C7577" s="13">
        <v>2012.0</v>
      </c>
      <c r="D7577" s="11" t="s">
        <v>44</v>
      </c>
      <c r="E7577" s="11">
        <v>2.0</v>
      </c>
      <c r="F7577" s="14">
        <v>6.4</v>
      </c>
      <c r="G7577" s="15">
        <v>0.13236363636363632</v>
      </c>
      <c r="H7577" s="11" t="s">
        <v>33</v>
      </c>
      <c r="I7577" s="16">
        <v>6.288</v>
      </c>
      <c r="J7577" s="11" t="s">
        <v>2092</v>
      </c>
      <c r="K7577" s="11" t="s">
        <v>83</v>
      </c>
      <c r="L7577" s="11" t="s">
        <v>48</v>
      </c>
      <c r="M7577" s="11" t="s">
        <v>28</v>
      </c>
      <c r="N7577" s="11" t="s">
        <v>56</v>
      </c>
      <c r="O7577" s="11" t="s">
        <v>1285</v>
      </c>
      <c r="P7577" s="11" t="s">
        <v>38</v>
      </c>
      <c r="Q7577" s="20">
        <v>41130.0</v>
      </c>
      <c r="R7577" s="17">
        <f t="shared" si="2"/>
        <v>2.526557091</v>
      </c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>
        <f t="shared" si="8"/>
        <v>4</v>
      </c>
      <c r="AF7577" s="19" t="b">
        <f t="shared" si="13"/>
        <v>0</v>
      </c>
      <c r="AG7577" s="9"/>
      <c r="AH7577" s="9"/>
      <c r="AI7577" s="9"/>
    </row>
    <row r="7578" ht="15.0" customHeight="1">
      <c r="A7578" s="11">
        <v>7577.0</v>
      </c>
      <c r="B7578" s="12">
        <f t="shared" si="1210"/>
        <v>41128</v>
      </c>
      <c r="C7578" s="13">
        <v>2012.0</v>
      </c>
      <c r="D7578" s="11" t="s">
        <v>32</v>
      </c>
      <c r="E7578" s="11">
        <v>35.0</v>
      </c>
      <c r="F7578" s="14">
        <v>5.8</v>
      </c>
      <c r="G7578" s="15">
        <v>0.09249343832021</v>
      </c>
      <c r="H7578" s="11" t="s">
        <v>33</v>
      </c>
      <c r="I7578" s="16">
        <v>4.456</v>
      </c>
      <c r="J7578" s="11" t="s">
        <v>1450</v>
      </c>
      <c r="K7578" s="11" t="s">
        <v>65</v>
      </c>
      <c r="L7578" s="11" t="s">
        <v>48</v>
      </c>
      <c r="M7578" s="11" t="s">
        <v>49</v>
      </c>
      <c r="N7578" s="11" t="s">
        <v>73</v>
      </c>
      <c r="O7578" s="11" t="s">
        <v>2479</v>
      </c>
      <c r="P7578" s="11" t="s">
        <v>38</v>
      </c>
      <c r="Q7578" s="20">
        <v>41130.0</v>
      </c>
      <c r="R7578" s="17">
        <f t="shared" si="2"/>
        <v>19.18831874</v>
      </c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>
        <f t="shared" si="8"/>
        <v>4</v>
      </c>
      <c r="AF7578" s="19">
        <f t="shared" si="13"/>
        <v>5</v>
      </c>
      <c r="AG7578" s="9"/>
      <c r="AH7578" s="9"/>
      <c r="AI7578" s="9"/>
    </row>
    <row r="7579" ht="15.0" customHeight="1">
      <c r="A7579" s="11">
        <v>7578.0</v>
      </c>
      <c r="B7579" s="12">
        <f t="shared" si="1210"/>
        <v>41128</v>
      </c>
      <c r="C7579" s="13">
        <v>2012.0</v>
      </c>
      <c r="D7579" s="11" t="s">
        <v>32</v>
      </c>
      <c r="E7579" s="11">
        <v>35.0</v>
      </c>
      <c r="F7579" s="14">
        <v>124.4</v>
      </c>
      <c r="G7579" s="15">
        <v>0.09368193158621826</v>
      </c>
      <c r="H7579" s="11" t="s">
        <v>45</v>
      </c>
      <c r="I7579" s="16">
        <v>41.552</v>
      </c>
      <c r="J7579" s="11" t="s">
        <v>1450</v>
      </c>
      <c r="K7579" s="11" t="s">
        <v>65</v>
      </c>
      <c r="L7579" s="11" t="s">
        <v>48</v>
      </c>
      <c r="M7579" s="11" t="s">
        <v>49</v>
      </c>
      <c r="N7579" s="11" t="s">
        <v>85</v>
      </c>
      <c r="O7579" s="11" t="s">
        <v>1711</v>
      </c>
      <c r="P7579" s="11" t="s">
        <v>87</v>
      </c>
      <c r="Q7579" s="20">
        <v>41131.0</v>
      </c>
      <c r="R7579" s="17">
        <f t="shared" si="2"/>
        <v>411.7838017</v>
      </c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>
        <f t="shared" si="8"/>
        <v>4</v>
      </c>
      <c r="AF7579" s="19">
        <f t="shared" si="13"/>
        <v>5</v>
      </c>
      <c r="AG7579" s="9"/>
      <c r="AH7579" s="9"/>
      <c r="AI7579" s="9"/>
    </row>
    <row r="7580" ht="15.0" customHeight="1">
      <c r="A7580" s="11">
        <v>7579.0</v>
      </c>
      <c r="B7580" s="12">
        <f>DATE(2012,12,31)-145</f>
        <v>41129</v>
      </c>
      <c r="C7580" s="13">
        <v>2012.0</v>
      </c>
      <c r="D7580" s="11" t="s">
        <v>102</v>
      </c>
      <c r="E7580" s="11">
        <v>2.0</v>
      </c>
      <c r="F7580" s="14">
        <v>9.7</v>
      </c>
      <c r="G7580" s="15">
        <v>0.14140127388535037</v>
      </c>
      <c r="H7580" s="11" t="s">
        <v>33</v>
      </c>
      <c r="I7580" s="16">
        <v>7.56</v>
      </c>
      <c r="J7580" s="11" t="s">
        <v>64</v>
      </c>
      <c r="K7580" s="11" t="s">
        <v>65</v>
      </c>
      <c r="L7580" s="11" t="s">
        <v>48</v>
      </c>
      <c r="M7580" s="11" t="s">
        <v>28</v>
      </c>
      <c r="N7580" s="11" t="s">
        <v>29</v>
      </c>
      <c r="O7580" s="11" t="s">
        <v>660</v>
      </c>
      <c r="P7580" s="11" t="s">
        <v>38</v>
      </c>
      <c r="Q7580" s="20">
        <v>41131.0</v>
      </c>
      <c r="R7580" s="17">
        <f t="shared" si="2"/>
        <v>3.812178344</v>
      </c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>
        <f t="shared" si="8"/>
        <v>4</v>
      </c>
      <c r="AF7580" s="19">
        <f t="shared" si="13"/>
        <v>5</v>
      </c>
      <c r="AG7580" s="9"/>
      <c r="AH7580" s="9"/>
      <c r="AI7580" s="9"/>
    </row>
    <row r="7581" ht="15.0" customHeight="1">
      <c r="A7581" s="11">
        <v>7580.0</v>
      </c>
      <c r="B7581" s="12">
        <f t="shared" ref="B7581:B7587" si="1211">DATE(2012,12,31)-144</f>
        <v>41130</v>
      </c>
      <c r="C7581" s="13">
        <v>2012.0</v>
      </c>
      <c r="D7581" s="11" t="s">
        <v>44</v>
      </c>
      <c r="E7581" s="11">
        <v>31.0</v>
      </c>
      <c r="F7581" s="14">
        <v>3.9</v>
      </c>
      <c r="G7581" s="15">
        <v>0.02947204968944115</v>
      </c>
      <c r="H7581" s="11" t="s">
        <v>33</v>
      </c>
      <c r="I7581" s="16">
        <v>4.104</v>
      </c>
      <c r="J7581" s="11" t="s">
        <v>1877</v>
      </c>
      <c r="K7581" s="11" t="s">
        <v>26</v>
      </c>
      <c r="L7581" s="11" t="s">
        <v>48</v>
      </c>
      <c r="M7581" s="11" t="s">
        <v>28</v>
      </c>
      <c r="N7581" s="11" t="s">
        <v>197</v>
      </c>
      <c r="O7581" s="11" t="s">
        <v>1788</v>
      </c>
      <c r="P7581" s="11" t="s">
        <v>38</v>
      </c>
      <c r="Q7581" s="20">
        <v>41132.0</v>
      </c>
      <c r="R7581" s="17">
        <f t="shared" si="2"/>
        <v>3.684124099</v>
      </c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>
        <f t="shared" si="8"/>
        <v>4</v>
      </c>
      <c r="AF7581" s="19">
        <f t="shared" si="13"/>
        <v>1</v>
      </c>
      <c r="AG7581" s="9"/>
      <c r="AH7581" s="9"/>
      <c r="AI7581" s="9"/>
    </row>
    <row r="7582" ht="15.0" customHeight="1">
      <c r="A7582" s="11">
        <v>7581.0</v>
      </c>
      <c r="B7582" s="12">
        <f t="shared" si="1211"/>
        <v>41130</v>
      </c>
      <c r="C7582" s="13">
        <v>2012.0</v>
      </c>
      <c r="D7582" s="11" t="s">
        <v>44</v>
      </c>
      <c r="E7582" s="11">
        <v>44.0</v>
      </c>
      <c r="F7582" s="14">
        <v>19.9</v>
      </c>
      <c r="G7582" s="15">
        <v>0.033861037818821535</v>
      </c>
      <c r="H7582" s="11" t="s">
        <v>33</v>
      </c>
      <c r="I7582" s="16">
        <v>3.2</v>
      </c>
      <c r="J7582" s="11" t="s">
        <v>2409</v>
      </c>
      <c r="K7582" s="11" t="s">
        <v>83</v>
      </c>
      <c r="L7582" s="11" t="s">
        <v>27</v>
      </c>
      <c r="M7582" s="11" t="s">
        <v>66</v>
      </c>
      <c r="N7582" s="11" t="s">
        <v>67</v>
      </c>
      <c r="O7582" s="11" t="s">
        <v>920</v>
      </c>
      <c r="P7582" s="11" t="s">
        <v>38</v>
      </c>
      <c r="Q7582" s="20">
        <v>41132.0</v>
      </c>
      <c r="R7582" s="17">
        <f t="shared" si="2"/>
        <v>29.75708004</v>
      </c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>
        <f t="shared" si="8"/>
        <v>1</v>
      </c>
      <c r="AF7582" s="19" t="b">
        <f t="shared" si="13"/>
        <v>0</v>
      </c>
      <c r="AG7582" s="9"/>
      <c r="AH7582" s="9"/>
      <c r="AI7582" s="9"/>
    </row>
    <row r="7583" ht="15.0" customHeight="1">
      <c r="A7583" s="11">
        <v>7582.0</v>
      </c>
      <c r="B7583" s="12">
        <f t="shared" si="1211"/>
        <v>41130</v>
      </c>
      <c r="C7583" s="13">
        <v>2012.0</v>
      </c>
      <c r="D7583" s="11" t="s">
        <v>44</v>
      </c>
      <c r="E7583" s="11">
        <v>41.0</v>
      </c>
      <c r="F7583" s="14">
        <v>10.9</v>
      </c>
      <c r="G7583" s="15">
        <v>0.065136476426799</v>
      </c>
      <c r="H7583" s="11" t="s">
        <v>33</v>
      </c>
      <c r="I7583" s="16">
        <v>5.2</v>
      </c>
      <c r="J7583" s="11" t="s">
        <v>2409</v>
      </c>
      <c r="K7583" s="11" t="s">
        <v>83</v>
      </c>
      <c r="L7583" s="11" t="s">
        <v>27</v>
      </c>
      <c r="M7583" s="11" t="s">
        <v>66</v>
      </c>
      <c r="N7583" s="11" t="s">
        <v>67</v>
      </c>
      <c r="O7583" s="11" t="s">
        <v>1974</v>
      </c>
      <c r="P7583" s="11" t="s">
        <v>38</v>
      </c>
      <c r="Q7583" s="20">
        <v>41132.0</v>
      </c>
      <c r="R7583" s="17">
        <f t="shared" si="2"/>
        <v>29.44820099</v>
      </c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>
        <f t="shared" si="8"/>
        <v>1</v>
      </c>
      <c r="AF7583" s="19" t="b">
        <f t="shared" si="13"/>
        <v>0</v>
      </c>
      <c r="AG7583" s="9"/>
      <c r="AH7583" s="9"/>
      <c r="AI7583" s="9"/>
    </row>
    <row r="7584" ht="15.0" customHeight="1">
      <c r="A7584" s="11">
        <v>7583.0</v>
      </c>
      <c r="B7584" s="12">
        <f t="shared" si="1211"/>
        <v>41130</v>
      </c>
      <c r="C7584" s="13">
        <v>2012.0</v>
      </c>
      <c r="D7584" s="11" t="s">
        <v>39</v>
      </c>
      <c r="E7584" s="11">
        <v>30.0</v>
      </c>
      <c r="F7584" s="14">
        <v>400.9</v>
      </c>
      <c r="G7584" s="15">
        <v>0.0834599636896758</v>
      </c>
      <c r="H7584" s="11" t="s">
        <v>45</v>
      </c>
      <c r="I7584" s="16">
        <v>38.608000000000004</v>
      </c>
      <c r="J7584" s="11" t="s">
        <v>1245</v>
      </c>
      <c r="K7584" s="11" t="s">
        <v>61</v>
      </c>
      <c r="L7584" s="11" t="s">
        <v>48</v>
      </c>
      <c r="M7584" s="11" t="s">
        <v>66</v>
      </c>
      <c r="N7584" s="11" t="s">
        <v>69</v>
      </c>
      <c r="O7584" s="11" t="s">
        <v>835</v>
      </c>
      <c r="P7584" s="11" t="s">
        <v>87</v>
      </c>
      <c r="Q7584" s="20">
        <v>41132.0</v>
      </c>
      <c r="R7584" s="17">
        <f t="shared" si="2"/>
        <v>1006.995206</v>
      </c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>
        <f t="shared" si="8"/>
        <v>4</v>
      </c>
      <c r="AF7584" s="19">
        <f t="shared" si="13"/>
        <v>4</v>
      </c>
      <c r="AG7584" s="9"/>
      <c r="AH7584" s="9"/>
      <c r="AI7584" s="9"/>
    </row>
    <row r="7585" ht="15.0" customHeight="1">
      <c r="A7585" s="11">
        <v>7584.0</v>
      </c>
      <c r="B7585" s="12">
        <f t="shared" si="1211"/>
        <v>41130</v>
      </c>
      <c r="C7585" s="13">
        <v>2012.0</v>
      </c>
      <c r="D7585" s="11" t="s">
        <v>39</v>
      </c>
      <c r="E7585" s="11">
        <v>5.0</v>
      </c>
      <c r="F7585" s="14">
        <v>135.9</v>
      </c>
      <c r="G7585" s="15">
        <v>0.028083575480835822</v>
      </c>
      <c r="H7585" s="11" t="s">
        <v>45</v>
      </c>
      <c r="I7585" s="16">
        <v>22.904</v>
      </c>
      <c r="J7585" s="11" t="s">
        <v>2524</v>
      </c>
      <c r="K7585" s="11" t="s">
        <v>117</v>
      </c>
      <c r="L7585" s="11" t="s">
        <v>48</v>
      </c>
      <c r="M7585" s="11" t="s">
        <v>49</v>
      </c>
      <c r="N7585" s="11" t="s">
        <v>50</v>
      </c>
      <c r="O7585" s="11" t="s">
        <v>2246</v>
      </c>
      <c r="P7585" s="11" t="s">
        <v>52</v>
      </c>
      <c r="Q7585" s="20">
        <v>41132.0</v>
      </c>
      <c r="R7585" s="17">
        <f t="shared" si="2"/>
        <v>19.72601575</v>
      </c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>
        <f t="shared" si="8"/>
        <v>4</v>
      </c>
      <c r="AF7585" s="19" t="b">
        <f t="shared" si="13"/>
        <v>0</v>
      </c>
      <c r="AG7585" s="9"/>
      <c r="AH7585" s="9"/>
      <c r="AI7585" s="9"/>
    </row>
    <row r="7586" ht="15.0" customHeight="1">
      <c r="A7586" s="11">
        <v>7585.0</v>
      </c>
      <c r="B7586" s="12">
        <f t="shared" si="1211"/>
        <v>41130</v>
      </c>
      <c r="C7586" s="13">
        <v>2012.0</v>
      </c>
      <c r="D7586" s="11" t="s">
        <v>32</v>
      </c>
      <c r="E7586" s="11">
        <v>31.0</v>
      </c>
      <c r="F7586" s="14">
        <v>243.9</v>
      </c>
      <c r="G7586" s="15">
        <v>0.04035252732843289</v>
      </c>
      <c r="H7586" s="11" t="s">
        <v>45</v>
      </c>
      <c r="I7586" s="16">
        <v>50.352000000000004</v>
      </c>
      <c r="J7586" s="11" t="s">
        <v>966</v>
      </c>
      <c r="K7586" s="11" t="s">
        <v>26</v>
      </c>
      <c r="L7586" s="11" t="s">
        <v>36</v>
      </c>
      <c r="M7586" s="11" t="s">
        <v>49</v>
      </c>
      <c r="N7586" s="11" t="s">
        <v>50</v>
      </c>
      <c r="O7586" s="11" t="s">
        <v>1880</v>
      </c>
      <c r="P7586" s="11" t="s">
        <v>52</v>
      </c>
      <c r="Q7586" s="20">
        <v>41133.0</v>
      </c>
      <c r="R7586" s="17">
        <f t="shared" si="2"/>
        <v>307.1332543</v>
      </c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>
        <f t="shared" si="8"/>
        <v>2</v>
      </c>
      <c r="AF7586" s="19">
        <f t="shared" si="13"/>
        <v>1</v>
      </c>
      <c r="AG7586" s="9"/>
      <c r="AH7586" s="9"/>
      <c r="AI7586" s="9"/>
    </row>
    <row r="7587" ht="15.0" customHeight="1">
      <c r="A7587" s="11">
        <v>7586.0</v>
      </c>
      <c r="B7587" s="12">
        <f t="shared" si="1211"/>
        <v>41130</v>
      </c>
      <c r="C7587" s="13">
        <v>2012.0</v>
      </c>
      <c r="D7587" s="11" t="s">
        <v>32</v>
      </c>
      <c r="E7587" s="11">
        <v>11.0</v>
      </c>
      <c r="F7587" s="14">
        <v>11.5</v>
      </c>
      <c r="G7587" s="15">
        <v>0.0395642701525053</v>
      </c>
      <c r="H7587" s="11" t="s">
        <v>33</v>
      </c>
      <c r="I7587" s="16">
        <v>5.752000000000001</v>
      </c>
      <c r="J7587" s="11" t="s">
        <v>2528</v>
      </c>
      <c r="K7587" s="11" t="s">
        <v>61</v>
      </c>
      <c r="L7587" s="11" t="s">
        <v>48</v>
      </c>
      <c r="M7587" s="11" t="s">
        <v>28</v>
      </c>
      <c r="N7587" s="11" t="s">
        <v>42</v>
      </c>
      <c r="O7587" s="11" t="s">
        <v>1030</v>
      </c>
      <c r="P7587" s="11" t="s">
        <v>38</v>
      </c>
      <c r="Q7587" s="20">
        <v>41133.0</v>
      </c>
      <c r="R7587" s="17">
        <f t="shared" si="2"/>
        <v>5.232453856</v>
      </c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>
        <f t="shared" si="8"/>
        <v>4</v>
      </c>
      <c r="AF7587" s="19">
        <f t="shared" si="13"/>
        <v>4</v>
      </c>
      <c r="AG7587" s="9"/>
      <c r="AH7587" s="9"/>
      <c r="AI7587" s="9"/>
    </row>
    <row r="7588" ht="15.0" customHeight="1">
      <c r="A7588" s="11">
        <v>7587.0</v>
      </c>
      <c r="B7588" s="12">
        <f t="shared" ref="B7588:B7599" si="1212">DATE(2012,12,31)-143</f>
        <v>41131</v>
      </c>
      <c r="C7588" s="13">
        <v>2012.0</v>
      </c>
      <c r="D7588" s="11" t="s">
        <v>44</v>
      </c>
      <c r="E7588" s="11">
        <v>22.0</v>
      </c>
      <c r="F7588" s="14">
        <v>3.1</v>
      </c>
      <c r="G7588" s="15">
        <v>0.03679558011049726</v>
      </c>
      <c r="H7588" s="11" t="s">
        <v>33</v>
      </c>
      <c r="I7588" s="16">
        <v>1.536</v>
      </c>
      <c r="J7588" s="11" t="s">
        <v>340</v>
      </c>
      <c r="K7588" s="11" t="s">
        <v>26</v>
      </c>
      <c r="L7588" s="11" t="s">
        <v>36</v>
      </c>
      <c r="M7588" s="11" t="s">
        <v>28</v>
      </c>
      <c r="N7588" s="11" t="s">
        <v>442</v>
      </c>
      <c r="O7588" s="11" t="s">
        <v>1776</v>
      </c>
      <c r="P7588" s="11" t="s">
        <v>58</v>
      </c>
      <c r="Q7588" s="20">
        <v>41133.0</v>
      </c>
      <c r="R7588" s="17">
        <f t="shared" si="2"/>
        <v>2.565976575</v>
      </c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>
        <f t="shared" si="8"/>
        <v>2</v>
      </c>
      <c r="AF7588" s="19">
        <f t="shared" si="13"/>
        <v>1</v>
      </c>
      <c r="AG7588" s="9"/>
      <c r="AH7588" s="9"/>
      <c r="AI7588" s="9"/>
    </row>
    <row r="7589" ht="15.0" customHeight="1">
      <c r="A7589" s="11">
        <v>7588.0</v>
      </c>
      <c r="B7589" s="12">
        <f t="shared" si="1212"/>
        <v>41131</v>
      </c>
      <c r="C7589" s="13">
        <v>2012.0</v>
      </c>
      <c r="D7589" s="11" t="s">
        <v>44</v>
      </c>
      <c r="E7589" s="11">
        <v>50.0</v>
      </c>
      <c r="F7589" s="14">
        <v>35.9</v>
      </c>
      <c r="G7589" s="15">
        <v>0.04096977464487867</v>
      </c>
      <c r="H7589" s="11" t="s">
        <v>33</v>
      </c>
      <c r="I7589" s="16">
        <v>0.8800000000000001</v>
      </c>
      <c r="J7589" s="11" t="s">
        <v>340</v>
      </c>
      <c r="K7589" s="11" t="s">
        <v>26</v>
      </c>
      <c r="L7589" s="11" t="s">
        <v>36</v>
      </c>
      <c r="M7589" s="11" t="s">
        <v>66</v>
      </c>
      <c r="N7589" s="11" t="s">
        <v>80</v>
      </c>
      <c r="O7589" s="11" t="s">
        <v>143</v>
      </c>
      <c r="P7589" s="11" t="s">
        <v>38</v>
      </c>
      <c r="Q7589" s="20">
        <v>41133.0</v>
      </c>
      <c r="R7589" s="17">
        <f t="shared" si="2"/>
        <v>73.57679889</v>
      </c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>
        <f t="shared" si="8"/>
        <v>2</v>
      </c>
      <c r="AF7589" s="19">
        <f t="shared" si="13"/>
        <v>1</v>
      </c>
      <c r="AG7589" s="9"/>
      <c r="AH7589" s="9"/>
      <c r="AI7589" s="9"/>
    </row>
    <row r="7590" ht="15.0" customHeight="1">
      <c r="A7590" s="11">
        <v>7589.0</v>
      </c>
      <c r="B7590" s="12">
        <f t="shared" si="1212"/>
        <v>41131</v>
      </c>
      <c r="C7590" s="13">
        <v>2012.0</v>
      </c>
      <c r="D7590" s="11" t="s">
        <v>44</v>
      </c>
      <c r="E7590" s="11">
        <v>32.0</v>
      </c>
      <c r="F7590" s="14">
        <v>79.5</v>
      </c>
      <c r="G7590" s="15">
        <v>0.02729433431039821</v>
      </c>
      <c r="H7590" s="11" t="s">
        <v>24</v>
      </c>
      <c r="I7590" s="16">
        <v>38.56</v>
      </c>
      <c r="J7590" s="11" t="s">
        <v>841</v>
      </c>
      <c r="K7590" s="11" t="s">
        <v>61</v>
      </c>
      <c r="L7590" s="11" t="s">
        <v>41</v>
      </c>
      <c r="M7590" s="11" t="s">
        <v>49</v>
      </c>
      <c r="N7590" s="11" t="s">
        <v>73</v>
      </c>
      <c r="O7590" s="11" t="s">
        <v>1161</v>
      </c>
      <c r="P7590" s="11" t="s">
        <v>75</v>
      </c>
      <c r="Q7590" s="20">
        <v>41133.0</v>
      </c>
      <c r="R7590" s="17">
        <f t="shared" si="2"/>
        <v>70.48925602</v>
      </c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>
        <f t="shared" si="8"/>
        <v>3</v>
      </c>
      <c r="AF7590" s="19">
        <f t="shared" si="13"/>
        <v>4</v>
      </c>
      <c r="AG7590" s="9"/>
      <c r="AH7590" s="9"/>
      <c r="AI7590" s="9"/>
    </row>
    <row r="7591" ht="15.0" customHeight="1">
      <c r="A7591" s="11">
        <v>7590.0</v>
      </c>
      <c r="B7591" s="12">
        <f t="shared" si="1212"/>
        <v>41131</v>
      </c>
      <c r="C7591" s="13">
        <v>2012.0</v>
      </c>
      <c r="D7591" s="11" t="s">
        <v>44</v>
      </c>
      <c r="E7591" s="11">
        <v>25.0</v>
      </c>
      <c r="F7591" s="14">
        <v>125.9</v>
      </c>
      <c r="G7591" s="15">
        <v>0.057452347467009786</v>
      </c>
      <c r="H7591" s="11" t="s">
        <v>24</v>
      </c>
      <c r="I7591" s="16">
        <v>2.4000000000000004</v>
      </c>
      <c r="J7591" s="11" t="s">
        <v>841</v>
      </c>
      <c r="K7591" s="11" t="s">
        <v>61</v>
      </c>
      <c r="L7591" s="11" t="s">
        <v>41</v>
      </c>
      <c r="M7591" s="11" t="s">
        <v>66</v>
      </c>
      <c r="N7591" s="11" t="s">
        <v>80</v>
      </c>
      <c r="O7591" s="11" t="s">
        <v>1383</v>
      </c>
      <c r="P7591" s="11" t="s">
        <v>38</v>
      </c>
      <c r="Q7591" s="20">
        <v>41133.0</v>
      </c>
      <c r="R7591" s="17">
        <f t="shared" si="2"/>
        <v>180.9691493</v>
      </c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>
        <f t="shared" si="8"/>
        <v>3</v>
      </c>
      <c r="AF7591" s="19">
        <f t="shared" si="13"/>
        <v>4</v>
      </c>
      <c r="AG7591" s="9"/>
      <c r="AH7591" s="9"/>
      <c r="AI7591" s="9"/>
    </row>
    <row r="7592" ht="15.0" customHeight="1">
      <c r="A7592" s="11">
        <v>7591.0</v>
      </c>
      <c r="B7592" s="12">
        <f t="shared" si="1212"/>
        <v>41131</v>
      </c>
      <c r="C7592" s="13">
        <v>2012.0</v>
      </c>
      <c r="D7592" s="11" t="s">
        <v>32</v>
      </c>
      <c r="E7592" s="11">
        <v>26.0</v>
      </c>
      <c r="F7592" s="14">
        <v>225.0</v>
      </c>
      <c r="G7592" s="15">
        <v>0.020640018676938973</v>
      </c>
      <c r="H7592" s="11" t="s">
        <v>45</v>
      </c>
      <c r="I7592" s="16">
        <v>22.928</v>
      </c>
      <c r="J7592" s="11" t="s">
        <v>876</v>
      </c>
      <c r="K7592" s="11" t="s">
        <v>35</v>
      </c>
      <c r="L7592" s="11" t="s">
        <v>36</v>
      </c>
      <c r="M7592" s="11" t="s">
        <v>28</v>
      </c>
      <c r="N7592" s="11" t="s">
        <v>29</v>
      </c>
      <c r="O7592" s="11" t="s">
        <v>1742</v>
      </c>
      <c r="P7592" s="11" t="s">
        <v>52</v>
      </c>
      <c r="Q7592" s="20">
        <v>41133.0</v>
      </c>
      <c r="R7592" s="17">
        <f t="shared" si="2"/>
        <v>121.2173436</v>
      </c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>
        <f t="shared" si="8"/>
        <v>2</v>
      </c>
      <c r="AF7592" s="19">
        <f t="shared" si="13"/>
        <v>2</v>
      </c>
      <c r="AG7592" s="9"/>
      <c r="AH7592" s="9"/>
      <c r="AI7592" s="9"/>
    </row>
    <row r="7593" ht="15.0" customHeight="1">
      <c r="A7593" s="11">
        <v>7592.0</v>
      </c>
      <c r="B7593" s="12">
        <f t="shared" si="1212"/>
        <v>41131</v>
      </c>
      <c r="C7593" s="13">
        <v>2012.0</v>
      </c>
      <c r="D7593" s="11" t="s">
        <v>102</v>
      </c>
      <c r="E7593" s="11">
        <v>2.0</v>
      </c>
      <c r="F7593" s="14">
        <v>8.6</v>
      </c>
      <c r="G7593" s="15">
        <v>0.07699999999999996</v>
      </c>
      <c r="H7593" s="11" t="s">
        <v>33</v>
      </c>
      <c r="I7593" s="16">
        <v>4.952000000000001</v>
      </c>
      <c r="J7593" s="11" t="s">
        <v>839</v>
      </c>
      <c r="K7593" s="11" t="s">
        <v>83</v>
      </c>
      <c r="L7593" s="11" t="s">
        <v>36</v>
      </c>
      <c r="M7593" s="11" t="s">
        <v>28</v>
      </c>
      <c r="N7593" s="11" t="s">
        <v>42</v>
      </c>
      <c r="O7593" s="11" t="s">
        <v>324</v>
      </c>
      <c r="P7593" s="11" t="s">
        <v>38</v>
      </c>
      <c r="Q7593" s="20">
        <v>41133.0</v>
      </c>
      <c r="R7593" s="17">
        <f t="shared" si="2"/>
        <v>1.705704</v>
      </c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>
        <f t="shared" si="8"/>
        <v>2</v>
      </c>
      <c r="AF7593" s="19" t="b">
        <f t="shared" si="13"/>
        <v>0</v>
      </c>
      <c r="AG7593" s="9"/>
      <c r="AH7593" s="9"/>
      <c r="AI7593" s="9"/>
    </row>
    <row r="7594" ht="15.0" customHeight="1">
      <c r="A7594" s="11">
        <v>7593.0</v>
      </c>
      <c r="B7594" s="12">
        <f t="shared" si="1212"/>
        <v>41131</v>
      </c>
      <c r="C7594" s="13">
        <v>2012.0</v>
      </c>
      <c r="D7594" s="11" t="s">
        <v>102</v>
      </c>
      <c r="E7594" s="11">
        <v>10.0</v>
      </c>
      <c r="F7594" s="14">
        <v>165.2</v>
      </c>
      <c r="G7594" s="15">
        <v>0.07626294511823674</v>
      </c>
      <c r="H7594" s="11" t="s">
        <v>33</v>
      </c>
      <c r="I7594" s="16">
        <v>15.991999999999999</v>
      </c>
      <c r="J7594" s="11" t="s">
        <v>839</v>
      </c>
      <c r="K7594" s="11" t="s">
        <v>83</v>
      </c>
      <c r="L7594" s="11" t="s">
        <v>36</v>
      </c>
      <c r="M7594" s="11" t="s">
        <v>28</v>
      </c>
      <c r="N7594" s="11" t="s">
        <v>29</v>
      </c>
      <c r="O7594" s="11" t="s">
        <v>1563</v>
      </c>
      <c r="P7594" s="11" t="s">
        <v>38</v>
      </c>
      <c r="Q7594" s="20">
        <v>41133.0</v>
      </c>
      <c r="R7594" s="17">
        <f t="shared" si="2"/>
        <v>127.2059824</v>
      </c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>
        <f t="shared" si="8"/>
        <v>2</v>
      </c>
      <c r="AF7594" s="19" t="b">
        <f t="shared" si="13"/>
        <v>0</v>
      </c>
      <c r="AG7594" s="9"/>
      <c r="AH7594" s="9"/>
      <c r="AI7594" s="9"/>
    </row>
    <row r="7595" ht="15.0" customHeight="1">
      <c r="A7595" s="11">
        <v>7594.0</v>
      </c>
      <c r="B7595" s="12">
        <f t="shared" si="1212"/>
        <v>41131</v>
      </c>
      <c r="C7595" s="13">
        <v>2012.0</v>
      </c>
      <c r="D7595" s="11" t="s">
        <v>23</v>
      </c>
      <c r="E7595" s="11">
        <v>41.0</v>
      </c>
      <c r="F7595" s="14">
        <v>99.9</v>
      </c>
      <c r="G7595" s="15">
        <v>0.02142078583497937</v>
      </c>
      <c r="H7595" s="11" t="s">
        <v>33</v>
      </c>
      <c r="I7595" s="16">
        <v>15.991999999999999</v>
      </c>
      <c r="J7595" s="11" t="s">
        <v>1476</v>
      </c>
      <c r="K7595" s="11" t="s">
        <v>65</v>
      </c>
      <c r="L7595" s="11" t="s">
        <v>48</v>
      </c>
      <c r="M7595" s="11" t="s">
        <v>66</v>
      </c>
      <c r="N7595" s="11" t="s">
        <v>67</v>
      </c>
      <c r="O7595" s="11" t="s">
        <v>845</v>
      </c>
      <c r="P7595" s="11" t="s">
        <v>38</v>
      </c>
      <c r="Q7595" s="20">
        <v>41134.0</v>
      </c>
      <c r="R7595" s="17">
        <f t="shared" si="2"/>
        <v>88.07995791</v>
      </c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>
        <f t="shared" si="8"/>
        <v>4</v>
      </c>
      <c r="AF7595" s="19">
        <f t="shared" si="13"/>
        <v>5</v>
      </c>
      <c r="AG7595" s="9"/>
      <c r="AH7595" s="9"/>
      <c r="AI7595" s="9"/>
    </row>
    <row r="7596" ht="15.0" customHeight="1">
      <c r="A7596" s="11">
        <v>7595.0</v>
      </c>
      <c r="B7596" s="12">
        <f t="shared" si="1212"/>
        <v>41131</v>
      </c>
      <c r="C7596" s="13">
        <v>2012.0</v>
      </c>
      <c r="D7596" s="11" t="s">
        <v>44</v>
      </c>
      <c r="E7596" s="11">
        <v>41.0</v>
      </c>
      <c r="F7596" s="14">
        <v>4.1</v>
      </c>
      <c r="G7596" s="15">
        <v>0.0942091434576985</v>
      </c>
      <c r="H7596" s="11" t="s">
        <v>33</v>
      </c>
      <c r="I7596" s="16">
        <v>4.272</v>
      </c>
      <c r="J7596" s="11" t="s">
        <v>1621</v>
      </c>
      <c r="K7596" s="11" t="s">
        <v>35</v>
      </c>
      <c r="L7596" s="11" t="s">
        <v>41</v>
      </c>
      <c r="M7596" s="11" t="s">
        <v>28</v>
      </c>
      <c r="N7596" s="11" t="s">
        <v>42</v>
      </c>
      <c r="O7596" s="11" t="s">
        <v>1483</v>
      </c>
      <c r="P7596" s="11" t="s">
        <v>38</v>
      </c>
      <c r="Q7596" s="20">
        <v>41134.0</v>
      </c>
      <c r="R7596" s="17">
        <f t="shared" si="2"/>
        <v>16.23901848</v>
      </c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>
        <f t="shared" si="8"/>
        <v>3</v>
      </c>
      <c r="AF7596" s="19">
        <f t="shared" si="13"/>
        <v>2</v>
      </c>
      <c r="AG7596" s="9"/>
      <c r="AH7596" s="9"/>
      <c r="AI7596" s="9"/>
    </row>
    <row r="7597" ht="15.0" customHeight="1">
      <c r="A7597" s="11">
        <v>7596.0</v>
      </c>
      <c r="B7597" s="12">
        <f t="shared" si="1212"/>
        <v>41131</v>
      </c>
      <c r="C7597" s="13">
        <v>2012.0</v>
      </c>
      <c r="D7597" s="11" t="s">
        <v>44</v>
      </c>
      <c r="E7597" s="11">
        <v>3.0</v>
      </c>
      <c r="F7597" s="14">
        <v>180.9</v>
      </c>
      <c r="G7597" s="15">
        <v>0.0742979142716372</v>
      </c>
      <c r="H7597" s="11" t="s">
        <v>45</v>
      </c>
      <c r="I7597" s="16">
        <v>20.96</v>
      </c>
      <c r="J7597" s="11" t="s">
        <v>1621</v>
      </c>
      <c r="K7597" s="11" t="s">
        <v>35</v>
      </c>
      <c r="L7597" s="11" t="s">
        <v>41</v>
      </c>
      <c r="M7597" s="11" t="s">
        <v>49</v>
      </c>
      <c r="N7597" s="11" t="s">
        <v>50</v>
      </c>
      <c r="O7597" s="11" t="s">
        <v>1208</v>
      </c>
      <c r="P7597" s="11" t="s">
        <v>52</v>
      </c>
      <c r="Q7597" s="20">
        <v>41134.0</v>
      </c>
      <c r="R7597" s="17">
        <f t="shared" si="2"/>
        <v>41.87876236</v>
      </c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>
        <f t="shared" si="8"/>
        <v>3</v>
      </c>
      <c r="AF7597" s="19">
        <f t="shared" si="13"/>
        <v>2</v>
      </c>
      <c r="AG7597" s="9"/>
      <c r="AH7597" s="9"/>
      <c r="AI7597" s="9"/>
    </row>
    <row r="7598" ht="15.0" customHeight="1">
      <c r="A7598" s="11">
        <v>7597.0</v>
      </c>
      <c r="B7598" s="12">
        <f t="shared" si="1212"/>
        <v>41131</v>
      </c>
      <c r="C7598" s="13">
        <v>2012.0</v>
      </c>
      <c r="D7598" s="11" t="s">
        <v>44</v>
      </c>
      <c r="E7598" s="11">
        <v>13.0</v>
      </c>
      <c r="F7598" s="14">
        <v>4.9</v>
      </c>
      <c r="G7598" s="15">
        <v>0.01232665639445296</v>
      </c>
      <c r="H7598" s="11" t="s">
        <v>33</v>
      </c>
      <c r="I7598" s="16">
        <v>0.4</v>
      </c>
      <c r="J7598" s="11" t="s">
        <v>1621</v>
      </c>
      <c r="K7598" s="11" t="s">
        <v>35</v>
      </c>
      <c r="L7598" s="11" t="s">
        <v>41</v>
      </c>
      <c r="M7598" s="11" t="s">
        <v>28</v>
      </c>
      <c r="N7598" s="11" t="s">
        <v>188</v>
      </c>
      <c r="O7598" s="11" t="s">
        <v>1993</v>
      </c>
      <c r="P7598" s="11" t="s">
        <v>38</v>
      </c>
      <c r="Q7598" s="20">
        <v>41134.0</v>
      </c>
      <c r="R7598" s="17">
        <f t="shared" si="2"/>
        <v>0.7901386749</v>
      </c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>
        <f t="shared" si="8"/>
        <v>3</v>
      </c>
      <c r="AF7598" s="19">
        <f t="shared" si="13"/>
        <v>2</v>
      </c>
      <c r="AG7598" s="9"/>
      <c r="AH7598" s="9"/>
      <c r="AI7598" s="9"/>
    </row>
    <row r="7599" ht="15.0" customHeight="1">
      <c r="A7599" s="11">
        <v>7598.0</v>
      </c>
      <c r="B7599" s="12">
        <f t="shared" si="1212"/>
        <v>41131</v>
      </c>
      <c r="C7599" s="13">
        <v>2012.0</v>
      </c>
      <c r="D7599" s="11" t="s">
        <v>44</v>
      </c>
      <c r="E7599" s="11">
        <v>11.0</v>
      </c>
      <c r="F7599" s="14">
        <v>6.4</v>
      </c>
      <c r="G7599" s="15">
        <v>0.08190012180267954</v>
      </c>
      <c r="H7599" s="11" t="s">
        <v>33</v>
      </c>
      <c r="I7599" s="16">
        <v>4.976</v>
      </c>
      <c r="J7599" s="11" t="s">
        <v>1527</v>
      </c>
      <c r="K7599" s="11" t="s">
        <v>47</v>
      </c>
      <c r="L7599" s="11" t="s">
        <v>27</v>
      </c>
      <c r="M7599" s="11" t="s">
        <v>28</v>
      </c>
      <c r="N7599" s="11" t="s">
        <v>56</v>
      </c>
      <c r="O7599" s="11" t="s">
        <v>1216</v>
      </c>
      <c r="P7599" s="11" t="s">
        <v>38</v>
      </c>
      <c r="Q7599" s="20">
        <v>41134.0</v>
      </c>
      <c r="R7599" s="17">
        <f t="shared" si="2"/>
        <v>6.173303581</v>
      </c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>
        <f t="shared" si="8"/>
        <v>1</v>
      </c>
      <c r="AF7599" s="19">
        <f t="shared" si="13"/>
        <v>3</v>
      </c>
      <c r="AG7599" s="9"/>
      <c r="AH7599" s="9"/>
      <c r="AI7599" s="9"/>
    </row>
    <row r="7600" ht="15.0" customHeight="1">
      <c r="A7600" s="11">
        <v>7599.0</v>
      </c>
      <c r="B7600" s="12">
        <f t="shared" ref="B7600:B7604" si="1213">DATE(2012,12,31)-142</f>
        <v>41132</v>
      </c>
      <c r="C7600" s="13">
        <v>2012.0</v>
      </c>
      <c r="D7600" s="11" t="s">
        <v>39</v>
      </c>
      <c r="E7600" s="11">
        <v>20.0</v>
      </c>
      <c r="F7600" s="14">
        <v>155.0</v>
      </c>
      <c r="G7600" s="15">
        <v>0.08333648170011808</v>
      </c>
      <c r="H7600" s="11" t="s">
        <v>33</v>
      </c>
      <c r="I7600" s="16">
        <v>5.656000000000001</v>
      </c>
      <c r="J7600" s="11" t="s">
        <v>1027</v>
      </c>
      <c r="K7600" s="11" t="s">
        <v>83</v>
      </c>
      <c r="L7600" s="11" t="s">
        <v>41</v>
      </c>
      <c r="M7600" s="11" t="s">
        <v>28</v>
      </c>
      <c r="N7600" s="11" t="s">
        <v>29</v>
      </c>
      <c r="O7600" s="11" t="s">
        <v>54</v>
      </c>
      <c r="P7600" s="11" t="s">
        <v>38</v>
      </c>
      <c r="Q7600" s="20">
        <v>41134.0</v>
      </c>
      <c r="R7600" s="17">
        <f t="shared" si="2"/>
        <v>258.8144444</v>
      </c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>
        <f t="shared" si="8"/>
        <v>3</v>
      </c>
      <c r="AF7600" s="19" t="b">
        <f t="shared" si="13"/>
        <v>0</v>
      </c>
      <c r="AG7600" s="9"/>
      <c r="AH7600" s="9"/>
      <c r="AI7600" s="9"/>
    </row>
    <row r="7601" ht="15.0" customHeight="1">
      <c r="A7601" s="11">
        <v>7600.0</v>
      </c>
      <c r="B7601" s="12">
        <f t="shared" si="1213"/>
        <v>41132</v>
      </c>
      <c r="C7601" s="13">
        <v>2012.0</v>
      </c>
      <c r="D7601" s="11" t="s">
        <v>32</v>
      </c>
      <c r="E7601" s="11">
        <v>5.0</v>
      </c>
      <c r="F7601" s="14">
        <v>10.6</v>
      </c>
      <c r="G7601" s="15">
        <v>0.054664679582712254</v>
      </c>
      <c r="H7601" s="11" t="s">
        <v>33</v>
      </c>
      <c r="I7601" s="16">
        <v>10.432</v>
      </c>
      <c r="J7601" s="11" t="s">
        <v>2098</v>
      </c>
      <c r="K7601" s="11" t="s">
        <v>83</v>
      </c>
      <c r="L7601" s="11" t="s">
        <v>48</v>
      </c>
      <c r="M7601" s="11" t="s">
        <v>49</v>
      </c>
      <c r="N7601" s="11" t="s">
        <v>73</v>
      </c>
      <c r="O7601" s="11" t="s">
        <v>708</v>
      </c>
      <c r="P7601" s="11" t="s">
        <v>31</v>
      </c>
      <c r="Q7601" s="20">
        <v>41134.0</v>
      </c>
      <c r="R7601" s="17">
        <f t="shared" si="2"/>
        <v>3.467489955</v>
      </c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>
        <f t="shared" si="8"/>
        <v>4</v>
      </c>
      <c r="AF7601" s="19" t="b">
        <f t="shared" si="13"/>
        <v>0</v>
      </c>
      <c r="AG7601" s="9"/>
      <c r="AH7601" s="9"/>
      <c r="AI7601" s="9"/>
    </row>
    <row r="7602" ht="15.0" customHeight="1">
      <c r="A7602" s="11">
        <v>7601.0</v>
      </c>
      <c r="B7602" s="12">
        <f t="shared" si="1213"/>
        <v>41132</v>
      </c>
      <c r="C7602" s="13">
        <v>2012.0</v>
      </c>
      <c r="D7602" s="11" t="s">
        <v>32</v>
      </c>
      <c r="E7602" s="11">
        <v>25.0</v>
      </c>
      <c r="F7602" s="14">
        <v>110.9</v>
      </c>
      <c r="G7602" s="15">
        <v>0.058195351355008904</v>
      </c>
      <c r="H7602" s="11" t="s">
        <v>33</v>
      </c>
      <c r="I7602" s="16">
        <v>11.192</v>
      </c>
      <c r="J7602" s="11" t="s">
        <v>2098</v>
      </c>
      <c r="K7602" s="11" t="s">
        <v>83</v>
      </c>
      <c r="L7602" s="11" t="s">
        <v>48</v>
      </c>
      <c r="M7602" s="11" t="s">
        <v>49</v>
      </c>
      <c r="N7602" s="11" t="s">
        <v>73</v>
      </c>
      <c r="O7602" s="11" t="s">
        <v>330</v>
      </c>
      <c r="P7602" s="11" t="s">
        <v>75</v>
      </c>
      <c r="Q7602" s="20">
        <v>41134.0</v>
      </c>
      <c r="R7602" s="17">
        <f t="shared" si="2"/>
        <v>161.997934</v>
      </c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>
        <f t="shared" si="8"/>
        <v>4</v>
      </c>
      <c r="AF7602" s="19" t="b">
        <f t="shared" si="13"/>
        <v>0</v>
      </c>
      <c r="AG7602" s="9"/>
      <c r="AH7602" s="9"/>
      <c r="AI7602" s="9"/>
    </row>
    <row r="7603" ht="15.0" customHeight="1">
      <c r="A7603" s="11">
        <v>7602.0</v>
      </c>
      <c r="B7603" s="12">
        <f t="shared" si="1213"/>
        <v>41132</v>
      </c>
      <c r="C7603" s="13">
        <v>2012.0</v>
      </c>
      <c r="D7603" s="11" t="s">
        <v>32</v>
      </c>
      <c r="E7603" s="11">
        <v>50.0</v>
      </c>
      <c r="F7603" s="14">
        <v>105.9</v>
      </c>
      <c r="G7603" s="15">
        <v>0.03035432998921846</v>
      </c>
      <c r="H7603" s="11" t="s">
        <v>33</v>
      </c>
      <c r="I7603" s="16">
        <v>11.192</v>
      </c>
      <c r="J7603" s="11" t="s">
        <v>2098</v>
      </c>
      <c r="K7603" s="11" t="s">
        <v>83</v>
      </c>
      <c r="L7603" s="11" t="s">
        <v>48</v>
      </c>
      <c r="M7603" s="11" t="s">
        <v>49</v>
      </c>
      <c r="N7603" s="11" t="s">
        <v>73</v>
      </c>
      <c r="O7603" s="11" t="s">
        <v>601</v>
      </c>
      <c r="P7603" s="11" t="s">
        <v>75</v>
      </c>
      <c r="Q7603" s="20">
        <v>41135.0</v>
      </c>
      <c r="R7603" s="17">
        <f t="shared" si="2"/>
        <v>161.065903</v>
      </c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>
        <f t="shared" si="8"/>
        <v>4</v>
      </c>
      <c r="AF7603" s="19" t="b">
        <f t="shared" si="13"/>
        <v>0</v>
      </c>
      <c r="AG7603" s="9"/>
      <c r="AH7603" s="9"/>
      <c r="AI7603" s="9"/>
    </row>
    <row r="7604" ht="15.0" customHeight="1">
      <c r="A7604" s="11">
        <v>7603.0</v>
      </c>
      <c r="B7604" s="12">
        <f t="shared" si="1213"/>
        <v>41132</v>
      </c>
      <c r="C7604" s="13">
        <v>2012.0</v>
      </c>
      <c r="D7604" s="11" t="s">
        <v>32</v>
      </c>
      <c r="E7604" s="11">
        <v>37.0</v>
      </c>
      <c r="F7604" s="14">
        <v>6.6</v>
      </c>
      <c r="G7604" s="15">
        <v>0.08985422740524773</v>
      </c>
      <c r="H7604" s="11" t="s">
        <v>33</v>
      </c>
      <c r="I7604" s="16">
        <v>5.5440000000000005</v>
      </c>
      <c r="J7604" s="11" t="s">
        <v>2098</v>
      </c>
      <c r="K7604" s="11" t="s">
        <v>83</v>
      </c>
      <c r="L7604" s="11" t="s">
        <v>48</v>
      </c>
      <c r="M7604" s="11" t="s">
        <v>28</v>
      </c>
      <c r="N7604" s="11" t="s">
        <v>56</v>
      </c>
      <c r="O7604" s="11" t="s">
        <v>554</v>
      </c>
      <c r="P7604" s="11" t="s">
        <v>38</v>
      </c>
      <c r="Q7604" s="20">
        <v>41135.0</v>
      </c>
      <c r="R7604" s="17">
        <f t="shared" si="2"/>
        <v>22.44055417</v>
      </c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>
        <f t="shared" si="8"/>
        <v>4</v>
      </c>
      <c r="AF7604" s="19" t="b">
        <f t="shared" si="13"/>
        <v>0</v>
      </c>
      <c r="AG7604" s="9"/>
      <c r="AH7604" s="9"/>
      <c r="AI7604" s="9"/>
    </row>
    <row r="7605" ht="15.0" customHeight="1">
      <c r="A7605" s="11">
        <v>7604.0</v>
      </c>
      <c r="B7605" s="12">
        <f t="shared" ref="B7605:B7615" si="1214">DATE(2012,12,31)-141</f>
        <v>41133</v>
      </c>
      <c r="C7605" s="13">
        <v>2012.0</v>
      </c>
      <c r="D7605" s="11" t="s">
        <v>32</v>
      </c>
      <c r="E7605" s="11">
        <v>22.0</v>
      </c>
      <c r="F7605" s="14">
        <v>420.9</v>
      </c>
      <c r="G7605" s="15">
        <v>0.04820719093744878</v>
      </c>
      <c r="H7605" s="11" t="s">
        <v>33</v>
      </c>
      <c r="I7605" s="16">
        <v>15.991999999999999</v>
      </c>
      <c r="J7605" s="11" t="s">
        <v>2495</v>
      </c>
      <c r="K7605" s="11" t="s">
        <v>61</v>
      </c>
      <c r="L7605" s="11" t="s">
        <v>41</v>
      </c>
      <c r="M7605" s="11" t="s">
        <v>28</v>
      </c>
      <c r="N7605" s="11" t="s">
        <v>42</v>
      </c>
      <c r="O7605" s="11" t="s">
        <v>495</v>
      </c>
      <c r="P7605" s="11" t="s">
        <v>38</v>
      </c>
      <c r="Q7605" s="20">
        <v>41135.0</v>
      </c>
      <c r="R7605" s="17">
        <f t="shared" si="2"/>
        <v>447.159876</v>
      </c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>
        <f t="shared" si="8"/>
        <v>3</v>
      </c>
      <c r="AF7605" s="19">
        <f t="shared" si="13"/>
        <v>4</v>
      </c>
      <c r="AG7605" s="9"/>
      <c r="AH7605" s="9"/>
      <c r="AI7605" s="9"/>
    </row>
    <row r="7606" ht="15.0" customHeight="1">
      <c r="A7606" s="11">
        <v>7605.0</v>
      </c>
      <c r="B7606" s="12">
        <f t="shared" si="1214"/>
        <v>41133</v>
      </c>
      <c r="C7606" s="13">
        <v>2012.0</v>
      </c>
      <c r="D7606" s="11" t="s">
        <v>32</v>
      </c>
      <c r="E7606" s="11">
        <v>49.0</v>
      </c>
      <c r="F7606" s="14">
        <v>37.7</v>
      </c>
      <c r="G7606" s="15">
        <v>0.09119441851324116</v>
      </c>
      <c r="H7606" s="11" t="s">
        <v>33</v>
      </c>
      <c r="I7606" s="16">
        <v>2.3920000000000003</v>
      </c>
      <c r="J7606" s="11" t="s">
        <v>2495</v>
      </c>
      <c r="K7606" s="11" t="s">
        <v>61</v>
      </c>
      <c r="L7606" s="11" t="s">
        <v>41</v>
      </c>
      <c r="M7606" s="11" t="s">
        <v>28</v>
      </c>
      <c r="N7606" s="11" t="s">
        <v>42</v>
      </c>
      <c r="O7606" s="11" t="s">
        <v>1302</v>
      </c>
      <c r="P7606" s="11" t="s">
        <v>38</v>
      </c>
      <c r="Q7606" s="20">
        <v>41135.0</v>
      </c>
      <c r="R7606" s="17">
        <f t="shared" si="2"/>
        <v>168.6815864</v>
      </c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>
        <f t="shared" si="8"/>
        <v>3</v>
      </c>
      <c r="AF7606" s="19">
        <f t="shared" si="13"/>
        <v>4</v>
      </c>
      <c r="AG7606" s="9"/>
      <c r="AH7606" s="9"/>
      <c r="AI7606" s="9"/>
    </row>
    <row r="7607" ht="15.0" customHeight="1">
      <c r="A7607" s="11">
        <v>7606.0</v>
      </c>
      <c r="B7607" s="12">
        <f t="shared" si="1214"/>
        <v>41133</v>
      </c>
      <c r="C7607" s="13">
        <v>2012.0</v>
      </c>
      <c r="D7607" s="11" t="s">
        <v>39</v>
      </c>
      <c r="E7607" s="11">
        <v>20.0</v>
      </c>
      <c r="F7607" s="14">
        <v>4.1</v>
      </c>
      <c r="G7607" s="15">
        <v>0.046296296296296294</v>
      </c>
      <c r="H7607" s="11" t="s">
        <v>33</v>
      </c>
      <c r="I7607" s="16">
        <v>0.4</v>
      </c>
      <c r="J7607" s="11" t="s">
        <v>514</v>
      </c>
      <c r="K7607" s="11" t="s">
        <v>61</v>
      </c>
      <c r="L7607" s="11" t="s">
        <v>27</v>
      </c>
      <c r="M7607" s="11" t="s">
        <v>28</v>
      </c>
      <c r="N7607" s="11" t="s">
        <v>188</v>
      </c>
      <c r="O7607" s="11" t="s">
        <v>1968</v>
      </c>
      <c r="P7607" s="11" t="s">
        <v>38</v>
      </c>
      <c r="Q7607" s="20">
        <v>41135.0</v>
      </c>
      <c r="R7607" s="17">
        <f t="shared" si="2"/>
        <v>3.814814815</v>
      </c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>
        <f t="shared" si="8"/>
        <v>1</v>
      </c>
      <c r="AF7607" s="19">
        <f t="shared" si="13"/>
        <v>4</v>
      </c>
      <c r="AG7607" s="9"/>
      <c r="AH7607" s="9"/>
      <c r="AI7607" s="9"/>
    </row>
    <row r="7608" ht="15.0" customHeight="1">
      <c r="A7608" s="11">
        <v>7607.0</v>
      </c>
      <c r="B7608" s="12">
        <f t="shared" si="1214"/>
        <v>41133</v>
      </c>
      <c r="C7608" s="13">
        <v>2012.0</v>
      </c>
      <c r="D7608" s="11" t="s">
        <v>39</v>
      </c>
      <c r="E7608" s="11">
        <v>25.0</v>
      </c>
      <c r="F7608" s="14">
        <v>550.9</v>
      </c>
      <c r="G7608" s="15">
        <v>0.010962553836908091</v>
      </c>
      <c r="H7608" s="11" t="s">
        <v>45</v>
      </c>
      <c r="I7608" s="16">
        <v>51.672000000000004</v>
      </c>
      <c r="J7608" s="11" t="s">
        <v>514</v>
      </c>
      <c r="K7608" s="11" t="s">
        <v>61</v>
      </c>
      <c r="L7608" s="11" t="s">
        <v>27</v>
      </c>
      <c r="M7608" s="11" t="s">
        <v>49</v>
      </c>
      <c r="N7608" s="11" t="s">
        <v>85</v>
      </c>
      <c r="O7608" s="11" t="s">
        <v>2492</v>
      </c>
      <c r="P7608" s="11" t="s">
        <v>87</v>
      </c>
      <c r="Q7608" s="20">
        <v>41135.0</v>
      </c>
      <c r="R7608" s="17">
        <f t="shared" si="2"/>
        <v>151.5482298</v>
      </c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>
        <f t="shared" si="8"/>
        <v>1</v>
      </c>
      <c r="AF7608" s="19">
        <f t="shared" si="13"/>
        <v>4</v>
      </c>
      <c r="AG7608" s="9"/>
      <c r="AH7608" s="9"/>
      <c r="AI7608" s="9"/>
    </row>
    <row r="7609" ht="15.0" customHeight="1">
      <c r="A7609" s="11">
        <v>7608.0</v>
      </c>
      <c r="B7609" s="12">
        <f t="shared" si="1214"/>
        <v>41133</v>
      </c>
      <c r="C7609" s="13">
        <v>2012.0</v>
      </c>
      <c r="D7609" s="11" t="s">
        <v>102</v>
      </c>
      <c r="E7609" s="11">
        <v>9.0</v>
      </c>
      <c r="F7609" s="14">
        <v>4.7</v>
      </c>
      <c r="G7609" s="15">
        <v>0.11220883534136535</v>
      </c>
      <c r="H7609" s="11" t="s">
        <v>33</v>
      </c>
      <c r="I7609" s="16">
        <v>1.9120000000000001</v>
      </c>
      <c r="J7609" s="11" t="s">
        <v>1377</v>
      </c>
      <c r="K7609" s="11" t="s">
        <v>47</v>
      </c>
      <c r="L7609" s="11" t="s">
        <v>48</v>
      </c>
      <c r="M7609" s="11" t="s">
        <v>66</v>
      </c>
      <c r="N7609" s="11" t="s">
        <v>67</v>
      </c>
      <c r="O7609" s="11" t="s">
        <v>1167</v>
      </c>
      <c r="P7609" s="11" t="s">
        <v>99</v>
      </c>
      <c r="Q7609" s="20">
        <v>41135.0</v>
      </c>
      <c r="R7609" s="17">
        <f t="shared" si="2"/>
        <v>4.960977028</v>
      </c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>
        <f t="shared" si="8"/>
        <v>4</v>
      </c>
      <c r="AF7609" s="19">
        <f t="shared" si="13"/>
        <v>3</v>
      </c>
      <c r="AG7609" s="9"/>
      <c r="AH7609" s="9"/>
      <c r="AI7609" s="9"/>
    </row>
    <row r="7610" ht="15.0" customHeight="1">
      <c r="A7610" s="11">
        <v>7609.0</v>
      </c>
      <c r="B7610" s="12">
        <f t="shared" si="1214"/>
        <v>41133</v>
      </c>
      <c r="C7610" s="13">
        <v>2012.0</v>
      </c>
      <c r="D7610" s="11" t="s">
        <v>23</v>
      </c>
      <c r="E7610" s="11">
        <v>22.0</v>
      </c>
      <c r="F7610" s="14">
        <v>6.4</v>
      </c>
      <c r="G7610" s="15">
        <v>0.04785340314136133</v>
      </c>
      <c r="H7610" s="11" t="s">
        <v>33</v>
      </c>
      <c r="I7610" s="16">
        <v>4.688000000000001</v>
      </c>
      <c r="J7610" s="11" t="s">
        <v>429</v>
      </c>
      <c r="K7610" s="11" t="s">
        <v>83</v>
      </c>
      <c r="L7610" s="11" t="s">
        <v>48</v>
      </c>
      <c r="M7610" s="11" t="s">
        <v>28</v>
      </c>
      <c r="N7610" s="11" t="s">
        <v>56</v>
      </c>
      <c r="O7610" s="11" t="s">
        <v>2530</v>
      </c>
      <c r="P7610" s="11" t="s">
        <v>38</v>
      </c>
      <c r="Q7610" s="20">
        <v>41135.0</v>
      </c>
      <c r="R7610" s="17">
        <f t="shared" si="2"/>
        <v>6.962095916</v>
      </c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>
        <f t="shared" si="8"/>
        <v>4</v>
      </c>
      <c r="AF7610" s="19" t="b">
        <f t="shared" si="13"/>
        <v>0</v>
      </c>
      <c r="AG7610" s="9"/>
      <c r="AH7610" s="9"/>
      <c r="AI7610" s="9"/>
    </row>
    <row r="7611" ht="15.0" customHeight="1">
      <c r="A7611" s="11">
        <v>7610.0</v>
      </c>
      <c r="B7611" s="12">
        <f t="shared" si="1214"/>
        <v>41133</v>
      </c>
      <c r="C7611" s="13">
        <v>2012.0</v>
      </c>
      <c r="D7611" s="11" t="s">
        <v>102</v>
      </c>
      <c r="E7611" s="11">
        <v>50.0</v>
      </c>
      <c r="F7611" s="14">
        <v>40.9</v>
      </c>
      <c r="G7611" s="15">
        <v>0.06923542428758524</v>
      </c>
      <c r="H7611" s="11" t="s">
        <v>33</v>
      </c>
      <c r="I7611" s="16">
        <v>15.991999999999999</v>
      </c>
      <c r="J7611" s="11" t="s">
        <v>392</v>
      </c>
      <c r="K7611" s="11" t="s">
        <v>65</v>
      </c>
      <c r="L7611" s="11" t="s">
        <v>48</v>
      </c>
      <c r="M7611" s="11" t="s">
        <v>28</v>
      </c>
      <c r="N7611" s="11" t="s">
        <v>56</v>
      </c>
      <c r="O7611" s="11" t="s">
        <v>1306</v>
      </c>
      <c r="P7611" s="11" t="s">
        <v>38</v>
      </c>
      <c r="Q7611" s="20">
        <v>41135.0</v>
      </c>
      <c r="R7611" s="17">
        <f t="shared" si="2"/>
        <v>142.6936556</v>
      </c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>
        <f t="shared" si="8"/>
        <v>4</v>
      </c>
      <c r="AF7611" s="19">
        <f t="shared" si="13"/>
        <v>5</v>
      </c>
      <c r="AG7611" s="9"/>
      <c r="AH7611" s="9"/>
      <c r="AI7611" s="9"/>
    </row>
    <row r="7612" ht="15.0" customHeight="1">
      <c r="A7612" s="11">
        <v>7611.0</v>
      </c>
      <c r="B7612" s="12">
        <f t="shared" si="1214"/>
        <v>41133</v>
      </c>
      <c r="C7612" s="13">
        <v>2012.0</v>
      </c>
      <c r="D7612" s="11" t="s">
        <v>44</v>
      </c>
      <c r="E7612" s="11">
        <v>38.0</v>
      </c>
      <c r="F7612" s="14">
        <v>11.9</v>
      </c>
      <c r="G7612" s="15">
        <v>0.02756917837377607</v>
      </c>
      <c r="H7612" s="11" t="s">
        <v>33</v>
      </c>
      <c r="I7612" s="16">
        <v>4.648</v>
      </c>
      <c r="J7612" s="11" t="s">
        <v>1020</v>
      </c>
      <c r="K7612" s="11" t="s">
        <v>47</v>
      </c>
      <c r="L7612" s="11" t="s">
        <v>36</v>
      </c>
      <c r="M7612" s="11" t="s">
        <v>28</v>
      </c>
      <c r="N7612" s="11" t="s">
        <v>62</v>
      </c>
      <c r="O7612" s="11" t="s">
        <v>955</v>
      </c>
      <c r="P7612" s="11" t="s">
        <v>99</v>
      </c>
      <c r="Q7612" s="20">
        <v>41136.0</v>
      </c>
      <c r="R7612" s="17">
        <f t="shared" si="2"/>
        <v>12.594924</v>
      </c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>
        <f t="shared" si="8"/>
        <v>2</v>
      </c>
      <c r="AF7612" s="19">
        <f t="shared" si="13"/>
        <v>3</v>
      </c>
      <c r="AG7612" s="9"/>
      <c r="AH7612" s="9"/>
      <c r="AI7612" s="9"/>
    </row>
    <row r="7613" ht="15.0" customHeight="1">
      <c r="A7613" s="11">
        <v>7612.0</v>
      </c>
      <c r="B7613" s="12">
        <f t="shared" si="1214"/>
        <v>41133</v>
      </c>
      <c r="C7613" s="13">
        <v>2012.0</v>
      </c>
      <c r="D7613" s="11" t="s">
        <v>44</v>
      </c>
      <c r="E7613" s="11">
        <v>17.0</v>
      </c>
      <c r="F7613" s="14">
        <v>159.3</v>
      </c>
      <c r="G7613" s="15">
        <v>0.03338827903061755</v>
      </c>
      <c r="H7613" s="11" t="s">
        <v>45</v>
      </c>
      <c r="I7613" s="16">
        <v>48.0</v>
      </c>
      <c r="J7613" s="11" t="s">
        <v>1020</v>
      </c>
      <c r="K7613" s="11" t="s">
        <v>47</v>
      </c>
      <c r="L7613" s="11" t="s">
        <v>36</v>
      </c>
      <c r="M7613" s="11" t="s">
        <v>49</v>
      </c>
      <c r="N7613" s="11" t="s">
        <v>85</v>
      </c>
      <c r="O7613" s="11" t="s">
        <v>2014</v>
      </c>
      <c r="P7613" s="11" t="s">
        <v>52</v>
      </c>
      <c r="Q7613" s="20">
        <v>41136.0</v>
      </c>
      <c r="R7613" s="17">
        <f t="shared" si="2"/>
        <v>92.02143584</v>
      </c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>
        <f t="shared" si="8"/>
        <v>2</v>
      </c>
      <c r="AF7613" s="19">
        <f t="shared" si="13"/>
        <v>3</v>
      </c>
      <c r="AG7613" s="9"/>
      <c r="AH7613" s="9"/>
      <c r="AI7613" s="9"/>
    </row>
    <row r="7614" ht="15.0" customHeight="1">
      <c r="A7614" s="11">
        <v>7613.0</v>
      </c>
      <c r="B7614" s="12">
        <f t="shared" si="1214"/>
        <v>41133</v>
      </c>
      <c r="C7614" s="13">
        <v>2012.0</v>
      </c>
      <c r="D7614" s="11" t="s">
        <v>44</v>
      </c>
      <c r="E7614" s="11">
        <v>12.0</v>
      </c>
      <c r="F7614" s="14">
        <v>5.4</v>
      </c>
      <c r="G7614" s="15">
        <v>0.017091454272863363</v>
      </c>
      <c r="H7614" s="11" t="s">
        <v>33</v>
      </c>
      <c r="I7614" s="16">
        <v>0.76</v>
      </c>
      <c r="J7614" s="11" t="s">
        <v>1769</v>
      </c>
      <c r="K7614" s="11" t="s">
        <v>65</v>
      </c>
      <c r="L7614" s="11" t="s">
        <v>41</v>
      </c>
      <c r="M7614" s="11" t="s">
        <v>28</v>
      </c>
      <c r="N7614" s="11" t="s">
        <v>56</v>
      </c>
      <c r="O7614" s="11" t="s">
        <v>1183</v>
      </c>
      <c r="P7614" s="11" t="s">
        <v>58</v>
      </c>
      <c r="Q7614" s="20">
        <v>41136.0</v>
      </c>
      <c r="R7614" s="17">
        <f t="shared" si="2"/>
        <v>1.120515742</v>
      </c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>
        <f t="shared" si="8"/>
        <v>3</v>
      </c>
      <c r="AF7614" s="19">
        <f t="shared" si="13"/>
        <v>5</v>
      </c>
      <c r="AG7614" s="9"/>
      <c r="AH7614" s="9"/>
      <c r="AI7614" s="9"/>
    </row>
    <row r="7615" ht="15.0" customHeight="1">
      <c r="A7615" s="11">
        <v>7614.0</v>
      </c>
      <c r="B7615" s="12">
        <f t="shared" si="1214"/>
        <v>41133</v>
      </c>
      <c r="C7615" s="13">
        <v>2012.0</v>
      </c>
      <c r="D7615" s="11" t="s">
        <v>44</v>
      </c>
      <c r="E7615" s="11">
        <v>36.0</v>
      </c>
      <c r="F7615" s="14">
        <v>4.1</v>
      </c>
      <c r="G7615" s="15">
        <v>0.008074866310160418</v>
      </c>
      <c r="H7615" s="11" t="s">
        <v>33</v>
      </c>
      <c r="I7615" s="16">
        <v>0.792</v>
      </c>
      <c r="J7615" s="11" t="s">
        <v>1720</v>
      </c>
      <c r="K7615" s="11" t="s">
        <v>65</v>
      </c>
      <c r="L7615" s="11" t="s">
        <v>48</v>
      </c>
      <c r="M7615" s="11" t="s">
        <v>28</v>
      </c>
      <c r="N7615" s="11" t="s">
        <v>188</v>
      </c>
      <c r="O7615" s="11" t="s">
        <v>189</v>
      </c>
      <c r="P7615" s="11" t="s">
        <v>38</v>
      </c>
      <c r="Q7615" s="20">
        <v>41136.0</v>
      </c>
      <c r="R7615" s="17">
        <f t="shared" si="2"/>
        <v>1.198245561</v>
      </c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>
        <f t="shared" si="8"/>
        <v>4</v>
      </c>
      <c r="AF7615" s="19">
        <f t="shared" si="13"/>
        <v>5</v>
      </c>
      <c r="AG7615" s="9"/>
      <c r="AH7615" s="9"/>
      <c r="AI7615" s="9"/>
    </row>
    <row r="7616" ht="15.0" customHeight="1">
      <c r="A7616" s="11">
        <v>7615.0</v>
      </c>
      <c r="B7616" s="12">
        <f t="shared" ref="B7616:B7617" si="1215">DATE(2012,12,31)-140</f>
        <v>41134</v>
      </c>
      <c r="C7616" s="13">
        <v>2012.0</v>
      </c>
      <c r="D7616" s="11" t="s">
        <v>102</v>
      </c>
      <c r="E7616" s="11">
        <v>50.0</v>
      </c>
      <c r="F7616" s="14">
        <v>3.8</v>
      </c>
      <c r="G7616" s="15">
        <v>0.10106617647058819</v>
      </c>
      <c r="H7616" s="11" t="s">
        <v>33</v>
      </c>
      <c r="I7616" s="16">
        <v>5.6080000000000005</v>
      </c>
      <c r="J7616" s="11" t="s">
        <v>744</v>
      </c>
      <c r="K7616" s="11" t="s">
        <v>61</v>
      </c>
      <c r="L7616" s="11" t="s">
        <v>48</v>
      </c>
      <c r="M7616" s="11" t="s">
        <v>28</v>
      </c>
      <c r="N7616" s="11" t="s">
        <v>42</v>
      </c>
      <c r="O7616" s="11" t="s">
        <v>1632</v>
      </c>
      <c r="P7616" s="11" t="s">
        <v>38</v>
      </c>
      <c r="Q7616" s="20">
        <v>41136.0</v>
      </c>
      <c r="R7616" s="17">
        <f t="shared" si="2"/>
        <v>19.76935265</v>
      </c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>
        <f t="shared" si="8"/>
        <v>4</v>
      </c>
      <c r="AF7616" s="19">
        <f t="shared" si="13"/>
        <v>4</v>
      </c>
      <c r="AG7616" s="9"/>
      <c r="AH7616" s="9"/>
      <c r="AI7616" s="9"/>
    </row>
    <row r="7617" ht="15.0" customHeight="1">
      <c r="A7617" s="11">
        <v>7616.0</v>
      </c>
      <c r="B7617" s="12">
        <f t="shared" si="1215"/>
        <v>41134</v>
      </c>
      <c r="C7617" s="13">
        <v>2012.0</v>
      </c>
      <c r="D7617" s="11" t="s">
        <v>32</v>
      </c>
      <c r="E7617" s="11">
        <v>12.0</v>
      </c>
      <c r="F7617" s="14">
        <v>17.4</v>
      </c>
      <c r="G7617" s="15">
        <v>0.062424242424242465</v>
      </c>
      <c r="H7617" s="11" t="s">
        <v>33</v>
      </c>
      <c r="I7617" s="16">
        <v>1.592</v>
      </c>
      <c r="J7617" s="11" t="s">
        <v>444</v>
      </c>
      <c r="K7617" s="11" t="s">
        <v>61</v>
      </c>
      <c r="L7617" s="11" t="s">
        <v>36</v>
      </c>
      <c r="M7617" s="11" t="s">
        <v>66</v>
      </c>
      <c r="N7617" s="11" t="s">
        <v>67</v>
      </c>
      <c r="O7617" s="11" t="s">
        <v>1549</v>
      </c>
      <c r="P7617" s="11" t="s">
        <v>99</v>
      </c>
      <c r="Q7617" s="20">
        <v>41136.0</v>
      </c>
      <c r="R7617" s="17">
        <f t="shared" si="2"/>
        <v>13.13356121</v>
      </c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>
        <f t="shared" si="8"/>
        <v>2</v>
      </c>
      <c r="AF7617" s="19">
        <f t="shared" si="13"/>
        <v>4</v>
      </c>
      <c r="AG7617" s="9"/>
      <c r="AH7617" s="9"/>
      <c r="AI7617" s="9"/>
    </row>
    <row r="7618" ht="15.0" customHeight="1">
      <c r="A7618" s="11">
        <v>7617.0</v>
      </c>
      <c r="B7618" s="12">
        <f t="shared" ref="B7618:B7625" si="1216">DATE(2012,12,31)-139</f>
        <v>41135</v>
      </c>
      <c r="C7618" s="13">
        <v>2012.0</v>
      </c>
      <c r="D7618" s="11" t="s">
        <v>32</v>
      </c>
      <c r="E7618" s="11">
        <v>5.0</v>
      </c>
      <c r="F7618" s="14">
        <v>3.3</v>
      </c>
      <c r="G7618" s="15">
        <v>0.09974895397489542</v>
      </c>
      <c r="H7618" s="11" t="s">
        <v>33</v>
      </c>
      <c r="I7618" s="16">
        <v>5.016</v>
      </c>
      <c r="J7618" s="11" t="s">
        <v>581</v>
      </c>
      <c r="K7618" s="11" t="s">
        <v>47</v>
      </c>
      <c r="L7618" s="11" t="s">
        <v>36</v>
      </c>
      <c r="M7618" s="11" t="s">
        <v>28</v>
      </c>
      <c r="N7618" s="11" t="s">
        <v>42</v>
      </c>
      <c r="O7618" s="11" t="s">
        <v>89</v>
      </c>
      <c r="P7618" s="11" t="s">
        <v>38</v>
      </c>
      <c r="Q7618" s="20">
        <v>41137.0</v>
      </c>
      <c r="R7618" s="17">
        <f t="shared" si="2"/>
        <v>2.146198494</v>
      </c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>
        <f t="shared" si="8"/>
        <v>2</v>
      </c>
      <c r="AF7618" s="19">
        <f t="shared" si="13"/>
        <v>3</v>
      </c>
      <c r="AG7618" s="9"/>
      <c r="AH7618" s="9"/>
      <c r="AI7618" s="9"/>
    </row>
    <row r="7619" ht="15.0" customHeight="1">
      <c r="A7619" s="11">
        <v>7618.0</v>
      </c>
      <c r="B7619" s="12">
        <f t="shared" si="1216"/>
        <v>41135</v>
      </c>
      <c r="C7619" s="13">
        <v>2012.0</v>
      </c>
      <c r="D7619" s="11" t="s">
        <v>102</v>
      </c>
      <c r="E7619" s="11">
        <v>8.0</v>
      </c>
      <c r="F7619" s="14">
        <v>1.7</v>
      </c>
      <c r="G7619" s="15">
        <v>0.07846994535519125</v>
      </c>
      <c r="H7619" s="11" t="s">
        <v>33</v>
      </c>
      <c r="I7619" s="16">
        <v>3.2640000000000002</v>
      </c>
      <c r="J7619" s="11" t="s">
        <v>1205</v>
      </c>
      <c r="K7619" s="11" t="s">
        <v>61</v>
      </c>
      <c r="L7619" s="11" t="s">
        <v>36</v>
      </c>
      <c r="M7619" s="11" t="s">
        <v>49</v>
      </c>
      <c r="N7619" s="11" t="s">
        <v>73</v>
      </c>
      <c r="O7619" s="11" t="s">
        <v>458</v>
      </c>
      <c r="P7619" s="11" t="s">
        <v>99</v>
      </c>
      <c r="Q7619" s="20">
        <v>41137.0</v>
      </c>
      <c r="R7619" s="17">
        <f t="shared" si="2"/>
        <v>1.323317158</v>
      </c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>
        <f t="shared" si="8"/>
        <v>2</v>
      </c>
      <c r="AF7619" s="19">
        <f t="shared" si="13"/>
        <v>4</v>
      </c>
      <c r="AG7619" s="9"/>
      <c r="AH7619" s="9"/>
      <c r="AI7619" s="9"/>
    </row>
    <row r="7620" ht="15.0" customHeight="1">
      <c r="A7620" s="11">
        <v>7619.0</v>
      </c>
      <c r="B7620" s="12">
        <f t="shared" si="1216"/>
        <v>41135</v>
      </c>
      <c r="C7620" s="13">
        <v>2012.0</v>
      </c>
      <c r="D7620" s="11" t="s">
        <v>102</v>
      </c>
      <c r="E7620" s="11">
        <v>50.0</v>
      </c>
      <c r="F7620" s="14">
        <v>4.1</v>
      </c>
      <c r="G7620" s="15">
        <v>0.0855731922398591</v>
      </c>
      <c r="H7620" s="11" t="s">
        <v>33</v>
      </c>
      <c r="I7620" s="16">
        <v>2.3920000000000003</v>
      </c>
      <c r="J7620" s="11" t="s">
        <v>803</v>
      </c>
      <c r="K7620" s="11" t="s">
        <v>61</v>
      </c>
      <c r="L7620" s="11" t="s">
        <v>27</v>
      </c>
      <c r="M7620" s="11" t="s">
        <v>28</v>
      </c>
      <c r="N7620" s="11" t="s">
        <v>42</v>
      </c>
      <c r="O7620" s="11" t="s">
        <v>1804</v>
      </c>
      <c r="P7620" s="11" t="s">
        <v>38</v>
      </c>
      <c r="Q7620" s="20">
        <v>41137.0</v>
      </c>
      <c r="R7620" s="17">
        <f t="shared" si="2"/>
        <v>17.74719549</v>
      </c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>
        <f t="shared" si="8"/>
        <v>1</v>
      </c>
      <c r="AF7620" s="19">
        <f t="shared" si="13"/>
        <v>4</v>
      </c>
      <c r="AG7620" s="9"/>
      <c r="AH7620" s="9"/>
      <c r="AI7620" s="9"/>
    </row>
    <row r="7621" ht="15.0" customHeight="1">
      <c r="A7621" s="11">
        <v>7620.0</v>
      </c>
      <c r="B7621" s="12">
        <f t="shared" si="1216"/>
        <v>41135</v>
      </c>
      <c r="C7621" s="13">
        <v>2012.0</v>
      </c>
      <c r="D7621" s="11" t="s">
        <v>102</v>
      </c>
      <c r="E7621" s="11">
        <v>9.0</v>
      </c>
      <c r="F7621" s="14">
        <v>5.5</v>
      </c>
      <c r="G7621" s="15">
        <v>0.06254681647940068</v>
      </c>
      <c r="H7621" s="11" t="s">
        <v>33</v>
      </c>
      <c r="I7621" s="16">
        <v>0.5599999999999999</v>
      </c>
      <c r="J7621" s="11" t="s">
        <v>2205</v>
      </c>
      <c r="K7621" s="11" t="s">
        <v>35</v>
      </c>
      <c r="L7621" s="11" t="s">
        <v>48</v>
      </c>
      <c r="M7621" s="11" t="s">
        <v>28</v>
      </c>
      <c r="N7621" s="11" t="s">
        <v>62</v>
      </c>
      <c r="O7621" s="11" t="s">
        <v>2445</v>
      </c>
      <c r="P7621" s="11" t="s">
        <v>58</v>
      </c>
      <c r="Q7621" s="20">
        <v>41137.0</v>
      </c>
      <c r="R7621" s="17">
        <f t="shared" si="2"/>
        <v>3.131093633</v>
      </c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>
        <f t="shared" si="8"/>
        <v>4</v>
      </c>
      <c r="AF7621" s="19">
        <f t="shared" si="13"/>
        <v>2</v>
      </c>
      <c r="AG7621" s="9"/>
      <c r="AH7621" s="9"/>
      <c r="AI7621" s="9"/>
    </row>
    <row r="7622" ht="15.0" customHeight="1">
      <c r="A7622" s="11">
        <v>7621.0</v>
      </c>
      <c r="B7622" s="12">
        <f t="shared" si="1216"/>
        <v>41135</v>
      </c>
      <c r="C7622" s="13">
        <v>2012.0</v>
      </c>
      <c r="D7622" s="11" t="s">
        <v>102</v>
      </c>
      <c r="E7622" s="11">
        <v>10.0</v>
      </c>
      <c r="F7622" s="14">
        <v>24.9</v>
      </c>
      <c r="G7622" s="15">
        <v>0.02372038834951458</v>
      </c>
      <c r="H7622" s="11" t="s">
        <v>33</v>
      </c>
      <c r="I7622" s="16">
        <v>2.3920000000000003</v>
      </c>
      <c r="J7622" s="11" t="s">
        <v>829</v>
      </c>
      <c r="K7622" s="11" t="s">
        <v>83</v>
      </c>
      <c r="L7622" s="11" t="s">
        <v>36</v>
      </c>
      <c r="M7622" s="11" t="s">
        <v>28</v>
      </c>
      <c r="N7622" s="11" t="s">
        <v>42</v>
      </c>
      <c r="O7622" s="11" t="s">
        <v>1626</v>
      </c>
      <c r="P7622" s="11" t="s">
        <v>38</v>
      </c>
      <c r="Q7622" s="20">
        <v>41137.0</v>
      </c>
      <c r="R7622" s="17">
        <f t="shared" si="2"/>
        <v>5.963115868</v>
      </c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>
        <f t="shared" si="8"/>
        <v>2</v>
      </c>
      <c r="AF7622" s="19" t="b">
        <f t="shared" si="13"/>
        <v>0</v>
      </c>
      <c r="AG7622" s="9"/>
      <c r="AH7622" s="9"/>
      <c r="AI7622" s="9"/>
    </row>
    <row r="7623" ht="15.0" customHeight="1">
      <c r="A7623" s="11">
        <v>7622.0</v>
      </c>
      <c r="B7623" s="12">
        <f t="shared" si="1216"/>
        <v>41135</v>
      </c>
      <c r="C7623" s="13">
        <v>2012.0</v>
      </c>
      <c r="D7623" s="11" t="s">
        <v>102</v>
      </c>
      <c r="E7623" s="11">
        <v>22.0</v>
      </c>
      <c r="F7623" s="14">
        <v>4.0</v>
      </c>
      <c r="G7623" s="15">
        <v>0.08489208633093516</v>
      </c>
      <c r="H7623" s="11" t="s">
        <v>33</v>
      </c>
      <c r="I7623" s="16">
        <v>1.04</v>
      </c>
      <c r="J7623" s="11" t="s">
        <v>829</v>
      </c>
      <c r="K7623" s="11" t="s">
        <v>83</v>
      </c>
      <c r="L7623" s="11" t="s">
        <v>36</v>
      </c>
      <c r="M7623" s="11" t="s">
        <v>28</v>
      </c>
      <c r="N7623" s="11" t="s">
        <v>56</v>
      </c>
      <c r="O7623" s="11" t="s">
        <v>858</v>
      </c>
      <c r="P7623" s="11" t="s">
        <v>58</v>
      </c>
      <c r="Q7623" s="20">
        <v>41138.0</v>
      </c>
      <c r="R7623" s="17">
        <f t="shared" si="2"/>
        <v>7.558791367</v>
      </c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>
        <f t="shared" si="8"/>
        <v>2</v>
      </c>
      <c r="AF7623" s="19" t="b">
        <f t="shared" si="13"/>
        <v>0</v>
      </c>
      <c r="AG7623" s="9"/>
      <c r="AH7623" s="9"/>
      <c r="AI7623" s="9"/>
    </row>
    <row r="7624" ht="15.0" customHeight="1">
      <c r="A7624" s="11">
        <v>7623.0</v>
      </c>
      <c r="B7624" s="12">
        <f t="shared" si="1216"/>
        <v>41135</v>
      </c>
      <c r="C7624" s="13">
        <v>2012.0</v>
      </c>
      <c r="D7624" s="11" t="s">
        <v>32</v>
      </c>
      <c r="E7624" s="11">
        <v>28.0</v>
      </c>
      <c r="F7624" s="14">
        <v>41.7</v>
      </c>
      <c r="G7624" s="15">
        <v>0.057536010300152894</v>
      </c>
      <c r="H7624" s="11" t="s">
        <v>33</v>
      </c>
      <c r="I7624" s="16">
        <v>3.6</v>
      </c>
      <c r="J7624" s="11" t="s">
        <v>499</v>
      </c>
      <c r="K7624" s="11" t="s">
        <v>83</v>
      </c>
      <c r="L7624" s="11" t="s">
        <v>41</v>
      </c>
      <c r="M7624" s="11" t="s">
        <v>28</v>
      </c>
      <c r="N7624" s="11" t="s">
        <v>197</v>
      </c>
      <c r="O7624" s="11" t="s">
        <v>2474</v>
      </c>
      <c r="P7624" s="11" t="s">
        <v>38</v>
      </c>
      <c r="Q7624" s="20">
        <v>41138.0</v>
      </c>
      <c r="R7624" s="17">
        <f t="shared" si="2"/>
        <v>67.38617526</v>
      </c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>
        <f t="shared" si="8"/>
        <v>3</v>
      </c>
      <c r="AF7624" s="19" t="b">
        <f t="shared" si="13"/>
        <v>0</v>
      </c>
      <c r="AG7624" s="9"/>
      <c r="AH7624" s="9"/>
      <c r="AI7624" s="9"/>
    </row>
    <row r="7625" ht="15.0" customHeight="1">
      <c r="A7625" s="11">
        <v>7624.0</v>
      </c>
      <c r="B7625" s="12">
        <f t="shared" si="1216"/>
        <v>41135</v>
      </c>
      <c r="C7625" s="13">
        <v>2012.0</v>
      </c>
      <c r="D7625" s="11" t="s">
        <v>32</v>
      </c>
      <c r="E7625" s="11">
        <v>3.0</v>
      </c>
      <c r="F7625" s="14">
        <v>699.9</v>
      </c>
      <c r="G7625" s="15">
        <v>0.04078392323707802</v>
      </c>
      <c r="H7625" s="11" t="s">
        <v>33</v>
      </c>
      <c r="I7625" s="16">
        <v>19.592</v>
      </c>
      <c r="J7625" s="11" t="s">
        <v>499</v>
      </c>
      <c r="K7625" s="11" t="s">
        <v>83</v>
      </c>
      <c r="L7625" s="11" t="s">
        <v>41</v>
      </c>
      <c r="M7625" s="11" t="s">
        <v>66</v>
      </c>
      <c r="N7625" s="11" t="s">
        <v>170</v>
      </c>
      <c r="O7625" s="11" t="s">
        <v>171</v>
      </c>
      <c r="P7625" s="11" t="s">
        <v>31</v>
      </c>
      <c r="Q7625" s="20">
        <v>41138.0</v>
      </c>
      <c r="R7625" s="17">
        <f t="shared" si="2"/>
        <v>86.43304224</v>
      </c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>
        <f t="shared" si="8"/>
        <v>3</v>
      </c>
      <c r="AF7625" s="19" t="b">
        <f t="shared" si="13"/>
        <v>0</v>
      </c>
      <c r="AG7625" s="9"/>
      <c r="AH7625" s="9"/>
      <c r="AI7625" s="9"/>
    </row>
    <row r="7626" ht="15.0" customHeight="1">
      <c r="A7626" s="11">
        <v>7625.0</v>
      </c>
      <c r="B7626" s="12">
        <f t="shared" ref="B7626:B7629" si="1217">DATE(2012,12,31)-138</f>
        <v>41136</v>
      </c>
      <c r="C7626" s="13">
        <v>2012.0</v>
      </c>
      <c r="D7626" s="11" t="s">
        <v>102</v>
      </c>
      <c r="E7626" s="11">
        <v>17.0</v>
      </c>
      <c r="F7626" s="14">
        <v>11.5</v>
      </c>
      <c r="G7626" s="15">
        <v>0.026357039187227767</v>
      </c>
      <c r="H7626" s="11" t="s">
        <v>33</v>
      </c>
      <c r="I7626" s="16">
        <v>5.752000000000001</v>
      </c>
      <c r="J7626" s="11" t="s">
        <v>1817</v>
      </c>
      <c r="K7626" s="11" t="s">
        <v>65</v>
      </c>
      <c r="L7626" s="11" t="s">
        <v>48</v>
      </c>
      <c r="M7626" s="11" t="s">
        <v>28</v>
      </c>
      <c r="N7626" s="11" t="s">
        <v>42</v>
      </c>
      <c r="O7626" s="11" t="s">
        <v>1030</v>
      </c>
      <c r="P7626" s="11" t="s">
        <v>38</v>
      </c>
      <c r="Q7626" s="20">
        <v>41138.0</v>
      </c>
      <c r="R7626" s="17">
        <f t="shared" si="2"/>
        <v>5.304406851</v>
      </c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>
        <f t="shared" si="8"/>
        <v>4</v>
      </c>
      <c r="AF7626" s="19">
        <f t="shared" si="13"/>
        <v>5</v>
      </c>
      <c r="AG7626" s="9"/>
      <c r="AH7626" s="9"/>
      <c r="AI7626" s="9"/>
    </row>
    <row r="7627" ht="15.0" customHeight="1">
      <c r="A7627" s="11">
        <v>7626.0</v>
      </c>
      <c r="B7627" s="12">
        <f t="shared" si="1217"/>
        <v>41136</v>
      </c>
      <c r="C7627" s="13">
        <v>2012.0</v>
      </c>
      <c r="D7627" s="11" t="s">
        <v>102</v>
      </c>
      <c r="E7627" s="11">
        <v>50.0</v>
      </c>
      <c r="F7627" s="14">
        <v>5.7</v>
      </c>
      <c r="G7627" s="15">
        <v>0.09711436584605793</v>
      </c>
      <c r="H7627" s="11" t="s">
        <v>33</v>
      </c>
      <c r="I7627" s="16">
        <v>4.736</v>
      </c>
      <c r="J7627" s="11" t="s">
        <v>1817</v>
      </c>
      <c r="K7627" s="11" t="s">
        <v>65</v>
      </c>
      <c r="L7627" s="11" t="s">
        <v>48</v>
      </c>
      <c r="M7627" s="11" t="s">
        <v>49</v>
      </c>
      <c r="N7627" s="11" t="s">
        <v>73</v>
      </c>
      <c r="O7627" s="11" t="s">
        <v>1063</v>
      </c>
      <c r="P7627" s="11" t="s">
        <v>75</v>
      </c>
      <c r="Q7627" s="20">
        <v>41138.0</v>
      </c>
      <c r="R7627" s="17">
        <f t="shared" si="2"/>
        <v>28.1375279</v>
      </c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>
        <f t="shared" si="8"/>
        <v>4</v>
      </c>
      <c r="AF7627" s="19">
        <f t="shared" si="13"/>
        <v>5</v>
      </c>
      <c r="AG7627" s="9"/>
      <c r="AH7627" s="9"/>
      <c r="AI7627" s="9"/>
    </row>
    <row r="7628" ht="15.0" customHeight="1">
      <c r="A7628" s="11">
        <v>7627.0</v>
      </c>
      <c r="B7628" s="12">
        <f t="shared" si="1217"/>
        <v>41136</v>
      </c>
      <c r="C7628" s="13">
        <v>2012.0</v>
      </c>
      <c r="D7628" s="11" t="s">
        <v>102</v>
      </c>
      <c r="E7628" s="11">
        <v>38.0</v>
      </c>
      <c r="F7628" s="14">
        <v>5.4</v>
      </c>
      <c r="G7628" s="15">
        <v>0.03591427268581853</v>
      </c>
      <c r="H7628" s="11" t="s">
        <v>33</v>
      </c>
      <c r="I7628" s="16">
        <v>6.224</v>
      </c>
      <c r="J7628" s="11" t="s">
        <v>2348</v>
      </c>
      <c r="K7628" s="11" t="s">
        <v>35</v>
      </c>
      <c r="L7628" s="11" t="s">
        <v>36</v>
      </c>
      <c r="M7628" s="11" t="s">
        <v>28</v>
      </c>
      <c r="N7628" s="11" t="s">
        <v>42</v>
      </c>
      <c r="O7628" s="11" t="s">
        <v>1311</v>
      </c>
      <c r="P7628" s="11" t="s">
        <v>38</v>
      </c>
      <c r="Q7628" s="20">
        <v>41138.0</v>
      </c>
      <c r="R7628" s="17">
        <f t="shared" si="2"/>
        <v>7.593139188</v>
      </c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>
        <f t="shared" si="8"/>
        <v>2</v>
      </c>
      <c r="AF7628" s="19">
        <f t="shared" si="13"/>
        <v>2</v>
      </c>
      <c r="AG7628" s="9"/>
      <c r="AH7628" s="9"/>
      <c r="AI7628" s="9"/>
    </row>
    <row r="7629" ht="15.0" customHeight="1">
      <c r="A7629" s="11">
        <v>7628.0</v>
      </c>
      <c r="B7629" s="12">
        <f t="shared" si="1217"/>
        <v>41136</v>
      </c>
      <c r="C7629" s="13">
        <v>2012.0</v>
      </c>
      <c r="D7629" s="11" t="s">
        <v>102</v>
      </c>
      <c r="E7629" s="11">
        <v>21.0</v>
      </c>
      <c r="F7629" s="14">
        <v>35.9</v>
      </c>
      <c r="G7629" s="15">
        <v>0.04229739964655395</v>
      </c>
      <c r="H7629" s="11" t="s">
        <v>33</v>
      </c>
      <c r="I7629" s="16">
        <v>4.792000000000001</v>
      </c>
      <c r="J7629" s="11" t="s">
        <v>398</v>
      </c>
      <c r="K7629" s="11" t="s">
        <v>35</v>
      </c>
      <c r="L7629" s="11" t="s">
        <v>27</v>
      </c>
      <c r="M7629" s="11" t="s">
        <v>66</v>
      </c>
      <c r="N7629" s="11" t="s">
        <v>80</v>
      </c>
      <c r="O7629" s="11" t="s">
        <v>757</v>
      </c>
      <c r="P7629" s="11" t="s">
        <v>58</v>
      </c>
      <c r="Q7629" s="20">
        <v>41139.0</v>
      </c>
      <c r="R7629" s="17">
        <f t="shared" si="2"/>
        <v>32.09069873</v>
      </c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>
        <f t="shared" si="8"/>
        <v>1</v>
      </c>
      <c r="AF7629" s="19">
        <f t="shared" si="13"/>
        <v>2</v>
      </c>
      <c r="AG7629" s="9"/>
      <c r="AH7629" s="9"/>
      <c r="AI7629" s="9"/>
    </row>
    <row r="7630" ht="15.0" customHeight="1">
      <c r="A7630" s="11">
        <v>7629.0</v>
      </c>
      <c r="B7630" s="12">
        <f t="shared" ref="B7630:B7634" si="1218">DATE(2012,12,31)-137</f>
        <v>41137</v>
      </c>
      <c r="C7630" s="13">
        <v>2012.0</v>
      </c>
      <c r="D7630" s="11" t="s">
        <v>23</v>
      </c>
      <c r="E7630" s="11">
        <v>20.0</v>
      </c>
      <c r="F7630" s="14">
        <v>6.4</v>
      </c>
      <c r="G7630" s="15">
        <v>0.10892473118279568</v>
      </c>
      <c r="H7630" s="11" t="s">
        <v>33</v>
      </c>
      <c r="I7630" s="16">
        <v>4.5920000000000005</v>
      </c>
      <c r="J7630" s="11" t="s">
        <v>395</v>
      </c>
      <c r="K7630" s="11" t="s">
        <v>35</v>
      </c>
      <c r="L7630" s="11" t="s">
        <v>36</v>
      </c>
      <c r="M7630" s="11" t="s">
        <v>28</v>
      </c>
      <c r="N7630" s="11" t="s">
        <v>56</v>
      </c>
      <c r="O7630" s="11" t="s">
        <v>2053</v>
      </c>
      <c r="P7630" s="11" t="s">
        <v>38</v>
      </c>
      <c r="Q7630" s="20">
        <v>41139.0</v>
      </c>
      <c r="R7630" s="17">
        <f t="shared" si="2"/>
        <v>14.44254796</v>
      </c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>
        <f t="shared" si="8"/>
        <v>2</v>
      </c>
      <c r="AF7630" s="19">
        <f t="shared" si="13"/>
        <v>2</v>
      </c>
      <c r="AG7630" s="9"/>
      <c r="AH7630" s="9"/>
      <c r="AI7630" s="9"/>
    </row>
    <row r="7631" ht="15.0" customHeight="1">
      <c r="A7631" s="11">
        <v>7630.0</v>
      </c>
      <c r="B7631" s="12">
        <f t="shared" si="1218"/>
        <v>41137</v>
      </c>
      <c r="C7631" s="13">
        <v>2012.0</v>
      </c>
      <c r="D7631" s="11" t="s">
        <v>44</v>
      </c>
      <c r="E7631" s="11">
        <v>17.0</v>
      </c>
      <c r="F7631" s="14">
        <v>49.4</v>
      </c>
      <c r="G7631" s="15">
        <v>0.08734989868827997</v>
      </c>
      <c r="H7631" s="11" t="s">
        <v>33</v>
      </c>
      <c r="I7631" s="16">
        <v>15.991999999999999</v>
      </c>
      <c r="J7631" s="11" t="s">
        <v>202</v>
      </c>
      <c r="K7631" s="11" t="s">
        <v>35</v>
      </c>
      <c r="L7631" s="11" t="s">
        <v>41</v>
      </c>
      <c r="M7631" s="11" t="s">
        <v>28</v>
      </c>
      <c r="N7631" s="11" t="s">
        <v>197</v>
      </c>
      <c r="O7631" s="11" t="s">
        <v>1641</v>
      </c>
      <c r="P7631" s="11" t="s">
        <v>38</v>
      </c>
      <c r="Q7631" s="20">
        <v>41139.0</v>
      </c>
      <c r="R7631" s="17">
        <f t="shared" si="2"/>
        <v>74.7533445</v>
      </c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>
        <f t="shared" si="8"/>
        <v>3</v>
      </c>
      <c r="AF7631" s="19">
        <f t="shared" si="13"/>
        <v>2</v>
      </c>
      <c r="AG7631" s="9"/>
      <c r="AH7631" s="9"/>
      <c r="AI7631" s="9"/>
    </row>
    <row r="7632" ht="15.0" customHeight="1">
      <c r="A7632" s="11">
        <v>7631.0</v>
      </c>
      <c r="B7632" s="12">
        <f t="shared" si="1218"/>
        <v>41137</v>
      </c>
      <c r="C7632" s="13">
        <v>2012.0</v>
      </c>
      <c r="D7632" s="11" t="s">
        <v>32</v>
      </c>
      <c r="E7632" s="11">
        <v>26.0</v>
      </c>
      <c r="F7632" s="14">
        <v>3.2</v>
      </c>
      <c r="G7632" s="15">
        <v>0.05217391304347823</v>
      </c>
      <c r="H7632" s="11" t="s">
        <v>33</v>
      </c>
      <c r="I7632" s="16">
        <v>4.0</v>
      </c>
      <c r="J7632" s="11" t="s">
        <v>60</v>
      </c>
      <c r="K7632" s="11" t="s">
        <v>61</v>
      </c>
      <c r="L7632" s="11" t="s">
        <v>27</v>
      </c>
      <c r="M7632" s="11" t="s">
        <v>28</v>
      </c>
      <c r="N7632" s="11" t="s">
        <v>62</v>
      </c>
      <c r="O7632" s="11" t="s">
        <v>2132</v>
      </c>
      <c r="P7632" s="11" t="s">
        <v>58</v>
      </c>
      <c r="Q7632" s="20">
        <v>41139.0</v>
      </c>
      <c r="R7632" s="17">
        <f t="shared" si="2"/>
        <v>4.549565217</v>
      </c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>
        <f t="shared" si="8"/>
        <v>1</v>
      </c>
      <c r="AF7632" s="19">
        <f t="shared" si="13"/>
        <v>4</v>
      </c>
      <c r="AG7632" s="9"/>
      <c r="AH7632" s="9"/>
      <c r="AI7632" s="9"/>
    </row>
    <row r="7633" ht="15.0" customHeight="1">
      <c r="A7633" s="11">
        <v>7632.0</v>
      </c>
      <c r="B7633" s="12">
        <f t="shared" si="1218"/>
        <v>41137</v>
      </c>
      <c r="C7633" s="13">
        <v>2012.0</v>
      </c>
      <c r="D7633" s="11" t="s">
        <v>39</v>
      </c>
      <c r="E7633" s="11">
        <v>23.0</v>
      </c>
      <c r="F7633" s="14">
        <v>65.9</v>
      </c>
      <c r="G7633" s="15">
        <v>0.04963310206887938</v>
      </c>
      <c r="H7633" s="11" t="s">
        <v>33</v>
      </c>
      <c r="I7633" s="16">
        <v>4.792000000000001</v>
      </c>
      <c r="J7633" s="11" t="s">
        <v>1349</v>
      </c>
      <c r="K7633" s="11" t="s">
        <v>61</v>
      </c>
      <c r="L7633" s="11" t="s">
        <v>36</v>
      </c>
      <c r="M7633" s="11" t="s">
        <v>66</v>
      </c>
      <c r="N7633" s="11" t="s">
        <v>80</v>
      </c>
      <c r="O7633" s="11" t="s">
        <v>179</v>
      </c>
      <c r="P7633" s="11" t="s">
        <v>38</v>
      </c>
      <c r="Q7633" s="20">
        <v>41139.0</v>
      </c>
      <c r="R7633" s="17">
        <f t="shared" si="2"/>
        <v>75.46673463</v>
      </c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>
        <f t="shared" si="8"/>
        <v>2</v>
      </c>
      <c r="AF7633" s="19">
        <f t="shared" si="13"/>
        <v>4</v>
      </c>
      <c r="AG7633" s="9"/>
      <c r="AH7633" s="9"/>
      <c r="AI7633" s="9"/>
    </row>
    <row r="7634" ht="15.0" customHeight="1">
      <c r="A7634" s="11">
        <v>7633.0</v>
      </c>
      <c r="B7634" s="12">
        <f t="shared" si="1218"/>
        <v>41137</v>
      </c>
      <c r="C7634" s="13">
        <v>2012.0</v>
      </c>
      <c r="D7634" s="11" t="s">
        <v>39</v>
      </c>
      <c r="E7634" s="11">
        <v>41.0</v>
      </c>
      <c r="F7634" s="14">
        <v>2.1</v>
      </c>
      <c r="G7634" s="15">
        <v>0.07445037353255068</v>
      </c>
      <c r="H7634" s="11" t="s">
        <v>33</v>
      </c>
      <c r="I7634" s="16">
        <v>0.6240000000000001</v>
      </c>
      <c r="J7634" s="11" t="s">
        <v>429</v>
      </c>
      <c r="K7634" s="11" t="s">
        <v>83</v>
      </c>
      <c r="L7634" s="11" t="s">
        <v>27</v>
      </c>
      <c r="M7634" s="11" t="s">
        <v>28</v>
      </c>
      <c r="N7634" s="11" t="s">
        <v>216</v>
      </c>
      <c r="O7634" s="11" t="s">
        <v>341</v>
      </c>
      <c r="P7634" s="11" t="s">
        <v>58</v>
      </c>
      <c r="Q7634" s="20">
        <v>41139.0</v>
      </c>
      <c r="R7634" s="17">
        <f t="shared" si="2"/>
        <v>6.456634194</v>
      </c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>
        <f t="shared" si="8"/>
        <v>1</v>
      </c>
      <c r="AF7634" s="19" t="b">
        <f t="shared" si="13"/>
        <v>0</v>
      </c>
      <c r="AG7634" s="9"/>
      <c r="AH7634" s="9"/>
      <c r="AI7634" s="9"/>
    </row>
    <row r="7635" ht="15.0" customHeight="1">
      <c r="A7635" s="11">
        <v>7634.0</v>
      </c>
      <c r="B7635" s="12">
        <f t="shared" ref="B7635:B7639" si="1219">DATE(2012,12,31)-136</f>
        <v>41138</v>
      </c>
      <c r="C7635" s="13">
        <v>2012.0</v>
      </c>
      <c r="D7635" s="11" t="s">
        <v>39</v>
      </c>
      <c r="E7635" s="11">
        <v>19.0</v>
      </c>
      <c r="F7635" s="14">
        <v>10.8</v>
      </c>
      <c r="G7635" s="15">
        <v>0.07692307692307683</v>
      </c>
      <c r="H7635" s="11" t="s">
        <v>33</v>
      </c>
      <c r="I7635" s="16">
        <v>3.6</v>
      </c>
      <c r="J7635" s="11" t="s">
        <v>104</v>
      </c>
      <c r="K7635" s="11" t="s">
        <v>65</v>
      </c>
      <c r="L7635" s="11" t="s">
        <v>48</v>
      </c>
      <c r="M7635" s="11" t="s">
        <v>28</v>
      </c>
      <c r="N7635" s="11" t="s">
        <v>197</v>
      </c>
      <c r="O7635" s="11" t="s">
        <v>1480</v>
      </c>
      <c r="P7635" s="11" t="s">
        <v>38</v>
      </c>
      <c r="Q7635" s="20">
        <v>41139.0</v>
      </c>
      <c r="R7635" s="17">
        <f t="shared" si="2"/>
        <v>16.06153846</v>
      </c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>
        <f t="shared" si="8"/>
        <v>4</v>
      </c>
      <c r="AF7635" s="19">
        <f t="shared" si="13"/>
        <v>5</v>
      </c>
      <c r="AG7635" s="9"/>
      <c r="AH7635" s="9"/>
      <c r="AI7635" s="9"/>
    </row>
    <row r="7636" ht="15.0" customHeight="1">
      <c r="A7636" s="11">
        <v>7635.0</v>
      </c>
      <c r="B7636" s="12">
        <f t="shared" si="1219"/>
        <v>41138</v>
      </c>
      <c r="C7636" s="13">
        <v>2012.0</v>
      </c>
      <c r="D7636" s="11" t="s">
        <v>32</v>
      </c>
      <c r="E7636" s="11">
        <v>47.0</v>
      </c>
      <c r="F7636" s="14">
        <v>5.2</v>
      </c>
      <c r="G7636" s="15">
        <v>0.04771231828615142</v>
      </c>
      <c r="H7636" s="11" t="s">
        <v>33</v>
      </c>
      <c r="I7636" s="16">
        <v>4.5280000000000005</v>
      </c>
      <c r="J7636" s="11" t="s">
        <v>1546</v>
      </c>
      <c r="K7636" s="11" t="s">
        <v>117</v>
      </c>
      <c r="L7636" s="11" t="s">
        <v>41</v>
      </c>
      <c r="M7636" s="11" t="s">
        <v>28</v>
      </c>
      <c r="N7636" s="11" t="s">
        <v>56</v>
      </c>
      <c r="O7636" s="11" t="s">
        <v>79</v>
      </c>
      <c r="P7636" s="11" t="s">
        <v>38</v>
      </c>
      <c r="Q7636" s="20">
        <v>41139.0</v>
      </c>
      <c r="R7636" s="17">
        <f t="shared" si="2"/>
        <v>11.87693197</v>
      </c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>
        <f t="shared" si="8"/>
        <v>3</v>
      </c>
      <c r="AF7636" s="19" t="b">
        <f t="shared" si="13"/>
        <v>0</v>
      </c>
      <c r="AG7636" s="9"/>
      <c r="AH7636" s="9"/>
      <c r="AI7636" s="9"/>
    </row>
    <row r="7637" ht="15.0" customHeight="1">
      <c r="A7637" s="11">
        <v>7636.0</v>
      </c>
      <c r="B7637" s="12">
        <f t="shared" si="1219"/>
        <v>41138</v>
      </c>
      <c r="C7637" s="13">
        <v>2012.0</v>
      </c>
      <c r="D7637" s="11" t="s">
        <v>32</v>
      </c>
      <c r="E7637" s="11">
        <v>20.0</v>
      </c>
      <c r="F7637" s="14">
        <v>296.1</v>
      </c>
      <c r="G7637" s="15">
        <v>0.05855215188674777</v>
      </c>
      <c r="H7637" s="11" t="s">
        <v>45</v>
      </c>
      <c r="I7637" s="16">
        <v>43.296</v>
      </c>
      <c r="J7637" s="11" t="s">
        <v>1546</v>
      </c>
      <c r="K7637" s="11" t="s">
        <v>117</v>
      </c>
      <c r="L7637" s="11" t="s">
        <v>41</v>
      </c>
      <c r="M7637" s="11" t="s">
        <v>49</v>
      </c>
      <c r="N7637" s="11" t="s">
        <v>85</v>
      </c>
      <c r="O7637" s="11" t="s">
        <v>807</v>
      </c>
      <c r="P7637" s="11" t="s">
        <v>87</v>
      </c>
      <c r="Q7637" s="20">
        <v>41139.0</v>
      </c>
      <c r="R7637" s="17">
        <f t="shared" si="2"/>
        <v>349.2809174</v>
      </c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>
        <f t="shared" si="8"/>
        <v>3</v>
      </c>
      <c r="AF7637" s="19" t="b">
        <f t="shared" si="13"/>
        <v>0</v>
      </c>
      <c r="AG7637" s="9"/>
      <c r="AH7637" s="9"/>
      <c r="AI7637" s="9"/>
    </row>
    <row r="7638" ht="15.0" customHeight="1">
      <c r="A7638" s="11">
        <v>7637.0</v>
      </c>
      <c r="B7638" s="12">
        <f t="shared" si="1219"/>
        <v>41138</v>
      </c>
      <c r="C7638" s="13">
        <v>2012.0</v>
      </c>
      <c r="D7638" s="11" t="s">
        <v>44</v>
      </c>
      <c r="E7638" s="11">
        <v>10.0</v>
      </c>
      <c r="F7638" s="14">
        <v>101.4</v>
      </c>
      <c r="G7638" s="15">
        <v>0.07171492204899778</v>
      </c>
      <c r="H7638" s="11" t="s">
        <v>33</v>
      </c>
      <c r="I7638" s="16">
        <v>28.0</v>
      </c>
      <c r="J7638" s="11" t="s">
        <v>1448</v>
      </c>
      <c r="K7638" s="11" t="s">
        <v>61</v>
      </c>
      <c r="L7638" s="11" t="s">
        <v>27</v>
      </c>
      <c r="M7638" s="11" t="s">
        <v>28</v>
      </c>
      <c r="N7638" s="11" t="s">
        <v>29</v>
      </c>
      <c r="O7638" s="11" t="s">
        <v>1637</v>
      </c>
      <c r="P7638" s="11" t="s">
        <v>31</v>
      </c>
      <c r="Q7638" s="20">
        <v>41139.0</v>
      </c>
      <c r="R7638" s="17">
        <f t="shared" si="2"/>
        <v>74.72694878</v>
      </c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>
        <f t="shared" si="8"/>
        <v>1</v>
      </c>
      <c r="AF7638" s="19">
        <f t="shared" si="13"/>
        <v>4</v>
      </c>
      <c r="AG7638" s="9"/>
      <c r="AH7638" s="9"/>
      <c r="AI7638" s="9"/>
    </row>
    <row r="7639" ht="15.0" customHeight="1">
      <c r="A7639" s="11">
        <v>7638.0</v>
      </c>
      <c r="B7639" s="12">
        <f t="shared" si="1219"/>
        <v>41138</v>
      </c>
      <c r="C7639" s="13">
        <v>2012.0</v>
      </c>
      <c r="D7639" s="11" t="s">
        <v>44</v>
      </c>
      <c r="E7639" s="11">
        <v>47.0</v>
      </c>
      <c r="F7639" s="14">
        <v>4.7</v>
      </c>
      <c r="G7639" s="15">
        <v>0.031657192829033586</v>
      </c>
      <c r="H7639" s="11" t="s">
        <v>33</v>
      </c>
      <c r="I7639" s="16">
        <v>0.5599999999999999</v>
      </c>
      <c r="J7639" s="11" t="s">
        <v>1448</v>
      </c>
      <c r="K7639" s="11" t="s">
        <v>61</v>
      </c>
      <c r="L7639" s="11" t="s">
        <v>27</v>
      </c>
      <c r="M7639" s="11" t="s">
        <v>28</v>
      </c>
      <c r="N7639" s="11" t="s">
        <v>216</v>
      </c>
      <c r="O7639" s="11" t="s">
        <v>1406</v>
      </c>
      <c r="P7639" s="11" t="s">
        <v>58</v>
      </c>
      <c r="Q7639" s="20">
        <v>41140.0</v>
      </c>
      <c r="R7639" s="17">
        <f t="shared" si="2"/>
        <v>7.010801924</v>
      </c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>
        <f t="shared" si="8"/>
        <v>1</v>
      </c>
      <c r="AF7639" s="19">
        <f t="shared" si="13"/>
        <v>4</v>
      </c>
      <c r="AG7639" s="9"/>
      <c r="AH7639" s="9"/>
      <c r="AI7639" s="9"/>
    </row>
    <row r="7640" ht="15.0" customHeight="1">
      <c r="A7640" s="11">
        <v>7639.0</v>
      </c>
      <c r="B7640" s="12">
        <f t="shared" ref="B7640:B7648" si="1220">DATE(2012,12,31)-135</f>
        <v>41139</v>
      </c>
      <c r="C7640" s="13">
        <v>2012.0</v>
      </c>
      <c r="D7640" s="11" t="s">
        <v>102</v>
      </c>
      <c r="E7640" s="11">
        <v>36.0</v>
      </c>
      <c r="F7640" s="14">
        <v>4.4</v>
      </c>
      <c r="G7640" s="15">
        <v>0.0783582089552238</v>
      </c>
      <c r="H7640" s="11" t="s">
        <v>33</v>
      </c>
      <c r="I7640" s="16">
        <v>39.2</v>
      </c>
      <c r="J7640" s="11" t="s">
        <v>973</v>
      </c>
      <c r="K7640" s="11" t="s">
        <v>61</v>
      </c>
      <c r="L7640" s="11" t="s">
        <v>36</v>
      </c>
      <c r="M7640" s="11" t="s">
        <v>28</v>
      </c>
      <c r="N7640" s="11" t="s">
        <v>197</v>
      </c>
      <c r="O7640" s="11" t="s">
        <v>1096</v>
      </c>
      <c r="P7640" s="11" t="s">
        <v>31</v>
      </c>
      <c r="Q7640" s="20">
        <v>41140.0</v>
      </c>
      <c r="R7640" s="17">
        <f t="shared" si="2"/>
        <v>15.48358209</v>
      </c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>
        <f t="shared" si="8"/>
        <v>2</v>
      </c>
      <c r="AF7640" s="19">
        <f t="shared" si="13"/>
        <v>4</v>
      </c>
      <c r="AG7640" s="9"/>
      <c r="AH7640" s="9"/>
      <c r="AI7640" s="9"/>
    </row>
    <row r="7641" ht="15.0" customHeight="1">
      <c r="A7641" s="11">
        <v>7640.0</v>
      </c>
      <c r="B7641" s="12">
        <f t="shared" si="1220"/>
        <v>41139</v>
      </c>
      <c r="C7641" s="13">
        <v>2012.0</v>
      </c>
      <c r="D7641" s="11" t="s">
        <v>102</v>
      </c>
      <c r="E7641" s="11">
        <v>34.0</v>
      </c>
      <c r="F7641" s="14">
        <v>22.3</v>
      </c>
      <c r="G7641" s="15">
        <v>0.07228712513549304</v>
      </c>
      <c r="H7641" s="11" t="s">
        <v>33</v>
      </c>
      <c r="I7641" s="16">
        <v>12.08</v>
      </c>
      <c r="J7641" s="11" t="s">
        <v>973</v>
      </c>
      <c r="K7641" s="11" t="s">
        <v>61</v>
      </c>
      <c r="L7641" s="11" t="s">
        <v>36</v>
      </c>
      <c r="M7641" s="11" t="s">
        <v>28</v>
      </c>
      <c r="N7641" s="11" t="s">
        <v>42</v>
      </c>
      <c r="O7641" s="11" t="s">
        <v>1052</v>
      </c>
      <c r="P7641" s="11" t="s">
        <v>38</v>
      </c>
      <c r="Q7641" s="20">
        <v>41141.0</v>
      </c>
      <c r="R7641" s="17">
        <f t="shared" si="2"/>
        <v>55.68132675</v>
      </c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>
        <f t="shared" si="8"/>
        <v>2</v>
      </c>
      <c r="AF7641" s="19">
        <f t="shared" si="13"/>
        <v>4</v>
      </c>
      <c r="AG7641" s="9"/>
      <c r="AH7641" s="9"/>
      <c r="AI7641" s="9"/>
    </row>
    <row r="7642" ht="15.0" customHeight="1">
      <c r="A7642" s="11">
        <v>7641.0</v>
      </c>
      <c r="B7642" s="12">
        <f t="shared" si="1220"/>
        <v>41139</v>
      </c>
      <c r="C7642" s="13">
        <v>2012.0</v>
      </c>
      <c r="D7642" s="11" t="s">
        <v>102</v>
      </c>
      <c r="E7642" s="11">
        <v>36.0</v>
      </c>
      <c r="F7642" s="14">
        <v>29.9</v>
      </c>
      <c r="G7642" s="15">
        <v>0.03292770221904076</v>
      </c>
      <c r="H7642" s="11" t="s">
        <v>24</v>
      </c>
      <c r="I7642" s="16">
        <v>4.4</v>
      </c>
      <c r="J7642" s="11" t="s">
        <v>973</v>
      </c>
      <c r="K7642" s="11" t="s">
        <v>61</v>
      </c>
      <c r="L7642" s="11" t="s">
        <v>36</v>
      </c>
      <c r="M7642" s="11" t="s">
        <v>66</v>
      </c>
      <c r="N7642" s="11" t="s">
        <v>67</v>
      </c>
      <c r="O7642" s="11" t="s">
        <v>2333</v>
      </c>
      <c r="P7642" s="11" t="s">
        <v>38</v>
      </c>
      <c r="Q7642" s="20">
        <v>41141.0</v>
      </c>
      <c r="R7642" s="17">
        <f t="shared" si="2"/>
        <v>35.58826056</v>
      </c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>
        <f t="shared" si="8"/>
        <v>2</v>
      </c>
      <c r="AF7642" s="19">
        <f t="shared" si="13"/>
        <v>4</v>
      </c>
      <c r="AG7642" s="9"/>
      <c r="AH7642" s="9"/>
      <c r="AI7642" s="9"/>
    </row>
    <row r="7643" ht="15.0" customHeight="1">
      <c r="A7643" s="11">
        <v>7642.0</v>
      </c>
      <c r="B7643" s="12">
        <f t="shared" si="1220"/>
        <v>41139</v>
      </c>
      <c r="C7643" s="13">
        <v>2012.0</v>
      </c>
      <c r="D7643" s="11" t="s">
        <v>44</v>
      </c>
      <c r="E7643" s="11">
        <v>39.0</v>
      </c>
      <c r="F7643" s="14">
        <v>5.0</v>
      </c>
      <c r="G7643" s="15">
        <v>0.01737131434282858</v>
      </c>
      <c r="H7643" s="11" t="s">
        <v>33</v>
      </c>
      <c r="I7643" s="16">
        <v>1.6239999999999999</v>
      </c>
      <c r="J7643" s="11" t="s">
        <v>2545</v>
      </c>
      <c r="K7643" s="11" t="s">
        <v>65</v>
      </c>
      <c r="L7643" s="11" t="s">
        <v>27</v>
      </c>
      <c r="M7643" s="11" t="s">
        <v>49</v>
      </c>
      <c r="N7643" s="11" t="s">
        <v>73</v>
      </c>
      <c r="O7643" s="11" t="s">
        <v>1583</v>
      </c>
      <c r="P7643" s="11" t="s">
        <v>58</v>
      </c>
      <c r="Q7643" s="20">
        <v>41141.0</v>
      </c>
      <c r="R7643" s="17">
        <f t="shared" si="2"/>
        <v>3.415617311</v>
      </c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>
        <f t="shared" si="8"/>
        <v>1</v>
      </c>
      <c r="AF7643" s="19">
        <f t="shared" si="13"/>
        <v>5</v>
      </c>
      <c r="AG7643" s="9"/>
      <c r="AH7643" s="9"/>
      <c r="AI7643" s="9"/>
    </row>
    <row r="7644" ht="15.0" customHeight="1">
      <c r="A7644" s="11">
        <v>7643.0</v>
      </c>
      <c r="B7644" s="12">
        <f t="shared" si="1220"/>
        <v>41139</v>
      </c>
      <c r="C7644" s="13">
        <v>2012.0</v>
      </c>
      <c r="D7644" s="11" t="s">
        <v>44</v>
      </c>
      <c r="E7644" s="11">
        <v>2.0</v>
      </c>
      <c r="F7644" s="14">
        <v>55.9</v>
      </c>
      <c r="G7644" s="15">
        <v>0.08689450222882614</v>
      </c>
      <c r="H7644" s="11" t="s">
        <v>33</v>
      </c>
      <c r="I7644" s="16">
        <v>11.104000000000001</v>
      </c>
      <c r="J7644" s="11" t="s">
        <v>2545</v>
      </c>
      <c r="K7644" s="11" t="s">
        <v>65</v>
      </c>
      <c r="L7644" s="11" t="s">
        <v>27</v>
      </c>
      <c r="M7644" s="11" t="s">
        <v>28</v>
      </c>
      <c r="N7644" s="11" t="s">
        <v>56</v>
      </c>
      <c r="O7644" s="11" t="s">
        <v>989</v>
      </c>
      <c r="P7644" s="11" t="s">
        <v>38</v>
      </c>
      <c r="Q7644" s="20">
        <v>41141.0</v>
      </c>
      <c r="R7644" s="17">
        <f t="shared" si="2"/>
        <v>10.6796819</v>
      </c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>
        <f t="shared" si="8"/>
        <v>1</v>
      </c>
      <c r="AF7644" s="19">
        <f t="shared" si="13"/>
        <v>5</v>
      </c>
      <c r="AG7644" s="9"/>
      <c r="AH7644" s="9"/>
      <c r="AI7644" s="9"/>
    </row>
    <row r="7645" ht="15.0" customHeight="1">
      <c r="A7645" s="11">
        <v>7644.0</v>
      </c>
      <c r="B7645" s="12">
        <f t="shared" si="1220"/>
        <v>41139</v>
      </c>
      <c r="C7645" s="13">
        <v>2012.0</v>
      </c>
      <c r="D7645" s="11" t="s">
        <v>39</v>
      </c>
      <c r="E7645" s="11">
        <v>42.0</v>
      </c>
      <c r="F7645" s="14">
        <v>89.8</v>
      </c>
      <c r="G7645" s="15">
        <v>0.07606263982102902</v>
      </c>
      <c r="H7645" s="11" t="s">
        <v>33</v>
      </c>
      <c r="I7645" s="16">
        <v>28.0</v>
      </c>
      <c r="J7645" s="11" t="s">
        <v>634</v>
      </c>
      <c r="K7645" s="11" t="s">
        <v>61</v>
      </c>
      <c r="L7645" s="11" t="s">
        <v>41</v>
      </c>
      <c r="M7645" s="11" t="s">
        <v>28</v>
      </c>
      <c r="N7645" s="11" t="s">
        <v>29</v>
      </c>
      <c r="O7645" s="11" t="s">
        <v>1066</v>
      </c>
      <c r="P7645" s="11" t="s">
        <v>31</v>
      </c>
      <c r="Q7645" s="20">
        <v>41141.0</v>
      </c>
      <c r="R7645" s="17">
        <f t="shared" si="2"/>
        <v>289.0076063</v>
      </c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>
        <f t="shared" si="8"/>
        <v>3</v>
      </c>
      <c r="AF7645" s="19">
        <f t="shared" si="13"/>
        <v>4</v>
      </c>
      <c r="AG7645" s="9"/>
      <c r="AH7645" s="9"/>
      <c r="AI7645" s="9"/>
    </row>
    <row r="7646" ht="15.0" customHeight="1">
      <c r="A7646" s="11">
        <v>7645.0</v>
      </c>
      <c r="B7646" s="12">
        <f t="shared" si="1220"/>
        <v>41139</v>
      </c>
      <c r="C7646" s="13">
        <v>2012.0</v>
      </c>
      <c r="D7646" s="11" t="s">
        <v>44</v>
      </c>
      <c r="E7646" s="11">
        <v>24.0</v>
      </c>
      <c r="F7646" s="14">
        <v>7.9</v>
      </c>
      <c r="G7646" s="15">
        <v>0.09732400932400921</v>
      </c>
      <c r="H7646" s="11" t="s">
        <v>24</v>
      </c>
      <c r="I7646" s="16">
        <v>4.024</v>
      </c>
      <c r="J7646" s="11" t="s">
        <v>703</v>
      </c>
      <c r="K7646" s="11" t="s">
        <v>35</v>
      </c>
      <c r="L7646" s="11" t="s">
        <v>41</v>
      </c>
      <c r="M7646" s="11" t="s">
        <v>66</v>
      </c>
      <c r="N7646" s="11" t="s">
        <v>80</v>
      </c>
      <c r="O7646" s="11" t="s">
        <v>1603</v>
      </c>
      <c r="P7646" s="11" t="s">
        <v>75</v>
      </c>
      <c r="Q7646" s="20">
        <v>41141.0</v>
      </c>
      <c r="R7646" s="17">
        <f t="shared" si="2"/>
        <v>18.84426398</v>
      </c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>
        <f t="shared" si="8"/>
        <v>3</v>
      </c>
      <c r="AF7646" s="19">
        <f t="shared" si="13"/>
        <v>2</v>
      </c>
      <c r="AG7646" s="9"/>
      <c r="AH7646" s="9"/>
      <c r="AI7646" s="9"/>
    </row>
    <row r="7647" ht="15.0" customHeight="1">
      <c r="A7647" s="11">
        <v>7646.0</v>
      </c>
      <c r="B7647" s="12">
        <f t="shared" si="1220"/>
        <v>41139</v>
      </c>
      <c r="C7647" s="13">
        <v>2012.0</v>
      </c>
      <c r="D7647" s="11" t="s">
        <v>44</v>
      </c>
      <c r="E7647" s="11">
        <v>39.0</v>
      </c>
      <c r="F7647" s="14">
        <v>17.9</v>
      </c>
      <c r="G7647" s="15">
        <v>0.08080834419817488</v>
      </c>
      <c r="H7647" s="11" t="s">
        <v>33</v>
      </c>
      <c r="I7647" s="16">
        <v>6.920000000000001</v>
      </c>
      <c r="J7647" s="11" t="s">
        <v>878</v>
      </c>
      <c r="K7647" s="11" t="s">
        <v>61</v>
      </c>
      <c r="L7647" s="11" t="s">
        <v>48</v>
      </c>
      <c r="M7647" s="11" t="s">
        <v>28</v>
      </c>
      <c r="N7647" s="11" t="s">
        <v>62</v>
      </c>
      <c r="O7647" s="11" t="s">
        <v>2034</v>
      </c>
      <c r="P7647" s="11" t="s">
        <v>38</v>
      </c>
      <c r="Q7647" s="20">
        <v>41141.0</v>
      </c>
      <c r="R7647" s="17">
        <f t="shared" si="2"/>
        <v>56.97149883</v>
      </c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>
        <f t="shared" si="8"/>
        <v>4</v>
      </c>
      <c r="AF7647" s="19">
        <f t="shared" si="13"/>
        <v>4</v>
      </c>
      <c r="AG7647" s="9"/>
      <c r="AH7647" s="9"/>
      <c r="AI7647" s="9"/>
    </row>
    <row r="7648" ht="15.0" customHeight="1">
      <c r="A7648" s="11">
        <v>7647.0</v>
      </c>
      <c r="B7648" s="12">
        <f t="shared" si="1220"/>
        <v>41139</v>
      </c>
      <c r="C7648" s="13">
        <v>2012.0</v>
      </c>
      <c r="D7648" s="11" t="s">
        <v>44</v>
      </c>
      <c r="E7648" s="11">
        <v>44.0</v>
      </c>
      <c r="F7648" s="14">
        <v>35.4</v>
      </c>
      <c r="G7648" s="15">
        <v>0.011623520475979657</v>
      </c>
      <c r="H7648" s="11" t="s">
        <v>33</v>
      </c>
      <c r="I7648" s="16">
        <v>3.936</v>
      </c>
      <c r="J7648" s="11" t="s">
        <v>878</v>
      </c>
      <c r="K7648" s="11" t="s">
        <v>61</v>
      </c>
      <c r="L7648" s="11" t="s">
        <v>48</v>
      </c>
      <c r="M7648" s="11" t="s">
        <v>28</v>
      </c>
      <c r="N7648" s="11" t="s">
        <v>56</v>
      </c>
      <c r="O7648" s="11" t="s">
        <v>2184</v>
      </c>
      <c r="P7648" s="11" t="s">
        <v>38</v>
      </c>
      <c r="Q7648" s="20">
        <v>41141.0</v>
      </c>
      <c r="R7648" s="17">
        <f t="shared" si="2"/>
        <v>18.15054567</v>
      </c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>
        <f t="shared" si="8"/>
        <v>4</v>
      </c>
      <c r="AF7648" s="19">
        <f t="shared" si="13"/>
        <v>4</v>
      </c>
      <c r="AG7648" s="9"/>
      <c r="AH7648" s="9"/>
      <c r="AI7648" s="9"/>
    </row>
    <row r="7649" ht="15.0" customHeight="1">
      <c r="A7649" s="11">
        <v>7648.0</v>
      </c>
      <c r="B7649" s="12">
        <f t="shared" ref="B7649:B7656" si="1221">DATE(2012,12,31)-134</f>
        <v>41140</v>
      </c>
      <c r="C7649" s="13">
        <v>2012.0</v>
      </c>
      <c r="D7649" s="11" t="s">
        <v>44</v>
      </c>
      <c r="E7649" s="11">
        <v>35.0</v>
      </c>
      <c r="F7649" s="14">
        <v>179.2</v>
      </c>
      <c r="G7649" s="15">
        <v>0.030497428157821672</v>
      </c>
      <c r="H7649" s="11" t="s">
        <v>45</v>
      </c>
      <c r="I7649" s="16">
        <v>23.368000000000002</v>
      </c>
      <c r="J7649" s="11" t="s">
        <v>721</v>
      </c>
      <c r="K7649" s="11" t="s">
        <v>61</v>
      </c>
      <c r="L7649" s="11" t="s">
        <v>41</v>
      </c>
      <c r="M7649" s="11" t="s">
        <v>49</v>
      </c>
      <c r="N7649" s="11" t="s">
        <v>85</v>
      </c>
      <c r="O7649" s="11" t="s">
        <v>343</v>
      </c>
      <c r="P7649" s="11" t="s">
        <v>87</v>
      </c>
      <c r="Q7649" s="20">
        <v>41142.0</v>
      </c>
      <c r="R7649" s="17">
        <f t="shared" si="2"/>
        <v>191.9925333</v>
      </c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>
        <f t="shared" si="8"/>
        <v>3</v>
      </c>
      <c r="AF7649" s="19">
        <f t="shared" si="13"/>
        <v>4</v>
      </c>
      <c r="AG7649" s="9"/>
      <c r="AH7649" s="9"/>
      <c r="AI7649" s="9"/>
    </row>
    <row r="7650" ht="15.0" customHeight="1">
      <c r="A7650" s="11">
        <v>7649.0</v>
      </c>
      <c r="B7650" s="12">
        <f t="shared" si="1221"/>
        <v>41140</v>
      </c>
      <c r="C7650" s="13">
        <v>2012.0</v>
      </c>
      <c r="D7650" s="11" t="s">
        <v>32</v>
      </c>
      <c r="E7650" s="11">
        <v>46.0</v>
      </c>
      <c r="F7650" s="14">
        <v>39.9</v>
      </c>
      <c r="G7650" s="15">
        <v>0.06818365695792888</v>
      </c>
      <c r="H7650" s="11" t="s">
        <v>33</v>
      </c>
      <c r="I7650" s="16">
        <v>7.359999999999999</v>
      </c>
      <c r="J7650" s="11" t="s">
        <v>40</v>
      </c>
      <c r="K7650" s="11" t="s">
        <v>35</v>
      </c>
      <c r="L7650" s="11" t="s">
        <v>41</v>
      </c>
      <c r="M7650" s="11" t="s">
        <v>49</v>
      </c>
      <c r="N7650" s="11" t="s">
        <v>73</v>
      </c>
      <c r="O7650" s="11" t="s">
        <v>1836</v>
      </c>
      <c r="P7650" s="11" t="s">
        <v>58</v>
      </c>
      <c r="Q7650" s="20">
        <v>41142.0</v>
      </c>
      <c r="R7650" s="17">
        <f t="shared" si="2"/>
        <v>125.6461157</v>
      </c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>
        <f t="shared" si="8"/>
        <v>3</v>
      </c>
      <c r="AF7650" s="19">
        <f t="shared" si="13"/>
        <v>2</v>
      </c>
      <c r="AG7650" s="9"/>
      <c r="AH7650" s="9"/>
      <c r="AI7650" s="9"/>
    </row>
    <row r="7651" ht="15.0" customHeight="1">
      <c r="A7651" s="11">
        <v>7650.0</v>
      </c>
      <c r="B7651" s="12">
        <f t="shared" si="1221"/>
        <v>41140</v>
      </c>
      <c r="C7651" s="13">
        <v>2012.0</v>
      </c>
      <c r="D7651" s="11" t="s">
        <v>23</v>
      </c>
      <c r="E7651" s="11">
        <v>47.0</v>
      </c>
      <c r="F7651" s="14">
        <v>6.8</v>
      </c>
      <c r="G7651" s="15">
        <v>0.04869970845481052</v>
      </c>
      <c r="H7651" s="11" t="s">
        <v>33</v>
      </c>
      <c r="I7651" s="16">
        <v>6.696</v>
      </c>
      <c r="J7651" s="11" t="s">
        <v>1218</v>
      </c>
      <c r="K7651" s="11" t="s">
        <v>61</v>
      </c>
      <c r="L7651" s="11" t="s">
        <v>41</v>
      </c>
      <c r="M7651" s="11" t="s">
        <v>28</v>
      </c>
      <c r="N7651" s="11" t="s">
        <v>442</v>
      </c>
      <c r="O7651" s="11" t="s">
        <v>443</v>
      </c>
      <c r="P7651" s="11" t="s">
        <v>99</v>
      </c>
      <c r="Q7651" s="20">
        <v>41142.0</v>
      </c>
      <c r="R7651" s="17">
        <f t="shared" si="2"/>
        <v>15.89052007</v>
      </c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>
        <f t="shared" si="8"/>
        <v>3</v>
      </c>
      <c r="AF7651" s="19">
        <f t="shared" si="13"/>
        <v>4</v>
      </c>
      <c r="AG7651" s="9"/>
      <c r="AH7651" s="9"/>
      <c r="AI7651" s="9"/>
    </row>
    <row r="7652" ht="15.0" customHeight="1">
      <c r="A7652" s="11">
        <v>7651.0</v>
      </c>
      <c r="B7652" s="12">
        <f t="shared" si="1221"/>
        <v>41140</v>
      </c>
      <c r="C7652" s="13">
        <v>2012.0</v>
      </c>
      <c r="D7652" s="11" t="s">
        <v>23</v>
      </c>
      <c r="E7652" s="11">
        <v>20.0</v>
      </c>
      <c r="F7652" s="14">
        <v>125.9</v>
      </c>
      <c r="G7652" s="15">
        <v>0.0666499038603757</v>
      </c>
      <c r="H7652" s="11" t="s">
        <v>33</v>
      </c>
      <c r="I7652" s="16">
        <v>6.152000000000001</v>
      </c>
      <c r="J7652" s="11" t="s">
        <v>1218</v>
      </c>
      <c r="K7652" s="11" t="s">
        <v>61</v>
      </c>
      <c r="L7652" s="11" t="s">
        <v>41</v>
      </c>
      <c r="M7652" s="11" t="s">
        <v>66</v>
      </c>
      <c r="N7652" s="11" t="s">
        <v>80</v>
      </c>
      <c r="O7652" s="11" t="s">
        <v>589</v>
      </c>
      <c r="P7652" s="11" t="s">
        <v>38</v>
      </c>
      <c r="Q7652" s="20">
        <v>41142.0</v>
      </c>
      <c r="R7652" s="17">
        <f t="shared" si="2"/>
        <v>168.2344881</v>
      </c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>
        <f t="shared" si="8"/>
        <v>3</v>
      </c>
      <c r="AF7652" s="19">
        <f t="shared" si="13"/>
        <v>4</v>
      </c>
      <c r="AG7652" s="9"/>
      <c r="AH7652" s="9"/>
      <c r="AI7652" s="9"/>
    </row>
    <row r="7653" ht="15.0" customHeight="1">
      <c r="A7653" s="11">
        <v>7652.0</v>
      </c>
      <c r="B7653" s="12">
        <f t="shared" si="1221"/>
        <v>41140</v>
      </c>
      <c r="C7653" s="13">
        <v>2012.0</v>
      </c>
      <c r="D7653" s="11" t="s">
        <v>23</v>
      </c>
      <c r="E7653" s="11">
        <v>29.0</v>
      </c>
      <c r="F7653" s="14">
        <v>18.9</v>
      </c>
      <c r="G7653" s="15">
        <v>0.054234172906739556</v>
      </c>
      <c r="H7653" s="11" t="s">
        <v>33</v>
      </c>
      <c r="I7653" s="16">
        <v>7.632</v>
      </c>
      <c r="J7653" s="11" t="s">
        <v>659</v>
      </c>
      <c r="K7653" s="11" t="s">
        <v>26</v>
      </c>
      <c r="L7653" s="11" t="s">
        <v>48</v>
      </c>
      <c r="M7653" s="11" t="s">
        <v>28</v>
      </c>
      <c r="N7653" s="11" t="s">
        <v>56</v>
      </c>
      <c r="O7653" s="11" t="s">
        <v>305</v>
      </c>
      <c r="P7653" s="11" t="s">
        <v>38</v>
      </c>
      <c r="Q7653" s="20">
        <v>41142.0</v>
      </c>
      <c r="R7653" s="17">
        <f t="shared" si="2"/>
        <v>30.13966538</v>
      </c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>
        <f t="shared" si="8"/>
        <v>4</v>
      </c>
      <c r="AF7653" s="19">
        <f t="shared" si="13"/>
        <v>1</v>
      </c>
      <c r="AG7653" s="9"/>
      <c r="AH7653" s="9"/>
      <c r="AI7653" s="9"/>
    </row>
    <row r="7654" ht="15.0" customHeight="1">
      <c r="A7654" s="11">
        <v>7653.0</v>
      </c>
      <c r="B7654" s="12">
        <f t="shared" si="1221"/>
        <v>41140</v>
      </c>
      <c r="C7654" s="13">
        <v>2012.0</v>
      </c>
      <c r="D7654" s="11" t="s">
        <v>23</v>
      </c>
      <c r="E7654" s="11">
        <v>39.0</v>
      </c>
      <c r="F7654" s="14">
        <v>5.2</v>
      </c>
      <c r="G7654" s="15">
        <v>0.029363295880149774</v>
      </c>
      <c r="H7654" s="11" t="s">
        <v>33</v>
      </c>
      <c r="I7654" s="16">
        <v>4.5280000000000005</v>
      </c>
      <c r="J7654" s="11" t="s">
        <v>659</v>
      </c>
      <c r="K7654" s="11" t="s">
        <v>26</v>
      </c>
      <c r="L7654" s="11" t="s">
        <v>48</v>
      </c>
      <c r="M7654" s="11" t="s">
        <v>28</v>
      </c>
      <c r="N7654" s="11" t="s">
        <v>56</v>
      </c>
      <c r="O7654" s="11" t="s">
        <v>79</v>
      </c>
      <c r="P7654" s="11" t="s">
        <v>38</v>
      </c>
      <c r="Q7654" s="20">
        <v>41142.0</v>
      </c>
      <c r="R7654" s="17">
        <f t="shared" si="2"/>
        <v>6.087833408</v>
      </c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>
        <f t="shared" si="8"/>
        <v>4</v>
      </c>
      <c r="AF7654" s="19">
        <f t="shared" si="13"/>
        <v>1</v>
      </c>
      <c r="AG7654" s="9"/>
      <c r="AH7654" s="9"/>
      <c r="AI7654" s="9"/>
    </row>
    <row r="7655" ht="15.0" customHeight="1">
      <c r="A7655" s="11">
        <v>7654.0</v>
      </c>
      <c r="B7655" s="12">
        <f t="shared" si="1221"/>
        <v>41140</v>
      </c>
      <c r="C7655" s="13">
        <v>2012.0</v>
      </c>
      <c r="D7655" s="11" t="s">
        <v>102</v>
      </c>
      <c r="E7655" s="11">
        <v>3.0</v>
      </c>
      <c r="F7655" s="14">
        <v>7.3</v>
      </c>
      <c r="G7655" s="15">
        <v>0.08639344262295084</v>
      </c>
      <c r="H7655" s="11" t="s">
        <v>33</v>
      </c>
      <c r="I7655" s="16">
        <v>0.392</v>
      </c>
      <c r="J7655" s="11" t="s">
        <v>1130</v>
      </c>
      <c r="K7655" s="11" t="s">
        <v>61</v>
      </c>
      <c r="L7655" s="11" t="s">
        <v>36</v>
      </c>
      <c r="M7655" s="11" t="s">
        <v>28</v>
      </c>
      <c r="N7655" s="11" t="s">
        <v>188</v>
      </c>
      <c r="O7655" s="11" t="s">
        <v>631</v>
      </c>
      <c r="P7655" s="11" t="s">
        <v>38</v>
      </c>
      <c r="Q7655" s="20">
        <v>41142.0</v>
      </c>
      <c r="R7655" s="17">
        <f t="shared" si="2"/>
        <v>1.925882623</v>
      </c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>
        <f t="shared" si="8"/>
        <v>2</v>
      </c>
      <c r="AF7655" s="19">
        <f t="shared" si="13"/>
        <v>4</v>
      </c>
      <c r="AG7655" s="9"/>
      <c r="AH7655" s="9"/>
      <c r="AI7655" s="9"/>
    </row>
    <row r="7656" ht="15.0" customHeight="1">
      <c r="A7656" s="11">
        <v>7655.0</v>
      </c>
      <c r="B7656" s="12">
        <f t="shared" si="1221"/>
        <v>41140</v>
      </c>
      <c r="C7656" s="13">
        <v>2012.0</v>
      </c>
      <c r="D7656" s="11" t="s">
        <v>102</v>
      </c>
      <c r="E7656" s="11">
        <v>36.0</v>
      </c>
      <c r="F7656" s="14">
        <v>7.2</v>
      </c>
      <c r="G7656" s="15">
        <v>0.04079499447920502</v>
      </c>
      <c r="H7656" s="11" t="s">
        <v>33</v>
      </c>
      <c r="I7656" s="16">
        <v>1.4160000000000001</v>
      </c>
      <c r="J7656" s="11" t="s">
        <v>1130</v>
      </c>
      <c r="K7656" s="11" t="s">
        <v>61</v>
      </c>
      <c r="L7656" s="11" t="s">
        <v>36</v>
      </c>
      <c r="M7656" s="11" t="s">
        <v>28</v>
      </c>
      <c r="N7656" s="11" t="s">
        <v>56</v>
      </c>
      <c r="O7656" s="11" t="s">
        <v>572</v>
      </c>
      <c r="P7656" s="11" t="s">
        <v>58</v>
      </c>
      <c r="Q7656" s="20">
        <v>41143.0</v>
      </c>
      <c r="R7656" s="17">
        <f t="shared" si="2"/>
        <v>10.63182828</v>
      </c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>
        <f t="shared" si="8"/>
        <v>2</v>
      </c>
      <c r="AF7656" s="19">
        <f t="shared" si="13"/>
        <v>4</v>
      </c>
      <c r="AG7656" s="9"/>
      <c r="AH7656" s="9"/>
      <c r="AI7656" s="9"/>
    </row>
    <row r="7657" ht="15.0" customHeight="1">
      <c r="A7657" s="11">
        <v>7656.0</v>
      </c>
      <c r="B7657" s="12">
        <f t="shared" ref="B7657:B7666" si="1222">DATE(2012,12,31)-133</f>
        <v>41141</v>
      </c>
      <c r="C7657" s="13">
        <v>2012.0</v>
      </c>
      <c r="D7657" s="11" t="s">
        <v>39</v>
      </c>
      <c r="E7657" s="11">
        <v>42.0</v>
      </c>
      <c r="F7657" s="14">
        <v>42.7</v>
      </c>
      <c r="G7657" s="15">
        <v>0.07600267173611455</v>
      </c>
      <c r="H7657" s="11" t="s">
        <v>33</v>
      </c>
      <c r="I7657" s="16">
        <v>4.976</v>
      </c>
      <c r="J7657" s="11" t="s">
        <v>588</v>
      </c>
      <c r="K7657" s="11" t="s">
        <v>47</v>
      </c>
      <c r="L7657" s="11" t="s">
        <v>41</v>
      </c>
      <c r="M7657" s="11" t="s">
        <v>28</v>
      </c>
      <c r="N7657" s="11" t="s">
        <v>29</v>
      </c>
      <c r="O7657" s="11" t="s">
        <v>2364</v>
      </c>
      <c r="P7657" s="11" t="s">
        <v>38</v>
      </c>
      <c r="Q7657" s="20">
        <v>41143.0</v>
      </c>
      <c r="R7657" s="17">
        <f t="shared" si="2"/>
        <v>136.6813808</v>
      </c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>
        <f t="shared" si="8"/>
        <v>3</v>
      </c>
      <c r="AF7657" s="19">
        <f t="shared" si="13"/>
        <v>3</v>
      </c>
      <c r="AG7657" s="9"/>
      <c r="AH7657" s="9"/>
      <c r="AI7657" s="9"/>
    </row>
    <row r="7658" ht="15.0" customHeight="1">
      <c r="A7658" s="11">
        <v>7657.0</v>
      </c>
      <c r="B7658" s="12">
        <f t="shared" si="1222"/>
        <v>41141</v>
      </c>
      <c r="C7658" s="13">
        <v>2012.0</v>
      </c>
      <c r="D7658" s="11" t="s">
        <v>39</v>
      </c>
      <c r="E7658" s="11">
        <v>12.0</v>
      </c>
      <c r="F7658" s="14">
        <v>9.7</v>
      </c>
      <c r="G7658" s="15">
        <v>0.054625000000000035</v>
      </c>
      <c r="H7658" s="11" t="s">
        <v>33</v>
      </c>
      <c r="I7658" s="16">
        <v>4.608</v>
      </c>
      <c r="J7658" s="11" t="s">
        <v>588</v>
      </c>
      <c r="K7658" s="11" t="s">
        <v>47</v>
      </c>
      <c r="L7658" s="11" t="s">
        <v>41</v>
      </c>
      <c r="M7658" s="11" t="s">
        <v>28</v>
      </c>
      <c r="N7658" s="11" t="s">
        <v>236</v>
      </c>
      <c r="O7658" s="11" t="s">
        <v>809</v>
      </c>
      <c r="P7658" s="11" t="s">
        <v>38</v>
      </c>
      <c r="Q7658" s="20">
        <v>41143.0</v>
      </c>
      <c r="R7658" s="17">
        <f t="shared" si="2"/>
        <v>6.610062</v>
      </c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>
        <f t="shared" si="8"/>
        <v>3</v>
      </c>
      <c r="AF7658" s="19">
        <f t="shared" si="13"/>
        <v>3</v>
      </c>
      <c r="AG7658" s="9"/>
      <c r="AH7658" s="9"/>
      <c r="AI7658" s="9"/>
    </row>
    <row r="7659" ht="15.0" customHeight="1">
      <c r="A7659" s="11">
        <v>7658.0</v>
      </c>
      <c r="B7659" s="12">
        <f t="shared" si="1222"/>
        <v>41141</v>
      </c>
      <c r="C7659" s="13">
        <v>2012.0</v>
      </c>
      <c r="D7659" s="11" t="s">
        <v>39</v>
      </c>
      <c r="E7659" s="11">
        <v>4.0</v>
      </c>
      <c r="F7659" s="14">
        <v>9.4</v>
      </c>
      <c r="G7659" s="15">
        <v>0.039115044247787625</v>
      </c>
      <c r="H7659" s="11" t="s">
        <v>33</v>
      </c>
      <c r="I7659" s="16">
        <v>5.832000000000001</v>
      </c>
      <c r="J7659" s="11" t="s">
        <v>588</v>
      </c>
      <c r="K7659" s="11" t="s">
        <v>47</v>
      </c>
      <c r="L7659" s="11" t="s">
        <v>41</v>
      </c>
      <c r="M7659" s="11" t="s">
        <v>49</v>
      </c>
      <c r="N7659" s="11" t="s">
        <v>73</v>
      </c>
      <c r="O7659" s="11" t="s">
        <v>298</v>
      </c>
      <c r="P7659" s="11" t="s">
        <v>99</v>
      </c>
      <c r="Q7659" s="20">
        <v>41143.0</v>
      </c>
      <c r="R7659" s="17">
        <f t="shared" si="2"/>
        <v>1.698844602</v>
      </c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>
        <f t="shared" si="8"/>
        <v>3</v>
      </c>
      <c r="AF7659" s="19">
        <f t="shared" si="13"/>
        <v>3</v>
      </c>
      <c r="AG7659" s="9"/>
      <c r="AH7659" s="9"/>
      <c r="AI7659" s="9"/>
    </row>
    <row r="7660" ht="15.0" customHeight="1">
      <c r="A7660" s="11">
        <v>7659.0</v>
      </c>
      <c r="B7660" s="12">
        <f t="shared" si="1222"/>
        <v>41141</v>
      </c>
      <c r="C7660" s="13">
        <v>2012.0</v>
      </c>
      <c r="D7660" s="11" t="s">
        <v>39</v>
      </c>
      <c r="E7660" s="11">
        <v>39.0</v>
      </c>
      <c r="F7660" s="14">
        <v>110.9</v>
      </c>
      <c r="G7660" s="15">
        <v>0.04876778499912157</v>
      </c>
      <c r="H7660" s="11" t="s">
        <v>33</v>
      </c>
      <c r="I7660" s="16">
        <v>7.192</v>
      </c>
      <c r="J7660" s="11" t="s">
        <v>588</v>
      </c>
      <c r="K7660" s="11" t="s">
        <v>47</v>
      </c>
      <c r="L7660" s="11" t="s">
        <v>41</v>
      </c>
      <c r="M7660" s="11" t="s">
        <v>66</v>
      </c>
      <c r="N7660" s="11" t="s">
        <v>80</v>
      </c>
      <c r="O7660" s="11" t="s">
        <v>1651</v>
      </c>
      <c r="P7660" s="11" t="s">
        <v>38</v>
      </c>
      <c r="Q7660" s="20">
        <v>41143.0</v>
      </c>
      <c r="R7660" s="17">
        <f t="shared" si="2"/>
        <v>211.2762848</v>
      </c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>
        <f t="shared" si="8"/>
        <v>3</v>
      </c>
      <c r="AF7660" s="19">
        <f t="shared" si="13"/>
        <v>3</v>
      </c>
      <c r="AG7660" s="9"/>
      <c r="AH7660" s="9"/>
      <c r="AI7660" s="9"/>
    </row>
    <row r="7661" ht="15.0" customHeight="1">
      <c r="A7661" s="11">
        <v>7660.0</v>
      </c>
      <c r="B7661" s="12">
        <f t="shared" si="1222"/>
        <v>41141</v>
      </c>
      <c r="C7661" s="13">
        <v>2012.0</v>
      </c>
      <c r="D7661" s="11" t="s">
        <v>102</v>
      </c>
      <c r="E7661" s="11">
        <v>19.0</v>
      </c>
      <c r="F7661" s="14">
        <v>12.4</v>
      </c>
      <c r="G7661" s="15">
        <v>0.008178070898598552</v>
      </c>
      <c r="H7661" s="11" t="s">
        <v>33</v>
      </c>
      <c r="I7661" s="16">
        <v>5.016</v>
      </c>
      <c r="J7661" s="11" t="s">
        <v>2542</v>
      </c>
      <c r="K7661" s="11" t="s">
        <v>61</v>
      </c>
      <c r="L7661" s="11" t="s">
        <v>36</v>
      </c>
      <c r="M7661" s="11" t="s">
        <v>28</v>
      </c>
      <c r="N7661" s="11" t="s">
        <v>29</v>
      </c>
      <c r="O7661" s="11" t="s">
        <v>1998</v>
      </c>
      <c r="P7661" s="11" t="s">
        <v>75</v>
      </c>
      <c r="Q7661" s="20">
        <v>41143.0</v>
      </c>
      <c r="R7661" s="17">
        <f t="shared" si="2"/>
        <v>1.967774707</v>
      </c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>
        <f t="shared" si="8"/>
        <v>2</v>
      </c>
      <c r="AF7661" s="19">
        <f t="shared" si="13"/>
        <v>4</v>
      </c>
      <c r="AG7661" s="9"/>
      <c r="AH7661" s="9"/>
      <c r="AI7661" s="9"/>
    </row>
    <row r="7662" ht="15.0" customHeight="1">
      <c r="A7662" s="11">
        <v>7661.0</v>
      </c>
      <c r="B7662" s="12">
        <f t="shared" si="1222"/>
        <v>41141</v>
      </c>
      <c r="C7662" s="13">
        <v>2012.0</v>
      </c>
      <c r="D7662" s="11" t="s">
        <v>32</v>
      </c>
      <c r="E7662" s="11">
        <v>30.0</v>
      </c>
      <c r="F7662" s="14">
        <v>30.9</v>
      </c>
      <c r="G7662" s="15">
        <v>0.03549780006139364</v>
      </c>
      <c r="H7662" s="11" t="s">
        <v>33</v>
      </c>
      <c r="I7662" s="16">
        <v>15.608000000000002</v>
      </c>
      <c r="J7662" s="11" t="s">
        <v>961</v>
      </c>
      <c r="K7662" s="11" t="s">
        <v>83</v>
      </c>
      <c r="L7662" s="11" t="s">
        <v>36</v>
      </c>
      <c r="M7662" s="11" t="s">
        <v>28</v>
      </c>
      <c r="N7662" s="11" t="s">
        <v>236</v>
      </c>
      <c r="O7662" s="11" t="s">
        <v>1241</v>
      </c>
      <c r="P7662" s="11" t="s">
        <v>38</v>
      </c>
      <c r="Q7662" s="20">
        <v>41143.0</v>
      </c>
      <c r="R7662" s="17">
        <f t="shared" si="2"/>
        <v>33.46051032</v>
      </c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>
        <f t="shared" si="8"/>
        <v>2</v>
      </c>
      <c r="AF7662" s="19" t="b">
        <f t="shared" si="13"/>
        <v>0</v>
      </c>
      <c r="AG7662" s="9"/>
      <c r="AH7662" s="9"/>
      <c r="AI7662" s="9"/>
    </row>
    <row r="7663" ht="15.0" customHeight="1">
      <c r="A7663" s="11">
        <v>7662.0</v>
      </c>
      <c r="B7663" s="12">
        <f t="shared" si="1222"/>
        <v>41141</v>
      </c>
      <c r="C7663" s="13">
        <v>2012.0</v>
      </c>
      <c r="D7663" s="11" t="s">
        <v>32</v>
      </c>
      <c r="E7663" s="11">
        <v>21.0</v>
      </c>
      <c r="F7663" s="14">
        <v>68.8</v>
      </c>
      <c r="G7663" s="15">
        <v>0.017894736842105293</v>
      </c>
      <c r="H7663" s="11" t="s">
        <v>45</v>
      </c>
      <c r="I7663" s="16">
        <v>48.0</v>
      </c>
      <c r="J7663" s="11" t="s">
        <v>961</v>
      </c>
      <c r="K7663" s="11" t="s">
        <v>83</v>
      </c>
      <c r="L7663" s="11" t="s">
        <v>36</v>
      </c>
      <c r="M7663" s="11" t="s">
        <v>28</v>
      </c>
      <c r="N7663" s="11" t="s">
        <v>197</v>
      </c>
      <c r="O7663" s="11" t="s">
        <v>888</v>
      </c>
      <c r="P7663" s="11" t="s">
        <v>52</v>
      </c>
      <c r="Q7663" s="20">
        <v>41144.0</v>
      </c>
      <c r="R7663" s="17">
        <f t="shared" si="2"/>
        <v>26.71326316</v>
      </c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>
        <f t="shared" si="8"/>
        <v>2</v>
      </c>
      <c r="AF7663" s="19" t="b">
        <f t="shared" si="13"/>
        <v>0</v>
      </c>
      <c r="AG7663" s="9"/>
      <c r="AH7663" s="9"/>
      <c r="AI7663" s="9"/>
    </row>
    <row r="7664" ht="15.0" customHeight="1">
      <c r="A7664" s="11">
        <v>7663.0</v>
      </c>
      <c r="B7664" s="12">
        <f t="shared" si="1222"/>
        <v>41141</v>
      </c>
      <c r="C7664" s="13">
        <v>2012.0</v>
      </c>
      <c r="D7664" s="11" t="s">
        <v>32</v>
      </c>
      <c r="E7664" s="11">
        <v>17.0</v>
      </c>
      <c r="F7664" s="14">
        <v>5.8</v>
      </c>
      <c r="G7664" s="15">
        <v>0.008366533864542008</v>
      </c>
      <c r="H7664" s="11" t="s">
        <v>33</v>
      </c>
      <c r="I7664" s="16">
        <v>0.96</v>
      </c>
      <c r="J7664" s="11" t="s">
        <v>961</v>
      </c>
      <c r="K7664" s="11" t="s">
        <v>83</v>
      </c>
      <c r="L7664" s="11" t="s">
        <v>36</v>
      </c>
      <c r="M7664" s="11" t="s">
        <v>28</v>
      </c>
      <c r="N7664" s="11" t="s">
        <v>62</v>
      </c>
      <c r="O7664" s="11" t="s">
        <v>1540</v>
      </c>
      <c r="P7664" s="11" t="s">
        <v>58</v>
      </c>
      <c r="Q7664" s="20">
        <v>41144.0</v>
      </c>
      <c r="R7664" s="17">
        <f t="shared" si="2"/>
        <v>0.8329721116</v>
      </c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>
        <f t="shared" si="8"/>
        <v>2</v>
      </c>
      <c r="AF7664" s="19" t="b">
        <f t="shared" si="13"/>
        <v>0</v>
      </c>
      <c r="AG7664" s="9"/>
      <c r="AH7664" s="9"/>
      <c r="AI7664" s="9"/>
    </row>
    <row r="7665" ht="15.0" customHeight="1">
      <c r="A7665" s="11">
        <v>7664.0</v>
      </c>
      <c r="B7665" s="12">
        <f t="shared" si="1222"/>
        <v>41141</v>
      </c>
      <c r="C7665" s="13">
        <v>2012.0</v>
      </c>
      <c r="D7665" s="11" t="s">
        <v>32</v>
      </c>
      <c r="E7665" s="11">
        <v>3.0</v>
      </c>
      <c r="F7665" s="14">
        <v>140.9</v>
      </c>
      <c r="G7665" s="15">
        <v>0.10345916795069338</v>
      </c>
      <c r="H7665" s="11" t="s">
        <v>45</v>
      </c>
      <c r="I7665" s="16">
        <v>42.784</v>
      </c>
      <c r="J7665" s="11" t="s">
        <v>76</v>
      </c>
      <c r="K7665" s="11" t="s">
        <v>61</v>
      </c>
      <c r="L7665" s="11" t="s">
        <v>48</v>
      </c>
      <c r="M7665" s="11" t="s">
        <v>49</v>
      </c>
      <c r="N7665" s="11" t="s">
        <v>156</v>
      </c>
      <c r="O7665" s="11" t="s">
        <v>396</v>
      </c>
      <c r="P7665" s="11" t="s">
        <v>87</v>
      </c>
      <c r="Q7665" s="20">
        <v>41144.0</v>
      </c>
      <c r="R7665" s="17">
        <f t="shared" si="2"/>
        <v>48.15858733</v>
      </c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>
        <f t="shared" si="8"/>
        <v>4</v>
      </c>
      <c r="AF7665" s="19">
        <f t="shared" si="13"/>
        <v>4</v>
      </c>
      <c r="AG7665" s="9"/>
      <c r="AH7665" s="9"/>
      <c r="AI7665" s="9"/>
    </row>
    <row r="7666" ht="15.0" customHeight="1">
      <c r="A7666" s="11">
        <v>7665.0</v>
      </c>
      <c r="B7666" s="12">
        <f t="shared" si="1222"/>
        <v>41141</v>
      </c>
      <c r="C7666" s="13">
        <v>2012.0</v>
      </c>
      <c r="D7666" s="11" t="s">
        <v>102</v>
      </c>
      <c r="E7666" s="11">
        <v>46.0</v>
      </c>
      <c r="F7666" s="14">
        <v>12.9</v>
      </c>
      <c r="G7666" s="15">
        <v>0.0437265887626061</v>
      </c>
      <c r="H7666" s="11" t="s">
        <v>33</v>
      </c>
      <c r="I7666" s="16">
        <v>3.9840000000000004</v>
      </c>
      <c r="J7666" s="11" t="s">
        <v>215</v>
      </c>
      <c r="K7666" s="11" t="s">
        <v>26</v>
      </c>
      <c r="L7666" s="11" t="s">
        <v>48</v>
      </c>
      <c r="M7666" s="11" t="s">
        <v>28</v>
      </c>
      <c r="N7666" s="11" t="s">
        <v>42</v>
      </c>
      <c r="O7666" s="11" t="s">
        <v>2040</v>
      </c>
      <c r="P7666" s="11" t="s">
        <v>38</v>
      </c>
      <c r="Q7666" s="20">
        <v>41144.0</v>
      </c>
      <c r="R7666" s="17">
        <f t="shared" si="2"/>
        <v>26.1215645</v>
      </c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>
        <f t="shared" si="8"/>
        <v>4</v>
      </c>
      <c r="AF7666" s="19">
        <f t="shared" si="13"/>
        <v>1</v>
      </c>
      <c r="AG7666" s="9"/>
      <c r="AH7666" s="9"/>
      <c r="AI7666" s="9"/>
    </row>
    <row r="7667" ht="15.0" customHeight="1">
      <c r="A7667" s="11">
        <v>7666.0</v>
      </c>
      <c r="B7667" s="12">
        <f t="shared" ref="B7667:B7671" si="1223">DATE(2012,12,31)-132</f>
        <v>41142</v>
      </c>
      <c r="C7667" s="13">
        <v>2012.0</v>
      </c>
      <c r="D7667" s="11" t="s">
        <v>39</v>
      </c>
      <c r="E7667" s="11">
        <v>25.0</v>
      </c>
      <c r="F7667" s="14">
        <v>35.4</v>
      </c>
      <c r="G7667" s="15">
        <v>0.06605709470135887</v>
      </c>
      <c r="H7667" s="11" t="s">
        <v>33</v>
      </c>
      <c r="I7667" s="16">
        <v>1.592</v>
      </c>
      <c r="J7667" s="11" t="s">
        <v>887</v>
      </c>
      <c r="K7667" s="11" t="s">
        <v>61</v>
      </c>
      <c r="L7667" s="11" t="s">
        <v>36</v>
      </c>
      <c r="M7667" s="11" t="s">
        <v>66</v>
      </c>
      <c r="N7667" s="11" t="s">
        <v>67</v>
      </c>
      <c r="O7667" s="11" t="s">
        <v>1200</v>
      </c>
      <c r="P7667" s="11" t="s">
        <v>99</v>
      </c>
      <c r="Q7667" s="20">
        <v>41144.0</v>
      </c>
      <c r="R7667" s="17">
        <f t="shared" si="2"/>
        <v>58.56569171</v>
      </c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>
        <f t="shared" si="8"/>
        <v>2</v>
      </c>
      <c r="AF7667" s="19">
        <f t="shared" si="13"/>
        <v>4</v>
      </c>
      <c r="AG7667" s="9"/>
      <c r="AH7667" s="9"/>
      <c r="AI7667" s="9"/>
    </row>
    <row r="7668" ht="15.0" customHeight="1">
      <c r="A7668" s="11">
        <v>7667.0</v>
      </c>
      <c r="B7668" s="12">
        <f t="shared" si="1223"/>
        <v>41142</v>
      </c>
      <c r="C7668" s="13">
        <v>2012.0</v>
      </c>
      <c r="D7668" s="11" t="s">
        <v>39</v>
      </c>
      <c r="E7668" s="11">
        <v>10.0</v>
      </c>
      <c r="F7668" s="14">
        <v>125.9</v>
      </c>
      <c r="G7668" s="15">
        <v>0.05813683112237296</v>
      </c>
      <c r="H7668" s="11" t="s">
        <v>24</v>
      </c>
      <c r="I7668" s="16">
        <v>4.792000000000001</v>
      </c>
      <c r="J7668" s="11" t="s">
        <v>887</v>
      </c>
      <c r="K7668" s="11" t="s">
        <v>61</v>
      </c>
      <c r="L7668" s="11" t="s">
        <v>36</v>
      </c>
      <c r="M7668" s="11" t="s">
        <v>66</v>
      </c>
      <c r="N7668" s="11" t="s">
        <v>80</v>
      </c>
      <c r="O7668" s="11" t="s">
        <v>2316</v>
      </c>
      <c r="P7668" s="11" t="s">
        <v>38</v>
      </c>
      <c r="Q7668" s="20">
        <v>41144.0</v>
      </c>
      <c r="R7668" s="17">
        <f t="shared" si="2"/>
        <v>73.47286208</v>
      </c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>
        <f t="shared" si="8"/>
        <v>2</v>
      </c>
      <c r="AF7668" s="19">
        <f t="shared" si="13"/>
        <v>4</v>
      </c>
      <c r="AG7668" s="9"/>
      <c r="AH7668" s="9"/>
      <c r="AI7668" s="9"/>
    </row>
    <row r="7669" ht="15.0" customHeight="1">
      <c r="A7669" s="11">
        <v>7668.0</v>
      </c>
      <c r="B7669" s="12">
        <f t="shared" si="1223"/>
        <v>41142</v>
      </c>
      <c r="C7669" s="13">
        <v>2012.0</v>
      </c>
      <c r="D7669" s="11" t="s">
        <v>39</v>
      </c>
      <c r="E7669" s="11">
        <v>21.0</v>
      </c>
      <c r="F7669" s="14">
        <v>5.8</v>
      </c>
      <c r="G7669" s="15">
        <v>0.055557217651458476</v>
      </c>
      <c r="H7669" s="11" t="s">
        <v>33</v>
      </c>
      <c r="I7669" s="16">
        <v>4.472</v>
      </c>
      <c r="J7669" s="11" t="s">
        <v>887</v>
      </c>
      <c r="K7669" s="11" t="s">
        <v>61</v>
      </c>
      <c r="L7669" s="11" t="s">
        <v>36</v>
      </c>
      <c r="M7669" s="11" t="s">
        <v>28</v>
      </c>
      <c r="N7669" s="11" t="s">
        <v>42</v>
      </c>
      <c r="O7669" s="11" t="s">
        <v>2143</v>
      </c>
      <c r="P7669" s="11" t="s">
        <v>38</v>
      </c>
      <c r="Q7669" s="20">
        <v>41144.0</v>
      </c>
      <c r="R7669" s="17">
        <f t="shared" si="2"/>
        <v>7.015320987</v>
      </c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>
        <f t="shared" si="8"/>
        <v>2</v>
      </c>
      <c r="AF7669" s="19">
        <f t="shared" si="13"/>
        <v>4</v>
      </c>
      <c r="AG7669" s="9"/>
      <c r="AH7669" s="9"/>
      <c r="AI7669" s="9"/>
    </row>
    <row r="7670" ht="15.0" customHeight="1">
      <c r="A7670" s="11">
        <v>7669.0</v>
      </c>
      <c r="B7670" s="12">
        <f t="shared" si="1223"/>
        <v>41142</v>
      </c>
      <c r="C7670" s="13">
        <v>2012.0</v>
      </c>
      <c r="D7670" s="11" t="s">
        <v>39</v>
      </c>
      <c r="E7670" s="11">
        <v>19.0</v>
      </c>
      <c r="F7670" s="14">
        <v>22.0</v>
      </c>
      <c r="G7670" s="15">
        <v>0.050519217801753204</v>
      </c>
      <c r="H7670" s="11" t="s">
        <v>33</v>
      </c>
      <c r="I7670" s="16">
        <v>4.424</v>
      </c>
      <c r="J7670" s="11" t="s">
        <v>1472</v>
      </c>
      <c r="K7670" s="11" t="s">
        <v>83</v>
      </c>
      <c r="L7670" s="11" t="s">
        <v>48</v>
      </c>
      <c r="M7670" s="11" t="s">
        <v>28</v>
      </c>
      <c r="N7670" s="11" t="s">
        <v>62</v>
      </c>
      <c r="O7670" s="11" t="s">
        <v>1188</v>
      </c>
      <c r="P7670" s="11" t="s">
        <v>99</v>
      </c>
      <c r="Q7670" s="20">
        <v>41144.0</v>
      </c>
      <c r="R7670" s="17">
        <f t="shared" si="2"/>
        <v>21.34053006</v>
      </c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>
        <f t="shared" si="8"/>
        <v>4</v>
      </c>
      <c r="AF7670" s="19" t="b">
        <f t="shared" si="13"/>
        <v>0</v>
      </c>
      <c r="AG7670" s="9"/>
      <c r="AH7670" s="9"/>
      <c r="AI7670" s="9"/>
    </row>
    <row r="7671" ht="15.0" customHeight="1">
      <c r="A7671" s="11">
        <v>7670.0</v>
      </c>
      <c r="B7671" s="12">
        <f t="shared" si="1223"/>
        <v>41142</v>
      </c>
      <c r="C7671" s="13">
        <v>2012.0</v>
      </c>
      <c r="D7671" s="11" t="s">
        <v>39</v>
      </c>
      <c r="E7671" s="11">
        <v>33.0</v>
      </c>
      <c r="F7671" s="14">
        <v>4.1</v>
      </c>
      <c r="G7671" s="15">
        <v>0.0646597938144331</v>
      </c>
      <c r="H7671" s="11" t="s">
        <v>33</v>
      </c>
      <c r="I7671" s="16">
        <v>0.792</v>
      </c>
      <c r="J7671" s="11" t="s">
        <v>793</v>
      </c>
      <c r="K7671" s="11" t="s">
        <v>65</v>
      </c>
      <c r="L7671" s="11" t="s">
        <v>36</v>
      </c>
      <c r="M7671" s="11" t="s">
        <v>28</v>
      </c>
      <c r="N7671" s="11" t="s">
        <v>188</v>
      </c>
      <c r="O7671" s="11" t="s">
        <v>189</v>
      </c>
      <c r="P7671" s="11" t="s">
        <v>38</v>
      </c>
      <c r="Q7671" s="20">
        <v>41145.0</v>
      </c>
      <c r="R7671" s="17">
        <f t="shared" si="2"/>
        <v>8.79968066</v>
      </c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>
        <f t="shared" si="8"/>
        <v>2</v>
      </c>
      <c r="AF7671" s="19">
        <f t="shared" si="13"/>
        <v>5</v>
      </c>
      <c r="AG7671" s="9"/>
      <c r="AH7671" s="9"/>
      <c r="AI7671" s="9"/>
    </row>
    <row r="7672" ht="15.0" customHeight="1">
      <c r="A7672" s="11">
        <v>7671.0</v>
      </c>
      <c r="B7672" s="12">
        <f t="shared" ref="B7672:B7678" si="1224">DATE(2012,12,31)-131</f>
        <v>41143</v>
      </c>
      <c r="C7672" s="13">
        <v>2012.0</v>
      </c>
      <c r="D7672" s="11" t="s">
        <v>23</v>
      </c>
      <c r="E7672" s="11">
        <v>49.0</v>
      </c>
      <c r="F7672" s="14">
        <v>4.2</v>
      </c>
      <c r="G7672" s="15">
        <v>0.07944202266782907</v>
      </c>
      <c r="H7672" s="11" t="s">
        <v>33</v>
      </c>
      <c r="I7672" s="16">
        <v>5.376</v>
      </c>
      <c r="J7672" s="11" t="s">
        <v>1572</v>
      </c>
      <c r="K7672" s="11" t="s">
        <v>83</v>
      </c>
      <c r="L7672" s="11" t="s">
        <v>48</v>
      </c>
      <c r="M7672" s="11" t="s">
        <v>28</v>
      </c>
      <c r="N7672" s="11" t="s">
        <v>56</v>
      </c>
      <c r="O7672" s="11" t="s">
        <v>2233</v>
      </c>
      <c r="P7672" s="11" t="s">
        <v>38</v>
      </c>
      <c r="Q7672" s="20">
        <v>41145.0</v>
      </c>
      <c r="R7672" s="17">
        <f t="shared" si="2"/>
        <v>16.77624858</v>
      </c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>
        <f t="shared" si="8"/>
        <v>4</v>
      </c>
      <c r="AF7672" s="19" t="b">
        <f t="shared" si="13"/>
        <v>0</v>
      </c>
      <c r="AG7672" s="9"/>
      <c r="AH7672" s="9"/>
      <c r="AI7672" s="9"/>
    </row>
    <row r="7673" ht="15.0" customHeight="1">
      <c r="A7673" s="11">
        <v>7672.0</v>
      </c>
      <c r="B7673" s="12">
        <f t="shared" si="1224"/>
        <v>41143</v>
      </c>
      <c r="C7673" s="13">
        <v>2012.0</v>
      </c>
      <c r="D7673" s="11" t="s">
        <v>23</v>
      </c>
      <c r="E7673" s="11">
        <v>23.0</v>
      </c>
      <c r="F7673" s="14">
        <v>5.8</v>
      </c>
      <c r="G7673" s="15">
        <v>0.07576213260423788</v>
      </c>
      <c r="H7673" s="11" t="s">
        <v>33</v>
      </c>
      <c r="I7673" s="16">
        <v>1.816</v>
      </c>
      <c r="J7673" s="11" t="s">
        <v>1572</v>
      </c>
      <c r="K7673" s="11" t="s">
        <v>83</v>
      </c>
      <c r="L7673" s="11" t="s">
        <v>48</v>
      </c>
      <c r="M7673" s="11" t="s">
        <v>28</v>
      </c>
      <c r="N7673" s="11" t="s">
        <v>62</v>
      </c>
      <c r="O7673" s="11" t="s">
        <v>1391</v>
      </c>
      <c r="P7673" s="11" t="s">
        <v>58</v>
      </c>
      <c r="Q7673" s="20">
        <v>41145.0</v>
      </c>
      <c r="R7673" s="17">
        <f t="shared" si="2"/>
        <v>10.24425252</v>
      </c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>
        <f t="shared" si="8"/>
        <v>4</v>
      </c>
      <c r="AF7673" s="19" t="b">
        <f t="shared" si="13"/>
        <v>0</v>
      </c>
      <c r="AG7673" s="9"/>
      <c r="AH7673" s="9"/>
      <c r="AI7673" s="9"/>
    </row>
    <row r="7674" ht="15.0" customHeight="1">
      <c r="A7674" s="11">
        <v>7673.0</v>
      </c>
      <c r="B7674" s="12">
        <f t="shared" si="1224"/>
        <v>41143</v>
      </c>
      <c r="C7674" s="13">
        <v>2012.0</v>
      </c>
      <c r="D7674" s="11" t="s">
        <v>32</v>
      </c>
      <c r="E7674" s="11">
        <v>30.0</v>
      </c>
      <c r="F7674" s="14">
        <v>3.9</v>
      </c>
      <c r="G7674" s="15">
        <v>0.09071267816954247</v>
      </c>
      <c r="H7674" s="11" t="s">
        <v>24</v>
      </c>
      <c r="I7674" s="16">
        <v>4.208</v>
      </c>
      <c r="J7674" s="11" t="s">
        <v>2373</v>
      </c>
      <c r="K7674" s="11" t="s">
        <v>83</v>
      </c>
      <c r="L7674" s="11" t="s">
        <v>48</v>
      </c>
      <c r="M7674" s="11" t="s">
        <v>28</v>
      </c>
      <c r="N7674" s="11" t="s">
        <v>42</v>
      </c>
      <c r="O7674" s="11" t="s">
        <v>971</v>
      </c>
      <c r="P7674" s="11" t="s">
        <v>38</v>
      </c>
      <c r="Q7674" s="20">
        <v>41145.0</v>
      </c>
      <c r="R7674" s="17">
        <f t="shared" si="2"/>
        <v>10.9951023</v>
      </c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>
        <f t="shared" si="8"/>
        <v>4</v>
      </c>
      <c r="AF7674" s="19" t="b">
        <f t="shared" si="13"/>
        <v>0</v>
      </c>
      <c r="AG7674" s="9"/>
      <c r="AH7674" s="9"/>
      <c r="AI7674" s="9"/>
    </row>
    <row r="7675" ht="15.0" customHeight="1">
      <c r="A7675" s="11">
        <v>7674.0</v>
      </c>
      <c r="B7675" s="12">
        <f t="shared" si="1224"/>
        <v>41143</v>
      </c>
      <c r="C7675" s="13">
        <v>2012.0</v>
      </c>
      <c r="D7675" s="11" t="s">
        <v>32</v>
      </c>
      <c r="E7675" s="11">
        <v>19.0</v>
      </c>
      <c r="F7675" s="14">
        <v>5.9</v>
      </c>
      <c r="G7675" s="15">
        <v>0.08803088803088796</v>
      </c>
      <c r="H7675" s="11" t="s">
        <v>33</v>
      </c>
      <c r="I7675" s="16">
        <v>6.0</v>
      </c>
      <c r="J7675" s="11" t="s">
        <v>2373</v>
      </c>
      <c r="K7675" s="11" t="s">
        <v>83</v>
      </c>
      <c r="L7675" s="11" t="s">
        <v>48</v>
      </c>
      <c r="M7675" s="11" t="s">
        <v>28</v>
      </c>
      <c r="N7675" s="11" t="s">
        <v>56</v>
      </c>
      <c r="O7675" s="11" t="s">
        <v>1701</v>
      </c>
      <c r="P7675" s="11" t="s">
        <v>38</v>
      </c>
      <c r="Q7675" s="20">
        <v>41145.0</v>
      </c>
      <c r="R7675" s="17">
        <f t="shared" si="2"/>
        <v>10.39644788</v>
      </c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>
        <f t="shared" si="8"/>
        <v>4</v>
      </c>
      <c r="AF7675" s="19" t="b">
        <f t="shared" si="13"/>
        <v>0</v>
      </c>
      <c r="AG7675" s="9"/>
      <c r="AH7675" s="9"/>
      <c r="AI7675" s="9"/>
    </row>
    <row r="7676" ht="15.0" customHeight="1">
      <c r="A7676" s="11">
        <v>7675.0</v>
      </c>
      <c r="B7676" s="12">
        <f t="shared" si="1224"/>
        <v>41143</v>
      </c>
      <c r="C7676" s="13">
        <v>2012.0</v>
      </c>
      <c r="D7676" s="11" t="s">
        <v>32</v>
      </c>
      <c r="E7676" s="11">
        <v>46.0</v>
      </c>
      <c r="F7676" s="14">
        <v>65.9</v>
      </c>
      <c r="G7676" s="15">
        <v>0.030824528362115702</v>
      </c>
      <c r="H7676" s="11" t="s">
        <v>24</v>
      </c>
      <c r="I7676" s="16">
        <v>4.736</v>
      </c>
      <c r="J7676" s="11" t="s">
        <v>2373</v>
      </c>
      <c r="K7676" s="11" t="s">
        <v>83</v>
      </c>
      <c r="L7676" s="11" t="s">
        <v>48</v>
      </c>
      <c r="M7676" s="11" t="s">
        <v>66</v>
      </c>
      <c r="N7676" s="11" t="s">
        <v>80</v>
      </c>
      <c r="O7676" s="11">
        <v>252.0</v>
      </c>
      <c r="P7676" s="11" t="s">
        <v>38</v>
      </c>
      <c r="Q7676" s="20">
        <v>41145.0</v>
      </c>
      <c r="R7676" s="17">
        <f t="shared" si="2"/>
        <v>93.58746024</v>
      </c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>
        <f t="shared" si="8"/>
        <v>4</v>
      </c>
      <c r="AF7676" s="19" t="b">
        <f t="shared" si="13"/>
        <v>0</v>
      </c>
      <c r="AG7676" s="9"/>
      <c r="AH7676" s="9"/>
      <c r="AI7676" s="9"/>
    </row>
    <row r="7677" ht="15.0" customHeight="1">
      <c r="A7677" s="11">
        <v>7676.0</v>
      </c>
      <c r="B7677" s="12">
        <f t="shared" si="1224"/>
        <v>41143</v>
      </c>
      <c r="C7677" s="13">
        <v>2012.0</v>
      </c>
      <c r="D7677" s="11" t="s">
        <v>102</v>
      </c>
      <c r="E7677" s="11">
        <v>43.0</v>
      </c>
      <c r="F7677" s="14">
        <v>6.4</v>
      </c>
      <c r="G7677" s="15">
        <v>0.045836443841194376</v>
      </c>
      <c r="H7677" s="11" t="s">
        <v>33</v>
      </c>
      <c r="I7677" s="16">
        <v>5.992000000000001</v>
      </c>
      <c r="J7677" s="11" t="s">
        <v>2374</v>
      </c>
      <c r="K7677" s="11" t="s">
        <v>61</v>
      </c>
      <c r="L7677" s="11" t="s">
        <v>48</v>
      </c>
      <c r="M7677" s="11" t="s">
        <v>28</v>
      </c>
      <c r="N7677" s="11" t="s">
        <v>56</v>
      </c>
      <c r="O7677" s="11" t="s">
        <v>1042</v>
      </c>
      <c r="P7677" s="11" t="s">
        <v>38</v>
      </c>
      <c r="Q7677" s="20">
        <v>41145.0</v>
      </c>
      <c r="R7677" s="17">
        <f t="shared" si="2"/>
        <v>12.88884132</v>
      </c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>
        <f t="shared" si="8"/>
        <v>4</v>
      </c>
      <c r="AF7677" s="19">
        <f t="shared" si="13"/>
        <v>4</v>
      </c>
      <c r="AG7677" s="9"/>
      <c r="AH7677" s="9"/>
      <c r="AI7677" s="9"/>
    </row>
    <row r="7678" ht="15.0" customHeight="1">
      <c r="A7678" s="11">
        <v>7677.0</v>
      </c>
      <c r="B7678" s="12">
        <f t="shared" si="1224"/>
        <v>41143</v>
      </c>
      <c r="C7678" s="13">
        <v>2012.0</v>
      </c>
      <c r="D7678" s="11" t="s">
        <v>32</v>
      </c>
      <c r="E7678" s="11">
        <v>50.0</v>
      </c>
      <c r="F7678" s="14">
        <v>7.2</v>
      </c>
      <c r="G7678" s="15">
        <v>0.02633940353655308</v>
      </c>
      <c r="H7678" s="11" t="s">
        <v>33</v>
      </c>
      <c r="I7678" s="16">
        <v>8.92</v>
      </c>
      <c r="J7678" s="11" t="s">
        <v>857</v>
      </c>
      <c r="K7678" s="11" t="s">
        <v>35</v>
      </c>
      <c r="L7678" s="11" t="s">
        <v>36</v>
      </c>
      <c r="M7678" s="11" t="s">
        <v>28</v>
      </c>
      <c r="N7678" s="11" t="s">
        <v>56</v>
      </c>
      <c r="O7678" s="11" t="s">
        <v>553</v>
      </c>
      <c r="P7678" s="11" t="s">
        <v>38</v>
      </c>
      <c r="Q7678" s="20">
        <v>41146.0</v>
      </c>
      <c r="R7678" s="17">
        <f t="shared" si="2"/>
        <v>9.717132753</v>
      </c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>
        <f t="shared" si="8"/>
        <v>2</v>
      </c>
      <c r="AF7678" s="19">
        <f t="shared" si="13"/>
        <v>2</v>
      </c>
      <c r="AG7678" s="9"/>
      <c r="AH7678" s="9"/>
      <c r="AI7678" s="9"/>
    </row>
    <row r="7679" ht="15.0" customHeight="1">
      <c r="A7679" s="11">
        <v>7678.0</v>
      </c>
      <c r="B7679" s="12">
        <f t="shared" ref="B7679:B7682" si="1225">DATE(2012,12,31)-130</f>
        <v>41144</v>
      </c>
      <c r="C7679" s="13">
        <v>2012.0</v>
      </c>
      <c r="D7679" s="11" t="s">
        <v>44</v>
      </c>
      <c r="E7679" s="11">
        <v>7.0</v>
      </c>
      <c r="F7679" s="14">
        <v>55.4</v>
      </c>
      <c r="G7679" s="15">
        <v>0.09015496809480401</v>
      </c>
      <c r="H7679" s="11" t="s">
        <v>33</v>
      </c>
      <c r="I7679" s="16">
        <v>11.440000000000001</v>
      </c>
      <c r="J7679" s="11" t="s">
        <v>604</v>
      </c>
      <c r="K7679" s="11" t="s">
        <v>83</v>
      </c>
      <c r="L7679" s="11" t="s">
        <v>27</v>
      </c>
      <c r="M7679" s="11" t="s">
        <v>28</v>
      </c>
      <c r="N7679" s="11" t="s">
        <v>56</v>
      </c>
      <c r="O7679" s="11" t="s">
        <v>492</v>
      </c>
      <c r="P7679" s="11" t="s">
        <v>38</v>
      </c>
      <c r="Q7679" s="20">
        <v>41146.0</v>
      </c>
      <c r="R7679" s="17">
        <f t="shared" si="2"/>
        <v>35.99346946</v>
      </c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>
        <f t="shared" si="8"/>
        <v>1</v>
      </c>
      <c r="AF7679" s="19" t="b">
        <f t="shared" si="13"/>
        <v>0</v>
      </c>
      <c r="AG7679" s="9"/>
      <c r="AH7679" s="9"/>
      <c r="AI7679" s="9"/>
    </row>
    <row r="7680" ht="15.0" customHeight="1">
      <c r="A7680" s="11">
        <v>7679.0</v>
      </c>
      <c r="B7680" s="12">
        <f t="shared" si="1225"/>
        <v>41144</v>
      </c>
      <c r="C7680" s="13">
        <v>2012.0</v>
      </c>
      <c r="D7680" s="11" t="s">
        <v>102</v>
      </c>
      <c r="E7680" s="11">
        <v>37.0</v>
      </c>
      <c r="F7680" s="14">
        <v>30.9</v>
      </c>
      <c r="G7680" s="15">
        <v>0.01570579242398521</v>
      </c>
      <c r="H7680" s="11" t="s">
        <v>33</v>
      </c>
      <c r="I7680" s="16">
        <v>15.608000000000002</v>
      </c>
      <c r="J7680" s="11" t="s">
        <v>665</v>
      </c>
      <c r="K7680" s="11" t="s">
        <v>65</v>
      </c>
      <c r="L7680" s="11" t="s">
        <v>36</v>
      </c>
      <c r="M7680" s="11" t="s">
        <v>28</v>
      </c>
      <c r="N7680" s="11" t="s">
        <v>236</v>
      </c>
      <c r="O7680" s="11" t="s">
        <v>1241</v>
      </c>
      <c r="P7680" s="11" t="s">
        <v>38</v>
      </c>
      <c r="Q7680" s="20">
        <v>41146.0</v>
      </c>
      <c r="R7680" s="17">
        <f t="shared" si="2"/>
        <v>18.20156849</v>
      </c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>
        <f t="shared" si="8"/>
        <v>2</v>
      </c>
      <c r="AF7680" s="19">
        <f t="shared" si="13"/>
        <v>5</v>
      </c>
      <c r="AG7680" s="9"/>
      <c r="AH7680" s="9"/>
      <c r="AI7680" s="9"/>
    </row>
    <row r="7681" ht="15.0" customHeight="1">
      <c r="A7681" s="11">
        <v>7680.0</v>
      </c>
      <c r="B7681" s="12">
        <f t="shared" si="1225"/>
        <v>41144</v>
      </c>
      <c r="C7681" s="13">
        <v>2012.0</v>
      </c>
      <c r="D7681" s="11" t="s">
        <v>102</v>
      </c>
      <c r="E7681" s="11">
        <v>46.0</v>
      </c>
      <c r="F7681" s="14">
        <v>2.8</v>
      </c>
      <c r="G7681" s="15">
        <v>0.07488936473947194</v>
      </c>
      <c r="H7681" s="11" t="s">
        <v>33</v>
      </c>
      <c r="I7681" s="16">
        <v>0.808</v>
      </c>
      <c r="J7681" s="11" t="s">
        <v>1133</v>
      </c>
      <c r="K7681" s="11" t="s">
        <v>83</v>
      </c>
      <c r="L7681" s="11" t="s">
        <v>27</v>
      </c>
      <c r="M7681" s="11" t="s">
        <v>28</v>
      </c>
      <c r="N7681" s="11" t="s">
        <v>62</v>
      </c>
      <c r="O7681" s="11" t="s">
        <v>568</v>
      </c>
      <c r="P7681" s="11" t="s">
        <v>58</v>
      </c>
      <c r="Q7681" s="20">
        <v>41146.0</v>
      </c>
      <c r="R7681" s="17">
        <f t="shared" si="2"/>
        <v>9.706260785</v>
      </c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>
        <f t="shared" si="8"/>
        <v>1</v>
      </c>
      <c r="AF7681" s="19" t="b">
        <f t="shared" si="13"/>
        <v>0</v>
      </c>
      <c r="AG7681" s="9"/>
      <c r="AH7681" s="9"/>
      <c r="AI7681" s="9"/>
    </row>
    <row r="7682" ht="15.0" customHeight="1">
      <c r="A7682" s="11">
        <v>7681.0</v>
      </c>
      <c r="B7682" s="12">
        <f t="shared" si="1225"/>
        <v>41144</v>
      </c>
      <c r="C7682" s="13">
        <v>2012.0</v>
      </c>
      <c r="D7682" s="11" t="s">
        <v>39</v>
      </c>
      <c r="E7682" s="11">
        <v>42.0</v>
      </c>
      <c r="F7682" s="14">
        <v>65.9</v>
      </c>
      <c r="G7682" s="15">
        <v>0.049497516698064674</v>
      </c>
      <c r="H7682" s="11" t="s">
        <v>33</v>
      </c>
      <c r="I7682" s="16">
        <v>7.192</v>
      </c>
      <c r="J7682" s="11" t="s">
        <v>988</v>
      </c>
      <c r="K7682" s="11" t="s">
        <v>26</v>
      </c>
      <c r="L7682" s="11" t="s">
        <v>48</v>
      </c>
      <c r="M7682" s="11" t="s">
        <v>66</v>
      </c>
      <c r="N7682" s="11" t="s">
        <v>80</v>
      </c>
      <c r="O7682" s="11" t="s">
        <v>1272</v>
      </c>
      <c r="P7682" s="11" t="s">
        <v>38</v>
      </c>
      <c r="Q7682" s="20">
        <v>41147.0</v>
      </c>
      <c r="R7682" s="17">
        <f t="shared" si="2"/>
        <v>137.3552129</v>
      </c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>
        <f t="shared" si="8"/>
        <v>4</v>
      </c>
      <c r="AF7682" s="19">
        <f t="shared" si="13"/>
        <v>1</v>
      </c>
      <c r="AG7682" s="9"/>
      <c r="AH7682" s="9"/>
      <c r="AI7682" s="9"/>
    </row>
    <row r="7683" ht="15.0" customHeight="1">
      <c r="A7683" s="11">
        <v>7682.0</v>
      </c>
      <c r="B7683" s="12">
        <f t="shared" ref="B7683:B7684" si="1226">DATE(2012,12,31)-129</f>
        <v>41145</v>
      </c>
      <c r="C7683" s="13">
        <v>2012.0</v>
      </c>
      <c r="D7683" s="11" t="s">
        <v>32</v>
      </c>
      <c r="E7683" s="11">
        <v>24.0</v>
      </c>
      <c r="F7683" s="14">
        <v>23.9</v>
      </c>
      <c r="G7683" s="15">
        <v>0.08228589322060459</v>
      </c>
      <c r="H7683" s="11" t="s">
        <v>45</v>
      </c>
      <c r="I7683" s="16">
        <v>12.544</v>
      </c>
      <c r="J7683" s="11" t="s">
        <v>928</v>
      </c>
      <c r="K7683" s="11" t="s">
        <v>61</v>
      </c>
      <c r="L7683" s="11" t="s">
        <v>27</v>
      </c>
      <c r="M7683" s="11" t="s">
        <v>49</v>
      </c>
      <c r="N7683" s="11" t="s">
        <v>73</v>
      </c>
      <c r="O7683" s="11" t="s">
        <v>1255</v>
      </c>
      <c r="P7683" s="11" t="s">
        <v>52</v>
      </c>
      <c r="Q7683" s="20">
        <v>41148.0</v>
      </c>
      <c r="R7683" s="17">
        <f t="shared" si="2"/>
        <v>48.2313826</v>
      </c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>
        <f t="shared" si="8"/>
        <v>1</v>
      </c>
      <c r="AF7683" s="19">
        <f t="shared" si="13"/>
        <v>4</v>
      </c>
      <c r="AG7683" s="9"/>
      <c r="AH7683" s="9"/>
      <c r="AI7683" s="9"/>
    </row>
    <row r="7684" ht="15.0" customHeight="1">
      <c r="A7684" s="11">
        <v>7683.0</v>
      </c>
      <c r="B7684" s="12">
        <f t="shared" si="1226"/>
        <v>41145</v>
      </c>
      <c r="C7684" s="13">
        <v>2012.0</v>
      </c>
      <c r="D7684" s="11" t="s">
        <v>32</v>
      </c>
      <c r="E7684" s="11">
        <v>18.0</v>
      </c>
      <c r="F7684" s="14">
        <v>6.4</v>
      </c>
      <c r="G7684" s="15">
        <v>0.0412092283214001</v>
      </c>
      <c r="H7684" s="11" t="s">
        <v>33</v>
      </c>
      <c r="I7684" s="16">
        <v>5.32</v>
      </c>
      <c r="J7684" s="11" t="s">
        <v>928</v>
      </c>
      <c r="K7684" s="11" t="s">
        <v>61</v>
      </c>
      <c r="L7684" s="11" t="s">
        <v>27</v>
      </c>
      <c r="M7684" s="11" t="s">
        <v>28</v>
      </c>
      <c r="N7684" s="11" t="s">
        <v>56</v>
      </c>
      <c r="O7684" s="11" t="s">
        <v>2282</v>
      </c>
      <c r="P7684" s="11" t="s">
        <v>38</v>
      </c>
      <c r="Q7684" s="20">
        <v>41148.0</v>
      </c>
      <c r="R7684" s="17">
        <f t="shared" si="2"/>
        <v>4.966536197</v>
      </c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>
        <f t="shared" si="8"/>
        <v>1</v>
      </c>
      <c r="AF7684" s="19">
        <f t="shared" si="13"/>
        <v>4</v>
      </c>
      <c r="AG7684" s="9"/>
      <c r="AH7684" s="9"/>
      <c r="AI7684" s="9"/>
    </row>
    <row r="7685" ht="15.0" customHeight="1">
      <c r="A7685" s="11">
        <v>7684.0</v>
      </c>
      <c r="B7685" s="12">
        <f t="shared" ref="B7685:B7687" si="1227">DATE(2012,12,31)-127</f>
        <v>41147</v>
      </c>
      <c r="C7685" s="13">
        <v>2012.0</v>
      </c>
      <c r="D7685" s="11" t="s">
        <v>39</v>
      </c>
      <c r="E7685" s="11">
        <v>21.0</v>
      </c>
      <c r="F7685" s="14">
        <v>205.9</v>
      </c>
      <c r="G7685" s="15">
        <v>0.057241935132544705</v>
      </c>
      <c r="H7685" s="11" t="s">
        <v>33</v>
      </c>
      <c r="I7685" s="16">
        <v>4.208</v>
      </c>
      <c r="J7685" s="11" t="s">
        <v>622</v>
      </c>
      <c r="K7685" s="11" t="s">
        <v>65</v>
      </c>
      <c r="L7685" s="11" t="s">
        <v>48</v>
      </c>
      <c r="M7685" s="11" t="s">
        <v>66</v>
      </c>
      <c r="N7685" s="11" t="s">
        <v>80</v>
      </c>
      <c r="O7685" s="11" t="s">
        <v>1810</v>
      </c>
      <c r="P7685" s="11" t="s">
        <v>38</v>
      </c>
      <c r="Q7685" s="20">
        <v>41149.0</v>
      </c>
      <c r="R7685" s="17">
        <f t="shared" si="2"/>
        <v>247.7492774</v>
      </c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>
        <f t="shared" si="8"/>
        <v>4</v>
      </c>
      <c r="AF7685" s="19">
        <f t="shared" si="13"/>
        <v>5</v>
      </c>
      <c r="AG7685" s="9"/>
      <c r="AH7685" s="9"/>
      <c r="AI7685" s="9"/>
    </row>
    <row r="7686" ht="15.0" customHeight="1">
      <c r="A7686" s="11">
        <v>7685.0</v>
      </c>
      <c r="B7686" s="12">
        <f t="shared" si="1227"/>
        <v>41147</v>
      </c>
      <c r="C7686" s="13">
        <v>2012.0</v>
      </c>
      <c r="D7686" s="11" t="s">
        <v>32</v>
      </c>
      <c r="E7686" s="11">
        <v>45.0</v>
      </c>
      <c r="F7686" s="14">
        <v>55.9</v>
      </c>
      <c r="G7686" s="15">
        <v>0.049496359452220105</v>
      </c>
      <c r="H7686" s="11" t="s">
        <v>33</v>
      </c>
      <c r="I7686" s="16">
        <v>4.0</v>
      </c>
      <c r="J7686" s="11" t="s">
        <v>786</v>
      </c>
      <c r="K7686" s="11" t="s">
        <v>35</v>
      </c>
      <c r="L7686" s="11" t="s">
        <v>48</v>
      </c>
      <c r="M7686" s="11" t="s">
        <v>66</v>
      </c>
      <c r="N7686" s="11" t="s">
        <v>80</v>
      </c>
      <c r="O7686" s="11" t="s">
        <v>1023</v>
      </c>
      <c r="P7686" s="11" t="s">
        <v>99</v>
      </c>
      <c r="Q7686" s="20">
        <v>41149.0</v>
      </c>
      <c r="R7686" s="17">
        <f t="shared" si="2"/>
        <v>124.7060776</v>
      </c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>
        <f t="shared" si="8"/>
        <v>4</v>
      </c>
      <c r="AF7686" s="19">
        <f t="shared" si="13"/>
        <v>2</v>
      </c>
      <c r="AG7686" s="9"/>
      <c r="AH7686" s="9"/>
      <c r="AI7686" s="9"/>
    </row>
    <row r="7687" ht="15.0" customHeight="1">
      <c r="A7687" s="11">
        <v>7686.0</v>
      </c>
      <c r="B7687" s="12">
        <f t="shared" si="1227"/>
        <v>41147</v>
      </c>
      <c r="C7687" s="13">
        <v>2012.0</v>
      </c>
      <c r="D7687" s="11" t="s">
        <v>32</v>
      </c>
      <c r="E7687" s="11">
        <v>9.0</v>
      </c>
      <c r="F7687" s="14">
        <v>110.9</v>
      </c>
      <c r="G7687" s="15">
        <v>0.08096730855351553</v>
      </c>
      <c r="H7687" s="11" t="s">
        <v>33</v>
      </c>
      <c r="I7687" s="16">
        <v>28.0</v>
      </c>
      <c r="J7687" s="11" t="s">
        <v>213</v>
      </c>
      <c r="K7687" s="11" t="s">
        <v>47</v>
      </c>
      <c r="L7687" s="11" t="s">
        <v>48</v>
      </c>
      <c r="M7687" s="11" t="s">
        <v>28</v>
      </c>
      <c r="N7687" s="11" t="s">
        <v>29</v>
      </c>
      <c r="O7687" s="11" t="s">
        <v>2592</v>
      </c>
      <c r="P7687" s="11" t="s">
        <v>31</v>
      </c>
      <c r="Q7687" s="20">
        <v>41149.0</v>
      </c>
      <c r="R7687" s="17">
        <f t="shared" si="2"/>
        <v>83.08055531</v>
      </c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>
        <f t="shared" si="8"/>
        <v>4</v>
      </c>
      <c r="AF7687" s="19">
        <f t="shared" si="13"/>
        <v>3</v>
      </c>
      <c r="AG7687" s="9"/>
      <c r="AH7687" s="9"/>
      <c r="AI7687" s="9"/>
    </row>
    <row r="7688" ht="15.0" customHeight="1">
      <c r="A7688" s="11">
        <v>7687.0</v>
      </c>
      <c r="B7688" s="12">
        <f t="shared" ref="B7688:B7692" si="1228">DATE(2012,12,31)-126</f>
        <v>41148</v>
      </c>
      <c r="C7688" s="13">
        <v>2012.0</v>
      </c>
      <c r="D7688" s="11" t="s">
        <v>102</v>
      </c>
      <c r="E7688" s="11">
        <v>31.0</v>
      </c>
      <c r="F7688" s="14">
        <v>10.0</v>
      </c>
      <c r="G7688" s="15">
        <v>0.07594306049822065</v>
      </c>
      <c r="H7688" s="11" t="s">
        <v>33</v>
      </c>
      <c r="I7688" s="16">
        <v>1.592</v>
      </c>
      <c r="J7688" s="11" t="s">
        <v>159</v>
      </c>
      <c r="K7688" s="11" t="s">
        <v>83</v>
      </c>
      <c r="L7688" s="11" t="s">
        <v>48</v>
      </c>
      <c r="M7688" s="11" t="s">
        <v>66</v>
      </c>
      <c r="N7688" s="11" t="s">
        <v>67</v>
      </c>
      <c r="O7688" s="11" t="s">
        <v>1598</v>
      </c>
      <c r="P7688" s="11" t="s">
        <v>99</v>
      </c>
      <c r="Q7688" s="20">
        <v>41149.0</v>
      </c>
      <c r="R7688" s="17">
        <f t="shared" si="2"/>
        <v>23.66325011</v>
      </c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>
        <f t="shared" si="8"/>
        <v>4</v>
      </c>
      <c r="AF7688" s="19" t="b">
        <f t="shared" si="13"/>
        <v>0</v>
      </c>
      <c r="AG7688" s="9"/>
      <c r="AH7688" s="9"/>
      <c r="AI7688" s="9"/>
    </row>
    <row r="7689" ht="15.0" customHeight="1">
      <c r="A7689" s="11">
        <v>7688.0</v>
      </c>
      <c r="B7689" s="12">
        <f t="shared" si="1228"/>
        <v>41148</v>
      </c>
      <c r="C7689" s="13">
        <v>2012.0</v>
      </c>
      <c r="D7689" s="11" t="s">
        <v>32</v>
      </c>
      <c r="E7689" s="11">
        <v>4.0</v>
      </c>
      <c r="F7689" s="14">
        <v>15.5</v>
      </c>
      <c r="G7689" s="15">
        <v>0.027550077041602523</v>
      </c>
      <c r="H7689" s="11" t="s">
        <v>33</v>
      </c>
      <c r="I7689" s="16">
        <v>1.1119999999999999</v>
      </c>
      <c r="J7689" s="11" t="s">
        <v>744</v>
      </c>
      <c r="K7689" s="11" t="s">
        <v>61</v>
      </c>
      <c r="L7689" s="11" t="s">
        <v>36</v>
      </c>
      <c r="M7689" s="11" t="s">
        <v>28</v>
      </c>
      <c r="N7689" s="11" t="s">
        <v>236</v>
      </c>
      <c r="O7689" s="11" t="s">
        <v>885</v>
      </c>
      <c r="P7689" s="11" t="s">
        <v>38</v>
      </c>
      <c r="Q7689" s="20">
        <v>41149.0</v>
      </c>
      <c r="R7689" s="17">
        <f t="shared" si="2"/>
        <v>1.738740462</v>
      </c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>
        <f t="shared" si="8"/>
        <v>2</v>
      </c>
      <c r="AF7689" s="19">
        <f t="shared" si="13"/>
        <v>4</v>
      </c>
      <c r="AG7689" s="9"/>
      <c r="AH7689" s="9"/>
      <c r="AI7689" s="9"/>
    </row>
    <row r="7690" ht="15.0" customHeight="1">
      <c r="A7690" s="11">
        <v>7689.0</v>
      </c>
      <c r="B7690" s="12">
        <f t="shared" si="1228"/>
        <v>41148</v>
      </c>
      <c r="C7690" s="13">
        <v>2012.0</v>
      </c>
      <c r="D7690" s="11" t="s">
        <v>32</v>
      </c>
      <c r="E7690" s="11">
        <v>14.0</v>
      </c>
      <c r="F7690" s="14">
        <v>2.6</v>
      </c>
      <c r="G7690" s="15">
        <v>0.08684863523573201</v>
      </c>
      <c r="H7690" s="11" t="s">
        <v>33</v>
      </c>
      <c r="I7690" s="16">
        <v>0.4</v>
      </c>
      <c r="J7690" s="11" t="s">
        <v>744</v>
      </c>
      <c r="K7690" s="11" t="s">
        <v>61</v>
      </c>
      <c r="L7690" s="11" t="s">
        <v>36</v>
      </c>
      <c r="M7690" s="11" t="s">
        <v>28</v>
      </c>
      <c r="N7690" s="11" t="s">
        <v>188</v>
      </c>
      <c r="O7690" s="11" t="s">
        <v>1356</v>
      </c>
      <c r="P7690" s="11" t="s">
        <v>38</v>
      </c>
      <c r="Q7690" s="20">
        <v>41149.0</v>
      </c>
      <c r="R7690" s="17">
        <f t="shared" si="2"/>
        <v>3.196029777</v>
      </c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>
        <f t="shared" si="8"/>
        <v>2</v>
      </c>
      <c r="AF7690" s="19">
        <f t="shared" si="13"/>
        <v>4</v>
      </c>
      <c r="AG7690" s="9"/>
      <c r="AH7690" s="9"/>
      <c r="AI7690" s="9"/>
    </row>
    <row r="7691" ht="15.0" customHeight="1">
      <c r="A7691" s="11">
        <v>7690.0</v>
      </c>
      <c r="B7691" s="12">
        <f t="shared" si="1228"/>
        <v>41148</v>
      </c>
      <c r="C7691" s="13">
        <v>2012.0</v>
      </c>
      <c r="D7691" s="11" t="s">
        <v>32</v>
      </c>
      <c r="E7691" s="11">
        <v>16.0</v>
      </c>
      <c r="F7691" s="14">
        <v>60.9</v>
      </c>
      <c r="G7691" s="15">
        <v>0.09248813680723436</v>
      </c>
      <c r="H7691" s="11" t="s">
        <v>33</v>
      </c>
      <c r="I7691" s="16">
        <v>39.2</v>
      </c>
      <c r="J7691" s="11" t="s">
        <v>744</v>
      </c>
      <c r="K7691" s="11" t="s">
        <v>61</v>
      </c>
      <c r="L7691" s="11" t="s">
        <v>36</v>
      </c>
      <c r="M7691" s="11" t="s">
        <v>28</v>
      </c>
      <c r="N7691" s="11" t="s">
        <v>197</v>
      </c>
      <c r="O7691" s="11" t="s">
        <v>620</v>
      </c>
      <c r="P7691" s="11" t="s">
        <v>31</v>
      </c>
      <c r="Q7691" s="20">
        <v>41149.0</v>
      </c>
      <c r="R7691" s="17">
        <f t="shared" si="2"/>
        <v>93.74597547</v>
      </c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>
        <f t="shared" si="8"/>
        <v>2</v>
      </c>
      <c r="AF7691" s="19">
        <f t="shared" si="13"/>
        <v>4</v>
      </c>
      <c r="AG7691" s="9"/>
      <c r="AH7691" s="9"/>
      <c r="AI7691" s="9"/>
    </row>
    <row r="7692" ht="15.0" customHeight="1">
      <c r="A7692" s="11">
        <v>7691.0</v>
      </c>
      <c r="B7692" s="12">
        <f t="shared" si="1228"/>
        <v>41148</v>
      </c>
      <c r="C7692" s="13">
        <v>2012.0</v>
      </c>
      <c r="D7692" s="11" t="s">
        <v>102</v>
      </c>
      <c r="E7692" s="11">
        <v>14.0</v>
      </c>
      <c r="F7692" s="14">
        <v>155.9</v>
      </c>
      <c r="G7692" s="15">
        <v>0.05791085871622792</v>
      </c>
      <c r="H7692" s="11" t="s">
        <v>33</v>
      </c>
      <c r="I7692" s="16">
        <v>7.192</v>
      </c>
      <c r="J7692" s="11" t="s">
        <v>2104</v>
      </c>
      <c r="K7692" s="11" t="s">
        <v>47</v>
      </c>
      <c r="L7692" s="11" t="s">
        <v>48</v>
      </c>
      <c r="M7692" s="11" t="s">
        <v>66</v>
      </c>
      <c r="N7692" s="11" t="s">
        <v>80</v>
      </c>
      <c r="O7692" s="11" t="s">
        <v>2480</v>
      </c>
      <c r="P7692" s="11" t="s">
        <v>38</v>
      </c>
      <c r="Q7692" s="20">
        <v>41149.0</v>
      </c>
      <c r="R7692" s="17">
        <f t="shared" si="2"/>
        <v>126.8127351</v>
      </c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>
        <f t="shared" si="8"/>
        <v>4</v>
      </c>
      <c r="AF7692" s="19">
        <f t="shared" si="13"/>
        <v>3</v>
      </c>
      <c r="AG7692" s="9"/>
      <c r="AH7692" s="9"/>
      <c r="AI7692" s="9"/>
    </row>
    <row r="7693" ht="15.0" customHeight="1">
      <c r="A7693" s="11">
        <v>7692.0</v>
      </c>
      <c r="B7693" s="12">
        <f t="shared" ref="B7693:B7701" si="1229">DATE(2012,12,31)-125</f>
        <v>41149</v>
      </c>
      <c r="C7693" s="13">
        <v>2012.0</v>
      </c>
      <c r="D7693" s="11" t="s">
        <v>32</v>
      </c>
      <c r="E7693" s="11">
        <v>19.0</v>
      </c>
      <c r="F7693" s="14">
        <v>14.4</v>
      </c>
      <c r="G7693" s="15">
        <v>0.07447543160690558</v>
      </c>
      <c r="H7693" s="11" t="s">
        <v>33</v>
      </c>
      <c r="I7693" s="16">
        <v>5.168</v>
      </c>
      <c r="J7693" s="11" t="s">
        <v>145</v>
      </c>
      <c r="K7693" s="11" t="s">
        <v>83</v>
      </c>
      <c r="L7693" s="11" t="s">
        <v>41</v>
      </c>
      <c r="M7693" s="11" t="s">
        <v>28</v>
      </c>
      <c r="N7693" s="11" t="s">
        <v>42</v>
      </c>
      <c r="O7693" s="11" t="s">
        <v>547</v>
      </c>
      <c r="P7693" s="11" t="s">
        <v>38</v>
      </c>
      <c r="Q7693" s="20">
        <v>41150.0</v>
      </c>
      <c r="R7693" s="17">
        <f t="shared" si="2"/>
        <v>20.76136712</v>
      </c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>
        <f t="shared" si="8"/>
        <v>3</v>
      </c>
      <c r="AF7693" s="19" t="b">
        <f t="shared" si="13"/>
        <v>0</v>
      </c>
      <c r="AG7693" s="9"/>
      <c r="AH7693" s="9"/>
      <c r="AI7693" s="9"/>
    </row>
    <row r="7694" ht="15.0" customHeight="1">
      <c r="A7694" s="11">
        <v>7693.0</v>
      </c>
      <c r="B7694" s="12">
        <f t="shared" si="1229"/>
        <v>41149</v>
      </c>
      <c r="C7694" s="13">
        <v>2012.0</v>
      </c>
      <c r="D7694" s="11" t="s">
        <v>23</v>
      </c>
      <c r="E7694" s="11">
        <v>27.0</v>
      </c>
      <c r="F7694" s="14">
        <v>130.9</v>
      </c>
      <c r="G7694" s="15">
        <v>0.07617415686579943</v>
      </c>
      <c r="H7694" s="11" t="s">
        <v>45</v>
      </c>
      <c r="I7694" s="16">
        <v>24.0</v>
      </c>
      <c r="J7694" s="11" t="s">
        <v>2062</v>
      </c>
      <c r="K7694" s="11" t="s">
        <v>117</v>
      </c>
      <c r="L7694" s="11" t="s">
        <v>41</v>
      </c>
      <c r="M7694" s="11" t="s">
        <v>49</v>
      </c>
      <c r="N7694" s="11" t="s">
        <v>50</v>
      </c>
      <c r="O7694" s="11" t="s">
        <v>1150</v>
      </c>
      <c r="P7694" s="11" t="s">
        <v>52</v>
      </c>
      <c r="Q7694" s="20">
        <v>41150.0</v>
      </c>
      <c r="R7694" s="17">
        <f t="shared" si="2"/>
        <v>271.0505024</v>
      </c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>
        <f t="shared" si="8"/>
        <v>3</v>
      </c>
      <c r="AF7694" s="19" t="b">
        <f t="shared" si="13"/>
        <v>0</v>
      </c>
      <c r="AG7694" s="9"/>
      <c r="AH7694" s="9"/>
      <c r="AI7694" s="9"/>
    </row>
    <row r="7695" ht="15.0" customHeight="1">
      <c r="A7695" s="11">
        <v>7694.0</v>
      </c>
      <c r="B7695" s="12">
        <f t="shared" si="1229"/>
        <v>41149</v>
      </c>
      <c r="C7695" s="13">
        <v>2012.0</v>
      </c>
      <c r="D7695" s="11" t="s">
        <v>32</v>
      </c>
      <c r="E7695" s="11">
        <v>42.0</v>
      </c>
      <c r="F7695" s="14">
        <v>47.9</v>
      </c>
      <c r="G7695" s="15">
        <v>0.02156864649604198</v>
      </c>
      <c r="H7695" s="11" t="s">
        <v>24</v>
      </c>
      <c r="I7695" s="16">
        <v>2.888</v>
      </c>
      <c r="J7695" s="11" t="s">
        <v>2271</v>
      </c>
      <c r="K7695" s="11" t="s">
        <v>35</v>
      </c>
      <c r="L7695" s="11" t="s">
        <v>48</v>
      </c>
      <c r="M7695" s="11" t="s">
        <v>66</v>
      </c>
      <c r="N7695" s="11" t="s">
        <v>67</v>
      </c>
      <c r="O7695" s="11" t="s">
        <v>854</v>
      </c>
      <c r="P7695" s="11" t="s">
        <v>99</v>
      </c>
      <c r="Q7695" s="20">
        <v>41150.0</v>
      </c>
      <c r="R7695" s="17">
        <f t="shared" si="2"/>
        <v>43.45409327</v>
      </c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>
        <f t="shared" si="8"/>
        <v>4</v>
      </c>
      <c r="AF7695" s="19">
        <f t="shared" si="13"/>
        <v>2</v>
      </c>
      <c r="AG7695" s="9"/>
      <c r="AH7695" s="9"/>
      <c r="AI7695" s="9"/>
    </row>
    <row r="7696" ht="15.0" customHeight="1">
      <c r="A7696" s="11">
        <v>7695.0</v>
      </c>
      <c r="B7696" s="12">
        <f t="shared" si="1229"/>
        <v>41149</v>
      </c>
      <c r="C7696" s="13">
        <v>2012.0</v>
      </c>
      <c r="D7696" s="11" t="s">
        <v>23</v>
      </c>
      <c r="E7696" s="11">
        <v>47.0</v>
      </c>
      <c r="F7696" s="14">
        <v>199.9</v>
      </c>
      <c r="G7696" s="15">
        <v>0.08345012217560174</v>
      </c>
      <c r="H7696" s="11" t="s">
        <v>33</v>
      </c>
      <c r="I7696" s="16">
        <v>19.592</v>
      </c>
      <c r="J7696" s="11" t="s">
        <v>1131</v>
      </c>
      <c r="K7696" s="11" t="s">
        <v>26</v>
      </c>
      <c r="L7696" s="11" t="s">
        <v>27</v>
      </c>
      <c r="M7696" s="11" t="s">
        <v>66</v>
      </c>
      <c r="N7696" s="11" t="s">
        <v>170</v>
      </c>
      <c r="O7696" s="11" t="s">
        <v>451</v>
      </c>
      <c r="P7696" s="11" t="s">
        <v>31</v>
      </c>
      <c r="Q7696" s="20">
        <v>41150.0</v>
      </c>
      <c r="R7696" s="17">
        <f t="shared" si="2"/>
        <v>785.6738877</v>
      </c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>
        <f t="shared" si="8"/>
        <v>1</v>
      </c>
      <c r="AF7696" s="19">
        <f t="shared" si="13"/>
        <v>1</v>
      </c>
      <c r="AG7696" s="9"/>
      <c r="AH7696" s="9"/>
      <c r="AI7696" s="9"/>
    </row>
    <row r="7697" ht="15.0" customHeight="1">
      <c r="A7697" s="11">
        <v>7696.0</v>
      </c>
      <c r="B7697" s="12">
        <f t="shared" si="1229"/>
        <v>41149</v>
      </c>
      <c r="C7697" s="13">
        <v>2012.0</v>
      </c>
      <c r="D7697" s="11" t="s">
        <v>39</v>
      </c>
      <c r="E7697" s="11">
        <v>24.0</v>
      </c>
      <c r="F7697" s="14">
        <v>2.7</v>
      </c>
      <c r="G7697" s="15">
        <v>0.0947599451303155</v>
      </c>
      <c r="H7697" s="11" t="s">
        <v>33</v>
      </c>
      <c r="I7697" s="16">
        <v>1.192</v>
      </c>
      <c r="J7697" s="11" t="s">
        <v>2064</v>
      </c>
      <c r="K7697" s="11" t="s">
        <v>61</v>
      </c>
      <c r="L7697" s="11" t="s">
        <v>41</v>
      </c>
      <c r="M7697" s="11" t="s">
        <v>28</v>
      </c>
      <c r="N7697" s="11" t="s">
        <v>42</v>
      </c>
      <c r="O7697" s="11" t="s">
        <v>1141</v>
      </c>
      <c r="P7697" s="11" t="s">
        <v>38</v>
      </c>
      <c r="Q7697" s="20">
        <v>41151.0</v>
      </c>
      <c r="R7697" s="17">
        <f t="shared" si="2"/>
        <v>6.253398299</v>
      </c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>
        <f t="shared" si="8"/>
        <v>3</v>
      </c>
      <c r="AF7697" s="19">
        <f t="shared" si="13"/>
        <v>4</v>
      </c>
      <c r="AG7697" s="9"/>
      <c r="AH7697" s="9"/>
      <c r="AI7697" s="9"/>
    </row>
    <row r="7698" ht="15.0" customHeight="1">
      <c r="A7698" s="11">
        <v>7697.0</v>
      </c>
      <c r="B7698" s="12">
        <f t="shared" si="1229"/>
        <v>41149</v>
      </c>
      <c r="C7698" s="13">
        <v>2012.0</v>
      </c>
      <c r="D7698" s="11" t="s">
        <v>44</v>
      </c>
      <c r="E7698" s="11">
        <v>24.0</v>
      </c>
      <c r="F7698" s="14">
        <v>65.9</v>
      </c>
      <c r="G7698" s="15">
        <v>0.011896068290859162</v>
      </c>
      <c r="H7698" s="11" t="s">
        <v>33</v>
      </c>
      <c r="I7698" s="16">
        <v>4.208</v>
      </c>
      <c r="J7698" s="11" t="s">
        <v>1633</v>
      </c>
      <c r="K7698" s="11" t="s">
        <v>117</v>
      </c>
      <c r="L7698" s="11" t="s">
        <v>48</v>
      </c>
      <c r="M7698" s="11" t="s">
        <v>66</v>
      </c>
      <c r="N7698" s="11" t="s">
        <v>80</v>
      </c>
      <c r="O7698" s="11">
        <v>8860.0</v>
      </c>
      <c r="P7698" s="11" t="s">
        <v>38</v>
      </c>
      <c r="Q7698" s="20">
        <v>41151.0</v>
      </c>
      <c r="R7698" s="17">
        <f t="shared" si="2"/>
        <v>18.86488026</v>
      </c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>
        <f t="shared" si="8"/>
        <v>4</v>
      </c>
      <c r="AF7698" s="19" t="b">
        <f t="shared" si="13"/>
        <v>0</v>
      </c>
      <c r="AG7698" s="9"/>
      <c r="AH7698" s="9"/>
      <c r="AI7698" s="9"/>
    </row>
    <row r="7699" ht="15.0" customHeight="1">
      <c r="A7699" s="11">
        <v>7698.0</v>
      </c>
      <c r="B7699" s="12">
        <f t="shared" si="1229"/>
        <v>41149</v>
      </c>
      <c r="C7699" s="13">
        <v>2012.0</v>
      </c>
      <c r="D7699" s="11" t="s">
        <v>32</v>
      </c>
      <c r="E7699" s="11">
        <v>16.0</v>
      </c>
      <c r="F7699" s="14">
        <v>22.9</v>
      </c>
      <c r="G7699" s="15">
        <v>0.04268470343392304</v>
      </c>
      <c r="H7699" s="11" t="s">
        <v>33</v>
      </c>
      <c r="I7699" s="16">
        <v>1.592</v>
      </c>
      <c r="J7699" s="11" t="s">
        <v>349</v>
      </c>
      <c r="K7699" s="11" t="s">
        <v>61</v>
      </c>
      <c r="L7699" s="11" t="s">
        <v>48</v>
      </c>
      <c r="M7699" s="11" t="s">
        <v>66</v>
      </c>
      <c r="N7699" s="11" t="s">
        <v>67</v>
      </c>
      <c r="O7699" s="11" t="s">
        <v>1138</v>
      </c>
      <c r="P7699" s="11" t="s">
        <v>99</v>
      </c>
      <c r="Q7699" s="20">
        <v>41151.0</v>
      </c>
      <c r="R7699" s="17">
        <f t="shared" si="2"/>
        <v>15.70762939</v>
      </c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>
        <f t="shared" si="8"/>
        <v>4</v>
      </c>
      <c r="AF7699" s="19">
        <f t="shared" si="13"/>
        <v>4</v>
      </c>
      <c r="AG7699" s="9"/>
      <c r="AH7699" s="9"/>
      <c r="AI7699" s="9"/>
    </row>
    <row r="7700" ht="15.0" customHeight="1">
      <c r="A7700" s="11">
        <v>7699.0</v>
      </c>
      <c r="B7700" s="12">
        <f t="shared" si="1229"/>
        <v>41149</v>
      </c>
      <c r="C7700" s="13">
        <v>2012.0</v>
      </c>
      <c r="D7700" s="11" t="s">
        <v>32</v>
      </c>
      <c r="E7700" s="11">
        <v>23.0</v>
      </c>
      <c r="F7700" s="14">
        <v>5.6</v>
      </c>
      <c r="G7700" s="15">
        <v>0.034829123328380514</v>
      </c>
      <c r="H7700" s="11" t="s">
        <v>33</v>
      </c>
      <c r="I7700" s="16">
        <v>1.1119999999999999</v>
      </c>
      <c r="J7700" s="11" t="s">
        <v>349</v>
      </c>
      <c r="K7700" s="11" t="s">
        <v>61</v>
      </c>
      <c r="L7700" s="11" t="s">
        <v>48</v>
      </c>
      <c r="M7700" s="11" t="s">
        <v>28</v>
      </c>
      <c r="N7700" s="11" t="s">
        <v>236</v>
      </c>
      <c r="O7700" s="11" t="s">
        <v>677</v>
      </c>
      <c r="P7700" s="11" t="s">
        <v>38</v>
      </c>
      <c r="Q7700" s="20">
        <v>41151.0</v>
      </c>
      <c r="R7700" s="17">
        <f t="shared" si="2"/>
        <v>4.52472107</v>
      </c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>
        <f t="shared" si="8"/>
        <v>4</v>
      </c>
      <c r="AF7700" s="19">
        <f t="shared" si="13"/>
        <v>4</v>
      </c>
      <c r="AG7700" s="9"/>
      <c r="AH7700" s="9"/>
      <c r="AI7700" s="9"/>
    </row>
    <row r="7701" ht="15.0" customHeight="1">
      <c r="A7701" s="11">
        <v>7700.0</v>
      </c>
      <c r="B7701" s="12">
        <f t="shared" si="1229"/>
        <v>41149</v>
      </c>
      <c r="C7701" s="13">
        <v>2012.0</v>
      </c>
      <c r="D7701" s="11" t="s">
        <v>32</v>
      </c>
      <c r="E7701" s="11">
        <v>46.0</v>
      </c>
      <c r="F7701" s="14">
        <v>19.9</v>
      </c>
      <c r="G7701" s="15">
        <v>0.015000535274595928</v>
      </c>
      <c r="H7701" s="11" t="s">
        <v>33</v>
      </c>
      <c r="I7701" s="16">
        <v>4.688000000000001</v>
      </c>
      <c r="J7701" s="11" t="s">
        <v>320</v>
      </c>
      <c r="K7701" s="11" t="s">
        <v>65</v>
      </c>
      <c r="L7701" s="11" t="s">
        <v>27</v>
      </c>
      <c r="M7701" s="11" t="s">
        <v>28</v>
      </c>
      <c r="N7701" s="11" t="s">
        <v>56</v>
      </c>
      <c r="O7701" s="11" t="s">
        <v>2227</v>
      </c>
      <c r="P7701" s="11" t="s">
        <v>38</v>
      </c>
      <c r="Q7701" s="20">
        <v>41151.0</v>
      </c>
      <c r="R7701" s="17">
        <f t="shared" si="2"/>
        <v>13.8018125</v>
      </c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>
        <f t="shared" si="8"/>
        <v>1</v>
      </c>
      <c r="AF7701" s="19">
        <f t="shared" si="13"/>
        <v>5</v>
      </c>
      <c r="AG7701" s="9"/>
      <c r="AH7701" s="9"/>
      <c r="AI7701" s="9"/>
    </row>
    <row r="7702" ht="15.0" customHeight="1">
      <c r="A7702" s="11">
        <v>7701.0</v>
      </c>
      <c r="B7702" s="12">
        <f t="shared" ref="B7702:B7707" si="1230">DATE(2012,12,31)-124</f>
        <v>41150</v>
      </c>
      <c r="C7702" s="13">
        <v>2012.0</v>
      </c>
      <c r="D7702" s="11" t="s">
        <v>39</v>
      </c>
      <c r="E7702" s="11">
        <v>15.0</v>
      </c>
      <c r="F7702" s="14">
        <v>6.4</v>
      </c>
      <c r="G7702" s="15">
        <v>0.10668989547038332</v>
      </c>
      <c r="H7702" s="11" t="s">
        <v>24</v>
      </c>
      <c r="I7702" s="16">
        <v>6.552</v>
      </c>
      <c r="J7702" s="11" t="s">
        <v>395</v>
      </c>
      <c r="K7702" s="11" t="s">
        <v>35</v>
      </c>
      <c r="L7702" s="11" t="s">
        <v>36</v>
      </c>
      <c r="M7702" s="11" t="s">
        <v>28</v>
      </c>
      <c r="N7702" s="11" t="s">
        <v>56</v>
      </c>
      <c r="O7702" s="11" t="s">
        <v>637</v>
      </c>
      <c r="P7702" s="11" t="s">
        <v>38</v>
      </c>
      <c r="Q7702" s="20">
        <v>41151.0</v>
      </c>
      <c r="R7702" s="17">
        <f t="shared" si="2"/>
        <v>10.94126216</v>
      </c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>
        <f t="shared" si="8"/>
        <v>2</v>
      </c>
      <c r="AF7702" s="19">
        <f t="shared" si="13"/>
        <v>2</v>
      </c>
      <c r="AG7702" s="9"/>
      <c r="AH7702" s="9"/>
      <c r="AI7702" s="9"/>
    </row>
    <row r="7703" ht="15.0" customHeight="1">
      <c r="A7703" s="11">
        <v>7702.0</v>
      </c>
      <c r="B7703" s="12">
        <f t="shared" si="1230"/>
        <v>41150</v>
      </c>
      <c r="C7703" s="13">
        <v>2012.0</v>
      </c>
      <c r="D7703" s="11" t="s">
        <v>39</v>
      </c>
      <c r="E7703" s="11">
        <v>3.0</v>
      </c>
      <c r="F7703" s="14">
        <v>4.5</v>
      </c>
      <c r="G7703" s="15">
        <v>0.14723004694835676</v>
      </c>
      <c r="H7703" s="11" t="s">
        <v>33</v>
      </c>
      <c r="I7703" s="16">
        <v>4.664000000000001</v>
      </c>
      <c r="J7703" s="11" t="s">
        <v>2422</v>
      </c>
      <c r="K7703" s="11" t="s">
        <v>35</v>
      </c>
      <c r="L7703" s="11" t="s">
        <v>41</v>
      </c>
      <c r="M7703" s="11" t="s">
        <v>28</v>
      </c>
      <c r="N7703" s="11" t="s">
        <v>42</v>
      </c>
      <c r="O7703" s="11" t="s">
        <v>2396</v>
      </c>
      <c r="P7703" s="11" t="s">
        <v>38</v>
      </c>
      <c r="Q7703" s="20">
        <v>41151.0</v>
      </c>
      <c r="R7703" s="17">
        <f t="shared" si="2"/>
        <v>2.674286573</v>
      </c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>
        <f t="shared" si="8"/>
        <v>3</v>
      </c>
      <c r="AF7703" s="19">
        <f t="shared" si="13"/>
        <v>2</v>
      </c>
      <c r="AG7703" s="9"/>
      <c r="AH7703" s="9"/>
      <c r="AI7703" s="9"/>
    </row>
    <row r="7704" ht="15.0" customHeight="1">
      <c r="A7704" s="11">
        <v>7703.0</v>
      </c>
      <c r="B7704" s="12">
        <f t="shared" si="1230"/>
        <v>41150</v>
      </c>
      <c r="C7704" s="13">
        <v>2012.0</v>
      </c>
      <c r="D7704" s="11" t="s">
        <v>39</v>
      </c>
      <c r="E7704" s="11">
        <v>39.0</v>
      </c>
      <c r="F7704" s="14">
        <v>3.2</v>
      </c>
      <c r="G7704" s="15">
        <v>0.03921921921921904</v>
      </c>
      <c r="H7704" s="11" t="s">
        <v>33</v>
      </c>
      <c r="I7704" s="16">
        <v>3.176</v>
      </c>
      <c r="J7704" s="11" t="s">
        <v>2422</v>
      </c>
      <c r="K7704" s="11" t="s">
        <v>35</v>
      </c>
      <c r="L7704" s="11" t="s">
        <v>41</v>
      </c>
      <c r="M7704" s="11" t="s">
        <v>28</v>
      </c>
      <c r="N7704" s="11" t="s">
        <v>62</v>
      </c>
      <c r="O7704" s="11" t="s">
        <v>209</v>
      </c>
      <c r="P7704" s="11" t="s">
        <v>58</v>
      </c>
      <c r="Q7704" s="20">
        <v>41151.0</v>
      </c>
      <c r="R7704" s="17">
        <f t="shared" si="2"/>
        <v>5.019118799</v>
      </c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>
        <f t="shared" si="8"/>
        <v>3</v>
      </c>
      <c r="AF7704" s="19">
        <f t="shared" si="13"/>
        <v>2</v>
      </c>
      <c r="AG7704" s="9"/>
      <c r="AH7704" s="9"/>
      <c r="AI7704" s="9"/>
    </row>
    <row r="7705" ht="15.0" customHeight="1">
      <c r="A7705" s="11">
        <v>7704.0</v>
      </c>
      <c r="B7705" s="12">
        <f t="shared" si="1230"/>
        <v>41150</v>
      </c>
      <c r="C7705" s="13">
        <v>2012.0</v>
      </c>
      <c r="D7705" s="11" t="s">
        <v>32</v>
      </c>
      <c r="E7705" s="11">
        <v>9.0</v>
      </c>
      <c r="F7705" s="14">
        <v>286.8</v>
      </c>
      <c r="G7705" s="15">
        <v>0.014679751292231629</v>
      </c>
      <c r="H7705" s="11" t="s">
        <v>45</v>
      </c>
      <c r="I7705" s="16">
        <v>49.408</v>
      </c>
      <c r="J7705" s="11" t="s">
        <v>2063</v>
      </c>
      <c r="K7705" s="11" t="s">
        <v>83</v>
      </c>
      <c r="L7705" s="11" t="s">
        <v>27</v>
      </c>
      <c r="M7705" s="11" t="s">
        <v>49</v>
      </c>
      <c r="N7705" s="11" t="s">
        <v>85</v>
      </c>
      <c r="O7705" s="11" t="s">
        <v>1796</v>
      </c>
      <c r="P7705" s="11" t="s">
        <v>87</v>
      </c>
      <c r="Q7705" s="20">
        <v>41151.0</v>
      </c>
      <c r="R7705" s="17">
        <f t="shared" si="2"/>
        <v>38.61667119</v>
      </c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>
        <f t="shared" si="8"/>
        <v>1</v>
      </c>
      <c r="AF7705" s="19" t="b">
        <f t="shared" si="13"/>
        <v>0</v>
      </c>
      <c r="AG7705" s="9"/>
      <c r="AH7705" s="9"/>
      <c r="AI7705" s="9"/>
    </row>
    <row r="7706" ht="15.0" customHeight="1">
      <c r="A7706" s="11">
        <v>7705.0</v>
      </c>
      <c r="B7706" s="12">
        <f t="shared" si="1230"/>
        <v>41150</v>
      </c>
      <c r="C7706" s="13">
        <v>2012.0</v>
      </c>
      <c r="D7706" s="11" t="s">
        <v>102</v>
      </c>
      <c r="E7706" s="11">
        <v>32.0</v>
      </c>
      <c r="F7706" s="14">
        <v>4.9</v>
      </c>
      <c r="G7706" s="15">
        <v>0.021779713752333365</v>
      </c>
      <c r="H7706" s="11" t="s">
        <v>33</v>
      </c>
      <c r="I7706" s="16">
        <v>0.4</v>
      </c>
      <c r="J7706" s="11" t="s">
        <v>2105</v>
      </c>
      <c r="K7706" s="11" t="s">
        <v>61</v>
      </c>
      <c r="L7706" s="11" t="s">
        <v>36</v>
      </c>
      <c r="M7706" s="11" t="s">
        <v>28</v>
      </c>
      <c r="N7706" s="11" t="s">
        <v>188</v>
      </c>
      <c r="O7706" s="11" t="s">
        <v>551</v>
      </c>
      <c r="P7706" s="11" t="s">
        <v>38</v>
      </c>
      <c r="Q7706" s="20">
        <v>41152.0</v>
      </c>
      <c r="R7706" s="17">
        <f t="shared" si="2"/>
        <v>3.423771002</v>
      </c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>
        <f t="shared" si="8"/>
        <v>2</v>
      </c>
      <c r="AF7706" s="19">
        <f t="shared" si="13"/>
        <v>4</v>
      </c>
      <c r="AG7706" s="9"/>
      <c r="AH7706" s="9"/>
      <c r="AI7706" s="9"/>
    </row>
    <row r="7707" ht="15.0" customHeight="1">
      <c r="A7707" s="11">
        <v>7706.0</v>
      </c>
      <c r="B7707" s="12">
        <f t="shared" si="1230"/>
        <v>41150</v>
      </c>
      <c r="C7707" s="13">
        <v>2012.0</v>
      </c>
      <c r="D7707" s="11" t="s">
        <v>32</v>
      </c>
      <c r="E7707" s="11">
        <v>45.0</v>
      </c>
      <c r="F7707" s="14">
        <v>23.9</v>
      </c>
      <c r="G7707" s="15">
        <v>0.08699619771863121</v>
      </c>
      <c r="H7707" s="11" t="s">
        <v>33</v>
      </c>
      <c r="I7707" s="16">
        <v>5.04</v>
      </c>
      <c r="J7707" s="11" t="s">
        <v>416</v>
      </c>
      <c r="K7707" s="11" t="s">
        <v>65</v>
      </c>
      <c r="L7707" s="11" t="s">
        <v>41</v>
      </c>
      <c r="M7707" s="11" t="s">
        <v>66</v>
      </c>
      <c r="N7707" s="11" t="s">
        <v>69</v>
      </c>
      <c r="O7707" s="11" t="s">
        <v>1394</v>
      </c>
      <c r="P7707" s="11" t="s">
        <v>75</v>
      </c>
      <c r="Q7707" s="20">
        <v>41152.0</v>
      </c>
      <c r="R7707" s="17">
        <f t="shared" si="2"/>
        <v>94.00287148</v>
      </c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>
        <f t="shared" si="8"/>
        <v>3</v>
      </c>
      <c r="AF7707" s="19">
        <f t="shared" si="13"/>
        <v>5</v>
      </c>
      <c r="AG7707" s="9"/>
      <c r="AH7707" s="9"/>
      <c r="AI7707" s="9"/>
    </row>
    <row r="7708" ht="15.0" customHeight="1">
      <c r="A7708" s="11">
        <v>7707.0</v>
      </c>
      <c r="B7708" s="12">
        <f t="shared" ref="B7708:B7716" si="1231">DATE(2012,12,31)-123</f>
        <v>41151</v>
      </c>
      <c r="C7708" s="13">
        <v>2012.0</v>
      </c>
      <c r="D7708" s="11" t="s">
        <v>39</v>
      </c>
      <c r="E7708" s="11">
        <v>17.0</v>
      </c>
      <c r="F7708" s="14">
        <v>30.9</v>
      </c>
      <c r="G7708" s="15">
        <v>0.09710521871305539</v>
      </c>
      <c r="H7708" s="11" t="s">
        <v>33</v>
      </c>
      <c r="I7708" s="16">
        <v>9.304</v>
      </c>
      <c r="J7708" s="11" t="s">
        <v>1906</v>
      </c>
      <c r="K7708" s="11" t="s">
        <v>61</v>
      </c>
      <c r="L7708" s="11" t="s">
        <v>41</v>
      </c>
      <c r="M7708" s="11" t="s">
        <v>28</v>
      </c>
      <c r="N7708" s="11" t="s">
        <v>42</v>
      </c>
      <c r="O7708" s="11" t="s">
        <v>2567</v>
      </c>
      <c r="P7708" s="11" t="s">
        <v>38</v>
      </c>
      <c r="Q7708" s="20">
        <v>41152.0</v>
      </c>
      <c r="R7708" s="17">
        <f t="shared" si="2"/>
        <v>51.91283834</v>
      </c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>
        <f t="shared" si="8"/>
        <v>3</v>
      </c>
      <c r="AF7708" s="19">
        <f t="shared" si="13"/>
        <v>4</v>
      </c>
      <c r="AG7708" s="9"/>
      <c r="AH7708" s="9"/>
      <c r="AI7708" s="9"/>
    </row>
    <row r="7709" ht="15.0" customHeight="1">
      <c r="A7709" s="11">
        <v>7708.0</v>
      </c>
      <c r="B7709" s="12">
        <f t="shared" si="1231"/>
        <v>41151</v>
      </c>
      <c r="C7709" s="13">
        <v>2012.0</v>
      </c>
      <c r="D7709" s="11" t="s">
        <v>32</v>
      </c>
      <c r="E7709" s="11">
        <v>27.0</v>
      </c>
      <c r="F7709" s="14">
        <v>54.9</v>
      </c>
      <c r="G7709" s="15">
        <v>0.08483211589221046</v>
      </c>
      <c r="H7709" s="11" t="s">
        <v>33</v>
      </c>
      <c r="I7709" s="16">
        <v>8.6</v>
      </c>
      <c r="J7709" s="11" t="s">
        <v>1425</v>
      </c>
      <c r="K7709" s="11" t="s">
        <v>47</v>
      </c>
      <c r="L7709" s="11" t="s">
        <v>48</v>
      </c>
      <c r="M7709" s="11" t="s">
        <v>28</v>
      </c>
      <c r="N7709" s="11" t="s">
        <v>56</v>
      </c>
      <c r="O7709" s="11" t="s">
        <v>2096</v>
      </c>
      <c r="P7709" s="11" t="s">
        <v>38</v>
      </c>
      <c r="Q7709" s="20">
        <v>41152.0</v>
      </c>
      <c r="R7709" s="17">
        <f t="shared" si="2"/>
        <v>126.4762016</v>
      </c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>
        <f t="shared" si="8"/>
        <v>4</v>
      </c>
      <c r="AF7709" s="19">
        <f t="shared" si="13"/>
        <v>3</v>
      </c>
      <c r="AG7709" s="9"/>
      <c r="AH7709" s="9"/>
      <c r="AI7709" s="9"/>
    </row>
    <row r="7710" ht="15.0" customHeight="1">
      <c r="A7710" s="11">
        <v>7709.0</v>
      </c>
      <c r="B7710" s="12">
        <f t="shared" si="1231"/>
        <v>41151</v>
      </c>
      <c r="C7710" s="13">
        <v>2012.0</v>
      </c>
      <c r="D7710" s="11" t="s">
        <v>102</v>
      </c>
      <c r="E7710" s="11">
        <v>13.0</v>
      </c>
      <c r="F7710" s="14">
        <v>55.9</v>
      </c>
      <c r="G7710" s="15">
        <v>0.07581915163830334</v>
      </c>
      <c r="H7710" s="11" t="s">
        <v>33</v>
      </c>
      <c r="I7710" s="16">
        <v>1.0</v>
      </c>
      <c r="J7710" s="11" t="s">
        <v>647</v>
      </c>
      <c r="K7710" s="11" t="s">
        <v>61</v>
      </c>
      <c r="L7710" s="11" t="s">
        <v>27</v>
      </c>
      <c r="M7710" s="11" t="s">
        <v>66</v>
      </c>
      <c r="N7710" s="11" t="s">
        <v>80</v>
      </c>
      <c r="O7710" s="11" t="s">
        <v>1407</v>
      </c>
      <c r="P7710" s="11" t="s">
        <v>99</v>
      </c>
      <c r="Q7710" s="20">
        <v>41152.0</v>
      </c>
      <c r="R7710" s="17">
        <f t="shared" si="2"/>
        <v>55.17359665</v>
      </c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>
        <f t="shared" si="8"/>
        <v>1</v>
      </c>
      <c r="AF7710" s="19">
        <f t="shared" si="13"/>
        <v>4</v>
      </c>
      <c r="AG7710" s="9"/>
      <c r="AH7710" s="9"/>
      <c r="AI7710" s="9"/>
    </row>
    <row r="7711" ht="15.0" customHeight="1">
      <c r="A7711" s="11">
        <v>7710.0</v>
      </c>
      <c r="B7711" s="12">
        <f t="shared" si="1231"/>
        <v>41151</v>
      </c>
      <c r="C7711" s="13">
        <v>2012.0</v>
      </c>
      <c r="D7711" s="11" t="s">
        <v>102</v>
      </c>
      <c r="E7711" s="11">
        <v>44.0</v>
      </c>
      <c r="F7711" s="14">
        <v>16.9</v>
      </c>
      <c r="G7711" s="15">
        <v>0.040625400486992244</v>
      </c>
      <c r="H7711" s="11" t="s">
        <v>33</v>
      </c>
      <c r="I7711" s="16">
        <v>5.0</v>
      </c>
      <c r="J7711" s="11" t="s">
        <v>647</v>
      </c>
      <c r="K7711" s="11" t="s">
        <v>61</v>
      </c>
      <c r="L7711" s="11" t="s">
        <v>27</v>
      </c>
      <c r="M7711" s="11" t="s">
        <v>28</v>
      </c>
      <c r="N7711" s="11" t="s">
        <v>29</v>
      </c>
      <c r="O7711" s="11" t="s">
        <v>2019</v>
      </c>
      <c r="P7711" s="11" t="s">
        <v>38</v>
      </c>
      <c r="Q7711" s="20">
        <v>41152.0</v>
      </c>
      <c r="R7711" s="17">
        <f t="shared" si="2"/>
        <v>30.4121748</v>
      </c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>
        <f t="shared" si="8"/>
        <v>1</v>
      </c>
      <c r="AF7711" s="19">
        <f t="shared" si="13"/>
        <v>4</v>
      </c>
      <c r="AG7711" s="9"/>
      <c r="AH7711" s="9"/>
      <c r="AI7711" s="9"/>
    </row>
    <row r="7712" ht="15.0" customHeight="1">
      <c r="A7712" s="11">
        <v>7711.0</v>
      </c>
      <c r="B7712" s="12">
        <f t="shared" si="1231"/>
        <v>41151</v>
      </c>
      <c r="C7712" s="13">
        <v>2012.0</v>
      </c>
      <c r="D7712" s="11" t="s">
        <v>23</v>
      </c>
      <c r="E7712" s="11">
        <v>45.0</v>
      </c>
      <c r="F7712" s="14">
        <v>4.1</v>
      </c>
      <c r="G7712" s="15">
        <v>0.027603565810173102</v>
      </c>
      <c r="H7712" s="11" t="s">
        <v>33</v>
      </c>
      <c r="I7712" s="16">
        <v>0.9359999999999999</v>
      </c>
      <c r="J7712" s="11" t="s">
        <v>72</v>
      </c>
      <c r="K7712" s="11" t="s">
        <v>61</v>
      </c>
      <c r="L7712" s="11" t="s">
        <v>27</v>
      </c>
      <c r="M7712" s="11" t="s">
        <v>28</v>
      </c>
      <c r="N7712" s="11" t="s">
        <v>62</v>
      </c>
      <c r="O7712" s="11" t="s">
        <v>1358</v>
      </c>
      <c r="P7712" s="11" t="s">
        <v>58</v>
      </c>
      <c r="Q7712" s="20">
        <v>41152.0</v>
      </c>
      <c r="R7712" s="17">
        <f t="shared" si="2"/>
        <v>5.11869483</v>
      </c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>
        <f t="shared" si="8"/>
        <v>1</v>
      </c>
      <c r="AF7712" s="19">
        <f t="shared" si="13"/>
        <v>4</v>
      </c>
      <c r="AG7712" s="9"/>
      <c r="AH7712" s="9"/>
      <c r="AI7712" s="9"/>
    </row>
    <row r="7713" ht="15.0" customHeight="1">
      <c r="A7713" s="11">
        <v>7712.0</v>
      </c>
      <c r="B7713" s="12">
        <f t="shared" si="1231"/>
        <v>41151</v>
      </c>
      <c r="C7713" s="13">
        <v>2012.0</v>
      </c>
      <c r="D7713" s="11" t="s">
        <v>32</v>
      </c>
      <c r="E7713" s="11">
        <v>43.0</v>
      </c>
      <c r="F7713" s="14">
        <v>16.9</v>
      </c>
      <c r="G7713" s="15">
        <v>0.08981589027554676</v>
      </c>
      <c r="H7713" s="11" t="s">
        <v>33</v>
      </c>
      <c r="I7713" s="16">
        <v>9.912</v>
      </c>
      <c r="J7713" s="11" t="s">
        <v>337</v>
      </c>
      <c r="K7713" s="11" t="s">
        <v>117</v>
      </c>
      <c r="L7713" s="11" t="s">
        <v>48</v>
      </c>
      <c r="M7713" s="11" t="s">
        <v>28</v>
      </c>
      <c r="N7713" s="11" t="s">
        <v>236</v>
      </c>
      <c r="O7713" s="11" t="s">
        <v>1267</v>
      </c>
      <c r="P7713" s="11" t="s">
        <v>38</v>
      </c>
      <c r="Q7713" s="20">
        <v>41153.0</v>
      </c>
      <c r="R7713" s="17">
        <f t="shared" si="2"/>
        <v>66.15946257</v>
      </c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>
        <f t="shared" si="8"/>
        <v>4</v>
      </c>
      <c r="AF7713" s="19" t="b">
        <f t="shared" si="13"/>
        <v>0</v>
      </c>
      <c r="AG7713" s="9"/>
      <c r="AH7713" s="9"/>
      <c r="AI7713" s="9"/>
    </row>
    <row r="7714" ht="15.0" customHeight="1">
      <c r="A7714" s="11">
        <v>7713.0</v>
      </c>
      <c r="B7714" s="12">
        <f t="shared" si="1231"/>
        <v>41151</v>
      </c>
      <c r="C7714" s="13">
        <v>2012.0</v>
      </c>
      <c r="D7714" s="11" t="s">
        <v>39</v>
      </c>
      <c r="E7714" s="11">
        <v>29.0</v>
      </c>
      <c r="F7714" s="14">
        <v>95.9</v>
      </c>
      <c r="G7714" s="15">
        <v>0.061233026791939045</v>
      </c>
      <c r="H7714" s="11" t="s">
        <v>45</v>
      </c>
      <c r="I7714" s="16">
        <v>46.56</v>
      </c>
      <c r="J7714" s="11" t="s">
        <v>1984</v>
      </c>
      <c r="K7714" s="11" t="s">
        <v>61</v>
      </c>
      <c r="L7714" s="11" t="s">
        <v>41</v>
      </c>
      <c r="M7714" s="11" t="s">
        <v>49</v>
      </c>
      <c r="N7714" s="11" t="s">
        <v>50</v>
      </c>
      <c r="O7714" s="11" t="s">
        <v>2247</v>
      </c>
      <c r="P7714" s="11" t="s">
        <v>52</v>
      </c>
      <c r="Q7714" s="20">
        <v>41153.0</v>
      </c>
      <c r="R7714" s="17">
        <f t="shared" si="2"/>
        <v>173.1461805</v>
      </c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>
        <f t="shared" si="8"/>
        <v>3</v>
      </c>
      <c r="AF7714" s="19">
        <f t="shared" si="13"/>
        <v>4</v>
      </c>
      <c r="AG7714" s="9"/>
      <c r="AH7714" s="9"/>
      <c r="AI7714" s="9"/>
    </row>
    <row r="7715" ht="15.0" customHeight="1">
      <c r="A7715" s="11">
        <v>7714.0</v>
      </c>
      <c r="B7715" s="12">
        <f t="shared" si="1231"/>
        <v>41151</v>
      </c>
      <c r="C7715" s="13">
        <v>2012.0</v>
      </c>
      <c r="D7715" s="11" t="s">
        <v>32</v>
      </c>
      <c r="E7715" s="11">
        <v>46.0</v>
      </c>
      <c r="F7715" s="14">
        <v>7.1</v>
      </c>
      <c r="G7715" s="15">
        <v>0.09417873735993451</v>
      </c>
      <c r="H7715" s="11" t="s">
        <v>33</v>
      </c>
      <c r="I7715" s="16">
        <v>4.84</v>
      </c>
      <c r="J7715" s="11" t="s">
        <v>1915</v>
      </c>
      <c r="K7715" s="11" t="s">
        <v>61</v>
      </c>
      <c r="L7715" s="11" t="s">
        <v>27</v>
      </c>
      <c r="M7715" s="11" t="s">
        <v>28</v>
      </c>
      <c r="N7715" s="11" t="s">
        <v>42</v>
      </c>
      <c r="O7715" s="11" t="s">
        <v>640</v>
      </c>
      <c r="P7715" s="11" t="s">
        <v>38</v>
      </c>
      <c r="Q7715" s="20">
        <v>41153.0</v>
      </c>
      <c r="R7715" s="17">
        <f t="shared" si="2"/>
        <v>31.21460071</v>
      </c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>
        <f t="shared" si="8"/>
        <v>1</v>
      </c>
      <c r="AF7715" s="19">
        <f t="shared" si="13"/>
        <v>4</v>
      </c>
      <c r="AG7715" s="9"/>
      <c r="AH7715" s="9"/>
      <c r="AI7715" s="9"/>
    </row>
    <row r="7716" ht="15.0" customHeight="1">
      <c r="A7716" s="11">
        <v>7715.0</v>
      </c>
      <c r="B7716" s="12">
        <f t="shared" si="1231"/>
        <v>41151</v>
      </c>
      <c r="C7716" s="13">
        <v>2012.0</v>
      </c>
      <c r="D7716" s="11" t="s">
        <v>32</v>
      </c>
      <c r="E7716" s="11">
        <v>16.0</v>
      </c>
      <c r="F7716" s="14">
        <v>119.9</v>
      </c>
      <c r="G7716" s="15">
        <v>0.016228892118053777</v>
      </c>
      <c r="H7716" s="11" t="s">
        <v>45</v>
      </c>
      <c r="I7716" s="16">
        <v>44.912000000000006</v>
      </c>
      <c r="J7716" s="11" t="s">
        <v>1915</v>
      </c>
      <c r="K7716" s="11" t="s">
        <v>61</v>
      </c>
      <c r="L7716" s="11" t="s">
        <v>27</v>
      </c>
      <c r="M7716" s="11" t="s">
        <v>66</v>
      </c>
      <c r="N7716" s="11" t="s">
        <v>69</v>
      </c>
      <c r="O7716" s="11" t="s">
        <v>390</v>
      </c>
      <c r="P7716" s="11" t="s">
        <v>87</v>
      </c>
      <c r="Q7716" s="20">
        <v>41153.0</v>
      </c>
      <c r="R7716" s="17">
        <f t="shared" si="2"/>
        <v>31.86237864</v>
      </c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>
        <f t="shared" si="8"/>
        <v>1</v>
      </c>
      <c r="AF7716" s="19">
        <f t="shared" si="13"/>
        <v>4</v>
      </c>
      <c r="AG7716" s="9"/>
      <c r="AH7716" s="9"/>
      <c r="AI7716" s="9"/>
    </row>
    <row r="7717" ht="15.0" customHeight="1">
      <c r="A7717" s="11">
        <v>7716.0</v>
      </c>
      <c r="B7717" s="12">
        <f t="shared" ref="B7717:B7722" si="1232">DATE(2012,12,31)-121</f>
        <v>41153</v>
      </c>
      <c r="C7717" s="13">
        <v>2012.0</v>
      </c>
      <c r="D7717" s="11" t="s">
        <v>23</v>
      </c>
      <c r="E7717" s="11">
        <v>28.0</v>
      </c>
      <c r="F7717" s="14">
        <v>31.7</v>
      </c>
      <c r="G7717" s="15">
        <v>0.026293381363534336</v>
      </c>
      <c r="H7717" s="11" t="s">
        <v>33</v>
      </c>
      <c r="I7717" s="16">
        <v>1.592</v>
      </c>
      <c r="J7717" s="11" t="s">
        <v>697</v>
      </c>
      <c r="K7717" s="11" t="s">
        <v>61</v>
      </c>
      <c r="L7717" s="11" t="s">
        <v>48</v>
      </c>
      <c r="M7717" s="11" t="s">
        <v>66</v>
      </c>
      <c r="N7717" s="11" t="s">
        <v>67</v>
      </c>
      <c r="O7717" s="11" t="s">
        <v>502</v>
      </c>
      <c r="P7717" s="11" t="s">
        <v>99</v>
      </c>
      <c r="Q7717" s="20">
        <v>41153.0</v>
      </c>
      <c r="R7717" s="17">
        <f t="shared" si="2"/>
        <v>23.37986436</v>
      </c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>
        <f t="shared" si="8"/>
        <v>4</v>
      </c>
      <c r="AF7717" s="19">
        <f t="shared" si="13"/>
        <v>4</v>
      </c>
      <c r="AG7717" s="9"/>
      <c r="AH7717" s="9"/>
      <c r="AI7717" s="9"/>
    </row>
    <row r="7718" ht="15.0" customHeight="1">
      <c r="A7718" s="11">
        <v>7717.0</v>
      </c>
      <c r="B7718" s="12">
        <f t="shared" si="1232"/>
        <v>41153</v>
      </c>
      <c r="C7718" s="13">
        <v>2012.0</v>
      </c>
      <c r="D7718" s="11" t="s">
        <v>23</v>
      </c>
      <c r="E7718" s="11">
        <v>33.0</v>
      </c>
      <c r="F7718" s="14">
        <v>9.3</v>
      </c>
      <c r="G7718" s="15">
        <v>0.04030873726458761</v>
      </c>
      <c r="H7718" s="11" t="s">
        <v>33</v>
      </c>
      <c r="I7718" s="16">
        <v>3.944</v>
      </c>
      <c r="J7718" s="11" t="s">
        <v>535</v>
      </c>
      <c r="K7718" s="11" t="s">
        <v>35</v>
      </c>
      <c r="L7718" s="11" t="s">
        <v>48</v>
      </c>
      <c r="M7718" s="11" t="s">
        <v>49</v>
      </c>
      <c r="N7718" s="11" t="s">
        <v>73</v>
      </c>
      <c r="O7718" s="11" t="s">
        <v>1892</v>
      </c>
      <c r="P7718" s="11" t="s">
        <v>38</v>
      </c>
      <c r="Q7718" s="20">
        <v>41154.0</v>
      </c>
      <c r="R7718" s="17">
        <f t="shared" si="2"/>
        <v>12.52972913</v>
      </c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>
        <f t="shared" si="8"/>
        <v>4</v>
      </c>
      <c r="AF7718" s="19">
        <f t="shared" si="13"/>
        <v>2</v>
      </c>
      <c r="AG7718" s="9"/>
      <c r="AH7718" s="9"/>
      <c r="AI7718" s="9"/>
    </row>
    <row r="7719" ht="15.0" customHeight="1">
      <c r="A7719" s="11">
        <v>7718.0</v>
      </c>
      <c r="B7719" s="12">
        <f t="shared" si="1232"/>
        <v>41153</v>
      </c>
      <c r="C7719" s="13">
        <v>2012.0</v>
      </c>
      <c r="D7719" s="11" t="s">
        <v>32</v>
      </c>
      <c r="E7719" s="11">
        <v>46.0</v>
      </c>
      <c r="F7719" s="14">
        <v>26.3</v>
      </c>
      <c r="G7719" s="15">
        <v>0.08380205190102594</v>
      </c>
      <c r="H7719" s="11" t="s">
        <v>33</v>
      </c>
      <c r="I7719" s="16">
        <v>4.712</v>
      </c>
      <c r="J7719" s="11" t="s">
        <v>2081</v>
      </c>
      <c r="K7719" s="11" t="s">
        <v>117</v>
      </c>
      <c r="L7719" s="11" t="s">
        <v>36</v>
      </c>
      <c r="M7719" s="11" t="s">
        <v>66</v>
      </c>
      <c r="N7719" s="11" t="s">
        <v>67</v>
      </c>
      <c r="O7719" s="11" t="s">
        <v>1990</v>
      </c>
      <c r="P7719" s="11" t="s">
        <v>38</v>
      </c>
      <c r="Q7719" s="20">
        <v>41154.0</v>
      </c>
      <c r="R7719" s="17">
        <f t="shared" si="2"/>
        <v>101.7785977</v>
      </c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>
        <f t="shared" si="8"/>
        <v>2</v>
      </c>
      <c r="AF7719" s="19" t="b">
        <f t="shared" si="13"/>
        <v>0</v>
      </c>
      <c r="AG7719" s="9"/>
      <c r="AH7719" s="9"/>
      <c r="AI7719" s="9"/>
    </row>
    <row r="7720" ht="15.0" customHeight="1">
      <c r="A7720" s="11">
        <v>7719.0</v>
      </c>
      <c r="B7720" s="12">
        <f t="shared" si="1232"/>
        <v>41153</v>
      </c>
      <c r="C7720" s="13">
        <v>2012.0</v>
      </c>
      <c r="D7720" s="11" t="s">
        <v>39</v>
      </c>
      <c r="E7720" s="11">
        <v>35.0</v>
      </c>
      <c r="F7720" s="14">
        <v>10.3</v>
      </c>
      <c r="G7720" s="15">
        <v>0.06157922077922085</v>
      </c>
      <c r="H7720" s="11" t="s">
        <v>33</v>
      </c>
      <c r="I7720" s="16">
        <v>0.792</v>
      </c>
      <c r="J7720" s="11" t="s">
        <v>1681</v>
      </c>
      <c r="K7720" s="11" t="s">
        <v>61</v>
      </c>
      <c r="L7720" s="11" t="s">
        <v>41</v>
      </c>
      <c r="M7720" s="11" t="s">
        <v>28</v>
      </c>
      <c r="N7720" s="11" t="s">
        <v>188</v>
      </c>
      <c r="O7720" s="11" t="s">
        <v>2144</v>
      </c>
      <c r="P7720" s="11" t="s">
        <v>38</v>
      </c>
      <c r="Q7720" s="20">
        <v>41154.0</v>
      </c>
      <c r="R7720" s="17">
        <f t="shared" si="2"/>
        <v>22.24807983</v>
      </c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>
        <f t="shared" si="8"/>
        <v>3</v>
      </c>
      <c r="AF7720" s="19">
        <f t="shared" si="13"/>
        <v>4</v>
      </c>
      <c r="AG7720" s="9"/>
      <c r="AH7720" s="9"/>
      <c r="AI7720" s="9"/>
    </row>
    <row r="7721" ht="15.0" customHeight="1">
      <c r="A7721" s="11">
        <v>7720.0</v>
      </c>
      <c r="B7721" s="12">
        <f t="shared" si="1232"/>
        <v>41153</v>
      </c>
      <c r="C7721" s="13">
        <v>2012.0</v>
      </c>
      <c r="D7721" s="11" t="s">
        <v>102</v>
      </c>
      <c r="E7721" s="11">
        <v>6.0</v>
      </c>
      <c r="F7721" s="14">
        <v>3.3</v>
      </c>
      <c r="G7721" s="15">
        <v>0.10896551724137941</v>
      </c>
      <c r="H7721" s="11" t="s">
        <v>33</v>
      </c>
      <c r="I7721" s="16">
        <v>0.8720000000000001</v>
      </c>
      <c r="J7721" s="11" t="s">
        <v>288</v>
      </c>
      <c r="K7721" s="11" t="s">
        <v>61</v>
      </c>
      <c r="L7721" s="11" t="s">
        <v>27</v>
      </c>
      <c r="M7721" s="11" t="s">
        <v>28</v>
      </c>
      <c r="N7721" s="11" t="s">
        <v>56</v>
      </c>
      <c r="O7721" s="11" t="s">
        <v>896</v>
      </c>
      <c r="P7721" s="11" t="s">
        <v>58</v>
      </c>
      <c r="Q7721" s="20">
        <v>41154.0</v>
      </c>
      <c r="R7721" s="17">
        <f t="shared" si="2"/>
        <v>2.252535172</v>
      </c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>
        <f t="shared" si="8"/>
        <v>1</v>
      </c>
      <c r="AF7721" s="19">
        <f t="shared" si="13"/>
        <v>4</v>
      </c>
      <c r="AG7721" s="9"/>
      <c r="AH7721" s="9"/>
      <c r="AI7721" s="9"/>
    </row>
    <row r="7722" ht="15.0" customHeight="1">
      <c r="A7722" s="11">
        <v>7721.0</v>
      </c>
      <c r="B7722" s="12">
        <f t="shared" si="1232"/>
        <v>41153</v>
      </c>
      <c r="C7722" s="13">
        <v>2012.0</v>
      </c>
      <c r="D7722" s="11" t="s">
        <v>102</v>
      </c>
      <c r="E7722" s="11">
        <v>16.0</v>
      </c>
      <c r="F7722" s="14">
        <v>236.9</v>
      </c>
      <c r="G7722" s="15">
        <v>0.04167802831672782</v>
      </c>
      <c r="H7722" s="11" t="s">
        <v>45</v>
      </c>
      <c r="I7722" s="16">
        <v>47.392</v>
      </c>
      <c r="J7722" s="11" t="s">
        <v>288</v>
      </c>
      <c r="K7722" s="11" t="s">
        <v>61</v>
      </c>
      <c r="L7722" s="11" t="s">
        <v>27</v>
      </c>
      <c r="M7722" s="11" t="s">
        <v>49</v>
      </c>
      <c r="N7722" s="11" t="s">
        <v>85</v>
      </c>
      <c r="O7722" s="11" t="s">
        <v>658</v>
      </c>
      <c r="P7722" s="11" t="s">
        <v>87</v>
      </c>
      <c r="Q7722" s="20">
        <v>41155.0</v>
      </c>
      <c r="R7722" s="17">
        <f t="shared" si="2"/>
        <v>159.9516036</v>
      </c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>
        <f t="shared" si="8"/>
        <v>1</v>
      </c>
      <c r="AF7722" s="19">
        <f t="shared" si="13"/>
        <v>4</v>
      </c>
      <c r="AG7722" s="9"/>
      <c r="AH7722" s="9"/>
      <c r="AI7722" s="9"/>
    </row>
    <row r="7723" ht="15.0" customHeight="1">
      <c r="A7723" s="11">
        <v>7722.0</v>
      </c>
      <c r="B7723" s="12">
        <f t="shared" ref="B7723:B7734" si="1233">DATE(2012,12,31)-120</f>
        <v>41154</v>
      </c>
      <c r="C7723" s="13">
        <v>2012.0</v>
      </c>
      <c r="D7723" s="11" t="s">
        <v>23</v>
      </c>
      <c r="E7723" s="11">
        <v>24.0</v>
      </c>
      <c r="F7723" s="14">
        <v>4.7</v>
      </c>
      <c r="G7723" s="15">
        <v>0.03765100671140927</v>
      </c>
      <c r="H7723" s="11" t="s">
        <v>33</v>
      </c>
      <c r="I7723" s="16">
        <v>1.9120000000000001</v>
      </c>
      <c r="J7723" s="11" t="s">
        <v>78</v>
      </c>
      <c r="K7723" s="11" t="s">
        <v>35</v>
      </c>
      <c r="L7723" s="11" t="s">
        <v>48</v>
      </c>
      <c r="M7723" s="11" t="s">
        <v>66</v>
      </c>
      <c r="N7723" s="11" t="s">
        <v>67</v>
      </c>
      <c r="O7723" s="11" t="s">
        <v>1167</v>
      </c>
      <c r="P7723" s="11" t="s">
        <v>99</v>
      </c>
      <c r="Q7723" s="20">
        <v>41155.0</v>
      </c>
      <c r="R7723" s="17">
        <f t="shared" si="2"/>
        <v>4.319022282</v>
      </c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>
        <f t="shared" si="8"/>
        <v>4</v>
      </c>
      <c r="AF7723" s="19">
        <f t="shared" si="13"/>
        <v>2</v>
      </c>
      <c r="AG7723" s="9"/>
      <c r="AH7723" s="9"/>
      <c r="AI7723" s="9"/>
    </row>
    <row r="7724" ht="15.0" customHeight="1">
      <c r="A7724" s="11">
        <v>7723.0</v>
      </c>
      <c r="B7724" s="12">
        <f t="shared" si="1233"/>
        <v>41154</v>
      </c>
      <c r="C7724" s="13">
        <v>2012.0</v>
      </c>
      <c r="D7724" s="11" t="s">
        <v>23</v>
      </c>
      <c r="E7724" s="11">
        <v>45.0</v>
      </c>
      <c r="F7724" s="14">
        <v>10.9</v>
      </c>
      <c r="G7724" s="15">
        <v>0.09869152046783629</v>
      </c>
      <c r="H7724" s="11" t="s">
        <v>33</v>
      </c>
      <c r="I7724" s="16">
        <v>2.696</v>
      </c>
      <c r="J7724" s="11" t="s">
        <v>78</v>
      </c>
      <c r="K7724" s="11" t="s">
        <v>35</v>
      </c>
      <c r="L7724" s="11" t="s">
        <v>48</v>
      </c>
      <c r="M7724" s="11" t="s">
        <v>28</v>
      </c>
      <c r="N7724" s="11" t="s">
        <v>442</v>
      </c>
      <c r="O7724" s="11" t="s">
        <v>1111</v>
      </c>
      <c r="P7724" s="11" t="s">
        <v>99</v>
      </c>
      <c r="Q7724" s="20">
        <v>41155.0</v>
      </c>
      <c r="R7724" s="17">
        <f t="shared" si="2"/>
        <v>48.67426313</v>
      </c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>
        <f t="shared" si="8"/>
        <v>4</v>
      </c>
      <c r="AF7724" s="19">
        <f t="shared" si="13"/>
        <v>2</v>
      </c>
      <c r="AG7724" s="9"/>
      <c r="AH7724" s="9"/>
      <c r="AI7724" s="9"/>
    </row>
    <row r="7725" ht="15.0" customHeight="1">
      <c r="A7725" s="11">
        <v>7724.0</v>
      </c>
      <c r="B7725" s="12">
        <f t="shared" si="1233"/>
        <v>41154</v>
      </c>
      <c r="C7725" s="13">
        <v>2012.0</v>
      </c>
      <c r="D7725" s="11" t="s">
        <v>39</v>
      </c>
      <c r="E7725" s="11">
        <v>3.0</v>
      </c>
      <c r="F7725" s="14">
        <v>11.5</v>
      </c>
      <c r="G7725" s="15">
        <v>0.05155339805825248</v>
      </c>
      <c r="H7725" s="11" t="s">
        <v>33</v>
      </c>
      <c r="I7725" s="16">
        <v>4.576</v>
      </c>
      <c r="J7725" s="11" t="s">
        <v>907</v>
      </c>
      <c r="K7725" s="11" t="s">
        <v>47</v>
      </c>
      <c r="L7725" s="11" t="s">
        <v>27</v>
      </c>
      <c r="M7725" s="11" t="s">
        <v>28</v>
      </c>
      <c r="N7725" s="11" t="s">
        <v>236</v>
      </c>
      <c r="O7725" s="11" t="s">
        <v>376</v>
      </c>
      <c r="P7725" s="11" t="s">
        <v>38</v>
      </c>
      <c r="Q7725" s="20">
        <v>41155.0</v>
      </c>
      <c r="R7725" s="17">
        <f t="shared" si="2"/>
        <v>2.014500583</v>
      </c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>
        <f t="shared" si="8"/>
        <v>1</v>
      </c>
      <c r="AF7725" s="19">
        <f t="shared" si="13"/>
        <v>3</v>
      </c>
      <c r="AG7725" s="9"/>
      <c r="AH7725" s="9"/>
      <c r="AI7725" s="9"/>
    </row>
    <row r="7726" ht="15.0" customHeight="1">
      <c r="A7726" s="11">
        <v>7725.0</v>
      </c>
      <c r="B7726" s="12">
        <f t="shared" si="1233"/>
        <v>41154</v>
      </c>
      <c r="C7726" s="13">
        <v>2012.0</v>
      </c>
      <c r="D7726" s="11" t="s">
        <v>39</v>
      </c>
      <c r="E7726" s="11">
        <v>16.0</v>
      </c>
      <c r="F7726" s="14">
        <v>30.9</v>
      </c>
      <c r="G7726" s="15">
        <v>0.00596352101506737</v>
      </c>
      <c r="H7726" s="11" t="s">
        <v>33</v>
      </c>
      <c r="I7726" s="16">
        <v>6.992000000000001</v>
      </c>
      <c r="J7726" s="11" t="s">
        <v>907</v>
      </c>
      <c r="K7726" s="11" t="s">
        <v>47</v>
      </c>
      <c r="L7726" s="11" t="s">
        <v>27</v>
      </c>
      <c r="M7726" s="11" t="s">
        <v>28</v>
      </c>
      <c r="N7726" s="11" t="s">
        <v>56</v>
      </c>
      <c r="O7726" s="11" t="s">
        <v>776</v>
      </c>
      <c r="P7726" s="11" t="s">
        <v>38</v>
      </c>
      <c r="Q7726" s="20">
        <v>41155.0</v>
      </c>
      <c r="R7726" s="17">
        <f t="shared" si="2"/>
        <v>2.990061729</v>
      </c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>
        <f t="shared" si="8"/>
        <v>1</v>
      </c>
      <c r="AF7726" s="19">
        <f t="shared" si="13"/>
        <v>3</v>
      </c>
      <c r="AG7726" s="9"/>
      <c r="AH7726" s="9"/>
      <c r="AI7726" s="9"/>
    </row>
    <row r="7727" ht="15.0" customHeight="1">
      <c r="A7727" s="11">
        <v>7726.0</v>
      </c>
      <c r="B7727" s="12">
        <f t="shared" si="1233"/>
        <v>41154</v>
      </c>
      <c r="C7727" s="13">
        <v>2012.0</v>
      </c>
      <c r="D7727" s="11" t="s">
        <v>39</v>
      </c>
      <c r="E7727" s="11">
        <v>23.0</v>
      </c>
      <c r="F7727" s="14">
        <v>12.2</v>
      </c>
      <c r="G7727" s="15">
        <v>0.09469127943984726</v>
      </c>
      <c r="H7727" s="11" t="s">
        <v>33</v>
      </c>
      <c r="I7727" s="16">
        <v>3.848</v>
      </c>
      <c r="J7727" s="11" t="s">
        <v>2076</v>
      </c>
      <c r="K7727" s="11" t="s">
        <v>83</v>
      </c>
      <c r="L7727" s="11" t="s">
        <v>41</v>
      </c>
      <c r="M7727" s="11" t="s">
        <v>28</v>
      </c>
      <c r="N7727" s="11" t="s">
        <v>29</v>
      </c>
      <c r="O7727" s="11" t="s">
        <v>2147</v>
      </c>
      <c r="P7727" s="11" t="s">
        <v>38</v>
      </c>
      <c r="Q7727" s="20">
        <v>41155.0</v>
      </c>
      <c r="R7727" s="17">
        <f t="shared" si="2"/>
        <v>26.93474505</v>
      </c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>
        <f t="shared" si="8"/>
        <v>3</v>
      </c>
      <c r="AF7727" s="19" t="b">
        <f t="shared" si="13"/>
        <v>0</v>
      </c>
      <c r="AG7727" s="9"/>
      <c r="AH7727" s="9"/>
      <c r="AI7727" s="9"/>
    </row>
    <row r="7728" ht="15.0" customHeight="1">
      <c r="A7728" s="11">
        <v>7727.0</v>
      </c>
      <c r="B7728" s="12">
        <f t="shared" si="1233"/>
        <v>41154</v>
      </c>
      <c r="C7728" s="13">
        <v>2012.0</v>
      </c>
      <c r="D7728" s="11" t="s">
        <v>39</v>
      </c>
      <c r="E7728" s="11">
        <v>36.0</v>
      </c>
      <c r="F7728" s="14">
        <v>140.8</v>
      </c>
      <c r="G7728" s="15">
        <v>0.05767383246849511</v>
      </c>
      <c r="H7728" s="11" t="s">
        <v>33</v>
      </c>
      <c r="I7728" s="16">
        <v>15.991999999999999</v>
      </c>
      <c r="J7728" s="11" t="s">
        <v>2076</v>
      </c>
      <c r="K7728" s="11" t="s">
        <v>83</v>
      </c>
      <c r="L7728" s="11" t="s">
        <v>41</v>
      </c>
      <c r="M7728" s="11" t="s">
        <v>28</v>
      </c>
      <c r="N7728" s="11" t="s">
        <v>29</v>
      </c>
      <c r="O7728" s="11" t="s">
        <v>1905</v>
      </c>
      <c r="P7728" s="11" t="s">
        <v>38</v>
      </c>
      <c r="Q7728" s="20">
        <v>41155.0</v>
      </c>
      <c r="R7728" s="17">
        <f t="shared" si="2"/>
        <v>293.2594419</v>
      </c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>
        <f t="shared" si="8"/>
        <v>3</v>
      </c>
      <c r="AF7728" s="19" t="b">
        <f t="shared" si="13"/>
        <v>0</v>
      </c>
      <c r="AG7728" s="9"/>
      <c r="AH7728" s="9"/>
      <c r="AI7728" s="9"/>
    </row>
    <row r="7729" ht="15.0" customHeight="1">
      <c r="A7729" s="11">
        <v>7728.0</v>
      </c>
      <c r="B7729" s="12">
        <f t="shared" si="1233"/>
        <v>41154</v>
      </c>
      <c r="C7729" s="13">
        <v>2012.0</v>
      </c>
      <c r="D7729" s="11" t="s">
        <v>44</v>
      </c>
      <c r="E7729" s="11">
        <v>50.0</v>
      </c>
      <c r="F7729" s="14">
        <v>4.9</v>
      </c>
      <c r="G7729" s="15">
        <v>0.09495245062179938</v>
      </c>
      <c r="H7729" s="11" t="s">
        <v>33</v>
      </c>
      <c r="I7729" s="16">
        <v>2.44</v>
      </c>
      <c r="J7729" s="11" t="s">
        <v>928</v>
      </c>
      <c r="K7729" s="11" t="s">
        <v>61</v>
      </c>
      <c r="L7729" s="11" t="s">
        <v>36</v>
      </c>
      <c r="M7729" s="11" t="s">
        <v>49</v>
      </c>
      <c r="N7729" s="11" t="s">
        <v>73</v>
      </c>
      <c r="O7729" s="11" t="s">
        <v>2209</v>
      </c>
      <c r="P7729" s="11" t="s">
        <v>99</v>
      </c>
      <c r="Q7729" s="20">
        <v>41155.0</v>
      </c>
      <c r="R7729" s="17">
        <f t="shared" si="2"/>
        <v>23.49503438</v>
      </c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>
        <f t="shared" si="8"/>
        <v>2</v>
      </c>
      <c r="AF7729" s="19">
        <f t="shared" si="13"/>
        <v>4</v>
      </c>
      <c r="AG7729" s="9"/>
      <c r="AH7729" s="9"/>
      <c r="AI7729" s="9"/>
    </row>
    <row r="7730" ht="15.0" customHeight="1">
      <c r="A7730" s="11">
        <v>7729.0</v>
      </c>
      <c r="B7730" s="12">
        <f t="shared" si="1233"/>
        <v>41154</v>
      </c>
      <c r="C7730" s="13">
        <v>2012.0</v>
      </c>
      <c r="D7730" s="11" t="s">
        <v>44</v>
      </c>
      <c r="E7730" s="11">
        <v>22.0</v>
      </c>
      <c r="F7730" s="14">
        <v>3.7</v>
      </c>
      <c r="G7730" s="15">
        <v>0.1109761388286334</v>
      </c>
      <c r="H7730" s="11" t="s">
        <v>33</v>
      </c>
      <c r="I7730" s="16">
        <v>0.568</v>
      </c>
      <c r="J7730" s="11" t="s">
        <v>928</v>
      </c>
      <c r="K7730" s="11" t="s">
        <v>61</v>
      </c>
      <c r="L7730" s="11" t="s">
        <v>36</v>
      </c>
      <c r="M7730" s="11" t="s">
        <v>28</v>
      </c>
      <c r="N7730" s="11" t="s">
        <v>216</v>
      </c>
      <c r="O7730" s="11" t="s">
        <v>2032</v>
      </c>
      <c r="P7730" s="11" t="s">
        <v>58</v>
      </c>
      <c r="Q7730" s="20">
        <v>41156.0</v>
      </c>
      <c r="R7730" s="17">
        <f t="shared" si="2"/>
        <v>9.096492148</v>
      </c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>
        <f t="shared" si="8"/>
        <v>2</v>
      </c>
      <c r="AF7730" s="19">
        <f t="shared" si="13"/>
        <v>4</v>
      </c>
      <c r="AG7730" s="9"/>
      <c r="AH7730" s="9"/>
      <c r="AI7730" s="9"/>
    </row>
    <row r="7731" ht="15.0" customHeight="1">
      <c r="A7731" s="11">
        <v>7730.0</v>
      </c>
      <c r="B7731" s="12">
        <f t="shared" si="1233"/>
        <v>41154</v>
      </c>
      <c r="C7731" s="13">
        <v>2012.0</v>
      </c>
      <c r="D7731" s="11" t="s">
        <v>23</v>
      </c>
      <c r="E7731" s="11">
        <v>14.0</v>
      </c>
      <c r="F7731" s="14">
        <v>2.8</v>
      </c>
      <c r="G7731" s="15">
        <v>0.031784841075794726</v>
      </c>
      <c r="H7731" s="11" t="s">
        <v>24</v>
      </c>
      <c r="I7731" s="16">
        <v>0.4</v>
      </c>
      <c r="J7731" s="11" t="s">
        <v>491</v>
      </c>
      <c r="K7731" s="11" t="s">
        <v>47</v>
      </c>
      <c r="L7731" s="11" t="s">
        <v>48</v>
      </c>
      <c r="M7731" s="11" t="s">
        <v>28</v>
      </c>
      <c r="N7731" s="11" t="s">
        <v>188</v>
      </c>
      <c r="O7731" s="11" t="s">
        <v>437</v>
      </c>
      <c r="P7731" s="11" t="s">
        <v>38</v>
      </c>
      <c r="Q7731" s="20">
        <v>41156.0</v>
      </c>
      <c r="R7731" s="17">
        <f t="shared" si="2"/>
        <v>1.258679707</v>
      </c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>
        <f t="shared" si="8"/>
        <v>4</v>
      </c>
      <c r="AF7731" s="19">
        <f t="shared" si="13"/>
        <v>3</v>
      </c>
      <c r="AG7731" s="9"/>
      <c r="AH7731" s="9"/>
      <c r="AI7731" s="9"/>
    </row>
    <row r="7732" ht="15.0" customHeight="1">
      <c r="A7732" s="11">
        <v>7731.0</v>
      </c>
      <c r="B7732" s="12">
        <f t="shared" si="1233"/>
        <v>41154</v>
      </c>
      <c r="C7732" s="13">
        <v>2012.0</v>
      </c>
      <c r="D7732" s="11" t="s">
        <v>44</v>
      </c>
      <c r="E7732" s="11">
        <v>50.0</v>
      </c>
      <c r="F7732" s="14">
        <v>39.9</v>
      </c>
      <c r="G7732" s="15">
        <v>0.03196520057999032</v>
      </c>
      <c r="H7732" s="11" t="s">
        <v>33</v>
      </c>
      <c r="I7732" s="16">
        <v>7.864000000000001</v>
      </c>
      <c r="J7732" s="11" t="s">
        <v>900</v>
      </c>
      <c r="K7732" s="11" t="s">
        <v>61</v>
      </c>
      <c r="L7732" s="11" t="s">
        <v>48</v>
      </c>
      <c r="M7732" s="11" t="s">
        <v>28</v>
      </c>
      <c r="N7732" s="11" t="s">
        <v>236</v>
      </c>
      <c r="O7732" s="11" t="s">
        <v>2171</v>
      </c>
      <c r="P7732" s="11" t="s">
        <v>38</v>
      </c>
      <c r="Q7732" s="20">
        <v>41156.0</v>
      </c>
      <c r="R7732" s="17">
        <f t="shared" si="2"/>
        <v>64.02194949</v>
      </c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>
        <f t="shared" si="8"/>
        <v>4</v>
      </c>
      <c r="AF7732" s="19">
        <f t="shared" si="13"/>
        <v>4</v>
      </c>
      <c r="AG7732" s="9"/>
      <c r="AH7732" s="9"/>
      <c r="AI7732" s="9"/>
    </row>
    <row r="7733" ht="15.0" customHeight="1">
      <c r="A7733" s="11">
        <v>7732.0</v>
      </c>
      <c r="B7733" s="12">
        <f t="shared" si="1233"/>
        <v>41154</v>
      </c>
      <c r="C7733" s="13">
        <v>2012.0</v>
      </c>
      <c r="D7733" s="11" t="s">
        <v>44</v>
      </c>
      <c r="E7733" s="11">
        <v>31.0</v>
      </c>
      <c r="F7733" s="14">
        <v>125.9</v>
      </c>
      <c r="G7733" s="15">
        <v>0.02993491330054156</v>
      </c>
      <c r="H7733" s="11" t="s">
        <v>33</v>
      </c>
      <c r="I7733" s="16">
        <v>2.0</v>
      </c>
      <c r="J7733" s="11" t="s">
        <v>900</v>
      </c>
      <c r="K7733" s="11" t="s">
        <v>61</v>
      </c>
      <c r="L7733" s="11" t="s">
        <v>48</v>
      </c>
      <c r="M7733" s="11" t="s">
        <v>66</v>
      </c>
      <c r="N7733" s="11" t="s">
        <v>80</v>
      </c>
      <c r="O7733" s="11" t="s">
        <v>862</v>
      </c>
      <c r="P7733" s="11" t="s">
        <v>38</v>
      </c>
      <c r="Q7733" s="20">
        <v>41156.0</v>
      </c>
      <c r="R7733" s="17">
        <f t="shared" si="2"/>
        <v>116.8928429</v>
      </c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>
        <f t="shared" si="8"/>
        <v>4</v>
      </c>
      <c r="AF7733" s="19">
        <f t="shared" si="13"/>
        <v>4</v>
      </c>
      <c r="AG7733" s="9"/>
      <c r="AH7733" s="9"/>
      <c r="AI7733" s="9"/>
    </row>
    <row r="7734" ht="15.0" customHeight="1">
      <c r="A7734" s="11">
        <v>7733.0</v>
      </c>
      <c r="B7734" s="12">
        <f t="shared" si="1233"/>
        <v>41154</v>
      </c>
      <c r="C7734" s="13">
        <v>2012.0</v>
      </c>
      <c r="D7734" s="11" t="s">
        <v>32</v>
      </c>
      <c r="E7734" s="11">
        <v>34.0</v>
      </c>
      <c r="F7734" s="14">
        <v>115.9</v>
      </c>
      <c r="G7734" s="15">
        <v>0.06624351656680004</v>
      </c>
      <c r="H7734" s="11" t="s">
        <v>24</v>
      </c>
      <c r="I7734" s="16">
        <v>2.0</v>
      </c>
      <c r="J7734" s="11" t="s">
        <v>507</v>
      </c>
      <c r="K7734" s="11" t="s">
        <v>61</v>
      </c>
      <c r="L7734" s="11" t="s">
        <v>48</v>
      </c>
      <c r="M7734" s="11" t="s">
        <v>66</v>
      </c>
      <c r="N7734" s="11" t="s">
        <v>80</v>
      </c>
      <c r="O7734" s="11" t="s">
        <v>2487</v>
      </c>
      <c r="P7734" s="11" t="s">
        <v>38</v>
      </c>
      <c r="Q7734" s="20">
        <v>41156.0</v>
      </c>
      <c r="R7734" s="17">
        <f t="shared" si="2"/>
        <v>261.1716884</v>
      </c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>
        <f t="shared" si="8"/>
        <v>4</v>
      </c>
      <c r="AF7734" s="19">
        <f t="shared" si="13"/>
        <v>4</v>
      </c>
      <c r="AG7734" s="9"/>
      <c r="AH7734" s="9"/>
      <c r="AI7734" s="9"/>
    </row>
    <row r="7735" ht="15.0" customHeight="1">
      <c r="A7735" s="11">
        <v>7734.0</v>
      </c>
      <c r="B7735" s="12">
        <f t="shared" ref="B7735:B7740" si="1234">DATE(2012,12,31)-119</f>
        <v>41155</v>
      </c>
      <c r="C7735" s="13">
        <v>2012.0</v>
      </c>
      <c r="D7735" s="11" t="s">
        <v>23</v>
      </c>
      <c r="E7735" s="11">
        <v>25.0</v>
      </c>
      <c r="F7735" s="14">
        <v>90.4</v>
      </c>
      <c r="G7735" s="15">
        <v>0.022172194535143377</v>
      </c>
      <c r="H7735" s="11" t="s">
        <v>33</v>
      </c>
      <c r="I7735" s="16">
        <v>15.991999999999999</v>
      </c>
      <c r="J7735" s="11" t="s">
        <v>2541</v>
      </c>
      <c r="K7735" s="11" t="s">
        <v>47</v>
      </c>
      <c r="L7735" s="11" t="s">
        <v>27</v>
      </c>
      <c r="M7735" s="11" t="s">
        <v>28</v>
      </c>
      <c r="N7735" s="11" t="s">
        <v>236</v>
      </c>
      <c r="O7735" s="11" t="s">
        <v>296</v>
      </c>
      <c r="P7735" s="11" t="s">
        <v>38</v>
      </c>
      <c r="Q7735" s="20">
        <v>41157.0</v>
      </c>
      <c r="R7735" s="17">
        <f t="shared" si="2"/>
        <v>50.46373738</v>
      </c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>
        <f t="shared" si="8"/>
        <v>1</v>
      </c>
      <c r="AF7735" s="19">
        <f t="shared" si="13"/>
        <v>3</v>
      </c>
      <c r="AG7735" s="9"/>
      <c r="AH7735" s="9"/>
      <c r="AI7735" s="9"/>
    </row>
    <row r="7736" ht="15.0" customHeight="1">
      <c r="A7736" s="11">
        <v>7735.0</v>
      </c>
      <c r="B7736" s="12">
        <f t="shared" si="1234"/>
        <v>41155</v>
      </c>
      <c r="C7736" s="13">
        <v>2012.0</v>
      </c>
      <c r="D7736" s="11" t="s">
        <v>32</v>
      </c>
      <c r="E7736" s="11">
        <v>29.0</v>
      </c>
      <c r="F7736" s="14">
        <v>27.4</v>
      </c>
      <c r="G7736" s="15">
        <v>0.013722338978860209</v>
      </c>
      <c r="H7736" s="11" t="s">
        <v>33</v>
      </c>
      <c r="I7736" s="16">
        <v>3.2</v>
      </c>
      <c r="J7736" s="11" t="s">
        <v>1133</v>
      </c>
      <c r="K7736" s="11" t="s">
        <v>83</v>
      </c>
      <c r="L7736" s="11" t="s">
        <v>27</v>
      </c>
      <c r="M7736" s="11" t="s">
        <v>66</v>
      </c>
      <c r="N7736" s="11" t="s">
        <v>67</v>
      </c>
      <c r="O7736" s="11" t="s">
        <v>1262</v>
      </c>
      <c r="P7736" s="11" t="s">
        <v>38</v>
      </c>
      <c r="Q7736" s="20">
        <v>41157.0</v>
      </c>
      <c r="R7736" s="17">
        <f t="shared" si="2"/>
        <v>10.94768204</v>
      </c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>
        <f t="shared" si="8"/>
        <v>1</v>
      </c>
      <c r="AF7736" s="19" t="b">
        <f t="shared" si="13"/>
        <v>0</v>
      </c>
      <c r="AG7736" s="9"/>
      <c r="AH7736" s="9"/>
      <c r="AI7736" s="9"/>
    </row>
    <row r="7737" ht="15.0" customHeight="1">
      <c r="A7737" s="11">
        <v>7736.0</v>
      </c>
      <c r="B7737" s="12">
        <f t="shared" si="1234"/>
        <v>41155</v>
      </c>
      <c r="C7737" s="13">
        <v>2012.0</v>
      </c>
      <c r="D7737" s="11" t="s">
        <v>32</v>
      </c>
      <c r="E7737" s="11">
        <v>28.0</v>
      </c>
      <c r="F7737" s="14">
        <v>115.9</v>
      </c>
      <c r="G7737" s="15">
        <v>0.04245867287543653</v>
      </c>
      <c r="H7737" s="11" t="s">
        <v>45</v>
      </c>
      <c r="I7737" s="16">
        <v>44.912000000000006</v>
      </c>
      <c r="J7737" s="11" t="s">
        <v>1179</v>
      </c>
      <c r="K7737" s="11" t="s">
        <v>61</v>
      </c>
      <c r="L7737" s="11" t="s">
        <v>41</v>
      </c>
      <c r="M7737" s="11" t="s">
        <v>66</v>
      </c>
      <c r="N7737" s="11" t="s">
        <v>69</v>
      </c>
      <c r="O7737" s="11" t="s">
        <v>289</v>
      </c>
      <c r="P7737" s="11" t="s">
        <v>52</v>
      </c>
      <c r="Q7737" s="20">
        <v>41157.0</v>
      </c>
      <c r="R7737" s="17">
        <f t="shared" si="2"/>
        <v>139.6937891</v>
      </c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>
        <f t="shared" si="8"/>
        <v>3</v>
      </c>
      <c r="AF7737" s="19">
        <f t="shared" si="13"/>
        <v>4</v>
      </c>
      <c r="AG7737" s="9"/>
      <c r="AH7737" s="9"/>
      <c r="AI7737" s="9"/>
    </row>
    <row r="7738" ht="15.0" customHeight="1">
      <c r="A7738" s="11">
        <v>7737.0</v>
      </c>
      <c r="B7738" s="12">
        <f t="shared" si="1234"/>
        <v>41155</v>
      </c>
      <c r="C7738" s="13">
        <v>2012.0</v>
      </c>
      <c r="D7738" s="11" t="s">
        <v>39</v>
      </c>
      <c r="E7738" s="11">
        <v>31.0</v>
      </c>
      <c r="F7738" s="14">
        <v>27.4</v>
      </c>
      <c r="G7738" s="15">
        <v>0.03278502552467383</v>
      </c>
      <c r="H7738" s="11" t="s">
        <v>33</v>
      </c>
      <c r="I7738" s="16">
        <v>3.2</v>
      </c>
      <c r="J7738" s="11" t="s">
        <v>279</v>
      </c>
      <c r="K7738" s="11" t="s">
        <v>47</v>
      </c>
      <c r="L7738" s="11" t="s">
        <v>41</v>
      </c>
      <c r="M7738" s="11" t="s">
        <v>66</v>
      </c>
      <c r="N7738" s="11" t="s">
        <v>67</v>
      </c>
      <c r="O7738" s="11" t="s">
        <v>1262</v>
      </c>
      <c r="P7738" s="11" t="s">
        <v>38</v>
      </c>
      <c r="Q7738" s="20">
        <v>41158.0</v>
      </c>
      <c r="R7738" s="17">
        <f t="shared" si="2"/>
        <v>27.95251276</v>
      </c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>
        <f t="shared" si="8"/>
        <v>3</v>
      </c>
      <c r="AF7738" s="19">
        <f t="shared" si="13"/>
        <v>3</v>
      </c>
      <c r="AG7738" s="9"/>
      <c r="AH7738" s="9"/>
      <c r="AI7738" s="9"/>
    </row>
    <row r="7739" ht="15.0" customHeight="1">
      <c r="A7739" s="11">
        <v>7738.0</v>
      </c>
      <c r="B7739" s="12">
        <f t="shared" si="1234"/>
        <v>41155</v>
      </c>
      <c r="C7739" s="13">
        <v>2012.0</v>
      </c>
      <c r="D7739" s="11" t="s">
        <v>44</v>
      </c>
      <c r="E7739" s="11">
        <v>6.0</v>
      </c>
      <c r="F7739" s="14">
        <v>3.8</v>
      </c>
      <c r="G7739" s="15">
        <v>0.08427480916030541</v>
      </c>
      <c r="H7739" s="11" t="s">
        <v>33</v>
      </c>
      <c r="I7739" s="16">
        <v>1.192</v>
      </c>
      <c r="J7739" s="11" t="s">
        <v>930</v>
      </c>
      <c r="K7739" s="11" t="s">
        <v>61</v>
      </c>
      <c r="L7739" s="11" t="s">
        <v>27</v>
      </c>
      <c r="M7739" s="11" t="s">
        <v>28</v>
      </c>
      <c r="N7739" s="11" t="s">
        <v>42</v>
      </c>
      <c r="O7739" s="11" t="s">
        <v>667</v>
      </c>
      <c r="P7739" s="11" t="s">
        <v>38</v>
      </c>
      <c r="Q7739" s="20">
        <v>41158.0</v>
      </c>
      <c r="R7739" s="17">
        <f t="shared" si="2"/>
        <v>2.021921221</v>
      </c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>
        <f t="shared" si="8"/>
        <v>1</v>
      </c>
      <c r="AF7739" s="19">
        <f t="shared" si="13"/>
        <v>4</v>
      </c>
      <c r="AG7739" s="9"/>
      <c r="AH7739" s="9"/>
      <c r="AI7739" s="9"/>
    </row>
    <row r="7740" ht="15.0" customHeight="1">
      <c r="A7740" s="11">
        <v>7739.0</v>
      </c>
      <c r="B7740" s="12">
        <f t="shared" si="1234"/>
        <v>41155</v>
      </c>
      <c r="C7740" s="13">
        <v>2012.0</v>
      </c>
      <c r="D7740" s="11" t="s">
        <v>44</v>
      </c>
      <c r="E7740" s="11">
        <v>18.0</v>
      </c>
      <c r="F7740" s="14">
        <v>15.5</v>
      </c>
      <c r="G7740" s="15">
        <v>0.03409655172413785</v>
      </c>
      <c r="H7740" s="11" t="s">
        <v>33</v>
      </c>
      <c r="I7740" s="16">
        <v>1.1119999999999999</v>
      </c>
      <c r="J7740" s="11" t="s">
        <v>930</v>
      </c>
      <c r="K7740" s="11" t="s">
        <v>61</v>
      </c>
      <c r="L7740" s="11" t="s">
        <v>27</v>
      </c>
      <c r="M7740" s="11" t="s">
        <v>28</v>
      </c>
      <c r="N7740" s="11" t="s">
        <v>236</v>
      </c>
      <c r="O7740" s="11" t="s">
        <v>885</v>
      </c>
      <c r="P7740" s="11" t="s">
        <v>38</v>
      </c>
      <c r="Q7740" s="20">
        <v>41158.0</v>
      </c>
      <c r="R7740" s="17">
        <f t="shared" si="2"/>
        <v>9.550853297</v>
      </c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>
        <f t="shared" si="8"/>
        <v>1</v>
      </c>
      <c r="AF7740" s="19">
        <f t="shared" si="13"/>
        <v>4</v>
      </c>
      <c r="AG7740" s="9"/>
      <c r="AH7740" s="9"/>
      <c r="AI7740" s="9"/>
    </row>
    <row r="7741" ht="15.0" customHeight="1">
      <c r="A7741" s="11">
        <v>7740.0</v>
      </c>
      <c r="B7741" s="12">
        <f t="shared" ref="B7741:B7744" si="1235">DATE(2012,12,31)-118</f>
        <v>41156</v>
      </c>
      <c r="C7741" s="13">
        <v>2012.0</v>
      </c>
      <c r="D7741" s="11" t="s">
        <v>39</v>
      </c>
      <c r="E7741" s="11">
        <v>32.0</v>
      </c>
      <c r="F7741" s="14">
        <v>20.9</v>
      </c>
      <c r="G7741" s="15">
        <v>0.0051660516605166054</v>
      </c>
      <c r="H7741" s="11" t="s">
        <v>33</v>
      </c>
      <c r="I7741" s="16">
        <v>5.2</v>
      </c>
      <c r="J7741" s="11" t="s">
        <v>412</v>
      </c>
      <c r="K7741" s="11" t="s">
        <v>35</v>
      </c>
      <c r="L7741" s="11" t="s">
        <v>27</v>
      </c>
      <c r="M7741" s="11" t="s">
        <v>66</v>
      </c>
      <c r="N7741" s="11" t="s">
        <v>67</v>
      </c>
      <c r="O7741" s="11" t="s">
        <v>2130</v>
      </c>
      <c r="P7741" s="11" t="s">
        <v>38</v>
      </c>
      <c r="Q7741" s="20">
        <v>41158.0</v>
      </c>
      <c r="R7741" s="17">
        <f t="shared" si="2"/>
        <v>3.481918819</v>
      </c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>
        <f t="shared" si="8"/>
        <v>1</v>
      </c>
      <c r="AF7741" s="19">
        <f t="shared" si="13"/>
        <v>2</v>
      </c>
      <c r="AG7741" s="9"/>
      <c r="AH7741" s="9"/>
      <c r="AI7741" s="9"/>
    </row>
    <row r="7742" ht="15.0" customHeight="1">
      <c r="A7742" s="11">
        <v>7741.0</v>
      </c>
      <c r="B7742" s="12">
        <f t="shared" si="1235"/>
        <v>41156</v>
      </c>
      <c r="C7742" s="13">
        <v>2012.0</v>
      </c>
      <c r="D7742" s="11" t="s">
        <v>39</v>
      </c>
      <c r="E7742" s="11">
        <v>23.0</v>
      </c>
      <c r="F7742" s="14">
        <v>4.9</v>
      </c>
      <c r="G7742" s="15">
        <v>0.08806853582554522</v>
      </c>
      <c r="H7742" s="11" t="s">
        <v>33</v>
      </c>
      <c r="I7742" s="16">
        <v>4.392</v>
      </c>
      <c r="J7742" s="11" t="s">
        <v>412</v>
      </c>
      <c r="K7742" s="11" t="s">
        <v>35</v>
      </c>
      <c r="L7742" s="11" t="s">
        <v>27</v>
      </c>
      <c r="M7742" s="11" t="s">
        <v>28</v>
      </c>
      <c r="N7742" s="11" t="s">
        <v>56</v>
      </c>
      <c r="O7742" s="11" t="s">
        <v>1297</v>
      </c>
      <c r="P7742" s="11" t="s">
        <v>38</v>
      </c>
      <c r="Q7742" s="20">
        <v>41158.0</v>
      </c>
      <c r="R7742" s="17">
        <f t="shared" si="2"/>
        <v>10.312121</v>
      </c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>
        <f t="shared" si="8"/>
        <v>1</v>
      </c>
      <c r="AF7742" s="19">
        <f t="shared" si="13"/>
        <v>2</v>
      </c>
      <c r="AG7742" s="9"/>
      <c r="AH7742" s="9"/>
      <c r="AI7742" s="9"/>
    </row>
    <row r="7743" ht="15.0" customHeight="1">
      <c r="A7743" s="11">
        <v>7742.0</v>
      </c>
      <c r="B7743" s="12">
        <f t="shared" si="1235"/>
        <v>41156</v>
      </c>
      <c r="C7743" s="13">
        <v>2012.0</v>
      </c>
      <c r="D7743" s="11" t="s">
        <v>44</v>
      </c>
      <c r="E7743" s="11">
        <v>20.0</v>
      </c>
      <c r="F7743" s="14">
        <v>124.4</v>
      </c>
      <c r="G7743" s="15">
        <v>0.0698808648330636</v>
      </c>
      <c r="H7743" s="11" t="s">
        <v>45</v>
      </c>
      <c r="I7743" s="16">
        <v>41.552</v>
      </c>
      <c r="J7743" s="11" t="s">
        <v>1014</v>
      </c>
      <c r="K7743" s="11" t="s">
        <v>61</v>
      </c>
      <c r="L7743" s="11" t="s">
        <v>41</v>
      </c>
      <c r="M7743" s="11" t="s">
        <v>49</v>
      </c>
      <c r="N7743" s="11" t="s">
        <v>85</v>
      </c>
      <c r="O7743" s="11" t="s">
        <v>1711</v>
      </c>
      <c r="P7743" s="11" t="s">
        <v>87</v>
      </c>
      <c r="Q7743" s="20">
        <v>41158.0</v>
      </c>
      <c r="R7743" s="17">
        <f t="shared" si="2"/>
        <v>176.7672814</v>
      </c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>
        <f t="shared" si="8"/>
        <v>3</v>
      </c>
      <c r="AF7743" s="19">
        <f t="shared" si="13"/>
        <v>4</v>
      </c>
      <c r="AG7743" s="9"/>
      <c r="AH7743" s="9"/>
      <c r="AI7743" s="9"/>
    </row>
    <row r="7744" ht="15.0" customHeight="1">
      <c r="A7744" s="11">
        <v>7743.0</v>
      </c>
      <c r="B7744" s="12">
        <f t="shared" si="1235"/>
        <v>41156</v>
      </c>
      <c r="C7744" s="13">
        <v>2012.0</v>
      </c>
      <c r="D7744" s="11" t="s">
        <v>44</v>
      </c>
      <c r="E7744" s="11">
        <v>38.0</v>
      </c>
      <c r="F7744" s="14">
        <v>27.1</v>
      </c>
      <c r="G7744" s="15">
        <v>0.014281909834506444</v>
      </c>
      <c r="H7744" s="11" t="s">
        <v>33</v>
      </c>
      <c r="I7744" s="16">
        <v>6.5840000000000005</v>
      </c>
      <c r="J7744" s="11" t="s">
        <v>876</v>
      </c>
      <c r="K7744" s="11" t="s">
        <v>35</v>
      </c>
      <c r="L7744" s="11" t="s">
        <v>48</v>
      </c>
      <c r="M7744" s="11" t="s">
        <v>28</v>
      </c>
      <c r="N7744" s="11" t="s">
        <v>236</v>
      </c>
      <c r="O7744" s="11" t="s">
        <v>1376</v>
      </c>
      <c r="P7744" s="11" t="s">
        <v>38</v>
      </c>
      <c r="Q7744" s="20">
        <v>41158.0</v>
      </c>
      <c r="R7744" s="17">
        <f t="shared" si="2"/>
        <v>14.80154284</v>
      </c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>
        <f t="shared" si="8"/>
        <v>4</v>
      </c>
      <c r="AF7744" s="19">
        <f t="shared" si="13"/>
        <v>2</v>
      </c>
      <c r="AG7744" s="9"/>
      <c r="AH7744" s="9"/>
      <c r="AI7744" s="9"/>
    </row>
    <row r="7745" ht="15.0" customHeight="1">
      <c r="A7745" s="11">
        <v>7744.0</v>
      </c>
      <c r="B7745" s="12">
        <f t="shared" ref="B7745:B7756" si="1236">DATE(2012,12,31)-117</f>
        <v>41157</v>
      </c>
      <c r="C7745" s="13">
        <v>2012.0</v>
      </c>
      <c r="D7745" s="11" t="s">
        <v>23</v>
      </c>
      <c r="E7745" s="11">
        <v>15.0</v>
      </c>
      <c r="F7745" s="14">
        <v>40.9</v>
      </c>
      <c r="G7745" s="15">
        <v>0.04192928039702225</v>
      </c>
      <c r="H7745" s="11" t="s">
        <v>24</v>
      </c>
      <c r="I7745" s="16">
        <v>4.264</v>
      </c>
      <c r="J7745" s="11" t="s">
        <v>2276</v>
      </c>
      <c r="K7745" s="11" t="s">
        <v>65</v>
      </c>
      <c r="L7745" s="11" t="s">
        <v>27</v>
      </c>
      <c r="M7745" s="11" t="s">
        <v>28</v>
      </c>
      <c r="N7745" s="11" t="s">
        <v>197</v>
      </c>
      <c r="O7745" s="11" t="s">
        <v>2390</v>
      </c>
      <c r="P7745" s="11" t="s">
        <v>38</v>
      </c>
      <c r="Q7745" s="20">
        <v>41159.0</v>
      </c>
      <c r="R7745" s="17">
        <f t="shared" si="2"/>
        <v>25.90239998</v>
      </c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>
        <f t="shared" si="8"/>
        <v>1</v>
      </c>
      <c r="AF7745" s="19">
        <f t="shared" si="13"/>
        <v>5</v>
      </c>
      <c r="AG7745" s="9"/>
      <c r="AH7745" s="9"/>
      <c r="AI7745" s="9"/>
    </row>
    <row r="7746" ht="15.0" customHeight="1">
      <c r="A7746" s="11">
        <v>7745.0</v>
      </c>
      <c r="B7746" s="12">
        <f t="shared" si="1236"/>
        <v>41157</v>
      </c>
      <c r="C7746" s="13">
        <v>2012.0</v>
      </c>
      <c r="D7746" s="11" t="s">
        <v>32</v>
      </c>
      <c r="E7746" s="11">
        <v>40.0</v>
      </c>
      <c r="F7746" s="14">
        <v>48.5</v>
      </c>
      <c r="G7746" s="15">
        <v>0.05427113633112389</v>
      </c>
      <c r="H7746" s="11" t="s">
        <v>45</v>
      </c>
      <c r="I7746" s="16">
        <v>43.288000000000004</v>
      </c>
      <c r="J7746" s="11" t="s">
        <v>2597</v>
      </c>
      <c r="K7746" s="11" t="s">
        <v>35</v>
      </c>
      <c r="L7746" s="11" t="s">
        <v>48</v>
      </c>
      <c r="M7746" s="11" t="s">
        <v>49</v>
      </c>
      <c r="N7746" s="11" t="s">
        <v>156</v>
      </c>
      <c r="O7746" s="11" t="s">
        <v>2431</v>
      </c>
      <c r="P7746" s="11" t="s">
        <v>87</v>
      </c>
      <c r="Q7746" s="20">
        <v>41159.0</v>
      </c>
      <c r="R7746" s="17">
        <f t="shared" si="2"/>
        <v>107.6352934</v>
      </c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>
        <f t="shared" si="8"/>
        <v>4</v>
      </c>
      <c r="AF7746" s="19">
        <f t="shared" si="13"/>
        <v>2</v>
      </c>
      <c r="AG7746" s="9"/>
      <c r="AH7746" s="9"/>
      <c r="AI7746" s="9"/>
    </row>
    <row r="7747" ht="15.0" customHeight="1">
      <c r="A7747" s="11">
        <v>7746.0</v>
      </c>
      <c r="B7747" s="12">
        <f t="shared" si="1236"/>
        <v>41157</v>
      </c>
      <c r="C7747" s="13">
        <v>2012.0</v>
      </c>
      <c r="D7747" s="11" t="s">
        <v>102</v>
      </c>
      <c r="E7747" s="11">
        <v>4.0</v>
      </c>
      <c r="F7747" s="14">
        <v>12.5</v>
      </c>
      <c r="G7747" s="15">
        <v>0.10679487179487171</v>
      </c>
      <c r="H7747" s="11" t="s">
        <v>33</v>
      </c>
      <c r="I7747" s="16">
        <v>5.736000000000001</v>
      </c>
      <c r="J7747" s="11" t="s">
        <v>395</v>
      </c>
      <c r="K7747" s="11" t="s">
        <v>35</v>
      </c>
      <c r="L7747" s="11" t="s">
        <v>36</v>
      </c>
      <c r="M7747" s="11" t="s">
        <v>28</v>
      </c>
      <c r="N7747" s="11" t="s">
        <v>42</v>
      </c>
      <c r="O7747" s="11" t="s">
        <v>625</v>
      </c>
      <c r="P7747" s="11" t="s">
        <v>38</v>
      </c>
      <c r="Q7747" s="20">
        <v>41159.0</v>
      </c>
      <c r="R7747" s="17">
        <f t="shared" si="2"/>
        <v>5.952318974</v>
      </c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>
        <f t="shared" si="8"/>
        <v>2</v>
      </c>
      <c r="AF7747" s="19">
        <f t="shared" si="13"/>
        <v>2</v>
      </c>
      <c r="AG7747" s="9"/>
      <c r="AH7747" s="9"/>
      <c r="AI7747" s="9"/>
    </row>
    <row r="7748" ht="15.0" customHeight="1">
      <c r="A7748" s="11">
        <v>7747.0</v>
      </c>
      <c r="B7748" s="12">
        <f t="shared" si="1236"/>
        <v>41157</v>
      </c>
      <c r="C7748" s="13">
        <v>2012.0</v>
      </c>
      <c r="D7748" s="11" t="s">
        <v>102</v>
      </c>
      <c r="E7748" s="11">
        <v>9.0</v>
      </c>
      <c r="F7748" s="14">
        <v>19.9</v>
      </c>
      <c r="G7748" s="15">
        <v>0.06416837782340877</v>
      </c>
      <c r="H7748" s="11" t="s">
        <v>33</v>
      </c>
      <c r="I7748" s="16">
        <v>3.2</v>
      </c>
      <c r="J7748" s="11" t="s">
        <v>395</v>
      </c>
      <c r="K7748" s="11" t="s">
        <v>35</v>
      </c>
      <c r="L7748" s="11" t="s">
        <v>36</v>
      </c>
      <c r="M7748" s="11" t="s">
        <v>66</v>
      </c>
      <c r="N7748" s="11" t="s">
        <v>67</v>
      </c>
      <c r="O7748" s="11" t="s">
        <v>920</v>
      </c>
      <c r="P7748" s="11" t="s">
        <v>38</v>
      </c>
      <c r="Q7748" s="20">
        <v>41159.0</v>
      </c>
      <c r="R7748" s="17">
        <f t="shared" si="2"/>
        <v>11.69789528</v>
      </c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>
        <f t="shared" si="8"/>
        <v>2</v>
      </c>
      <c r="AF7748" s="19">
        <f t="shared" si="13"/>
        <v>2</v>
      </c>
      <c r="AG7748" s="9"/>
      <c r="AH7748" s="9"/>
      <c r="AI7748" s="9"/>
    </row>
    <row r="7749" ht="15.0" customHeight="1">
      <c r="A7749" s="11">
        <v>7748.0</v>
      </c>
      <c r="B7749" s="12">
        <f t="shared" si="1236"/>
        <v>41157</v>
      </c>
      <c r="C7749" s="13">
        <v>2012.0</v>
      </c>
      <c r="D7749" s="11" t="s">
        <v>102</v>
      </c>
      <c r="E7749" s="11">
        <v>48.0</v>
      </c>
      <c r="F7749" s="14">
        <v>49.3</v>
      </c>
      <c r="G7749" s="15">
        <v>0.08408547404150292</v>
      </c>
      <c r="H7749" s="11" t="s">
        <v>24</v>
      </c>
      <c r="I7749" s="16">
        <v>8.200000000000001</v>
      </c>
      <c r="J7749" s="11" t="s">
        <v>395</v>
      </c>
      <c r="K7749" s="11" t="s">
        <v>35</v>
      </c>
      <c r="L7749" s="11" t="s">
        <v>36</v>
      </c>
      <c r="M7749" s="11" t="s">
        <v>49</v>
      </c>
      <c r="N7749" s="11" t="s">
        <v>73</v>
      </c>
      <c r="O7749" s="11" t="s">
        <v>1243</v>
      </c>
      <c r="P7749" s="11" t="s">
        <v>31</v>
      </c>
      <c r="Q7749" s="20">
        <v>41159.0</v>
      </c>
      <c r="R7749" s="17">
        <f t="shared" si="2"/>
        <v>199.6693667</v>
      </c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>
        <f t="shared" si="8"/>
        <v>2</v>
      </c>
      <c r="AF7749" s="19">
        <f t="shared" si="13"/>
        <v>2</v>
      </c>
      <c r="AG7749" s="9"/>
      <c r="AH7749" s="9"/>
      <c r="AI7749" s="9"/>
    </row>
    <row r="7750" ht="15.0" customHeight="1">
      <c r="A7750" s="11">
        <v>7749.0</v>
      </c>
      <c r="B7750" s="12">
        <f t="shared" si="1236"/>
        <v>41157</v>
      </c>
      <c r="C7750" s="13">
        <v>2012.0</v>
      </c>
      <c r="D7750" s="11" t="s">
        <v>23</v>
      </c>
      <c r="E7750" s="11">
        <v>30.0</v>
      </c>
      <c r="F7750" s="14">
        <v>195.9</v>
      </c>
      <c r="G7750" s="15">
        <v>0.09144340409752483</v>
      </c>
      <c r="H7750" s="11" t="s">
        <v>33</v>
      </c>
      <c r="I7750" s="16">
        <v>3.3600000000000003</v>
      </c>
      <c r="J7750" s="11" t="s">
        <v>1320</v>
      </c>
      <c r="K7750" s="11" t="s">
        <v>35</v>
      </c>
      <c r="L7750" s="11" t="s">
        <v>48</v>
      </c>
      <c r="M7750" s="11" t="s">
        <v>66</v>
      </c>
      <c r="N7750" s="11" t="s">
        <v>80</v>
      </c>
      <c r="O7750" s="11">
        <v>688.0</v>
      </c>
      <c r="P7750" s="11" t="s">
        <v>38</v>
      </c>
      <c r="Q7750" s="20">
        <v>41159.0</v>
      </c>
      <c r="R7750" s="17">
        <f t="shared" si="2"/>
        <v>537.7201357</v>
      </c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>
        <f t="shared" si="8"/>
        <v>4</v>
      </c>
      <c r="AF7750" s="19">
        <f t="shared" si="13"/>
        <v>2</v>
      </c>
      <c r="AG7750" s="9"/>
      <c r="AH7750" s="9"/>
      <c r="AI7750" s="9"/>
    </row>
    <row r="7751" ht="15.0" customHeight="1">
      <c r="A7751" s="11">
        <v>7750.0</v>
      </c>
      <c r="B7751" s="12">
        <f t="shared" si="1236"/>
        <v>41157</v>
      </c>
      <c r="C7751" s="13">
        <v>2012.0</v>
      </c>
      <c r="D7751" s="11" t="s">
        <v>23</v>
      </c>
      <c r="E7751" s="11">
        <v>42.0</v>
      </c>
      <c r="F7751" s="14">
        <v>125.9</v>
      </c>
      <c r="G7751" s="15">
        <v>0.010898628703807539</v>
      </c>
      <c r="H7751" s="11" t="s">
        <v>33</v>
      </c>
      <c r="I7751" s="16">
        <v>6.464</v>
      </c>
      <c r="J7751" s="11" t="s">
        <v>1320</v>
      </c>
      <c r="K7751" s="11" t="s">
        <v>35</v>
      </c>
      <c r="L7751" s="11" t="s">
        <v>48</v>
      </c>
      <c r="M7751" s="11" t="s">
        <v>66</v>
      </c>
      <c r="N7751" s="11" t="s">
        <v>80</v>
      </c>
      <c r="O7751" s="11" t="s">
        <v>2243</v>
      </c>
      <c r="P7751" s="11" t="s">
        <v>38</v>
      </c>
      <c r="Q7751" s="20">
        <v>41160.0</v>
      </c>
      <c r="R7751" s="17">
        <f t="shared" si="2"/>
        <v>57.7002176</v>
      </c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>
        <f t="shared" si="8"/>
        <v>4</v>
      </c>
      <c r="AF7751" s="19">
        <f t="shared" si="13"/>
        <v>2</v>
      </c>
      <c r="AG7751" s="9"/>
      <c r="AH7751" s="9"/>
      <c r="AI7751" s="9"/>
    </row>
    <row r="7752" ht="15.0" customHeight="1">
      <c r="A7752" s="11">
        <v>7751.0</v>
      </c>
      <c r="B7752" s="12">
        <f t="shared" si="1236"/>
        <v>41157</v>
      </c>
      <c r="C7752" s="13">
        <v>2012.0</v>
      </c>
      <c r="D7752" s="11" t="s">
        <v>39</v>
      </c>
      <c r="E7752" s="11">
        <v>16.0</v>
      </c>
      <c r="F7752" s="14">
        <v>71.3</v>
      </c>
      <c r="G7752" s="15">
        <v>0.03165735567970198</v>
      </c>
      <c r="H7752" s="11" t="s">
        <v>33</v>
      </c>
      <c r="I7752" s="16">
        <v>55.2</v>
      </c>
      <c r="J7752" s="11" t="s">
        <v>1887</v>
      </c>
      <c r="K7752" s="11" t="s">
        <v>61</v>
      </c>
      <c r="L7752" s="11" t="s">
        <v>36</v>
      </c>
      <c r="M7752" s="11" t="s">
        <v>49</v>
      </c>
      <c r="N7752" s="11" t="s">
        <v>85</v>
      </c>
      <c r="O7752" s="11" t="s">
        <v>585</v>
      </c>
      <c r="P7752" s="11" t="s">
        <v>31</v>
      </c>
      <c r="Q7752" s="20">
        <v>41160.0</v>
      </c>
      <c r="R7752" s="17">
        <f t="shared" si="2"/>
        <v>37.86219739</v>
      </c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>
        <f t="shared" si="8"/>
        <v>2</v>
      </c>
      <c r="AF7752" s="19">
        <f t="shared" si="13"/>
        <v>4</v>
      </c>
      <c r="AG7752" s="9"/>
      <c r="AH7752" s="9"/>
      <c r="AI7752" s="9"/>
    </row>
    <row r="7753" ht="15.0" customHeight="1">
      <c r="A7753" s="11">
        <v>7752.0</v>
      </c>
      <c r="B7753" s="12">
        <f t="shared" si="1236"/>
        <v>41157</v>
      </c>
      <c r="C7753" s="13">
        <v>2012.0</v>
      </c>
      <c r="D7753" s="11" t="s">
        <v>44</v>
      </c>
      <c r="E7753" s="11">
        <v>26.0</v>
      </c>
      <c r="F7753" s="14">
        <v>2.0</v>
      </c>
      <c r="G7753" s="15">
        <v>0.07812824956672448</v>
      </c>
      <c r="H7753" s="11" t="s">
        <v>33</v>
      </c>
      <c r="I7753" s="16">
        <v>1.192</v>
      </c>
      <c r="J7753" s="11" t="s">
        <v>1605</v>
      </c>
      <c r="K7753" s="11" t="s">
        <v>61</v>
      </c>
      <c r="L7753" s="11" t="s">
        <v>48</v>
      </c>
      <c r="M7753" s="11" t="s">
        <v>28</v>
      </c>
      <c r="N7753" s="11" t="s">
        <v>42</v>
      </c>
      <c r="O7753" s="11" t="s">
        <v>2299</v>
      </c>
      <c r="P7753" s="11" t="s">
        <v>38</v>
      </c>
      <c r="Q7753" s="20">
        <v>41160.0</v>
      </c>
      <c r="R7753" s="17">
        <f t="shared" si="2"/>
        <v>4.155797851</v>
      </c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>
        <f t="shared" si="8"/>
        <v>4</v>
      </c>
      <c r="AF7753" s="19">
        <f t="shared" si="13"/>
        <v>4</v>
      </c>
      <c r="AG7753" s="9"/>
      <c r="AH7753" s="9"/>
      <c r="AI7753" s="9"/>
    </row>
    <row r="7754" ht="15.0" customHeight="1">
      <c r="A7754" s="11">
        <v>7753.0</v>
      </c>
      <c r="B7754" s="12">
        <f t="shared" si="1236"/>
        <v>41157</v>
      </c>
      <c r="C7754" s="13">
        <v>2012.0</v>
      </c>
      <c r="D7754" s="11" t="s">
        <v>44</v>
      </c>
      <c r="E7754" s="11">
        <v>13.0</v>
      </c>
      <c r="F7754" s="14">
        <v>4.1</v>
      </c>
      <c r="G7754" s="15">
        <v>0.02420338983050855</v>
      </c>
      <c r="H7754" s="11" t="s">
        <v>33</v>
      </c>
      <c r="I7754" s="16">
        <v>4.272</v>
      </c>
      <c r="J7754" s="11" t="s">
        <v>353</v>
      </c>
      <c r="K7754" s="11" t="s">
        <v>65</v>
      </c>
      <c r="L7754" s="11" t="s">
        <v>41</v>
      </c>
      <c r="M7754" s="11" t="s">
        <v>28</v>
      </c>
      <c r="N7754" s="11" t="s">
        <v>42</v>
      </c>
      <c r="O7754" s="11" t="s">
        <v>1483</v>
      </c>
      <c r="P7754" s="11" t="s">
        <v>38</v>
      </c>
      <c r="Q7754" s="20">
        <v>41160.0</v>
      </c>
      <c r="R7754" s="17">
        <f t="shared" si="2"/>
        <v>1.393437559</v>
      </c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>
        <f t="shared" si="8"/>
        <v>3</v>
      </c>
      <c r="AF7754" s="19">
        <f t="shared" si="13"/>
        <v>5</v>
      </c>
      <c r="AG7754" s="9"/>
      <c r="AH7754" s="9"/>
      <c r="AI7754" s="9"/>
    </row>
    <row r="7755" ht="15.0" customHeight="1">
      <c r="A7755" s="11">
        <v>7754.0</v>
      </c>
      <c r="B7755" s="12">
        <f t="shared" si="1236"/>
        <v>41157</v>
      </c>
      <c r="C7755" s="13">
        <v>2012.0</v>
      </c>
      <c r="D7755" s="11" t="s">
        <v>44</v>
      </c>
      <c r="E7755" s="11">
        <v>36.0</v>
      </c>
      <c r="F7755" s="14">
        <v>40.8</v>
      </c>
      <c r="G7755" s="15">
        <v>0.09518687884885067</v>
      </c>
      <c r="H7755" s="11" t="s">
        <v>33</v>
      </c>
      <c r="I7755" s="16">
        <v>15.184000000000001</v>
      </c>
      <c r="J7755" s="11" t="s">
        <v>353</v>
      </c>
      <c r="K7755" s="11" t="s">
        <v>65</v>
      </c>
      <c r="L7755" s="11" t="s">
        <v>41</v>
      </c>
      <c r="M7755" s="11" t="s">
        <v>49</v>
      </c>
      <c r="N7755" s="11" t="s">
        <v>73</v>
      </c>
      <c r="O7755" s="11" t="s">
        <v>1077</v>
      </c>
      <c r="P7755" s="11" t="s">
        <v>38</v>
      </c>
      <c r="Q7755" s="20">
        <v>41160.0</v>
      </c>
      <c r="R7755" s="17">
        <f t="shared" si="2"/>
        <v>141.2558052</v>
      </c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>
        <f t="shared" si="8"/>
        <v>3</v>
      </c>
      <c r="AF7755" s="19">
        <f t="shared" si="13"/>
        <v>5</v>
      </c>
      <c r="AG7755" s="9"/>
      <c r="AH7755" s="9"/>
      <c r="AI7755" s="9"/>
    </row>
    <row r="7756" ht="15.0" customHeight="1">
      <c r="A7756" s="11">
        <v>7755.0</v>
      </c>
      <c r="B7756" s="12">
        <f t="shared" si="1236"/>
        <v>41157</v>
      </c>
      <c r="C7756" s="13">
        <v>2012.0</v>
      </c>
      <c r="D7756" s="11" t="s">
        <v>102</v>
      </c>
      <c r="E7756" s="11">
        <v>7.0</v>
      </c>
      <c r="F7756" s="14">
        <v>218.7</v>
      </c>
      <c r="G7756" s="15">
        <v>0.03777548668809524</v>
      </c>
      <c r="H7756" s="11" t="s">
        <v>45</v>
      </c>
      <c r="I7756" s="16">
        <v>55.712</v>
      </c>
      <c r="J7756" s="11" t="s">
        <v>2101</v>
      </c>
      <c r="K7756" s="11" t="s">
        <v>65</v>
      </c>
      <c r="L7756" s="11" t="s">
        <v>36</v>
      </c>
      <c r="M7756" s="11" t="s">
        <v>49</v>
      </c>
      <c r="N7756" s="11" t="s">
        <v>85</v>
      </c>
      <c r="O7756" s="11" t="s">
        <v>522</v>
      </c>
      <c r="P7756" s="11" t="s">
        <v>87</v>
      </c>
      <c r="Q7756" s="20">
        <v>41160.0</v>
      </c>
      <c r="R7756" s="17">
        <f t="shared" si="2"/>
        <v>59.93504049</v>
      </c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>
        <f t="shared" si="8"/>
        <v>2</v>
      </c>
      <c r="AF7756" s="19">
        <f t="shared" si="13"/>
        <v>5</v>
      </c>
      <c r="AG7756" s="9"/>
      <c r="AH7756" s="9"/>
      <c r="AI7756" s="9"/>
    </row>
    <row r="7757" ht="15.0" customHeight="1">
      <c r="A7757" s="11">
        <v>7756.0</v>
      </c>
      <c r="B7757" s="12">
        <f t="shared" ref="B7757:B7760" si="1237">DATE(2012,12,31)-116</f>
        <v>41158</v>
      </c>
      <c r="C7757" s="13">
        <v>2012.0</v>
      </c>
      <c r="D7757" s="11" t="s">
        <v>23</v>
      </c>
      <c r="E7757" s="11">
        <v>27.0</v>
      </c>
      <c r="F7757" s="14">
        <v>136.9</v>
      </c>
      <c r="G7757" s="15">
        <v>0.08430458353868894</v>
      </c>
      <c r="H7757" s="11" t="s">
        <v>33</v>
      </c>
      <c r="I7757" s="16">
        <v>19.592</v>
      </c>
      <c r="J7757" s="11" t="s">
        <v>2092</v>
      </c>
      <c r="K7757" s="11" t="s">
        <v>83</v>
      </c>
      <c r="L7757" s="11" t="s">
        <v>48</v>
      </c>
      <c r="M7757" s="11" t="s">
        <v>49</v>
      </c>
      <c r="N7757" s="11" t="s">
        <v>73</v>
      </c>
      <c r="O7757" s="11" t="s">
        <v>1597</v>
      </c>
      <c r="P7757" s="11" t="s">
        <v>31</v>
      </c>
      <c r="Q7757" s="20">
        <v>41161.0</v>
      </c>
      <c r="R7757" s="17">
        <f t="shared" si="2"/>
        <v>313.2667275</v>
      </c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>
        <f t="shared" si="8"/>
        <v>4</v>
      </c>
      <c r="AF7757" s="19" t="b">
        <f t="shared" si="13"/>
        <v>0</v>
      </c>
      <c r="AG7757" s="9"/>
      <c r="AH7757" s="9"/>
      <c r="AI7757" s="9"/>
    </row>
    <row r="7758" ht="15.0" customHeight="1">
      <c r="A7758" s="11">
        <v>7757.0</v>
      </c>
      <c r="B7758" s="12">
        <f t="shared" si="1237"/>
        <v>41158</v>
      </c>
      <c r="C7758" s="13">
        <v>2012.0</v>
      </c>
      <c r="D7758" s="11" t="s">
        <v>23</v>
      </c>
      <c r="E7758" s="11">
        <v>37.0</v>
      </c>
      <c r="F7758" s="14">
        <v>399.9</v>
      </c>
      <c r="G7758" s="15">
        <v>0.010257898044039275</v>
      </c>
      <c r="H7758" s="11" t="s">
        <v>45</v>
      </c>
      <c r="I7758" s="16">
        <v>9.648000000000001</v>
      </c>
      <c r="J7758" s="11" t="s">
        <v>2092</v>
      </c>
      <c r="K7758" s="11" t="s">
        <v>83</v>
      </c>
      <c r="L7758" s="11" t="s">
        <v>48</v>
      </c>
      <c r="M7758" s="11" t="s">
        <v>66</v>
      </c>
      <c r="N7758" s="11" t="s">
        <v>69</v>
      </c>
      <c r="O7758" s="11" t="s">
        <v>252</v>
      </c>
      <c r="P7758" s="11" t="s">
        <v>87</v>
      </c>
      <c r="Q7758" s="20">
        <v>41161.0</v>
      </c>
      <c r="R7758" s="17">
        <f t="shared" si="2"/>
        <v>151.877905</v>
      </c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>
        <f t="shared" si="8"/>
        <v>4</v>
      </c>
      <c r="AF7758" s="19" t="b">
        <f t="shared" si="13"/>
        <v>0</v>
      </c>
      <c r="AG7758" s="9"/>
      <c r="AH7758" s="9"/>
      <c r="AI7758" s="9"/>
    </row>
    <row r="7759" ht="15.0" customHeight="1">
      <c r="A7759" s="11">
        <v>7758.0</v>
      </c>
      <c r="B7759" s="12">
        <f t="shared" si="1237"/>
        <v>41158</v>
      </c>
      <c r="C7759" s="13">
        <v>2012.0</v>
      </c>
      <c r="D7759" s="11" t="s">
        <v>32</v>
      </c>
      <c r="E7759" s="11">
        <v>16.0</v>
      </c>
      <c r="F7759" s="14">
        <v>4.3</v>
      </c>
      <c r="G7759" s="15">
        <v>0.02773333333333331</v>
      </c>
      <c r="H7759" s="11" t="s">
        <v>33</v>
      </c>
      <c r="I7759" s="16">
        <v>4.12</v>
      </c>
      <c r="J7759" s="11" t="s">
        <v>2315</v>
      </c>
      <c r="K7759" s="11" t="s">
        <v>26</v>
      </c>
      <c r="L7759" s="11" t="s">
        <v>36</v>
      </c>
      <c r="M7759" s="11" t="s">
        <v>28</v>
      </c>
      <c r="N7759" s="11" t="s">
        <v>197</v>
      </c>
      <c r="O7759" s="11" t="s">
        <v>1745</v>
      </c>
      <c r="P7759" s="11" t="s">
        <v>38</v>
      </c>
      <c r="Q7759" s="20">
        <v>41161.0</v>
      </c>
      <c r="R7759" s="17">
        <f t="shared" si="2"/>
        <v>2.022314667</v>
      </c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>
        <f t="shared" si="8"/>
        <v>2</v>
      </c>
      <c r="AF7759" s="19">
        <f t="shared" si="13"/>
        <v>1</v>
      </c>
      <c r="AG7759" s="9"/>
      <c r="AH7759" s="9"/>
      <c r="AI7759" s="9"/>
    </row>
    <row r="7760" ht="15.0" customHeight="1">
      <c r="A7760" s="11">
        <v>7759.0</v>
      </c>
      <c r="B7760" s="12">
        <f t="shared" si="1237"/>
        <v>41158</v>
      </c>
      <c r="C7760" s="13">
        <v>2012.0</v>
      </c>
      <c r="D7760" s="11" t="s">
        <v>44</v>
      </c>
      <c r="E7760" s="11">
        <v>23.0</v>
      </c>
      <c r="F7760" s="14">
        <v>270.9</v>
      </c>
      <c r="G7760" s="15">
        <v>0.057678988532075454</v>
      </c>
      <c r="H7760" s="11" t="s">
        <v>45</v>
      </c>
      <c r="I7760" s="16">
        <v>22.448</v>
      </c>
      <c r="J7760" s="11" t="s">
        <v>1142</v>
      </c>
      <c r="K7760" s="11" t="s">
        <v>47</v>
      </c>
      <c r="L7760" s="11" t="s">
        <v>36</v>
      </c>
      <c r="M7760" s="11" t="s">
        <v>66</v>
      </c>
      <c r="N7760" s="11" t="s">
        <v>69</v>
      </c>
      <c r="O7760" s="11" t="s">
        <v>916</v>
      </c>
      <c r="P7760" s="11" t="s">
        <v>52</v>
      </c>
      <c r="Q7760" s="20">
        <v>41161.0</v>
      </c>
      <c r="R7760" s="17">
        <f t="shared" si="2"/>
        <v>360.6752518</v>
      </c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>
        <f t="shared" si="8"/>
        <v>2</v>
      </c>
      <c r="AF7760" s="19">
        <f t="shared" si="13"/>
        <v>3</v>
      </c>
      <c r="AG7760" s="9"/>
      <c r="AH7760" s="9"/>
      <c r="AI7760" s="9"/>
    </row>
    <row r="7761" ht="15.0" customHeight="1">
      <c r="A7761" s="11">
        <v>7760.0</v>
      </c>
      <c r="B7761" s="12">
        <f t="shared" ref="B7761:B7764" si="1238">DATE(2012,12,31)-115</f>
        <v>41159</v>
      </c>
      <c r="C7761" s="13">
        <v>2012.0</v>
      </c>
      <c r="D7761" s="11" t="s">
        <v>102</v>
      </c>
      <c r="E7761" s="11">
        <v>5.0</v>
      </c>
      <c r="F7761" s="14">
        <v>100.9</v>
      </c>
      <c r="G7761" s="15">
        <v>0.05392863677950591</v>
      </c>
      <c r="H7761" s="11" t="s">
        <v>45</v>
      </c>
      <c r="I7761" s="16">
        <v>12.528</v>
      </c>
      <c r="J7761" s="11" t="s">
        <v>819</v>
      </c>
      <c r="K7761" s="11" t="s">
        <v>61</v>
      </c>
      <c r="L7761" s="11" t="s">
        <v>41</v>
      </c>
      <c r="M7761" s="11" t="s">
        <v>28</v>
      </c>
      <c r="N7761" s="11" t="s">
        <v>197</v>
      </c>
      <c r="O7761" s="11" t="s">
        <v>2491</v>
      </c>
      <c r="P7761" s="11" t="s">
        <v>52</v>
      </c>
      <c r="Q7761" s="20">
        <v>41161.0</v>
      </c>
      <c r="R7761" s="17">
        <f t="shared" si="2"/>
        <v>27.88261522</v>
      </c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>
        <f t="shared" si="8"/>
        <v>3</v>
      </c>
      <c r="AF7761" s="19">
        <f t="shared" si="13"/>
        <v>4</v>
      </c>
      <c r="AG7761" s="9"/>
      <c r="AH7761" s="9"/>
      <c r="AI7761" s="9"/>
    </row>
    <row r="7762" ht="15.0" customHeight="1">
      <c r="A7762" s="11">
        <v>7761.0</v>
      </c>
      <c r="B7762" s="12">
        <f t="shared" si="1238"/>
        <v>41159</v>
      </c>
      <c r="C7762" s="13">
        <v>2012.0</v>
      </c>
      <c r="D7762" s="11" t="s">
        <v>102</v>
      </c>
      <c r="E7762" s="11">
        <v>11.0</v>
      </c>
      <c r="F7762" s="14">
        <v>220.9</v>
      </c>
      <c r="G7762" s="15">
        <v>0.0705861203700235</v>
      </c>
      <c r="H7762" s="11" t="s">
        <v>45</v>
      </c>
      <c r="I7762" s="16">
        <v>51.728</v>
      </c>
      <c r="J7762" s="11" t="s">
        <v>819</v>
      </c>
      <c r="K7762" s="11" t="s">
        <v>61</v>
      </c>
      <c r="L7762" s="11" t="s">
        <v>41</v>
      </c>
      <c r="M7762" s="11" t="s">
        <v>49</v>
      </c>
      <c r="N7762" s="11" t="s">
        <v>156</v>
      </c>
      <c r="O7762" s="11" t="s">
        <v>903</v>
      </c>
      <c r="P7762" s="11" t="s">
        <v>87</v>
      </c>
      <c r="Q7762" s="20">
        <v>41161.0</v>
      </c>
      <c r="R7762" s="17">
        <f t="shared" si="2"/>
        <v>175.1684927</v>
      </c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>
        <f t="shared" si="8"/>
        <v>3</v>
      </c>
      <c r="AF7762" s="19">
        <f t="shared" si="13"/>
        <v>4</v>
      </c>
      <c r="AG7762" s="9"/>
      <c r="AH7762" s="9"/>
      <c r="AI7762" s="9"/>
    </row>
    <row r="7763" ht="15.0" customHeight="1">
      <c r="A7763" s="11">
        <v>7762.0</v>
      </c>
      <c r="B7763" s="12">
        <f t="shared" si="1238"/>
        <v>41159</v>
      </c>
      <c r="C7763" s="13">
        <v>2012.0</v>
      </c>
      <c r="D7763" s="11" t="s">
        <v>102</v>
      </c>
      <c r="E7763" s="11">
        <v>26.0</v>
      </c>
      <c r="F7763" s="14">
        <v>35.4</v>
      </c>
      <c r="G7763" s="15">
        <v>0.03424917491749183</v>
      </c>
      <c r="H7763" s="11" t="s">
        <v>33</v>
      </c>
      <c r="I7763" s="16">
        <v>15.991999999999999</v>
      </c>
      <c r="J7763" s="11" t="s">
        <v>819</v>
      </c>
      <c r="K7763" s="11" t="s">
        <v>61</v>
      </c>
      <c r="L7763" s="11" t="s">
        <v>41</v>
      </c>
      <c r="M7763" s="11" t="s">
        <v>28</v>
      </c>
      <c r="N7763" s="11" t="s">
        <v>56</v>
      </c>
      <c r="O7763" s="11" t="s">
        <v>1943</v>
      </c>
      <c r="P7763" s="11" t="s">
        <v>38</v>
      </c>
      <c r="Q7763" s="20">
        <v>41161.0</v>
      </c>
      <c r="R7763" s="17">
        <f t="shared" si="2"/>
        <v>32.0706534</v>
      </c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>
        <f t="shared" si="8"/>
        <v>3</v>
      </c>
      <c r="AF7763" s="19">
        <f t="shared" si="13"/>
        <v>4</v>
      </c>
      <c r="AG7763" s="9"/>
      <c r="AH7763" s="9"/>
      <c r="AI7763" s="9"/>
    </row>
    <row r="7764" ht="15.0" customHeight="1">
      <c r="A7764" s="11">
        <v>7763.0</v>
      </c>
      <c r="B7764" s="12">
        <f t="shared" si="1238"/>
        <v>41159</v>
      </c>
      <c r="C7764" s="13">
        <v>2012.0</v>
      </c>
      <c r="D7764" s="11" t="s">
        <v>102</v>
      </c>
      <c r="E7764" s="11">
        <v>12.0</v>
      </c>
      <c r="F7764" s="14">
        <v>2.6</v>
      </c>
      <c r="G7764" s="15">
        <v>0.059090909090909034</v>
      </c>
      <c r="H7764" s="11" t="s">
        <v>33</v>
      </c>
      <c r="I7764" s="16">
        <v>1.92</v>
      </c>
      <c r="J7764" s="11" t="s">
        <v>1045</v>
      </c>
      <c r="K7764" s="11" t="s">
        <v>35</v>
      </c>
      <c r="L7764" s="11" t="s">
        <v>36</v>
      </c>
      <c r="M7764" s="11" t="s">
        <v>28</v>
      </c>
      <c r="N7764" s="11" t="s">
        <v>62</v>
      </c>
      <c r="O7764" s="11" t="s">
        <v>212</v>
      </c>
      <c r="P7764" s="11" t="s">
        <v>58</v>
      </c>
      <c r="Q7764" s="20">
        <v>41161.0</v>
      </c>
      <c r="R7764" s="17">
        <f t="shared" si="2"/>
        <v>1.957090909</v>
      </c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>
        <f t="shared" si="8"/>
        <v>2</v>
      </c>
      <c r="AF7764" s="19">
        <f t="shared" si="13"/>
        <v>2</v>
      </c>
      <c r="AG7764" s="9"/>
      <c r="AH7764" s="9"/>
      <c r="AI7764" s="9"/>
    </row>
    <row r="7765" ht="15.0" customHeight="1">
      <c r="A7765" s="11">
        <v>7764.0</v>
      </c>
      <c r="B7765" s="12">
        <f t="shared" ref="B7765:B7769" si="1239">DATE(2012,12,31)-114</f>
        <v>41160</v>
      </c>
      <c r="C7765" s="13">
        <v>2012.0</v>
      </c>
      <c r="D7765" s="11" t="s">
        <v>44</v>
      </c>
      <c r="E7765" s="11">
        <v>12.0</v>
      </c>
      <c r="F7765" s="14">
        <v>95.9</v>
      </c>
      <c r="G7765" s="15">
        <v>0.05749370277078082</v>
      </c>
      <c r="H7765" s="11" t="s">
        <v>45</v>
      </c>
      <c r="I7765" s="16">
        <v>46.56</v>
      </c>
      <c r="J7765" s="11" t="s">
        <v>1664</v>
      </c>
      <c r="K7765" s="11" t="s">
        <v>35</v>
      </c>
      <c r="L7765" s="11" t="s">
        <v>48</v>
      </c>
      <c r="M7765" s="11" t="s">
        <v>49</v>
      </c>
      <c r="N7765" s="11" t="s">
        <v>50</v>
      </c>
      <c r="O7765" s="11" t="s">
        <v>2247</v>
      </c>
      <c r="P7765" s="11" t="s">
        <v>52</v>
      </c>
      <c r="Q7765" s="20">
        <v>41161.0</v>
      </c>
      <c r="R7765" s="17">
        <f t="shared" si="2"/>
        <v>68.84065995</v>
      </c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>
        <f t="shared" si="8"/>
        <v>4</v>
      </c>
      <c r="AF7765" s="19">
        <f t="shared" si="13"/>
        <v>2</v>
      </c>
      <c r="AG7765" s="9"/>
      <c r="AH7765" s="9"/>
      <c r="AI7765" s="9"/>
    </row>
    <row r="7766" ht="15.0" customHeight="1">
      <c r="A7766" s="11">
        <v>7765.0</v>
      </c>
      <c r="B7766" s="12">
        <f t="shared" si="1239"/>
        <v>41160</v>
      </c>
      <c r="C7766" s="13">
        <v>2012.0</v>
      </c>
      <c r="D7766" s="11" t="s">
        <v>44</v>
      </c>
      <c r="E7766" s="11">
        <v>11.0</v>
      </c>
      <c r="F7766" s="14">
        <v>286.8</v>
      </c>
      <c r="G7766" s="15">
        <v>0.042290701497444405</v>
      </c>
      <c r="H7766" s="11" t="s">
        <v>45</v>
      </c>
      <c r="I7766" s="16">
        <v>49.408</v>
      </c>
      <c r="J7766" s="11" t="s">
        <v>1664</v>
      </c>
      <c r="K7766" s="11" t="s">
        <v>35</v>
      </c>
      <c r="L7766" s="11" t="s">
        <v>48</v>
      </c>
      <c r="M7766" s="11" t="s">
        <v>49</v>
      </c>
      <c r="N7766" s="11" t="s">
        <v>85</v>
      </c>
      <c r="O7766" s="11" t="s">
        <v>1796</v>
      </c>
      <c r="P7766" s="11" t="s">
        <v>87</v>
      </c>
      <c r="Q7766" s="20">
        <v>41161.0</v>
      </c>
      <c r="R7766" s="17">
        <f t="shared" si="2"/>
        <v>135.5082041</v>
      </c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>
        <f t="shared" si="8"/>
        <v>4</v>
      </c>
      <c r="AF7766" s="19">
        <f t="shared" si="13"/>
        <v>2</v>
      </c>
      <c r="AG7766" s="9"/>
      <c r="AH7766" s="9"/>
      <c r="AI7766" s="9"/>
    </row>
    <row r="7767" ht="15.0" customHeight="1">
      <c r="A7767" s="11">
        <v>7766.0</v>
      </c>
      <c r="B7767" s="12">
        <f t="shared" si="1239"/>
        <v>41160</v>
      </c>
      <c r="C7767" s="13">
        <v>2012.0</v>
      </c>
      <c r="D7767" s="11" t="s">
        <v>39</v>
      </c>
      <c r="E7767" s="11">
        <v>3.0</v>
      </c>
      <c r="F7767" s="14">
        <v>7.5</v>
      </c>
      <c r="G7767" s="15">
        <v>0.1258503401360544</v>
      </c>
      <c r="H7767" s="11" t="s">
        <v>33</v>
      </c>
      <c r="I7767" s="16">
        <v>3.2</v>
      </c>
      <c r="J7767" s="11" t="s">
        <v>2043</v>
      </c>
      <c r="K7767" s="11" t="s">
        <v>83</v>
      </c>
      <c r="L7767" s="11" t="s">
        <v>27</v>
      </c>
      <c r="M7767" s="11" t="s">
        <v>49</v>
      </c>
      <c r="N7767" s="11" t="s">
        <v>73</v>
      </c>
      <c r="O7767" s="11" t="s">
        <v>883</v>
      </c>
      <c r="P7767" s="11" t="s">
        <v>58</v>
      </c>
      <c r="Q7767" s="20">
        <v>41161.0</v>
      </c>
      <c r="R7767" s="17">
        <f t="shared" si="2"/>
        <v>3.234353741</v>
      </c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>
        <f t="shared" si="8"/>
        <v>1</v>
      </c>
      <c r="AF7767" s="19" t="b">
        <f t="shared" si="13"/>
        <v>0</v>
      </c>
      <c r="AG7767" s="9"/>
      <c r="AH7767" s="9"/>
      <c r="AI7767" s="9"/>
    </row>
    <row r="7768" ht="15.0" customHeight="1">
      <c r="A7768" s="11">
        <v>7767.0</v>
      </c>
      <c r="B7768" s="12">
        <f t="shared" si="1239"/>
        <v>41160</v>
      </c>
      <c r="C7768" s="13">
        <v>2012.0</v>
      </c>
      <c r="D7768" s="11" t="s">
        <v>102</v>
      </c>
      <c r="E7768" s="11">
        <v>7.0</v>
      </c>
      <c r="F7768" s="14">
        <v>12.5</v>
      </c>
      <c r="G7768" s="15">
        <v>0.08532778355879281</v>
      </c>
      <c r="H7768" s="11" t="s">
        <v>33</v>
      </c>
      <c r="I7768" s="16">
        <v>0.4</v>
      </c>
      <c r="J7768" s="11" t="s">
        <v>2346</v>
      </c>
      <c r="K7768" s="11" t="s">
        <v>83</v>
      </c>
      <c r="L7768" s="11" t="s">
        <v>41</v>
      </c>
      <c r="M7768" s="11" t="s">
        <v>28</v>
      </c>
      <c r="N7768" s="11" t="s">
        <v>188</v>
      </c>
      <c r="O7768" s="11" t="s">
        <v>1083</v>
      </c>
      <c r="P7768" s="11" t="s">
        <v>38</v>
      </c>
      <c r="Q7768" s="20">
        <v>41162.0</v>
      </c>
      <c r="R7768" s="17">
        <f t="shared" si="2"/>
        <v>7.500312175</v>
      </c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>
        <f t="shared" si="8"/>
        <v>3</v>
      </c>
      <c r="AF7768" s="19" t="b">
        <f t="shared" si="13"/>
        <v>0</v>
      </c>
      <c r="AG7768" s="9"/>
      <c r="AH7768" s="9"/>
      <c r="AI7768" s="9"/>
    </row>
    <row r="7769" ht="15.0" customHeight="1">
      <c r="A7769" s="11">
        <v>7768.0</v>
      </c>
      <c r="B7769" s="12">
        <f t="shared" si="1239"/>
        <v>41160</v>
      </c>
      <c r="C7769" s="13">
        <v>2012.0</v>
      </c>
      <c r="D7769" s="11" t="s">
        <v>102</v>
      </c>
      <c r="E7769" s="11">
        <v>36.0</v>
      </c>
      <c r="F7769" s="14">
        <v>5.8</v>
      </c>
      <c r="G7769" s="15">
        <v>0.039160583941605855</v>
      </c>
      <c r="H7769" s="11" t="s">
        <v>33</v>
      </c>
      <c r="I7769" s="16">
        <v>1.816</v>
      </c>
      <c r="J7769" s="11" t="s">
        <v>2346</v>
      </c>
      <c r="K7769" s="11" t="s">
        <v>83</v>
      </c>
      <c r="L7769" s="11" t="s">
        <v>41</v>
      </c>
      <c r="M7769" s="11" t="s">
        <v>28</v>
      </c>
      <c r="N7769" s="11" t="s">
        <v>62</v>
      </c>
      <c r="O7769" s="11" t="s">
        <v>1391</v>
      </c>
      <c r="P7769" s="11" t="s">
        <v>58</v>
      </c>
      <c r="Q7769" s="20">
        <v>41162.0</v>
      </c>
      <c r="R7769" s="17">
        <f t="shared" si="2"/>
        <v>8.247845547</v>
      </c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>
        <f t="shared" si="8"/>
        <v>3</v>
      </c>
      <c r="AF7769" s="19" t="b">
        <f t="shared" si="13"/>
        <v>0</v>
      </c>
      <c r="AG7769" s="9"/>
      <c r="AH7769" s="9"/>
      <c r="AI7769" s="9"/>
    </row>
    <row r="7770" ht="15.0" customHeight="1">
      <c r="A7770" s="11">
        <v>7769.0</v>
      </c>
      <c r="B7770" s="12">
        <f t="shared" ref="B7770:B7776" si="1240">DATE(2012,12,31)-113</f>
        <v>41161</v>
      </c>
      <c r="C7770" s="13">
        <v>2012.0</v>
      </c>
      <c r="D7770" s="11" t="s">
        <v>102</v>
      </c>
      <c r="E7770" s="11">
        <v>1.0</v>
      </c>
      <c r="F7770" s="14">
        <v>30.4</v>
      </c>
      <c r="G7770" s="15">
        <v>0.04307692307692307</v>
      </c>
      <c r="H7770" s="11" t="s">
        <v>33</v>
      </c>
      <c r="I7770" s="16">
        <v>6.920000000000001</v>
      </c>
      <c r="J7770" s="11" t="s">
        <v>2441</v>
      </c>
      <c r="K7770" s="11" t="s">
        <v>35</v>
      </c>
      <c r="L7770" s="11" t="s">
        <v>48</v>
      </c>
      <c r="M7770" s="11" t="s">
        <v>66</v>
      </c>
      <c r="N7770" s="11" t="s">
        <v>67</v>
      </c>
      <c r="O7770" s="11" t="s">
        <v>228</v>
      </c>
      <c r="P7770" s="11" t="s">
        <v>38</v>
      </c>
      <c r="Q7770" s="20">
        <v>41162.0</v>
      </c>
      <c r="R7770" s="17">
        <f t="shared" si="2"/>
        <v>1.607630769</v>
      </c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>
        <f t="shared" si="8"/>
        <v>4</v>
      </c>
      <c r="AF7770" s="19">
        <f t="shared" si="13"/>
        <v>2</v>
      </c>
      <c r="AG7770" s="9"/>
      <c r="AH7770" s="9"/>
      <c r="AI7770" s="9"/>
    </row>
    <row r="7771" ht="15.0" customHeight="1">
      <c r="A7771" s="11">
        <v>7770.0</v>
      </c>
      <c r="B7771" s="12">
        <f t="shared" si="1240"/>
        <v>41161</v>
      </c>
      <c r="C7771" s="13">
        <v>2012.0</v>
      </c>
      <c r="D7771" s="11" t="s">
        <v>102</v>
      </c>
      <c r="E7771" s="11">
        <v>20.0</v>
      </c>
      <c r="F7771" s="14">
        <v>39.9</v>
      </c>
      <c r="G7771" s="15">
        <v>0.0694411085450346</v>
      </c>
      <c r="H7771" s="11" t="s">
        <v>33</v>
      </c>
      <c r="I7771" s="16">
        <v>7.864000000000001</v>
      </c>
      <c r="J7771" s="11" t="s">
        <v>2441</v>
      </c>
      <c r="K7771" s="11" t="s">
        <v>35</v>
      </c>
      <c r="L7771" s="11" t="s">
        <v>48</v>
      </c>
      <c r="M7771" s="11" t="s">
        <v>28</v>
      </c>
      <c r="N7771" s="11" t="s">
        <v>236</v>
      </c>
      <c r="O7771" s="11" t="s">
        <v>2171</v>
      </c>
      <c r="P7771" s="11" t="s">
        <v>38</v>
      </c>
      <c r="Q7771" s="20">
        <v>41162.0</v>
      </c>
      <c r="R7771" s="17">
        <f t="shared" si="2"/>
        <v>55.9600895</v>
      </c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>
        <f t="shared" si="8"/>
        <v>4</v>
      </c>
      <c r="AF7771" s="19">
        <f t="shared" si="13"/>
        <v>2</v>
      </c>
      <c r="AG7771" s="9"/>
      <c r="AH7771" s="9"/>
      <c r="AI7771" s="9"/>
    </row>
    <row r="7772" ht="15.0" customHeight="1">
      <c r="A7772" s="11">
        <v>7771.0</v>
      </c>
      <c r="B7772" s="12">
        <f t="shared" si="1240"/>
        <v>41161</v>
      </c>
      <c r="C7772" s="13">
        <v>2012.0</v>
      </c>
      <c r="D7772" s="11" t="s">
        <v>102</v>
      </c>
      <c r="E7772" s="11">
        <v>28.0</v>
      </c>
      <c r="F7772" s="14">
        <v>40.9</v>
      </c>
      <c r="G7772" s="15">
        <v>0.015354871533960781</v>
      </c>
      <c r="H7772" s="11" t="s">
        <v>33</v>
      </c>
      <c r="I7772" s="16">
        <v>15.991999999999999</v>
      </c>
      <c r="J7772" s="11" t="s">
        <v>2228</v>
      </c>
      <c r="K7772" s="11" t="s">
        <v>26</v>
      </c>
      <c r="L7772" s="11" t="s">
        <v>27</v>
      </c>
      <c r="M7772" s="11" t="s">
        <v>28</v>
      </c>
      <c r="N7772" s="11" t="s">
        <v>56</v>
      </c>
      <c r="O7772" s="11" t="s">
        <v>1306</v>
      </c>
      <c r="P7772" s="11" t="s">
        <v>38</v>
      </c>
      <c r="Q7772" s="20">
        <v>41162.0</v>
      </c>
      <c r="R7772" s="17">
        <f t="shared" si="2"/>
        <v>17.82995399</v>
      </c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>
        <f t="shared" si="8"/>
        <v>1</v>
      </c>
      <c r="AF7772" s="19">
        <f t="shared" si="13"/>
        <v>1</v>
      </c>
      <c r="AG7772" s="9"/>
      <c r="AH7772" s="9"/>
      <c r="AI7772" s="9"/>
    </row>
    <row r="7773" ht="15.0" customHeight="1">
      <c r="A7773" s="11">
        <v>7772.0</v>
      </c>
      <c r="B7773" s="12">
        <f t="shared" si="1240"/>
        <v>41161</v>
      </c>
      <c r="C7773" s="13">
        <v>2012.0</v>
      </c>
      <c r="D7773" s="11" t="s">
        <v>102</v>
      </c>
      <c r="E7773" s="11">
        <v>21.0</v>
      </c>
      <c r="F7773" s="14">
        <v>136.9</v>
      </c>
      <c r="G7773" s="15">
        <v>0.04977118282393872</v>
      </c>
      <c r="H7773" s="11" t="s">
        <v>33</v>
      </c>
      <c r="I7773" s="16">
        <v>19.592</v>
      </c>
      <c r="J7773" s="11" t="s">
        <v>2228</v>
      </c>
      <c r="K7773" s="11" t="s">
        <v>26</v>
      </c>
      <c r="L7773" s="11" t="s">
        <v>27</v>
      </c>
      <c r="M7773" s="11" t="s">
        <v>49</v>
      </c>
      <c r="N7773" s="11" t="s">
        <v>73</v>
      </c>
      <c r="O7773" s="11" t="s">
        <v>1597</v>
      </c>
      <c r="P7773" s="11" t="s">
        <v>31</v>
      </c>
      <c r="Q7773" s="20">
        <v>41163.0</v>
      </c>
      <c r="R7773" s="17">
        <f t="shared" si="2"/>
        <v>144.0622905</v>
      </c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>
        <f t="shared" si="8"/>
        <v>1</v>
      </c>
      <c r="AF7773" s="19">
        <f t="shared" si="13"/>
        <v>1</v>
      </c>
      <c r="AG7773" s="9"/>
      <c r="AH7773" s="9"/>
      <c r="AI7773" s="9"/>
    </row>
    <row r="7774" ht="15.0" customHeight="1">
      <c r="A7774" s="11">
        <v>7773.0</v>
      </c>
      <c r="B7774" s="12">
        <f t="shared" si="1240"/>
        <v>41161</v>
      </c>
      <c r="C7774" s="13">
        <v>2012.0</v>
      </c>
      <c r="D7774" s="11" t="s">
        <v>102</v>
      </c>
      <c r="E7774" s="11">
        <v>12.0</v>
      </c>
      <c r="F7774" s="14">
        <v>6.4</v>
      </c>
      <c r="G7774" s="15">
        <v>0.028249118683901085</v>
      </c>
      <c r="H7774" s="11" t="s">
        <v>33</v>
      </c>
      <c r="I7774" s="16">
        <v>5.896000000000001</v>
      </c>
      <c r="J7774" s="11" t="s">
        <v>1963</v>
      </c>
      <c r="K7774" s="11" t="s">
        <v>65</v>
      </c>
      <c r="L7774" s="11" t="s">
        <v>41</v>
      </c>
      <c r="M7774" s="11" t="s">
        <v>28</v>
      </c>
      <c r="N7774" s="11" t="s">
        <v>56</v>
      </c>
      <c r="O7774" s="11" t="s">
        <v>860</v>
      </c>
      <c r="P7774" s="11" t="s">
        <v>38</v>
      </c>
      <c r="Q7774" s="20">
        <v>41163.0</v>
      </c>
      <c r="R7774" s="17">
        <f t="shared" si="2"/>
        <v>2.336089119</v>
      </c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>
        <f t="shared" si="8"/>
        <v>3</v>
      </c>
      <c r="AF7774" s="19">
        <f t="shared" si="13"/>
        <v>5</v>
      </c>
      <c r="AG7774" s="9"/>
      <c r="AH7774" s="9"/>
      <c r="AI7774" s="9"/>
    </row>
    <row r="7775" ht="15.0" customHeight="1">
      <c r="A7775" s="11">
        <v>7774.0</v>
      </c>
      <c r="B7775" s="12">
        <f t="shared" si="1240"/>
        <v>41161</v>
      </c>
      <c r="C7775" s="13">
        <v>2012.0</v>
      </c>
      <c r="D7775" s="11" t="s">
        <v>102</v>
      </c>
      <c r="E7775" s="11">
        <v>49.0</v>
      </c>
      <c r="F7775" s="14">
        <v>3.7</v>
      </c>
      <c r="G7775" s="15">
        <v>0.07813292744799583</v>
      </c>
      <c r="H7775" s="11" t="s">
        <v>33</v>
      </c>
      <c r="I7775" s="16">
        <v>0.4</v>
      </c>
      <c r="J7775" s="11" t="s">
        <v>2052</v>
      </c>
      <c r="K7775" s="11" t="s">
        <v>65</v>
      </c>
      <c r="L7775" s="11" t="s">
        <v>48</v>
      </c>
      <c r="M7775" s="11" t="s">
        <v>28</v>
      </c>
      <c r="N7775" s="11" t="s">
        <v>188</v>
      </c>
      <c r="O7775" s="11" t="s">
        <v>706</v>
      </c>
      <c r="P7775" s="11" t="s">
        <v>38</v>
      </c>
      <c r="Q7775" s="20">
        <v>41163.0</v>
      </c>
      <c r="R7775" s="17">
        <f t="shared" si="2"/>
        <v>14.19675292</v>
      </c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>
        <f t="shared" si="8"/>
        <v>4</v>
      </c>
      <c r="AF7775" s="19">
        <f t="shared" si="13"/>
        <v>5</v>
      </c>
      <c r="AG7775" s="9"/>
      <c r="AH7775" s="9"/>
      <c r="AI7775" s="9"/>
    </row>
    <row r="7776" ht="15.0" customHeight="1">
      <c r="A7776" s="11">
        <v>7775.0</v>
      </c>
      <c r="B7776" s="12">
        <f t="shared" si="1240"/>
        <v>41161</v>
      </c>
      <c r="C7776" s="13">
        <v>2012.0</v>
      </c>
      <c r="D7776" s="11" t="s">
        <v>102</v>
      </c>
      <c r="E7776" s="11">
        <v>20.0</v>
      </c>
      <c r="F7776" s="14">
        <v>3.9</v>
      </c>
      <c r="G7776" s="15">
        <v>0.04961849710982661</v>
      </c>
      <c r="H7776" s="11" t="s">
        <v>33</v>
      </c>
      <c r="I7776" s="16">
        <v>4.208</v>
      </c>
      <c r="J7776" s="11" t="s">
        <v>2052</v>
      </c>
      <c r="K7776" s="11" t="s">
        <v>65</v>
      </c>
      <c r="L7776" s="11" t="s">
        <v>48</v>
      </c>
      <c r="M7776" s="11" t="s">
        <v>28</v>
      </c>
      <c r="N7776" s="11" t="s">
        <v>42</v>
      </c>
      <c r="O7776" s="11" t="s">
        <v>971</v>
      </c>
      <c r="P7776" s="11" t="s">
        <v>38</v>
      </c>
      <c r="Q7776" s="20">
        <v>41164.0</v>
      </c>
      <c r="R7776" s="17">
        <f t="shared" si="2"/>
        <v>4.07903741</v>
      </c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>
        <f t="shared" si="8"/>
        <v>4</v>
      </c>
      <c r="AF7776" s="19">
        <f t="shared" si="13"/>
        <v>5</v>
      </c>
      <c r="AG7776" s="9"/>
      <c r="AH7776" s="9"/>
      <c r="AI7776" s="9"/>
    </row>
    <row r="7777" ht="15.0" customHeight="1">
      <c r="A7777" s="11">
        <v>7776.0</v>
      </c>
      <c r="B7777" s="12">
        <f t="shared" ref="B7777:B7785" si="1241">DATE(2012,12,31)-112</f>
        <v>41162</v>
      </c>
      <c r="C7777" s="13">
        <v>2012.0</v>
      </c>
      <c r="D7777" s="11" t="s">
        <v>39</v>
      </c>
      <c r="E7777" s="11">
        <v>47.0</v>
      </c>
      <c r="F7777" s="14">
        <v>28.1</v>
      </c>
      <c r="G7777" s="15">
        <v>0.022248119191621174</v>
      </c>
      <c r="H7777" s="11" t="s">
        <v>33</v>
      </c>
      <c r="I7777" s="16">
        <v>4.936</v>
      </c>
      <c r="J7777" s="11" t="s">
        <v>1773</v>
      </c>
      <c r="K7777" s="11" t="s">
        <v>61</v>
      </c>
      <c r="L7777" s="11" t="s">
        <v>48</v>
      </c>
      <c r="M7777" s="11" t="s">
        <v>28</v>
      </c>
      <c r="N7777" s="11" t="s">
        <v>62</v>
      </c>
      <c r="O7777" s="11" t="s">
        <v>361</v>
      </c>
      <c r="P7777" s="11" t="s">
        <v>99</v>
      </c>
      <c r="Q7777" s="20">
        <v>41164.0</v>
      </c>
      <c r="R7777" s="17">
        <f t="shared" si="2"/>
        <v>29.49290773</v>
      </c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>
        <f t="shared" si="8"/>
        <v>4</v>
      </c>
      <c r="AF7777" s="19">
        <f t="shared" si="13"/>
        <v>4</v>
      </c>
      <c r="AG7777" s="9"/>
      <c r="AH7777" s="9"/>
      <c r="AI7777" s="9"/>
    </row>
    <row r="7778" ht="15.0" customHeight="1">
      <c r="A7778" s="11">
        <v>7777.0</v>
      </c>
      <c r="B7778" s="12">
        <f t="shared" si="1241"/>
        <v>41162</v>
      </c>
      <c r="C7778" s="13">
        <v>2012.0</v>
      </c>
      <c r="D7778" s="11" t="s">
        <v>39</v>
      </c>
      <c r="E7778" s="11">
        <v>49.0</v>
      </c>
      <c r="F7778" s="14">
        <v>12.9</v>
      </c>
      <c r="G7778" s="15">
        <v>0.08898650588573061</v>
      </c>
      <c r="H7778" s="11" t="s">
        <v>33</v>
      </c>
      <c r="I7778" s="16">
        <v>2.5120000000000005</v>
      </c>
      <c r="J7778" s="11" t="s">
        <v>1773</v>
      </c>
      <c r="K7778" s="11" t="s">
        <v>61</v>
      </c>
      <c r="L7778" s="11" t="s">
        <v>48</v>
      </c>
      <c r="M7778" s="11" t="s">
        <v>28</v>
      </c>
      <c r="N7778" s="11" t="s">
        <v>442</v>
      </c>
      <c r="O7778" s="11" t="s">
        <v>1613</v>
      </c>
      <c r="P7778" s="11" t="s">
        <v>99</v>
      </c>
      <c r="Q7778" s="20">
        <v>41164.0</v>
      </c>
      <c r="R7778" s="17">
        <f t="shared" si="2"/>
        <v>56.47190447</v>
      </c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>
        <f t="shared" si="8"/>
        <v>4</v>
      </c>
      <c r="AF7778" s="19">
        <f t="shared" si="13"/>
        <v>4</v>
      </c>
      <c r="AG7778" s="9"/>
      <c r="AH7778" s="9"/>
      <c r="AI7778" s="9"/>
    </row>
    <row r="7779" ht="15.0" customHeight="1">
      <c r="A7779" s="11">
        <v>7778.0</v>
      </c>
      <c r="B7779" s="12">
        <f t="shared" si="1241"/>
        <v>41162</v>
      </c>
      <c r="C7779" s="13">
        <v>2012.0</v>
      </c>
      <c r="D7779" s="11" t="s">
        <v>44</v>
      </c>
      <c r="E7779" s="11">
        <v>32.0</v>
      </c>
      <c r="F7779" s="14">
        <v>110.9</v>
      </c>
      <c r="G7779" s="15">
        <v>0.08394009572332861</v>
      </c>
      <c r="H7779" s="11" t="s">
        <v>33</v>
      </c>
      <c r="I7779" s="16">
        <v>11.192</v>
      </c>
      <c r="J7779" s="11" t="s">
        <v>2098</v>
      </c>
      <c r="K7779" s="11" t="s">
        <v>83</v>
      </c>
      <c r="L7779" s="11" t="s">
        <v>48</v>
      </c>
      <c r="M7779" s="11" t="s">
        <v>49</v>
      </c>
      <c r="N7779" s="11" t="s">
        <v>73</v>
      </c>
      <c r="O7779" s="11" t="s">
        <v>330</v>
      </c>
      <c r="P7779" s="11" t="s">
        <v>75</v>
      </c>
      <c r="Q7779" s="20">
        <v>41164.0</v>
      </c>
      <c r="R7779" s="17">
        <f t="shared" si="2"/>
        <v>298.8260693</v>
      </c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>
        <f t="shared" si="8"/>
        <v>4</v>
      </c>
      <c r="AF7779" s="19" t="b">
        <f t="shared" si="13"/>
        <v>0</v>
      </c>
      <c r="AG7779" s="9"/>
      <c r="AH7779" s="9"/>
      <c r="AI7779" s="9"/>
    </row>
    <row r="7780" ht="15.0" customHeight="1">
      <c r="A7780" s="11">
        <v>7779.0</v>
      </c>
      <c r="B7780" s="12">
        <f t="shared" si="1241"/>
        <v>41162</v>
      </c>
      <c r="C7780" s="13">
        <v>2012.0</v>
      </c>
      <c r="D7780" s="11" t="s">
        <v>44</v>
      </c>
      <c r="E7780" s="11">
        <v>27.0</v>
      </c>
      <c r="F7780" s="14">
        <v>2.1</v>
      </c>
      <c r="G7780" s="15">
        <v>0.11127379209370417</v>
      </c>
      <c r="H7780" s="11" t="s">
        <v>33</v>
      </c>
      <c r="I7780" s="16">
        <v>4.0</v>
      </c>
      <c r="J7780" s="11" t="s">
        <v>2098</v>
      </c>
      <c r="K7780" s="11" t="s">
        <v>83</v>
      </c>
      <c r="L7780" s="11" t="s">
        <v>48</v>
      </c>
      <c r="M7780" s="11" t="s">
        <v>28</v>
      </c>
      <c r="N7780" s="11" t="s">
        <v>442</v>
      </c>
      <c r="O7780" s="11" t="s">
        <v>1883</v>
      </c>
      <c r="P7780" s="11" t="s">
        <v>58</v>
      </c>
      <c r="Q7780" s="20">
        <v>41164.0</v>
      </c>
      <c r="R7780" s="17">
        <f t="shared" si="2"/>
        <v>6.75431918</v>
      </c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>
        <f t="shared" si="8"/>
        <v>4</v>
      </c>
      <c r="AF7780" s="19" t="b">
        <f t="shared" si="13"/>
        <v>0</v>
      </c>
      <c r="AG7780" s="9"/>
      <c r="AH7780" s="9"/>
      <c r="AI7780" s="9"/>
    </row>
    <row r="7781" ht="15.0" customHeight="1">
      <c r="A7781" s="11">
        <v>7780.0</v>
      </c>
      <c r="B7781" s="12">
        <f t="shared" si="1241"/>
        <v>41162</v>
      </c>
      <c r="C7781" s="13">
        <v>2012.0</v>
      </c>
      <c r="D7781" s="11" t="s">
        <v>44</v>
      </c>
      <c r="E7781" s="11">
        <v>9.0</v>
      </c>
      <c r="F7781" s="14">
        <v>699.9</v>
      </c>
      <c r="G7781" s="15">
        <v>0.02047932039436986</v>
      </c>
      <c r="H7781" s="11" t="s">
        <v>33</v>
      </c>
      <c r="I7781" s="16">
        <v>19.592</v>
      </c>
      <c r="J7781" s="11" t="s">
        <v>2098</v>
      </c>
      <c r="K7781" s="11" t="s">
        <v>83</v>
      </c>
      <c r="L7781" s="11" t="s">
        <v>48</v>
      </c>
      <c r="M7781" s="11" t="s">
        <v>66</v>
      </c>
      <c r="N7781" s="11" t="s">
        <v>170</v>
      </c>
      <c r="O7781" s="11" t="s">
        <v>171</v>
      </c>
      <c r="P7781" s="11" t="s">
        <v>31</v>
      </c>
      <c r="Q7781" s="20">
        <v>41164.0</v>
      </c>
      <c r="R7781" s="17">
        <f t="shared" si="2"/>
        <v>129.4025179</v>
      </c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>
        <f t="shared" si="8"/>
        <v>4</v>
      </c>
      <c r="AF7781" s="19" t="b">
        <f t="shared" si="13"/>
        <v>0</v>
      </c>
      <c r="AG7781" s="9"/>
      <c r="AH7781" s="9"/>
      <c r="AI7781" s="9"/>
    </row>
    <row r="7782" ht="15.0" customHeight="1">
      <c r="A7782" s="11">
        <v>7781.0</v>
      </c>
      <c r="B7782" s="12">
        <f t="shared" si="1241"/>
        <v>41162</v>
      </c>
      <c r="C7782" s="13">
        <v>2012.0</v>
      </c>
      <c r="D7782" s="11" t="s">
        <v>44</v>
      </c>
      <c r="E7782" s="11">
        <v>25.0</v>
      </c>
      <c r="F7782" s="14">
        <v>110.9</v>
      </c>
      <c r="G7782" s="15">
        <v>0.0398300518134715</v>
      </c>
      <c r="H7782" s="11" t="s">
        <v>33</v>
      </c>
      <c r="I7782" s="16">
        <v>7.192</v>
      </c>
      <c r="J7782" s="11" t="s">
        <v>2098</v>
      </c>
      <c r="K7782" s="11" t="s">
        <v>83</v>
      </c>
      <c r="L7782" s="11" t="s">
        <v>48</v>
      </c>
      <c r="M7782" s="11" t="s">
        <v>66</v>
      </c>
      <c r="N7782" s="11" t="s">
        <v>80</v>
      </c>
      <c r="O7782" s="11" t="s">
        <v>1651</v>
      </c>
      <c r="P7782" s="11" t="s">
        <v>38</v>
      </c>
      <c r="Q7782" s="20">
        <v>41164.0</v>
      </c>
      <c r="R7782" s="17">
        <f t="shared" si="2"/>
        <v>110.7152764</v>
      </c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>
        <f t="shared" si="8"/>
        <v>4</v>
      </c>
      <c r="AF7782" s="19" t="b">
        <f t="shared" si="13"/>
        <v>0</v>
      </c>
      <c r="AG7782" s="9"/>
      <c r="AH7782" s="9"/>
      <c r="AI7782" s="9"/>
    </row>
    <row r="7783" ht="15.0" customHeight="1">
      <c r="A7783" s="11">
        <v>7782.0</v>
      </c>
      <c r="B7783" s="12">
        <f t="shared" si="1241"/>
        <v>41162</v>
      </c>
      <c r="C7783" s="13">
        <v>2012.0</v>
      </c>
      <c r="D7783" s="11" t="s">
        <v>32</v>
      </c>
      <c r="E7783" s="11">
        <v>31.0</v>
      </c>
      <c r="F7783" s="14">
        <v>55.4</v>
      </c>
      <c r="G7783" s="15">
        <v>0.032112865300638296</v>
      </c>
      <c r="H7783" s="11" t="s">
        <v>24</v>
      </c>
      <c r="I7783" s="16">
        <v>11.440000000000001</v>
      </c>
      <c r="J7783" s="11" t="s">
        <v>2493</v>
      </c>
      <c r="K7783" s="11" t="s">
        <v>26</v>
      </c>
      <c r="L7783" s="11" t="s">
        <v>27</v>
      </c>
      <c r="M7783" s="11" t="s">
        <v>28</v>
      </c>
      <c r="N7783" s="11" t="s">
        <v>56</v>
      </c>
      <c r="O7783" s="11" t="s">
        <v>492</v>
      </c>
      <c r="P7783" s="11" t="s">
        <v>38</v>
      </c>
      <c r="Q7783" s="20">
        <v>41164.0</v>
      </c>
      <c r="R7783" s="17">
        <f t="shared" si="2"/>
        <v>55.51800605</v>
      </c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>
        <f t="shared" si="8"/>
        <v>1</v>
      </c>
      <c r="AF7783" s="19">
        <f t="shared" si="13"/>
        <v>1</v>
      </c>
      <c r="AG7783" s="9"/>
      <c r="AH7783" s="9"/>
      <c r="AI7783" s="9"/>
    </row>
    <row r="7784" ht="15.0" customHeight="1">
      <c r="A7784" s="11">
        <v>7783.0</v>
      </c>
      <c r="B7784" s="12">
        <f t="shared" si="1241"/>
        <v>41162</v>
      </c>
      <c r="C7784" s="13">
        <v>2012.0</v>
      </c>
      <c r="D7784" s="11" t="s">
        <v>32</v>
      </c>
      <c r="E7784" s="11">
        <v>37.0</v>
      </c>
      <c r="F7784" s="14">
        <v>99.2</v>
      </c>
      <c r="G7784" s="15">
        <v>0.07479634707791391</v>
      </c>
      <c r="H7784" s="11" t="s">
        <v>33</v>
      </c>
      <c r="I7784" s="16">
        <v>7.192</v>
      </c>
      <c r="J7784" s="11" t="s">
        <v>1524</v>
      </c>
      <c r="K7784" s="11" t="s">
        <v>26</v>
      </c>
      <c r="L7784" s="11" t="s">
        <v>48</v>
      </c>
      <c r="M7784" s="11" t="s">
        <v>49</v>
      </c>
      <c r="N7784" s="11" t="s">
        <v>73</v>
      </c>
      <c r="O7784" s="11" t="s">
        <v>1545</v>
      </c>
      <c r="P7784" s="11" t="s">
        <v>99</v>
      </c>
      <c r="Q7784" s="20">
        <v>41164.0</v>
      </c>
      <c r="R7784" s="17">
        <f t="shared" si="2"/>
        <v>275.0704476</v>
      </c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>
        <f t="shared" si="8"/>
        <v>4</v>
      </c>
      <c r="AF7784" s="19">
        <f t="shared" si="13"/>
        <v>1</v>
      </c>
      <c r="AG7784" s="9"/>
      <c r="AH7784" s="9"/>
      <c r="AI7784" s="9"/>
    </row>
    <row r="7785" ht="15.0" customHeight="1">
      <c r="A7785" s="11">
        <v>7784.0</v>
      </c>
      <c r="B7785" s="12">
        <f t="shared" si="1241"/>
        <v>41162</v>
      </c>
      <c r="C7785" s="13">
        <v>2012.0</v>
      </c>
      <c r="D7785" s="11" t="s">
        <v>32</v>
      </c>
      <c r="E7785" s="11">
        <v>4.0</v>
      </c>
      <c r="F7785" s="14">
        <v>85.9</v>
      </c>
      <c r="G7785" s="15">
        <v>0.09227200843437001</v>
      </c>
      <c r="H7785" s="11" t="s">
        <v>33</v>
      </c>
      <c r="I7785" s="16">
        <v>0.792</v>
      </c>
      <c r="J7785" s="11" t="s">
        <v>1524</v>
      </c>
      <c r="K7785" s="11" t="s">
        <v>26</v>
      </c>
      <c r="L7785" s="11" t="s">
        <v>48</v>
      </c>
      <c r="M7785" s="11" t="s">
        <v>66</v>
      </c>
      <c r="N7785" s="11" t="s">
        <v>80</v>
      </c>
      <c r="O7785" s="11" t="s">
        <v>870</v>
      </c>
      <c r="P7785" s="11" t="s">
        <v>58</v>
      </c>
      <c r="Q7785" s="20">
        <v>41164.0</v>
      </c>
      <c r="R7785" s="17">
        <f t="shared" si="2"/>
        <v>31.77774153</v>
      </c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>
        <f t="shared" si="8"/>
        <v>4</v>
      </c>
      <c r="AF7785" s="19">
        <f t="shared" si="13"/>
        <v>1</v>
      </c>
      <c r="AG7785" s="9"/>
      <c r="AH7785" s="9"/>
      <c r="AI7785" s="9"/>
    </row>
    <row r="7786" ht="15.0" customHeight="1">
      <c r="A7786" s="11">
        <v>7785.0</v>
      </c>
      <c r="B7786" s="12">
        <f t="shared" ref="B7786:B7788" si="1242">DATE(2012,12,31)-111</f>
        <v>41163</v>
      </c>
      <c r="C7786" s="13">
        <v>2012.0</v>
      </c>
      <c r="D7786" s="11" t="s">
        <v>23</v>
      </c>
      <c r="E7786" s="11">
        <v>34.0</v>
      </c>
      <c r="F7786" s="14">
        <v>3.5</v>
      </c>
      <c r="G7786" s="15">
        <v>0.09282352941176467</v>
      </c>
      <c r="H7786" s="11" t="s">
        <v>33</v>
      </c>
      <c r="I7786" s="16">
        <v>4.376</v>
      </c>
      <c r="J7786" s="11" t="s">
        <v>1564</v>
      </c>
      <c r="K7786" s="11" t="s">
        <v>35</v>
      </c>
      <c r="L7786" s="11" t="s">
        <v>27</v>
      </c>
      <c r="M7786" s="11" t="s">
        <v>28</v>
      </c>
      <c r="N7786" s="11" t="s">
        <v>42</v>
      </c>
      <c r="O7786" s="11" t="s">
        <v>1530</v>
      </c>
      <c r="P7786" s="11" t="s">
        <v>38</v>
      </c>
      <c r="Q7786" s="20">
        <v>41164.0</v>
      </c>
      <c r="R7786" s="17">
        <f t="shared" si="2"/>
        <v>11.45219576</v>
      </c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>
        <f t="shared" si="8"/>
        <v>1</v>
      </c>
      <c r="AF7786" s="19">
        <f t="shared" si="13"/>
        <v>2</v>
      </c>
      <c r="AG7786" s="9"/>
      <c r="AH7786" s="9"/>
      <c r="AI7786" s="9"/>
    </row>
    <row r="7787" ht="15.0" customHeight="1">
      <c r="A7787" s="11">
        <v>7786.0</v>
      </c>
      <c r="B7787" s="12">
        <f t="shared" si="1242"/>
        <v>41163</v>
      </c>
      <c r="C7787" s="13">
        <v>2012.0</v>
      </c>
      <c r="D7787" s="11" t="s">
        <v>39</v>
      </c>
      <c r="E7787" s="11">
        <v>7.0</v>
      </c>
      <c r="F7787" s="14">
        <v>34.5</v>
      </c>
      <c r="G7787" s="15">
        <v>0.012569200779727055</v>
      </c>
      <c r="H7787" s="11" t="s">
        <v>33</v>
      </c>
      <c r="I7787" s="16">
        <v>11.776000000000002</v>
      </c>
      <c r="J7787" s="11" t="s">
        <v>1319</v>
      </c>
      <c r="K7787" s="11" t="s">
        <v>65</v>
      </c>
      <c r="L7787" s="11" t="s">
        <v>48</v>
      </c>
      <c r="M7787" s="11" t="s">
        <v>28</v>
      </c>
      <c r="N7787" s="11" t="s">
        <v>42</v>
      </c>
      <c r="O7787" s="11" t="s">
        <v>2005</v>
      </c>
      <c r="P7787" s="11" t="s">
        <v>38</v>
      </c>
      <c r="Q7787" s="20">
        <v>41164.0</v>
      </c>
      <c r="R7787" s="17">
        <f t="shared" si="2"/>
        <v>3.183476897</v>
      </c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>
        <f t="shared" si="8"/>
        <v>4</v>
      </c>
      <c r="AF7787" s="19">
        <f t="shared" si="13"/>
        <v>5</v>
      </c>
      <c r="AG7787" s="9"/>
      <c r="AH7787" s="9"/>
      <c r="AI7787" s="9"/>
    </row>
    <row r="7788" ht="15.0" customHeight="1">
      <c r="A7788" s="11">
        <v>7787.0</v>
      </c>
      <c r="B7788" s="12">
        <f t="shared" si="1242"/>
        <v>41163</v>
      </c>
      <c r="C7788" s="13">
        <v>2012.0</v>
      </c>
      <c r="D7788" s="11" t="s">
        <v>39</v>
      </c>
      <c r="E7788" s="11">
        <v>10.0</v>
      </c>
      <c r="F7788" s="14">
        <v>500.9</v>
      </c>
      <c r="G7788" s="15">
        <v>0.011160505473340892</v>
      </c>
      <c r="H7788" s="11" t="s">
        <v>45</v>
      </c>
      <c r="I7788" s="16">
        <v>22.512</v>
      </c>
      <c r="J7788" s="11" t="s">
        <v>1319</v>
      </c>
      <c r="K7788" s="11" t="s">
        <v>65</v>
      </c>
      <c r="L7788" s="11" t="s">
        <v>48</v>
      </c>
      <c r="M7788" s="11" t="s">
        <v>66</v>
      </c>
      <c r="N7788" s="11" t="s">
        <v>69</v>
      </c>
      <c r="O7788" s="11" t="s">
        <v>564</v>
      </c>
      <c r="P7788" s="11" t="s">
        <v>52</v>
      </c>
      <c r="Q7788" s="20">
        <v>41165.0</v>
      </c>
      <c r="R7788" s="17">
        <f t="shared" si="2"/>
        <v>56.15421722</v>
      </c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>
        <f t="shared" si="8"/>
        <v>4</v>
      </c>
      <c r="AF7788" s="19">
        <f t="shared" si="13"/>
        <v>5</v>
      </c>
      <c r="AG7788" s="9"/>
      <c r="AH7788" s="9"/>
      <c r="AI7788" s="9"/>
    </row>
    <row r="7789" ht="15.0" customHeight="1">
      <c r="A7789" s="11">
        <v>7788.0</v>
      </c>
      <c r="B7789" s="12">
        <f t="shared" ref="B7789:B7798" si="1243">DATE(2012,12,31)-110</f>
        <v>41164</v>
      </c>
      <c r="C7789" s="13">
        <v>2012.0</v>
      </c>
      <c r="D7789" s="11" t="s">
        <v>44</v>
      </c>
      <c r="E7789" s="11">
        <v>45.0</v>
      </c>
      <c r="F7789" s="14">
        <v>6.4</v>
      </c>
      <c r="G7789" s="15">
        <v>0.09753306674869279</v>
      </c>
      <c r="H7789" s="11" t="s">
        <v>33</v>
      </c>
      <c r="I7789" s="16">
        <v>5.392</v>
      </c>
      <c r="J7789" s="11" t="s">
        <v>1123</v>
      </c>
      <c r="K7789" s="11" t="s">
        <v>61</v>
      </c>
      <c r="L7789" s="11" t="s">
        <v>48</v>
      </c>
      <c r="M7789" s="11" t="s">
        <v>28</v>
      </c>
      <c r="N7789" s="11" t="s">
        <v>56</v>
      </c>
      <c r="O7789" s="11" t="s">
        <v>2590</v>
      </c>
      <c r="P7789" s="11" t="s">
        <v>38</v>
      </c>
      <c r="Q7789" s="20">
        <v>41165.0</v>
      </c>
      <c r="R7789" s="17">
        <f t="shared" si="2"/>
        <v>28.61542152</v>
      </c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>
        <f t="shared" si="8"/>
        <v>4</v>
      </c>
      <c r="AF7789" s="19">
        <f t="shared" si="13"/>
        <v>4</v>
      </c>
      <c r="AG7789" s="9"/>
      <c r="AH7789" s="9"/>
      <c r="AI7789" s="9"/>
    </row>
    <row r="7790" ht="15.0" customHeight="1">
      <c r="A7790" s="11">
        <v>7789.0</v>
      </c>
      <c r="B7790" s="12">
        <f t="shared" si="1243"/>
        <v>41164</v>
      </c>
      <c r="C7790" s="13">
        <v>2012.0</v>
      </c>
      <c r="D7790" s="11" t="s">
        <v>44</v>
      </c>
      <c r="E7790" s="11">
        <v>48.0</v>
      </c>
      <c r="F7790" s="14">
        <v>14.8</v>
      </c>
      <c r="G7790" s="15">
        <v>0.014142739950779241</v>
      </c>
      <c r="H7790" s="11" t="s">
        <v>33</v>
      </c>
      <c r="I7790" s="16">
        <v>10.656</v>
      </c>
      <c r="J7790" s="11" t="s">
        <v>1123</v>
      </c>
      <c r="K7790" s="11" t="s">
        <v>61</v>
      </c>
      <c r="L7790" s="11" t="s">
        <v>48</v>
      </c>
      <c r="M7790" s="11" t="s">
        <v>28</v>
      </c>
      <c r="N7790" s="11" t="s">
        <v>197</v>
      </c>
      <c r="O7790" s="11" t="s">
        <v>364</v>
      </c>
      <c r="P7790" s="11" t="s">
        <v>38</v>
      </c>
      <c r="Q7790" s="20">
        <v>41166.0</v>
      </c>
      <c r="R7790" s="17">
        <f t="shared" si="2"/>
        <v>10.1977075</v>
      </c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>
        <f t="shared" si="8"/>
        <v>4</v>
      </c>
      <c r="AF7790" s="19">
        <f t="shared" si="13"/>
        <v>4</v>
      </c>
      <c r="AG7790" s="9"/>
      <c r="AH7790" s="9"/>
      <c r="AI7790" s="9"/>
    </row>
    <row r="7791" ht="15.0" customHeight="1">
      <c r="A7791" s="11">
        <v>7790.0</v>
      </c>
      <c r="B7791" s="12">
        <f t="shared" si="1243"/>
        <v>41164</v>
      </c>
      <c r="C7791" s="13">
        <v>2012.0</v>
      </c>
      <c r="D7791" s="11" t="s">
        <v>44</v>
      </c>
      <c r="E7791" s="11">
        <v>15.0</v>
      </c>
      <c r="F7791" s="14">
        <v>20.2</v>
      </c>
      <c r="G7791" s="15">
        <v>0.0709972883398613</v>
      </c>
      <c r="H7791" s="11" t="s">
        <v>33</v>
      </c>
      <c r="I7791" s="16">
        <v>5.336</v>
      </c>
      <c r="J7791" s="11" t="s">
        <v>1123</v>
      </c>
      <c r="K7791" s="11" t="s">
        <v>61</v>
      </c>
      <c r="L7791" s="11" t="s">
        <v>48</v>
      </c>
      <c r="M7791" s="11" t="s">
        <v>49</v>
      </c>
      <c r="N7791" s="11" t="s">
        <v>73</v>
      </c>
      <c r="O7791" s="11" t="s">
        <v>2268</v>
      </c>
      <c r="P7791" s="11" t="s">
        <v>99</v>
      </c>
      <c r="Q7791" s="20">
        <v>41166.0</v>
      </c>
      <c r="R7791" s="17">
        <f t="shared" si="2"/>
        <v>21.8910199</v>
      </c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>
        <f t="shared" si="8"/>
        <v>4</v>
      </c>
      <c r="AF7791" s="19">
        <f t="shared" si="13"/>
        <v>4</v>
      </c>
      <c r="AG7791" s="9"/>
      <c r="AH7791" s="9"/>
      <c r="AI7791" s="9"/>
    </row>
    <row r="7792" ht="15.0" customHeight="1">
      <c r="A7792" s="11">
        <v>7791.0</v>
      </c>
      <c r="B7792" s="12">
        <f t="shared" si="1243"/>
        <v>41164</v>
      </c>
      <c r="C7792" s="13">
        <v>2012.0</v>
      </c>
      <c r="D7792" s="11" t="s">
        <v>44</v>
      </c>
      <c r="E7792" s="11">
        <v>16.0</v>
      </c>
      <c r="F7792" s="14">
        <v>13.7</v>
      </c>
      <c r="G7792" s="15">
        <v>0.05147169811320759</v>
      </c>
      <c r="H7792" s="11" t="s">
        <v>33</v>
      </c>
      <c r="I7792" s="16">
        <v>7.024</v>
      </c>
      <c r="J7792" s="11" t="s">
        <v>1720</v>
      </c>
      <c r="K7792" s="11" t="s">
        <v>65</v>
      </c>
      <c r="L7792" s="11" t="s">
        <v>48</v>
      </c>
      <c r="M7792" s="11" t="s">
        <v>49</v>
      </c>
      <c r="N7792" s="11" t="s">
        <v>73</v>
      </c>
      <c r="O7792" s="11" t="s">
        <v>728</v>
      </c>
      <c r="P7792" s="11" t="s">
        <v>38</v>
      </c>
      <c r="Q7792" s="20">
        <v>41166.0</v>
      </c>
      <c r="R7792" s="17">
        <f t="shared" si="2"/>
        <v>11.64413343</v>
      </c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>
        <f t="shared" si="8"/>
        <v>4</v>
      </c>
      <c r="AF7792" s="19">
        <f t="shared" si="13"/>
        <v>5</v>
      </c>
      <c r="AG7792" s="9"/>
      <c r="AH7792" s="9"/>
      <c r="AI7792" s="9"/>
    </row>
    <row r="7793" ht="15.0" customHeight="1">
      <c r="A7793" s="11">
        <v>7792.0</v>
      </c>
      <c r="B7793" s="12">
        <f t="shared" si="1243"/>
        <v>41164</v>
      </c>
      <c r="C7793" s="13">
        <v>2012.0</v>
      </c>
      <c r="D7793" s="11" t="s">
        <v>44</v>
      </c>
      <c r="E7793" s="11">
        <v>3.0</v>
      </c>
      <c r="F7793" s="14">
        <v>48.9</v>
      </c>
      <c r="G7793" s="15">
        <v>0.08106860959319978</v>
      </c>
      <c r="H7793" s="11" t="s">
        <v>33</v>
      </c>
      <c r="I7793" s="16">
        <v>4.648</v>
      </c>
      <c r="J7793" s="11" t="s">
        <v>1720</v>
      </c>
      <c r="K7793" s="11" t="s">
        <v>65</v>
      </c>
      <c r="L7793" s="11" t="s">
        <v>48</v>
      </c>
      <c r="M7793" s="11" t="s">
        <v>28</v>
      </c>
      <c r="N7793" s="11" t="s">
        <v>56</v>
      </c>
      <c r="O7793" s="11" t="s">
        <v>378</v>
      </c>
      <c r="P7793" s="11" t="s">
        <v>38</v>
      </c>
      <c r="Q7793" s="20">
        <v>41166.0</v>
      </c>
      <c r="R7793" s="17">
        <f t="shared" si="2"/>
        <v>12.26957192</v>
      </c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>
        <f t="shared" si="8"/>
        <v>4</v>
      </c>
      <c r="AF7793" s="19">
        <f t="shared" si="13"/>
        <v>5</v>
      </c>
      <c r="AG7793" s="9"/>
      <c r="AH7793" s="9"/>
      <c r="AI7793" s="9"/>
    </row>
    <row r="7794" ht="15.0" customHeight="1">
      <c r="A7794" s="11">
        <v>7793.0</v>
      </c>
      <c r="B7794" s="12">
        <f t="shared" si="1243"/>
        <v>41164</v>
      </c>
      <c r="C7794" s="13">
        <v>2012.0</v>
      </c>
      <c r="D7794" s="11" t="s">
        <v>44</v>
      </c>
      <c r="E7794" s="11">
        <v>35.0</v>
      </c>
      <c r="F7794" s="14">
        <v>200.9</v>
      </c>
      <c r="G7794" s="15">
        <v>0.02065396155128348</v>
      </c>
      <c r="H7794" s="11" t="s">
        <v>45</v>
      </c>
      <c r="I7794" s="16">
        <v>19.008000000000003</v>
      </c>
      <c r="J7794" s="11" t="s">
        <v>1799</v>
      </c>
      <c r="K7794" s="11" t="s">
        <v>117</v>
      </c>
      <c r="L7794" s="11" t="s">
        <v>36</v>
      </c>
      <c r="M7794" s="11" t="s">
        <v>49</v>
      </c>
      <c r="N7794" s="11" t="s">
        <v>50</v>
      </c>
      <c r="O7794" s="11" t="s">
        <v>866</v>
      </c>
      <c r="P7794" s="11" t="s">
        <v>52</v>
      </c>
      <c r="Q7794" s="20">
        <v>41166.0</v>
      </c>
      <c r="R7794" s="17">
        <f t="shared" si="2"/>
        <v>145.6209211</v>
      </c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>
        <f t="shared" si="8"/>
        <v>2</v>
      </c>
      <c r="AF7794" s="19" t="b">
        <f t="shared" si="13"/>
        <v>0</v>
      </c>
      <c r="AG7794" s="9"/>
      <c r="AH7794" s="9"/>
      <c r="AI7794" s="9"/>
    </row>
    <row r="7795" ht="15.0" customHeight="1">
      <c r="A7795" s="11">
        <v>7794.0</v>
      </c>
      <c r="B7795" s="12">
        <f t="shared" si="1243"/>
        <v>41164</v>
      </c>
      <c r="C7795" s="13">
        <v>2012.0</v>
      </c>
      <c r="D7795" s="11" t="s">
        <v>23</v>
      </c>
      <c r="E7795" s="11">
        <v>7.0</v>
      </c>
      <c r="F7795" s="14">
        <v>550.9</v>
      </c>
      <c r="G7795" s="15">
        <v>0.07636130685458044</v>
      </c>
      <c r="H7795" s="11" t="s">
        <v>45</v>
      </c>
      <c r="I7795" s="16">
        <v>36.56</v>
      </c>
      <c r="J7795" s="11" t="s">
        <v>600</v>
      </c>
      <c r="K7795" s="11" t="s">
        <v>35</v>
      </c>
      <c r="L7795" s="11" t="s">
        <v>41</v>
      </c>
      <c r="M7795" s="11" t="s">
        <v>49</v>
      </c>
      <c r="N7795" s="11" t="s">
        <v>85</v>
      </c>
      <c r="O7795" s="11" t="s">
        <v>2090</v>
      </c>
      <c r="P7795" s="11" t="s">
        <v>87</v>
      </c>
      <c r="Q7795" s="20">
        <v>41166.0</v>
      </c>
      <c r="R7795" s="17">
        <f t="shared" si="2"/>
        <v>297.263877</v>
      </c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>
        <f t="shared" si="8"/>
        <v>3</v>
      </c>
      <c r="AF7795" s="19">
        <f t="shared" si="13"/>
        <v>2</v>
      </c>
      <c r="AG7795" s="9"/>
      <c r="AH7795" s="9"/>
      <c r="AI7795" s="9"/>
    </row>
    <row r="7796" ht="15.0" customHeight="1">
      <c r="A7796" s="11">
        <v>7795.0</v>
      </c>
      <c r="B7796" s="12">
        <f t="shared" si="1243"/>
        <v>41164</v>
      </c>
      <c r="C7796" s="13">
        <v>2012.0</v>
      </c>
      <c r="D7796" s="11" t="s">
        <v>23</v>
      </c>
      <c r="E7796" s="11">
        <v>43.0</v>
      </c>
      <c r="F7796" s="14">
        <v>7.7</v>
      </c>
      <c r="G7796" s="15">
        <v>0.09311189763136397</v>
      </c>
      <c r="H7796" s="11" t="s">
        <v>24</v>
      </c>
      <c r="I7796" s="16">
        <v>2.0</v>
      </c>
      <c r="J7796" s="11" t="s">
        <v>600</v>
      </c>
      <c r="K7796" s="11" t="s">
        <v>35</v>
      </c>
      <c r="L7796" s="11" t="s">
        <v>41</v>
      </c>
      <c r="M7796" s="11" t="s">
        <v>28</v>
      </c>
      <c r="N7796" s="11" t="s">
        <v>236</v>
      </c>
      <c r="O7796" s="11" t="s">
        <v>1408</v>
      </c>
      <c r="P7796" s="11" t="s">
        <v>38</v>
      </c>
      <c r="Q7796" s="20">
        <v>41166.0</v>
      </c>
      <c r="R7796" s="17">
        <f t="shared" si="2"/>
        <v>31.0155731</v>
      </c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>
        <f t="shared" si="8"/>
        <v>3</v>
      </c>
      <c r="AF7796" s="19">
        <f t="shared" si="13"/>
        <v>2</v>
      </c>
      <c r="AG7796" s="9"/>
      <c r="AH7796" s="9"/>
      <c r="AI7796" s="9"/>
    </row>
    <row r="7797" ht="15.0" customHeight="1">
      <c r="A7797" s="11">
        <v>7796.0</v>
      </c>
      <c r="B7797" s="12">
        <f t="shared" si="1243"/>
        <v>41164</v>
      </c>
      <c r="C7797" s="13">
        <v>2012.0</v>
      </c>
      <c r="D7797" s="11" t="s">
        <v>23</v>
      </c>
      <c r="E7797" s="11">
        <v>41.0</v>
      </c>
      <c r="F7797" s="14">
        <v>204.1</v>
      </c>
      <c r="G7797" s="15">
        <v>0.047926736430673536</v>
      </c>
      <c r="H7797" s="11" t="s">
        <v>33</v>
      </c>
      <c r="I7797" s="16">
        <v>11.192</v>
      </c>
      <c r="J7797" s="11" t="s">
        <v>1516</v>
      </c>
      <c r="K7797" s="11" t="s">
        <v>65</v>
      </c>
      <c r="L7797" s="11" t="s">
        <v>48</v>
      </c>
      <c r="M7797" s="11" t="s">
        <v>66</v>
      </c>
      <c r="N7797" s="11" t="s">
        <v>69</v>
      </c>
      <c r="O7797" s="11" t="s">
        <v>2022</v>
      </c>
      <c r="P7797" s="11" t="s">
        <v>75</v>
      </c>
      <c r="Q7797" s="20">
        <v>41166.0</v>
      </c>
      <c r="R7797" s="17">
        <f t="shared" si="2"/>
        <v>401.5921192</v>
      </c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>
        <f t="shared" si="8"/>
        <v>4</v>
      </c>
      <c r="AF7797" s="19">
        <f t="shared" si="13"/>
        <v>5</v>
      </c>
      <c r="AG7797" s="9"/>
      <c r="AH7797" s="9"/>
      <c r="AI7797" s="9"/>
    </row>
    <row r="7798" ht="15.0" customHeight="1">
      <c r="A7798" s="11">
        <v>7797.0</v>
      </c>
      <c r="B7798" s="12">
        <f t="shared" si="1243"/>
        <v>41164</v>
      </c>
      <c r="C7798" s="13">
        <v>2012.0</v>
      </c>
      <c r="D7798" s="11" t="s">
        <v>23</v>
      </c>
      <c r="E7798" s="11">
        <v>24.0</v>
      </c>
      <c r="F7798" s="14">
        <v>3.1</v>
      </c>
      <c r="G7798" s="15">
        <v>0.081081081081081</v>
      </c>
      <c r="H7798" s="11" t="s">
        <v>33</v>
      </c>
      <c r="I7798" s="16">
        <v>0.4</v>
      </c>
      <c r="J7798" s="11" t="s">
        <v>839</v>
      </c>
      <c r="K7798" s="11" t="s">
        <v>83</v>
      </c>
      <c r="L7798" s="11" t="s">
        <v>36</v>
      </c>
      <c r="M7798" s="11" t="s">
        <v>28</v>
      </c>
      <c r="N7798" s="11" t="s">
        <v>188</v>
      </c>
      <c r="O7798" s="11" t="s">
        <v>1575</v>
      </c>
      <c r="P7798" s="11" t="s">
        <v>38</v>
      </c>
      <c r="Q7798" s="20">
        <v>41166.0</v>
      </c>
      <c r="R7798" s="17">
        <f t="shared" si="2"/>
        <v>6.064864865</v>
      </c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>
        <f t="shared" si="8"/>
        <v>2</v>
      </c>
      <c r="AF7798" s="19" t="b">
        <f t="shared" si="13"/>
        <v>0</v>
      </c>
      <c r="AG7798" s="9"/>
      <c r="AH7798" s="9"/>
      <c r="AI7798" s="9"/>
    </row>
    <row r="7799" ht="15.0" customHeight="1">
      <c r="A7799" s="11">
        <v>7798.0</v>
      </c>
      <c r="B7799" s="12">
        <f t="shared" ref="B7799:B7807" si="1244">DATE(2012,12,31)-109</f>
        <v>41165</v>
      </c>
      <c r="C7799" s="13">
        <v>2012.0</v>
      </c>
      <c r="D7799" s="11" t="s">
        <v>23</v>
      </c>
      <c r="E7799" s="11">
        <v>41.0</v>
      </c>
      <c r="F7799" s="14">
        <v>175.9</v>
      </c>
      <c r="G7799" s="15">
        <v>0.057214455564556094</v>
      </c>
      <c r="H7799" s="11" t="s">
        <v>33</v>
      </c>
      <c r="I7799" s="16">
        <v>3.9920000000000004</v>
      </c>
      <c r="J7799" s="11" t="s">
        <v>1625</v>
      </c>
      <c r="K7799" s="11" t="s">
        <v>35</v>
      </c>
      <c r="L7799" s="11" t="s">
        <v>36</v>
      </c>
      <c r="M7799" s="11" t="s">
        <v>66</v>
      </c>
      <c r="N7799" s="11" t="s">
        <v>80</v>
      </c>
      <c r="O7799" s="11">
        <v>5165.0</v>
      </c>
      <c r="P7799" s="11" t="s">
        <v>38</v>
      </c>
      <c r="Q7799" s="20">
        <v>41166.0</v>
      </c>
      <c r="R7799" s="17">
        <f t="shared" si="2"/>
        <v>412.8533322</v>
      </c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>
        <f t="shared" si="8"/>
        <v>2</v>
      </c>
      <c r="AF7799" s="19">
        <f t="shared" si="13"/>
        <v>2</v>
      </c>
      <c r="AG7799" s="9"/>
      <c r="AH7799" s="9"/>
      <c r="AI7799" s="9"/>
    </row>
    <row r="7800" ht="15.0" customHeight="1">
      <c r="A7800" s="11">
        <v>7799.0</v>
      </c>
      <c r="B7800" s="12">
        <f t="shared" si="1244"/>
        <v>41165</v>
      </c>
      <c r="C7800" s="13">
        <v>2012.0</v>
      </c>
      <c r="D7800" s="11" t="s">
        <v>23</v>
      </c>
      <c r="E7800" s="11">
        <v>44.0</v>
      </c>
      <c r="F7800" s="14">
        <v>2.6</v>
      </c>
      <c r="G7800" s="15">
        <v>0.0696920583468395</v>
      </c>
      <c r="H7800" s="11" t="s">
        <v>33</v>
      </c>
      <c r="I7800" s="16">
        <v>0.4</v>
      </c>
      <c r="J7800" s="11" t="s">
        <v>1625</v>
      </c>
      <c r="K7800" s="11" t="s">
        <v>35</v>
      </c>
      <c r="L7800" s="11" t="s">
        <v>36</v>
      </c>
      <c r="M7800" s="11" t="s">
        <v>28</v>
      </c>
      <c r="N7800" s="11" t="s">
        <v>188</v>
      </c>
      <c r="O7800" s="11" t="s">
        <v>918</v>
      </c>
      <c r="P7800" s="11" t="s">
        <v>38</v>
      </c>
      <c r="Q7800" s="20">
        <v>41166.0</v>
      </c>
      <c r="R7800" s="17">
        <f t="shared" si="2"/>
        <v>8.000648298</v>
      </c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>
        <f t="shared" si="8"/>
        <v>2</v>
      </c>
      <c r="AF7800" s="19">
        <f t="shared" si="13"/>
        <v>2</v>
      </c>
      <c r="AG7800" s="9"/>
      <c r="AH7800" s="9"/>
      <c r="AI7800" s="9"/>
    </row>
    <row r="7801" ht="15.0" customHeight="1">
      <c r="A7801" s="11">
        <v>7800.0</v>
      </c>
      <c r="B7801" s="12">
        <f t="shared" si="1244"/>
        <v>41165</v>
      </c>
      <c r="C7801" s="13">
        <v>2012.0</v>
      </c>
      <c r="D7801" s="11" t="s">
        <v>102</v>
      </c>
      <c r="E7801" s="11">
        <v>30.0</v>
      </c>
      <c r="F7801" s="14">
        <v>142.8</v>
      </c>
      <c r="G7801" s="15">
        <v>0.03509727976587363</v>
      </c>
      <c r="H7801" s="11" t="s">
        <v>33</v>
      </c>
      <c r="I7801" s="16">
        <v>15.991999999999999</v>
      </c>
      <c r="J7801" s="11" t="s">
        <v>1605</v>
      </c>
      <c r="K7801" s="11" t="s">
        <v>61</v>
      </c>
      <c r="L7801" s="11" t="s">
        <v>48</v>
      </c>
      <c r="M7801" s="11" t="s">
        <v>28</v>
      </c>
      <c r="N7801" s="11" t="s">
        <v>29</v>
      </c>
      <c r="O7801" s="11" t="s">
        <v>1202</v>
      </c>
      <c r="P7801" s="11" t="s">
        <v>38</v>
      </c>
      <c r="Q7801" s="20">
        <v>41167.0</v>
      </c>
      <c r="R7801" s="17">
        <f t="shared" si="2"/>
        <v>150.9180222</v>
      </c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>
        <f t="shared" si="8"/>
        <v>4</v>
      </c>
      <c r="AF7801" s="19">
        <f t="shared" si="13"/>
        <v>4</v>
      </c>
      <c r="AG7801" s="9"/>
      <c r="AH7801" s="9"/>
      <c r="AI7801" s="9"/>
    </row>
    <row r="7802" ht="15.0" customHeight="1">
      <c r="A7802" s="11">
        <v>7801.0</v>
      </c>
      <c r="B7802" s="12">
        <f t="shared" si="1244"/>
        <v>41165</v>
      </c>
      <c r="C7802" s="13">
        <v>2012.0</v>
      </c>
      <c r="D7802" s="11" t="s">
        <v>44</v>
      </c>
      <c r="E7802" s="11">
        <v>49.0</v>
      </c>
      <c r="F7802" s="14">
        <v>3.2</v>
      </c>
      <c r="G7802" s="15">
        <v>0.07456037514654144</v>
      </c>
      <c r="H7802" s="11" t="s">
        <v>33</v>
      </c>
      <c r="I7802" s="16">
        <v>1.08</v>
      </c>
      <c r="J7802" s="11" t="s">
        <v>925</v>
      </c>
      <c r="K7802" s="11" t="s">
        <v>35</v>
      </c>
      <c r="L7802" s="11" t="s">
        <v>27</v>
      </c>
      <c r="M7802" s="11" t="s">
        <v>28</v>
      </c>
      <c r="N7802" s="11" t="s">
        <v>216</v>
      </c>
      <c r="O7802" s="11" t="s">
        <v>217</v>
      </c>
      <c r="P7802" s="11" t="s">
        <v>58</v>
      </c>
      <c r="Q7802" s="20">
        <v>41167.0</v>
      </c>
      <c r="R7802" s="17">
        <f t="shared" si="2"/>
        <v>11.77159203</v>
      </c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>
        <f t="shared" si="8"/>
        <v>1</v>
      </c>
      <c r="AF7802" s="19">
        <f t="shared" si="13"/>
        <v>2</v>
      </c>
      <c r="AG7802" s="9"/>
      <c r="AH7802" s="9"/>
      <c r="AI7802" s="9"/>
    </row>
    <row r="7803" ht="15.0" customHeight="1">
      <c r="A7803" s="11">
        <v>7802.0</v>
      </c>
      <c r="B7803" s="12">
        <f t="shared" si="1244"/>
        <v>41165</v>
      </c>
      <c r="C7803" s="13">
        <v>2012.0</v>
      </c>
      <c r="D7803" s="11" t="s">
        <v>44</v>
      </c>
      <c r="E7803" s="11">
        <v>26.0</v>
      </c>
      <c r="F7803" s="14">
        <v>550.9</v>
      </c>
      <c r="G7803" s="15">
        <v>0.02173851781601412</v>
      </c>
      <c r="H7803" s="11" t="s">
        <v>45</v>
      </c>
      <c r="I7803" s="16">
        <v>117.69600000000001</v>
      </c>
      <c r="J7803" s="11" t="s">
        <v>925</v>
      </c>
      <c r="K7803" s="11" t="s">
        <v>35</v>
      </c>
      <c r="L7803" s="11" t="s">
        <v>27</v>
      </c>
      <c r="M7803" s="11" t="s">
        <v>49</v>
      </c>
      <c r="N7803" s="11" t="s">
        <v>85</v>
      </c>
      <c r="O7803" s="11" t="s">
        <v>2492</v>
      </c>
      <c r="P7803" s="11" t="s">
        <v>87</v>
      </c>
      <c r="Q7803" s="20">
        <v>41167.0</v>
      </c>
      <c r="R7803" s="17">
        <f t="shared" si="2"/>
        <v>313.9280227</v>
      </c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>
        <f t="shared" si="8"/>
        <v>1</v>
      </c>
      <c r="AF7803" s="19">
        <f t="shared" si="13"/>
        <v>2</v>
      </c>
      <c r="AG7803" s="9"/>
      <c r="AH7803" s="9"/>
      <c r="AI7803" s="9"/>
    </row>
    <row r="7804" ht="15.0" customHeight="1">
      <c r="A7804" s="11">
        <v>7803.0</v>
      </c>
      <c r="B7804" s="12">
        <f t="shared" si="1244"/>
        <v>41165</v>
      </c>
      <c r="C7804" s="13">
        <v>2012.0</v>
      </c>
      <c r="D7804" s="11" t="s">
        <v>39</v>
      </c>
      <c r="E7804" s="11">
        <v>23.0</v>
      </c>
      <c r="F7804" s="14">
        <v>17.9</v>
      </c>
      <c r="G7804" s="15">
        <v>0.0964721254355401</v>
      </c>
      <c r="H7804" s="11" t="s">
        <v>33</v>
      </c>
      <c r="I7804" s="16">
        <v>3.2</v>
      </c>
      <c r="J7804" s="11" t="s">
        <v>2329</v>
      </c>
      <c r="K7804" s="11" t="s">
        <v>35</v>
      </c>
      <c r="L7804" s="11" t="s">
        <v>27</v>
      </c>
      <c r="M7804" s="11" t="s">
        <v>66</v>
      </c>
      <c r="N7804" s="11" t="s">
        <v>67</v>
      </c>
      <c r="O7804" s="11" t="s">
        <v>874</v>
      </c>
      <c r="P7804" s="11" t="s">
        <v>38</v>
      </c>
      <c r="Q7804" s="20">
        <v>41167.0</v>
      </c>
      <c r="R7804" s="17">
        <f t="shared" si="2"/>
        <v>40.02628484</v>
      </c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>
        <f t="shared" si="8"/>
        <v>1</v>
      </c>
      <c r="AF7804" s="19">
        <f t="shared" si="13"/>
        <v>2</v>
      </c>
      <c r="AG7804" s="9"/>
      <c r="AH7804" s="9"/>
      <c r="AI7804" s="9"/>
    </row>
    <row r="7805" ht="15.0" customHeight="1">
      <c r="A7805" s="11">
        <v>7804.0</v>
      </c>
      <c r="B7805" s="12">
        <f t="shared" si="1244"/>
        <v>41165</v>
      </c>
      <c r="C7805" s="13">
        <v>2012.0</v>
      </c>
      <c r="D7805" s="11" t="s">
        <v>39</v>
      </c>
      <c r="E7805" s="11">
        <v>30.0</v>
      </c>
      <c r="F7805" s="14">
        <v>6.6</v>
      </c>
      <c r="G7805" s="15">
        <v>0.08976179775280903</v>
      </c>
      <c r="H7805" s="11" t="s">
        <v>33</v>
      </c>
      <c r="I7805" s="16">
        <v>4.5280000000000005</v>
      </c>
      <c r="J7805" s="11" t="s">
        <v>746</v>
      </c>
      <c r="K7805" s="11" t="s">
        <v>65</v>
      </c>
      <c r="L7805" s="11" t="s">
        <v>48</v>
      </c>
      <c r="M7805" s="11" t="s">
        <v>28</v>
      </c>
      <c r="N7805" s="11" t="s">
        <v>56</v>
      </c>
      <c r="O7805" s="11" t="s">
        <v>590</v>
      </c>
      <c r="P7805" s="11" t="s">
        <v>38</v>
      </c>
      <c r="Q7805" s="20">
        <v>41167.0</v>
      </c>
      <c r="R7805" s="17">
        <f t="shared" si="2"/>
        <v>18.17927738</v>
      </c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>
        <f t="shared" si="8"/>
        <v>4</v>
      </c>
      <c r="AF7805" s="19">
        <f t="shared" si="13"/>
        <v>5</v>
      </c>
      <c r="AG7805" s="9"/>
      <c r="AH7805" s="9"/>
      <c r="AI7805" s="9"/>
    </row>
    <row r="7806" ht="15.0" customHeight="1">
      <c r="A7806" s="11">
        <v>7805.0</v>
      </c>
      <c r="B7806" s="12">
        <f t="shared" si="1244"/>
        <v>41165</v>
      </c>
      <c r="C7806" s="13">
        <v>2012.0</v>
      </c>
      <c r="D7806" s="11" t="s">
        <v>32</v>
      </c>
      <c r="E7806" s="11">
        <v>31.0</v>
      </c>
      <c r="F7806" s="14">
        <v>85.9</v>
      </c>
      <c r="G7806" s="15">
        <v>0.048657645012553825</v>
      </c>
      <c r="H7806" s="11" t="s">
        <v>33</v>
      </c>
      <c r="I7806" s="16">
        <v>0.792</v>
      </c>
      <c r="J7806" s="11" t="s">
        <v>1906</v>
      </c>
      <c r="K7806" s="11" t="s">
        <v>61</v>
      </c>
      <c r="L7806" s="11" t="s">
        <v>41</v>
      </c>
      <c r="M7806" s="11" t="s">
        <v>66</v>
      </c>
      <c r="N7806" s="11" t="s">
        <v>80</v>
      </c>
      <c r="O7806" s="11" t="s">
        <v>1055</v>
      </c>
      <c r="P7806" s="11" t="s">
        <v>58</v>
      </c>
      <c r="Q7806" s="20">
        <v>41167.0</v>
      </c>
      <c r="R7806" s="17">
        <f t="shared" si="2"/>
        <v>129.6089798</v>
      </c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>
        <f t="shared" si="8"/>
        <v>3</v>
      </c>
      <c r="AF7806" s="19">
        <f t="shared" si="13"/>
        <v>4</v>
      </c>
      <c r="AG7806" s="9"/>
      <c r="AH7806" s="9"/>
      <c r="AI7806" s="9"/>
    </row>
    <row r="7807" ht="15.0" customHeight="1">
      <c r="A7807" s="11">
        <v>7806.0</v>
      </c>
      <c r="B7807" s="12">
        <f t="shared" si="1244"/>
        <v>41165</v>
      </c>
      <c r="C7807" s="13">
        <v>2012.0</v>
      </c>
      <c r="D7807" s="11" t="s">
        <v>32</v>
      </c>
      <c r="E7807" s="11">
        <v>25.0</v>
      </c>
      <c r="F7807" s="14">
        <v>60.2</v>
      </c>
      <c r="G7807" s="15">
        <v>0.04834637717748052</v>
      </c>
      <c r="H7807" s="11" t="s">
        <v>33</v>
      </c>
      <c r="I7807" s="16">
        <v>2.8000000000000003</v>
      </c>
      <c r="J7807" s="11" t="s">
        <v>1906</v>
      </c>
      <c r="K7807" s="11" t="s">
        <v>61</v>
      </c>
      <c r="L7807" s="11" t="s">
        <v>41</v>
      </c>
      <c r="M7807" s="11" t="s">
        <v>28</v>
      </c>
      <c r="N7807" s="11" t="s">
        <v>197</v>
      </c>
      <c r="O7807" s="11" t="s">
        <v>393</v>
      </c>
      <c r="P7807" s="11" t="s">
        <v>38</v>
      </c>
      <c r="Q7807" s="20">
        <v>41167.0</v>
      </c>
      <c r="R7807" s="17">
        <f t="shared" si="2"/>
        <v>72.89666751</v>
      </c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>
        <f t="shared" si="8"/>
        <v>3</v>
      </c>
      <c r="AF7807" s="19">
        <f t="shared" si="13"/>
        <v>4</v>
      </c>
      <c r="AG7807" s="9"/>
      <c r="AH7807" s="9"/>
      <c r="AI7807" s="9"/>
    </row>
    <row r="7808" ht="15.0" customHeight="1">
      <c r="A7808" s="11">
        <v>7807.0</v>
      </c>
      <c r="B7808" s="12">
        <f t="shared" ref="B7808:B7816" si="1245">DATE(2012,12,31)-108</f>
        <v>41166</v>
      </c>
      <c r="C7808" s="13">
        <v>2012.0</v>
      </c>
      <c r="D7808" s="11" t="s">
        <v>39</v>
      </c>
      <c r="E7808" s="11">
        <v>17.0</v>
      </c>
      <c r="F7808" s="14">
        <v>20.9</v>
      </c>
      <c r="G7808" s="15">
        <v>0.006780973451327586</v>
      </c>
      <c r="H7808" s="11" t="s">
        <v>33</v>
      </c>
      <c r="I7808" s="16">
        <v>3.848</v>
      </c>
      <c r="J7808" s="11" t="s">
        <v>617</v>
      </c>
      <c r="K7808" s="11" t="s">
        <v>61</v>
      </c>
      <c r="L7808" s="11" t="s">
        <v>41</v>
      </c>
      <c r="M7808" s="11" t="s">
        <v>66</v>
      </c>
      <c r="N7808" s="11" t="s">
        <v>80</v>
      </c>
      <c r="O7808" s="11" t="s">
        <v>899</v>
      </c>
      <c r="P7808" s="11" t="s">
        <v>75</v>
      </c>
      <c r="Q7808" s="20">
        <v>41168.0</v>
      </c>
      <c r="R7808" s="17">
        <f t="shared" si="2"/>
        <v>2.435373053</v>
      </c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>
        <f t="shared" si="8"/>
        <v>3</v>
      </c>
      <c r="AF7808" s="19">
        <f t="shared" si="13"/>
        <v>4</v>
      </c>
      <c r="AG7808" s="9"/>
      <c r="AH7808" s="9"/>
      <c r="AI7808" s="9"/>
    </row>
    <row r="7809" ht="15.0" customHeight="1">
      <c r="A7809" s="11">
        <v>7808.0</v>
      </c>
      <c r="B7809" s="12">
        <f t="shared" si="1245"/>
        <v>41166</v>
      </c>
      <c r="C7809" s="13">
        <v>2012.0</v>
      </c>
      <c r="D7809" s="11" t="s">
        <v>102</v>
      </c>
      <c r="E7809" s="11">
        <v>32.0</v>
      </c>
      <c r="F7809" s="14">
        <v>2.8</v>
      </c>
      <c r="G7809" s="15">
        <v>0.03923809523809537</v>
      </c>
      <c r="H7809" s="11" t="s">
        <v>33</v>
      </c>
      <c r="I7809" s="16">
        <v>1.192</v>
      </c>
      <c r="J7809" s="11" t="s">
        <v>1948</v>
      </c>
      <c r="K7809" s="11" t="s">
        <v>61</v>
      </c>
      <c r="L7809" s="11" t="s">
        <v>41</v>
      </c>
      <c r="M7809" s="11" t="s">
        <v>28</v>
      </c>
      <c r="N7809" s="11" t="s">
        <v>42</v>
      </c>
      <c r="O7809" s="11" t="s">
        <v>1503</v>
      </c>
      <c r="P7809" s="11" t="s">
        <v>38</v>
      </c>
      <c r="Q7809" s="20">
        <v>41168.0</v>
      </c>
      <c r="R7809" s="17">
        <f t="shared" si="2"/>
        <v>3.562505143</v>
      </c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>
        <f t="shared" si="8"/>
        <v>3</v>
      </c>
      <c r="AF7809" s="19">
        <f t="shared" si="13"/>
        <v>4</v>
      </c>
      <c r="AG7809" s="9"/>
      <c r="AH7809" s="9"/>
      <c r="AI7809" s="9"/>
    </row>
    <row r="7810" ht="15.0" customHeight="1">
      <c r="A7810" s="11">
        <v>7809.0</v>
      </c>
      <c r="B7810" s="12">
        <f t="shared" si="1245"/>
        <v>41166</v>
      </c>
      <c r="C7810" s="13">
        <v>2012.0</v>
      </c>
      <c r="D7810" s="11" t="s">
        <v>32</v>
      </c>
      <c r="E7810" s="11">
        <v>4.0</v>
      </c>
      <c r="F7810" s="14">
        <v>8.6</v>
      </c>
      <c r="G7810" s="15">
        <v>0.11344578313253008</v>
      </c>
      <c r="H7810" s="11" t="s">
        <v>33</v>
      </c>
      <c r="I7810" s="16">
        <v>2.3920000000000003</v>
      </c>
      <c r="J7810" s="11" t="s">
        <v>2194</v>
      </c>
      <c r="K7810" s="11" t="s">
        <v>47</v>
      </c>
      <c r="L7810" s="11" t="s">
        <v>41</v>
      </c>
      <c r="M7810" s="11" t="s">
        <v>28</v>
      </c>
      <c r="N7810" s="11" t="s">
        <v>42</v>
      </c>
      <c r="O7810" s="11" t="s">
        <v>2146</v>
      </c>
      <c r="P7810" s="11" t="s">
        <v>38</v>
      </c>
      <c r="Q7810" s="20">
        <v>41168.0</v>
      </c>
      <c r="R7810" s="17">
        <f t="shared" si="2"/>
        <v>4.173897253</v>
      </c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>
        <f t="shared" si="8"/>
        <v>3</v>
      </c>
      <c r="AF7810" s="19">
        <f t="shared" si="13"/>
        <v>3</v>
      </c>
      <c r="AG7810" s="9"/>
      <c r="AH7810" s="9"/>
      <c r="AI7810" s="9"/>
    </row>
    <row r="7811" ht="15.0" customHeight="1">
      <c r="A7811" s="11">
        <v>7810.0</v>
      </c>
      <c r="B7811" s="12">
        <f t="shared" si="1245"/>
        <v>41166</v>
      </c>
      <c r="C7811" s="13">
        <v>2012.0</v>
      </c>
      <c r="D7811" s="11" t="s">
        <v>32</v>
      </c>
      <c r="E7811" s="11">
        <v>19.0</v>
      </c>
      <c r="F7811" s="14">
        <v>40.9</v>
      </c>
      <c r="G7811" s="15">
        <v>0.059617282464797146</v>
      </c>
      <c r="H7811" s="11" t="s">
        <v>33</v>
      </c>
      <c r="I7811" s="16">
        <v>4.264</v>
      </c>
      <c r="J7811" s="11" t="s">
        <v>2194</v>
      </c>
      <c r="K7811" s="11" t="s">
        <v>47</v>
      </c>
      <c r="L7811" s="11" t="s">
        <v>41</v>
      </c>
      <c r="M7811" s="11" t="s">
        <v>28</v>
      </c>
      <c r="N7811" s="11" t="s">
        <v>197</v>
      </c>
      <c r="O7811" s="11" t="s">
        <v>2390</v>
      </c>
      <c r="P7811" s="11" t="s">
        <v>38</v>
      </c>
      <c r="Q7811" s="20">
        <v>41168.0</v>
      </c>
      <c r="R7811" s="17">
        <f t="shared" si="2"/>
        <v>46.5827983</v>
      </c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>
        <f t="shared" si="8"/>
        <v>3</v>
      </c>
      <c r="AF7811" s="19">
        <f t="shared" si="13"/>
        <v>3</v>
      </c>
      <c r="AG7811" s="9"/>
      <c r="AH7811" s="9"/>
      <c r="AI7811" s="9"/>
    </row>
    <row r="7812" ht="15.0" customHeight="1">
      <c r="A7812" s="11">
        <v>7811.0</v>
      </c>
      <c r="B7812" s="12">
        <f t="shared" si="1245"/>
        <v>41166</v>
      </c>
      <c r="C7812" s="13">
        <v>2012.0</v>
      </c>
      <c r="D7812" s="11" t="s">
        <v>32</v>
      </c>
      <c r="E7812" s="11">
        <v>18.0</v>
      </c>
      <c r="F7812" s="14">
        <v>2.2</v>
      </c>
      <c r="G7812" s="15">
        <v>0.08067226890756295</v>
      </c>
      <c r="H7812" s="11" t="s">
        <v>33</v>
      </c>
      <c r="I7812" s="16">
        <v>4.16</v>
      </c>
      <c r="J7812" s="11" t="s">
        <v>2194</v>
      </c>
      <c r="K7812" s="11" t="s">
        <v>47</v>
      </c>
      <c r="L7812" s="11" t="s">
        <v>41</v>
      </c>
      <c r="M7812" s="11" t="s">
        <v>28</v>
      </c>
      <c r="N7812" s="11" t="s">
        <v>62</v>
      </c>
      <c r="O7812" s="11" t="s">
        <v>2038</v>
      </c>
      <c r="P7812" s="11" t="s">
        <v>58</v>
      </c>
      <c r="Q7812" s="20">
        <v>41168.0</v>
      </c>
      <c r="R7812" s="17">
        <f t="shared" si="2"/>
        <v>3.530218487</v>
      </c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>
        <f t="shared" si="8"/>
        <v>3</v>
      </c>
      <c r="AF7812" s="19">
        <f t="shared" si="13"/>
        <v>3</v>
      </c>
      <c r="AG7812" s="9"/>
      <c r="AH7812" s="9"/>
      <c r="AI7812" s="9"/>
    </row>
    <row r="7813" ht="15.0" customHeight="1">
      <c r="A7813" s="11">
        <v>7812.0</v>
      </c>
      <c r="B7813" s="12">
        <f t="shared" si="1245"/>
        <v>41166</v>
      </c>
      <c r="C7813" s="13">
        <v>2012.0</v>
      </c>
      <c r="D7813" s="11" t="s">
        <v>32</v>
      </c>
      <c r="E7813" s="11">
        <v>40.0</v>
      </c>
      <c r="F7813" s="14">
        <v>41.9</v>
      </c>
      <c r="G7813" s="15">
        <v>0.011140045955340778</v>
      </c>
      <c r="H7813" s="11" t="s">
        <v>33</v>
      </c>
      <c r="I7813" s="16">
        <v>2.3920000000000003</v>
      </c>
      <c r="J7813" s="11" t="s">
        <v>1008</v>
      </c>
      <c r="K7813" s="11" t="s">
        <v>65</v>
      </c>
      <c r="L7813" s="11" t="s">
        <v>48</v>
      </c>
      <c r="M7813" s="11" t="s">
        <v>28</v>
      </c>
      <c r="N7813" s="11" t="s">
        <v>42</v>
      </c>
      <c r="O7813" s="11" t="s">
        <v>1694</v>
      </c>
      <c r="P7813" s="11" t="s">
        <v>38</v>
      </c>
      <c r="Q7813" s="20">
        <v>41168.0</v>
      </c>
      <c r="R7813" s="17">
        <f t="shared" si="2"/>
        <v>18.69736401</v>
      </c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>
        <f t="shared" si="8"/>
        <v>4</v>
      </c>
      <c r="AF7813" s="19">
        <f t="shared" si="13"/>
        <v>5</v>
      </c>
      <c r="AG7813" s="9"/>
      <c r="AH7813" s="9"/>
      <c r="AI7813" s="9"/>
    </row>
    <row r="7814" ht="15.0" customHeight="1">
      <c r="A7814" s="11">
        <v>7813.0</v>
      </c>
      <c r="B7814" s="12">
        <f t="shared" si="1245"/>
        <v>41166</v>
      </c>
      <c r="C7814" s="13">
        <v>2012.0</v>
      </c>
      <c r="D7814" s="11" t="s">
        <v>44</v>
      </c>
      <c r="E7814" s="11">
        <v>28.0</v>
      </c>
      <c r="F7814" s="14">
        <v>4.3</v>
      </c>
      <c r="G7814" s="15">
        <v>0.060935143288084456</v>
      </c>
      <c r="H7814" s="11" t="s">
        <v>33</v>
      </c>
      <c r="I7814" s="16">
        <v>4.12</v>
      </c>
      <c r="J7814" s="11" t="s">
        <v>479</v>
      </c>
      <c r="K7814" s="11" t="s">
        <v>35</v>
      </c>
      <c r="L7814" s="11" t="s">
        <v>48</v>
      </c>
      <c r="M7814" s="11" t="s">
        <v>28</v>
      </c>
      <c r="N7814" s="11" t="s">
        <v>197</v>
      </c>
      <c r="O7814" s="11" t="s">
        <v>1745</v>
      </c>
      <c r="P7814" s="11" t="s">
        <v>38</v>
      </c>
      <c r="Q7814" s="20">
        <v>41168.0</v>
      </c>
      <c r="R7814" s="17">
        <f t="shared" si="2"/>
        <v>7.587644042</v>
      </c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>
        <f t="shared" si="8"/>
        <v>4</v>
      </c>
      <c r="AF7814" s="19">
        <f t="shared" si="13"/>
        <v>2</v>
      </c>
      <c r="AG7814" s="9"/>
      <c r="AH7814" s="9"/>
      <c r="AI7814" s="9"/>
    </row>
    <row r="7815" ht="15.0" customHeight="1">
      <c r="A7815" s="11">
        <v>7814.0</v>
      </c>
      <c r="B7815" s="12">
        <f t="shared" si="1245"/>
        <v>41166</v>
      </c>
      <c r="C7815" s="13">
        <v>2012.0</v>
      </c>
      <c r="D7815" s="11" t="s">
        <v>44</v>
      </c>
      <c r="E7815" s="11">
        <v>14.0</v>
      </c>
      <c r="F7815" s="14">
        <v>45.1</v>
      </c>
      <c r="G7815" s="15">
        <v>0.012338898424091147</v>
      </c>
      <c r="H7815" s="11" t="s">
        <v>33</v>
      </c>
      <c r="I7815" s="16">
        <v>1.592</v>
      </c>
      <c r="J7815" s="11" t="s">
        <v>479</v>
      </c>
      <c r="K7815" s="11" t="s">
        <v>35</v>
      </c>
      <c r="L7815" s="11" t="s">
        <v>48</v>
      </c>
      <c r="M7815" s="11" t="s">
        <v>66</v>
      </c>
      <c r="N7815" s="11" t="s">
        <v>67</v>
      </c>
      <c r="O7815" s="11" t="s">
        <v>529</v>
      </c>
      <c r="P7815" s="11" t="s">
        <v>99</v>
      </c>
      <c r="Q7815" s="20">
        <v>41169.0</v>
      </c>
      <c r="R7815" s="17">
        <f t="shared" si="2"/>
        <v>7.810423991</v>
      </c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>
        <f t="shared" si="8"/>
        <v>4</v>
      </c>
      <c r="AF7815" s="19">
        <f t="shared" si="13"/>
        <v>2</v>
      </c>
      <c r="AG7815" s="9"/>
      <c r="AH7815" s="9"/>
      <c r="AI7815" s="9"/>
    </row>
    <row r="7816" ht="15.0" customHeight="1">
      <c r="A7816" s="11">
        <v>7815.0</v>
      </c>
      <c r="B7816" s="12">
        <f t="shared" si="1245"/>
        <v>41166</v>
      </c>
      <c r="C7816" s="13">
        <v>2012.0</v>
      </c>
      <c r="D7816" s="11" t="s">
        <v>44</v>
      </c>
      <c r="E7816" s="11">
        <v>3.0</v>
      </c>
      <c r="F7816" s="14">
        <v>136.9</v>
      </c>
      <c r="G7816" s="15">
        <v>0.1014992691584881</v>
      </c>
      <c r="H7816" s="11" t="s">
        <v>33</v>
      </c>
      <c r="I7816" s="16">
        <v>19.592</v>
      </c>
      <c r="J7816" s="11" t="s">
        <v>479</v>
      </c>
      <c r="K7816" s="11" t="s">
        <v>35</v>
      </c>
      <c r="L7816" s="11" t="s">
        <v>48</v>
      </c>
      <c r="M7816" s="11" t="s">
        <v>49</v>
      </c>
      <c r="N7816" s="11" t="s">
        <v>73</v>
      </c>
      <c r="O7816" s="11" t="s">
        <v>1597</v>
      </c>
      <c r="P7816" s="11" t="s">
        <v>31</v>
      </c>
      <c r="Q7816" s="20">
        <v>41169.0</v>
      </c>
      <c r="R7816" s="17">
        <f t="shared" si="2"/>
        <v>43.67432352</v>
      </c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>
        <f t="shared" si="8"/>
        <v>4</v>
      </c>
      <c r="AF7816" s="19">
        <f t="shared" si="13"/>
        <v>2</v>
      </c>
      <c r="AG7816" s="9"/>
      <c r="AH7816" s="9"/>
      <c r="AI7816" s="9"/>
    </row>
    <row r="7817" ht="15.0" customHeight="1">
      <c r="A7817" s="11">
        <v>7816.0</v>
      </c>
      <c r="B7817" s="12">
        <f t="shared" ref="B7817:B7825" si="1246">DATE(2012,12,31)-107</f>
        <v>41167</v>
      </c>
      <c r="C7817" s="13">
        <v>2012.0</v>
      </c>
      <c r="D7817" s="11" t="s">
        <v>23</v>
      </c>
      <c r="E7817" s="11">
        <v>42.0</v>
      </c>
      <c r="F7817" s="14">
        <v>22.9</v>
      </c>
      <c r="G7817" s="15">
        <v>0.07811306340718112</v>
      </c>
      <c r="H7817" s="11" t="s">
        <v>33</v>
      </c>
      <c r="I7817" s="16">
        <v>3.6</v>
      </c>
      <c r="J7817" s="11" t="s">
        <v>187</v>
      </c>
      <c r="K7817" s="11" t="s">
        <v>35</v>
      </c>
      <c r="L7817" s="11" t="s">
        <v>27</v>
      </c>
      <c r="M7817" s="11" t="s">
        <v>28</v>
      </c>
      <c r="N7817" s="11" t="s">
        <v>197</v>
      </c>
      <c r="O7817" s="11" t="s">
        <v>2555</v>
      </c>
      <c r="P7817" s="11" t="s">
        <v>38</v>
      </c>
      <c r="Q7817" s="20">
        <v>41169.0</v>
      </c>
      <c r="R7817" s="17">
        <f t="shared" si="2"/>
        <v>75.41035141</v>
      </c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>
        <f t="shared" si="8"/>
        <v>1</v>
      </c>
      <c r="AF7817" s="19">
        <f t="shared" si="13"/>
        <v>2</v>
      </c>
      <c r="AG7817" s="9"/>
      <c r="AH7817" s="9"/>
      <c r="AI7817" s="9"/>
    </row>
    <row r="7818" ht="15.0" customHeight="1">
      <c r="A7818" s="11">
        <v>7817.0</v>
      </c>
      <c r="B7818" s="12">
        <f t="shared" si="1246"/>
        <v>41167</v>
      </c>
      <c r="C7818" s="13">
        <v>2012.0</v>
      </c>
      <c r="D7818" s="11" t="s">
        <v>23</v>
      </c>
      <c r="E7818" s="11">
        <v>9.0</v>
      </c>
      <c r="F7818" s="14">
        <v>6.4</v>
      </c>
      <c r="G7818" s="15">
        <v>0.09999999999999994</v>
      </c>
      <c r="H7818" s="11" t="s">
        <v>33</v>
      </c>
      <c r="I7818" s="16">
        <v>4.32</v>
      </c>
      <c r="J7818" s="11" t="s">
        <v>187</v>
      </c>
      <c r="K7818" s="11" t="s">
        <v>35</v>
      </c>
      <c r="L7818" s="11" t="s">
        <v>27</v>
      </c>
      <c r="M7818" s="11" t="s">
        <v>28</v>
      </c>
      <c r="N7818" s="11" t="s">
        <v>56</v>
      </c>
      <c r="O7818" s="11" t="s">
        <v>972</v>
      </c>
      <c r="P7818" s="11" t="s">
        <v>38</v>
      </c>
      <c r="Q7818" s="20">
        <v>41169.0</v>
      </c>
      <c r="R7818" s="17">
        <f t="shared" si="2"/>
        <v>6.192</v>
      </c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>
        <f t="shared" si="8"/>
        <v>1</v>
      </c>
      <c r="AF7818" s="19">
        <f t="shared" si="13"/>
        <v>2</v>
      </c>
      <c r="AG7818" s="9"/>
      <c r="AH7818" s="9"/>
      <c r="AI7818" s="9"/>
    </row>
    <row r="7819" ht="15.0" customHeight="1">
      <c r="A7819" s="11">
        <v>7818.0</v>
      </c>
      <c r="B7819" s="12">
        <f t="shared" si="1246"/>
        <v>41167</v>
      </c>
      <c r="C7819" s="13">
        <v>2012.0</v>
      </c>
      <c r="D7819" s="11" t="s">
        <v>44</v>
      </c>
      <c r="E7819" s="11">
        <v>16.0</v>
      </c>
      <c r="F7819" s="14">
        <v>33.9</v>
      </c>
      <c r="G7819" s="15">
        <v>0.09807244501940496</v>
      </c>
      <c r="H7819" s="11" t="s">
        <v>45</v>
      </c>
      <c r="I7819" s="16">
        <v>15.352000000000002</v>
      </c>
      <c r="J7819" s="11" t="s">
        <v>239</v>
      </c>
      <c r="K7819" s="11" t="s">
        <v>61</v>
      </c>
      <c r="L7819" s="11" t="s">
        <v>41</v>
      </c>
      <c r="M7819" s="11" t="s">
        <v>49</v>
      </c>
      <c r="N7819" s="11" t="s">
        <v>50</v>
      </c>
      <c r="O7819" s="11" t="s">
        <v>121</v>
      </c>
      <c r="P7819" s="11" t="s">
        <v>52</v>
      </c>
      <c r="Q7819" s="20">
        <v>41169.0</v>
      </c>
      <c r="R7819" s="17">
        <f t="shared" si="2"/>
        <v>54.70010235</v>
      </c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>
        <f t="shared" si="8"/>
        <v>3</v>
      </c>
      <c r="AF7819" s="19">
        <f t="shared" si="13"/>
        <v>4</v>
      </c>
      <c r="AG7819" s="9"/>
      <c r="AH7819" s="9"/>
      <c r="AI7819" s="9"/>
    </row>
    <row r="7820" ht="15.0" customHeight="1">
      <c r="A7820" s="11">
        <v>7819.0</v>
      </c>
      <c r="B7820" s="12">
        <f t="shared" si="1246"/>
        <v>41167</v>
      </c>
      <c r="C7820" s="13">
        <v>2012.0</v>
      </c>
      <c r="D7820" s="11" t="s">
        <v>32</v>
      </c>
      <c r="E7820" s="11">
        <v>29.0</v>
      </c>
      <c r="F7820" s="14">
        <v>10.9</v>
      </c>
      <c r="G7820" s="15">
        <v>0.03803258901629429</v>
      </c>
      <c r="H7820" s="11" t="s">
        <v>24</v>
      </c>
      <c r="I7820" s="16">
        <v>2.696</v>
      </c>
      <c r="J7820" s="11" t="s">
        <v>1110</v>
      </c>
      <c r="K7820" s="11" t="s">
        <v>61</v>
      </c>
      <c r="L7820" s="11" t="s">
        <v>48</v>
      </c>
      <c r="M7820" s="11" t="s">
        <v>28</v>
      </c>
      <c r="N7820" s="11" t="s">
        <v>442</v>
      </c>
      <c r="O7820" s="11" t="s">
        <v>1111</v>
      </c>
      <c r="P7820" s="11" t="s">
        <v>99</v>
      </c>
      <c r="Q7820" s="20">
        <v>41169.0</v>
      </c>
      <c r="R7820" s="17">
        <f t="shared" si="2"/>
        <v>12.12463725</v>
      </c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>
        <f t="shared" si="8"/>
        <v>4</v>
      </c>
      <c r="AF7820" s="19">
        <f t="shared" si="13"/>
        <v>4</v>
      </c>
      <c r="AG7820" s="9"/>
      <c r="AH7820" s="9"/>
      <c r="AI7820" s="9"/>
    </row>
    <row r="7821" ht="15.0" customHeight="1">
      <c r="A7821" s="11">
        <v>7820.0</v>
      </c>
      <c r="B7821" s="12">
        <f t="shared" si="1246"/>
        <v>41167</v>
      </c>
      <c r="C7821" s="13">
        <v>2012.0</v>
      </c>
      <c r="D7821" s="11" t="s">
        <v>32</v>
      </c>
      <c r="E7821" s="11">
        <v>39.0</v>
      </c>
      <c r="F7821" s="14">
        <v>348.2</v>
      </c>
      <c r="G7821" s="15">
        <v>0.04882340642031767</v>
      </c>
      <c r="H7821" s="11" t="s">
        <v>45</v>
      </c>
      <c r="I7821" s="16">
        <v>67.872</v>
      </c>
      <c r="J7821" s="11" t="s">
        <v>1110</v>
      </c>
      <c r="K7821" s="11" t="s">
        <v>61</v>
      </c>
      <c r="L7821" s="11" t="s">
        <v>48</v>
      </c>
      <c r="M7821" s="11" t="s">
        <v>49</v>
      </c>
      <c r="N7821" s="11" t="s">
        <v>85</v>
      </c>
      <c r="O7821" s="11" t="s">
        <v>655</v>
      </c>
      <c r="P7821" s="11" t="s">
        <v>87</v>
      </c>
      <c r="Q7821" s="20">
        <v>41169.0</v>
      </c>
      <c r="R7821" s="17">
        <f t="shared" si="2"/>
        <v>666.3258367</v>
      </c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>
        <f t="shared" si="8"/>
        <v>4</v>
      </c>
      <c r="AF7821" s="19">
        <f t="shared" si="13"/>
        <v>4</v>
      </c>
      <c r="AG7821" s="9"/>
      <c r="AH7821" s="9"/>
      <c r="AI7821" s="9"/>
    </row>
    <row r="7822" ht="15.0" customHeight="1">
      <c r="A7822" s="11">
        <v>7821.0</v>
      </c>
      <c r="B7822" s="12">
        <f t="shared" si="1246"/>
        <v>41167</v>
      </c>
      <c r="C7822" s="13">
        <v>2012.0</v>
      </c>
      <c r="D7822" s="11" t="s">
        <v>32</v>
      </c>
      <c r="E7822" s="11">
        <v>18.0</v>
      </c>
      <c r="F7822" s="14">
        <v>6.8</v>
      </c>
      <c r="G7822" s="15">
        <v>0.04745304282494367</v>
      </c>
      <c r="H7822" s="11" t="s">
        <v>33</v>
      </c>
      <c r="I7822" s="16">
        <v>4.384</v>
      </c>
      <c r="J7822" s="11" t="s">
        <v>735</v>
      </c>
      <c r="K7822" s="11" t="s">
        <v>83</v>
      </c>
      <c r="L7822" s="11" t="s">
        <v>36</v>
      </c>
      <c r="M7822" s="11" t="s">
        <v>28</v>
      </c>
      <c r="N7822" s="11" t="s">
        <v>42</v>
      </c>
      <c r="O7822" s="11" t="s">
        <v>2379</v>
      </c>
      <c r="P7822" s="11" t="s">
        <v>38</v>
      </c>
      <c r="Q7822" s="20">
        <v>41170.0</v>
      </c>
      <c r="R7822" s="17">
        <f t="shared" si="2"/>
        <v>6.016286582</v>
      </c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>
        <f t="shared" si="8"/>
        <v>2</v>
      </c>
      <c r="AF7822" s="19" t="b">
        <f t="shared" si="13"/>
        <v>0</v>
      </c>
      <c r="AG7822" s="9"/>
      <c r="AH7822" s="9"/>
      <c r="AI7822" s="9"/>
    </row>
    <row r="7823" ht="15.0" customHeight="1">
      <c r="A7823" s="11">
        <v>7822.0</v>
      </c>
      <c r="B7823" s="12">
        <f t="shared" si="1246"/>
        <v>41167</v>
      </c>
      <c r="C7823" s="13">
        <v>2012.0</v>
      </c>
      <c r="D7823" s="11" t="s">
        <v>32</v>
      </c>
      <c r="E7823" s="11">
        <v>12.0</v>
      </c>
      <c r="F7823" s="14">
        <v>12.2</v>
      </c>
      <c r="G7823" s="15">
        <v>0.05205753595997524</v>
      </c>
      <c r="H7823" s="11" t="s">
        <v>24</v>
      </c>
      <c r="I7823" s="16">
        <v>5.176</v>
      </c>
      <c r="J7823" s="11" t="s">
        <v>735</v>
      </c>
      <c r="K7823" s="11" t="s">
        <v>83</v>
      </c>
      <c r="L7823" s="11" t="s">
        <v>36</v>
      </c>
      <c r="M7823" s="11" t="s">
        <v>28</v>
      </c>
      <c r="N7823" s="11" t="s">
        <v>56</v>
      </c>
      <c r="O7823" s="11" t="s">
        <v>2006</v>
      </c>
      <c r="P7823" s="11" t="s">
        <v>38</v>
      </c>
      <c r="Q7823" s="20">
        <v>41170.0</v>
      </c>
      <c r="R7823" s="17">
        <f t="shared" si="2"/>
        <v>7.890673071</v>
      </c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>
        <f t="shared" si="8"/>
        <v>2</v>
      </c>
      <c r="AF7823" s="19" t="b">
        <f t="shared" si="13"/>
        <v>0</v>
      </c>
      <c r="AG7823" s="9"/>
      <c r="AH7823" s="9"/>
      <c r="AI7823" s="9"/>
    </row>
    <row r="7824" ht="15.0" customHeight="1">
      <c r="A7824" s="11">
        <v>7823.0</v>
      </c>
      <c r="B7824" s="12">
        <f t="shared" si="1246"/>
        <v>41167</v>
      </c>
      <c r="C7824" s="13">
        <v>2012.0</v>
      </c>
      <c r="D7824" s="11" t="s">
        <v>23</v>
      </c>
      <c r="E7824" s="11">
        <v>30.0</v>
      </c>
      <c r="F7824" s="14">
        <v>280.9</v>
      </c>
      <c r="G7824" s="15">
        <v>0.04868917565788725</v>
      </c>
      <c r="H7824" s="11" t="s">
        <v>45</v>
      </c>
      <c r="I7824" s="16">
        <v>28.536</v>
      </c>
      <c r="J7824" s="11" t="s">
        <v>145</v>
      </c>
      <c r="K7824" s="11" t="s">
        <v>83</v>
      </c>
      <c r="L7824" s="11" t="s">
        <v>41</v>
      </c>
      <c r="M7824" s="11" t="s">
        <v>49</v>
      </c>
      <c r="N7824" s="11" t="s">
        <v>85</v>
      </c>
      <c r="O7824" s="11" t="s">
        <v>1323</v>
      </c>
      <c r="P7824" s="11" t="s">
        <v>87</v>
      </c>
      <c r="Q7824" s="20">
        <v>41170.0</v>
      </c>
      <c r="R7824" s="17">
        <f t="shared" si="2"/>
        <v>411.6930776</v>
      </c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>
        <f t="shared" si="8"/>
        <v>3</v>
      </c>
      <c r="AF7824" s="19" t="b">
        <f t="shared" si="13"/>
        <v>0</v>
      </c>
      <c r="AG7824" s="9"/>
      <c r="AH7824" s="9"/>
      <c r="AI7824" s="9"/>
    </row>
    <row r="7825" ht="15.0" customHeight="1">
      <c r="A7825" s="11">
        <v>7824.0</v>
      </c>
      <c r="B7825" s="12">
        <f t="shared" si="1246"/>
        <v>41167</v>
      </c>
      <c r="C7825" s="13">
        <v>2012.0</v>
      </c>
      <c r="D7825" s="11" t="s">
        <v>32</v>
      </c>
      <c r="E7825" s="11">
        <v>20.0</v>
      </c>
      <c r="F7825" s="14">
        <v>140.9</v>
      </c>
      <c r="G7825" s="15">
        <v>0.012942237015463553</v>
      </c>
      <c r="H7825" s="11" t="s">
        <v>45</v>
      </c>
      <c r="I7825" s="16">
        <v>28.872000000000003</v>
      </c>
      <c r="J7825" s="11" t="s">
        <v>839</v>
      </c>
      <c r="K7825" s="11" t="s">
        <v>83</v>
      </c>
      <c r="L7825" s="11" t="s">
        <v>36</v>
      </c>
      <c r="M7825" s="11" t="s">
        <v>49</v>
      </c>
      <c r="N7825" s="11" t="s">
        <v>156</v>
      </c>
      <c r="O7825" s="11" t="s">
        <v>1194</v>
      </c>
      <c r="P7825" s="11" t="s">
        <v>87</v>
      </c>
      <c r="Q7825" s="20">
        <v>41170.0</v>
      </c>
      <c r="R7825" s="17">
        <f t="shared" si="2"/>
        <v>36.84489218</v>
      </c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>
        <f t="shared" si="8"/>
        <v>2</v>
      </c>
      <c r="AF7825" s="19" t="b">
        <f t="shared" si="13"/>
        <v>0</v>
      </c>
      <c r="AG7825" s="9"/>
      <c r="AH7825" s="9"/>
      <c r="AI7825" s="9"/>
    </row>
    <row r="7826" ht="15.0" customHeight="1">
      <c r="A7826" s="11">
        <v>7825.0</v>
      </c>
      <c r="B7826" s="12">
        <f t="shared" ref="B7826:B7833" si="1247">DATE(2012,12,31)-106</f>
        <v>41168</v>
      </c>
      <c r="C7826" s="13">
        <v>2012.0</v>
      </c>
      <c r="D7826" s="11" t="s">
        <v>39</v>
      </c>
      <c r="E7826" s="11">
        <v>40.0</v>
      </c>
      <c r="F7826" s="14">
        <v>4.4</v>
      </c>
      <c r="G7826" s="15">
        <v>0.1347004422999598</v>
      </c>
      <c r="H7826" s="11" t="s">
        <v>33</v>
      </c>
      <c r="I7826" s="16">
        <v>39.2</v>
      </c>
      <c r="J7826" s="11" t="s">
        <v>392</v>
      </c>
      <c r="K7826" s="11" t="s">
        <v>65</v>
      </c>
      <c r="L7826" s="11" t="s">
        <v>48</v>
      </c>
      <c r="M7826" s="11" t="s">
        <v>28</v>
      </c>
      <c r="N7826" s="11" t="s">
        <v>197</v>
      </c>
      <c r="O7826" s="11" t="s">
        <v>1096</v>
      </c>
      <c r="P7826" s="11" t="s">
        <v>31</v>
      </c>
      <c r="Q7826" s="20">
        <v>41170.0</v>
      </c>
      <c r="R7826" s="17">
        <f t="shared" si="2"/>
        <v>28.98753518</v>
      </c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>
        <f t="shared" si="8"/>
        <v>4</v>
      </c>
      <c r="AF7826" s="19">
        <f t="shared" si="13"/>
        <v>5</v>
      </c>
      <c r="AG7826" s="9"/>
      <c r="AH7826" s="9"/>
      <c r="AI7826" s="9"/>
    </row>
    <row r="7827" ht="15.0" customHeight="1">
      <c r="A7827" s="11">
        <v>7826.0</v>
      </c>
      <c r="B7827" s="12">
        <f t="shared" si="1247"/>
        <v>41168</v>
      </c>
      <c r="C7827" s="13">
        <v>2012.0</v>
      </c>
      <c r="D7827" s="11" t="s">
        <v>39</v>
      </c>
      <c r="E7827" s="11">
        <v>25.0</v>
      </c>
      <c r="F7827" s="14">
        <v>2.6</v>
      </c>
      <c r="G7827" s="15">
        <v>0.042459736456808075</v>
      </c>
      <c r="H7827" s="11" t="s">
        <v>24</v>
      </c>
      <c r="I7827" s="16">
        <v>0.4</v>
      </c>
      <c r="J7827" s="11" t="s">
        <v>392</v>
      </c>
      <c r="K7827" s="11" t="s">
        <v>65</v>
      </c>
      <c r="L7827" s="11" t="s">
        <v>48</v>
      </c>
      <c r="M7827" s="11" t="s">
        <v>28</v>
      </c>
      <c r="N7827" s="11" t="s">
        <v>188</v>
      </c>
      <c r="O7827" s="11" t="s">
        <v>918</v>
      </c>
      <c r="P7827" s="11" t="s">
        <v>38</v>
      </c>
      <c r="Q7827" s="20">
        <v>41170.0</v>
      </c>
      <c r="R7827" s="17">
        <f t="shared" si="2"/>
        <v>2.776866764</v>
      </c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>
        <f t="shared" si="8"/>
        <v>4</v>
      </c>
      <c r="AF7827" s="19">
        <f t="shared" si="13"/>
        <v>5</v>
      </c>
      <c r="AG7827" s="9"/>
      <c r="AH7827" s="9"/>
      <c r="AI7827" s="9"/>
    </row>
    <row r="7828" ht="15.0" customHeight="1">
      <c r="A7828" s="11">
        <v>7827.0</v>
      </c>
      <c r="B7828" s="12">
        <f t="shared" si="1247"/>
        <v>41168</v>
      </c>
      <c r="C7828" s="13">
        <v>2012.0</v>
      </c>
      <c r="D7828" s="11" t="s">
        <v>32</v>
      </c>
      <c r="E7828" s="11">
        <v>33.0</v>
      </c>
      <c r="F7828" s="14">
        <v>2.1</v>
      </c>
      <c r="G7828" s="15">
        <v>0.04952380952380953</v>
      </c>
      <c r="H7828" s="11" t="s">
        <v>33</v>
      </c>
      <c r="I7828" s="16">
        <v>0.5599999999999999</v>
      </c>
      <c r="J7828" s="11" t="s">
        <v>2169</v>
      </c>
      <c r="K7828" s="11" t="s">
        <v>26</v>
      </c>
      <c r="L7828" s="11" t="s">
        <v>48</v>
      </c>
      <c r="M7828" s="11" t="s">
        <v>28</v>
      </c>
      <c r="N7828" s="11" t="s">
        <v>62</v>
      </c>
      <c r="O7828" s="11" t="s">
        <v>146</v>
      </c>
      <c r="P7828" s="11" t="s">
        <v>58</v>
      </c>
      <c r="Q7828" s="20">
        <v>41170.0</v>
      </c>
      <c r="R7828" s="17">
        <f t="shared" si="2"/>
        <v>3.459733333</v>
      </c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>
        <f t="shared" si="8"/>
        <v>4</v>
      </c>
      <c r="AF7828" s="19">
        <f t="shared" si="13"/>
        <v>1</v>
      </c>
      <c r="AG7828" s="9"/>
      <c r="AH7828" s="9"/>
      <c r="AI7828" s="9"/>
    </row>
    <row r="7829" ht="15.0" customHeight="1">
      <c r="A7829" s="11">
        <v>7828.0</v>
      </c>
      <c r="B7829" s="12">
        <f t="shared" si="1247"/>
        <v>41168</v>
      </c>
      <c r="C7829" s="13">
        <v>2012.0</v>
      </c>
      <c r="D7829" s="11" t="s">
        <v>39</v>
      </c>
      <c r="E7829" s="11">
        <v>15.0</v>
      </c>
      <c r="F7829" s="14">
        <v>5.6</v>
      </c>
      <c r="G7829" s="15">
        <v>0.035469988674971586</v>
      </c>
      <c r="H7829" s="11" t="s">
        <v>33</v>
      </c>
      <c r="I7829" s="16">
        <v>1.168</v>
      </c>
      <c r="J7829" s="11" t="s">
        <v>116</v>
      </c>
      <c r="K7829" s="11" t="s">
        <v>117</v>
      </c>
      <c r="L7829" s="11" t="s">
        <v>48</v>
      </c>
      <c r="M7829" s="11" t="s">
        <v>28</v>
      </c>
      <c r="N7829" s="11" t="s">
        <v>56</v>
      </c>
      <c r="O7829" s="11" t="s">
        <v>1787</v>
      </c>
      <c r="P7829" s="11" t="s">
        <v>58</v>
      </c>
      <c r="Q7829" s="20">
        <v>41170.0</v>
      </c>
      <c r="R7829" s="17">
        <f t="shared" si="2"/>
        <v>3.020907995</v>
      </c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>
        <f t="shared" si="8"/>
        <v>4</v>
      </c>
      <c r="AF7829" s="19" t="b">
        <f t="shared" si="13"/>
        <v>0</v>
      </c>
      <c r="AG7829" s="9"/>
      <c r="AH7829" s="9"/>
      <c r="AI7829" s="9"/>
    </row>
    <row r="7830" ht="15.0" customHeight="1">
      <c r="A7830" s="11">
        <v>7829.0</v>
      </c>
      <c r="B7830" s="12">
        <f t="shared" si="1247"/>
        <v>41168</v>
      </c>
      <c r="C7830" s="13">
        <v>2012.0</v>
      </c>
      <c r="D7830" s="11" t="s">
        <v>39</v>
      </c>
      <c r="E7830" s="11">
        <v>28.0</v>
      </c>
      <c r="F7830" s="14">
        <v>15.5</v>
      </c>
      <c r="G7830" s="15">
        <v>0.04653477983407792</v>
      </c>
      <c r="H7830" s="11" t="s">
        <v>24</v>
      </c>
      <c r="I7830" s="16">
        <v>14.224000000000002</v>
      </c>
      <c r="J7830" s="11" t="s">
        <v>116</v>
      </c>
      <c r="K7830" s="11" t="s">
        <v>117</v>
      </c>
      <c r="L7830" s="11" t="s">
        <v>48</v>
      </c>
      <c r="M7830" s="11" t="s">
        <v>28</v>
      </c>
      <c r="N7830" s="11" t="s">
        <v>29</v>
      </c>
      <c r="O7830" s="11" t="s">
        <v>380</v>
      </c>
      <c r="P7830" s="11" t="s">
        <v>38</v>
      </c>
      <c r="Q7830" s="20">
        <v>41170.0</v>
      </c>
      <c r="R7830" s="17">
        <f t="shared" si="2"/>
        <v>20.85800516</v>
      </c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>
        <f t="shared" si="8"/>
        <v>4</v>
      </c>
      <c r="AF7830" s="19" t="b">
        <f t="shared" si="13"/>
        <v>0</v>
      </c>
      <c r="AG7830" s="9"/>
      <c r="AH7830" s="9"/>
      <c r="AI7830" s="9"/>
    </row>
    <row r="7831" ht="15.0" customHeight="1">
      <c r="A7831" s="11">
        <v>7830.0</v>
      </c>
      <c r="B7831" s="12">
        <f t="shared" si="1247"/>
        <v>41168</v>
      </c>
      <c r="C7831" s="13">
        <v>2012.0</v>
      </c>
      <c r="D7831" s="11" t="s">
        <v>39</v>
      </c>
      <c r="E7831" s="11">
        <v>34.0</v>
      </c>
      <c r="F7831" s="14">
        <v>6.4</v>
      </c>
      <c r="G7831" s="15">
        <v>0.06617879417879405</v>
      </c>
      <c r="H7831" s="11" t="s">
        <v>33</v>
      </c>
      <c r="I7831" s="16">
        <v>6.984000000000001</v>
      </c>
      <c r="J7831" s="11" t="s">
        <v>934</v>
      </c>
      <c r="K7831" s="11" t="s">
        <v>61</v>
      </c>
      <c r="L7831" s="11" t="s">
        <v>41</v>
      </c>
      <c r="M7831" s="11" t="s">
        <v>28</v>
      </c>
      <c r="N7831" s="11" t="s">
        <v>56</v>
      </c>
      <c r="O7831" s="11" t="s">
        <v>160</v>
      </c>
      <c r="P7831" s="11" t="s">
        <v>38</v>
      </c>
      <c r="Q7831" s="20">
        <v>41171.0</v>
      </c>
      <c r="R7831" s="17">
        <f t="shared" si="2"/>
        <v>14.86269831</v>
      </c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>
        <f t="shared" si="8"/>
        <v>3</v>
      </c>
      <c r="AF7831" s="19">
        <f t="shared" si="13"/>
        <v>4</v>
      </c>
      <c r="AG7831" s="9"/>
      <c r="AH7831" s="9"/>
      <c r="AI7831" s="9"/>
    </row>
    <row r="7832" ht="15.0" customHeight="1">
      <c r="A7832" s="11">
        <v>7831.0</v>
      </c>
      <c r="B7832" s="12">
        <f t="shared" si="1247"/>
        <v>41168</v>
      </c>
      <c r="C7832" s="13">
        <v>2012.0</v>
      </c>
      <c r="D7832" s="11" t="s">
        <v>102</v>
      </c>
      <c r="E7832" s="11">
        <v>40.0</v>
      </c>
      <c r="F7832" s="14">
        <v>6.4</v>
      </c>
      <c r="G7832" s="15">
        <v>0.09790528862772213</v>
      </c>
      <c r="H7832" s="11" t="s">
        <v>33</v>
      </c>
      <c r="I7832" s="16">
        <v>4.976</v>
      </c>
      <c r="J7832" s="11" t="s">
        <v>2435</v>
      </c>
      <c r="K7832" s="11" t="s">
        <v>61</v>
      </c>
      <c r="L7832" s="11" t="s">
        <v>27</v>
      </c>
      <c r="M7832" s="11" t="s">
        <v>28</v>
      </c>
      <c r="N7832" s="11" t="s">
        <v>56</v>
      </c>
      <c r="O7832" s="11" t="s">
        <v>1216</v>
      </c>
      <c r="P7832" s="11" t="s">
        <v>38</v>
      </c>
      <c r="Q7832" s="20">
        <v>41171.0</v>
      </c>
      <c r="R7832" s="17">
        <f t="shared" si="2"/>
        <v>25.5509306</v>
      </c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>
        <f t="shared" si="8"/>
        <v>1</v>
      </c>
      <c r="AF7832" s="19">
        <f t="shared" si="13"/>
        <v>4</v>
      </c>
      <c r="AG7832" s="9"/>
      <c r="AH7832" s="9"/>
      <c r="AI7832" s="9"/>
    </row>
    <row r="7833" ht="15.0" customHeight="1">
      <c r="A7833" s="11">
        <v>7832.0</v>
      </c>
      <c r="B7833" s="12">
        <f t="shared" si="1247"/>
        <v>41168</v>
      </c>
      <c r="C7833" s="13">
        <v>2012.0</v>
      </c>
      <c r="D7833" s="11" t="s">
        <v>39</v>
      </c>
      <c r="E7833" s="11">
        <v>20.0</v>
      </c>
      <c r="F7833" s="14">
        <v>125.9</v>
      </c>
      <c r="G7833" s="15">
        <v>0.08383585501251767</v>
      </c>
      <c r="H7833" s="11" t="s">
        <v>33</v>
      </c>
      <c r="I7833" s="16">
        <v>7.040000000000001</v>
      </c>
      <c r="J7833" s="11" t="s">
        <v>2434</v>
      </c>
      <c r="K7833" s="11" t="s">
        <v>65</v>
      </c>
      <c r="L7833" s="11" t="s">
        <v>27</v>
      </c>
      <c r="M7833" s="11" t="s">
        <v>66</v>
      </c>
      <c r="N7833" s="11" t="s">
        <v>80</v>
      </c>
      <c r="O7833" s="11" t="s">
        <v>765</v>
      </c>
      <c r="P7833" s="11" t="s">
        <v>38</v>
      </c>
      <c r="Q7833" s="20">
        <v>41171.0</v>
      </c>
      <c r="R7833" s="17">
        <f t="shared" si="2"/>
        <v>211.6888873</v>
      </c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>
        <f t="shared" si="8"/>
        <v>1</v>
      </c>
      <c r="AF7833" s="19">
        <f t="shared" si="13"/>
        <v>5</v>
      </c>
      <c r="AG7833" s="9"/>
      <c r="AH7833" s="9"/>
      <c r="AI7833" s="9"/>
    </row>
    <row r="7834" ht="15.0" customHeight="1">
      <c r="A7834" s="11">
        <v>7833.0</v>
      </c>
      <c r="B7834" s="12">
        <f t="shared" ref="B7834:B7837" si="1248">DATE(2012,12,31)-105</f>
        <v>41169</v>
      </c>
      <c r="C7834" s="13">
        <v>2012.0</v>
      </c>
      <c r="D7834" s="11" t="s">
        <v>39</v>
      </c>
      <c r="E7834" s="11">
        <v>28.0</v>
      </c>
      <c r="F7834" s="14">
        <v>33.2</v>
      </c>
      <c r="G7834" s="15">
        <v>0.06087235535947043</v>
      </c>
      <c r="H7834" s="11" t="s">
        <v>33</v>
      </c>
      <c r="I7834" s="16">
        <v>6.992000000000001</v>
      </c>
      <c r="J7834" s="11" t="s">
        <v>2350</v>
      </c>
      <c r="K7834" s="11" t="s">
        <v>61</v>
      </c>
      <c r="L7834" s="11" t="s">
        <v>36</v>
      </c>
      <c r="M7834" s="11" t="s">
        <v>28</v>
      </c>
      <c r="N7834" s="11" t="s">
        <v>29</v>
      </c>
      <c r="O7834" s="11" t="s">
        <v>730</v>
      </c>
      <c r="P7834" s="11" t="s">
        <v>38</v>
      </c>
      <c r="Q7834" s="20">
        <v>41171.0</v>
      </c>
      <c r="R7834" s="17">
        <f t="shared" si="2"/>
        <v>57.01256105</v>
      </c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>
        <f t="shared" si="8"/>
        <v>2</v>
      </c>
      <c r="AF7834" s="19">
        <f t="shared" si="13"/>
        <v>4</v>
      </c>
      <c r="AG7834" s="9"/>
      <c r="AH7834" s="9"/>
      <c r="AI7834" s="9"/>
    </row>
    <row r="7835" ht="15.0" customHeight="1">
      <c r="A7835" s="11">
        <v>7834.0</v>
      </c>
      <c r="B7835" s="12">
        <f t="shared" si="1248"/>
        <v>41169</v>
      </c>
      <c r="C7835" s="13">
        <v>2012.0</v>
      </c>
      <c r="D7835" s="11" t="s">
        <v>23</v>
      </c>
      <c r="E7835" s="11">
        <v>22.0</v>
      </c>
      <c r="F7835" s="14">
        <v>517.4</v>
      </c>
      <c r="G7835" s="15">
        <v>0.0570198259027572</v>
      </c>
      <c r="H7835" s="11" t="s">
        <v>45</v>
      </c>
      <c r="I7835" s="16">
        <v>13.304</v>
      </c>
      <c r="J7835" s="11" t="s">
        <v>2594</v>
      </c>
      <c r="K7835" s="11" t="s">
        <v>26</v>
      </c>
      <c r="L7835" s="11" t="s">
        <v>48</v>
      </c>
      <c r="M7835" s="11" t="s">
        <v>66</v>
      </c>
      <c r="N7835" s="11" t="s">
        <v>69</v>
      </c>
      <c r="O7835" s="11" t="s">
        <v>824</v>
      </c>
      <c r="P7835" s="11" t="s">
        <v>87</v>
      </c>
      <c r="Q7835" s="20">
        <v>41171.0</v>
      </c>
      <c r="R7835" s="17">
        <f t="shared" si="2"/>
        <v>649.803866</v>
      </c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>
        <f t="shared" si="8"/>
        <v>4</v>
      </c>
      <c r="AF7835" s="19">
        <f t="shared" si="13"/>
        <v>1</v>
      </c>
      <c r="AG7835" s="9"/>
      <c r="AH7835" s="9"/>
      <c r="AI7835" s="9"/>
    </row>
    <row r="7836" ht="15.0" customHeight="1">
      <c r="A7836" s="11">
        <v>7835.0</v>
      </c>
      <c r="B7836" s="12">
        <f t="shared" si="1248"/>
        <v>41169</v>
      </c>
      <c r="C7836" s="13">
        <v>2012.0</v>
      </c>
      <c r="D7836" s="11" t="s">
        <v>23</v>
      </c>
      <c r="E7836" s="11">
        <v>25.0</v>
      </c>
      <c r="F7836" s="14">
        <v>15.0</v>
      </c>
      <c r="G7836" s="15">
        <v>0.04179134860050885</v>
      </c>
      <c r="H7836" s="11" t="s">
        <v>33</v>
      </c>
      <c r="I7836" s="16">
        <v>1.576</v>
      </c>
      <c r="J7836" s="11" t="s">
        <v>2594</v>
      </c>
      <c r="K7836" s="11" t="s">
        <v>26</v>
      </c>
      <c r="L7836" s="11" t="s">
        <v>48</v>
      </c>
      <c r="M7836" s="11" t="s">
        <v>28</v>
      </c>
      <c r="N7836" s="11" t="s">
        <v>56</v>
      </c>
      <c r="O7836" s="11" t="s">
        <v>59</v>
      </c>
      <c r="P7836" s="11" t="s">
        <v>58</v>
      </c>
      <c r="Q7836" s="20">
        <v>41171.0</v>
      </c>
      <c r="R7836" s="17">
        <f t="shared" si="2"/>
        <v>15.73761889</v>
      </c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>
        <f t="shared" si="8"/>
        <v>4</v>
      </c>
      <c r="AF7836" s="19">
        <f t="shared" si="13"/>
        <v>1</v>
      </c>
      <c r="AG7836" s="9"/>
      <c r="AH7836" s="9"/>
      <c r="AI7836" s="9"/>
    </row>
    <row r="7837" ht="15.0" customHeight="1">
      <c r="A7837" s="11">
        <v>7836.0</v>
      </c>
      <c r="B7837" s="12">
        <f t="shared" si="1248"/>
        <v>41169</v>
      </c>
      <c r="C7837" s="13">
        <v>2012.0</v>
      </c>
      <c r="D7837" s="11" t="s">
        <v>23</v>
      </c>
      <c r="E7837" s="11">
        <v>47.0</v>
      </c>
      <c r="F7837" s="14">
        <v>24.9</v>
      </c>
      <c r="G7837" s="15">
        <v>0.06098899345988202</v>
      </c>
      <c r="H7837" s="11" t="s">
        <v>33</v>
      </c>
      <c r="I7837" s="16">
        <v>7.032</v>
      </c>
      <c r="J7837" s="11" t="s">
        <v>2594</v>
      </c>
      <c r="K7837" s="11" t="s">
        <v>26</v>
      </c>
      <c r="L7837" s="11" t="s">
        <v>48</v>
      </c>
      <c r="M7837" s="11" t="s">
        <v>28</v>
      </c>
      <c r="N7837" s="11" t="s">
        <v>29</v>
      </c>
      <c r="O7837" s="11" t="s">
        <v>1964</v>
      </c>
      <c r="P7837" s="11" t="s">
        <v>38</v>
      </c>
      <c r="Q7837" s="20">
        <v>41171.0</v>
      </c>
      <c r="R7837" s="17">
        <f t="shared" si="2"/>
        <v>71.80429365</v>
      </c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>
        <f t="shared" si="8"/>
        <v>4</v>
      </c>
      <c r="AF7837" s="19">
        <f t="shared" si="13"/>
        <v>1</v>
      </c>
      <c r="AG7837" s="9"/>
      <c r="AH7837" s="9"/>
      <c r="AI7837" s="9"/>
    </row>
    <row r="7838" ht="15.0" customHeight="1">
      <c r="A7838" s="11">
        <v>7837.0</v>
      </c>
      <c r="B7838" s="12">
        <f t="shared" ref="B7838:B7846" si="1249">DATE(2012,12,31)-104</f>
        <v>41170</v>
      </c>
      <c r="C7838" s="13">
        <v>2012.0</v>
      </c>
      <c r="D7838" s="11" t="s">
        <v>23</v>
      </c>
      <c r="E7838" s="11">
        <v>29.0</v>
      </c>
      <c r="F7838" s="14">
        <v>6.4</v>
      </c>
      <c r="G7838" s="15">
        <v>0.07538461538461529</v>
      </c>
      <c r="H7838" s="11" t="s">
        <v>33</v>
      </c>
      <c r="I7838" s="16">
        <v>6.720000000000001</v>
      </c>
      <c r="J7838" s="11" t="s">
        <v>839</v>
      </c>
      <c r="K7838" s="11" t="s">
        <v>83</v>
      </c>
      <c r="L7838" s="11" t="s">
        <v>27</v>
      </c>
      <c r="M7838" s="11" t="s">
        <v>28</v>
      </c>
      <c r="N7838" s="11" t="s">
        <v>56</v>
      </c>
      <c r="O7838" s="11" t="s">
        <v>1260</v>
      </c>
      <c r="P7838" s="11" t="s">
        <v>38</v>
      </c>
      <c r="Q7838" s="20">
        <v>41171.0</v>
      </c>
      <c r="R7838" s="17">
        <f t="shared" si="2"/>
        <v>14.49796923</v>
      </c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>
        <f t="shared" si="8"/>
        <v>1</v>
      </c>
      <c r="AF7838" s="19" t="b">
        <f t="shared" si="13"/>
        <v>0</v>
      </c>
      <c r="AG7838" s="9"/>
      <c r="AH7838" s="9"/>
      <c r="AI7838" s="9"/>
    </row>
    <row r="7839" ht="15.0" customHeight="1">
      <c r="A7839" s="11">
        <v>7838.0</v>
      </c>
      <c r="B7839" s="12">
        <f t="shared" si="1249"/>
        <v>41170</v>
      </c>
      <c r="C7839" s="13">
        <v>2012.0</v>
      </c>
      <c r="D7839" s="11" t="s">
        <v>23</v>
      </c>
      <c r="E7839" s="11">
        <v>46.0</v>
      </c>
      <c r="F7839" s="14">
        <v>15.4</v>
      </c>
      <c r="G7839" s="15">
        <v>0.05922914466737074</v>
      </c>
      <c r="H7839" s="11" t="s">
        <v>33</v>
      </c>
      <c r="I7839" s="16">
        <v>4.328</v>
      </c>
      <c r="J7839" s="11" t="s">
        <v>839</v>
      </c>
      <c r="K7839" s="11" t="s">
        <v>83</v>
      </c>
      <c r="L7839" s="11" t="s">
        <v>27</v>
      </c>
      <c r="M7839" s="11" t="s">
        <v>28</v>
      </c>
      <c r="N7839" s="11" t="s">
        <v>29</v>
      </c>
      <c r="O7839" s="11" t="s">
        <v>964</v>
      </c>
      <c r="P7839" s="11" t="s">
        <v>38</v>
      </c>
      <c r="Q7839" s="20">
        <v>41171.0</v>
      </c>
      <c r="R7839" s="17">
        <f t="shared" si="2"/>
        <v>42.21426982</v>
      </c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>
        <f t="shared" si="8"/>
        <v>1</v>
      </c>
      <c r="AF7839" s="19" t="b">
        <f t="shared" si="13"/>
        <v>0</v>
      </c>
      <c r="AG7839" s="9"/>
      <c r="AH7839" s="9"/>
      <c r="AI7839" s="9"/>
    </row>
    <row r="7840" ht="15.0" customHeight="1">
      <c r="A7840" s="11">
        <v>7839.0</v>
      </c>
      <c r="B7840" s="12">
        <f t="shared" si="1249"/>
        <v>41170</v>
      </c>
      <c r="C7840" s="13">
        <v>2012.0</v>
      </c>
      <c r="D7840" s="11" t="s">
        <v>39</v>
      </c>
      <c r="E7840" s="11">
        <v>50.0</v>
      </c>
      <c r="F7840" s="14">
        <v>15.0</v>
      </c>
      <c r="G7840" s="15">
        <v>0.06807881773399012</v>
      </c>
      <c r="H7840" s="11" t="s">
        <v>33</v>
      </c>
      <c r="I7840" s="16">
        <v>6.720000000000001</v>
      </c>
      <c r="J7840" s="11" t="s">
        <v>2156</v>
      </c>
      <c r="K7840" s="11" t="s">
        <v>65</v>
      </c>
      <c r="L7840" s="11" t="s">
        <v>27</v>
      </c>
      <c r="M7840" s="11" t="s">
        <v>28</v>
      </c>
      <c r="N7840" s="11" t="s">
        <v>42</v>
      </c>
      <c r="O7840" s="11" t="s">
        <v>1525</v>
      </c>
      <c r="P7840" s="11" t="s">
        <v>38</v>
      </c>
      <c r="Q7840" s="20">
        <v>41171.0</v>
      </c>
      <c r="R7840" s="17">
        <f t="shared" si="2"/>
        <v>51.51660296</v>
      </c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>
        <f t="shared" si="8"/>
        <v>1</v>
      </c>
      <c r="AF7840" s="19">
        <f t="shared" si="13"/>
        <v>5</v>
      </c>
      <c r="AG7840" s="9"/>
      <c r="AH7840" s="9"/>
      <c r="AI7840" s="9"/>
    </row>
    <row r="7841" ht="15.0" customHeight="1">
      <c r="A7841" s="11">
        <v>7840.0</v>
      </c>
      <c r="B7841" s="12">
        <f t="shared" si="1249"/>
        <v>41170</v>
      </c>
      <c r="C7841" s="13">
        <v>2012.0</v>
      </c>
      <c r="D7841" s="11" t="s">
        <v>39</v>
      </c>
      <c r="E7841" s="11">
        <v>27.0</v>
      </c>
      <c r="F7841" s="14">
        <v>8.5</v>
      </c>
      <c r="G7841" s="15">
        <v>0.0669808306709266</v>
      </c>
      <c r="H7841" s="11" t="s">
        <v>33</v>
      </c>
      <c r="I7841" s="16">
        <v>4.128</v>
      </c>
      <c r="J7841" s="11" t="s">
        <v>2156</v>
      </c>
      <c r="K7841" s="11" t="s">
        <v>65</v>
      </c>
      <c r="L7841" s="11" t="s">
        <v>27</v>
      </c>
      <c r="M7841" s="11" t="s">
        <v>28</v>
      </c>
      <c r="N7841" s="11" t="s">
        <v>56</v>
      </c>
      <c r="O7841" s="11" t="s">
        <v>2549</v>
      </c>
      <c r="P7841" s="11" t="s">
        <v>58</v>
      </c>
      <c r="Q7841" s="20">
        <v>41172.0</v>
      </c>
      <c r="R7841" s="17">
        <f t="shared" si="2"/>
        <v>15.64859751</v>
      </c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>
        <f t="shared" si="8"/>
        <v>1</v>
      </c>
      <c r="AF7841" s="19">
        <f t="shared" si="13"/>
        <v>5</v>
      </c>
      <c r="AG7841" s="9"/>
      <c r="AH7841" s="9"/>
      <c r="AI7841" s="9"/>
    </row>
    <row r="7842" ht="15.0" customHeight="1">
      <c r="A7842" s="11">
        <v>7841.0</v>
      </c>
      <c r="B7842" s="12">
        <f t="shared" si="1249"/>
        <v>41170</v>
      </c>
      <c r="C7842" s="13">
        <v>2012.0</v>
      </c>
      <c r="D7842" s="11" t="s">
        <v>39</v>
      </c>
      <c r="E7842" s="11">
        <v>24.0</v>
      </c>
      <c r="F7842" s="14">
        <v>6.4</v>
      </c>
      <c r="G7842" s="15">
        <v>0.05576047904191607</v>
      </c>
      <c r="H7842" s="11" t="s">
        <v>33</v>
      </c>
      <c r="I7842" s="16">
        <v>4.088</v>
      </c>
      <c r="J7842" s="11" t="s">
        <v>2156</v>
      </c>
      <c r="K7842" s="11" t="s">
        <v>65</v>
      </c>
      <c r="L7842" s="11" t="s">
        <v>27</v>
      </c>
      <c r="M7842" s="11" t="s">
        <v>28</v>
      </c>
      <c r="N7842" s="11" t="s">
        <v>56</v>
      </c>
      <c r="O7842" s="11" t="s">
        <v>1335</v>
      </c>
      <c r="P7842" s="11" t="s">
        <v>38</v>
      </c>
      <c r="Q7842" s="20">
        <v>41172.0</v>
      </c>
      <c r="R7842" s="17">
        <f t="shared" si="2"/>
        <v>8.792758419</v>
      </c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>
        <f t="shared" si="8"/>
        <v>1</v>
      </c>
      <c r="AF7842" s="19">
        <f t="shared" si="13"/>
        <v>5</v>
      </c>
      <c r="AG7842" s="9"/>
      <c r="AH7842" s="9"/>
      <c r="AI7842" s="9"/>
    </row>
    <row r="7843" ht="15.0" customHeight="1">
      <c r="A7843" s="11">
        <v>7842.0</v>
      </c>
      <c r="B7843" s="12">
        <f t="shared" si="1249"/>
        <v>41170</v>
      </c>
      <c r="C7843" s="13">
        <v>2012.0</v>
      </c>
      <c r="D7843" s="11" t="s">
        <v>32</v>
      </c>
      <c r="E7843" s="11">
        <v>32.0</v>
      </c>
      <c r="F7843" s="14">
        <v>111.0</v>
      </c>
      <c r="G7843" s="15">
        <v>0.08325081785631491</v>
      </c>
      <c r="H7843" s="11" t="s">
        <v>33</v>
      </c>
      <c r="I7843" s="16">
        <v>6.912000000000001</v>
      </c>
      <c r="J7843" s="11" t="s">
        <v>1513</v>
      </c>
      <c r="K7843" s="11" t="s">
        <v>83</v>
      </c>
      <c r="L7843" s="11" t="s">
        <v>48</v>
      </c>
      <c r="M7843" s="11" t="s">
        <v>28</v>
      </c>
      <c r="N7843" s="11" t="s">
        <v>29</v>
      </c>
      <c r="O7843" s="11" t="s">
        <v>1819</v>
      </c>
      <c r="P7843" s="11" t="s">
        <v>38</v>
      </c>
      <c r="Q7843" s="20">
        <v>41172.0</v>
      </c>
      <c r="R7843" s="17">
        <f t="shared" si="2"/>
        <v>296.2823347</v>
      </c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>
        <f t="shared" si="8"/>
        <v>4</v>
      </c>
      <c r="AF7843" s="19" t="b">
        <f t="shared" si="13"/>
        <v>0</v>
      </c>
      <c r="AG7843" s="9"/>
      <c r="AH7843" s="9"/>
      <c r="AI7843" s="9"/>
    </row>
    <row r="7844" ht="15.0" customHeight="1">
      <c r="A7844" s="11">
        <v>7843.0</v>
      </c>
      <c r="B7844" s="12">
        <f t="shared" si="1249"/>
        <v>41170</v>
      </c>
      <c r="C7844" s="13">
        <v>2012.0</v>
      </c>
      <c r="D7844" s="11" t="s">
        <v>102</v>
      </c>
      <c r="E7844" s="11">
        <v>13.0</v>
      </c>
      <c r="F7844" s="14">
        <v>4.8</v>
      </c>
      <c r="G7844" s="15">
        <v>0.04732474964234631</v>
      </c>
      <c r="H7844" s="11" t="s">
        <v>24</v>
      </c>
      <c r="I7844" s="16">
        <v>4.192</v>
      </c>
      <c r="J7844" s="11" t="s">
        <v>82</v>
      </c>
      <c r="K7844" s="11" t="s">
        <v>83</v>
      </c>
      <c r="L7844" s="11" t="s">
        <v>27</v>
      </c>
      <c r="M7844" s="11" t="s">
        <v>28</v>
      </c>
      <c r="N7844" s="11" t="s">
        <v>42</v>
      </c>
      <c r="O7844" s="11" t="s">
        <v>2432</v>
      </c>
      <c r="P7844" s="11" t="s">
        <v>38</v>
      </c>
      <c r="Q7844" s="20">
        <v>41172.0</v>
      </c>
      <c r="R7844" s="17">
        <f t="shared" si="2"/>
        <v>3.151449728</v>
      </c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>
        <f t="shared" si="8"/>
        <v>1</v>
      </c>
      <c r="AF7844" s="19" t="b">
        <f t="shared" si="13"/>
        <v>0</v>
      </c>
      <c r="AG7844" s="9"/>
      <c r="AH7844" s="9"/>
      <c r="AI7844" s="9"/>
    </row>
    <row r="7845" ht="15.0" customHeight="1">
      <c r="A7845" s="11">
        <v>7844.0</v>
      </c>
      <c r="B7845" s="12">
        <f t="shared" si="1249"/>
        <v>41170</v>
      </c>
      <c r="C7845" s="13">
        <v>2012.0</v>
      </c>
      <c r="D7845" s="11" t="s">
        <v>102</v>
      </c>
      <c r="E7845" s="11">
        <v>29.0</v>
      </c>
      <c r="F7845" s="14">
        <v>100.9</v>
      </c>
      <c r="G7845" s="15">
        <v>0.04872031148604786</v>
      </c>
      <c r="H7845" s="11" t="s">
        <v>33</v>
      </c>
      <c r="I7845" s="16">
        <v>5.744</v>
      </c>
      <c r="J7845" s="11" t="s">
        <v>82</v>
      </c>
      <c r="K7845" s="11" t="s">
        <v>83</v>
      </c>
      <c r="L7845" s="11" t="s">
        <v>27</v>
      </c>
      <c r="M7845" s="11" t="s">
        <v>66</v>
      </c>
      <c r="N7845" s="11" t="s">
        <v>67</v>
      </c>
      <c r="O7845" s="11" t="s">
        <v>1031</v>
      </c>
      <c r="P7845" s="11" t="s">
        <v>38</v>
      </c>
      <c r="Q7845" s="20">
        <v>41172.0</v>
      </c>
      <c r="R7845" s="17">
        <f t="shared" si="2"/>
        <v>142.8403529</v>
      </c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>
        <f t="shared" si="8"/>
        <v>1</v>
      </c>
      <c r="AF7845" s="19" t="b">
        <f t="shared" si="13"/>
        <v>0</v>
      </c>
      <c r="AG7845" s="9"/>
      <c r="AH7845" s="9"/>
      <c r="AI7845" s="9"/>
    </row>
    <row r="7846" ht="15.0" customHeight="1">
      <c r="A7846" s="11">
        <v>7845.0</v>
      </c>
      <c r="B7846" s="12">
        <f t="shared" si="1249"/>
        <v>41170</v>
      </c>
      <c r="C7846" s="13">
        <v>2012.0</v>
      </c>
      <c r="D7846" s="11" t="s">
        <v>102</v>
      </c>
      <c r="E7846" s="11">
        <v>4.0</v>
      </c>
      <c r="F7846" s="14">
        <v>3.9</v>
      </c>
      <c r="G7846" s="15">
        <v>0.12312195121951224</v>
      </c>
      <c r="H7846" s="11" t="s">
        <v>33</v>
      </c>
      <c r="I7846" s="16">
        <v>2.3760000000000003</v>
      </c>
      <c r="J7846" s="11" t="s">
        <v>82</v>
      </c>
      <c r="K7846" s="11" t="s">
        <v>83</v>
      </c>
      <c r="L7846" s="11" t="s">
        <v>27</v>
      </c>
      <c r="M7846" s="11" t="s">
        <v>28</v>
      </c>
      <c r="N7846" s="11" t="s">
        <v>56</v>
      </c>
      <c r="O7846" s="11" t="s">
        <v>2111</v>
      </c>
      <c r="P7846" s="11" t="s">
        <v>58</v>
      </c>
      <c r="Q7846" s="20">
        <v>41172.0</v>
      </c>
      <c r="R7846" s="17">
        <f t="shared" si="2"/>
        <v>2.213240195</v>
      </c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>
        <f t="shared" si="8"/>
        <v>1</v>
      </c>
      <c r="AF7846" s="19" t="b">
        <f t="shared" si="13"/>
        <v>0</v>
      </c>
      <c r="AG7846" s="9"/>
      <c r="AH7846" s="9"/>
      <c r="AI7846" s="9"/>
    </row>
    <row r="7847" ht="15.0" customHeight="1">
      <c r="A7847" s="11">
        <v>7846.0</v>
      </c>
      <c r="B7847" s="12">
        <f t="shared" ref="B7847:B7852" si="1250">DATE(2012,12,31)-103</f>
        <v>41171</v>
      </c>
      <c r="C7847" s="13">
        <v>2012.0</v>
      </c>
      <c r="D7847" s="11" t="s">
        <v>102</v>
      </c>
      <c r="E7847" s="11">
        <v>46.0</v>
      </c>
      <c r="F7847" s="14">
        <v>200.9</v>
      </c>
      <c r="G7847" s="15">
        <v>0.020208081707032904</v>
      </c>
      <c r="H7847" s="11" t="s">
        <v>33</v>
      </c>
      <c r="I7847" s="16">
        <v>6.464</v>
      </c>
      <c r="J7847" s="11" t="s">
        <v>2524</v>
      </c>
      <c r="K7847" s="11" t="s">
        <v>117</v>
      </c>
      <c r="L7847" s="11" t="s">
        <v>27</v>
      </c>
      <c r="M7847" s="11" t="s">
        <v>66</v>
      </c>
      <c r="N7847" s="11" t="s">
        <v>80</v>
      </c>
      <c r="O7847" s="11">
        <v>5125.0</v>
      </c>
      <c r="P7847" s="11" t="s">
        <v>38</v>
      </c>
      <c r="Q7847" s="20">
        <v>41173.0</v>
      </c>
      <c r="R7847" s="17">
        <f t="shared" si="2"/>
        <v>186.8815913</v>
      </c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>
        <f t="shared" si="8"/>
        <v>1</v>
      </c>
      <c r="AF7847" s="19" t="b">
        <f t="shared" si="13"/>
        <v>0</v>
      </c>
      <c r="AG7847" s="9"/>
      <c r="AH7847" s="9"/>
      <c r="AI7847" s="9"/>
    </row>
    <row r="7848" ht="15.0" customHeight="1">
      <c r="A7848" s="11">
        <v>7847.0</v>
      </c>
      <c r="B7848" s="12">
        <f t="shared" si="1250"/>
        <v>41171</v>
      </c>
      <c r="C7848" s="13">
        <v>2012.0</v>
      </c>
      <c r="D7848" s="11" t="s">
        <v>102</v>
      </c>
      <c r="E7848" s="11">
        <v>23.0</v>
      </c>
      <c r="F7848" s="14">
        <v>194.3</v>
      </c>
      <c r="G7848" s="15">
        <v>0.010401308229470366</v>
      </c>
      <c r="H7848" s="11" t="s">
        <v>33</v>
      </c>
      <c r="I7848" s="16">
        <v>9.232</v>
      </c>
      <c r="J7848" s="11" t="s">
        <v>2524</v>
      </c>
      <c r="K7848" s="11" t="s">
        <v>117</v>
      </c>
      <c r="L7848" s="11" t="s">
        <v>27</v>
      </c>
      <c r="M7848" s="11" t="s">
        <v>49</v>
      </c>
      <c r="N7848" s="11" t="s">
        <v>73</v>
      </c>
      <c r="O7848" s="11" t="s">
        <v>107</v>
      </c>
      <c r="P7848" s="11" t="s">
        <v>31</v>
      </c>
      <c r="Q7848" s="20">
        <v>41173.0</v>
      </c>
      <c r="R7848" s="17">
        <f t="shared" si="2"/>
        <v>46.57843122</v>
      </c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>
        <f t="shared" si="8"/>
        <v>1</v>
      </c>
      <c r="AF7848" s="19" t="b">
        <f t="shared" si="13"/>
        <v>0</v>
      </c>
      <c r="AG7848" s="9"/>
      <c r="AH7848" s="9"/>
      <c r="AI7848" s="9"/>
    </row>
    <row r="7849" ht="15.0" customHeight="1">
      <c r="A7849" s="11">
        <v>7848.0</v>
      </c>
      <c r="B7849" s="12">
        <f t="shared" si="1250"/>
        <v>41171</v>
      </c>
      <c r="C7849" s="13">
        <v>2012.0</v>
      </c>
      <c r="D7849" s="11" t="s">
        <v>44</v>
      </c>
      <c r="E7849" s="11">
        <v>31.0</v>
      </c>
      <c r="F7849" s="14">
        <v>125.9</v>
      </c>
      <c r="G7849" s="15">
        <v>0.08340333669662332</v>
      </c>
      <c r="H7849" s="11" t="s">
        <v>33</v>
      </c>
      <c r="I7849" s="16">
        <v>3.3600000000000003</v>
      </c>
      <c r="J7849" s="11" t="s">
        <v>1185</v>
      </c>
      <c r="K7849" s="11" t="s">
        <v>83</v>
      </c>
      <c r="L7849" s="11" t="s">
        <v>48</v>
      </c>
      <c r="M7849" s="11" t="s">
        <v>66</v>
      </c>
      <c r="N7849" s="11" t="s">
        <v>80</v>
      </c>
      <c r="O7849" s="11" t="s">
        <v>1601</v>
      </c>
      <c r="P7849" s="11" t="s">
        <v>38</v>
      </c>
      <c r="Q7849" s="20">
        <v>41173.0</v>
      </c>
      <c r="R7849" s="17">
        <f t="shared" si="2"/>
        <v>325.795118</v>
      </c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>
        <f t="shared" si="8"/>
        <v>4</v>
      </c>
      <c r="AF7849" s="19" t="b">
        <f t="shared" si="13"/>
        <v>0</v>
      </c>
      <c r="AG7849" s="9"/>
      <c r="AH7849" s="9"/>
      <c r="AI7849" s="9"/>
    </row>
    <row r="7850" ht="15.0" customHeight="1">
      <c r="A7850" s="11">
        <v>7849.0</v>
      </c>
      <c r="B7850" s="12">
        <f t="shared" si="1250"/>
        <v>41171</v>
      </c>
      <c r="C7850" s="13">
        <v>2012.0</v>
      </c>
      <c r="D7850" s="11" t="s">
        <v>39</v>
      </c>
      <c r="E7850" s="11">
        <v>24.0</v>
      </c>
      <c r="F7850" s="14">
        <v>3.1</v>
      </c>
      <c r="G7850" s="15">
        <v>0.036185567010309186</v>
      </c>
      <c r="H7850" s="11" t="s">
        <v>33</v>
      </c>
      <c r="I7850" s="16">
        <v>0.392</v>
      </c>
      <c r="J7850" s="11" t="s">
        <v>1524</v>
      </c>
      <c r="K7850" s="11" t="s">
        <v>26</v>
      </c>
      <c r="L7850" s="11" t="s">
        <v>48</v>
      </c>
      <c r="M7850" s="11" t="s">
        <v>28</v>
      </c>
      <c r="N7850" s="11" t="s">
        <v>188</v>
      </c>
      <c r="O7850" s="11" t="s">
        <v>1371</v>
      </c>
      <c r="P7850" s="11" t="s">
        <v>38</v>
      </c>
      <c r="Q7850" s="20">
        <v>41173.0</v>
      </c>
      <c r="R7850" s="17">
        <f t="shared" si="2"/>
        <v>2.706390928</v>
      </c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>
        <f t="shared" si="8"/>
        <v>4</v>
      </c>
      <c r="AF7850" s="19">
        <f t="shared" si="13"/>
        <v>1</v>
      </c>
      <c r="AG7850" s="9"/>
      <c r="AH7850" s="9"/>
      <c r="AI7850" s="9"/>
    </row>
    <row r="7851" ht="15.0" customHeight="1">
      <c r="A7851" s="11">
        <v>7850.0</v>
      </c>
      <c r="B7851" s="12">
        <f t="shared" si="1250"/>
        <v>41171</v>
      </c>
      <c r="C7851" s="13">
        <v>2012.0</v>
      </c>
      <c r="D7851" s="11" t="s">
        <v>44</v>
      </c>
      <c r="E7851" s="11">
        <v>30.0</v>
      </c>
      <c r="F7851" s="14">
        <v>10.8</v>
      </c>
      <c r="G7851" s="15">
        <v>0.08389261744966442</v>
      </c>
      <c r="H7851" s="11" t="s">
        <v>24</v>
      </c>
      <c r="I7851" s="16">
        <v>3.6</v>
      </c>
      <c r="J7851" s="11" t="s">
        <v>2189</v>
      </c>
      <c r="K7851" s="11" t="s">
        <v>35</v>
      </c>
      <c r="L7851" s="11" t="s">
        <v>27</v>
      </c>
      <c r="M7851" s="11" t="s">
        <v>28</v>
      </c>
      <c r="N7851" s="11" t="s">
        <v>197</v>
      </c>
      <c r="O7851" s="11" t="s">
        <v>1480</v>
      </c>
      <c r="P7851" s="11" t="s">
        <v>38</v>
      </c>
      <c r="Q7851" s="20">
        <v>41173.0</v>
      </c>
      <c r="R7851" s="17">
        <f t="shared" si="2"/>
        <v>27.48322148</v>
      </c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>
        <f t="shared" si="8"/>
        <v>1</v>
      </c>
      <c r="AF7851" s="19">
        <f t="shared" si="13"/>
        <v>2</v>
      </c>
      <c r="AG7851" s="9"/>
      <c r="AH7851" s="9"/>
      <c r="AI7851" s="9"/>
    </row>
    <row r="7852" ht="15.0" customHeight="1">
      <c r="A7852" s="11">
        <v>7851.0</v>
      </c>
      <c r="B7852" s="12">
        <f t="shared" si="1250"/>
        <v>41171</v>
      </c>
      <c r="C7852" s="13">
        <v>2012.0</v>
      </c>
      <c r="D7852" s="11" t="s">
        <v>23</v>
      </c>
      <c r="E7852" s="11">
        <v>26.0</v>
      </c>
      <c r="F7852" s="14">
        <v>279.4</v>
      </c>
      <c r="G7852" s="15">
        <v>0.06657280000000004</v>
      </c>
      <c r="H7852" s="11" t="s">
        <v>33</v>
      </c>
      <c r="I7852" s="16">
        <v>28.0</v>
      </c>
      <c r="J7852" s="11" t="s">
        <v>1168</v>
      </c>
      <c r="K7852" s="11" t="s">
        <v>61</v>
      </c>
      <c r="L7852" s="11" t="s">
        <v>36</v>
      </c>
      <c r="M7852" s="11" t="s">
        <v>28</v>
      </c>
      <c r="N7852" s="11" t="s">
        <v>29</v>
      </c>
      <c r="O7852" s="11" t="s">
        <v>1313</v>
      </c>
      <c r="P7852" s="11" t="s">
        <v>31</v>
      </c>
      <c r="Q7852" s="20">
        <v>41173.0</v>
      </c>
      <c r="R7852" s="17">
        <f t="shared" si="2"/>
        <v>485.4754867</v>
      </c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>
        <f t="shared" si="8"/>
        <v>2</v>
      </c>
      <c r="AF7852" s="19">
        <f t="shared" si="13"/>
        <v>4</v>
      </c>
      <c r="AG7852" s="9"/>
      <c r="AH7852" s="9"/>
      <c r="AI7852" s="9"/>
    </row>
    <row r="7853" ht="15.0" customHeight="1">
      <c r="A7853" s="11">
        <v>7852.0</v>
      </c>
      <c r="B7853" s="12">
        <f t="shared" ref="B7853:B7860" si="1251">DATE(2012,12,31)-102</f>
        <v>41172</v>
      </c>
      <c r="C7853" s="13">
        <v>2012.0</v>
      </c>
      <c r="D7853" s="11" t="s">
        <v>102</v>
      </c>
      <c r="E7853" s="11">
        <v>8.0</v>
      </c>
      <c r="F7853" s="14">
        <v>16.9</v>
      </c>
      <c r="G7853" s="15">
        <v>0.03962938451356717</v>
      </c>
      <c r="H7853" s="11" t="s">
        <v>33</v>
      </c>
      <c r="I7853" s="16">
        <v>9.912</v>
      </c>
      <c r="J7853" s="11" t="s">
        <v>120</v>
      </c>
      <c r="K7853" s="11" t="s">
        <v>35</v>
      </c>
      <c r="L7853" s="11" t="s">
        <v>41</v>
      </c>
      <c r="M7853" s="11" t="s">
        <v>49</v>
      </c>
      <c r="N7853" s="11" t="s">
        <v>73</v>
      </c>
      <c r="O7853" s="11" t="s">
        <v>406</v>
      </c>
      <c r="P7853" s="11" t="s">
        <v>31</v>
      </c>
      <c r="Q7853" s="20">
        <v>41174.0</v>
      </c>
      <c r="R7853" s="17">
        <f t="shared" si="2"/>
        <v>5.750699246</v>
      </c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>
        <f t="shared" si="8"/>
        <v>3</v>
      </c>
      <c r="AF7853" s="19">
        <f t="shared" si="13"/>
        <v>2</v>
      </c>
      <c r="AG7853" s="9"/>
      <c r="AH7853" s="9"/>
      <c r="AI7853" s="9"/>
    </row>
    <row r="7854" ht="15.0" customHeight="1">
      <c r="A7854" s="11">
        <v>7853.0</v>
      </c>
      <c r="B7854" s="12">
        <f t="shared" si="1251"/>
        <v>41172</v>
      </c>
      <c r="C7854" s="13">
        <v>2012.0</v>
      </c>
      <c r="D7854" s="11" t="s">
        <v>23</v>
      </c>
      <c r="E7854" s="11">
        <v>6.0</v>
      </c>
      <c r="F7854" s="14">
        <v>35.8</v>
      </c>
      <c r="G7854" s="15">
        <v>0.014886956521739159</v>
      </c>
      <c r="H7854" s="11" t="s">
        <v>33</v>
      </c>
      <c r="I7854" s="16">
        <v>11.776000000000002</v>
      </c>
      <c r="J7854" s="11" t="s">
        <v>2086</v>
      </c>
      <c r="K7854" s="11" t="s">
        <v>83</v>
      </c>
      <c r="L7854" s="11" t="s">
        <v>41</v>
      </c>
      <c r="M7854" s="11" t="s">
        <v>28</v>
      </c>
      <c r="N7854" s="11" t="s">
        <v>236</v>
      </c>
      <c r="O7854" s="11" t="s">
        <v>1912</v>
      </c>
      <c r="P7854" s="11" t="s">
        <v>38</v>
      </c>
      <c r="Q7854" s="20">
        <v>41174.0</v>
      </c>
      <c r="R7854" s="17">
        <f t="shared" si="2"/>
        <v>3.373027061</v>
      </c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>
        <f t="shared" si="8"/>
        <v>3</v>
      </c>
      <c r="AF7854" s="19" t="b">
        <f t="shared" si="13"/>
        <v>0</v>
      </c>
      <c r="AG7854" s="9"/>
      <c r="AH7854" s="9"/>
      <c r="AI7854" s="9"/>
    </row>
    <row r="7855" ht="15.0" customHeight="1">
      <c r="A7855" s="11">
        <v>7854.0</v>
      </c>
      <c r="B7855" s="12">
        <f t="shared" si="1251"/>
        <v>41172</v>
      </c>
      <c r="C7855" s="13">
        <v>2012.0</v>
      </c>
      <c r="D7855" s="11" t="s">
        <v>23</v>
      </c>
      <c r="E7855" s="11">
        <v>16.0</v>
      </c>
      <c r="F7855" s="14">
        <v>5.8</v>
      </c>
      <c r="G7855" s="15">
        <v>0.0937164750957855</v>
      </c>
      <c r="H7855" s="11" t="s">
        <v>33</v>
      </c>
      <c r="I7855" s="16">
        <v>1.816</v>
      </c>
      <c r="J7855" s="11" t="s">
        <v>2086</v>
      </c>
      <c r="K7855" s="11" t="s">
        <v>83</v>
      </c>
      <c r="L7855" s="11" t="s">
        <v>41</v>
      </c>
      <c r="M7855" s="11" t="s">
        <v>28</v>
      </c>
      <c r="N7855" s="11" t="s">
        <v>62</v>
      </c>
      <c r="O7855" s="11" t="s">
        <v>1391</v>
      </c>
      <c r="P7855" s="11" t="s">
        <v>58</v>
      </c>
      <c r="Q7855" s="20">
        <v>41174.0</v>
      </c>
      <c r="R7855" s="17">
        <f t="shared" si="2"/>
        <v>8.867078008</v>
      </c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>
        <f t="shared" si="8"/>
        <v>3</v>
      </c>
      <c r="AF7855" s="19" t="b">
        <f t="shared" si="13"/>
        <v>0</v>
      </c>
      <c r="AG7855" s="9"/>
      <c r="AH7855" s="9"/>
      <c r="AI7855" s="9"/>
    </row>
    <row r="7856" ht="15.0" customHeight="1">
      <c r="A7856" s="11">
        <v>7855.0</v>
      </c>
      <c r="B7856" s="12">
        <f t="shared" si="1251"/>
        <v>41172</v>
      </c>
      <c r="C7856" s="13">
        <v>2012.0</v>
      </c>
      <c r="D7856" s="11" t="s">
        <v>39</v>
      </c>
      <c r="E7856" s="11">
        <v>39.0</v>
      </c>
      <c r="F7856" s="14">
        <v>64.9</v>
      </c>
      <c r="G7856" s="15">
        <v>0.03552590579947761</v>
      </c>
      <c r="H7856" s="11" t="s">
        <v>33</v>
      </c>
      <c r="I7856" s="16">
        <v>5.5040000000000004</v>
      </c>
      <c r="J7856" s="11" t="s">
        <v>1975</v>
      </c>
      <c r="K7856" s="11" t="s">
        <v>26</v>
      </c>
      <c r="L7856" s="11" t="s">
        <v>27</v>
      </c>
      <c r="M7856" s="11" t="s">
        <v>28</v>
      </c>
      <c r="N7856" s="11" t="s">
        <v>29</v>
      </c>
      <c r="O7856" s="11" t="s">
        <v>2193</v>
      </c>
      <c r="P7856" s="11" t="s">
        <v>38</v>
      </c>
      <c r="Q7856" s="20">
        <v>41174.0</v>
      </c>
      <c r="R7856" s="17">
        <f t="shared" si="2"/>
        <v>90.11515475</v>
      </c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>
        <f t="shared" si="8"/>
        <v>1</v>
      </c>
      <c r="AF7856" s="19">
        <f t="shared" si="13"/>
        <v>1</v>
      </c>
      <c r="AG7856" s="9"/>
      <c r="AH7856" s="9"/>
      <c r="AI7856" s="9"/>
    </row>
    <row r="7857" ht="15.0" customHeight="1">
      <c r="A7857" s="11">
        <v>7856.0</v>
      </c>
      <c r="B7857" s="12">
        <f t="shared" si="1251"/>
        <v>41172</v>
      </c>
      <c r="C7857" s="13">
        <v>2012.0</v>
      </c>
      <c r="D7857" s="11" t="s">
        <v>39</v>
      </c>
      <c r="E7857" s="11">
        <v>9.0</v>
      </c>
      <c r="F7857" s="14">
        <v>19.9</v>
      </c>
      <c r="G7857" s="15">
        <v>0.08986520219670507</v>
      </c>
      <c r="H7857" s="11" t="s">
        <v>33</v>
      </c>
      <c r="I7857" s="16">
        <v>3.2</v>
      </c>
      <c r="J7857" s="11" t="s">
        <v>1975</v>
      </c>
      <c r="K7857" s="11" t="s">
        <v>26</v>
      </c>
      <c r="L7857" s="11" t="s">
        <v>27</v>
      </c>
      <c r="M7857" s="11" t="s">
        <v>66</v>
      </c>
      <c r="N7857" s="11" t="s">
        <v>67</v>
      </c>
      <c r="O7857" s="11" t="s">
        <v>920</v>
      </c>
      <c r="P7857" s="11" t="s">
        <v>38</v>
      </c>
      <c r="Q7857" s="20">
        <v>41174.0</v>
      </c>
      <c r="R7857" s="17">
        <f t="shared" si="2"/>
        <v>16.38242636</v>
      </c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>
        <f t="shared" si="8"/>
        <v>1</v>
      </c>
      <c r="AF7857" s="19">
        <f t="shared" si="13"/>
        <v>1</v>
      </c>
      <c r="AG7857" s="9"/>
      <c r="AH7857" s="9"/>
      <c r="AI7857" s="9"/>
    </row>
    <row r="7858" ht="15.0" customHeight="1">
      <c r="A7858" s="11">
        <v>7857.0</v>
      </c>
      <c r="B7858" s="12">
        <f t="shared" si="1251"/>
        <v>41172</v>
      </c>
      <c r="C7858" s="13">
        <v>2012.0</v>
      </c>
      <c r="D7858" s="11" t="s">
        <v>23</v>
      </c>
      <c r="E7858" s="11">
        <v>19.0</v>
      </c>
      <c r="F7858" s="14">
        <v>4.0</v>
      </c>
      <c r="G7858" s="15">
        <v>0.06630011454753719</v>
      </c>
      <c r="H7858" s="11" t="s">
        <v>33</v>
      </c>
      <c r="I7858" s="16">
        <v>5.5120000000000005</v>
      </c>
      <c r="J7858" s="11" t="s">
        <v>1221</v>
      </c>
      <c r="K7858" s="11" t="s">
        <v>61</v>
      </c>
      <c r="L7858" s="11" t="s">
        <v>48</v>
      </c>
      <c r="M7858" s="11" t="s">
        <v>28</v>
      </c>
      <c r="N7858" s="11" t="s">
        <v>197</v>
      </c>
      <c r="O7858" s="11" t="s">
        <v>704</v>
      </c>
      <c r="P7858" s="11" t="s">
        <v>38</v>
      </c>
      <c r="Q7858" s="20">
        <v>41174.0</v>
      </c>
      <c r="R7858" s="17">
        <f t="shared" si="2"/>
        <v>5.404254937</v>
      </c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>
        <f t="shared" si="8"/>
        <v>4</v>
      </c>
      <c r="AF7858" s="19">
        <f t="shared" si="13"/>
        <v>4</v>
      </c>
      <c r="AG7858" s="9"/>
      <c r="AH7858" s="9"/>
      <c r="AI7858" s="9"/>
    </row>
    <row r="7859" ht="15.0" customHeight="1">
      <c r="A7859" s="11">
        <v>7858.0</v>
      </c>
      <c r="B7859" s="12">
        <f t="shared" si="1251"/>
        <v>41172</v>
      </c>
      <c r="C7859" s="13">
        <v>2012.0</v>
      </c>
      <c r="D7859" s="11" t="s">
        <v>23</v>
      </c>
      <c r="E7859" s="11">
        <v>31.0</v>
      </c>
      <c r="F7859" s="14">
        <v>8.8</v>
      </c>
      <c r="G7859" s="15">
        <v>0.02879159369527135</v>
      </c>
      <c r="H7859" s="11" t="s">
        <v>33</v>
      </c>
      <c r="I7859" s="16">
        <v>4.4799999999999995</v>
      </c>
      <c r="J7859" s="11" t="s">
        <v>1221</v>
      </c>
      <c r="K7859" s="11" t="s">
        <v>61</v>
      </c>
      <c r="L7859" s="11" t="s">
        <v>48</v>
      </c>
      <c r="M7859" s="11" t="s">
        <v>28</v>
      </c>
      <c r="N7859" s="11" t="s">
        <v>42</v>
      </c>
      <c r="O7859" s="11" t="s">
        <v>1443</v>
      </c>
      <c r="P7859" s="11" t="s">
        <v>38</v>
      </c>
      <c r="Q7859" s="20">
        <v>41174.0</v>
      </c>
      <c r="R7859" s="17">
        <f t="shared" si="2"/>
        <v>7.9833331</v>
      </c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>
        <f t="shared" si="8"/>
        <v>4</v>
      </c>
      <c r="AF7859" s="19">
        <f t="shared" si="13"/>
        <v>4</v>
      </c>
      <c r="AG7859" s="9"/>
      <c r="AH7859" s="9"/>
      <c r="AI7859" s="9"/>
    </row>
    <row r="7860" ht="15.0" customHeight="1">
      <c r="A7860" s="11">
        <v>7859.0</v>
      </c>
      <c r="B7860" s="12">
        <f t="shared" si="1251"/>
        <v>41172</v>
      </c>
      <c r="C7860" s="13">
        <v>2012.0</v>
      </c>
      <c r="D7860" s="11" t="s">
        <v>23</v>
      </c>
      <c r="E7860" s="11">
        <v>29.0</v>
      </c>
      <c r="F7860" s="14">
        <v>3.1</v>
      </c>
      <c r="G7860" s="15">
        <v>0.035256410256410076</v>
      </c>
      <c r="H7860" s="11" t="s">
        <v>33</v>
      </c>
      <c r="I7860" s="16">
        <v>0.4</v>
      </c>
      <c r="J7860" s="11" t="s">
        <v>1221</v>
      </c>
      <c r="K7860" s="11" t="s">
        <v>61</v>
      </c>
      <c r="L7860" s="11" t="s">
        <v>48</v>
      </c>
      <c r="M7860" s="11" t="s">
        <v>28</v>
      </c>
      <c r="N7860" s="11" t="s">
        <v>188</v>
      </c>
      <c r="O7860" s="11" t="s">
        <v>1575</v>
      </c>
      <c r="P7860" s="11" t="s">
        <v>38</v>
      </c>
      <c r="Q7860" s="20">
        <v>41174.0</v>
      </c>
      <c r="R7860" s="17">
        <f t="shared" si="2"/>
        <v>3.183653846</v>
      </c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>
        <f t="shared" si="8"/>
        <v>4</v>
      </c>
      <c r="AF7860" s="19">
        <f t="shared" si="13"/>
        <v>4</v>
      </c>
      <c r="AG7860" s="9"/>
      <c r="AH7860" s="9"/>
      <c r="AI7860" s="9"/>
    </row>
    <row r="7861" ht="15.0" customHeight="1">
      <c r="A7861" s="11">
        <v>7860.0</v>
      </c>
      <c r="B7861" s="12">
        <f t="shared" ref="B7861:B7863" si="1252">DATE(2012,12,31)-101</f>
        <v>41173</v>
      </c>
      <c r="C7861" s="13">
        <v>2012.0</v>
      </c>
      <c r="D7861" s="11" t="s">
        <v>23</v>
      </c>
      <c r="E7861" s="11">
        <v>12.0</v>
      </c>
      <c r="F7861" s="14">
        <v>120.9</v>
      </c>
      <c r="G7861" s="15">
        <v>0.02111163384636051</v>
      </c>
      <c r="H7861" s="11" t="s">
        <v>33</v>
      </c>
      <c r="I7861" s="16">
        <v>5.688000000000001</v>
      </c>
      <c r="J7861" s="11" t="s">
        <v>1767</v>
      </c>
      <c r="K7861" s="11" t="s">
        <v>35</v>
      </c>
      <c r="L7861" s="11" t="s">
        <v>27</v>
      </c>
      <c r="M7861" s="11" t="s">
        <v>66</v>
      </c>
      <c r="N7861" s="11" t="s">
        <v>69</v>
      </c>
      <c r="O7861" s="11" t="s">
        <v>1833</v>
      </c>
      <c r="P7861" s="11" t="s">
        <v>75</v>
      </c>
      <c r="Q7861" s="20">
        <v>41175.0</v>
      </c>
      <c r="R7861" s="17">
        <f t="shared" si="2"/>
        <v>30.74884136</v>
      </c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>
        <f t="shared" si="8"/>
        <v>1</v>
      </c>
      <c r="AF7861" s="19">
        <f t="shared" si="13"/>
        <v>2</v>
      </c>
      <c r="AG7861" s="9"/>
      <c r="AH7861" s="9"/>
      <c r="AI7861" s="9"/>
    </row>
    <row r="7862" ht="15.0" customHeight="1">
      <c r="A7862" s="11">
        <v>7861.0</v>
      </c>
      <c r="B7862" s="12">
        <f t="shared" si="1252"/>
        <v>41173</v>
      </c>
      <c r="C7862" s="13">
        <v>2012.0</v>
      </c>
      <c r="D7862" s="11" t="s">
        <v>23</v>
      </c>
      <c r="E7862" s="11">
        <v>24.0</v>
      </c>
      <c r="F7862" s="14">
        <v>146.3</v>
      </c>
      <c r="G7862" s="15">
        <v>0.012585621206214795</v>
      </c>
      <c r="H7862" s="11" t="s">
        <v>45</v>
      </c>
      <c r="I7862" s="16">
        <v>35.0</v>
      </c>
      <c r="J7862" s="11" t="s">
        <v>1767</v>
      </c>
      <c r="K7862" s="11" t="s">
        <v>35</v>
      </c>
      <c r="L7862" s="11" t="s">
        <v>27</v>
      </c>
      <c r="M7862" s="11" t="s">
        <v>49</v>
      </c>
      <c r="N7862" s="11" t="s">
        <v>85</v>
      </c>
      <c r="O7862" s="11" t="s">
        <v>1558</v>
      </c>
      <c r="P7862" s="11" t="s">
        <v>87</v>
      </c>
      <c r="Q7862" s="20">
        <v>41175.0</v>
      </c>
      <c r="R7862" s="17">
        <f t="shared" si="2"/>
        <v>44.63112992</v>
      </c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>
        <f t="shared" si="8"/>
        <v>1</v>
      </c>
      <c r="AF7862" s="19">
        <f t="shared" si="13"/>
        <v>2</v>
      </c>
      <c r="AG7862" s="9"/>
      <c r="AH7862" s="9"/>
      <c r="AI7862" s="9"/>
    </row>
    <row r="7863" ht="15.0" customHeight="1">
      <c r="A7863" s="11">
        <v>7862.0</v>
      </c>
      <c r="B7863" s="12">
        <f t="shared" si="1252"/>
        <v>41173</v>
      </c>
      <c r="C7863" s="13">
        <v>2012.0</v>
      </c>
      <c r="D7863" s="11" t="s">
        <v>39</v>
      </c>
      <c r="E7863" s="11">
        <v>22.0</v>
      </c>
      <c r="F7863" s="14">
        <v>43.9</v>
      </c>
      <c r="G7863" s="15">
        <v>0.041953525009846455</v>
      </c>
      <c r="H7863" s="11" t="s">
        <v>24</v>
      </c>
      <c r="I7863" s="16">
        <v>7.192</v>
      </c>
      <c r="J7863" s="11" t="s">
        <v>823</v>
      </c>
      <c r="K7863" s="11" t="s">
        <v>61</v>
      </c>
      <c r="L7863" s="11" t="s">
        <v>36</v>
      </c>
      <c r="M7863" s="11" t="s">
        <v>28</v>
      </c>
      <c r="N7863" s="11" t="s">
        <v>62</v>
      </c>
      <c r="O7863" s="11" t="s">
        <v>482</v>
      </c>
      <c r="P7863" s="11" t="s">
        <v>99</v>
      </c>
      <c r="Q7863" s="20">
        <v>41175.0</v>
      </c>
      <c r="R7863" s="17">
        <f t="shared" si="2"/>
        <v>40.82044421</v>
      </c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>
        <f t="shared" si="8"/>
        <v>2</v>
      </c>
      <c r="AF7863" s="19">
        <f t="shared" si="13"/>
        <v>4</v>
      </c>
      <c r="AG7863" s="9"/>
      <c r="AH7863" s="9"/>
      <c r="AI7863" s="9"/>
    </row>
    <row r="7864" ht="15.0" customHeight="1">
      <c r="A7864" s="11">
        <v>7863.0</v>
      </c>
      <c r="B7864" s="12">
        <f t="shared" ref="B7864:B7872" si="1253">DATE(2012,12,31)-100</f>
        <v>41174</v>
      </c>
      <c r="C7864" s="13">
        <v>2012.0</v>
      </c>
      <c r="D7864" s="11" t="s">
        <v>23</v>
      </c>
      <c r="E7864" s="11">
        <v>48.0</v>
      </c>
      <c r="F7864" s="14">
        <v>5.7</v>
      </c>
      <c r="G7864" s="15">
        <v>0.05735823429541594</v>
      </c>
      <c r="H7864" s="11" t="s">
        <v>33</v>
      </c>
      <c r="I7864" s="16">
        <v>4.008</v>
      </c>
      <c r="J7864" s="11" t="s">
        <v>1433</v>
      </c>
      <c r="K7864" s="11" t="s">
        <v>61</v>
      </c>
      <c r="L7864" s="11" t="s">
        <v>27</v>
      </c>
      <c r="M7864" s="11" t="s">
        <v>28</v>
      </c>
      <c r="N7864" s="11" t="s">
        <v>42</v>
      </c>
      <c r="O7864" s="11" t="s">
        <v>1547</v>
      </c>
      <c r="P7864" s="11" t="s">
        <v>38</v>
      </c>
      <c r="Q7864" s="20">
        <v>41175.0</v>
      </c>
      <c r="R7864" s="17">
        <f t="shared" si="2"/>
        <v>15.92310471</v>
      </c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>
        <f t="shared" si="8"/>
        <v>1</v>
      </c>
      <c r="AF7864" s="19">
        <f t="shared" si="13"/>
        <v>4</v>
      </c>
      <c r="AG7864" s="9"/>
      <c r="AH7864" s="9"/>
      <c r="AI7864" s="9"/>
    </row>
    <row r="7865" ht="15.0" customHeight="1">
      <c r="A7865" s="11">
        <v>7864.0</v>
      </c>
      <c r="B7865" s="12">
        <f t="shared" si="1253"/>
        <v>41174</v>
      </c>
      <c r="C7865" s="13">
        <v>2012.0</v>
      </c>
      <c r="D7865" s="11" t="s">
        <v>23</v>
      </c>
      <c r="E7865" s="11">
        <v>41.0</v>
      </c>
      <c r="F7865" s="14">
        <v>128.2</v>
      </c>
      <c r="G7865" s="15">
        <v>0.09162225097024584</v>
      </c>
      <c r="H7865" s="11" t="s">
        <v>33</v>
      </c>
      <c r="I7865" s="16">
        <v>10.120000000000001</v>
      </c>
      <c r="J7865" s="11" t="s">
        <v>1433</v>
      </c>
      <c r="K7865" s="11" t="s">
        <v>61</v>
      </c>
      <c r="L7865" s="11" t="s">
        <v>27</v>
      </c>
      <c r="M7865" s="11" t="s">
        <v>49</v>
      </c>
      <c r="N7865" s="11" t="s">
        <v>50</v>
      </c>
      <c r="O7865" s="11" t="s">
        <v>1283</v>
      </c>
      <c r="P7865" s="11" t="s">
        <v>75</v>
      </c>
      <c r="Q7865" s="20">
        <v>41175.0</v>
      </c>
      <c r="R7865" s="17">
        <f t="shared" si="2"/>
        <v>482.5120927</v>
      </c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>
        <f t="shared" si="8"/>
        <v>1</v>
      </c>
      <c r="AF7865" s="19">
        <f t="shared" si="13"/>
        <v>4</v>
      </c>
      <c r="AG7865" s="9"/>
      <c r="AH7865" s="9"/>
      <c r="AI7865" s="9"/>
    </row>
    <row r="7866" ht="15.0" customHeight="1">
      <c r="A7866" s="11">
        <v>7865.0</v>
      </c>
      <c r="B7866" s="12">
        <f t="shared" si="1253"/>
        <v>41174</v>
      </c>
      <c r="C7866" s="13">
        <v>2012.0</v>
      </c>
      <c r="D7866" s="11" t="s">
        <v>102</v>
      </c>
      <c r="E7866" s="11">
        <v>33.0</v>
      </c>
      <c r="F7866" s="14">
        <v>15.9</v>
      </c>
      <c r="G7866" s="15">
        <v>0.01943046114275199</v>
      </c>
      <c r="H7866" s="11" t="s">
        <v>33</v>
      </c>
      <c r="I7866" s="16">
        <v>9.024</v>
      </c>
      <c r="J7866" s="11" t="s">
        <v>613</v>
      </c>
      <c r="K7866" s="11" t="s">
        <v>65</v>
      </c>
      <c r="L7866" s="11" t="s">
        <v>48</v>
      </c>
      <c r="M7866" s="11" t="s">
        <v>66</v>
      </c>
      <c r="N7866" s="11" t="s">
        <v>69</v>
      </c>
      <c r="O7866" s="11" t="s">
        <v>1109</v>
      </c>
      <c r="P7866" s="11" t="s">
        <v>75</v>
      </c>
      <c r="Q7866" s="20">
        <v>41176.0</v>
      </c>
      <c r="R7866" s="17">
        <f t="shared" si="2"/>
        <v>10.37050344</v>
      </c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>
        <f t="shared" si="8"/>
        <v>4</v>
      </c>
      <c r="AF7866" s="19">
        <f t="shared" si="13"/>
        <v>5</v>
      </c>
      <c r="AG7866" s="9"/>
      <c r="AH7866" s="9"/>
      <c r="AI7866" s="9"/>
    </row>
    <row r="7867" ht="15.0" customHeight="1">
      <c r="A7867" s="11">
        <v>7866.0</v>
      </c>
      <c r="B7867" s="12">
        <f t="shared" si="1253"/>
        <v>41174</v>
      </c>
      <c r="C7867" s="13">
        <v>2012.0</v>
      </c>
      <c r="D7867" s="11" t="s">
        <v>102</v>
      </c>
      <c r="E7867" s="11">
        <v>23.0</v>
      </c>
      <c r="F7867" s="14">
        <v>5.9</v>
      </c>
      <c r="G7867" s="15">
        <v>0.02498575498575485</v>
      </c>
      <c r="H7867" s="11" t="s">
        <v>33</v>
      </c>
      <c r="I7867" s="16">
        <v>1.192</v>
      </c>
      <c r="J7867" s="11" t="s">
        <v>403</v>
      </c>
      <c r="K7867" s="11" t="s">
        <v>61</v>
      </c>
      <c r="L7867" s="11" t="s">
        <v>48</v>
      </c>
      <c r="M7867" s="11" t="s">
        <v>28</v>
      </c>
      <c r="N7867" s="11" t="s">
        <v>42</v>
      </c>
      <c r="O7867" s="11" t="s">
        <v>1473</v>
      </c>
      <c r="P7867" s="11" t="s">
        <v>38</v>
      </c>
      <c r="Q7867" s="20">
        <v>41176.0</v>
      </c>
      <c r="R7867" s="17">
        <f t="shared" si="2"/>
        <v>3.420349972</v>
      </c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>
        <f t="shared" si="8"/>
        <v>4</v>
      </c>
      <c r="AF7867" s="19">
        <f t="shared" si="13"/>
        <v>4</v>
      </c>
      <c r="AG7867" s="9"/>
      <c r="AH7867" s="9"/>
      <c r="AI7867" s="9"/>
    </row>
    <row r="7868" ht="15.0" customHeight="1">
      <c r="A7868" s="11">
        <v>7867.0</v>
      </c>
      <c r="B7868" s="12">
        <f t="shared" si="1253"/>
        <v>41174</v>
      </c>
      <c r="C7868" s="13">
        <v>2012.0</v>
      </c>
      <c r="D7868" s="11" t="s">
        <v>102</v>
      </c>
      <c r="E7868" s="11">
        <v>36.0</v>
      </c>
      <c r="F7868" s="14">
        <v>22.2</v>
      </c>
      <c r="G7868" s="15">
        <v>0.07615136132902635</v>
      </c>
      <c r="H7868" s="11" t="s">
        <v>33</v>
      </c>
      <c r="I7868" s="16">
        <v>1.592</v>
      </c>
      <c r="J7868" s="11" t="s">
        <v>403</v>
      </c>
      <c r="K7868" s="11" t="s">
        <v>61</v>
      </c>
      <c r="L7868" s="11" t="s">
        <v>48</v>
      </c>
      <c r="M7868" s="11" t="s">
        <v>66</v>
      </c>
      <c r="N7868" s="11" t="s">
        <v>67</v>
      </c>
      <c r="O7868" s="11" t="s">
        <v>2103</v>
      </c>
      <c r="P7868" s="11" t="s">
        <v>99</v>
      </c>
      <c r="Q7868" s="20">
        <v>41176.0</v>
      </c>
      <c r="R7868" s="17">
        <f t="shared" si="2"/>
        <v>60.98140094</v>
      </c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>
        <f t="shared" si="8"/>
        <v>4</v>
      </c>
      <c r="AF7868" s="19">
        <f t="shared" si="13"/>
        <v>4</v>
      </c>
      <c r="AG7868" s="9"/>
      <c r="AH7868" s="9"/>
      <c r="AI7868" s="9"/>
    </row>
    <row r="7869" ht="15.0" customHeight="1">
      <c r="A7869" s="11">
        <v>7868.0</v>
      </c>
      <c r="B7869" s="12">
        <f t="shared" si="1253"/>
        <v>41174</v>
      </c>
      <c r="C7869" s="13">
        <v>2012.0</v>
      </c>
      <c r="D7869" s="11" t="s">
        <v>102</v>
      </c>
      <c r="E7869" s="11">
        <v>44.0</v>
      </c>
      <c r="F7869" s="14">
        <v>2.8</v>
      </c>
      <c r="G7869" s="15">
        <v>0.0506912442396313</v>
      </c>
      <c r="H7869" s="11" t="s">
        <v>33</v>
      </c>
      <c r="I7869" s="16">
        <v>0.4</v>
      </c>
      <c r="J7869" s="11" t="s">
        <v>403</v>
      </c>
      <c r="K7869" s="11" t="s">
        <v>61</v>
      </c>
      <c r="L7869" s="11" t="s">
        <v>48</v>
      </c>
      <c r="M7869" s="11" t="s">
        <v>28</v>
      </c>
      <c r="N7869" s="11" t="s">
        <v>188</v>
      </c>
      <c r="O7869" s="11" t="s">
        <v>437</v>
      </c>
      <c r="P7869" s="11" t="s">
        <v>38</v>
      </c>
      <c r="Q7869" s="20">
        <v>41176.0</v>
      </c>
      <c r="R7869" s="17">
        <f t="shared" si="2"/>
        <v>6.265437788</v>
      </c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>
        <f t="shared" si="8"/>
        <v>4</v>
      </c>
      <c r="AF7869" s="19">
        <f t="shared" si="13"/>
        <v>4</v>
      </c>
      <c r="AG7869" s="9"/>
      <c r="AH7869" s="9"/>
      <c r="AI7869" s="9"/>
    </row>
    <row r="7870" ht="15.0" customHeight="1">
      <c r="A7870" s="11">
        <v>7869.0</v>
      </c>
      <c r="B7870" s="12">
        <f t="shared" si="1253"/>
        <v>41174</v>
      </c>
      <c r="C7870" s="13">
        <v>2012.0</v>
      </c>
      <c r="D7870" s="11" t="s">
        <v>102</v>
      </c>
      <c r="E7870" s="11">
        <v>24.0</v>
      </c>
      <c r="F7870" s="14">
        <v>19.9</v>
      </c>
      <c r="G7870" s="15">
        <v>0.07306503909975204</v>
      </c>
      <c r="H7870" s="11" t="s">
        <v>24</v>
      </c>
      <c r="I7870" s="16">
        <v>8.392000000000001</v>
      </c>
      <c r="J7870" s="11" t="s">
        <v>403</v>
      </c>
      <c r="K7870" s="11" t="s">
        <v>61</v>
      </c>
      <c r="L7870" s="11" t="s">
        <v>48</v>
      </c>
      <c r="M7870" s="11" t="s">
        <v>49</v>
      </c>
      <c r="N7870" s="11" t="s">
        <v>73</v>
      </c>
      <c r="O7870" s="11" t="s">
        <v>1135</v>
      </c>
      <c r="P7870" s="11" t="s">
        <v>38</v>
      </c>
      <c r="Q7870" s="20">
        <v>41176.0</v>
      </c>
      <c r="R7870" s="17">
        <f t="shared" si="2"/>
        <v>35.50902448</v>
      </c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>
        <f t="shared" si="8"/>
        <v>4</v>
      </c>
      <c r="AF7870" s="19">
        <f t="shared" si="13"/>
        <v>4</v>
      </c>
      <c r="AG7870" s="9"/>
      <c r="AH7870" s="9"/>
      <c r="AI7870" s="9"/>
    </row>
    <row r="7871" ht="15.0" customHeight="1">
      <c r="A7871" s="11">
        <v>7870.0</v>
      </c>
      <c r="B7871" s="12">
        <f t="shared" si="1253"/>
        <v>41174</v>
      </c>
      <c r="C7871" s="13">
        <v>2012.0</v>
      </c>
      <c r="D7871" s="11" t="s">
        <v>44</v>
      </c>
      <c r="E7871" s="11">
        <v>25.0</v>
      </c>
      <c r="F7871" s="14">
        <v>6.4</v>
      </c>
      <c r="G7871" s="15">
        <v>0.06695163104611922</v>
      </c>
      <c r="H7871" s="11" t="s">
        <v>33</v>
      </c>
      <c r="I7871" s="16">
        <v>5.896000000000001</v>
      </c>
      <c r="J7871" s="11" t="s">
        <v>716</v>
      </c>
      <c r="K7871" s="11" t="s">
        <v>61</v>
      </c>
      <c r="L7871" s="11" t="s">
        <v>41</v>
      </c>
      <c r="M7871" s="11" t="s">
        <v>28</v>
      </c>
      <c r="N7871" s="11" t="s">
        <v>56</v>
      </c>
      <c r="O7871" s="11" t="s">
        <v>860</v>
      </c>
      <c r="P7871" s="11" t="s">
        <v>38</v>
      </c>
      <c r="Q7871" s="20">
        <v>41176.0</v>
      </c>
      <c r="R7871" s="17">
        <f t="shared" si="2"/>
        <v>11.10700778</v>
      </c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>
        <f t="shared" si="8"/>
        <v>3</v>
      </c>
      <c r="AF7871" s="19">
        <f t="shared" si="13"/>
        <v>4</v>
      </c>
      <c r="AG7871" s="9"/>
      <c r="AH7871" s="9"/>
      <c r="AI7871" s="9"/>
    </row>
    <row r="7872" ht="15.0" customHeight="1">
      <c r="A7872" s="11">
        <v>7871.0</v>
      </c>
      <c r="B7872" s="12">
        <f t="shared" si="1253"/>
        <v>41174</v>
      </c>
      <c r="C7872" s="13">
        <v>2012.0</v>
      </c>
      <c r="D7872" s="11" t="s">
        <v>32</v>
      </c>
      <c r="E7872" s="11">
        <v>45.0</v>
      </c>
      <c r="F7872" s="14">
        <v>15.9</v>
      </c>
      <c r="G7872" s="15">
        <v>0.0729324272342608</v>
      </c>
      <c r="H7872" s="11" t="s">
        <v>33</v>
      </c>
      <c r="I7872" s="16">
        <v>7.5200000000000005</v>
      </c>
      <c r="J7872" s="11" t="s">
        <v>1546</v>
      </c>
      <c r="K7872" s="11" t="s">
        <v>117</v>
      </c>
      <c r="L7872" s="11" t="s">
        <v>41</v>
      </c>
      <c r="M7872" s="11" t="s">
        <v>66</v>
      </c>
      <c r="N7872" s="11" t="s">
        <v>69</v>
      </c>
      <c r="O7872" s="11" t="s">
        <v>381</v>
      </c>
      <c r="P7872" s="11" t="s">
        <v>38</v>
      </c>
      <c r="Q7872" s="20">
        <v>41177.0</v>
      </c>
      <c r="R7872" s="17">
        <f t="shared" si="2"/>
        <v>52.73160354</v>
      </c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>
        <f t="shared" si="8"/>
        <v>3</v>
      </c>
      <c r="AF7872" s="19" t="b">
        <f t="shared" si="13"/>
        <v>0</v>
      </c>
      <c r="AG7872" s="9"/>
      <c r="AH7872" s="9"/>
      <c r="AI7872" s="9"/>
    </row>
    <row r="7873" ht="15.0" customHeight="1">
      <c r="A7873" s="11">
        <v>7872.0</v>
      </c>
      <c r="B7873" s="12">
        <f t="shared" ref="B7873:B7880" si="1254">DATE(2012,12,31)-99</f>
        <v>41175</v>
      </c>
      <c r="C7873" s="13">
        <v>2012.0</v>
      </c>
      <c r="D7873" s="11" t="s">
        <v>32</v>
      </c>
      <c r="E7873" s="11">
        <v>4.0</v>
      </c>
      <c r="F7873" s="14">
        <v>810.9</v>
      </c>
      <c r="G7873" s="15">
        <v>0.08354262235105403</v>
      </c>
      <c r="H7873" s="11" t="s">
        <v>45</v>
      </c>
      <c r="I7873" s="16">
        <v>12.847999999999999</v>
      </c>
      <c r="J7873" s="11" t="s">
        <v>1965</v>
      </c>
      <c r="K7873" s="11" t="s">
        <v>35</v>
      </c>
      <c r="L7873" s="11" t="s">
        <v>48</v>
      </c>
      <c r="M7873" s="11" t="s">
        <v>66</v>
      </c>
      <c r="N7873" s="11" t="s">
        <v>69</v>
      </c>
      <c r="O7873" s="11" t="s">
        <v>2460</v>
      </c>
      <c r="P7873" s="11" t="s">
        <v>52</v>
      </c>
      <c r="Q7873" s="20">
        <v>41177.0</v>
      </c>
      <c r="R7873" s="17">
        <f t="shared" si="2"/>
        <v>272.0522055</v>
      </c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>
        <f t="shared" si="8"/>
        <v>4</v>
      </c>
      <c r="AF7873" s="19">
        <f t="shared" si="13"/>
        <v>2</v>
      </c>
      <c r="AG7873" s="9"/>
      <c r="AH7873" s="9"/>
      <c r="AI7873" s="9"/>
    </row>
    <row r="7874" ht="15.0" customHeight="1">
      <c r="A7874" s="11">
        <v>7873.0</v>
      </c>
      <c r="B7874" s="12">
        <f t="shared" si="1254"/>
        <v>41175</v>
      </c>
      <c r="C7874" s="13">
        <v>2012.0</v>
      </c>
      <c r="D7874" s="11" t="s">
        <v>44</v>
      </c>
      <c r="E7874" s="11">
        <v>21.0</v>
      </c>
      <c r="F7874" s="14">
        <v>37.7</v>
      </c>
      <c r="G7874" s="15">
        <v>0.05723376469191483</v>
      </c>
      <c r="H7874" s="11" t="s">
        <v>33</v>
      </c>
      <c r="I7874" s="16">
        <v>2.3920000000000003</v>
      </c>
      <c r="J7874" s="11" t="s">
        <v>1259</v>
      </c>
      <c r="K7874" s="11" t="s">
        <v>65</v>
      </c>
      <c r="L7874" s="11" t="s">
        <v>41</v>
      </c>
      <c r="M7874" s="11" t="s">
        <v>28</v>
      </c>
      <c r="N7874" s="11" t="s">
        <v>42</v>
      </c>
      <c r="O7874" s="11" t="s">
        <v>1302</v>
      </c>
      <c r="P7874" s="11" t="s">
        <v>38</v>
      </c>
      <c r="Q7874" s="20">
        <v>41177.0</v>
      </c>
      <c r="R7874" s="17">
        <f t="shared" si="2"/>
        <v>45.44887467</v>
      </c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>
        <f t="shared" si="8"/>
        <v>3</v>
      </c>
      <c r="AF7874" s="19">
        <f t="shared" si="13"/>
        <v>5</v>
      </c>
      <c r="AG7874" s="9"/>
      <c r="AH7874" s="9"/>
      <c r="AI7874" s="9"/>
    </row>
    <row r="7875" ht="15.0" customHeight="1">
      <c r="A7875" s="11">
        <v>7874.0</v>
      </c>
      <c r="B7875" s="12">
        <f t="shared" si="1254"/>
        <v>41175</v>
      </c>
      <c r="C7875" s="13">
        <v>2012.0</v>
      </c>
      <c r="D7875" s="11" t="s">
        <v>44</v>
      </c>
      <c r="E7875" s="11">
        <v>43.0</v>
      </c>
      <c r="F7875" s="14">
        <v>8.5</v>
      </c>
      <c r="G7875" s="15">
        <v>0.07431004257450545</v>
      </c>
      <c r="H7875" s="11" t="s">
        <v>33</v>
      </c>
      <c r="I7875" s="16">
        <v>4.128</v>
      </c>
      <c r="J7875" s="11" t="s">
        <v>1259</v>
      </c>
      <c r="K7875" s="11" t="s">
        <v>65</v>
      </c>
      <c r="L7875" s="11" t="s">
        <v>41</v>
      </c>
      <c r="M7875" s="11" t="s">
        <v>28</v>
      </c>
      <c r="N7875" s="11" t="s">
        <v>56</v>
      </c>
      <c r="O7875" s="11" t="s">
        <v>2549</v>
      </c>
      <c r="P7875" s="11" t="s">
        <v>58</v>
      </c>
      <c r="Q7875" s="20">
        <v>41177.0</v>
      </c>
      <c r="R7875" s="17">
        <f t="shared" si="2"/>
        <v>27.46707242</v>
      </c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>
        <f t="shared" si="8"/>
        <v>3</v>
      </c>
      <c r="AF7875" s="19">
        <f t="shared" si="13"/>
        <v>5</v>
      </c>
      <c r="AG7875" s="9"/>
      <c r="AH7875" s="9"/>
      <c r="AI7875" s="9"/>
    </row>
    <row r="7876" ht="15.0" customHeight="1">
      <c r="A7876" s="11">
        <v>7875.0</v>
      </c>
      <c r="B7876" s="12">
        <f t="shared" si="1254"/>
        <v>41175</v>
      </c>
      <c r="C7876" s="13">
        <v>2012.0</v>
      </c>
      <c r="D7876" s="11" t="s">
        <v>44</v>
      </c>
      <c r="E7876" s="11">
        <v>21.0</v>
      </c>
      <c r="F7876" s="14">
        <v>25.3</v>
      </c>
      <c r="G7876" s="15">
        <v>0.05361687170474504</v>
      </c>
      <c r="H7876" s="11" t="s">
        <v>33</v>
      </c>
      <c r="I7876" s="16">
        <v>7.192</v>
      </c>
      <c r="J7876" s="11" t="s">
        <v>1259</v>
      </c>
      <c r="K7876" s="11" t="s">
        <v>65</v>
      </c>
      <c r="L7876" s="11" t="s">
        <v>41</v>
      </c>
      <c r="M7876" s="11" t="s">
        <v>49</v>
      </c>
      <c r="N7876" s="11" t="s">
        <v>73</v>
      </c>
      <c r="O7876" s="11" t="s">
        <v>1500</v>
      </c>
      <c r="P7876" s="11" t="s">
        <v>99</v>
      </c>
      <c r="Q7876" s="20">
        <v>41177.0</v>
      </c>
      <c r="R7876" s="17">
        <f t="shared" si="2"/>
        <v>28.87225648</v>
      </c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>
        <f t="shared" si="8"/>
        <v>3</v>
      </c>
      <c r="AF7876" s="19">
        <f t="shared" si="13"/>
        <v>5</v>
      </c>
      <c r="AG7876" s="9"/>
      <c r="AH7876" s="9"/>
      <c r="AI7876" s="9"/>
    </row>
    <row r="7877" ht="15.0" customHeight="1">
      <c r="A7877" s="11">
        <v>7876.0</v>
      </c>
      <c r="B7877" s="12">
        <f t="shared" si="1254"/>
        <v>41175</v>
      </c>
      <c r="C7877" s="13">
        <v>2012.0</v>
      </c>
      <c r="D7877" s="11" t="s">
        <v>102</v>
      </c>
      <c r="E7877" s="11">
        <v>40.0</v>
      </c>
      <c r="F7877" s="14">
        <v>160.9</v>
      </c>
      <c r="G7877" s="15">
        <v>0.048965050201690126</v>
      </c>
      <c r="H7877" s="11" t="s">
        <v>45</v>
      </c>
      <c r="I7877" s="16">
        <v>24.0</v>
      </c>
      <c r="J7877" s="11" t="s">
        <v>2392</v>
      </c>
      <c r="K7877" s="11" t="s">
        <v>26</v>
      </c>
      <c r="L7877" s="11" t="s">
        <v>48</v>
      </c>
      <c r="M7877" s="11" t="s">
        <v>49</v>
      </c>
      <c r="N7877" s="11" t="s">
        <v>50</v>
      </c>
      <c r="O7877" s="11" t="s">
        <v>515</v>
      </c>
      <c r="P7877" s="11" t="s">
        <v>52</v>
      </c>
      <c r="Q7877" s="20">
        <v>41177.0</v>
      </c>
      <c r="R7877" s="17">
        <f t="shared" si="2"/>
        <v>316.3142243</v>
      </c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>
        <f t="shared" si="8"/>
        <v>4</v>
      </c>
      <c r="AF7877" s="19">
        <f t="shared" si="13"/>
        <v>1</v>
      </c>
      <c r="AG7877" s="9"/>
      <c r="AH7877" s="9"/>
      <c r="AI7877" s="9"/>
    </row>
    <row r="7878" ht="15.0" customHeight="1">
      <c r="A7878" s="11">
        <v>7877.0</v>
      </c>
      <c r="B7878" s="12">
        <f t="shared" si="1254"/>
        <v>41175</v>
      </c>
      <c r="C7878" s="13">
        <v>2012.0</v>
      </c>
      <c r="D7878" s="11" t="s">
        <v>102</v>
      </c>
      <c r="E7878" s="11">
        <v>43.0</v>
      </c>
      <c r="F7878" s="14">
        <v>12.2</v>
      </c>
      <c r="G7878" s="15">
        <v>0.050066510875426885</v>
      </c>
      <c r="H7878" s="11" t="s">
        <v>33</v>
      </c>
      <c r="I7878" s="16">
        <v>3.848</v>
      </c>
      <c r="J7878" s="11" t="s">
        <v>2478</v>
      </c>
      <c r="K7878" s="11" t="s">
        <v>65</v>
      </c>
      <c r="L7878" s="11" t="s">
        <v>41</v>
      </c>
      <c r="M7878" s="11" t="s">
        <v>28</v>
      </c>
      <c r="N7878" s="11" t="s">
        <v>29</v>
      </c>
      <c r="O7878" s="11" t="s">
        <v>2147</v>
      </c>
      <c r="P7878" s="11" t="s">
        <v>38</v>
      </c>
      <c r="Q7878" s="20">
        <v>41177.0</v>
      </c>
      <c r="R7878" s="17">
        <f t="shared" si="2"/>
        <v>26.45754754</v>
      </c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>
        <f t="shared" si="8"/>
        <v>3</v>
      </c>
      <c r="AF7878" s="19">
        <f t="shared" si="13"/>
        <v>5</v>
      </c>
      <c r="AG7878" s="9"/>
      <c r="AH7878" s="9"/>
      <c r="AI7878" s="9"/>
    </row>
    <row r="7879" ht="15.0" customHeight="1">
      <c r="A7879" s="11">
        <v>7878.0</v>
      </c>
      <c r="B7879" s="12">
        <f t="shared" si="1254"/>
        <v>41175</v>
      </c>
      <c r="C7879" s="13">
        <v>2012.0</v>
      </c>
      <c r="D7879" s="11" t="s">
        <v>102</v>
      </c>
      <c r="E7879" s="11">
        <v>47.0</v>
      </c>
      <c r="F7879" s="14">
        <v>155.9</v>
      </c>
      <c r="G7879" s="15">
        <v>0.057372283411944565</v>
      </c>
      <c r="H7879" s="11" t="s">
        <v>33</v>
      </c>
      <c r="I7879" s="16">
        <v>7.192</v>
      </c>
      <c r="J7879" s="11" t="s">
        <v>2478</v>
      </c>
      <c r="K7879" s="11" t="s">
        <v>65</v>
      </c>
      <c r="L7879" s="11" t="s">
        <v>41</v>
      </c>
      <c r="M7879" s="11" t="s">
        <v>66</v>
      </c>
      <c r="N7879" s="11" t="s">
        <v>80</v>
      </c>
      <c r="O7879" s="11" t="s">
        <v>2237</v>
      </c>
      <c r="P7879" s="11" t="s">
        <v>38</v>
      </c>
      <c r="Q7879" s="20">
        <v>41177.0</v>
      </c>
      <c r="R7879" s="17">
        <f t="shared" si="2"/>
        <v>420.7965537</v>
      </c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>
        <f t="shared" si="8"/>
        <v>3</v>
      </c>
      <c r="AF7879" s="19">
        <f t="shared" si="13"/>
        <v>5</v>
      </c>
      <c r="AG7879" s="9"/>
      <c r="AH7879" s="9"/>
      <c r="AI7879" s="9"/>
    </row>
    <row r="7880" ht="15.0" customHeight="1">
      <c r="A7880" s="11">
        <v>7879.0</v>
      </c>
      <c r="B7880" s="12">
        <f t="shared" si="1254"/>
        <v>41175</v>
      </c>
      <c r="C7880" s="13">
        <v>2012.0</v>
      </c>
      <c r="D7880" s="11" t="s">
        <v>102</v>
      </c>
      <c r="E7880" s="11">
        <v>44.0</v>
      </c>
      <c r="F7880" s="14">
        <v>17.9</v>
      </c>
      <c r="G7880" s="15">
        <v>0.09675042637862433</v>
      </c>
      <c r="H7880" s="11" t="s">
        <v>33</v>
      </c>
      <c r="I7880" s="16">
        <v>6.808</v>
      </c>
      <c r="J7880" s="11" t="s">
        <v>2478</v>
      </c>
      <c r="K7880" s="11" t="s">
        <v>65</v>
      </c>
      <c r="L7880" s="11" t="s">
        <v>41</v>
      </c>
      <c r="M7880" s="11" t="s">
        <v>66</v>
      </c>
      <c r="N7880" s="11" t="s">
        <v>69</v>
      </c>
      <c r="O7880" s="11" t="s">
        <v>1000</v>
      </c>
      <c r="P7880" s="11" t="s">
        <v>75</v>
      </c>
      <c r="Q7880" s="20">
        <v>41177.0</v>
      </c>
      <c r="R7880" s="17">
        <f t="shared" si="2"/>
        <v>76.85931272</v>
      </c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>
        <f t="shared" si="8"/>
        <v>3</v>
      </c>
      <c r="AF7880" s="19">
        <f t="shared" si="13"/>
        <v>5</v>
      </c>
      <c r="AG7880" s="9"/>
      <c r="AH7880" s="9"/>
      <c r="AI7880" s="9"/>
    </row>
    <row r="7881" ht="15.0" customHeight="1">
      <c r="A7881" s="11">
        <v>7880.0</v>
      </c>
      <c r="B7881" s="12">
        <f t="shared" ref="B7881:B7889" si="1255">DATE(2012,12,31)-98</f>
        <v>41176</v>
      </c>
      <c r="C7881" s="13">
        <v>2012.0</v>
      </c>
      <c r="D7881" s="11" t="s">
        <v>23</v>
      </c>
      <c r="E7881" s="11">
        <v>30.0</v>
      </c>
      <c r="F7881" s="14">
        <v>8.3</v>
      </c>
      <c r="G7881" s="15">
        <v>0.07789783167952957</v>
      </c>
      <c r="H7881" s="11" t="s">
        <v>33</v>
      </c>
      <c r="I7881" s="16">
        <v>1.904</v>
      </c>
      <c r="J7881" s="11" t="s">
        <v>2498</v>
      </c>
      <c r="K7881" s="11" t="s">
        <v>26</v>
      </c>
      <c r="L7881" s="11" t="s">
        <v>27</v>
      </c>
      <c r="M7881" s="11" t="s">
        <v>66</v>
      </c>
      <c r="N7881" s="11" t="s">
        <v>67</v>
      </c>
      <c r="O7881" s="11" t="s">
        <v>773</v>
      </c>
      <c r="P7881" s="11" t="s">
        <v>99</v>
      </c>
      <c r="Q7881" s="20">
        <v>41177.0</v>
      </c>
      <c r="R7881" s="17">
        <f t="shared" si="2"/>
        <v>19.54487756</v>
      </c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>
        <f t="shared" si="8"/>
        <v>1</v>
      </c>
      <c r="AF7881" s="19">
        <f t="shared" si="13"/>
        <v>1</v>
      </c>
      <c r="AG7881" s="9"/>
      <c r="AH7881" s="9"/>
      <c r="AI7881" s="9"/>
    </row>
    <row r="7882" ht="15.0" customHeight="1">
      <c r="A7882" s="11">
        <v>7881.0</v>
      </c>
      <c r="B7882" s="12">
        <f t="shared" si="1255"/>
        <v>41176</v>
      </c>
      <c r="C7882" s="13">
        <v>2012.0</v>
      </c>
      <c r="D7882" s="11" t="s">
        <v>23</v>
      </c>
      <c r="E7882" s="11">
        <v>26.0</v>
      </c>
      <c r="F7882" s="14">
        <v>40.9</v>
      </c>
      <c r="G7882" s="15">
        <v>0.059729492359037455</v>
      </c>
      <c r="H7882" s="11" t="s">
        <v>33</v>
      </c>
      <c r="I7882" s="16">
        <v>7.192</v>
      </c>
      <c r="J7882" s="11" t="s">
        <v>2498</v>
      </c>
      <c r="K7882" s="11" t="s">
        <v>26</v>
      </c>
      <c r="L7882" s="11" t="s">
        <v>27</v>
      </c>
      <c r="M7882" s="11" t="s">
        <v>28</v>
      </c>
      <c r="N7882" s="11" t="s">
        <v>62</v>
      </c>
      <c r="O7882" s="11" t="s">
        <v>1847</v>
      </c>
      <c r="P7882" s="11" t="s">
        <v>99</v>
      </c>
      <c r="Q7882" s="20">
        <v>41178.0</v>
      </c>
      <c r="R7882" s="17">
        <f t="shared" si="2"/>
        <v>63.94591668</v>
      </c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>
        <f t="shared" si="8"/>
        <v>1</v>
      </c>
      <c r="AF7882" s="19">
        <f t="shared" si="13"/>
        <v>1</v>
      </c>
      <c r="AG7882" s="9"/>
      <c r="AH7882" s="9"/>
      <c r="AI7882" s="9"/>
    </row>
    <row r="7883" ht="15.0" customHeight="1">
      <c r="A7883" s="11">
        <v>7882.0</v>
      </c>
      <c r="B7883" s="12">
        <f t="shared" si="1255"/>
        <v>41176</v>
      </c>
      <c r="C7883" s="13">
        <v>2012.0</v>
      </c>
      <c r="D7883" s="11" t="s">
        <v>39</v>
      </c>
      <c r="E7883" s="11">
        <v>30.0</v>
      </c>
      <c r="F7883" s="14">
        <v>70.7</v>
      </c>
      <c r="G7883" s="15">
        <v>0.051056996647256186</v>
      </c>
      <c r="H7883" s="11" t="s">
        <v>33</v>
      </c>
      <c r="I7883" s="16">
        <v>30.064</v>
      </c>
      <c r="J7883" s="11" t="s">
        <v>426</v>
      </c>
      <c r="K7883" s="11" t="s">
        <v>61</v>
      </c>
      <c r="L7883" s="11" t="s">
        <v>27</v>
      </c>
      <c r="M7883" s="11" t="s">
        <v>49</v>
      </c>
      <c r="N7883" s="11" t="s">
        <v>73</v>
      </c>
      <c r="O7883" s="11" t="s">
        <v>2056</v>
      </c>
      <c r="P7883" s="11" t="s">
        <v>58</v>
      </c>
      <c r="Q7883" s="20">
        <v>41178.0</v>
      </c>
      <c r="R7883" s="17">
        <f t="shared" si="2"/>
        <v>109.8268674</v>
      </c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>
        <f t="shared" si="8"/>
        <v>1</v>
      </c>
      <c r="AF7883" s="19">
        <f t="shared" si="13"/>
        <v>4</v>
      </c>
      <c r="AG7883" s="9"/>
      <c r="AH7883" s="9"/>
      <c r="AI7883" s="9"/>
    </row>
    <row r="7884" ht="15.0" customHeight="1">
      <c r="A7884" s="11">
        <v>7883.0</v>
      </c>
      <c r="B7884" s="12">
        <f t="shared" si="1255"/>
        <v>41176</v>
      </c>
      <c r="C7884" s="13">
        <v>2012.0</v>
      </c>
      <c r="D7884" s="11" t="s">
        <v>23</v>
      </c>
      <c r="E7884" s="11">
        <v>34.0</v>
      </c>
      <c r="F7884" s="14">
        <v>5.6</v>
      </c>
      <c r="G7884" s="15">
        <v>0.01738688357905448</v>
      </c>
      <c r="H7884" s="11" t="s">
        <v>33</v>
      </c>
      <c r="I7884" s="16">
        <v>2.8800000000000003</v>
      </c>
      <c r="J7884" s="11" t="s">
        <v>2516</v>
      </c>
      <c r="K7884" s="11" t="s">
        <v>61</v>
      </c>
      <c r="L7884" s="11" t="s">
        <v>27</v>
      </c>
      <c r="M7884" s="11" t="s">
        <v>28</v>
      </c>
      <c r="N7884" s="11" t="s">
        <v>442</v>
      </c>
      <c r="O7884" s="11" t="s">
        <v>1689</v>
      </c>
      <c r="P7884" s="11" t="s">
        <v>99</v>
      </c>
      <c r="Q7884" s="20">
        <v>41178.0</v>
      </c>
      <c r="R7884" s="17">
        <f t="shared" si="2"/>
        <v>3.360536858</v>
      </c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>
        <f t="shared" si="8"/>
        <v>1</v>
      </c>
      <c r="AF7884" s="19">
        <f t="shared" si="13"/>
        <v>4</v>
      </c>
      <c r="AG7884" s="9"/>
      <c r="AH7884" s="9"/>
      <c r="AI7884" s="9"/>
    </row>
    <row r="7885" ht="15.0" customHeight="1">
      <c r="A7885" s="11">
        <v>7884.0</v>
      </c>
      <c r="B7885" s="12">
        <f t="shared" si="1255"/>
        <v>41176</v>
      </c>
      <c r="C7885" s="13">
        <v>2012.0</v>
      </c>
      <c r="D7885" s="11" t="s">
        <v>39</v>
      </c>
      <c r="E7885" s="11">
        <v>44.0</v>
      </c>
      <c r="F7885" s="14">
        <v>152.4</v>
      </c>
      <c r="G7885" s="15">
        <v>0.02981061153679338</v>
      </c>
      <c r="H7885" s="11" t="s">
        <v>33</v>
      </c>
      <c r="I7885" s="16">
        <v>5.2</v>
      </c>
      <c r="J7885" s="11" t="s">
        <v>1620</v>
      </c>
      <c r="K7885" s="11" t="s">
        <v>65</v>
      </c>
      <c r="L7885" s="11" t="s">
        <v>48</v>
      </c>
      <c r="M7885" s="11" t="s">
        <v>66</v>
      </c>
      <c r="N7885" s="11" t="s">
        <v>67</v>
      </c>
      <c r="O7885" s="11" t="s">
        <v>944</v>
      </c>
      <c r="P7885" s="11" t="s">
        <v>38</v>
      </c>
      <c r="Q7885" s="20">
        <v>41178.0</v>
      </c>
      <c r="R7885" s="17">
        <f t="shared" si="2"/>
        <v>200.0530519</v>
      </c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>
        <f t="shared" si="8"/>
        <v>4</v>
      </c>
      <c r="AF7885" s="19">
        <f t="shared" si="13"/>
        <v>5</v>
      </c>
      <c r="AG7885" s="9"/>
      <c r="AH7885" s="9"/>
      <c r="AI7885" s="9"/>
    </row>
    <row r="7886" ht="15.0" customHeight="1">
      <c r="A7886" s="11">
        <v>7885.0</v>
      </c>
      <c r="B7886" s="12">
        <f t="shared" si="1255"/>
        <v>41176</v>
      </c>
      <c r="C7886" s="13">
        <v>2012.0</v>
      </c>
      <c r="D7886" s="11" t="s">
        <v>39</v>
      </c>
      <c r="E7886" s="11">
        <v>4.0</v>
      </c>
      <c r="F7886" s="14">
        <v>2.6</v>
      </c>
      <c r="G7886" s="15">
        <v>0.09999999999999994</v>
      </c>
      <c r="H7886" s="11" t="s">
        <v>33</v>
      </c>
      <c r="I7886" s="16">
        <v>0.4</v>
      </c>
      <c r="J7886" s="11" t="s">
        <v>1620</v>
      </c>
      <c r="K7886" s="11" t="s">
        <v>65</v>
      </c>
      <c r="L7886" s="11" t="s">
        <v>48</v>
      </c>
      <c r="M7886" s="11" t="s">
        <v>28</v>
      </c>
      <c r="N7886" s="11" t="s">
        <v>188</v>
      </c>
      <c r="O7886" s="11" t="s">
        <v>1356</v>
      </c>
      <c r="P7886" s="11" t="s">
        <v>38</v>
      </c>
      <c r="Q7886" s="20">
        <v>41178.0</v>
      </c>
      <c r="R7886" s="17">
        <f t="shared" si="2"/>
        <v>1.08</v>
      </c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>
        <f t="shared" si="8"/>
        <v>4</v>
      </c>
      <c r="AF7886" s="19">
        <f t="shared" si="13"/>
        <v>5</v>
      </c>
      <c r="AG7886" s="9"/>
      <c r="AH7886" s="9"/>
      <c r="AI7886" s="9"/>
    </row>
    <row r="7887" ht="15.0" customHeight="1">
      <c r="A7887" s="11">
        <v>7886.0</v>
      </c>
      <c r="B7887" s="12">
        <f t="shared" si="1255"/>
        <v>41176</v>
      </c>
      <c r="C7887" s="13">
        <v>2012.0</v>
      </c>
      <c r="D7887" s="11" t="s">
        <v>23</v>
      </c>
      <c r="E7887" s="11">
        <v>34.0</v>
      </c>
      <c r="F7887" s="14">
        <v>130.9</v>
      </c>
      <c r="G7887" s="15">
        <v>0.0504939367051166</v>
      </c>
      <c r="H7887" s="11" t="s">
        <v>45</v>
      </c>
      <c r="I7887" s="16">
        <v>43.792</v>
      </c>
      <c r="J7887" s="11" t="s">
        <v>120</v>
      </c>
      <c r="K7887" s="11" t="s">
        <v>35</v>
      </c>
      <c r="L7887" s="11" t="s">
        <v>41</v>
      </c>
      <c r="M7887" s="11" t="s">
        <v>49</v>
      </c>
      <c r="N7887" s="11" t="s">
        <v>156</v>
      </c>
      <c r="O7887" s="11" t="s">
        <v>767</v>
      </c>
      <c r="P7887" s="11" t="s">
        <v>87</v>
      </c>
      <c r="Q7887" s="20">
        <v>41179.0</v>
      </c>
      <c r="R7887" s="17">
        <f t="shared" si="2"/>
        <v>226.9395452</v>
      </c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>
        <f t="shared" si="8"/>
        <v>3</v>
      </c>
      <c r="AF7887" s="19">
        <f t="shared" si="13"/>
        <v>2</v>
      </c>
      <c r="AG7887" s="9"/>
      <c r="AH7887" s="9"/>
      <c r="AI7887" s="9"/>
    </row>
    <row r="7888" ht="15.0" customHeight="1">
      <c r="A7888" s="11">
        <v>7887.0</v>
      </c>
      <c r="B7888" s="12">
        <f t="shared" si="1255"/>
        <v>41176</v>
      </c>
      <c r="C7888" s="13">
        <v>2012.0</v>
      </c>
      <c r="D7888" s="11" t="s">
        <v>44</v>
      </c>
      <c r="E7888" s="11">
        <v>41.0</v>
      </c>
      <c r="F7888" s="14">
        <v>2.8</v>
      </c>
      <c r="G7888" s="15">
        <v>0.11682200152788388</v>
      </c>
      <c r="H7888" s="11" t="s">
        <v>33</v>
      </c>
      <c r="I7888" s="16">
        <v>0.808</v>
      </c>
      <c r="J7888" s="11" t="s">
        <v>2204</v>
      </c>
      <c r="K7888" s="11" t="s">
        <v>61</v>
      </c>
      <c r="L7888" s="11" t="s">
        <v>27</v>
      </c>
      <c r="M7888" s="11" t="s">
        <v>28</v>
      </c>
      <c r="N7888" s="11" t="s">
        <v>62</v>
      </c>
      <c r="O7888" s="11" t="s">
        <v>568</v>
      </c>
      <c r="P7888" s="11" t="s">
        <v>58</v>
      </c>
      <c r="Q7888" s="20">
        <v>41179.0</v>
      </c>
      <c r="R7888" s="17">
        <f t="shared" si="2"/>
        <v>13.50555795</v>
      </c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>
        <f t="shared" si="8"/>
        <v>1</v>
      </c>
      <c r="AF7888" s="19">
        <f t="shared" si="13"/>
        <v>4</v>
      </c>
      <c r="AG7888" s="9"/>
      <c r="AH7888" s="9"/>
      <c r="AI7888" s="9"/>
    </row>
    <row r="7889" ht="15.0" customHeight="1">
      <c r="A7889" s="11">
        <v>7888.0</v>
      </c>
      <c r="B7889" s="12">
        <f t="shared" si="1255"/>
        <v>41176</v>
      </c>
      <c r="C7889" s="13">
        <v>2012.0</v>
      </c>
      <c r="D7889" s="11" t="s">
        <v>44</v>
      </c>
      <c r="E7889" s="11">
        <v>33.0</v>
      </c>
      <c r="F7889" s="14">
        <v>125.9</v>
      </c>
      <c r="G7889" s="15">
        <v>0.020708251958869578</v>
      </c>
      <c r="H7889" s="11" t="s">
        <v>33</v>
      </c>
      <c r="I7889" s="16">
        <v>7.192</v>
      </c>
      <c r="J7889" s="11" t="s">
        <v>2545</v>
      </c>
      <c r="K7889" s="11" t="s">
        <v>65</v>
      </c>
      <c r="L7889" s="11" t="s">
        <v>27</v>
      </c>
      <c r="M7889" s="11" t="s">
        <v>66</v>
      </c>
      <c r="N7889" s="11" t="s">
        <v>80</v>
      </c>
      <c r="O7889" s="11" t="s">
        <v>2242</v>
      </c>
      <c r="P7889" s="11" t="s">
        <v>38</v>
      </c>
      <c r="Q7889" s="20">
        <v>41179.0</v>
      </c>
      <c r="R7889" s="17">
        <f t="shared" si="2"/>
        <v>86.18550816</v>
      </c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>
        <f t="shared" si="8"/>
        <v>1</v>
      </c>
      <c r="AF7889" s="19">
        <f t="shared" si="13"/>
        <v>5</v>
      </c>
      <c r="AG7889" s="9"/>
      <c r="AH7889" s="9"/>
      <c r="AI7889" s="9"/>
    </row>
    <row r="7890" ht="15.0" customHeight="1">
      <c r="A7890" s="11">
        <v>7889.0</v>
      </c>
      <c r="B7890" s="12">
        <f t="shared" ref="B7890:B7894" si="1256">DATE(2012,12,31)-97</f>
        <v>41177</v>
      </c>
      <c r="C7890" s="13">
        <v>2012.0</v>
      </c>
      <c r="D7890" s="11" t="s">
        <v>23</v>
      </c>
      <c r="E7890" s="11">
        <v>26.0</v>
      </c>
      <c r="F7890" s="14">
        <v>14.4</v>
      </c>
      <c r="G7890" s="15">
        <v>0.0906372783900334</v>
      </c>
      <c r="H7890" s="11" t="s">
        <v>33</v>
      </c>
      <c r="I7890" s="16">
        <v>5.168</v>
      </c>
      <c r="J7890" s="11" t="s">
        <v>1439</v>
      </c>
      <c r="K7890" s="11" t="s">
        <v>61</v>
      </c>
      <c r="L7890" s="11" t="s">
        <v>41</v>
      </c>
      <c r="M7890" s="11" t="s">
        <v>28</v>
      </c>
      <c r="N7890" s="11" t="s">
        <v>42</v>
      </c>
      <c r="O7890" s="11" t="s">
        <v>547</v>
      </c>
      <c r="P7890" s="11" t="s">
        <v>38</v>
      </c>
      <c r="Q7890" s="20">
        <v>41180.0</v>
      </c>
      <c r="R7890" s="17">
        <f t="shared" si="2"/>
        <v>34.40301048</v>
      </c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>
        <f t="shared" si="8"/>
        <v>3</v>
      </c>
      <c r="AF7890" s="19">
        <f t="shared" si="13"/>
        <v>4</v>
      </c>
      <c r="AG7890" s="9"/>
      <c r="AH7890" s="9"/>
      <c r="AI7890" s="9"/>
    </row>
    <row r="7891" ht="15.0" customHeight="1">
      <c r="A7891" s="11">
        <v>7890.0</v>
      </c>
      <c r="B7891" s="12">
        <f t="shared" si="1256"/>
        <v>41177</v>
      </c>
      <c r="C7891" s="13">
        <v>2012.0</v>
      </c>
      <c r="D7891" s="11" t="s">
        <v>23</v>
      </c>
      <c r="E7891" s="11">
        <v>35.0</v>
      </c>
      <c r="F7891" s="14">
        <v>6.3</v>
      </c>
      <c r="G7891" s="15">
        <v>0.02943760984182772</v>
      </c>
      <c r="H7891" s="11" t="s">
        <v>33</v>
      </c>
      <c r="I7891" s="16">
        <v>0.4</v>
      </c>
      <c r="J7891" s="11" t="s">
        <v>1390</v>
      </c>
      <c r="K7891" s="11" t="s">
        <v>26</v>
      </c>
      <c r="L7891" s="11" t="s">
        <v>48</v>
      </c>
      <c r="M7891" s="11" t="s">
        <v>28</v>
      </c>
      <c r="N7891" s="11" t="s">
        <v>188</v>
      </c>
      <c r="O7891" s="11" t="s">
        <v>1143</v>
      </c>
      <c r="P7891" s="11" t="s">
        <v>38</v>
      </c>
      <c r="Q7891" s="20">
        <v>41180.0</v>
      </c>
      <c r="R7891" s="17">
        <f t="shared" si="2"/>
        <v>6.502768014</v>
      </c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>
        <f t="shared" si="8"/>
        <v>4</v>
      </c>
      <c r="AF7891" s="19">
        <f t="shared" si="13"/>
        <v>1</v>
      </c>
      <c r="AG7891" s="9"/>
      <c r="AH7891" s="9"/>
      <c r="AI7891" s="9"/>
    </row>
    <row r="7892" ht="15.0" customHeight="1">
      <c r="A7892" s="11">
        <v>7891.0</v>
      </c>
      <c r="B7892" s="12">
        <f t="shared" si="1256"/>
        <v>41177</v>
      </c>
      <c r="C7892" s="13">
        <v>2012.0</v>
      </c>
      <c r="D7892" s="11" t="s">
        <v>23</v>
      </c>
      <c r="E7892" s="11">
        <v>36.0</v>
      </c>
      <c r="F7892" s="14">
        <v>3.6</v>
      </c>
      <c r="G7892" s="15">
        <v>0.034175334323922696</v>
      </c>
      <c r="H7892" s="11" t="s">
        <v>33</v>
      </c>
      <c r="I7892" s="16">
        <v>0.4</v>
      </c>
      <c r="J7892" s="11" t="s">
        <v>1390</v>
      </c>
      <c r="K7892" s="11" t="s">
        <v>26</v>
      </c>
      <c r="L7892" s="11" t="s">
        <v>48</v>
      </c>
      <c r="M7892" s="11" t="s">
        <v>28</v>
      </c>
      <c r="N7892" s="11" t="s">
        <v>188</v>
      </c>
      <c r="O7892" s="11" t="s">
        <v>787</v>
      </c>
      <c r="P7892" s="11" t="s">
        <v>38</v>
      </c>
      <c r="Q7892" s="20">
        <v>41180.0</v>
      </c>
      <c r="R7892" s="17">
        <f t="shared" si="2"/>
        <v>4.442793462</v>
      </c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>
        <f t="shared" si="8"/>
        <v>4</v>
      </c>
      <c r="AF7892" s="19">
        <f t="shared" si="13"/>
        <v>1</v>
      </c>
      <c r="AG7892" s="9"/>
      <c r="AH7892" s="9"/>
      <c r="AI7892" s="9"/>
    </row>
    <row r="7893" ht="15.0" customHeight="1">
      <c r="A7893" s="11">
        <v>7892.0</v>
      </c>
      <c r="B7893" s="12">
        <f t="shared" si="1256"/>
        <v>41177</v>
      </c>
      <c r="C7893" s="13">
        <v>2012.0</v>
      </c>
      <c r="D7893" s="11" t="s">
        <v>23</v>
      </c>
      <c r="E7893" s="11">
        <v>19.0</v>
      </c>
      <c r="F7893" s="14">
        <v>5.0</v>
      </c>
      <c r="G7893" s="15">
        <v>0.06353846153846157</v>
      </c>
      <c r="H7893" s="11" t="s">
        <v>33</v>
      </c>
      <c r="I7893" s="16">
        <v>2.3920000000000003</v>
      </c>
      <c r="J7893" s="11" t="s">
        <v>1390</v>
      </c>
      <c r="K7893" s="11" t="s">
        <v>26</v>
      </c>
      <c r="L7893" s="11" t="s">
        <v>48</v>
      </c>
      <c r="M7893" s="11" t="s">
        <v>28</v>
      </c>
      <c r="N7893" s="11" t="s">
        <v>42</v>
      </c>
      <c r="O7893" s="11" t="s">
        <v>2608</v>
      </c>
      <c r="P7893" s="11" t="s">
        <v>38</v>
      </c>
      <c r="Q7893" s="20">
        <v>41181.0</v>
      </c>
      <c r="R7893" s="17">
        <f t="shared" si="2"/>
        <v>6.188137846</v>
      </c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>
        <f t="shared" si="8"/>
        <v>4</v>
      </c>
      <c r="AF7893" s="19">
        <f t="shared" si="13"/>
        <v>1</v>
      </c>
      <c r="AG7893" s="9"/>
      <c r="AH7893" s="9"/>
      <c r="AI7893" s="9"/>
    </row>
    <row r="7894" ht="15.0" customHeight="1">
      <c r="A7894" s="11">
        <v>7893.0</v>
      </c>
      <c r="B7894" s="12">
        <f t="shared" si="1256"/>
        <v>41177</v>
      </c>
      <c r="C7894" s="13">
        <v>2012.0</v>
      </c>
      <c r="D7894" s="11" t="s">
        <v>23</v>
      </c>
      <c r="E7894" s="11">
        <v>36.0</v>
      </c>
      <c r="F7894" s="14">
        <v>21.3</v>
      </c>
      <c r="G7894" s="15">
        <v>0.02774519479678999</v>
      </c>
      <c r="H7894" s="11" t="s">
        <v>33</v>
      </c>
      <c r="I7894" s="16">
        <v>2.3920000000000003</v>
      </c>
      <c r="J7894" s="11" t="s">
        <v>1682</v>
      </c>
      <c r="K7894" s="11" t="s">
        <v>47</v>
      </c>
      <c r="L7894" s="11" t="s">
        <v>48</v>
      </c>
      <c r="M7894" s="11" t="s">
        <v>28</v>
      </c>
      <c r="N7894" s="11" t="s">
        <v>42</v>
      </c>
      <c r="O7894" s="11" t="s">
        <v>2489</v>
      </c>
      <c r="P7894" s="11" t="s">
        <v>38</v>
      </c>
      <c r="Q7894" s="20">
        <v>41182.0</v>
      </c>
      <c r="R7894" s="17">
        <f t="shared" si="2"/>
        <v>21.34138188</v>
      </c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>
        <f t="shared" si="8"/>
        <v>4</v>
      </c>
      <c r="AF7894" s="19">
        <f t="shared" si="13"/>
        <v>3</v>
      </c>
      <c r="AG7894" s="9"/>
      <c r="AH7894" s="9"/>
      <c r="AI7894" s="9"/>
    </row>
    <row r="7895" ht="15.0" customHeight="1">
      <c r="A7895" s="11">
        <v>7894.0</v>
      </c>
      <c r="B7895" s="12">
        <f t="shared" ref="B7895:B7897" si="1257">DATE(2012,12,31)-95</f>
        <v>41179</v>
      </c>
      <c r="C7895" s="13">
        <v>2012.0</v>
      </c>
      <c r="D7895" s="11" t="s">
        <v>44</v>
      </c>
      <c r="E7895" s="11">
        <v>5.0</v>
      </c>
      <c r="F7895" s="14">
        <v>5.7</v>
      </c>
      <c r="G7895" s="15">
        <v>0.09699999999999992</v>
      </c>
      <c r="H7895" s="11" t="s">
        <v>33</v>
      </c>
      <c r="I7895" s="16">
        <v>4.008</v>
      </c>
      <c r="J7895" s="11" t="s">
        <v>1338</v>
      </c>
      <c r="K7895" s="11" t="s">
        <v>61</v>
      </c>
      <c r="L7895" s="11" t="s">
        <v>36</v>
      </c>
      <c r="M7895" s="11" t="s">
        <v>28</v>
      </c>
      <c r="N7895" s="11" t="s">
        <v>42</v>
      </c>
      <c r="O7895" s="11" t="s">
        <v>1547</v>
      </c>
      <c r="P7895" s="11" t="s">
        <v>38</v>
      </c>
      <c r="Q7895" s="20">
        <v>41182.0</v>
      </c>
      <c r="R7895" s="17">
        <f t="shared" si="2"/>
        <v>3.153276</v>
      </c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>
        <f t="shared" si="8"/>
        <v>2</v>
      </c>
      <c r="AF7895" s="19">
        <f t="shared" si="13"/>
        <v>4</v>
      </c>
      <c r="AG7895" s="9"/>
      <c r="AH7895" s="9"/>
      <c r="AI7895" s="9"/>
    </row>
    <row r="7896" ht="15.0" customHeight="1">
      <c r="A7896" s="11">
        <v>7895.0</v>
      </c>
      <c r="B7896" s="12">
        <f t="shared" si="1257"/>
        <v>41179</v>
      </c>
      <c r="C7896" s="13">
        <v>2012.0</v>
      </c>
      <c r="D7896" s="11" t="s">
        <v>44</v>
      </c>
      <c r="E7896" s="11">
        <v>37.0</v>
      </c>
      <c r="F7896" s="14">
        <v>43.9</v>
      </c>
      <c r="G7896" s="15">
        <v>0.01191613491340015</v>
      </c>
      <c r="H7896" s="11" t="s">
        <v>24</v>
      </c>
      <c r="I7896" s="16">
        <v>1.592</v>
      </c>
      <c r="J7896" s="11" t="s">
        <v>1338</v>
      </c>
      <c r="K7896" s="11" t="s">
        <v>61</v>
      </c>
      <c r="L7896" s="11" t="s">
        <v>36</v>
      </c>
      <c r="M7896" s="11" t="s">
        <v>66</v>
      </c>
      <c r="N7896" s="11" t="s">
        <v>67</v>
      </c>
      <c r="O7896" s="11" t="s">
        <v>1631</v>
      </c>
      <c r="P7896" s="11" t="s">
        <v>99</v>
      </c>
      <c r="Q7896" s="20">
        <v>41182.0</v>
      </c>
      <c r="R7896" s="17">
        <f t="shared" si="2"/>
        <v>19.37434843</v>
      </c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>
        <f t="shared" si="8"/>
        <v>2</v>
      </c>
      <c r="AF7896" s="19">
        <f t="shared" si="13"/>
        <v>4</v>
      </c>
      <c r="AG7896" s="9"/>
      <c r="AH7896" s="9"/>
      <c r="AI7896" s="9"/>
    </row>
    <row r="7897" ht="15.0" customHeight="1">
      <c r="A7897" s="11">
        <v>7896.0</v>
      </c>
      <c r="B7897" s="12">
        <f t="shared" si="1257"/>
        <v>41179</v>
      </c>
      <c r="C7897" s="13">
        <v>2012.0</v>
      </c>
      <c r="D7897" s="11" t="s">
        <v>44</v>
      </c>
      <c r="E7897" s="11">
        <v>27.0</v>
      </c>
      <c r="F7897" s="14">
        <v>95.4</v>
      </c>
      <c r="G7897" s="15">
        <v>0.08440705524725171</v>
      </c>
      <c r="H7897" s="11" t="s">
        <v>24</v>
      </c>
      <c r="I7897" s="16">
        <v>14.504</v>
      </c>
      <c r="J7897" s="11" t="s">
        <v>1338</v>
      </c>
      <c r="K7897" s="11" t="s">
        <v>61</v>
      </c>
      <c r="L7897" s="11" t="s">
        <v>36</v>
      </c>
      <c r="M7897" s="11" t="s">
        <v>49</v>
      </c>
      <c r="N7897" s="11" t="s">
        <v>73</v>
      </c>
      <c r="O7897" s="11" t="s">
        <v>2389</v>
      </c>
      <c r="P7897" s="11" t="s">
        <v>31</v>
      </c>
      <c r="Q7897" s="20">
        <v>41182.0</v>
      </c>
      <c r="R7897" s="17">
        <f t="shared" si="2"/>
        <v>218.6399328</v>
      </c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>
        <f t="shared" si="8"/>
        <v>2</v>
      </c>
      <c r="AF7897" s="19">
        <f t="shared" si="13"/>
        <v>4</v>
      </c>
      <c r="AG7897" s="9"/>
      <c r="AH7897" s="9"/>
      <c r="AI7897" s="9"/>
    </row>
    <row r="7898" ht="15.0" customHeight="1">
      <c r="A7898" s="11">
        <v>7897.0</v>
      </c>
      <c r="B7898" s="12">
        <f t="shared" ref="B7898:B7900" si="1258">DATE(2012,12,31)-94</f>
        <v>41180</v>
      </c>
      <c r="C7898" s="13">
        <v>2012.0</v>
      </c>
      <c r="D7898" s="11" t="s">
        <v>102</v>
      </c>
      <c r="E7898" s="11">
        <v>29.0</v>
      </c>
      <c r="F7898" s="14">
        <v>4.7</v>
      </c>
      <c r="G7898" s="15">
        <v>0.022428571428571333</v>
      </c>
      <c r="H7898" s="11" t="s">
        <v>33</v>
      </c>
      <c r="I7898" s="16">
        <v>0.5599999999999999</v>
      </c>
      <c r="J7898" s="11" t="s">
        <v>2280</v>
      </c>
      <c r="K7898" s="11" t="s">
        <v>47</v>
      </c>
      <c r="L7898" s="11" t="s">
        <v>27</v>
      </c>
      <c r="M7898" s="11" t="s">
        <v>28</v>
      </c>
      <c r="N7898" s="11" t="s">
        <v>216</v>
      </c>
      <c r="O7898" s="11" t="s">
        <v>2353</v>
      </c>
      <c r="P7898" s="11" t="s">
        <v>58</v>
      </c>
      <c r="Q7898" s="20">
        <v>41182.0</v>
      </c>
      <c r="R7898" s="17">
        <f t="shared" si="2"/>
        <v>3.069574286</v>
      </c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>
        <f t="shared" si="8"/>
        <v>1</v>
      </c>
      <c r="AF7898" s="19">
        <f t="shared" si="13"/>
        <v>3</v>
      </c>
      <c r="AG7898" s="9"/>
      <c r="AH7898" s="9"/>
      <c r="AI7898" s="9"/>
    </row>
    <row r="7899" ht="15.0" customHeight="1">
      <c r="A7899" s="11">
        <v>7898.0</v>
      </c>
      <c r="B7899" s="12">
        <f t="shared" si="1258"/>
        <v>41180</v>
      </c>
      <c r="C7899" s="13">
        <v>2012.0</v>
      </c>
      <c r="D7899" s="11" t="s">
        <v>32</v>
      </c>
      <c r="E7899" s="11">
        <v>27.0</v>
      </c>
      <c r="F7899" s="14">
        <v>70.9</v>
      </c>
      <c r="G7899" s="15">
        <v>0.08607554296506127</v>
      </c>
      <c r="H7899" s="11" t="s">
        <v>45</v>
      </c>
      <c r="I7899" s="16">
        <v>21.392</v>
      </c>
      <c r="J7899" s="11" t="s">
        <v>884</v>
      </c>
      <c r="K7899" s="11" t="s">
        <v>35</v>
      </c>
      <c r="L7899" s="11" t="s">
        <v>48</v>
      </c>
      <c r="M7899" s="11" t="s">
        <v>49</v>
      </c>
      <c r="N7899" s="11" t="s">
        <v>156</v>
      </c>
      <c r="O7899" s="11" t="s">
        <v>1909</v>
      </c>
      <c r="P7899" s="11" t="s">
        <v>87</v>
      </c>
      <c r="Q7899" s="20">
        <v>41183.0</v>
      </c>
      <c r="R7899" s="17">
        <f t="shared" si="2"/>
        <v>166.6157399</v>
      </c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>
        <f t="shared" si="8"/>
        <v>4</v>
      </c>
      <c r="AF7899" s="19">
        <f t="shared" si="13"/>
        <v>2</v>
      </c>
      <c r="AG7899" s="9"/>
      <c r="AH7899" s="9"/>
      <c r="AI7899" s="9"/>
    </row>
    <row r="7900" ht="15.0" customHeight="1">
      <c r="A7900" s="11">
        <v>7899.0</v>
      </c>
      <c r="B7900" s="12">
        <f t="shared" si="1258"/>
        <v>41180</v>
      </c>
      <c r="C7900" s="13">
        <v>2012.0</v>
      </c>
      <c r="D7900" s="11" t="s">
        <v>32</v>
      </c>
      <c r="E7900" s="11">
        <v>15.0</v>
      </c>
      <c r="F7900" s="14">
        <v>48.0</v>
      </c>
      <c r="G7900" s="15">
        <v>0.09344991256557586</v>
      </c>
      <c r="H7900" s="11" t="s">
        <v>33</v>
      </c>
      <c r="I7900" s="16">
        <v>5.784000000000001</v>
      </c>
      <c r="J7900" s="11" t="s">
        <v>884</v>
      </c>
      <c r="K7900" s="11" t="s">
        <v>35</v>
      </c>
      <c r="L7900" s="11" t="s">
        <v>48</v>
      </c>
      <c r="M7900" s="11" t="s">
        <v>28</v>
      </c>
      <c r="N7900" s="11" t="s">
        <v>56</v>
      </c>
      <c r="O7900" s="11" t="s">
        <v>2248</v>
      </c>
      <c r="P7900" s="11" t="s">
        <v>38</v>
      </c>
      <c r="Q7900" s="20">
        <v>41183.0</v>
      </c>
      <c r="R7900" s="17">
        <f t="shared" si="2"/>
        <v>67.82445134</v>
      </c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>
        <f t="shared" si="8"/>
        <v>4</v>
      </c>
      <c r="AF7900" s="19">
        <f t="shared" si="13"/>
        <v>2</v>
      </c>
      <c r="AG7900" s="9"/>
      <c r="AH7900" s="9"/>
      <c r="AI7900" s="9"/>
    </row>
    <row r="7901" ht="15.0" customHeight="1">
      <c r="A7901" s="11">
        <v>7900.0</v>
      </c>
      <c r="B7901" s="12">
        <f t="shared" ref="B7901:B7906" si="1259">DATE(2012,12,31)-93</f>
        <v>41181</v>
      </c>
      <c r="C7901" s="13">
        <v>2012.0</v>
      </c>
      <c r="D7901" s="11" t="s">
        <v>39</v>
      </c>
      <c r="E7901" s="11">
        <v>4.0</v>
      </c>
      <c r="F7901" s="14">
        <v>18.9</v>
      </c>
      <c r="G7901" s="15">
        <v>0.044694610778443104</v>
      </c>
      <c r="H7901" s="11" t="s">
        <v>33</v>
      </c>
      <c r="I7901" s="16">
        <v>4.168</v>
      </c>
      <c r="J7901" s="11" t="s">
        <v>1581</v>
      </c>
      <c r="K7901" s="11" t="s">
        <v>61</v>
      </c>
      <c r="L7901" s="11" t="s">
        <v>48</v>
      </c>
      <c r="M7901" s="11" t="s">
        <v>28</v>
      </c>
      <c r="N7901" s="11" t="s">
        <v>56</v>
      </c>
      <c r="O7901" s="11" t="s">
        <v>2397</v>
      </c>
      <c r="P7901" s="11" t="s">
        <v>38</v>
      </c>
      <c r="Q7901" s="20">
        <v>41183.0</v>
      </c>
      <c r="R7901" s="17">
        <f t="shared" si="2"/>
        <v>3.565199713</v>
      </c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>
        <f t="shared" si="8"/>
        <v>4</v>
      </c>
      <c r="AF7901" s="19">
        <f t="shared" si="13"/>
        <v>4</v>
      </c>
      <c r="AG7901" s="9"/>
      <c r="AH7901" s="9"/>
      <c r="AI7901" s="9"/>
    </row>
    <row r="7902" ht="15.0" customHeight="1">
      <c r="A7902" s="11">
        <v>7901.0</v>
      </c>
      <c r="B7902" s="12">
        <f t="shared" si="1259"/>
        <v>41181</v>
      </c>
      <c r="C7902" s="13">
        <v>2012.0</v>
      </c>
      <c r="D7902" s="11" t="s">
        <v>39</v>
      </c>
      <c r="E7902" s="11">
        <v>36.0</v>
      </c>
      <c r="F7902" s="14">
        <v>85.9</v>
      </c>
      <c r="G7902" s="15">
        <v>0.03019532842138266</v>
      </c>
      <c r="H7902" s="11" t="s">
        <v>33</v>
      </c>
      <c r="I7902" s="16">
        <v>0.792</v>
      </c>
      <c r="J7902" s="11" t="s">
        <v>1581</v>
      </c>
      <c r="K7902" s="11" t="s">
        <v>61</v>
      </c>
      <c r="L7902" s="11" t="s">
        <v>48</v>
      </c>
      <c r="M7902" s="11" t="s">
        <v>66</v>
      </c>
      <c r="N7902" s="11" t="s">
        <v>80</v>
      </c>
      <c r="O7902" s="11" t="s">
        <v>1055</v>
      </c>
      <c r="P7902" s="11" t="s">
        <v>58</v>
      </c>
      <c r="Q7902" s="20">
        <v>41183.0</v>
      </c>
      <c r="R7902" s="17">
        <f t="shared" si="2"/>
        <v>93.39994831</v>
      </c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>
        <f t="shared" si="8"/>
        <v>4</v>
      </c>
      <c r="AF7902" s="19">
        <f t="shared" si="13"/>
        <v>4</v>
      </c>
      <c r="AG7902" s="9"/>
      <c r="AH7902" s="9"/>
      <c r="AI7902" s="9"/>
    </row>
    <row r="7903" ht="15.0" customHeight="1">
      <c r="A7903" s="11">
        <v>7902.0</v>
      </c>
      <c r="B7903" s="12">
        <f t="shared" si="1259"/>
        <v>41181</v>
      </c>
      <c r="C7903" s="13">
        <v>2012.0</v>
      </c>
      <c r="D7903" s="11" t="s">
        <v>102</v>
      </c>
      <c r="E7903" s="11">
        <v>28.0</v>
      </c>
      <c r="F7903" s="14">
        <v>40.9</v>
      </c>
      <c r="G7903" s="15">
        <v>0.0596503839241953</v>
      </c>
      <c r="H7903" s="11" t="s">
        <v>33</v>
      </c>
      <c r="I7903" s="16">
        <v>5.976</v>
      </c>
      <c r="J7903" s="11" t="s">
        <v>1586</v>
      </c>
      <c r="K7903" s="11" t="s">
        <v>65</v>
      </c>
      <c r="L7903" s="11" t="s">
        <v>27</v>
      </c>
      <c r="M7903" s="11" t="s">
        <v>28</v>
      </c>
      <c r="N7903" s="11" t="s">
        <v>42</v>
      </c>
      <c r="O7903" s="11" t="s">
        <v>750</v>
      </c>
      <c r="P7903" s="11" t="s">
        <v>38</v>
      </c>
      <c r="Q7903" s="20">
        <v>41183.0</v>
      </c>
      <c r="R7903" s="17">
        <f t="shared" si="2"/>
        <v>68.66809036</v>
      </c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>
        <f t="shared" si="8"/>
        <v>1</v>
      </c>
      <c r="AF7903" s="19">
        <f t="shared" si="13"/>
        <v>5</v>
      </c>
      <c r="AG7903" s="9"/>
      <c r="AH7903" s="9"/>
      <c r="AI7903" s="9"/>
    </row>
    <row r="7904" ht="15.0" customHeight="1">
      <c r="A7904" s="11">
        <v>7903.0</v>
      </c>
      <c r="B7904" s="12">
        <f t="shared" si="1259"/>
        <v>41181</v>
      </c>
      <c r="C7904" s="13">
        <v>2012.0</v>
      </c>
      <c r="D7904" s="11" t="s">
        <v>44</v>
      </c>
      <c r="E7904" s="11">
        <v>50.0</v>
      </c>
      <c r="F7904" s="14">
        <v>9.9</v>
      </c>
      <c r="G7904" s="15">
        <v>0.07725927279371449</v>
      </c>
      <c r="H7904" s="11" t="s">
        <v>33</v>
      </c>
      <c r="I7904" s="16">
        <v>10.016</v>
      </c>
      <c r="J7904" s="11" t="s">
        <v>603</v>
      </c>
      <c r="K7904" s="11" t="s">
        <v>61</v>
      </c>
      <c r="L7904" s="11" t="s">
        <v>48</v>
      </c>
      <c r="M7904" s="11" t="s">
        <v>49</v>
      </c>
      <c r="N7904" s="11" t="s">
        <v>73</v>
      </c>
      <c r="O7904" s="11" t="s">
        <v>575</v>
      </c>
      <c r="P7904" s="11" t="s">
        <v>38</v>
      </c>
      <c r="Q7904" s="20">
        <v>41184.0</v>
      </c>
      <c r="R7904" s="17">
        <f t="shared" si="2"/>
        <v>39.01716891</v>
      </c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>
        <f t="shared" si="8"/>
        <v>4</v>
      </c>
      <c r="AF7904" s="19">
        <f t="shared" si="13"/>
        <v>4</v>
      </c>
      <c r="AG7904" s="9"/>
      <c r="AH7904" s="9"/>
      <c r="AI7904" s="9"/>
    </row>
    <row r="7905" ht="15.0" customHeight="1">
      <c r="A7905" s="11">
        <v>7904.0</v>
      </c>
      <c r="B7905" s="12">
        <f t="shared" si="1259"/>
        <v>41181</v>
      </c>
      <c r="C7905" s="13">
        <v>2012.0</v>
      </c>
      <c r="D7905" s="11" t="s">
        <v>44</v>
      </c>
      <c r="E7905" s="11">
        <v>41.0</v>
      </c>
      <c r="F7905" s="14">
        <v>6.4</v>
      </c>
      <c r="G7905" s="15">
        <v>0.10792203501816965</v>
      </c>
      <c r="H7905" s="11" t="s">
        <v>33</v>
      </c>
      <c r="I7905" s="16">
        <v>7.632</v>
      </c>
      <c r="J7905" s="11" t="s">
        <v>603</v>
      </c>
      <c r="K7905" s="11" t="s">
        <v>61</v>
      </c>
      <c r="L7905" s="11" t="s">
        <v>48</v>
      </c>
      <c r="M7905" s="11" t="s">
        <v>28</v>
      </c>
      <c r="N7905" s="11" t="s">
        <v>56</v>
      </c>
      <c r="O7905" s="11" t="s">
        <v>1474</v>
      </c>
      <c r="P7905" s="11" t="s">
        <v>38</v>
      </c>
      <c r="Q7905" s="20">
        <v>41184.0</v>
      </c>
      <c r="R7905" s="17">
        <f t="shared" si="2"/>
        <v>29.14240296</v>
      </c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>
        <f t="shared" si="8"/>
        <v>4</v>
      </c>
      <c r="AF7905" s="19">
        <f t="shared" si="13"/>
        <v>4</v>
      </c>
      <c r="AG7905" s="9"/>
      <c r="AH7905" s="9"/>
      <c r="AI7905" s="9"/>
    </row>
    <row r="7906" ht="15.0" customHeight="1">
      <c r="A7906" s="11">
        <v>7905.0</v>
      </c>
      <c r="B7906" s="12">
        <f t="shared" si="1259"/>
        <v>41181</v>
      </c>
      <c r="C7906" s="13">
        <v>2012.0</v>
      </c>
      <c r="D7906" s="11" t="s">
        <v>44</v>
      </c>
      <c r="E7906" s="11">
        <v>8.0</v>
      </c>
      <c r="F7906" s="14">
        <v>6.4</v>
      </c>
      <c r="G7906" s="15">
        <v>0.04729776247848533</v>
      </c>
      <c r="H7906" s="11" t="s">
        <v>33</v>
      </c>
      <c r="I7906" s="16">
        <v>4.152</v>
      </c>
      <c r="J7906" s="11" t="s">
        <v>603</v>
      </c>
      <c r="K7906" s="11" t="s">
        <v>61</v>
      </c>
      <c r="L7906" s="11" t="s">
        <v>48</v>
      </c>
      <c r="M7906" s="11" t="s">
        <v>28</v>
      </c>
      <c r="N7906" s="11" t="s">
        <v>56</v>
      </c>
      <c r="O7906" s="11" t="s">
        <v>1687</v>
      </c>
      <c r="P7906" s="11" t="s">
        <v>38</v>
      </c>
      <c r="Q7906" s="20">
        <v>41184.0</v>
      </c>
      <c r="R7906" s="17">
        <f t="shared" si="2"/>
        <v>2.618025749</v>
      </c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>
        <f t="shared" si="8"/>
        <v>4</v>
      </c>
      <c r="AF7906" s="19">
        <f t="shared" si="13"/>
        <v>4</v>
      </c>
      <c r="AG7906" s="9"/>
      <c r="AH7906" s="9"/>
      <c r="AI7906" s="9"/>
    </row>
    <row r="7907" ht="15.0" customHeight="1">
      <c r="A7907" s="11">
        <v>7906.0</v>
      </c>
      <c r="B7907" s="12">
        <f t="shared" ref="B7907:B7913" si="1260">DATE(2012,12,31)-92</f>
        <v>41182</v>
      </c>
      <c r="C7907" s="13">
        <v>2012.0</v>
      </c>
      <c r="D7907" s="11" t="s">
        <v>44</v>
      </c>
      <c r="E7907" s="11">
        <v>31.0</v>
      </c>
      <c r="F7907" s="14">
        <v>29.7</v>
      </c>
      <c r="G7907" s="15">
        <v>0.026054287829833114</v>
      </c>
      <c r="H7907" s="11" t="s">
        <v>33</v>
      </c>
      <c r="I7907" s="16">
        <v>5.312</v>
      </c>
      <c r="J7907" s="11" t="s">
        <v>2163</v>
      </c>
      <c r="K7907" s="11" t="s">
        <v>65</v>
      </c>
      <c r="L7907" s="11" t="s">
        <v>41</v>
      </c>
      <c r="M7907" s="11" t="s">
        <v>28</v>
      </c>
      <c r="N7907" s="11" t="s">
        <v>29</v>
      </c>
      <c r="O7907" s="11" t="s">
        <v>1186</v>
      </c>
      <c r="P7907" s="11" t="s">
        <v>38</v>
      </c>
      <c r="Q7907" s="20">
        <v>41184.0</v>
      </c>
      <c r="R7907" s="17">
        <f t="shared" si="2"/>
        <v>24.12658318</v>
      </c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>
        <f t="shared" si="8"/>
        <v>3</v>
      </c>
      <c r="AF7907" s="19">
        <f t="shared" si="13"/>
        <v>5</v>
      </c>
      <c r="AG7907" s="9"/>
      <c r="AH7907" s="9"/>
      <c r="AI7907" s="9"/>
    </row>
    <row r="7908" ht="15.0" customHeight="1">
      <c r="A7908" s="11">
        <v>7907.0</v>
      </c>
      <c r="B7908" s="12">
        <f t="shared" si="1260"/>
        <v>41182</v>
      </c>
      <c r="C7908" s="13">
        <v>2012.0</v>
      </c>
      <c r="D7908" s="11" t="s">
        <v>44</v>
      </c>
      <c r="E7908" s="11">
        <v>21.0</v>
      </c>
      <c r="F7908" s="14">
        <v>7.2</v>
      </c>
      <c r="G7908" s="15">
        <v>0.09863267670915396</v>
      </c>
      <c r="H7908" s="11" t="s">
        <v>33</v>
      </c>
      <c r="I7908" s="16">
        <v>4.376</v>
      </c>
      <c r="J7908" s="11" t="s">
        <v>1903</v>
      </c>
      <c r="K7908" s="11" t="s">
        <v>65</v>
      </c>
      <c r="L7908" s="11" t="s">
        <v>48</v>
      </c>
      <c r="M7908" s="11" t="s">
        <v>28</v>
      </c>
      <c r="N7908" s="11" t="s">
        <v>56</v>
      </c>
      <c r="O7908" s="11" t="s">
        <v>650</v>
      </c>
      <c r="P7908" s="11" t="s">
        <v>38</v>
      </c>
      <c r="Q7908" s="20">
        <v>41184.0</v>
      </c>
      <c r="R7908" s="17">
        <f t="shared" si="2"/>
        <v>15.34487731</v>
      </c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>
        <f t="shared" si="8"/>
        <v>4</v>
      </c>
      <c r="AF7908" s="19">
        <f t="shared" si="13"/>
        <v>5</v>
      </c>
      <c r="AG7908" s="9"/>
      <c r="AH7908" s="9"/>
      <c r="AI7908" s="9"/>
    </row>
    <row r="7909" ht="15.0" customHeight="1">
      <c r="A7909" s="11">
        <v>7908.0</v>
      </c>
      <c r="B7909" s="12">
        <f t="shared" si="1260"/>
        <v>41182</v>
      </c>
      <c r="C7909" s="13">
        <v>2012.0</v>
      </c>
      <c r="D7909" s="11" t="s">
        <v>39</v>
      </c>
      <c r="E7909" s="11">
        <v>2.0</v>
      </c>
      <c r="F7909" s="14">
        <v>10.9</v>
      </c>
      <c r="G7909" s="15">
        <v>0.06859315589353607</v>
      </c>
      <c r="H7909" s="11" t="s">
        <v>33</v>
      </c>
      <c r="I7909" s="16">
        <v>2.696</v>
      </c>
      <c r="J7909" s="11" t="s">
        <v>1082</v>
      </c>
      <c r="K7909" s="11" t="s">
        <v>65</v>
      </c>
      <c r="L7909" s="11" t="s">
        <v>48</v>
      </c>
      <c r="M7909" s="11" t="s">
        <v>28</v>
      </c>
      <c r="N7909" s="11" t="s">
        <v>442</v>
      </c>
      <c r="O7909" s="11" t="s">
        <v>1111</v>
      </c>
      <c r="P7909" s="11" t="s">
        <v>99</v>
      </c>
      <c r="Q7909" s="20">
        <v>41184.0</v>
      </c>
      <c r="R7909" s="17">
        <f t="shared" si="2"/>
        <v>1.680257947</v>
      </c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>
        <f t="shared" si="8"/>
        <v>4</v>
      </c>
      <c r="AF7909" s="19">
        <f t="shared" si="13"/>
        <v>5</v>
      </c>
      <c r="AG7909" s="9"/>
      <c r="AH7909" s="9"/>
      <c r="AI7909" s="9"/>
    </row>
    <row r="7910" ht="15.0" customHeight="1">
      <c r="A7910" s="11">
        <v>7909.0</v>
      </c>
      <c r="B7910" s="12">
        <f t="shared" si="1260"/>
        <v>41182</v>
      </c>
      <c r="C7910" s="13">
        <v>2012.0</v>
      </c>
      <c r="D7910" s="11" t="s">
        <v>23</v>
      </c>
      <c r="E7910" s="11">
        <v>50.0</v>
      </c>
      <c r="F7910" s="14">
        <v>73.9</v>
      </c>
      <c r="G7910" s="15">
        <v>0.0920874966243586</v>
      </c>
      <c r="H7910" s="11" t="s">
        <v>33</v>
      </c>
      <c r="I7910" s="16">
        <v>3.2</v>
      </c>
      <c r="J7910" s="11" t="s">
        <v>1235</v>
      </c>
      <c r="K7910" s="11" t="s">
        <v>35</v>
      </c>
      <c r="L7910" s="11" t="s">
        <v>41</v>
      </c>
      <c r="M7910" s="11" t="s">
        <v>66</v>
      </c>
      <c r="N7910" s="11" t="s">
        <v>67</v>
      </c>
      <c r="O7910" s="11" t="s">
        <v>177</v>
      </c>
      <c r="P7910" s="11" t="s">
        <v>38</v>
      </c>
      <c r="Q7910" s="20">
        <v>41184.0</v>
      </c>
      <c r="R7910" s="17">
        <f t="shared" si="2"/>
        <v>340.55798</v>
      </c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>
        <f t="shared" si="8"/>
        <v>3</v>
      </c>
      <c r="AF7910" s="19">
        <f t="shared" si="13"/>
        <v>2</v>
      </c>
      <c r="AG7910" s="9"/>
      <c r="AH7910" s="9"/>
      <c r="AI7910" s="9"/>
    </row>
    <row r="7911" ht="15.0" customHeight="1">
      <c r="A7911" s="11">
        <v>7910.0</v>
      </c>
      <c r="B7911" s="12">
        <f t="shared" si="1260"/>
        <v>41182</v>
      </c>
      <c r="C7911" s="13">
        <v>2012.0</v>
      </c>
      <c r="D7911" s="11" t="s">
        <v>23</v>
      </c>
      <c r="E7911" s="11">
        <v>27.0</v>
      </c>
      <c r="F7911" s="14">
        <v>2.1</v>
      </c>
      <c r="G7911" s="15">
        <v>0.03926174496644289</v>
      </c>
      <c r="H7911" s="11" t="s">
        <v>33</v>
      </c>
      <c r="I7911" s="16">
        <v>0.5599999999999999</v>
      </c>
      <c r="J7911" s="11" t="s">
        <v>1235</v>
      </c>
      <c r="K7911" s="11" t="s">
        <v>35</v>
      </c>
      <c r="L7911" s="11" t="s">
        <v>41</v>
      </c>
      <c r="M7911" s="11" t="s">
        <v>28</v>
      </c>
      <c r="N7911" s="11" t="s">
        <v>62</v>
      </c>
      <c r="O7911" s="11" t="s">
        <v>146</v>
      </c>
      <c r="P7911" s="11" t="s">
        <v>58</v>
      </c>
      <c r="Q7911" s="20">
        <v>41184.0</v>
      </c>
      <c r="R7911" s="17">
        <f t="shared" si="2"/>
        <v>2.248127517</v>
      </c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>
        <f t="shared" si="8"/>
        <v>3</v>
      </c>
      <c r="AF7911" s="19">
        <f t="shared" si="13"/>
        <v>2</v>
      </c>
      <c r="AG7911" s="9"/>
      <c r="AH7911" s="9"/>
      <c r="AI7911" s="9"/>
    </row>
    <row r="7912" ht="15.0" customHeight="1">
      <c r="A7912" s="11">
        <v>7911.0</v>
      </c>
      <c r="B7912" s="12">
        <f t="shared" si="1260"/>
        <v>41182</v>
      </c>
      <c r="C7912" s="13">
        <v>2012.0</v>
      </c>
      <c r="D7912" s="11" t="s">
        <v>102</v>
      </c>
      <c r="E7912" s="11">
        <v>39.0</v>
      </c>
      <c r="F7912" s="14">
        <v>21.3</v>
      </c>
      <c r="G7912" s="15">
        <v>0.033423831070889753</v>
      </c>
      <c r="H7912" s="11" t="s">
        <v>24</v>
      </c>
      <c r="I7912" s="16">
        <v>2.3920000000000003</v>
      </c>
      <c r="J7912" s="11" t="s">
        <v>1080</v>
      </c>
      <c r="K7912" s="11" t="s">
        <v>47</v>
      </c>
      <c r="L7912" s="11" t="s">
        <v>48</v>
      </c>
      <c r="M7912" s="11" t="s">
        <v>28</v>
      </c>
      <c r="N7912" s="11" t="s">
        <v>42</v>
      </c>
      <c r="O7912" s="11" t="s">
        <v>2489</v>
      </c>
      <c r="P7912" s="11" t="s">
        <v>38</v>
      </c>
      <c r="Q7912" s="20">
        <v>41184.0</v>
      </c>
      <c r="R7912" s="17">
        <f t="shared" si="2"/>
        <v>27.84512627</v>
      </c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>
        <f t="shared" si="8"/>
        <v>4</v>
      </c>
      <c r="AF7912" s="19">
        <f t="shared" si="13"/>
        <v>3</v>
      </c>
      <c r="AG7912" s="9"/>
      <c r="AH7912" s="9"/>
      <c r="AI7912" s="9"/>
    </row>
    <row r="7913" ht="15.0" customHeight="1">
      <c r="A7913" s="11">
        <v>7912.0</v>
      </c>
      <c r="B7913" s="12">
        <f t="shared" si="1260"/>
        <v>41182</v>
      </c>
      <c r="C7913" s="13">
        <v>2012.0</v>
      </c>
      <c r="D7913" s="11" t="s">
        <v>44</v>
      </c>
      <c r="E7913" s="11">
        <v>40.0</v>
      </c>
      <c r="F7913" s="14">
        <v>1.8</v>
      </c>
      <c r="G7913" s="15">
        <v>0.059431524547803725</v>
      </c>
      <c r="H7913" s="11" t="s">
        <v>33</v>
      </c>
      <c r="I7913" s="16">
        <v>0.8</v>
      </c>
      <c r="J7913" s="11" t="s">
        <v>871</v>
      </c>
      <c r="K7913" s="11" t="s">
        <v>26</v>
      </c>
      <c r="L7913" s="11" t="s">
        <v>27</v>
      </c>
      <c r="M7913" s="11" t="s">
        <v>28</v>
      </c>
      <c r="N7913" s="11" t="s">
        <v>62</v>
      </c>
      <c r="O7913" s="11" t="s">
        <v>2296</v>
      </c>
      <c r="P7913" s="11" t="s">
        <v>58</v>
      </c>
      <c r="Q7913" s="20">
        <v>41185.0</v>
      </c>
      <c r="R7913" s="17">
        <f t="shared" si="2"/>
        <v>4.326614987</v>
      </c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>
        <f t="shared" si="8"/>
        <v>1</v>
      </c>
      <c r="AF7913" s="19">
        <f t="shared" si="13"/>
        <v>1</v>
      </c>
      <c r="AG7913" s="9"/>
      <c r="AH7913" s="9"/>
      <c r="AI7913" s="9"/>
    </row>
    <row r="7914" ht="15.0" customHeight="1">
      <c r="A7914" s="11">
        <v>7913.0</v>
      </c>
      <c r="B7914" s="12">
        <f t="shared" ref="B7914:B7921" si="1261">DATE(2012,12,31)-91</f>
        <v>41183</v>
      </c>
      <c r="C7914" s="13">
        <v>2012.0</v>
      </c>
      <c r="D7914" s="11" t="s">
        <v>32</v>
      </c>
      <c r="E7914" s="11">
        <v>49.0</v>
      </c>
      <c r="F7914" s="14">
        <v>208.1</v>
      </c>
      <c r="G7914" s="15">
        <v>0.06692552746072501</v>
      </c>
      <c r="H7914" s="11" t="s">
        <v>45</v>
      </c>
      <c r="I7914" s="16">
        <v>54.416</v>
      </c>
      <c r="J7914" s="11" t="s">
        <v>2244</v>
      </c>
      <c r="K7914" s="11" t="s">
        <v>117</v>
      </c>
      <c r="L7914" s="11" t="s">
        <v>41</v>
      </c>
      <c r="M7914" s="11" t="s">
        <v>28</v>
      </c>
      <c r="N7914" s="11" t="s">
        <v>197</v>
      </c>
      <c r="O7914" s="11" t="s">
        <v>294</v>
      </c>
      <c r="P7914" s="11" t="s">
        <v>52</v>
      </c>
      <c r="Q7914" s="20">
        <v>41185.0</v>
      </c>
      <c r="R7914" s="17">
        <f t="shared" si="2"/>
        <v>686.0747305</v>
      </c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>
        <f t="shared" si="8"/>
        <v>3</v>
      </c>
      <c r="AF7914" s="19" t="b">
        <f t="shared" si="13"/>
        <v>0</v>
      </c>
      <c r="AG7914" s="9"/>
      <c r="AH7914" s="9"/>
      <c r="AI7914" s="9"/>
    </row>
    <row r="7915" ht="15.0" customHeight="1">
      <c r="A7915" s="11">
        <v>7914.0</v>
      </c>
      <c r="B7915" s="12">
        <f t="shared" si="1261"/>
        <v>41183</v>
      </c>
      <c r="C7915" s="13">
        <v>2012.0</v>
      </c>
      <c r="D7915" s="11" t="s">
        <v>32</v>
      </c>
      <c r="E7915" s="11">
        <v>27.0</v>
      </c>
      <c r="F7915" s="14">
        <v>8.6</v>
      </c>
      <c r="G7915" s="15">
        <v>0.022125885785744148</v>
      </c>
      <c r="H7915" s="11" t="s">
        <v>33</v>
      </c>
      <c r="I7915" s="16">
        <v>2.3920000000000003</v>
      </c>
      <c r="J7915" s="11" t="s">
        <v>2244</v>
      </c>
      <c r="K7915" s="11" t="s">
        <v>117</v>
      </c>
      <c r="L7915" s="11" t="s">
        <v>41</v>
      </c>
      <c r="M7915" s="11" t="s">
        <v>28</v>
      </c>
      <c r="N7915" s="11" t="s">
        <v>42</v>
      </c>
      <c r="O7915" s="11" t="s">
        <v>2146</v>
      </c>
      <c r="P7915" s="11" t="s">
        <v>38</v>
      </c>
      <c r="Q7915" s="20">
        <v>41185.0</v>
      </c>
      <c r="R7915" s="17">
        <f t="shared" si="2"/>
        <v>5.190555798</v>
      </c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>
        <f t="shared" si="8"/>
        <v>3</v>
      </c>
      <c r="AF7915" s="19" t="b">
        <f t="shared" si="13"/>
        <v>0</v>
      </c>
      <c r="AG7915" s="9"/>
      <c r="AH7915" s="9"/>
      <c r="AI7915" s="9"/>
    </row>
    <row r="7916" ht="15.0" customHeight="1">
      <c r="A7916" s="11">
        <v>7915.0</v>
      </c>
      <c r="B7916" s="12">
        <f t="shared" si="1261"/>
        <v>41183</v>
      </c>
      <c r="C7916" s="13">
        <v>2012.0</v>
      </c>
      <c r="D7916" s="11" t="s">
        <v>32</v>
      </c>
      <c r="E7916" s="11">
        <v>21.0</v>
      </c>
      <c r="F7916" s="14">
        <v>10.9</v>
      </c>
      <c r="G7916" s="15">
        <v>0.04953308972797408</v>
      </c>
      <c r="H7916" s="11" t="s">
        <v>33</v>
      </c>
      <c r="I7916" s="16">
        <v>5.2</v>
      </c>
      <c r="J7916" s="11" t="s">
        <v>1682</v>
      </c>
      <c r="K7916" s="11" t="s">
        <v>47</v>
      </c>
      <c r="L7916" s="11" t="s">
        <v>48</v>
      </c>
      <c r="M7916" s="11" t="s">
        <v>66</v>
      </c>
      <c r="N7916" s="11" t="s">
        <v>67</v>
      </c>
      <c r="O7916" s="11" t="s">
        <v>1974</v>
      </c>
      <c r="P7916" s="11" t="s">
        <v>38</v>
      </c>
      <c r="Q7916" s="20">
        <v>41185.0</v>
      </c>
      <c r="R7916" s="17">
        <f t="shared" si="2"/>
        <v>11.59569631</v>
      </c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>
        <f t="shared" si="8"/>
        <v>4</v>
      </c>
      <c r="AF7916" s="19">
        <f t="shared" si="13"/>
        <v>3</v>
      </c>
      <c r="AG7916" s="9"/>
      <c r="AH7916" s="9"/>
      <c r="AI7916" s="9"/>
    </row>
    <row r="7917" ht="15.0" customHeight="1">
      <c r="A7917" s="11">
        <v>7916.0</v>
      </c>
      <c r="B7917" s="12">
        <f t="shared" si="1261"/>
        <v>41183</v>
      </c>
      <c r="C7917" s="13">
        <v>2012.0</v>
      </c>
      <c r="D7917" s="11" t="s">
        <v>32</v>
      </c>
      <c r="E7917" s="11">
        <v>39.0</v>
      </c>
      <c r="F7917" s="14">
        <v>2.0</v>
      </c>
      <c r="G7917" s="15">
        <v>0.07990804597701147</v>
      </c>
      <c r="H7917" s="11" t="s">
        <v>33</v>
      </c>
      <c r="I7917" s="16">
        <v>2.048</v>
      </c>
      <c r="J7917" s="11" t="s">
        <v>1682</v>
      </c>
      <c r="K7917" s="11" t="s">
        <v>47</v>
      </c>
      <c r="L7917" s="11" t="s">
        <v>48</v>
      </c>
      <c r="M7917" s="11" t="s">
        <v>28</v>
      </c>
      <c r="N7917" s="11" t="s">
        <v>442</v>
      </c>
      <c r="O7917" s="11" t="s">
        <v>692</v>
      </c>
      <c r="P7917" s="11" t="s">
        <v>99</v>
      </c>
      <c r="Q7917" s="20">
        <v>41186.0</v>
      </c>
      <c r="R7917" s="17">
        <f t="shared" si="2"/>
        <v>6.396479264</v>
      </c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>
        <f t="shared" si="8"/>
        <v>4</v>
      </c>
      <c r="AF7917" s="19">
        <f t="shared" si="13"/>
        <v>3</v>
      </c>
      <c r="AG7917" s="9"/>
      <c r="AH7917" s="9"/>
      <c r="AI7917" s="9"/>
    </row>
    <row r="7918" ht="15.0" customHeight="1">
      <c r="A7918" s="11">
        <v>7917.0</v>
      </c>
      <c r="B7918" s="12">
        <f t="shared" si="1261"/>
        <v>41183</v>
      </c>
      <c r="C7918" s="13">
        <v>2012.0</v>
      </c>
      <c r="D7918" s="11" t="s">
        <v>39</v>
      </c>
      <c r="E7918" s="11">
        <v>38.0</v>
      </c>
      <c r="F7918" s="14">
        <v>4.9</v>
      </c>
      <c r="G7918" s="15">
        <v>0.07229394240317777</v>
      </c>
      <c r="H7918" s="11" t="s">
        <v>33</v>
      </c>
      <c r="I7918" s="16">
        <v>0.6400000000000001</v>
      </c>
      <c r="J7918" s="11" t="s">
        <v>1349</v>
      </c>
      <c r="K7918" s="11" t="s">
        <v>61</v>
      </c>
      <c r="L7918" s="11" t="s">
        <v>36</v>
      </c>
      <c r="M7918" s="11" t="s">
        <v>28</v>
      </c>
      <c r="N7918" s="11" t="s">
        <v>56</v>
      </c>
      <c r="O7918" s="11" t="s">
        <v>517</v>
      </c>
      <c r="P7918" s="11" t="s">
        <v>58</v>
      </c>
      <c r="Q7918" s="20">
        <v>41186.0</v>
      </c>
      <c r="R7918" s="17">
        <f t="shared" si="2"/>
        <v>13.5074002</v>
      </c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>
        <f t="shared" si="8"/>
        <v>2</v>
      </c>
      <c r="AF7918" s="19">
        <f t="shared" si="13"/>
        <v>4</v>
      </c>
      <c r="AG7918" s="9"/>
      <c r="AH7918" s="9"/>
      <c r="AI7918" s="9"/>
    </row>
    <row r="7919" ht="15.0" customHeight="1">
      <c r="A7919" s="11">
        <v>7918.0</v>
      </c>
      <c r="B7919" s="12">
        <f t="shared" si="1261"/>
        <v>41183</v>
      </c>
      <c r="C7919" s="13">
        <v>2012.0</v>
      </c>
      <c r="D7919" s="11" t="s">
        <v>102</v>
      </c>
      <c r="E7919" s="11">
        <v>16.0</v>
      </c>
      <c r="F7919" s="14">
        <v>110.9</v>
      </c>
      <c r="G7919" s="15">
        <v>0.09255233535374108</v>
      </c>
      <c r="H7919" s="11" t="s">
        <v>33</v>
      </c>
      <c r="I7919" s="16">
        <v>7.192</v>
      </c>
      <c r="J7919" s="11" t="s">
        <v>1199</v>
      </c>
      <c r="K7919" s="11" t="s">
        <v>83</v>
      </c>
      <c r="L7919" s="11" t="s">
        <v>36</v>
      </c>
      <c r="M7919" s="11" t="s">
        <v>66</v>
      </c>
      <c r="N7919" s="11" t="s">
        <v>80</v>
      </c>
      <c r="O7919" s="11" t="s">
        <v>1651</v>
      </c>
      <c r="P7919" s="11" t="s">
        <v>38</v>
      </c>
      <c r="Q7919" s="20">
        <v>41186.0</v>
      </c>
      <c r="R7919" s="17">
        <f t="shared" si="2"/>
        <v>164.8905002</v>
      </c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>
        <f t="shared" si="8"/>
        <v>2</v>
      </c>
      <c r="AF7919" s="19" t="b">
        <f t="shared" si="13"/>
        <v>0</v>
      </c>
      <c r="AG7919" s="9"/>
      <c r="AH7919" s="9"/>
      <c r="AI7919" s="9"/>
    </row>
    <row r="7920" ht="15.0" customHeight="1">
      <c r="A7920" s="11">
        <v>7919.0</v>
      </c>
      <c r="B7920" s="12">
        <f t="shared" si="1261"/>
        <v>41183</v>
      </c>
      <c r="C7920" s="13">
        <v>2012.0</v>
      </c>
      <c r="D7920" s="11" t="s">
        <v>23</v>
      </c>
      <c r="E7920" s="11">
        <v>17.0</v>
      </c>
      <c r="F7920" s="14">
        <v>12.4</v>
      </c>
      <c r="G7920" s="15">
        <v>0.008654111162149683</v>
      </c>
      <c r="H7920" s="11" t="s">
        <v>33</v>
      </c>
      <c r="I7920" s="16">
        <v>5.016</v>
      </c>
      <c r="J7920" s="11" t="s">
        <v>239</v>
      </c>
      <c r="K7920" s="11" t="s">
        <v>61</v>
      </c>
      <c r="L7920" s="11" t="s">
        <v>41</v>
      </c>
      <c r="M7920" s="11" t="s">
        <v>28</v>
      </c>
      <c r="N7920" s="11" t="s">
        <v>29</v>
      </c>
      <c r="O7920" s="11" t="s">
        <v>1998</v>
      </c>
      <c r="P7920" s="11" t="s">
        <v>75</v>
      </c>
      <c r="Q7920" s="20">
        <v>41186.0</v>
      </c>
      <c r="R7920" s="17">
        <f t="shared" si="2"/>
        <v>1.867695655</v>
      </c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>
        <f t="shared" si="8"/>
        <v>3</v>
      </c>
      <c r="AF7920" s="19">
        <f t="shared" si="13"/>
        <v>4</v>
      </c>
      <c r="AG7920" s="9"/>
      <c r="AH7920" s="9"/>
      <c r="AI7920" s="9"/>
    </row>
    <row r="7921" ht="15.0" customHeight="1">
      <c r="A7921" s="11">
        <v>7920.0</v>
      </c>
      <c r="B7921" s="12">
        <f t="shared" si="1261"/>
        <v>41183</v>
      </c>
      <c r="C7921" s="13">
        <v>2012.0</v>
      </c>
      <c r="D7921" s="11" t="s">
        <v>23</v>
      </c>
      <c r="E7921" s="11">
        <v>10.0</v>
      </c>
      <c r="F7921" s="14">
        <v>4.9</v>
      </c>
      <c r="G7921" s="15">
        <v>0.08887372013651874</v>
      </c>
      <c r="H7921" s="11" t="s">
        <v>33</v>
      </c>
      <c r="I7921" s="16">
        <v>4.392</v>
      </c>
      <c r="J7921" s="11" t="s">
        <v>239</v>
      </c>
      <c r="K7921" s="11" t="s">
        <v>61</v>
      </c>
      <c r="L7921" s="11" t="s">
        <v>41</v>
      </c>
      <c r="M7921" s="11" t="s">
        <v>28</v>
      </c>
      <c r="N7921" s="11" t="s">
        <v>56</v>
      </c>
      <c r="O7921" s="11" t="s">
        <v>1297</v>
      </c>
      <c r="P7921" s="11" t="s">
        <v>38</v>
      </c>
      <c r="Q7921" s="20">
        <v>41186.0</v>
      </c>
      <c r="R7921" s="17">
        <f t="shared" si="2"/>
        <v>4.745145666</v>
      </c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>
        <f t="shared" si="8"/>
        <v>3</v>
      </c>
      <c r="AF7921" s="19">
        <f t="shared" si="13"/>
        <v>4</v>
      </c>
      <c r="AG7921" s="9"/>
      <c r="AH7921" s="9"/>
      <c r="AI7921" s="9"/>
    </row>
    <row r="7922" ht="15.0" customHeight="1">
      <c r="A7922" s="11">
        <v>7921.0</v>
      </c>
      <c r="B7922" s="12">
        <f t="shared" ref="B7922:B7929" si="1262">DATE(2012,12,31)-90</f>
        <v>41184</v>
      </c>
      <c r="C7922" s="13">
        <v>2012.0</v>
      </c>
      <c r="D7922" s="11" t="s">
        <v>39</v>
      </c>
      <c r="E7922" s="11">
        <v>22.0</v>
      </c>
      <c r="F7922" s="14">
        <v>68.8</v>
      </c>
      <c r="G7922" s="15">
        <v>0.04588501252520324</v>
      </c>
      <c r="H7922" s="11" t="s">
        <v>45</v>
      </c>
      <c r="I7922" s="16">
        <v>48.0</v>
      </c>
      <c r="J7922" s="11" t="s">
        <v>1490</v>
      </c>
      <c r="K7922" s="11" t="s">
        <v>61</v>
      </c>
      <c r="L7922" s="11" t="s">
        <v>48</v>
      </c>
      <c r="M7922" s="11" t="s">
        <v>28</v>
      </c>
      <c r="N7922" s="11" t="s">
        <v>197</v>
      </c>
      <c r="O7922" s="11" t="s">
        <v>888</v>
      </c>
      <c r="P7922" s="11" t="s">
        <v>52</v>
      </c>
      <c r="Q7922" s="20">
        <v>41186.0</v>
      </c>
      <c r="R7922" s="17">
        <f t="shared" si="2"/>
        <v>71.65403556</v>
      </c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>
        <f t="shared" si="8"/>
        <v>4</v>
      </c>
      <c r="AF7922" s="19">
        <f t="shared" si="13"/>
        <v>4</v>
      </c>
      <c r="AG7922" s="9"/>
      <c r="AH7922" s="9"/>
      <c r="AI7922" s="9"/>
    </row>
    <row r="7923" ht="15.0" customHeight="1">
      <c r="A7923" s="11">
        <v>7922.0</v>
      </c>
      <c r="B7923" s="12">
        <f t="shared" si="1262"/>
        <v>41184</v>
      </c>
      <c r="C7923" s="13">
        <v>2012.0</v>
      </c>
      <c r="D7923" s="11" t="s">
        <v>39</v>
      </c>
      <c r="E7923" s="11">
        <v>33.0</v>
      </c>
      <c r="F7923" s="14">
        <v>5.9</v>
      </c>
      <c r="G7923" s="15">
        <v>0.0910004568296025</v>
      </c>
      <c r="H7923" s="11" t="s">
        <v>33</v>
      </c>
      <c r="I7923" s="16">
        <v>4.28</v>
      </c>
      <c r="J7923" s="11" t="s">
        <v>1490</v>
      </c>
      <c r="K7923" s="11" t="s">
        <v>61</v>
      </c>
      <c r="L7923" s="11" t="s">
        <v>48</v>
      </c>
      <c r="M7923" s="11" t="s">
        <v>28</v>
      </c>
      <c r="N7923" s="11" t="s">
        <v>56</v>
      </c>
      <c r="O7923" s="11" t="s">
        <v>464</v>
      </c>
      <c r="P7923" s="11" t="s">
        <v>38</v>
      </c>
      <c r="Q7923" s="20">
        <v>41186.0</v>
      </c>
      <c r="R7923" s="17">
        <f t="shared" si="2"/>
        <v>18.1072709</v>
      </c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>
        <f t="shared" si="8"/>
        <v>4</v>
      </c>
      <c r="AF7923" s="19">
        <f t="shared" si="13"/>
        <v>4</v>
      </c>
      <c r="AG7923" s="9"/>
      <c r="AH7923" s="9"/>
      <c r="AI7923" s="9"/>
    </row>
    <row r="7924" ht="15.0" customHeight="1">
      <c r="A7924" s="11">
        <v>7923.0</v>
      </c>
      <c r="B7924" s="12">
        <f t="shared" si="1262"/>
        <v>41184</v>
      </c>
      <c r="C7924" s="13">
        <v>2012.0</v>
      </c>
      <c r="D7924" s="11" t="s">
        <v>39</v>
      </c>
      <c r="E7924" s="11">
        <v>32.0</v>
      </c>
      <c r="F7924" s="14">
        <v>300.6</v>
      </c>
      <c r="G7924" s="15">
        <v>0.039109170479807706</v>
      </c>
      <c r="H7924" s="11" t="s">
        <v>33</v>
      </c>
      <c r="I7924" s="16">
        <v>19.592</v>
      </c>
      <c r="J7924" s="11" t="s">
        <v>1490</v>
      </c>
      <c r="K7924" s="11" t="s">
        <v>61</v>
      </c>
      <c r="L7924" s="11" t="s">
        <v>48</v>
      </c>
      <c r="M7924" s="11" t="s">
        <v>28</v>
      </c>
      <c r="N7924" s="11" t="s">
        <v>197</v>
      </c>
      <c r="O7924" s="11" t="s">
        <v>1953</v>
      </c>
      <c r="P7924" s="11" t="s">
        <v>31</v>
      </c>
      <c r="Q7924" s="20">
        <v>41186.0</v>
      </c>
      <c r="R7924" s="17">
        <f t="shared" si="2"/>
        <v>376.9651595</v>
      </c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>
        <f t="shared" si="8"/>
        <v>4</v>
      </c>
      <c r="AF7924" s="19">
        <f t="shared" si="13"/>
        <v>4</v>
      </c>
      <c r="AG7924" s="9"/>
      <c r="AH7924" s="9"/>
      <c r="AI7924" s="9"/>
    </row>
    <row r="7925" ht="15.0" customHeight="1">
      <c r="A7925" s="11">
        <v>7924.0</v>
      </c>
      <c r="B7925" s="12">
        <f t="shared" si="1262"/>
        <v>41184</v>
      </c>
      <c r="C7925" s="13">
        <v>2012.0</v>
      </c>
      <c r="D7925" s="11" t="s">
        <v>39</v>
      </c>
      <c r="E7925" s="11">
        <v>48.0</v>
      </c>
      <c r="F7925" s="14">
        <v>5.7</v>
      </c>
      <c r="G7925" s="15">
        <v>0.05509690581434888</v>
      </c>
      <c r="H7925" s="11" t="s">
        <v>33</v>
      </c>
      <c r="I7925" s="16">
        <v>4.296</v>
      </c>
      <c r="J7925" s="11" t="s">
        <v>1490</v>
      </c>
      <c r="K7925" s="11" t="s">
        <v>61</v>
      </c>
      <c r="L7925" s="11" t="s">
        <v>48</v>
      </c>
      <c r="M7925" s="11" t="s">
        <v>28</v>
      </c>
      <c r="N7925" s="11" t="s">
        <v>56</v>
      </c>
      <c r="O7925" s="11" t="s">
        <v>1803</v>
      </c>
      <c r="P7925" s="11" t="s">
        <v>38</v>
      </c>
      <c r="Q7925" s="20">
        <v>41186.0</v>
      </c>
      <c r="R7925" s="17">
        <f t="shared" si="2"/>
        <v>15.31120974</v>
      </c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>
        <f t="shared" si="8"/>
        <v>4</v>
      </c>
      <c r="AF7925" s="19">
        <f t="shared" si="13"/>
        <v>4</v>
      </c>
      <c r="AG7925" s="9"/>
      <c r="AH7925" s="9"/>
      <c r="AI7925" s="9"/>
    </row>
    <row r="7926" ht="15.0" customHeight="1">
      <c r="A7926" s="11">
        <v>7925.0</v>
      </c>
      <c r="B7926" s="12">
        <f t="shared" si="1262"/>
        <v>41184</v>
      </c>
      <c r="C7926" s="13">
        <v>2012.0</v>
      </c>
      <c r="D7926" s="11" t="s">
        <v>44</v>
      </c>
      <c r="E7926" s="11">
        <v>42.0</v>
      </c>
      <c r="F7926" s="14">
        <v>110.9</v>
      </c>
      <c r="G7926" s="15">
        <v>0.021546949779514612</v>
      </c>
      <c r="H7926" s="11" t="s">
        <v>45</v>
      </c>
      <c r="I7926" s="16">
        <v>24.0</v>
      </c>
      <c r="J7926" s="11" t="s">
        <v>1308</v>
      </c>
      <c r="K7926" s="11" t="s">
        <v>61</v>
      </c>
      <c r="L7926" s="11" t="s">
        <v>36</v>
      </c>
      <c r="M7926" s="11" t="s">
        <v>49</v>
      </c>
      <c r="N7926" s="11" t="s">
        <v>50</v>
      </c>
      <c r="O7926" s="11" t="s">
        <v>2458</v>
      </c>
      <c r="P7926" s="11" t="s">
        <v>52</v>
      </c>
      <c r="Q7926" s="20">
        <v>41186.0</v>
      </c>
      <c r="R7926" s="17">
        <f t="shared" si="2"/>
        <v>100.8785095</v>
      </c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>
        <f t="shared" si="8"/>
        <v>2</v>
      </c>
      <c r="AF7926" s="19">
        <f t="shared" si="13"/>
        <v>4</v>
      </c>
      <c r="AG7926" s="9"/>
      <c r="AH7926" s="9"/>
      <c r="AI7926" s="9"/>
    </row>
    <row r="7927" ht="15.0" customHeight="1">
      <c r="A7927" s="11">
        <v>7926.0</v>
      </c>
      <c r="B7927" s="12">
        <f t="shared" si="1262"/>
        <v>41184</v>
      </c>
      <c r="C7927" s="13">
        <v>2012.0</v>
      </c>
      <c r="D7927" s="11" t="s">
        <v>44</v>
      </c>
      <c r="E7927" s="11">
        <v>32.0</v>
      </c>
      <c r="F7927" s="14">
        <v>12.5</v>
      </c>
      <c r="G7927" s="15">
        <v>0.0123334977799704</v>
      </c>
      <c r="H7927" s="11" t="s">
        <v>33</v>
      </c>
      <c r="I7927" s="16">
        <v>0.4</v>
      </c>
      <c r="J7927" s="11" t="s">
        <v>1308</v>
      </c>
      <c r="K7927" s="11" t="s">
        <v>61</v>
      </c>
      <c r="L7927" s="11" t="s">
        <v>36</v>
      </c>
      <c r="M7927" s="11" t="s">
        <v>28</v>
      </c>
      <c r="N7927" s="11" t="s">
        <v>188</v>
      </c>
      <c r="O7927" s="11" t="s">
        <v>1083</v>
      </c>
      <c r="P7927" s="11" t="s">
        <v>38</v>
      </c>
      <c r="Q7927" s="20">
        <v>41186.0</v>
      </c>
      <c r="R7927" s="17">
        <f t="shared" si="2"/>
        <v>4.938332511</v>
      </c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>
        <f t="shared" si="8"/>
        <v>2</v>
      </c>
      <c r="AF7927" s="19">
        <f t="shared" si="13"/>
        <v>4</v>
      </c>
      <c r="AG7927" s="9"/>
      <c r="AH7927" s="9"/>
      <c r="AI7927" s="9"/>
    </row>
    <row r="7928" ht="15.0" customHeight="1">
      <c r="A7928" s="11">
        <v>7927.0</v>
      </c>
      <c r="B7928" s="12">
        <f t="shared" si="1262"/>
        <v>41184</v>
      </c>
      <c r="C7928" s="13">
        <v>2012.0</v>
      </c>
      <c r="D7928" s="11" t="s">
        <v>23</v>
      </c>
      <c r="E7928" s="11">
        <v>21.0</v>
      </c>
      <c r="F7928" s="14">
        <v>35.4</v>
      </c>
      <c r="G7928" s="15">
        <v>0.08331241540543875</v>
      </c>
      <c r="H7928" s="11" t="s">
        <v>33</v>
      </c>
      <c r="I7928" s="16">
        <v>1.592</v>
      </c>
      <c r="J7928" s="11" t="s">
        <v>2401</v>
      </c>
      <c r="K7928" s="11" t="s">
        <v>61</v>
      </c>
      <c r="L7928" s="11" t="s">
        <v>41</v>
      </c>
      <c r="M7928" s="11" t="s">
        <v>66</v>
      </c>
      <c r="N7928" s="11" t="s">
        <v>67</v>
      </c>
      <c r="O7928" s="11" t="s">
        <v>1200</v>
      </c>
      <c r="P7928" s="11" t="s">
        <v>99</v>
      </c>
      <c r="Q7928" s="20">
        <v>41186.0</v>
      </c>
      <c r="R7928" s="17">
        <f t="shared" si="2"/>
        <v>62.06708298</v>
      </c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>
        <f t="shared" si="8"/>
        <v>3</v>
      </c>
      <c r="AF7928" s="19">
        <f t="shared" si="13"/>
        <v>4</v>
      </c>
      <c r="AG7928" s="9"/>
      <c r="AH7928" s="9"/>
      <c r="AI7928" s="9"/>
    </row>
    <row r="7929" ht="15.0" customHeight="1">
      <c r="A7929" s="11">
        <v>7928.0</v>
      </c>
      <c r="B7929" s="12">
        <f t="shared" si="1262"/>
        <v>41184</v>
      </c>
      <c r="C7929" s="13">
        <v>2012.0</v>
      </c>
      <c r="D7929" s="11" t="s">
        <v>23</v>
      </c>
      <c r="E7929" s="11">
        <v>4.0</v>
      </c>
      <c r="F7929" s="14">
        <v>3499.9</v>
      </c>
      <c r="G7929" s="15">
        <v>0.04797142391481498</v>
      </c>
      <c r="H7929" s="11" t="s">
        <v>33</v>
      </c>
      <c r="I7929" s="16">
        <v>19.592</v>
      </c>
      <c r="J7929" s="11" t="s">
        <v>2401</v>
      </c>
      <c r="K7929" s="11" t="s">
        <v>61</v>
      </c>
      <c r="L7929" s="11" t="s">
        <v>41</v>
      </c>
      <c r="M7929" s="11" t="s">
        <v>66</v>
      </c>
      <c r="N7929" s="11" t="s">
        <v>170</v>
      </c>
      <c r="O7929" s="11" t="s">
        <v>785</v>
      </c>
      <c r="P7929" s="11" t="s">
        <v>31</v>
      </c>
      <c r="Q7929" s="20">
        <v>41186.0</v>
      </c>
      <c r="R7929" s="17">
        <f t="shared" si="2"/>
        <v>672.5206024</v>
      </c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>
        <f t="shared" si="8"/>
        <v>3</v>
      </c>
      <c r="AF7929" s="19">
        <f t="shared" si="13"/>
        <v>4</v>
      </c>
      <c r="AG7929" s="9"/>
      <c r="AH7929" s="9"/>
      <c r="AI7929" s="9"/>
    </row>
    <row r="7930" ht="15.0" customHeight="1">
      <c r="A7930" s="11">
        <v>7929.0</v>
      </c>
      <c r="B7930" s="12">
        <f t="shared" ref="B7930:B7931" si="1263">DATE(2012,12,31)-89</f>
        <v>41185</v>
      </c>
      <c r="C7930" s="13">
        <v>2012.0</v>
      </c>
      <c r="D7930" s="11" t="s">
        <v>32</v>
      </c>
      <c r="E7930" s="11">
        <v>16.0</v>
      </c>
      <c r="F7930" s="14">
        <v>399.9</v>
      </c>
      <c r="G7930" s="15">
        <v>0.03901382681983145</v>
      </c>
      <c r="H7930" s="11" t="s">
        <v>45</v>
      </c>
      <c r="I7930" s="16">
        <v>9.648000000000001</v>
      </c>
      <c r="J7930" s="11" t="s">
        <v>239</v>
      </c>
      <c r="K7930" s="11" t="s">
        <v>61</v>
      </c>
      <c r="L7930" s="11" t="s">
        <v>48</v>
      </c>
      <c r="M7930" s="11" t="s">
        <v>66</v>
      </c>
      <c r="N7930" s="11" t="s">
        <v>69</v>
      </c>
      <c r="O7930" s="11" t="s">
        <v>252</v>
      </c>
      <c r="P7930" s="11" t="s">
        <v>87</v>
      </c>
      <c r="Q7930" s="20">
        <v>41186.0</v>
      </c>
      <c r="R7930" s="17">
        <f t="shared" si="2"/>
        <v>250.0024749</v>
      </c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>
        <f t="shared" si="8"/>
        <v>4</v>
      </c>
      <c r="AF7930" s="19">
        <f t="shared" si="13"/>
        <v>4</v>
      </c>
      <c r="AG7930" s="9"/>
      <c r="AH7930" s="9"/>
      <c r="AI7930" s="9"/>
    </row>
    <row r="7931" ht="15.0" customHeight="1">
      <c r="A7931" s="11">
        <v>7930.0</v>
      </c>
      <c r="B7931" s="12">
        <f t="shared" si="1263"/>
        <v>41185</v>
      </c>
      <c r="C7931" s="13">
        <v>2012.0</v>
      </c>
      <c r="D7931" s="11" t="s">
        <v>32</v>
      </c>
      <c r="E7931" s="11">
        <v>13.0</v>
      </c>
      <c r="F7931" s="14">
        <v>99.9</v>
      </c>
      <c r="G7931" s="15">
        <v>0.05131187761581754</v>
      </c>
      <c r="H7931" s="11" t="s">
        <v>33</v>
      </c>
      <c r="I7931" s="16">
        <v>15.991999999999999</v>
      </c>
      <c r="J7931" s="11" t="s">
        <v>387</v>
      </c>
      <c r="K7931" s="11" t="s">
        <v>35</v>
      </c>
      <c r="L7931" s="11" t="s">
        <v>41</v>
      </c>
      <c r="M7931" s="11" t="s">
        <v>66</v>
      </c>
      <c r="N7931" s="11" t="s">
        <v>69</v>
      </c>
      <c r="O7931" s="11" t="s">
        <v>840</v>
      </c>
      <c r="P7931" s="11" t="s">
        <v>38</v>
      </c>
      <c r="Q7931" s="20">
        <v>41186.0</v>
      </c>
      <c r="R7931" s="17">
        <f t="shared" si="2"/>
        <v>67.45931501</v>
      </c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>
        <f t="shared" si="8"/>
        <v>3</v>
      </c>
      <c r="AF7931" s="19">
        <f t="shared" si="13"/>
        <v>2</v>
      </c>
      <c r="AG7931" s="9"/>
      <c r="AH7931" s="9"/>
      <c r="AI7931" s="9"/>
    </row>
    <row r="7932" ht="15.0" customHeight="1">
      <c r="A7932" s="11">
        <v>7931.0</v>
      </c>
      <c r="B7932" s="12">
        <f t="shared" ref="B7932:B7942" si="1264">DATE(2012,12,31)-88</f>
        <v>41186</v>
      </c>
      <c r="C7932" s="13">
        <v>2012.0</v>
      </c>
      <c r="D7932" s="11" t="s">
        <v>39</v>
      </c>
      <c r="E7932" s="11">
        <v>31.0</v>
      </c>
      <c r="F7932" s="14">
        <v>11.2</v>
      </c>
      <c r="G7932" s="15">
        <v>0.03932166301969374</v>
      </c>
      <c r="H7932" s="11" t="s">
        <v>33</v>
      </c>
      <c r="I7932" s="16">
        <v>4.024</v>
      </c>
      <c r="J7932" s="11" t="s">
        <v>1648</v>
      </c>
      <c r="K7932" s="11" t="s">
        <v>35</v>
      </c>
      <c r="L7932" s="11" t="s">
        <v>27</v>
      </c>
      <c r="M7932" s="11" t="s">
        <v>28</v>
      </c>
      <c r="N7932" s="11" t="s">
        <v>29</v>
      </c>
      <c r="O7932" s="11" t="s">
        <v>698</v>
      </c>
      <c r="P7932" s="11" t="s">
        <v>38</v>
      </c>
      <c r="Q7932" s="20">
        <v>41187.0</v>
      </c>
      <c r="R7932" s="17">
        <f t="shared" si="2"/>
        <v>13.81071177</v>
      </c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>
        <f t="shared" si="8"/>
        <v>1</v>
      </c>
      <c r="AF7932" s="19">
        <f t="shared" si="13"/>
        <v>2</v>
      </c>
      <c r="AG7932" s="9"/>
      <c r="AH7932" s="9"/>
      <c r="AI7932" s="9"/>
    </row>
    <row r="7933" ht="15.0" customHeight="1">
      <c r="A7933" s="11">
        <v>7932.0</v>
      </c>
      <c r="B7933" s="12">
        <f t="shared" si="1264"/>
        <v>41186</v>
      </c>
      <c r="C7933" s="13">
        <v>2012.0</v>
      </c>
      <c r="D7933" s="11" t="s">
        <v>39</v>
      </c>
      <c r="E7933" s="11">
        <v>40.0</v>
      </c>
      <c r="F7933" s="14">
        <v>60.2</v>
      </c>
      <c r="G7933" s="15">
        <v>0.09146410401356692</v>
      </c>
      <c r="H7933" s="11" t="s">
        <v>24</v>
      </c>
      <c r="I7933" s="16">
        <v>2.8000000000000003</v>
      </c>
      <c r="J7933" s="11" t="s">
        <v>2217</v>
      </c>
      <c r="K7933" s="11" t="s">
        <v>83</v>
      </c>
      <c r="L7933" s="11" t="s">
        <v>36</v>
      </c>
      <c r="M7933" s="11" t="s">
        <v>28</v>
      </c>
      <c r="N7933" s="11" t="s">
        <v>197</v>
      </c>
      <c r="O7933" s="11" t="s">
        <v>393</v>
      </c>
      <c r="P7933" s="11" t="s">
        <v>38</v>
      </c>
      <c r="Q7933" s="20">
        <v>41187.0</v>
      </c>
      <c r="R7933" s="17">
        <f t="shared" si="2"/>
        <v>220.501662</v>
      </c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>
        <f t="shared" si="8"/>
        <v>2</v>
      </c>
      <c r="AF7933" s="19" t="b">
        <f t="shared" si="13"/>
        <v>0</v>
      </c>
      <c r="AG7933" s="9"/>
      <c r="AH7933" s="9"/>
      <c r="AI7933" s="9"/>
    </row>
    <row r="7934" ht="15.0" customHeight="1">
      <c r="A7934" s="11">
        <v>7933.0</v>
      </c>
      <c r="B7934" s="12">
        <f t="shared" si="1264"/>
        <v>41186</v>
      </c>
      <c r="C7934" s="13">
        <v>2012.0</v>
      </c>
      <c r="D7934" s="11" t="s">
        <v>39</v>
      </c>
      <c r="E7934" s="11">
        <v>14.0</v>
      </c>
      <c r="F7934" s="14">
        <v>80.9</v>
      </c>
      <c r="G7934" s="15">
        <v>0.05419281232173399</v>
      </c>
      <c r="H7934" s="11" t="s">
        <v>33</v>
      </c>
      <c r="I7934" s="16">
        <v>28.0</v>
      </c>
      <c r="J7934" s="11" t="s">
        <v>2217</v>
      </c>
      <c r="K7934" s="11" t="s">
        <v>83</v>
      </c>
      <c r="L7934" s="11" t="s">
        <v>36</v>
      </c>
      <c r="M7934" s="11" t="s">
        <v>28</v>
      </c>
      <c r="N7934" s="11" t="s">
        <v>29</v>
      </c>
      <c r="O7934" s="11" t="s">
        <v>424</v>
      </c>
      <c r="P7934" s="11" t="s">
        <v>31</v>
      </c>
      <c r="Q7934" s="20">
        <v>41187.0</v>
      </c>
      <c r="R7934" s="17">
        <f t="shared" si="2"/>
        <v>62.89617798</v>
      </c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>
        <f t="shared" si="8"/>
        <v>2</v>
      </c>
      <c r="AF7934" s="19" t="b">
        <f t="shared" si="13"/>
        <v>0</v>
      </c>
      <c r="AG7934" s="9"/>
      <c r="AH7934" s="9"/>
      <c r="AI7934" s="9"/>
    </row>
    <row r="7935" ht="15.0" customHeight="1">
      <c r="A7935" s="11">
        <v>7934.0</v>
      </c>
      <c r="B7935" s="12">
        <f t="shared" si="1264"/>
        <v>41186</v>
      </c>
      <c r="C7935" s="13">
        <v>2012.0</v>
      </c>
      <c r="D7935" s="11" t="s">
        <v>39</v>
      </c>
      <c r="E7935" s="11">
        <v>8.0</v>
      </c>
      <c r="F7935" s="14">
        <v>179.2</v>
      </c>
      <c r="G7935" s="15">
        <v>0.07288688236769501</v>
      </c>
      <c r="H7935" s="11" t="s">
        <v>45</v>
      </c>
      <c r="I7935" s="16">
        <v>44.96000000000001</v>
      </c>
      <c r="J7935" s="11" t="s">
        <v>2217</v>
      </c>
      <c r="K7935" s="11" t="s">
        <v>83</v>
      </c>
      <c r="L7935" s="11" t="s">
        <v>36</v>
      </c>
      <c r="M7935" s="11" t="s">
        <v>49</v>
      </c>
      <c r="N7935" s="11" t="s">
        <v>85</v>
      </c>
      <c r="O7935" s="11" t="s">
        <v>2609</v>
      </c>
      <c r="P7935" s="11" t="s">
        <v>87</v>
      </c>
      <c r="Q7935" s="20">
        <v>41187.0</v>
      </c>
      <c r="R7935" s="17">
        <f t="shared" si="2"/>
        <v>107.7676288</v>
      </c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>
        <f t="shared" si="8"/>
        <v>2</v>
      </c>
      <c r="AF7935" s="19" t="b">
        <f t="shared" si="13"/>
        <v>0</v>
      </c>
      <c r="AG7935" s="9"/>
      <c r="AH7935" s="9"/>
      <c r="AI7935" s="9"/>
    </row>
    <row r="7936" ht="15.0" customHeight="1">
      <c r="A7936" s="11">
        <v>7935.0</v>
      </c>
      <c r="B7936" s="12">
        <f t="shared" si="1264"/>
        <v>41186</v>
      </c>
      <c r="C7936" s="13">
        <v>2012.0</v>
      </c>
      <c r="D7936" s="11" t="s">
        <v>23</v>
      </c>
      <c r="E7936" s="11">
        <v>18.0</v>
      </c>
      <c r="F7936" s="14">
        <v>4.2</v>
      </c>
      <c r="G7936" s="15">
        <v>0.07877133105802038</v>
      </c>
      <c r="H7936" s="11" t="s">
        <v>33</v>
      </c>
      <c r="I7936" s="16">
        <v>5.376</v>
      </c>
      <c r="J7936" s="11" t="s">
        <v>744</v>
      </c>
      <c r="K7936" s="11" t="s">
        <v>61</v>
      </c>
      <c r="L7936" s="11" t="s">
        <v>36</v>
      </c>
      <c r="M7936" s="11" t="s">
        <v>28</v>
      </c>
      <c r="N7936" s="11" t="s">
        <v>56</v>
      </c>
      <c r="O7936" s="11" t="s">
        <v>2233</v>
      </c>
      <c r="P7936" s="11" t="s">
        <v>38</v>
      </c>
      <c r="Q7936" s="20">
        <v>41188.0</v>
      </c>
      <c r="R7936" s="17">
        <f t="shared" si="2"/>
        <v>6.378587304</v>
      </c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>
        <f t="shared" si="8"/>
        <v>2</v>
      </c>
      <c r="AF7936" s="19">
        <f t="shared" si="13"/>
        <v>4</v>
      </c>
      <c r="AG7936" s="9"/>
      <c r="AH7936" s="9"/>
      <c r="AI7936" s="9"/>
    </row>
    <row r="7937" ht="15.0" customHeight="1">
      <c r="A7937" s="11">
        <v>7936.0</v>
      </c>
      <c r="B7937" s="12">
        <f t="shared" si="1264"/>
        <v>41186</v>
      </c>
      <c r="C7937" s="13">
        <v>2012.0</v>
      </c>
      <c r="D7937" s="11" t="s">
        <v>23</v>
      </c>
      <c r="E7937" s="11">
        <v>17.0</v>
      </c>
      <c r="F7937" s="14">
        <v>7.1</v>
      </c>
      <c r="G7937" s="15">
        <v>0.06522710349962783</v>
      </c>
      <c r="H7937" s="11" t="s">
        <v>33</v>
      </c>
      <c r="I7937" s="16">
        <v>4.84</v>
      </c>
      <c r="J7937" s="11" t="s">
        <v>744</v>
      </c>
      <c r="K7937" s="11" t="s">
        <v>61</v>
      </c>
      <c r="L7937" s="11" t="s">
        <v>36</v>
      </c>
      <c r="M7937" s="11" t="s">
        <v>28</v>
      </c>
      <c r="N7937" s="11" t="s">
        <v>42</v>
      </c>
      <c r="O7937" s="11" t="s">
        <v>640</v>
      </c>
      <c r="P7937" s="11" t="s">
        <v>38</v>
      </c>
      <c r="Q7937" s="20">
        <v>41188.0</v>
      </c>
      <c r="R7937" s="17">
        <f t="shared" si="2"/>
        <v>8.188610573</v>
      </c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>
        <f t="shared" si="8"/>
        <v>2</v>
      </c>
      <c r="AF7937" s="19">
        <f t="shared" si="13"/>
        <v>4</v>
      </c>
      <c r="AG7937" s="9"/>
      <c r="AH7937" s="9"/>
      <c r="AI7937" s="9"/>
    </row>
    <row r="7938" ht="15.0" customHeight="1">
      <c r="A7938" s="11">
        <v>7937.0</v>
      </c>
      <c r="B7938" s="12">
        <f t="shared" si="1264"/>
        <v>41186</v>
      </c>
      <c r="C7938" s="13">
        <v>2012.0</v>
      </c>
      <c r="D7938" s="11" t="s">
        <v>23</v>
      </c>
      <c r="E7938" s="11">
        <v>19.0</v>
      </c>
      <c r="F7938" s="14">
        <v>17.7</v>
      </c>
      <c r="G7938" s="15">
        <v>0.054392886913031305</v>
      </c>
      <c r="H7938" s="11" t="s">
        <v>33</v>
      </c>
      <c r="I7938" s="16">
        <v>4.024</v>
      </c>
      <c r="J7938" s="11" t="s">
        <v>744</v>
      </c>
      <c r="K7938" s="11" t="s">
        <v>61</v>
      </c>
      <c r="L7938" s="11" t="s">
        <v>36</v>
      </c>
      <c r="M7938" s="11" t="s">
        <v>49</v>
      </c>
      <c r="N7938" s="11" t="s">
        <v>73</v>
      </c>
      <c r="O7938" s="11" t="s">
        <v>2020</v>
      </c>
      <c r="P7938" s="11" t="s">
        <v>38</v>
      </c>
      <c r="Q7938" s="20">
        <v>41188.0</v>
      </c>
      <c r="R7938" s="17">
        <f t="shared" si="2"/>
        <v>18.51120485</v>
      </c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>
        <f t="shared" si="8"/>
        <v>2</v>
      </c>
      <c r="AF7938" s="19">
        <f t="shared" si="13"/>
        <v>4</v>
      </c>
      <c r="AG7938" s="9"/>
      <c r="AH7938" s="9"/>
      <c r="AI7938" s="9"/>
    </row>
    <row r="7939" ht="15.0" customHeight="1">
      <c r="A7939" s="11">
        <v>7938.0</v>
      </c>
      <c r="B7939" s="12">
        <f t="shared" si="1264"/>
        <v>41186</v>
      </c>
      <c r="C7939" s="13">
        <v>2012.0</v>
      </c>
      <c r="D7939" s="11" t="s">
        <v>23</v>
      </c>
      <c r="E7939" s="11">
        <v>15.0</v>
      </c>
      <c r="F7939" s="14">
        <v>30.9</v>
      </c>
      <c r="G7939" s="15">
        <v>0.010516315572077621</v>
      </c>
      <c r="H7939" s="11" t="s">
        <v>33</v>
      </c>
      <c r="I7939" s="16">
        <v>15.608000000000002</v>
      </c>
      <c r="J7939" s="11" t="s">
        <v>744</v>
      </c>
      <c r="K7939" s="11" t="s">
        <v>61</v>
      </c>
      <c r="L7939" s="11" t="s">
        <v>36</v>
      </c>
      <c r="M7939" s="11" t="s">
        <v>28</v>
      </c>
      <c r="N7939" s="11" t="s">
        <v>236</v>
      </c>
      <c r="O7939" s="11" t="s">
        <v>1241</v>
      </c>
      <c r="P7939" s="11" t="s">
        <v>38</v>
      </c>
      <c r="Q7939" s="20">
        <v>41188.0</v>
      </c>
      <c r="R7939" s="17">
        <f t="shared" si="2"/>
        <v>5.038450921</v>
      </c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>
        <f t="shared" si="8"/>
        <v>2</v>
      </c>
      <c r="AF7939" s="19">
        <f t="shared" si="13"/>
        <v>4</v>
      </c>
      <c r="AG7939" s="9"/>
      <c r="AH7939" s="9"/>
      <c r="AI7939" s="9"/>
    </row>
    <row r="7940" ht="15.0" customHeight="1">
      <c r="A7940" s="11">
        <v>7939.0</v>
      </c>
      <c r="B7940" s="12">
        <f t="shared" si="1264"/>
        <v>41186</v>
      </c>
      <c r="C7940" s="13">
        <v>2012.0</v>
      </c>
      <c r="D7940" s="11" t="s">
        <v>44</v>
      </c>
      <c r="E7940" s="11">
        <v>47.0</v>
      </c>
      <c r="F7940" s="14">
        <v>6.4</v>
      </c>
      <c r="G7940" s="15">
        <v>0.05537706928264857</v>
      </c>
      <c r="H7940" s="11" t="s">
        <v>24</v>
      </c>
      <c r="I7940" s="16">
        <v>7.336</v>
      </c>
      <c r="J7940" s="11" t="s">
        <v>72</v>
      </c>
      <c r="K7940" s="11" t="s">
        <v>61</v>
      </c>
      <c r="L7940" s="11" t="s">
        <v>27</v>
      </c>
      <c r="M7940" s="11" t="s">
        <v>28</v>
      </c>
      <c r="N7940" s="11" t="s">
        <v>56</v>
      </c>
      <c r="O7940" s="11" t="s">
        <v>241</v>
      </c>
      <c r="P7940" s="11" t="s">
        <v>38</v>
      </c>
      <c r="Q7940" s="20">
        <v>41188.0</v>
      </c>
      <c r="R7940" s="17">
        <f t="shared" si="2"/>
        <v>17.06366862</v>
      </c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>
        <f t="shared" si="8"/>
        <v>1</v>
      </c>
      <c r="AF7940" s="19">
        <f t="shared" si="13"/>
        <v>4</v>
      </c>
      <c r="AG7940" s="9"/>
      <c r="AH7940" s="9"/>
      <c r="AI7940" s="9"/>
    </row>
    <row r="7941" ht="15.0" customHeight="1">
      <c r="A7941" s="11">
        <v>7940.0</v>
      </c>
      <c r="B7941" s="12">
        <f t="shared" si="1264"/>
        <v>41186</v>
      </c>
      <c r="C7941" s="13">
        <v>2012.0</v>
      </c>
      <c r="D7941" s="11" t="s">
        <v>23</v>
      </c>
      <c r="E7941" s="11">
        <v>30.0</v>
      </c>
      <c r="F7941" s="14">
        <v>80.9</v>
      </c>
      <c r="G7941" s="15">
        <v>0.09414153346376757</v>
      </c>
      <c r="H7941" s="11" t="s">
        <v>45</v>
      </c>
      <c r="I7941" s="16">
        <v>26.880000000000003</v>
      </c>
      <c r="J7941" s="11" t="s">
        <v>1450</v>
      </c>
      <c r="K7941" s="11" t="s">
        <v>65</v>
      </c>
      <c r="L7941" s="11" t="s">
        <v>48</v>
      </c>
      <c r="M7941" s="11" t="s">
        <v>66</v>
      </c>
      <c r="N7941" s="11" t="s">
        <v>69</v>
      </c>
      <c r="O7941" s="11" t="s">
        <v>526</v>
      </c>
      <c r="P7941" s="11" t="s">
        <v>52</v>
      </c>
      <c r="Q7941" s="20">
        <v>41188.0</v>
      </c>
      <c r="R7941" s="17">
        <f t="shared" si="2"/>
        <v>231.0120261</v>
      </c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>
        <f t="shared" si="8"/>
        <v>4</v>
      </c>
      <c r="AF7941" s="19">
        <f t="shared" si="13"/>
        <v>5</v>
      </c>
      <c r="AG7941" s="9"/>
      <c r="AH7941" s="9"/>
      <c r="AI7941" s="9"/>
    </row>
    <row r="7942" ht="15.0" customHeight="1">
      <c r="A7942" s="11">
        <v>7941.0</v>
      </c>
      <c r="B7942" s="12">
        <f t="shared" si="1264"/>
        <v>41186</v>
      </c>
      <c r="C7942" s="13">
        <v>2012.0</v>
      </c>
      <c r="D7942" s="11" t="s">
        <v>23</v>
      </c>
      <c r="E7942" s="11">
        <v>25.0</v>
      </c>
      <c r="F7942" s="14">
        <v>9.0</v>
      </c>
      <c r="G7942" s="15">
        <v>0.07913009094503756</v>
      </c>
      <c r="H7942" s="11" t="s">
        <v>33</v>
      </c>
      <c r="I7942" s="16">
        <v>7.888</v>
      </c>
      <c r="J7942" s="11" t="s">
        <v>1450</v>
      </c>
      <c r="K7942" s="11" t="s">
        <v>65</v>
      </c>
      <c r="L7942" s="11" t="s">
        <v>48</v>
      </c>
      <c r="M7942" s="11" t="s">
        <v>28</v>
      </c>
      <c r="N7942" s="11" t="s">
        <v>56</v>
      </c>
      <c r="O7942" s="11" t="s">
        <v>1204</v>
      </c>
      <c r="P7942" s="11" t="s">
        <v>38</v>
      </c>
      <c r="Q7942" s="20">
        <v>41188.0</v>
      </c>
      <c r="R7942" s="17">
        <f t="shared" si="2"/>
        <v>18.42844862</v>
      </c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>
        <f t="shared" si="8"/>
        <v>4</v>
      </c>
      <c r="AF7942" s="19">
        <f t="shared" si="13"/>
        <v>5</v>
      </c>
      <c r="AG7942" s="9"/>
      <c r="AH7942" s="9"/>
      <c r="AI7942" s="9"/>
    </row>
    <row r="7943" ht="15.0" customHeight="1">
      <c r="A7943" s="11">
        <v>7942.0</v>
      </c>
      <c r="B7943" s="12">
        <f t="shared" ref="B7943:B7948" si="1265">DATE(2012,12,31)-87</f>
        <v>41187</v>
      </c>
      <c r="C7943" s="13">
        <v>2012.0</v>
      </c>
      <c r="D7943" s="11" t="s">
        <v>39</v>
      </c>
      <c r="E7943" s="11">
        <v>3.0</v>
      </c>
      <c r="F7943" s="14">
        <v>15.9</v>
      </c>
      <c r="G7943" s="15">
        <v>0.06510433386837877</v>
      </c>
      <c r="H7943" s="11" t="s">
        <v>33</v>
      </c>
      <c r="I7943" s="16">
        <v>10.544</v>
      </c>
      <c r="J7943" s="11" t="s">
        <v>928</v>
      </c>
      <c r="K7943" s="11" t="s">
        <v>61</v>
      </c>
      <c r="L7943" s="11" t="s">
        <v>36</v>
      </c>
      <c r="M7943" s="11" t="s">
        <v>28</v>
      </c>
      <c r="N7943" s="11" t="s">
        <v>42</v>
      </c>
      <c r="O7943" s="11" t="s">
        <v>185</v>
      </c>
      <c r="P7943" s="11" t="s">
        <v>38</v>
      </c>
      <c r="Q7943" s="20">
        <v>41188.0</v>
      </c>
      <c r="R7943" s="17">
        <f t="shared" si="2"/>
        <v>3.791936822</v>
      </c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>
        <f t="shared" si="8"/>
        <v>2</v>
      </c>
      <c r="AF7943" s="19">
        <f t="shared" si="13"/>
        <v>4</v>
      </c>
      <c r="AG7943" s="9"/>
      <c r="AH7943" s="9"/>
      <c r="AI7943" s="9"/>
    </row>
    <row r="7944" ht="15.0" customHeight="1">
      <c r="A7944" s="11">
        <v>7943.0</v>
      </c>
      <c r="B7944" s="12">
        <f t="shared" si="1265"/>
        <v>41187</v>
      </c>
      <c r="C7944" s="13">
        <v>2012.0</v>
      </c>
      <c r="D7944" s="11" t="s">
        <v>39</v>
      </c>
      <c r="E7944" s="11">
        <v>24.0</v>
      </c>
      <c r="F7944" s="14">
        <v>125.9</v>
      </c>
      <c r="G7944" s="15">
        <v>0.03497913465470408</v>
      </c>
      <c r="H7944" s="11" t="s">
        <v>33</v>
      </c>
      <c r="I7944" s="16">
        <v>6.152000000000001</v>
      </c>
      <c r="J7944" s="11" t="s">
        <v>928</v>
      </c>
      <c r="K7944" s="11" t="s">
        <v>61</v>
      </c>
      <c r="L7944" s="11" t="s">
        <v>36</v>
      </c>
      <c r="M7944" s="11" t="s">
        <v>66</v>
      </c>
      <c r="N7944" s="11" t="s">
        <v>80</v>
      </c>
      <c r="O7944" s="11" t="s">
        <v>589</v>
      </c>
      <c r="P7944" s="11" t="s">
        <v>38</v>
      </c>
      <c r="Q7944" s="20">
        <v>41188.0</v>
      </c>
      <c r="R7944" s="17">
        <f t="shared" si="2"/>
        <v>105.9081449</v>
      </c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>
        <f t="shared" si="8"/>
        <v>2</v>
      </c>
      <c r="AF7944" s="19">
        <f t="shared" si="13"/>
        <v>4</v>
      </c>
      <c r="AG7944" s="9"/>
      <c r="AH7944" s="9"/>
      <c r="AI7944" s="9"/>
    </row>
    <row r="7945" ht="15.0" customHeight="1">
      <c r="A7945" s="11">
        <v>7944.0</v>
      </c>
      <c r="B7945" s="12">
        <f t="shared" si="1265"/>
        <v>41187</v>
      </c>
      <c r="C7945" s="13">
        <v>2012.0</v>
      </c>
      <c r="D7945" s="11" t="s">
        <v>44</v>
      </c>
      <c r="E7945" s="11">
        <v>41.0</v>
      </c>
      <c r="F7945" s="14">
        <v>3.1</v>
      </c>
      <c r="G7945" s="15">
        <v>0.07211062590975255</v>
      </c>
      <c r="H7945" s="11" t="s">
        <v>33</v>
      </c>
      <c r="I7945" s="16">
        <v>0.392</v>
      </c>
      <c r="J7945" s="11" t="s">
        <v>1009</v>
      </c>
      <c r="K7945" s="11" t="s">
        <v>65</v>
      </c>
      <c r="L7945" s="11" t="s">
        <v>36</v>
      </c>
      <c r="M7945" s="11" t="s">
        <v>28</v>
      </c>
      <c r="N7945" s="11" t="s">
        <v>188</v>
      </c>
      <c r="O7945" s="11" t="s">
        <v>1371</v>
      </c>
      <c r="P7945" s="11" t="s">
        <v>38</v>
      </c>
      <c r="Q7945" s="20">
        <v>41188.0</v>
      </c>
      <c r="R7945" s="17">
        <f t="shared" si="2"/>
        <v>9.193527918</v>
      </c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>
        <f t="shared" si="8"/>
        <v>2</v>
      </c>
      <c r="AF7945" s="19">
        <f t="shared" si="13"/>
        <v>5</v>
      </c>
      <c r="AG7945" s="9"/>
      <c r="AH7945" s="9"/>
      <c r="AI7945" s="9"/>
    </row>
    <row r="7946" ht="15.0" customHeight="1">
      <c r="A7946" s="11">
        <v>7945.0</v>
      </c>
      <c r="B7946" s="12">
        <f t="shared" si="1265"/>
        <v>41187</v>
      </c>
      <c r="C7946" s="13">
        <v>2012.0</v>
      </c>
      <c r="D7946" s="11" t="s">
        <v>39</v>
      </c>
      <c r="E7946" s="11">
        <v>14.0</v>
      </c>
      <c r="F7946" s="14">
        <v>6.7</v>
      </c>
      <c r="G7946" s="15">
        <v>0.07773729626078624</v>
      </c>
      <c r="H7946" s="11" t="s">
        <v>33</v>
      </c>
      <c r="I7946" s="16">
        <v>2.3920000000000003</v>
      </c>
      <c r="J7946" s="11" t="s">
        <v>2255</v>
      </c>
      <c r="K7946" s="11" t="s">
        <v>61</v>
      </c>
      <c r="L7946" s="11" t="s">
        <v>48</v>
      </c>
      <c r="M7946" s="11" t="s">
        <v>28</v>
      </c>
      <c r="N7946" s="11" t="s">
        <v>42</v>
      </c>
      <c r="O7946" s="11" t="s">
        <v>1576</v>
      </c>
      <c r="P7946" s="11" t="s">
        <v>38</v>
      </c>
      <c r="Q7946" s="20">
        <v>41189.0</v>
      </c>
      <c r="R7946" s="17">
        <f t="shared" si="2"/>
        <v>7.477706002</v>
      </c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>
        <f t="shared" si="8"/>
        <v>4</v>
      </c>
      <c r="AF7946" s="19">
        <f t="shared" si="13"/>
        <v>4</v>
      </c>
      <c r="AG7946" s="9"/>
      <c r="AH7946" s="9"/>
      <c r="AI7946" s="9"/>
    </row>
    <row r="7947" ht="15.0" customHeight="1">
      <c r="A7947" s="11">
        <v>7946.0</v>
      </c>
      <c r="B7947" s="12">
        <f t="shared" si="1265"/>
        <v>41187</v>
      </c>
      <c r="C7947" s="13">
        <v>2012.0</v>
      </c>
      <c r="D7947" s="11" t="s">
        <v>39</v>
      </c>
      <c r="E7947" s="11">
        <v>31.0</v>
      </c>
      <c r="F7947" s="14">
        <v>10.9</v>
      </c>
      <c r="G7947" s="15">
        <v>0.009812409812409746</v>
      </c>
      <c r="H7947" s="11" t="s">
        <v>33</v>
      </c>
      <c r="I7947" s="16">
        <v>5.2</v>
      </c>
      <c r="J7947" s="11" t="s">
        <v>2255</v>
      </c>
      <c r="K7947" s="11" t="s">
        <v>61</v>
      </c>
      <c r="L7947" s="11" t="s">
        <v>48</v>
      </c>
      <c r="M7947" s="11" t="s">
        <v>66</v>
      </c>
      <c r="N7947" s="11" t="s">
        <v>67</v>
      </c>
      <c r="O7947" s="11" t="s">
        <v>1974</v>
      </c>
      <c r="P7947" s="11" t="s">
        <v>38</v>
      </c>
      <c r="Q7947" s="20">
        <v>41189.0</v>
      </c>
      <c r="R7947" s="17">
        <f t="shared" si="2"/>
        <v>3.366637807</v>
      </c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>
        <f t="shared" si="8"/>
        <v>4</v>
      </c>
      <c r="AF7947" s="19">
        <f t="shared" si="13"/>
        <v>4</v>
      </c>
      <c r="AG7947" s="9"/>
      <c r="AH7947" s="9"/>
      <c r="AI7947" s="9"/>
    </row>
    <row r="7948" ht="15.0" customHeight="1">
      <c r="A7948" s="11">
        <v>7947.0</v>
      </c>
      <c r="B7948" s="12">
        <f t="shared" si="1265"/>
        <v>41187</v>
      </c>
      <c r="C7948" s="13">
        <v>2012.0</v>
      </c>
      <c r="D7948" s="11" t="s">
        <v>39</v>
      </c>
      <c r="E7948" s="11">
        <v>47.0</v>
      </c>
      <c r="F7948" s="14">
        <v>227.5</v>
      </c>
      <c r="G7948" s="15">
        <v>0.08331830971460828</v>
      </c>
      <c r="H7948" s="11" t="s">
        <v>45</v>
      </c>
      <c r="I7948" s="16">
        <v>25.983999999999998</v>
      </c>
      <c r="J7948" s="11" t="s">
        <v>1865</v>
      </c>
      <c r="K7948" s="11" t="s">
        <v>65</v>
      </c>
      <c r="L7948" s="11" t="s">
        <v>48</v>
      </c>
      <c r="M7948" s="11" t="s">
        <v>49</v>
      </c>
      <c r="N7948" s="11" t="s">
        <v>85</v>
      </c>
      <c r="O7948" s="11" t="s">
        <v>1279</v>
      </c>
      <c r="P7948" s="11" t="s">
        <v>87</v>
      </c>
      <c r="Q7948" s="20">
        <v>41189.0</v>
      </c>
      <c r="R7948" s="17">
        <f t="shared" si="2"/>
        <v>893.0459696</v>
      </c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>
        <f t="shared" si="8"/>
        <v>4</v>
      </c>
      <c r="AF7948" s="19">
        <f t="shared" si="13"/>
        <v>5</v>
      </c>
      <c r="AG7948" s="9"/>
      <c r="AH7948" s="9"/>
      <c r="AI7948" s="9"/>
    </row>
    <row r="7949" ht="15.0" customHeight="1">
      <c r="A7949" s="11">
        <v>7948.0</v>
      </c>
      <c r="B7949" s="12">
        <f t="shared" ref="B7949:B7954" si="1266">DATE(2012,12,31)-86</f>
        <v>41188</v>
      </c>
      <c r="C7949" s="13">
        <v>2012.0</v>
      </c>
      <c r="D7949" s="11" t="s">
        <v>32</v>
      </c>
      <c r="E7949" s="11">
        <v>16.0</v>
      </c>
      <c r="F7949" s="14">
        <v>7.1</v>
      </c>
      <c r="G7949" s="15">
        <v>0.04790996784565923</v>
      </c>
      <c r="H7949" s="11" t="s">
        <v>33</v>
      </c>
      <c r="I7949" s="16">
        <v>4.84</v>
      </c>
      <c r="J7949" s="11" t="s">
        <v>1110</v>
      </c>
      <c r="K7949" s="11" t="s">
        <v>61</v>
      </c>
      <c r="L7949" s="11" t="s">
        <v>48</v>
      </c>
      <c r="M7949" s="11" t="s">
        <v>28</v>
      </c>
      <c r="N7949" s="11" t="s">
        <v>42</v>
      </c>
      <c r="O7949" s="11" t="s">
        <v>640</v>
      </c>
      <c r="P7949" s="11" t="s">
        <v>38</v>
      </c>
      <c r="Q7949" s="20">
        <v>41189.0</v>
      </c>
      <c r="R7949" s="17">
        <f t="shared" si="2"/>
        <v>5.674456592</v>
      </c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>
        <f t="shared" si="8"/>
        <v>4</v>
      </c>
      <c r="AF7949" s="19">
        <f t="shared" si="13"/>
        <v>4</v>
      </c>
      <c r="AG7949" s="9"/>
      <c r="AH7949" s="9"/>
      <c r="AI7949" s="9"/>
    </row>
    <row r="7950" ht="15.0" customHeight="1">
      <c r="A7950" s="11">
        <v>7949.0</v>
      </c>
      <c r="B7950" s="12">
        <f t="shared" si="1266"/>
        <v>41188</v>
      </c>
      <c r="C7950" s="13">
        <v>2012.0</v>
      </c>
      <c r="D7950" s="11" t="s">
        <v>32</v>
      </c>
      <c r="E7950" s="11">
        <v>3.0</v>
      </c>
      <c r="F7950" s="14">
        <v>6.4</v>
      </c>
      <c r="G7950" s="15">
        <v>0.11553903345724896</v>
      </c>
      <c r="H7950" s="11" t="s">
        <v>33</v>
      </c>
      <c r="I7950" s="16">
        <v>4.5920000000000005</v>
      </c>
      <c r="J7950" s="11" t="s">
        <v>232</v>
      </c>
      <c r="K7950" s="11" t="s">
        <v>47</v>
      </c>
      <c r="L7950" s="11" t="s">
        <v>36</v>
      </c>
      <c r="M7950" s="11" t="s">
        <v>28</v>
      </c>
      <c r="N7950" s="11" t="s">
        <v>56</v>
      </c>
      <c r="O7950" s="11" t="s">
        <v>2053</v>
      </c>
      <c r="P7950" s="11" t="s">
        <v>38</v>
      </c>
      <c r="Q7950" s="20">
        <v>41189.0</v>
      </c>
      <c r="R7950" s="17">
        <f t="shared" si="2"/>
        <v>2.748904684</v>
      </c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>
        <f t="shared" si="8"/>
        <v>2</v>
      </c>
      <c r="AF7950" s="19">
        <f t="shared" si="13"/>
        <v>3</v>
      </c>
      <c r="AG7950" s="9"/>
      <c r="AH7950" s="9"/>
      <c r="AI7950" s="9"/>
    </row>
    <row r="7951" ht="15.0" customHeight="1">
      <c r="A7951" s="11">
        <v>7950.0</v>
      </c>
      <c r="B7951" s="12">
        <f t="shared" si="1266"/>
        <v>41188</v>
      </c>
      <c r="C7951" s="13">
        <v>2012.0</v>
      </c>
      <c r="D7951" s="11" t="s">
        <v>102</v>
      </c>
      <c r="E7951" s="11">
        <v>11.0</v>
      </c>
      <c r="F7951" s="14">
        <v>2.6</v>
      </c>
      <c r="G7951" s="15">
        <v>0.09436201780415429</v>
      </c>
      <c r="H7951" s="11" t="s">
        <v>33</v>
      </c>
      <c r="I7951" s="16">
        <v>1.92</v>
      </c>
      <c r="J7951" s="11" t="s">
        <v>248</v>
      </c>
      <c r="K7951" s="11" t="s">
        <v>117</v>
      </c>
      <c r="L7951" s="11" t="s">
        <v>48</v>
      </c>
      <c r="M7951" s="11" t="s">
        <v>28</v>
      </c>
      <c r="N7951" s="11" t="s">
        <v>62</v>
      </c>
      <c r="O7951" s="11" t="s">
        <v>212</v>
      </c>
      <c r="P7951" s="11" t="s">
        <v>58</v>
      </c>
      <c r="Q7951" s="20">
        <v>41190.0</v>
      </c>
      <c r="R7951" s="17">
        <f t="shared" si="2"/>
        <v>2.879928783</v>
      </c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>
        <f t="shared" si="8"/>
        <v>4</v>
      </c>
      <c r="AF7951" s="19" t="b">
        <f t="shared" si="13"/>
        <v>0</v>
      </c>
      <c r="AG7951" s="9"/>
      <c r="AH7951" s="9"/>
      <c r="AI7951" s="9"/>
    </row>
    <row r="7952" ht="15.0" customHeight="1">
      <c r="A7952" s="11">
        <v>7951.0</v>
      </c>
      <c r="B7952" s="12">
        <f t="shared" si="1266"/>
        <v>41188</v>
      </c>
      <c r="C7952" s="13">
        <v>2012.0</v>
      </c>
      <c r="D7952" s="11" t="s">
        <v>102</v>
      </c>
      <c r="E7952" s="11">
        <v>8.0</v>
      </c>
      <c r="F7952" s="14">
        <v>14.9</v>
      </c>
      <c r="G7952" s="15">
        <v>0.08002939015429829</v>
      </c>
      <c r="H7952" s="11" t="s">
        <v>33</v>
      </c>
      <c r="I7952" s="16">
        <v>6.008</v>
      </c>
      <c r="J7952" s="11" t="s">
        <v>248</v>
      </c>
      <c r="K7952" s="11" t="s">
        <v>117</v>
      </c>
      <c r="L7952" s="11" t="s">
        <v>48</v>
      </c>
      <c r="M7952" s="11" t="s">
        <v>28</v>
      </c>
      <c r="N7952" s="11" t="s">
        <v>29</v>
      </c>
      <c r="O7952" s="11" t="s">
        <v>1177</v>
      </c>
      <c r="P7952" s="11" t="s">
        <v>38</v>
      </c>
      <c r="Q7952" s="20">
        <v>41190.0</v>
      </c>
      <c r="R7952" s="17">
        <f t="shared" si="2"/>
        <v>10.02031988</v>
      </c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>
        <f t="shared" si="8"/>
        <v>4</v>
      </c>
      <c r="AF7952" s="19" t="b">
        <f t="shared" si="13"/>
        <v>0</v>
      </c>
      <c r="AG7952" s="9"/>
      <c r="AH7952" s="9"/>
      <c r="AI7952" s="9"/>
    </row>
    <row r="7953" ht="15.0" customHeight="1">
      <c r="A7953" s="11">
        <v>7952.0</v>
      </c>
      <c r="B7953" s="12">
        <f t="shared" si="1266"/>
        <v>41188</v>
      </c>
      <c r="C7953" s="13">
        <v>2012.0</v>
      </c>
      <c r="D7953" s="11" t="s">
        <v>23</v>
      </c>
      <c r="E7953" s="11">
        <v>50.0</v>
      </c>
      <c r="F7953" s="14">
        <v>7.6</v>
      </c>
      <c r="G7953" s="15">
        <v>0.01796272657646158</v>
      </c>
      <c r="H7953" s="11" t="s">
        <v>33</v>
      </c>
      <c r="I7953" s="16">
        <v>4.664000000000001</v>
      </c>
      <c r="J7953" s="11" t="s">
        <v>40</v>
      </c>
      <c r="K7953" s="11" t="s">
        <v>35</v>
      </c>
      <c r="L7953" s="11" t="s">
        <v>41</v>
      </c>
      <c r="M7953" s="11" t="s">
        <v>28</v>
      </c>
      <c r="N7953" s="11" t="s">
        <v>56</v>
      </c>
      <c r="O7953" s="11" t="s">
        <v>95</v>
      </c>
      <c r="P7953" s="11" t="s">
        <v>58</v>
      </c>
      <c r="Q7953" s="20">
        <v>41190.0</v>
      </c>
      <c r="R7953" s="17">
        <f t="shared" si="2"/>
        <v>6.909614256</v>
      </c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>
        <f t="shared" si="8"/>
        <v>3</v>
      </c>
      <c r="AF7953" s="19">
        <f t="shared" si="13"/>
        <v>2</v>
      </c>
      <c r="AG7953" s="9"/>
      <c r="AH7953" s="9"/>
      <c r="AI7953" s="9"/>
    </row>
    <row r="7954" ht="15.0" customHeight="1">
      <c r="A7954" s="11">
        <v>7953.0</v>
      </c>
      <c r="B7954" s="12">
        <f t="shared" si="1266"/>
        <v>41188</v>
      </c>
      <c r="C7954" s="13">
        <v>2012.0</v>
      </c>
      <c r="D7954" s="11" t="s">
        <v>102</v>
      </c>
      <c r="E7954" s="11">
        <v>34.0</v>
      </c>
      <c r="F7954" s="14">
        <v>205.9</v>
      </c>
      <c r="G7954" s="15">
        <v>0.0915370953732871</v>
      </c>
      <c r="H7954" s="11" t="s">
        <v>33</v>
      </c>
      <c r="I7954" s="16">
        <v>7.192</v>
      </c>
      <c r="J7954" s="11" t="s">
        <v>2417</v>
      </c>
      <c r="K7954" s="11" t="s">
        <v>65</v>
      </c>
      <c r="L7954" s="11" t="s">
        <v>36</v>
      </c>
      <c r="M7954" s="11" t="s">
        <v>66</v>
      </c>
      <c r="N7954" s="11" t="s">
        <v>80</v>
      </c>
      <c r="O7954" s="11" t="s">
        <v>615</v>
      </c>
      <c r="P7954" s="11" t="s">
        <v>38</v>
      </c>
      <c r="Q7954" s="20">
        <v>41190.0</v>
      </c>
      <c r="R7954" s="17">
        <f t="shared" si="2"/>
        <v>641.4729247</v>
      </c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>
        <f t="shared" si="8"/>
        <v>2</v>
      </c>
      <c r="AF7954" s="19">
        <f t="shared" si="13"/>
        <v>5</v>
      </c>
      <c r="AG7954" s="9"/>
      <c r="AH7954" s="9"/>
      <c r="AI7954" s="9"/>
    </row>
    <row r="7955" ht="15.0" customHeight="1">
      <c r="A7955" s="11">
        <v>7954.0</v>
      </c>
      <c r="B7955" s="12">
        <f t="shared" ref="B7955:B7963" si="1267">DATE(2012,12,31)-85</f>
        <v>41189</v>
      </c>
      <c r="C7955" s="13">
        <v>2012.0</v>
      </c>
      <c r="D7955" s="11" t="s">
        <v>32</v>
      </c>
      <c r="E7955" s="11">
        <v>44.0</v>
      </c>
      <c r="F7955" s="14">
        <v>115.9</v>
      </c>
      <c r="G7955" s="15">
        <v>0.01087075330917259</v>
      </c>
      <c r="H7955" s="11" t="s">
        <v>33</v>
      </c>
      <c r="I7955" s="16">
        <v>4.208</v>
      </c>
      <c r="J7955" s="11" t="s">
        <v>510</v>
      </c>
      <c r="K7955" s="11" t="s">
        <v>35</v>
      </c>
      <c r="L7955" s="11" t="s">
        <v>27</v>
      </c>
      <c r="M7955" s="11" t="s">
        <v>66</v>
      </c>
      <c r="N7955" s="11" t="s">
        <v>80</v>
      </c>
      <c r="O7955" s="11">
        <v>636.0</v>
      </c>
      <c r="P7955" s="11" t="s">
        <v>38</v>
      </c>
      <c r="Q7955" s="20">
        <v>41190.0</v>
      </c>
      <c r="R7955" s="17">
        <f t="shared" si="2"/>
        <v>55.48223771</v>
      </c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>
        <f t="shared" si="8"/>
        <v>1</v>
      </c>
      <c r="AF7955" s="19">
        <f t="shared" si="13"/>
        <v>2</v>
      </c>
      <c r="AG7955" s="9"/>
      <c r="AH7955" s="9"/>
      <c r="AI7955" s="9"/>
    </row>
    <row r="7956" ht="15.0" customHeight="1">
      <c r="A7956" s="11">
        <v>7955.0</v>
      </c>
      <c r="B7956" s="12">
        <f t="shared" si="1267"/>
        <v>41189</v>
      </c>
      <c r="C7956" s="13">
        <v>2012.0</v>
      </c>
      <c r="D7956" s="11" t="s">
        <v>32</v>
      </c>
      <c r="E7956" s="11">
        <v>38.0</v>
      </c>
      <c r="F7956" s="14">
        <v>43.5</v>
      </c>
      <c r="G7956" s="15">
        <v>0.09412353197042196</v>
      </c>
      <c r="H7956" s="11" t="s">
        <v>33</v>
      </c>
      <c r="I7956" s="16">
        <v>13.088000000000001</v>
      </c>
      <c r="J7956" s="11" t="s">
        <v>1801</v>
      </c>
      <c r="K7956" s="11" t="s">
        <v>26</v>
      </c>
      <c r="L7956" s="11" t="s">
        <v>48</v>
      </c>
      <c r="M7956" s="11" t="s">
        <v>28</v>
      </c>
      <c r="N7956" s="11" t="s">
        <v>29</v>
      </c>
      <c r="O7956" s="11" t="s">
        <v>2031</v>
      </c>
      <c r="P7956" s="11" t="s">
        <v>38</v>
      </c>
      <c r="Q7956" s="20">
        <v>41190.0</v>
      </c>
      <c r="R7956" s="17">
        <f t="shared" si="2"/>
        <v>156.8180871</v>
      </c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>
        <f t="shared" si="8"/>
        <v>4</v>
      </c>
      <c r="AF7956" s="19">
        <f t="shared" si="13"/>
        <v>1</v>
      </c>
      <c r="AG7956" s="9"/>
      <c r="AH7956" s="9"/>
      <c r="AI7956" s="9"/>
    </row>
    <row r="7957" ht="15.0" customHeight="1">
      <c r="A7957" s="11">
        <v>7956.0</v>
      </c>
      <c r="B7957" s="12">
        <f t="shared" si="1267"/>
        <v>41189</v>
      </c>
      <c r="C7957" s="13">
        <v>2012.0</v>
      </c>
      <c r="D7957" s="11" t="s">
        <v>23</v>
      </c>
      <c r="E7957" s="11">
        <v>36.0</v>
      </c>
      <c r="F7957" s="14">
        <v>320.9</v>
      </c>
      <c r="G7957" s="15">
        <v>0.020844975309163086</v>
      </c>
      <c r="H7957" s="11" t="s">
        <v>45</v>
      </c>
      <c r="I7957" s="16">
        <v>47.160000000000004</v>
      </c>
      <c r="J7957" s="11" t="s">
        <v>821</v>
      </c>
      <c r="K7957" s="11" t="s">
        <v>117</v>
      </c>
      <c r="L7957" s="11" t="s">
        <v>27</v>
      </c>
      <c r="M7957" s="11" t="s">
        <v>49</v>
      </c>
      <c r="N7957" s="11" t="s">
        <v>50</v>
      </c>
      <c r="O7957" s="11" t="s">
        <v>311</v>
      </c>
      <c r="P7957" s="11" t="s">
        <v>52</v>
      </c>
      <c r="Q7957" s="20">
        <v>41190.0</v>
      </c>
      <c r="R7957" s="17">
        <f t="shared" si="2"/>
        <v>241.7925418</v>
      </c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>
        <f t="shared" si="8"/>
        <v>1</v>
      </c>
      <c r="AF7957" s="19" t="b">
        <f t="shared" si="13"/>
        <v>0</v>
      </c>
      <c r="AG7957" s="9"/>
      <c r="AH7957" s="9"/>
      <c r="AI7957" s="9"/>
    </row>
    <row r="7958" ht="15.0" customHeight="1">
      <c r="A7958" s="11">
        <v>7957.0</v>
      </c>
      <c r="B7958" s="12">
        <f t="shared" si="1267"/>
        <v>41189</v>
      </c>
      <c r="C7958" s="13">
        <v>2012.0</v>
      </c>
      <c r="D7958" s="11" t="s">
        <v>23</v>
      </c>
      <c r="E7958" s="11">
        <v>5.0</v>
      </c>
      <c r="F7958" s="14">
        <v>18.9</v>
      </c>
      <c r="G7958" s="15">
        <v>0.10301818181818176</v>
      </c>
      <c r="H7958" s="11" t="s">
        <v>24</v>
      </c>
      <c r="I7958" s="16">
        <v>4.168</v>
      </c>
      <c r="J7958" s="11" t="s">
        <v>821</v>
      </c>
      <c r="K7958" s="11" t="s">
        <v>117</v>
      </c>
      <c r="L7958" s="11" t="s">
        <v>27</v>
      </c>
      <c r="M7958" s="11" t="s">
        <v>28</v>
      </c>
      <c r="N7958" s="11" t="s">
        <v>56</v>
      </c>
      <c r="O7958" s="11" t="s">
        <v>2397</v>
      </c>
      <c r="P7958" s="11" t="s">
        <v>38</v>
      </c>
      <c r="Q7958" s="20">
        <v>41190.0</v>
      </c>
      <c r="R7958" s="17">
        <f t="shared" si="2"/>
        <v>10.16459796</v>
      </c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>
        <f t="shared" si="8"/>
        <v>1</v>
      </c>
      <c r="AF7958" s="19" t="b">
        <f t="shared" si="13"/>
        <v>0</v>
      </c>
      <c r="AG7958" s="9"/>
      <c r="AH7958" s="9"/>
      <c r="AI7958" s="9"/>
    </row>
    <row r="7959" ht="15.0" customHeight="1">
      <c r="A7959" s="11">
        <v>7958.0</v>
      </c>
      <c r="B7959" s="12">
        <f t="shared" si="1267"/>
        <v>41189</v>
      </c>
      <c r="C7959" s="13">
        <v>2012.0</v>
      </c>
      <c r="D7959" s="11" t="s">
        <v>23</v>
      </c>
      <c r="E7959" s="11">
        <v>32.0</v>
      </c>
      <c r="F7959" s="14">
        <v>48.9</v>
      </c>
      <c r="G7959" s="15">
        <v>0.020503026898832984</v>
      </c>
      <c r="H7959" s="11" t="s">
        <v>33</v>
      </c>
      <c r="I7959" s="16">
        <v>4.648</v>
      </c>
      <c r="J7959" s="11" t="s">
        <v>821</v>
      </c>
      <c r="K7959" s="11" t="s">
        <v>117</v>
      </c>
      <c r="L7959" s="11" t="s">
        <v>27</v>
      </c>
      <c r="M7959" s="11" t="s">
        <v>28</v>
      </c>
      <c r="N7959" s="11" t="s">
        <v>56</v>
      </c>
      <c r="O7959" s="11" t="s">
        <v>378</v>
      </c>
      <c r="P7959" s="11" t="s">
        <v>38</v>
      </c>
      <c r="Q7959" s="20">
        <v>41190.0</v>
      </c>
      <c r="R7959" s="17">
        <f t="shared" si="2"/>
        <v>32.17843456</v>
      </c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>
        <f t="shared" si="8"/>
        <v>1</v>
      </c>
      <c r="AF7959" s="19" t="b">
        <f t="shared" si="13"/>
        <v>0</v>
      </c>
      <c r="AG7959" s="9"/>
      <c r="AH7959" s="9"/>
      <c r="AI7959" s="9"/>
    </row>
    <row r="7960" ht="15.0" customHeight="1">
      <c r="A7960" s="11">
        <v>7959.0</v>
      </c>
      <c r="B7960" s="12">
        <f t="shared" si="1267"/>
        <v>41189</v>
      </c>
      <c r="C7960" s="13">
        <v>2012.0</v>
      </c>
      <c r="D7960" s="11" t="s">
        <v>23</v>
      </c>
      <c r="E7960" s="11">
        <v>23.0</v>
      </c>
      <c r="F7960" s="14">
        <v>48.9</v>
      </c>
      <c r="G7960" s="15">
        <v>0.04871509510319707</v>
      </c>
      <c r="H7960" s="11" t="s">
        <v>33</v>
      </c>
      <c r="I7960" s="16">
        <v>3.6</v>
      </c>
      <c r="J7960" s="11" t="s">
        <v>1021</v>
      </c>
      <c r="K7960" s="11" t="s">
        <v>61</v>
      </c>
      <c r="L7960" s="11" t="s">
        <v>27</v>
      </c>
      <c r="M7960" s="11" t="s">
        <v>28</v>
      </c>
      <c r="N7960" s="11" t="s">
        <v>197</v>
      </c>
      <c r="O7960" s="11" t="s">
        <v>2179</v>
      </c>
      <c r="P7960" s="11" t="s">
        <v>38</v>
      </c>
      <c r="Q7960" s="20">
        <v>41190.0</v>
      </c>
      <c r="R7960" s="17">
        <f t="shared" si="2"/>
        <v>54.9652418</v>
      </c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>
        <f t="shared" si="8"/>
        <v>1</v>
      </c>
      <c r="AF7960" s="19">
        <f t="shared" si="13"/>
        <v>4</v>
      </c>
      <c r="AG7960" s="9"/>
      <c r="AH7960" s="9"/>
      <c r="AI7960" s="9"/>
    </row>
    <row r="7961" ht="15.0" customHeight="1">
      <c r="A7961" s="11">
        <v>7960.0</v>
      </c>
      <c r="B7961" s="12">
        <f t="shared" si="1267"/>
        <v>41189</v>
      </c>
      <c r="C7961" s="13">
        <v>2012.0</v>
      </c>
      <c r="D7961" s="11" t="s">
        <v>23</v>
      </c>
      <c r="E7961" s="11">
        <v>2.0</v>
      </c>
      <c r="F7961" s="14">
        <v>7.3</v>
      </c>
      <c r="G7961" s="15">
        <v>0.11887323943661972</v>
      </c>
      <c r="H7961" s="11" t="s">
        <v>33</v>
      </c>
      <c r="I7961" s="16">
        <v>4.168</v>
      </c>
      <c r="J7961" s="11" t="s">
        <v>1021</v>
      </c>
      <c r="K7961" s="11" t="s">
        <v>61</v>
      </c>
      <c r="L7961" s="11" t="s">
        <v>27</v>
      </c>
      <c r="M7961" s="11" t="s">
        <v>49</v>
      </c>
      <c r="N7961" s="11" t="s">
        <v>73</v>
      </c>
      <c r="O7961" s="11" t="s">
        <v>1477</v>
      </c>
      <c r="P7961" s="11" t="s">
        <v>38</v>
      </c>
      <c r="Q7961" s="20">
        <v>41191.0</v>
      </c>
      <c r="R7961" s="17">
        <f t="shared" si="2"/>
        <v>2.231012958</v>
      </c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>
        <f t="shared" si="8"/>
        <v>1</v>
      </c>
      <c r="AF7961" s="19">
        <f t="shared" si="13"/>
        <v>4</v>
      </c>
      <c r="AG7961" s="9"/>
      <c r="AH7961" s="9"/>
      <c r="AI7961" s="9"/>
    </row>
    <row r="7962" ht="15.0" customHeight="1">
      <c r="A7962" s="11">
        <v>7961.0</v>
      </c>
      <c r="B7962" s="12">
        <f t="shared" si="1267"/>
        <v>41189</v>
      </c>
      <c r="C7962" s="13">
        <v>2012.0</v>
      </c>
      <c r="D7962" s="11" t="s">
        <v>102</v>
      </c>
      <c r="E7962" s="11">
        <v>43.0</v>
      </c>
      <c r="F7962" s="14">
        <v>6.4</v>
      </c>
      <c r="G7962" s="15">
        <v>0.05350050830227045</v>
      </c>
      <c r="H7962" s="11" t="s">
        <v>33</v>
      </c>
      <c r="I7962" s="16">
        <v>4.112</v>
      </c>
      <c r="J7962" s="11" t="s">
        <v>271</v>
      </c>
      <c r="K7962" s="11" t="s">
        <v>61</v>
      </c>
      <c r="L7962" s="11" t="s">
        <v>48</v>
      </c>
      <c r="M7962" s="11" t="s">
        <v>28</v>
      </c>
      <c r="N7962" s="11" t="s">
        <v>56</v>
      </c>
      <c r="O7962" s="11" t="s">
        <v>1424</v>
      </c>
      <c r="P7962" s="11" t="s">
        <v>38</v>
      </c>
      <c r="Q7962" s="20">
        <v>41191.0</v>
      </c>
      <c r="R7962" s="17">
        <f t="shared" si="2"/>
        <v>14.94333397</v>
      </c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>
        <f t="shared" si="8"/>
        <v>4</v>
      </c>
      <c r="AF7962" s="19">
        <f t="shared" si="13"/>
        <v>4</v>
      </c>
      <c r="AG7962" s="9"/>
      <c r="AH7962" s="9"/>
      <c r="AI7962" s="9"/>
    </row>
    <row r="7963" ht="15.0" customHeight="1">
      <c r="A7963" s="11">
        <v>7962.0</v>
      </c>
      <c r="B7963" s="12">
        <f t="shared" si="1267"/>
        <v>41189</v>
      </c>
      <c r="C7963" s="13">
        <v>2012.0</v>
      </c>
      <c r="D7963" s="11" t="s">
        <v>23</v>
      </c>
      <c r="E7963" s="11">
        <v>5.0</v>
      </c>
      <c r="F7963" s="14">
        <v>5.9</v>
      </c>
      <c r="G7963" s="15">
        <v>0.08519480519480523</v>
      </c>
      <c r="H7963" s="11" t="s">
        <v>33</v>
      </c>
      <c r="I7963" s="16">
        <v>5.720000000000001</v>
      </c>
      <c r="J7963" s="11" t="s">
        <v>953</v>
      </c>
      <c r="K7963" s="11" t="s">
        <v>65</v>
      </c>
      <c r="L7963" s="11" t="s">
        <v>48</v>
      </c>
      <c r="M7963" s="11" t="s">
        <v>28</v>
      </c>
      <c r="N7963" s="11" t="s">
        <v>56</v>
      </c>
      <c r="O7963" s="11" t="s">
        <v>1312</v>
      </c>
      <c r="P7963" s="11" t="s">
        <v>38</v>
      </c>
      <c r="Q7963" s="20">
        <v>41191.0</v>
      </c>
      <c r="R7963" s="17">
        <f t="shared" si="2"/>
        <v>3.000561039</v>
      </c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>
        <f t="shared" si="8"/>
        <v>4</v>
      </c>
      <c r="AF7963" s="19">
        <f t="shared" si="13"/>
        <v>5</v>
      </c>
      <c r="AG7963" s="9"/>
      <c r="AH7963" s="9"/>
      <c r="AI7963" s="9"/>
    </row>
    <row r="7964" ht="15.0" customHeight="1">
      <c r="A7964" s="11">
        <v>7963.0</v>
      </c>
      <c r="B7964" s="12">
        <f t="shared" ref="B7964:B7968" si="1268">DATE(2012,12,31)-84</f>
        <v>41190</v>
      </c>
      <c r="C7964" s="13">
        <v>2012.0</v>
      </c>
      <c r="D7964" s="11" t="s">
        <v>39</v>
      </c>
      <c r="E7964" s="11">
        <v>5.0</v>
      </c>
      <c r="F7964" s="14">
        <v>7.8</v>
      </c>
      <c r="G7964" s="15">
        <v>0.08025806451612902</v>
      </c>
      <c r="H7964" s="11" t="s">
        <v>33</v>
      </c>
      <c r="I7964" s="16">
        <v>3.7680000000000002</v>
      </c>
      <c r="J7964" s="11" t="s">
        <v>1120</v>
      </c>
      <c r="K7964" s="11" t="s">
        <v>35</v>
      </c>
      <c r="L7964" s="11" t="s">
        <v>36</v>
      </c>
      <c r="M7964" s="11" t="s">
        <v>28</v>
      </c>
      <c r="N7964" s="11" t="s">
        <v>42</v>
      </c>
      <c r="O7964" s="11" t="s">
        <v>404</v>
      </c>
      <c r="P7964" s="11" t="s">
        <v>38</v>
      </c>
      <c r="Q7964" s="20">
        <v>41191.0</v>
      </c>
      <c r="R7964" s="17">
        <f t="shared" si="2"/>
        <v>3.432476903</v>
      </c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>
        <f t="shared" si="8"/>
        <v>2</v>
      </c>
      <c r="AF7964" s="19">
        <f t="shared" si="13"/>
        <v>2</v>
      </c>
      <c r="AG7964" s="9"/>
      <c r="AH7964" s="9"/>
      <c r="AI7964" s="9"/>
    </row>
    <row r="7965" ht="15.0" customHeight="1">
      <c r="A7965" s="11">
        <v>7964.0</v>
      </c>
      <c r="B7965" s="12">
        <f t="shared" si="1268"/>
        <v>41190</v>
      </c>
      <c r="C7965" s="13">
        <v>2012.0</v>
      </c>
      <c r="D7965" s="11" t="s">
        <v>32</v>
      </c>
      <c r="E7965" s="11">
        <v>27.0</v>
      </c>
      <c r="F7965" s="14">
        <v>284.9</v>
      </c>
      <c r="G7965" s="15">
        <v>0.021625921810283895</v>
      </c>
      <c r="H7965" s="11" t="s">
        <v>45</v>
      </c>
      <c r="I7965" s="16">
        <v>55.64</v>
      </c>
      <c r="J7965" s="11" t="s">
        <v>1008</v>
      </c>
      <c r="K7965" s="11" t="s">
        <v>65</v>
      </c>
      <c r="L7965" s="11" t="s">
        <v>48</v>
      </c>
      <c r="M7965" s="11" t="s">
        <v>49</v>
      </c>
      <c r="N7965" s="11" t="s">
        <v>50</v>
      </c>
      <c r="O7965" s="11" t="s">
        <v>1438</v>
      </c>
      <c r="P7965" s="11" t="s">
        <v>52</v>
      </c>
      <c r="Q7965" s="20">
        <v>41191.0</v>
      </c>
      <c r="R7965" s="17">
        <f t="shared" si="2"/>
        <v>167.5563446</v>
      </c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>
        <f t="shared" si="8"/>
        <v>4</v>
      </c>
      <c r="AF7965" s="19">
        <f t="shared" si="13"/>
        <v>5</v>
      </c>
      <c r="AG7965" s="9"/>
      <c r="AH7965" s="9"/>
      <c r="AI7965" s="9"/>
    </row>
    <row r="7966" ht="15.0" customHeight="1">
      <c r="A7966" s="11">
        <v>7965.0</v>
      </c>
      <c r="B7966" s="12">
        <f t="shared" si="1268"/>
        <v>41190</v>
      </c>
      <c r="C7966" s="13">
        <v>2012.0</v>
      </c>
      <c r="D7966" s="11" t="s">
        <v>32</v>
      </c>
      <c r="E7966" s="11">
        <v>32.0</v>
      </c>
      <c r="F7966" s="14">
        <v>3.5</v>
      </c>
      <c r="G7966" s="15">
        <v>0.1050236966824644</v>
      </c>
      <c r="H7966" s="11" t="s">
        <v>33</v>
      </c>
      <c r="I7966" s="16">
        <v>1.304</v>
      </c>
      <c r="J7966" s="11" t="s">
        <v>1008</v>
      </c>
      <c r="K7966" s="11" t="s">
        <v>65</v>
      </c>
      <c r="L7966" s="11" t="s">
        <v>48</v>
      </c>
      <c r="M7966" s="11" t="s">
        <v>28</v>
      </c>
      <c r="N7966" s="11" t="s">
        <v>216</v>
      </c>
      <c r="O7966" s="11" t="s">
        <v>1159</v>
      </c>
      <c r="P7966" s="11" t="s">
        <v>58</v>
      </c>
      <c r="Q7966" s="20">
        <v>41191.0</v>
      </c>
      <c r="R7966" s="17">
        <f t="shared" si="2"/>
        <v>11.89960493</v>
      </c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>
        <f t="shared" si="8"/>
        <v>4</v>
      </c>
      <c r="AF7966" s="19">
        <f t="shared" si="13"/>
        <v>5</v>
      </c>
      <c r="AG7966" s="9"/>
      <c r="AH7966" s="9"/>
      <c r="AI7966" s="9"/>
    </row>
    <row r="7967" ht="15.0" customHeight="1">
      <c r="A7967" s="11">
        <v>7966.0</v>
      </c>
      <c r="B7967" s="12">
        <f t="shared" si="1268"/>
        <v>41190</v>
      </c>
      <c r="C7967" s="13">
        <v>2012.0</v>
      </c>
      <c r="D7967" s="11" t="s">
        <v>32</v>
      </c>
      <c r="E7967" s="11">
        <v>12.0</v>
      </c>
      <c r="F7967" s="14">
        <v>11.2</v>
      </c>
      <c r="G7967" s="15">
        <v>0.061532203389830654</v>
      </c>
      <c r="H7967" s="11" t="s">
        <v>33</v>
      </c>
      <c r="I7967" s="16">
        <v>4.024</v>
      </c>
      <c r="J7967" s="11" t="s">
        <v>1008</v>
      </c>
      <c r="K7967" s="11" t="s">
        <v>65</v>
      </c>
      <c r="L7967" s="11" t="s">
        <v>48</v>
      </c>
      <c r="M7967" s="11" t="s">
        <v>28</v>
      </c>
      <c r="N7967" s="11" t="s">
        <v>29</v>
      </c>
      <c r="O7967" s="11" t="s">
        <v>698</v>
      </c>
      <c r="P7967" s="11" t="s">
        <v>38</v>
      </c>
      <c r="Q7967" s="20">
        <v>41191.0</v>
      </c>
      <c r="R7967" s="17">
        <f t="shared" si="2"/>
        <v>8.517533722</v>
      </c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>
        <f t="shared" si="8"/>
        <v>4</v>
      </c>
      <c r="AF7967" s="19">
        <f t="shared" si="13"/>
        <v>5</v>
      </c>
      <c r="AG7967" s="9"/>
      <c r="AH7967" s="9"/>
      <c r="AI7967" s="9"/>
    </row>
    <row r="7968" ht="15.0" customHeight="1">
      <c r="A7968" s="11">
        <v>7967.0</v>
      </c>
      <c r="B7968" s="12">
        <f t="shared" si="1268"/>
        <v>41190</v>
      </c>
      <c r="C7968" s="13">
        <v>2012.0</v>
      </c>
      <c r="D7968" s="11" t="s">
        <v>44</v>
      </c>
      <c r="E7968" s="11">
        <v>4.0</v>
      </c>
      <c r="F7968" s="14">
        <v>52.7</v>
      </c>
      <c r="G7968" s="15">
        <v>0.07638888888888887</v>
      </c>
      <c r="H7968" s="11" t="s">
        <v>33</v>
      </c>
      <c r="I7968" s="16">
        <v>2.0</v>
      </c>
      <c r="J7968" s="11" t="s">
        <v>2384</v>
      </c>
      <c r="K7968" s="11" t="s">
        <v>61</v>
      </c>
      <c r="L7968" s="11" t="s">
        <v>27</v>
      </c>
      <c r="M7968" s="11" t="s">
        <v>28</v>
      </c>
      <c r="N7968" s="11" t="s">
        <v>236</v>
      </c>
      <c r="O7968" s="11" t="s">
        <v>2610</v>
      </c>
      <c r="P7968" s="11" t="s">
        <v>38</v>
      </c>
      <c r="Q7968" s="20">
        <v>41192.0</v>
      </c>
      <c r="R7968" s="17">
        <f t="shared" si="2"/>
        <v>16.25555556</v>
      </c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>
        <f t="shared" si="8"/>
        <v>1</v>
      </c>
      <c r="AF7968" s="19">
        <f t="shared" si="13"/>
        <v>4</v>
      </c>
      <c r="AG7968" s="9"/>
      <c r="AH7968" s="9"/>
      <c r="AI7968" s="9"/>
    </row>
    <row r="7969" ht="15.0" customHeight="1">
      <c r="A7969" s="11">
        <v>7968.0</v>
      </c>
      <c r="B7969" s="12">
        <f t="shared" ref="B7969:B7973" si="1269">DATE(2012,12,31)-83</f>
        <v>41191</v>
      </c>
      <c r="C7969" s="13">
        <v>2012.0</v>
      </c>
      <c r="D7969" s="11" t="s">
        <v>102</v>
      </c>
      <c r="E7969" s="11">
        <v>37.0</v>
      </c>
      <c r="F7969" s="14">
        <v>6.4</v>
      </c>
      <c r="G7969" s="15">
        <v>0.0909525588345162</v>
      </c>
      <c r="H7969" s="11" t="s">
        <v>33</v>
      </c>
      <c r="I7969" s="16">
        <v>6.552</v>
      </c>
      <c r="J7969" s="11" t="s">
        <v>2026</v>
      </c>
      <c r="K7969" s="11" t="s">
        <v>65</v>
      </c>
      <c r="L7969" s="11" t="s">
        <v>48</v>
      </c>
      <c r="M7969" s="11" t="s">
        <v>28</v>
      </c>
      <c r="N7969" s="11" t="s">
        <v>56</v>
      </c>
      <c r="O7969" s="11" t="s">
        <v>637</v>
      </c>
      <c r="P7969" s="11" t="s">
        <v>38</v>
      </c>
      <c r="Q7969" s="20">
        <v>41192.0</v>
      </c>
      <c r="R7969" s="17">
        <f t="shared" si="2"/>
        <v>22.1334871</v>
      </c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>
        <f t="shared" si="8"/>
        <v>4</v>
      </c>
      <c r="AF7969" s="19">
        <f t="shared" si="13"/>
        <v>5</v>
      </c>
      <c r="AG7969" s="9"/>
      <c r="AH7969" s="9"/>
      <c r="AI7969" s="9"/>
    </row>
    <row r="7970" ht="15.0" customHeight="1">
      <c r="A7970" s="11">
        <v>7969.0</v>
      </c>
      <c r="B7970" s="12">
        <f t="shared" si="1269"/>
        <v>41191</v>
      </c>
      <c r="C7970" s="13">
        <v>2012.0</v>
      </c>
      <c r="D7970" s="11" t="s">
        <v>102</v>
      </c>
      <c r="E7970" s="11">
        <v>46.0</v>
      </c>
      <c r="F7970" s="14">
        <v>16.9</v>
      </c>
      <c r="G7970" s="15">
        <v>0.08960222016651243</v>
      </c>
      <c r="H7970" s="11" t="s">
        <v>33</v>
      </c>
      <c r="I7970" s="16">
        <v>9.912</v>
      </c>
      <c r="J7970" s="11" t="s">
        <v>2026</v>
      </c>
      <c r="K7970" s="11" t="s">
        <v>65</v>
      </c>
      <c r="L7970" s="11" t="s">
        <v>48</v>
      </c>
      <c r="M7970" s="11" t="s">
        <v>28</v>
      </c>
      <c r="N7970" s="11" t="s">
        <v>236</v>
      </c>
      <c r="O7970" s="11" t="s">
        <v>1267</v>
      </c>
      <c r="P7970" s="11" t="s">
        <v>38</v>
      </c>
      <c r="Q7970" s="20">
        <v>41192.0</v>
      </c>
      <c r="R7970" s="17">
        <f t="shared" si="2"/>
        <v>70.54490316</v>
      </c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>
        <f t="shared" si="8"/>
        <v>4</v>
      </c>
      <c r="AF7970" s="19">
        <f t="shared" si="13"/>
        <v>5</v>
      </c>
      <c r="AG7970" s="9"/>
      <c r="AH7970" s="9"/>
      <c r="AI7970" s="9"/>
    </row>
    <row r="7971" ht="15.0" customHeight="1">
      <c r="A7971" s="11">
        <v>7970.0</v>
      </c>
      <c r="B7971" s="12">
        <f t="shared" si="1269"/>
        <v>41191</v>
      </c>
      <c r="C7971" s="13">
        <v>2012.0</v>
      </c>
      <c r="D7971" s="11" t="s">
        <v>32</v>
      </c>
      <c r="E7971" s="11">
        <v>42.0</v>
      </c>
      <c r="F7971" s="14">
        <v>20.9</v>
      </c>
      <c r="G7971" s="15">
        <v>0.09466268410752912</v>
      </c>
      <c r="H7971" s="11" t="s">
        <v>33</v>
      </c>
      <c r="I7971" s="16">
        <v>1.192</v>
      </c>
      <c r="J7971" s="11" t="s">
        <v>2187</v>
      </c>
      <c r="K7971" s="11" t="s">
        <v>26</v>
      </c>
      <c r="L7971" s="11" t="s">
        <v>36</v>
      </c>
      <c r="M7971" s="11" t="s">
        <v>28</v>
      </c>
      <c r="N7971" s="11" t="s">
        <v>42</v>
      </c>
      <c r="O7971" s="11" t="s">
        <v>1121</v>
      </c>
      <c r="P7971" s="11" t="s">
        <v>38</v>
      </c>
      <c r="Q7971" s="20">
        <v>41193.0</v>
      </c>
      <c r="R7971" s="17">
        <f t="shared" si="2"/>
        <v>83.20774203</v>
      </c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>
        <f t="shared" si="8"/>
        <v>2</v>
      </c>
      <c r="AF7971" s="19">
        <f t="shared" si="13"/>
        <v>1</v>
      </c>
      <c r="AG7971" s="9"/>
      <c r="AH7971" s="9"/>
      <c r="AI7971" s="9"/>
    </row>
    <row r="7972" ht="15.0" customHeight="1">
      <c r="A7972" s="11">
        <v>7971.0</v>
      </c>
      <c r="B7972" s="12">
        <f t="shared" si="1269"/>
        <v>41191</v>
      </c>
      <c r="C7972" s="13">
        <v>2012.0</v>
      </c>
      <c r="D7972" s="11" t="s">
        <v>39</v>
      </c>
      <c r="E7972" s="11">
        <v>40.0</v>
      </c>
      <c r="F7972" s="14">
        <v>5.6</v>
      </c>
      <c r="G7972" s="15">
        <v>0.015013123359580001</v>
      </c>
      <c r="H7972" s="11" t="s">
        <v>33</v>
      </c>
      <c r="I7972" s="16">
        <v>1.168</v>
      </c>
      <c r="J7972" s="11" t="s">
        <v>2311</v>
      </c>
      <c r="K7972" s="11" t="s">
        <v>61</v>
      </c>
      <c r="L7972" s="11" t="s">
        <v>27</v>
      </c>
      <c r="M7972" s="11" t="s">
        <v>28</v>
      </c>
      <c r="N7972" s="11" t="s">
        <v>56</v>
      </c>
      <c r="O7972" s="11" t="s">
        <v>1787</v>
      </c>
      <c r="P7972" s="11" t="s">
        <v>58</v>
      </c>
      <c r="Q7972" s="20">
        <v>41193.0</v>
      </c>
      <c r="R7972" s="17">
        <f t="shared" si="2"/>
        <v>3.380474961</v>
      </c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>
        <f t="shared" si="8"/>
        <v>1</v>
      </c>
      <c r="AF7972" s="19">
        <f t="shared" si="13"/>
        <v>4</v>
      </c>
      <c r="AG7972" s="9"/>
      <c r="AH7972" s="9"/>
      <c r="AI7972" s="9"/>
    </row>
    <row r="7973" ht="15.0" customHeight="1">
      <c r="A7973" s="11">
        <v>7972.0</v>
      </c>
      <c r="B7973" s="12">
        <f t="shared" si="1269"/>
        <v>41191</v>
      </c>
      <c r="C7973" s="13">
        <v>2012.0</v>
      </c>
      <c r="D7973" s="11" t="s">
        <v>39</v>
      </c>
      <c r="E7973" s="11">
        <v>24.0</v>
      </c>
      <c r="F7973" s="14">
        <v>10.1</v>
      </c>
      <c r="G7973" s="15">
        <v>0.025085828343313455</v>
      </c>
      <c r="H7973" s="11" t="s">
        <v>33</v>
      </c>
      <c r="I7973" s="16">
        <v>1.816</v>
      </c>
      <c r="J7973" s="11" t="s">
        <v>2311</v>
      </c>
      <c r="K7973" s="11" t="s">
        <v>61</v>
      </c>
      <c r="L7973" s="11" t="s">
        <v>27</v>
      </c>
      <c r="M7973" s="11" t="s">
        <v>28</v>
      </c>
      <c r="N7973" s="11" t="s">
        <v>56</v>
      </c>
      <c r="O7973" s="11" t="s">
        <v>71</v>
      </c>
      <c r="P7973" s="11" t="s">
        <v>58</v>
      </c>
      <c r="Q7973" s="20">
        <v>41193.0</v>
      </c>
      <c r="R7973" s="17">
        <f t="shared" si="2"/>
        <v>6.126360655</v>
      </c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>
        <f t="shared" si="8"/>
        <v>1</v>
      </c>
      <c r="AF7973" s="19">
        <f t="shared" si="13"/>
        <v>4</v>
      </c>
      <c r="AG7973" s="9"/>
      <c r="AH7973" s="9"/>
      <c r="AI7973" s="9"/>
    </row>
    <row r="7974" ht="15.0" customHeight="1">
      <c r="A7974" s="11">
        <v>7973.0</v>
      </c>
      <c r="B7974" s="12">
        <f t="shared" ref="B7974:B7976" si="1270">DATE(2012,12,31)-82</f>
        <v>41192</v>
      </c>
      <c r="C7974" s="13">
        <v>2012.0</v>
      </c>
      <c r="D7974" s="11" t="s">
        <v>23</v>
      </c>
      <c r="E7974" s="11">
        <v>12.0</v>
      </c>
      <c r="F7974" s="14">
        <v>67.2</v>
      </c>
      <c r="G7974" s="15">
        <v>0.09627252747252742</v>
      </c>
      <c r="H7974" s="11" t="s">
        <v>33</v>
      </c>
      <c r="I7974" s="16">
        <v>15.991999999999999</v>
      </c>
      <c r="J7974" s="11" t="s">
        <v>2293</v>
      </c>
      <c r="K7974" s="11" t="s">
        <v>65</v>
      </c>
      <c r="L7974" s="11" t="s">
        <v>27</v>
      </c>
      <c r="M7974" s="11" t="s">
        <v>28</v>
      </c>
      <c r="N7974" s="11" t="s">
        <v>42</v>
      </c>
      <c r="O7974" s="11" t="s">
        <v>1882</v>
      </c>
      <c r="P7974" s="11" t="s">
        <v>38</v>
      </c>
      <c r="Q7974" s="20">
        <v>41193.0</v>
      </c>
      <c r="R7974" s="17">
        <f t="shared" si="2"/>
        <v>79.17375641</v>
      </c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>
        <f t="shared" si="8"/>
        <v>1</v>
      </c>
      <c r="AF7974" s="19">
        <f t="shared" si="13"/>
        <v>5</v>
      </c>
      <c r="AG7974" s="9"/>
      <c r="AH7974" s="9"/>
      <c r="AI7974" s="9"/>
    </row>
    <row r="7975" ht="15.0" customHeight="1">
      <c r="A7975" s="11">
        <v>7974.0</v>
      </c>
      <c r="B7975" s="12">
        <f t="shared" si="1270"/>
        <v>41192</v>
      </c>
      <c r="C7975" s="13">
        <v>2012.0</v>
      </c>
      <c r="D7975" s="11" t="s">
        <v>23</v>
      </c>
      <c r="E7975" s="11">
        <v>47.0</v>
      </c>
      <c r="F7975" s="14">
        <v>145.9</v>
      </c>
      <c r="G7975" s="15">
        <v>0.07581168395935547</v>
      </c>
      <c r="H7975" s="11" t="s">
        <v>45</v>
      </c>
      <c r="I7975" s="16">
        <v>36.96</v>
      </c>
      <c r="J7975" s="11" t="s">
        <v>2293</v>
      </c>
      <c r="K7975" s="11" t="s">
        <v>65</v>
      </c>
      <c r="L7975" s="11" t="s">
        <v>27</v>
      </c>
      <c r="M7975" s="11" t="s">
        <v>49</v>
      </c>
      <c r="N7975" s="11" t="s">
        <v>85</v>
      </c>
      <c r="O7975" s="11" t="s">
        <v>1418</v>
      </c>
      <c r="P7975" s="11" t="s">
        <v>87</v>
      </c>
      <c r="Q7975" s="20">
        <v>41193.0</v>
      </c>
      <c r="R7975" s="17">
        <f t="shared" si="2"/>
        <v>522.6654603</v>
      </c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>
        <f t="shared" si="8"/>
        <v>1</v>
      </c>
      <c r="AF7975" s="19">
        <f t="shared" si="13"/>
        <v>5</v>
      </c>
      <c r="AG7975" s="9"/>
      <c r="AH7975" s="9"/>
      <c r="AI7975" s="9"/>
    </row>
    <row r="7976" ht="15.0" customHeight="1">
      <c r="A7976" s="11">
        <v>7975.0</v>
      </c>
      <c r="B7976" s="12">
        <f t="shared" si="1270"/>
        <v>41192</v>
      </c>
      <c r="C7976" s="13">
        <v>2012.0</v>
      </c>
      <c r="D7976" s="11" t="s">
        <v>39</v>
      </c>
      <c r="E7976" s="11">
        <v>7.0</v>
      </c>
      <c r="F7976" s="14">
        <v>55.9</v>
      </c>
      <c r="G7976" s="15">
        <v>0.09445078785110747</v>
      </c>
      <c r="H7976" s="11" t="s">
        <v>33</v>
      </c>
      <c r="I7976" s="16">
        <v>5.24</v>
      </c>
      <c r="J7976" s="11" t="s">
        <v>1884</v>
      </c>
      <c r="K7976" s="11" t="s">
        <v>117</v>
      </c>
      <c r="L7976" s="11" t="s">
        <v>48</v>
      </c>
      <c r="M7976" s="11" t="s">
        <v>66</v>
      </c>
      <c r="N7976" s="11" t="s">
        <v>67</v>
      </c>
      <c r="O7976" s="11" t="s">
        <v>935</v>
      </c>
      <c r="P7976" s="11" t="s">
        <v>38</v>
      </c>
      <c r="Q7976" s="20">
        <v>41194.0</v>
      </c>
      <c r="R7976" s="17">
        <f t="shared" si="2"/>
        <v>37.45351541</v>
      </c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>
        <f t="shared" si="8"/>
        <v>4</v>
      </c>
      <c r="AF7976" s="19" t="b">
        <f t="shared" si="13"/>
        <v>0</v>
      </c>
      <c r="AG7976" s="9"/>
      <c r="AH7976" s="9"/>
      <c r="AI7976" s="9"/>
    </row>
    <row r="7977" ht="15.0" customHeight="1">
      <c r="A7977" s="11">
        <v>7976.0</v>
      </c>
      <c r="B7977" s="12">
        <f t="shared" ref="B7977:B7981" si="1271">DATE(2012,12,31)-81</f>
        <v>41193</v>
      </c>
      <c r="C7977" s="13">
        <v>2012.0</v>
      </c>
      <c r="D7977" s="11" t="s">
        <v>23</v>
      </c>
      <c r="E7977" s="11">
        <v>3.0</v>
      </c>
      <c r="F7977" s="14">
        <v>8.0</v>
      </c>
      <c r="G7977" s="15">
        <v>0.14181818181818173</v>
      </c>
      <c r="H7977" s="11" t="s">
        <v>33</v>
      </c>
      <c r="I7977" s="16">
        <v>7.152</v>
      </c>
      <c r="J7977" s="11" t="s">
        <v>1008</v>
      </c>
      <c r="K7977" s="11" t="s">
        <v>65</v>
      </c>
      <c r="L7977" s="11" t="s">
        <v>48</v>
      </c>
      <c r="M7977" s="11" t="s">
        <v>28</v>
      </c>
      <c r="N7977" s="11" t="s">
        <v>42</v>
      </c>
      <c r="O7977" s="11" t="s">
        <v>1126</v>
      </c>
      <c r="P7977" s="11" t="s">
        <v>38</v>
      </c>
      <c r="Q7977" s="20">
        <v>41194.0</v>
      </c>
      <c r="R7977" s="17">
        <f t="shared" si="2"/>
        <v>4.41792</v>
      </c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>
        <f t="shared" si="8"/>
        <v>4</v>
      </c>
      <c r="AF7977" s="19">
        <f t="shared" si="13"/>
        <v>5</v>
      </c>
      <c r="AG7977" s="9"/>
      <c r="AH7977" s="9"/>
      <c r="AI7977" s="9"/>
    </row>
    <row r="7978" ht="15.0" customHeight="1">
      <c r="A7978" s="11">
        <v>7977.0</v>
      </c>
      <c r="B7978" s="12">
        <f t="shared" si="1271"/>
        <v>41193</v>
      </c>
      <c r="C7978" s="13">
        <v>2012.0</v>
      </c>
      <c r="D7978" s="11" t="s">
        <v>23</v>
      </c>
      <c r="E7978" s="11">
        <v>34.0</v>
      </c>
      <c r="F7978" s="14">
        <v>16.5</v>
      </c>
      <c r="G7978" s="15">
        <v>0.030640055058499642</v>
      </c>
      <c r="H7978" s="11" t="s">
        <v>33</v>
      </c>
      <c r="I7978" s="16">
        <v>2.3920000000000003</v>
      </c>
      <c r="J7978" s="11" t="s">
        <v>1008</v>
      </c>
      <c r="K7978" s="11" t="s">
        <v>65</v>
      </c>
      <c r="L7978" s="11" t="s">
        <v>48</v>
      </c>
      <c r="M7978" s="11" t="s">
        <v>28</v>
      </c>
      <c r="N7978" s="11" t="s">
        <v>42</v>
      </c>
      <c r="O7978" s="11" t="s">
        <v>2536</v>
      </c>
      <c r="P7978" s="11" t="s">
        <v>38</v>
      </c>
      <c r="Q7978" s="20">
        <v>41195.0</v>
      </c>
      <c r="R7978" s="17">
        <f t="shared" si="2"/>
        <v>17.2623619</v>
      </c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>
        <f t="shared" si="8"/>
        <v>4</v>
      </c>
      <c r="AF7978" s="19">
        <f t="shared" si="13"/>
        <v>5</v>
      </c>
      <c r="AG7978" s="9"/>
      <c r="AH7978" s="9"/>
      <c r="AI7978" s="9"/>
    </row>
    <row r="7979" ht="15.0" customHeight="1">
      <c r="A7979" s="11">
        <v>7978.0</v>
      </c>
      <c r="B7979" s="12">
        <f t="shared" si="1271"/>
        <v>41193</v>
      </c>
      <c r="C7979" s="13">
        <v>2012.0</v>
      </c>
      <c r="D7979" s="11" t="s">
        <v>23</v>
      </c>
      <c r="E7979" s="11">
        <v>31.0</v>
      </c>
      <c r="F7979" s="14">
        <v>15.5</v>
      </c>
      <c r="G7979" s="15">
        <v>0.045855351976856334</v>
      </c>
      <c r="H7979" s="11" t="s">
        <v>33</v>
      </c>
      <c r="I7979" s="16">
        <v>14.224000000000002</v>
      </c>
      <c r="J7979" s="11" t="s">
        <v>1008</v>
      </c>
      <c r="K7979" s="11" t="s">
        <v>65</v>
      </c>
      <c r="L7979" s="11" t="s">
        <v>48</v>
      </c>
      <c r="M7979" s="11" t="s">
        <v>28</v>
      </c>
      <c r="N7979" s="11" t="s">
        <v>29</v>
      </c>
      <c r="O7979" s="11" t="s">
        <v>380</v>
      </c>
      <c r="P7979" s="11" t="s">
        <v>38</v>
      </c>
      <c r="Q7979" s="20">
        <v>41195.0</v>
      </c>
      <c r="R7979" s="17">
        <f t="shared" si="2"/>
        <v>22.68574315</v>
      </c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>
        <f t="shared" si="8"/>
        <v>4</v>
      </c>
      <c r="AF7979" s="19">
        <f t="shared" si="13"/>
        <v>5</v>
      </c>
      <c r="AG7979" s="9"/>
      <c r="AH7979" s="9"/>
      <c r="AI7979" s="9"/>
    </row>
    <row r="7980" ht="15.0" customHeight="1">
      <c r="A7980" s="11">
        <v>7979.0</v>
      </c>
      <c r="B7980" s="12">
        <f t="shared" si="1271"/>
        <v>41193</v>
      </c>
      <c r="C7980" s="13">
        <v>2012.0</v>
      </c>
      <c r="D7980" s="11" t="s">
        <v>23</v>
      </c>
      <c r="E7980" s="11">
        <v>48.0</v>
      </c>
      <c r="F7980" s="14">
        <v>4.1</v>
      </c>
      <c r="G7980" s="15">
        <v>0.09852324521422066</v>
      </c>
      <c r="H7980" s="11" t="s">
        <v>33</v>
      </c>
      <c r="I7980" s="16">
        <v>0.984</v>
      </c>
      <c r="J7980" s="11" t="s">
        <v>456</v>
      </c>
      <c r="K7980" s="11" t="s">
        <v>35</v>
      </c>
      <c r="L7980" s="11" t="s">
        <v>27</v>
      </c>
      <c r="M7980" s="11" t="s">
        <v>28</v>
      </c>
      <c r="N7980" s="11" t="s">
        <v>62</v>
      </c>
      <c r="O7980" s="11" t="s">
        <v>2420</v>
      </c>
      <c r="P7980" s="11" t="s">
        <v>58</v>
      </c>
      <c r="Q7980" s="20">
        <v>41195.0</v>
      </c>
      <c r="R7980" s="17">
        <f t="shared" si="2"/>
        <v>19.48632153</v>
      </c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>
        <f t="shared" si="8"/>
        <v>1</v>
      </c>
      <c r="AF7980" s="19">
        <f t="shared" si="13"/>
        <v>2</v>
      </c>
      <c r="AG7980" s="9"/>
      <c r="AH7980" s="9"/>
      <c r="AI7980" s="9"/>
    </row>
    <row r="7981" ht="15.0" customHeight="1">
      <c r="A7981" s="11">
        <v>7980.0</v>
      </c>
      <c r="B7981" s="12">
        <f t="shared" si="1271"/>
        <v>41193</v>
      </c>
      <c r="C7981" s="13">
        <v>2012.0</v>
      </c>
      <c r="D7981" s="11" t="s">
        <v>39</v>
      </c>
      <c r="E7981" s="11">
        <v>45.0</v>
      </c>
      <c r="F7981" s="14">
        <v>89.9</v>
      </c>
      <c r="G7981" s="15">
        <v>0.050510928516561526</v>
      </c>
      <c r="H7981" s="11" t="s">
        <v>45</v>
      </c>
      <c r="I7981" s="16">
        <v>33.6</v>
      </c>
      <c r="J7981" s="11" t="s">
        <v>1444</v>
      </c>
      <c r="K7981" s="11" t="s">
        <v>61</v>
      </c>
      <c r="L7981" s="11" t="s">
        <v>36</v>
      </c>
      <c r="M7981" s="11" t="s">
        <v>49</v>
      </c>
      <c r="N7981" s="11" t="s">
        <v>50</v>
      </c>
      <c r="O7981" s="11" t="s">
        <v>1153</v>
      </c>
      <c r="P7981" s="11" t="s">
        <v>52</v>
      </c>
      <c r="Q7981" s="20">
        <v>41195.0</v>
      </c>
      <c r="R7981" s="17">
        <f t="shared" si="2"/>
        <v>206.0391285</v>
      </c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>
        <f t="shared" si="8"/>
        <v>2</v>
      </c>
      <c r="AF7981" s="19">
        <f t="shared" si="13"/>
        <v>4</v>
      </c>
      <c r="AG7981" s="9"/>
      <c r="AH7981" s="9"/>
      <c r="AI7981" s="9"/>
    </row>
    <row r="7982" ht="15.0" customHeight="1">
      <c r="A7982" s="11">
        <v>7981.0</v>
      </c>
      <c r="B7982" s="12">
        <f t="shared" ref="B7982:B7985" si="1272">DATE(2012,12,31)-80</f>
        <v>41194</v>
      </c>
      <c r="C7982" s="13">
        <v>2012.0</v>
      </c>
      <c r="D7982" s="11" t="s">
        <v>39</v>
      </c>
      <c r="E7982" s="11">
        <v>15.0</v>
      </c>
      <c r="F7982" s="14">
        <v>30.4</v>
      </c>
      <c r="G7982" s="15">
        <v>0.09479859210011725</v>
      </c>
      <c r="H7982" s="11" t="s">
        <v>33</v>
      </c>
      <c r="I7982" s="16">
        <v>6.920000000000001</v>
      </c>
      <c r="J7982" s="11" t="s">
        <v>928</v>
      </c>
      <c r="K7982" s="11" t="s">
        <v>61</v>
      </c>
      <c r="L7982" s="11" t="s">
        <v>27</v>
      </c>
      <c r="M7982" s="11" t="s">
        <v>66</v>
      </c>
      <c r="N7982" s="11" t="s">
        <v>67</v>
      </c>
      <c r="O7982" s="11" t="s">
        <v>228</v>
      </c>
      <c r="P7982" s="11" t="s">
        <v>38</v>
      </c>
      <c r="Q7982" s="20">
        <v>41195.0</v>
      </c>
      <c r="R7982" s="17">
        <f t="shared" si="2"/>
        <v>43.88416425</v>
      </c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>
        <f t="shared" si="8"/>
        <v>1</v>
      </c>
      <c r="AF7982" s="19">
        <f t="shared" si="13"/>
        <v>4</v>
      </c>
      <c r="AG7982" s="9"/>
      <c r="AH7982" s="9"/>
      <c r="AI7982" s="9"/>
    </row>
    <row r="7983" ht="15.0" customHeight="1">
      <c r="A7983" s="11">
        <v>7982.0</v>
      </c>
      <c r="B7983" s="12">
        <f t="shared" si="1272"/>
        <v>41194</v>
      </c>
      <c r="C7983" s="13">
        <v>2012.0</v>
      </c>
      <c r="D7983" s="11" t="s">
        <v>39</v>
      </c>
      <c r="E7983" s="11">
        <v>20.0</v>
      </c>
      <c r="F7983" s="14">
        <v>1.9</v>
      </c>
      <c r="G7983" s="15">
        <v>0.08595348837209298</v>
      </c>
      <c r="H7983" s="11" t="s">
        <v>33</v>
      </c>
      <c r="I7983" s="16">
        <v>1.304</v>
      </c>
      <c r="J7983" s="11" t="s">
        <v>928</v>
      </c>
      <c r="K7983" s="11" t="s">
        <v>61</v>
      </c>
      <c r="L7983" s="11" t="s">
        <v>27</v>
      </c>
      <c r="M7983" s="11" t="s">
        <v>28</v>
      </c>
      <c r="N7983" s="11" t="s">
        <v>62</v>
      </c>
      <c r="O7983" s="11" t="s">
        <v>2220</v>
      </c>
      <c r="P7983" s="11" t="s">
        <v>58</v>
      </c>
      <c r="Q7983" s="20">
        <v>41195.0</v>
      </c>
      <c r="R7983" s="17">
        <f t="shared" si="2"/>
        <v>3.378315907</v>
      </c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>
        <f t="shared" si="8"/>
        <v>1</v>
      </c>
      <c r="AF7983" s="19">
        <f t="shared" si="13"/>
        <v>4</v>
      </c>
      <c r="AG7983" s="9"/>
      <c r="AH7983" s="9"/>
      <c r="AI7983" s="9"/>
    </row>
    <row r="7984" ht="15.0" customHeight="1">
      <c r="A7984" s="11">
        <v>7983.0</v>
      </c>
      <c r="B7984" s="12">
        <f t="shared" si="1272"/>
        <v>41194</v>
      </c>
      <c r="C7984" s="13">
        <v>2012.0</v>
      </c>
      <c r="D7984" s="11" t="s">
        <v>44</v>
      </c>
      <c r="E7984" s="11">
        <v>26.0</v>
      </c>
      <c r="F7984" s="14">
        <v>128.2</v>
      </c>
      <c r="G7984" s="15">
        <v>0.03013460199582273</v>
      </c>
      <c r="H7984" s="11" t="s">
        <v>33</v>
      </c>
      <c r="I7984" s="16">
        <v>10.120000000000001</v>
      </c>
      <c r="J7984" s="11" t="s">
        <v>826</v>
      </c>
      <c r="K7984" s="11" t="s">
        <v>35</v>
      </c>
      <c r="L7984" s="11" t="s">
        <v>27</v>
      </c>
      <c r="M7984" s="11" t="s">
        <v>49</v>
      </c>
      <c r="N7984" s="11" t="s">
        <v>50</v>
      </c>
      <c r="O7984" s="11" t="s">
        <v>1283</v>
      </c>
      <c r="P7984" s="11" t="s">
        <v>75</v>
      </c>
      <c r="Q7984" s="20">
        <v>41195.0</v>
      </c>
      <c r="R7984" s="17">
        <f t="shared" si="2"/>
        <v>100.7496175</v>
      </c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>
        <f t="shared" si="8"/>
        <v>1</v>
      </c>
      <c r="AF7984" s="19">
        <f t="shared" si="13"/>
        <v>2</v>
      </c>
      <c r="AG7984" s="9"/>
      <c r="AH7984" s="9"/>
      <c r="AI7984" s="9"/>
    </row>
    <row r="7985" ht="15.0" customHeight="1">
      <c r="A7985" s="11">
        <v>7984.0</v>
      </c>
      <c r="B7985" s="12">
        <f t="shared" si="1272"/>
        <v>41194</v>
      </c>
      <c r="C7985" s="13">
        <v>2012.0</v>
      </c>
      <c r="D7985" s="11" t="s">
        <v>32</v>
      </c>
      <c r="E7985" s="11">
        <v>3.0</v>
      </c>
      <c r="F7985" s="14">
        <v>125.9</v>
      </c>
      <c r="G7985" s="15">
        <v>0.05269013044548353</v>
      </c>
      <c r="H7985" s="11" t="s">
        <v>33</v>
      </c>
      <c r="I7985" s="16">
        <v>7.192</v>
      </c>
      <c r="J7985" s="11" t="s">
        <v>337</v>
      </c>
      <c r="K7985" s="11" t="s">
        <v>117</v>
      </c>
      <c r="L7985" s="11" t="s">
        <v>48</v>
      </c>
      <c r="M7985" s="11" t="s">
        <v>66</v>
      </c>
      <c r="N7985" s="11" t="s">
        <v>80</v>
      </c>
      <c r="O7985" s="11" t="s">
        <v>214</v>
      </c>
      <c r="P7985" s="11" t="s">
        <v>38</v>
      </c>
      <c r="Q7985" s="20">
        <v>41196.0</v>
      </c>
      <c r="R7985" s="17">
        <f t="shared" si="2"/>
        <v>20.28000969</v>
      </c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>
        <f t="shared" si="8"/>
        <v>4</v>
      </c>
      <c r="AF7985" s="19" t="b">
        <f t="shared" si="13"/>
        <v>0</v>
      </c>
      <c r="AG7985" s="9"/>
      <c r="AH7985" s="9"/>
      <c r="AI7985" s="9"/>
    </row>
    <row r="7986" ht="15.0" customHeight="1">
      <c r="A7986" s="11">
        <v>7985.0</v>
      </c>
      <c r="B7986" s="12">
        <f t="shared" ref="B7986:B7989" si="1273">DATE(2012,12,31)-79</f>
        <v>41195</v>
      </c>
      <c r="C7986" s="13">
        <v>2012.0</v>
      </c>
      <c r="D7986" s="11" t="s">
        <v>44</v>
      </c>
      <c r="E7986" s="11">
        <v>36.0</v>
      </c>
      <c r="F7986" s="14">
        <v>32.4</v>
      </c>
      <c r="G7986" s="15">
        <v>0.032624628590293844</v>
      </c>
      <c r="H7986" s="11" t="s">
        <v>33</v>
      </c>
      <c r="I7986" s="16">
        <v>5.672000000000001</v>
      </c>
      <c r="J7986" s="11" t="s">
        <v>2116</v>
      </c>
      <c r="K7986" s="11" t="s">
        <v>65</v>
      </c>
      <c r="L7986" s="11" t="s">
        <v>36</v>
      </c>
      <c r="M7986" s="11" t="s">
        <v>49</v>
      </c>
      <c r="N7986" s="11" t="s">
        <v>73</v>
      </c>
      <c r="O7986" s="11" t="s">
        <v>2559</v>
      </c>
      <c r="P7986" s="11" t="s">
        <v>38</v>
      </c>
      <c r="Q7986" s="20">
        <v>41196.0</v>
      </c>
      <c r="R7986" s="17">
        <f t="shared" si="2"/>
        <v>38.23841368</v>
      </c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>
        <f t="shared" si="8"/>
        <v>2</v>
      </c>
      <c r="AF7986" s="19">
        <f t="shared" si="13"/>
        <v>5</v>
      </c>
      <c r="AG7986" s="9"/>
      <c r="AH7986" s="9"/>
      <c r="AI7986" s="9"/>
    </row>
    <row r="7987" ht="15.0" customHeight="1">
      <c r="A7987" s="11">
        <v>7986.0</v>
      </c>
      <c r="B7987" s="12">
        <f t="shared" si="1273"/>
        <v>41195</v>
      </c>
      <c r="C7987" s="13">
        <v>2012.0</v>
      </c>
      <c r="D7987" s="11" t="s">
        <v>44</v>
      </c>
      <c r="E7987" s="11">
        <v>4.0</v>
      </c>
      <c r="F7987" s="14">
        <v>1.8</v>
      </c>
      <c r="G7987" s="15">
        <v>0.14197802197802195</v>
      </c>
      <c r="H7987" s="11" t="s">
        <v>33</v>
      </c>
      <c r="I7987" s="16">
        <v>0.6080000000000001</v>
      </c>
      <c r="J7987" s="11" t="s">
        <v>2116</v>
      </c>
      <c r="K7987" s="11" t="s">
        <v>65</v>
      </c>
      <c r="L7987" s="11" t="s">
        <v>36</v>
      </c>
      <c r="M7987" s="11" t="s">
        <v>28</v>
      </c>
      <c r="N7987" s="11" t="s">
        <v>216</v>
      </c>
      <c r="O7987" s="11" t="s">
        <v>2010</v>
      </c>
      <c r="P7987" s="11" t="s">
        <v>58</v>
      </c>
      <c r="Q7987" s="20">
        <v>41196.0</v>
      </c>
      <c r="R7987" s="17">
        <f t="shared" si="2"/>
        <v>1.108564396</v>
      </c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>
        <f t="shared" si="8"/>
        <v>2</v>
      </c>
      <c r="AF7987" s="19">
        <f t="shared" si="13"/>
        <v>5</v>
      </c>
      <c r="AG7987" s="9"/>
      <c r="AH7987" s="9"/>
      <c r="AI7987" s="9"/>
    </row>
    <row r="7988" ht="15.0" customHeight="1">
      <c r="A7988" s="11">
        <v>7987.0</v>
      </c>
      <c r="B7988" s="12">
        <f t="shared" si="1273"/>
        <v>41195</v>
      </c>
      <c r="C7988" s="13">
        <v>2012.0</v>
      </c>
      <c r="D7988" s="11" t="s">
        <v>32</v>
      </c>
      <c r="E7988" s="11">
        <v>43.0</v>
      </c>
      <c r="F7988" s="14">
        <v>54.2</v>
      </c>
      <c r="G7988" s="15">
        <v>0.01083252293771929</v>
      </c>
      <c r="H7988" s="11" t="s">
        <v>33</v>
      </c>
      <c r="I7988" s="16">
        <v>8.88</v>
      </c>
      <c r="J7988" s="11" t="s">
        <v>2516</v>
      </c>
      <c r="K7988" s="11" t="s">
        <v>61</v>
      </c>
      <c r="L7988" s="11" t="s">
        <v>27</v>
      </c>
      <c r="M7988" s="11" t="s">
        <v>49</v>
      </c>
      <c r="N7988" s="11" t="s">
        <v>73</v>
      </c>
      <c r="O7988" s="11" t="s">
        <v>1826</v>
      </c>
      <c r="P7988" s="11" t="s">
        <v>75</v>
      </c>
      <c r="Q7988" s="20">
        <v>41197.0</v>
      </c>
      <c r="R7988" s="17">
        <f t="shared" si="2"/>
        <v>25.34247076</v>
      </c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>
        <f t="shared" si="8"/>
        <v>1</v>
      </c>
      <c r="AF7988" s="19">
        <f t="shared" si="13"/>
        <v>4</v>
      </c>
      <c r="AG7988" s="9"/>
      <c r="AH7988" s="9"/>
      <c r="AI7988" s="9"/>
    </row>
    <row r="7989" ht="15.0" customHeight="1">
      <c r="A7989" s="11">
        <v>7988.0</v>
      </c>
      <c r="B7989" s="12">
        <f t="shared" si="1273"/>
        <v>41195</v>
      </c>
      <c r="C7989" s="13">
        <v>2012.0</v>
      </c>
      <c r="D7989" s="11" t="s">
        <v>23</v>
      </c>
      <c r="E7989" s="11">
        <v>37.0</v>
      </c>
      <c r="F7989" s="14">
        <v>4.9</v>
      </c>
      <c r="G7989" s="15">
        <v>0.05423175089331289</v>
      </c>
      <c r="H7989" s="11" t="s">
        <v>33</v>
      </c>
      <c r="I7989" s="16">
        <v>3.976</v>
      </c>
      <c r="J7989" s="11" t="s">
        <v>78</v>
      </c>
      <c r="K7989" s="11" t="s">
        <v>35</v>
      </c>
      <c r="L7989" s="11" t="s">
        <v>36</v>
      </c>
      <c r="M7989" s="11" t="s">
        <v>28</v>
      </c>
      <c r="N7989" s="11" t="s">
        <v>42</v>
      </c>
      <c r="O7989" s="11" t="s">
        <v>1609</v>
      </c>
      <c r="P7989" s="11" t="s">
        <v>38</v>
      </c>
      <c r="Q7989" s="20">
        <v>41197.0</v>
      </c>
      <c r="R7989" s="17">
        <f t="shared" si="2"/>
        <v>10.04784188</v>
      </c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>
        <f t="shared" si="8"/>
        <v>2</v>
      </c>
      <c r="AF7989" s="19">
        <f t="shared" si="13"/>
        <v>2</v>
      </c>
      <c r="AG7989" s="9"/>
      <c r="AH7989" s="9"/>
      <c r="AI7989" s="9"/>
    </row>
    <row r="7990" ht="15.0" customHeight="1">
      <c r="A7990" s="11">
        <v>7989.0</v>
      </c>
      <c r="B7990" s="12">
        <f t="shared" ref="B7990:B7995" si="1274">DATE(2012,12,31)-78</f>
        <v>41196</v>
      </c>
      <c r="C7990" s="13">
        <v>2012.0</v>
      </c>
      <c r="D7990" s="11" t="s">
        <v>32</v>
      </c>
      <c r="E7990" s="11">
        <v>40.0</v>
      </c>
      <c r="F7990" s="14">
        <v>65.9</v>
      </c>
      <c r="G7990" s="15">
        <v>0.06729524683298638</v>
      </c>
      <c r="H7990" s="11" t="s">
        <v>33</v>
      </c>
      <c r="I7990" s="16">
        <v>7.192</v>
      </c>
      <c r="J7990" s="11" t="s">
        <v>1715</v>
      </c>
      <c r="K7990" s="11" t="s">
        <v>26</v>
      </c>
      <c r="L7990" s="11" t="s">
        <v>41</v>
      </c>
      <c r="M7990" s="11" t="s">
        <v>66</v>
      </c>
      <c r="N7990" s="11" t="s">
        <v>80</v>
      </c>
      <c r="O7990" s="11" t="s">
        <v>1421</v>
      </c>
      <c r="P7990" s="11" t="s">
        <v>38</v>
      </c>
      <c r="Q7990" s="20">
        <v>41198.0</v>
      </c>
      <c r="R7990" s="17">
        <f t="shared" si="2"/>
        <v>177.8742581</v>
      </c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>
        <f t="shared" si="8"/>
        <v>3</v>
      </c>
      <c r="AF7990" s="19">
        <f t="shared" si="13"/>
        <v>1</v>
      </c>
      <c r="AG7990" s="9"/>
      <c r="AH7990" s="9"/>
      <c r="AI7990" s="9"/>
    </row>
    <row r="7991" ht="15.0" customHeight="1">
      <c r="A7991" s="11">
        <v>7990.0</v>
      </c>
      <c r="B7991" s="12">
        <f t="shared" si="1274"/>
        <v>41196</v>
      </c>
      <c r="C7991" s="13">
        <v>2012.0</v>
      </c>
      <c r="D7991" s="11" t="s">
        <v>32</v>
      </c>
      <c r="E7991" s="11">
        <v>36.0</v>
      </c>
      <c r="F7991" s="14">
        <v>500.9</v>
      </c>
      <c r="G7991" s="15">
        <v>0.048063058550602555</v>
      </c>
      <c r="H7991" s="11" t="s">
        <v>45</v>
      </c>
      <c r="I7991" s="16">
        <v>22.512</v>
      </c>
      <c r="J7991" s="11" t="s">
        <v>1266</v>
      </c>
      <c r="K7991" s="11" t="s">
        <v>65</v>
      </c>
      <c r="L7991" s="11" t="s">
        <v>48</v>
      </c>
      <c r="M7991" s="11" t="s">
        <v>66</v>
      </c>
      <c r="N7991" s="11" t="s">
        <v>69</v>
      </c>
      <c r="O7991" s="11" t="s">
        <v>564</v>
      </c>
      <c r="P7991" s="11" t="s">
        <v>52</v>
      </c>
      <c r="Q7991" s="20">
        <v>41198.0</v>
      </c>
      <c r="R7991" s="17">
        <f t="shared" si="2"/>
        <v>867.7742926</v>
      </c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>
        <f t="shared" si="8"/>
        <v>4</v>
      </c>
      <c r="AF7991" s="19">
        <f t="shared" si="13"/>
        <v>5</v>
      </c>
      <c r="AG7991" s="9"/>
      <c r="AH7991" s="9"/>
      <c r="AI7991" s="9"/>
    </row>
    <row r="7992" ht="15.0" customHeight="1">
      <c r="A7992" s="11">
        <v>7991.0</v>
      </c>
      <c r="B7992" s="12">
        <f t="shared" si="1274"/>
        <v>41196</v>
      </c>
      <c r="C7992" s="13">
        <v>2012.0</v>
      </c>
      <c r="D7992" s="11" t="s">
        <v>32</v>
      </c>
      <c r="E7992" s="11">
        <v>20.0</v>
      </c>
      <c r="F7992" s="14">
        <v>40.9</v>
      </c>
      <c r="G7992" s="15">
        <v>0.07986728599867286</v>
      </c>
      <c r="H7992" s="11" t="s">
        <v>33</v>
      </c>
      <c r="I7992" s="16">
        <v>13.984000000000002</v>
      </c>
      <c r="J7992" s="11" t="s">
        <v>1266</v>
      </c>
      <c r="K7992" s="11" t="s">
        <v>65</v>
      </c>
      <c r="L7992" s="11" t="s">
        <v>48</v>
      </c>
      <c r="M7992" s="11" t="s">
        <v>28</v>
      </c>
      <c r="N7992" s="11" t="s">
        <v>56</v>
      </c>
      <c r="O7992" s="11" t="s">
        <v>1172</v>
      </c>
      <c r="P7992" s="11" t="s">
        <v>38</v>
      </c>
      <c r="Q7992" s="20">
        <v>41198.0</v>
      </c>
      <c r="R7992" s="17">
        <f t="shared" si="2"/>
        <v>66.44830407</v>
      </c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>
        <f t="shared" si="8"/>
        <v>4</v>
      </c>
      <c r="AF7992" s="19">
        <f t="shared" si="13"/>
        <v>5</v>
      </c>
      <c r="AG7992" s="9"/>
      <c r="AH7992" s="9"/>
      <c r="AI7992" s="9"/>
    </row>
    <row r="7993" ht="15.0" customHeight="1">
      <c r="A7993" s="11">
        <v>7992.0</v>
      </c>
      <c r="B7993" s="12">
        <f t="shared" si="1274"/>
        <v>41196</v>
      </c>
      <c r="C7993" s="13">
        <v>2012.0</v>
      </c>
      <c r="D7993" s="11" t="s">
        <v>23</v>
      </c>
      <c r="E7993" s="11">
        <v>47.0</v>
      </c>
      <c r="F7993" s="14">
        <v>73.9</v>
      </c>
      <c r="G7993" s="15">
        <v>0.058385301269927005</v>
      </c>
      <c r="H7993" s="11" t="s">
        <v>33</v>
      </c>
      <c r="I7993" s="16">
        <v>11.616</v>
      </c>
      <c r="J7993" s="11" t="s">
        <v>1907</v>
      </c>
      <c r="K7993" s="11" t="s">
        <v>61</v>
      </c>
      <c r="L7993" s="11" t="s">
        <v>36</v>
      </c>
      <c r="M7993" s="11" t="s">
        <v>66</v>
      </c>
      <c r="N7993" s="11" t="s">
        <v>67</v>
      </c>
      <c r="O7993" s="11" t="s">
        <v>177</v>
      </c>
      <c r="P7993" s="11" t="s">
        <v>38</v>
      </c>
      <c r="Q7993" s="20">
        <v>41198.0</v>
      </c>
      <c r="R7993" s="17">
        <f t="shared" si="2"/>
        <v>203.4678706</v>
      </c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>
        <f t="shared" si="8"/>
        <v>2</v>
      </c>
      <c r="AF7993" s="19">
        <f t="shared" si="13"/>
        <v>4</v>
      </c>
      <c r="AG7993" s="9"/>
      <c r="AH7993" s="9"/>
      <c r="AI7993" s="9"/>
    </row>
    <row r="7994" ht="15.0" customHeight="1">
      <c r="A7994" s="11">
        <v>7993.0</v>
      </c>
      <c r="B7994" s="12">
        <f t="shared" si="1274"/>
        <v>41196</v>
      </c>
      <c r="C7994" s="13">
        <v>2012.0</v>
      </c>
      <c r="D7994" s="11" t="s">
        <v>23</v>
      </c>
      <c r="E7994" s="11">
        <v>38.0</v>
      </c>
      <c r="F7994" s="14">
        <v>85.9</v>
      </c>
      <c r="G7994" s="15">
        <v>0.020668886289330782</v>
      </c>
      <c r="H7994" s="11" t="s">
        <v>33</v>
      </c>
      <c r="I7994" s="16">
        <v>0.792</v>
      </c>
      <c r="J7994" s="11" t="s">
        <v>1907</v>
      </c>
      <c r="K7994" s="11" t="s">
        <v>61</v>
      </c>
      <c r="L7994" s="11" t="s">
        <v>36</v>
      </c>
      <c r="M7994" s="11" t="s">
        <v>66</v>
      </c>
      <c r="N7994" s="11" t="s">
        <v>80</v>
      </c>
      <c r="O7994" s="11" t="s">
        <v>870</v>
      </c>
      <c r="P7994" s="11" t="s">
        <v>58</v>
      </c>
      <c r="Q7994" s="20">
        <v>41199.0</v>
      </c>
      <c r="R7994" s="17">
        <f t="shared" si="2"/>
        <v>67.48374838</v>
      </c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>
        <f t="shared" si="8"/>
        <v>2</v>
      </c>
      <c r="AF7994" s="19">
        <f t="shared" si="13"/>
        <v>4</v>
      </c>
      <c r="AG7994" s="9"/>
      <c r="AH7994" s="9"/>
      <c r="AI7994" s="9"/>
    </row>
    <row r="7995" ht="15.0" customHeight="1">
      <c r="A7995" s="11">
        <v>7994.0</v>
      </c>
      <c r="B7995" s="12">
        <f t="shared" si="1274"/>
        <v>41196</v>
      </c>
      <c r="C7995" s="13">
        <v>2012.0</v>
      </c>
      <c r="D7995" s="11" t="s">
        <v>44</v>
      </c>
      <c r="E7995" s="11">
        <v>10.0</v>
      </c>
      <c r="F7995" s="14">
        <v>5.6</v>
      </c>
      <c r="G7995" s="15">
        <v>0.099179810725552</v>
      </c>
      <c r="H7995" s="11" t="s">
        <v>33</v>
      </c>
      <c r="I7995" s="16">
        <v>1.1119999999999999</v>
      </c>
      <c r="J7995" s="11" t="s">
        <v>1245</v>
      </c>
      <c r="K7995" s="11" t="s">
        <v>61</v>
      </c>
      <c r="L7995" s="11" t="s">
        <v>48</v>
      </c>
      <c r="M7995" s="11" t="s">
        <v>28</v>
      </c>
      <c r="N7995" s="11" t="s">
        <v>236</v>
      </c>
      <c r="O7995" s="11" t="s">
        <v>677</v>
      </c>
      <c r="P7995" s="11" t="s">
        <v>38</v>
      </c>
      <c r="Q7995" s="20">
        <v>41199.0</v>
      </c>
      <c r="R7995" s="17">
        <f t="shared" si="2"/>
        <v>5.66435735</v>
      </c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>
        <f t="shared" si="8"/>
        <v>4</v>
      </c>
      <c r="AF7995" s="19">
        <f t="shared" si="13"/>
        <v>4</v>
      </c>
      <c r="AG7995" s="9"/>
      <c r="AH7995" s="9"/>
      <c r="AI7995" s="9"/>
    </row>
    <row r="7996" ht="15.0" customHeight="1">
      <c r="A7996" s="11">
        <v>7995.0</v>
      </c>
      <c r="B7996" s="12">
        <f t="shared" ref="B7996:B7998" si="1275">DATE(2012,12,31)-77</f>
        <v>41197</v>
      </c>
      <c r="C7996" s="13">
        <v>2012.0</v>
      </c>
      <c r="D7996" s="11" t="s">
        <v>39</v>
      </c>
      <c r="E7996" s="11">
        <v>43.0</v>
      </c>
      <c r="F7996" s="14">
        <v>47.9</v>
      </c>
      <c r="G7996" s="15">
        <v>0.0296648648648649</v>
      </c>
      <c r="H7996" s="11" t="s">
        <v>33</v>
      </c>
      <c r="I7996" s="16">
        <v>4.688000000000001</v>
      </c>
      <c r="J7996" s="11" t="s">
        <v>578</v>
      </c>
      <c r="K7996" s="11" t="s">
        <v>65</v>
      </c>
      <c r="L7996" s="11" t="s">
        <v>27</v>
      </c>
      <c r="M7996" s="11" t="s">
        <v>28</v>
      </c>
      <c r="N7996" s="11" t="s">
        <v>56</v>
      </c>
      <c r="O7996" s="11" t="s">
        <v>1034</v>
      </c>
      <c r="P7996" s="11" t="s">
        <v>38</v>
      </c>
      <c r="Q7996" s="20">
        <v>41199.0</v>
      </c>
      <c r="R7996" s="17">
        <f t="shared" si="2"/>
        <v>61.23979105</v>
      </c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>
        <f t="shared" si="8"/>
        <v>1</v>
      </c>
      <c r="AF7996" s="19">
        <f t="shared" si="13"/>
        <v>5</v>
      </c>
      <c r="AG7996" s="9"/>
      <c r="AH7996" s="9"/>
      <c r="AI7996" s="9"/>
    </row>
    <row r="7997" ht="15.0" customHeight="1">
      <c r="A7997" s="11">
        <v>7996.0</v>
      </c>
      <c r="B7997" s="12">
        <f t="shared" si="1275"/>
        <v>41197</v>
      </c>
      <c r="C7997" s="13">
        <v>2012.0</v>
      </c>
      <c r="D7997" s="11" t="s">
        <v>32</v>
      </c>
      <c r="E7997" s="11">
        <v>5.0</v>
      </c>
      <c r="F7997" s="14">
        <v>115.9</v>
      </c>
      <c r="G7997" s="15">
        <v>0.08396345305608059</v>
      </c>
      <c r="H7997" s="11" t="s">
        <v>24</v>
      </c>
      <c r="I7997" s="16">
        <v>2.0</v>
      </c>
      <c r="J7997" s="11" t="s">
        <v>398</v>
      </c>
      <c r="K7997" s="11" t="s">
        <v>35</v>
      </c>
      <c r="L7997" s="11" t="s">
        <v>27</v>
      </c>
      <c r="M7997" s="11" t="s">
        <v>66</v>
      </c>
      <c r="N7997" s="11" t="s">
        <v>80</v>
      </c>
      <c r="O7997" s="11" t="s">
        <v>2088</v>
      </c>
      <c r="P7997" s="11" t="s">
        <v>38</v>
      </c>
      <c r="Q7997" s="20">
        <v>41199.0</v>
      </c>
      <c r="R7997" s="17">
        <f t="shared" si="2"/>
        <v>48.82474795</v>
      </c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>
        <f t="shared" si="8"/>
        <v>1</v>
      </c>
      <c r="AF7997" s="19">
        <f t="shared" si="13"/>
        <v>2</v>
      </c>
      <c r="AG7997" s="9"/>
      <c r="AH7997" s="9"/>
      <c r="AI7997" s="9"/>
    </row>
    <row r="7998" ht="15.0" customHeight="1">
      <c r="A7998" s="11">
        <v>7997.0</v>
      </c>
      <c r="B7998" s="12">
        <f t="shared" si="1275"/>
        <v>41197</v>
      </c>
      <c r="C7998" s="13">
        <v>2012.0</v>
      </c>
      <c r="D7998" s="11" t="s">
        <v>39</v>
      </c>
      <c r="E7998" s="11">
        <v>29.0</v>
      </c>
      <c r="F7998" s="14">
        <v>7.0</v>
      </c>
      <c r="G7998" s="15">
        <v>0.07794779477947793</v>
      </c>
      <c r="H7998" s="11" t="s">
        <v>33</v>
      </c>
      <c r="I7998" s="16">
        <v>1.8800000000000001</v>
      </c>
      <c r="J7998" s="11" t="s">
        <v>1165</v>
      </c>
      <c r="K7998" s="11" t="s">
        <v>35</v>
      </c>
      <c r="L7998" s="11" t="s">
        <v>48</v>
      </c>
      <c r="M7998" s="11" t="s">
        <v>28</v>
      </c>
      <c r="N7998" s="11" t="s">
        <v>62</v>
      </c>
      <c r="O7998" s="11" t="s">
        <v>1113</v>
      </c>
      <c r="P7998" s="11" t="s">
        <v>58</v>
      </c>
      <c r="Q7998" s="20">
        <v>41200.0</v>
      </c>
      <c r="R7998" s="17">
        <f t="shared" si="2"/>
        <v>15.96994419</v>
      </c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>
        <f t="shared" si="8"/>
        <v>4</v>
      </c>
      <c r="AF7998" s="19">
        <f t="shared" si="13"/>
        <v>2</v>
      </c>
      <c r="AG7998" s="9"/>
      <c r="AH7998" s="9"/>
      <c r="AI7998" s="9"/>
    </row>
    <row r="7999" ht="15.0" customHeight="1">
      <c r="A7999" s="11">
        <v>7998.0</v>
      </c>
      <c r="B7999" s="12">
        <f t="shared" ref="B7999:B8004" si="1276">DATE(2012,12,31)-76</f>
        <v>41198</v>
      </c>
      <c r="C7999" s="13">
        <v>2012.0</v>
      </c>
      <c r="D7999" s="11" t="s">
        <v>44</v>
      </c>
      <c r="E7999" s="11">
        <v>17.0</v>
      </c>
      <c r="F7999" s="14">
        <v>22.0</v>
      </c>
      <c r="G7999" s="15">
        <v>0.07701463414634152</v>
      </c>
      <c r="H7999" s="11" t="s">
        <v>33</v>
      </c>
      <c r="I7999" s="16">
        <v>4.424</v>
      </c>
      <c r="J7999" s="11" t="s">
        <v>2495</v>
      </c>
      <c r="K7999" s="11" t="s">
        <v>61</v>
      </c>
      <c r="L7999" s="11" t="s">
        <v>48</v>
      </c>
      <c r="M7999" s="11" t="s">
        <v>28</v>
      </c>
      <c r="N7999" s="11" t="s">
        <v>62</v>
      </c>
      <c r="O7999" s="11" t="s">
        <v>1188</v>
      </c>
      <c r="P7999" s="11" t="s">
        <v>99</v>
      </c>
      <c r="Q7999" s="20">
        <v>41200.0</v>
      </c>
      <c r="R7999" s="17">
        <f t="shared" si="2"/>
        <v>29.14418591</v>
      </c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>
        <f t="shared" si="8"/>
        <v>4</v>
      </c>
      <c r="AF7999" s="19">
        <f t="shared" si="13"/>
        <v>4</v>
      </c>
      <c r="AG7999" s="9"/>
      <c r="AH7999" s="9"/>
      <c r="AI7999" s="9"/>
    </row>
    <row r="8000" ht="15.0" customHeight="1">
      <c r="A8000" s="11">
        <v>7999.0</v>
      </c>
      <c r="B8000" s="12">
        <f t="shared" si="1276"/>
        <v>41198</v>
      </c>
      <c r="C8000" s="13">
        <v>2012.0</v>
      </c>
      <c r="D8000" s="11" t="s">
        <v>44</v>
      </c>
      <c r="E8000" s="11">
        <v>33.0</v>
      </c>
      <c r="F8000" s="14">
        <v>6.6</v>
      </c>
      <c r="G8000" s="15">
        <v>0.04631130063965891</v>
      </c>
      <c r="H8000" s="11" t="s">
        <v>24</v>
      </c>
      <c r="I8000" s="16">
        <v>5.84</v>
      </c>
      <c r="J8000" s="11" t="s">
        <v>1145</v>
      </c>
      <c r="K8000" s="11" t="s">
        <v>65</v>
      </c>
      <c r="L8000" s="11" t="s">
        <v>48</v>
      </c>
      <c r="M8000" s="11" t="s">
        <v>28</v>
      </c>
      <c r="N8000" s="11" t="s">
        <v>56</v>
      </c>
      <c r="O8000" s="11" t="s">
        <v>2129</v>
      </c>
      <c r="P8000" s="11" t="s">
        <v>38</v>
      </c>
      <c r="Q8000" s="20">
        <v>41200.0</v>
      </c>
      <c r="R8000" s="17">
        <f t="shared" si="2"/>
        <v>10.35705928</v>
      </c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>
        <f t="shared" si="8"/>
        <v>4</v>
      </c>
      <c r="AF8000" s="19">
        <f t="shared" si="13"/>
        <v>5</v>
      </c>
      <c r="AG8000" s="9"/>
      <c r="AH8000" s="9"/>
      <c r="AI8000" s="9"/>
    </row>
    <row r="8001" ht="15.0" customHeight="1">
      <c r="A8001" s="11">
        <v>8000.0</v>
      </c>
      <c r="B8001" s="12">
        <f t="shared" si="1276"/>
        <v>41198</v>
      </c>
      <c r="C8001" s="13">
        <v>2012.0</v>
      </c>
      <c r="D8001" s="11" t="s">
        <v>32</v>
      </c>
      <c r="E8001" s="11">
        <v>10.0</v>
      </c>
      <c r="F8001" s="14">
        <v>1.7</v>
      </c>
      <c r="G8001" s="15">
        <v>0.040437158469945465</v>
      </c>
      <c r="H8001" s="11" t="s">
        <v>33</v>
      </c>
      <c r="I8001" s="16">
        <v>0.5599999999999999</v>
      </c>
      <c r="J8001" s="11" t="s">
        <v>2603</v>
      </c>
      <c r="K8001" s="11" t="s">
        <v>26</v>
      </c>
      <c r="L8001" s="11" t="s">
        <v>41</v>
      </c>
      <c r="M8001" s="11" t="s">
        <v>28</v>
      </c>
      <c r="N8001" s="11" t="s">
        <v>62</v>
      </c>
      <c r="O8001" s="11" t="s">
        <v>1107</v>
      </c>
      <c r="P8001" s="11" t="s">
        <v>58</v>
      </c>
      <c r="Q8001" s="20">
        <v>41200.0</v>
      </c>
      <c r="R8001" s="17">
        <f t="shared" si="2"/>
        <v>0.7100765027</v>
      </c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>
        <f t="shared" si="8"/>
        <v>3</v>
      </c>
      <c r="AF8001" s="19">
        <f t="shared" si="13"/>
        <v>1</v>
      </c>
      <c r="AG8001" s="9"/>
      <c r="AH8001" s="9"/>
      <c r="AI8001" s="9"/>
    </row>
    <row r="8002" ht="15.0" customHeight="1">
      <c r="A8002" s="11">
        <v>8001.0</v>
      </c>
      <c r="B8002" s="12">
        <f t="shared" si="1276"/>
        <v>41198</v>
      </c>
      <c r="C8002" s="13">
        <v>2012.0</v>
      </c>
      <c r="D8002" s="11" t="s">
        <v>44</v>
      </c>
      <c r="E8002" s="11">
        <v>6.0</v>
      </c>
      <c r="F8002" s="14">
        <v>5.2</v>
      </c>
      <c r="G8002" s="15">
        <v>0.07714285714285694</v>
      </c>
      <c r="H8002" s="11" t="s">
        <v>33</v>
      </c>
      <c r="I8002" s="16">
        <v>2.3920000000000003</v>
      </c>
      <c r="J8002" s="11" t="s">
        <v>1086</v>
      </c>
      <c r="K8002" s="11" t="s">
        <v>61</v>
      </c>
      <c r="L8002" s="11" t="s">
        <v>41</v>
      </c>
      <c r="M8002" s="11" t="s">
        <v>28</v>
      </c>
      <c r="N8002" s="11" t="s">
        <v>42</v>
      </c>
      <c r="O8002" s="11" t="s">
        <v>2199</v>
      </c>
      <c r="P8002" s="11" t="s">
        <v>38</v>
      </c>
      <c r="Q8002" s="20">
        <v>41201.0</v>
      </c>
      <c r="R8002" s="17">
        <f t="shared" si="2"/>
        <v>2.591382857</v>
      </c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>
        <f t="shared" si="8"/>
        <v>3</v>
      </c>
      <c r="AF8002" s="19">
        <f t="shared" si="13"/>
        <v>4</v>
      </c>
      <c r="AG8002" s="9"/>
      <c r="AH8002" s="9"/>
      <c r="AI8002" s="9"/>
    </row>
    <row r="8003" ht="15.0" customHeight="1">
      <c r="A8003" s="11">
        <v>8002.0</v>
      </c>
      <c r="B8003" s="12">
        <f t="shared" si="1276"/>
        <v>41198</v>
      </c>
      <c r="C8003" s="13">
        <v>2012.0</v>
      </c>
      <c r="D8003" s="11" t="s">
        <v>44</v>
      </c>
      <c r="E8003" s="11">
        <v>29.0</v>
      </c>
      <c r="F8003" s="14">
        <v>832.8</v>
      </c>
      <c r="G8003" s="15">
        <v>0.08276504830789554</v>
      </c>
      <c r="H8003" s="11" t="s">
        <v>33</v>
      </c>
      <c r="I8003" s="16">
        <v>19.592</v>
      </c>
      <c r="J8003" s="11" t="s">
        <v>1086</v>
      </c>
      <c r="K8003" s="11" t="s">
        <v>61</v>
      </c>
      <c r="L8003" s="11" t="s">
        <v>41</v>
      </c>
      <c r="M8003" s="11" t="s">
        <v>28</v>
      </c>
      <c r="N8003" s="11" t="s">
        <v>442</v>
      </c>
      <c r="O8003" s="11" t="s">
        <v>2611</v>
      </c>
      <c r="P8003" s="11" t="s">
        <v>75</v>
      </c>
      <c r="Q8003" s="20">
        <v>41201.0</v>
      </c>
      <c r="R8003" s="17">
        <f t="shared" si="2"/>
        <v>2000.496768</v>
      </c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>
        <f t="shared" si="8"/>
        <v>3</v>
      </c>
      <c r="AF8003" s="19">
        <f t="shared" si="13"/>
        <v>4</v>
      </c>
      <c r="AG8003" s="9"/>
      <c r="AH8003" s="9"/>
      <c r="AI8003" s="9"/>
    </row>
    <row r="8004" ht="15.0" customHeight="1">
      <c r="A8004" s="11">
        <v>8003.0</v>
      </c>
      <c r="B8004" s="12">
        <f t="shared" si="1276"/>
        <v>41198</v>
      </c>
      <c r="C8004" s="13">
        <v>2012.0</v>
      </c>
      <c r="D8004" s="11" t="s">
        <v>39</v>
      </c>
      <c r="E8004" s="11">
        <v>33.0</v>
      </c>
      <c r="F8004" s="14">
        <v>18.8</v>
      </c>
      <c r="G8004" s="15">
        <v>0.012991290577989017</v>
      </c>
      <c r="H8004" s="11" t="s">
        <v>33</v>
      </c>
      <c r="I8004" s="16">
        <v>2.8960000000000004</v>
      </c>
      <c r="J8004" s="11" t="s">
        <v>426</v>
      </c>
      <c r="K8004" s="11" t="s">
        <v>61</v>
      </c>
      <c r="L8004" s="11" t="s">
        <v>41</v>
      </c>
      <c r="M8004" s="11" t="s">
        <v>49</v>
      </c>
      <c r="N8004" s="11" t="s">
        <v>73</v>
      </c>
      <c r="O8004" s="11" t="s">
        <v>2288</v>
      </c>
      <c r="P8004" s="11" t="s">
        <v>58</v>
      </c>
      <c r="Q8004" s="20">
        <v>41201.0</v>
      </c>
      <c r="R8004" s="17">
        <f t="shared" si="2"/>
        <v>8.097419452</v>
      </c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>
        <f t="shared" si="8"/>
        <v>3</v>
      </c>
      <c r="AF8004" s="19">
        <f t="shared" si="13"/>
        <v>4</v>
      </c>
      <c r="AG8004" s="9"/>
      <c r="AH8004" s="9"/>
      <c r="AI8004" s="9"/>
    </row>
    <row r="8005" ht="15.0" customHeight="1">
      <c r="A8005" s="11">
        <v>8004.0</v>
      </c>
      <c r="B8005" s="12">
        <f t="shared" ref="B8005:B8007" si="1277">DATE(2012,12,31)-75</f>
        <v>41199</v>
      </c>
      <c r="C8005" s="13">
        <v>2012.0</v>
      </c>
      <c r="D8005" s="11" t="s">
        <v>39</v>
      </c>
      <c r="E8005" s="11">
        <v>31.0</v>
      </c>
      <c r="F8005" s="14">
        <v>10.5</v>
      </c>
      <c r="G8005" s="15">
        <v>0.053743940690048515</v>
      </c>
      <c r="H8005" s="11" t="s">
        <v>33</v>
      </c>
      <c r="I8005" s="16">
        <v>6.352</v>
      </c>
      <c r="J8005" s="11" t="s">
        <v>1326</v>
      </c>
      <c r="K8005" s="11" t="s">
        <v>26</v>
      </c>
      <c r="L8005" s="11" t="s">
        <v>27</v>
      </c>
      <c r="M8005" s="11" t="s">
        <v>49</v>
      </c>
      <c r="N8005" s="11" t="s">
        <v>73</v>
      </c>
      <c r="O8005" s="11" t="s">
        <v>1700</v>
      </c>
      <c r="P8005" s="11" t="s">
        <v>99</v>
      </c>
      <c r="Q8005" s="20">
        <v>41201.0</v>
      </c>
      <c r="R8005" s="17">
        <f t="shared" si="2"/>
        <v>17.83503421</v>
      </c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>
        <f t="shared" si="8"/>
        <v>1</v>
      </c>
      <c r="AF8005" s="19">
        <f t="shared" si="13"/>
        <v>1</v>
      </c>
      <c r="AG8005" s="9"/>
      <c r="AH8005" s="9"/>
      <c r="AI8005" s="9"/>
    </row>
    <row r="8006" ht="15.0" customHeight="1">
      <c r="A8006" s="11">
        <v>8005.0</v>
      </c>
      <c r="B8006" s="12">
        <f t="shared" si="1277"/>
        <v>41199</v>
      </c>
      <c r="C8006" s="13">
        <v>2012.0</v>
      </c>
      <c r="D8006" s="11" t="s">
        <v>102</v>
      </c>
      <c r="E8006" s="11">
        <v>49.0</v>
      </c>
      <c r="F8006" s="14">
        <v>28.5</v>
      </c>
      <c r="G8006" s="15">
        <v>0.03965095506390001</v>
      </c>
      <c r="H8006" s="11" t="s">
        <v>33</v>
      </c>
      <c r="I8006" s="16">
        <v>1.192</v>
      </c>
      <c r="J8006" s="11" t="s">
        <v>2436</v>
      </c>
      <c r="K8006" s="11" t="s">
        <v>35</v>
      </c>
      <c r="L8006" s="11" t="s">
        <v>48</v>
      </c>
      <c r="M8006" s="11" t="s">
        <v>28</v>
      </c>
      <c r="N8006" s="11" t="s">
        <v>42</v>
      </c>
      <c r="O8006" s="11" t="s">
        <v>1003</v>
      </c>
      <c r="P8006" s="11" t="s">
        <v>38</v>
      </c>
      <c r="Q8006" s="20">
        <v>41201.0</v>
      </c>
      <c r="R8006" s="17">
        <f t="shared" si="2"/>
        <v>55.41982269</v>
      </c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>
        <f t="shared" si="8"/>
        <v>4</v>
      </c>
      <c r="AF8006" s="19">
        <f t="shared" si="13"/>
        <v>2</v>
      </c>
      <c r="AG8006" s="9"/>
      <c r="AH8006" s="9"/>
      <c r="AI8006" s="9"/>
    </row>
    <row r="8007" ht="15.0" customHeight="1">
      <c r="A8007" s="11">
        <v>8006.0</v>
      </c>
      <c r="B8007" s="12">
        <f t="shared" si="1277"/>
        <v>41199</v>
      </c>
      <c r="C8007" s="13">
        <v>2012.0</v>
      </c>
      <c r="D8007" s="11" t="s">
        <v>32</v>
      </c>
      <c r="E8007" s="11">
        <v>11.0</v>
      </c>
      <c r="F8007" s="14">
        <v>5.9</v>
      </c>
      <c r="G8007" s="15">
        <v>0.09638044914134732</v>
      </c>
      <c r="H8007" s="11" t="s">
        <v>33</v>
      </c>
      <c r="I8007" s="16">
        <v>3.504</v>
      </c>
      <c r="J8007" s="11" t="s">
        <v>1686</v>
      </c>
      <c r="K8007" s="11" t="s">
        <v>35</v>
      </c>
      <c r="L8007" s="11" t="s">
        <v>48</v>
      </c>
      <c r="M8007" s="11" t="s">
        <v>66</v>
      </c>
      <c r="N8007" s="11" t="s">
        <v>67</v>
      </c>
      <c r="O8007" s="11" t="s">
        <v>1284</v>
      </c>
      <c r="P8007" s="11" t="s">
        <v>99</v>
      </c>
      <c r="Q8007" s="20">
        <v>41201.0</v>
      </c>
      <c r="R8007" s="17">
        <f t="shared" si="2"/>
        <v>6.592808243</v>
      </c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>
        <f t="shared" si="8"/>
        <v>4</v>
      </c>
      <c r="AF8007" s="19">
        <f t="shared" si="13"/>
        <v>2</v>
      </c>
      <c r="AG8007" s="9"/>
      <c r="AH8007" s="9"/>
      <c r="AI8007" s="9"/>
    </row>
    <row r="8008" ht="15.0" customHeight="1">
      <c r="A8008" s="11">
        <v>8007.0</v>
      </c>
      <c r="B8008" s="12">
        <f t="shared" ref="B8008:B8021" si="1278">DATE(2012,12,31)-74</f>
        <v>41200</v>
      </c>
      <c r="C8008" s="13">
        <v>2012.0</v>
      </c>
      <c r="D8008" s="11" t="s">
        <v>39</v>
      </c>
      <c r="E8008" s="11">
        <v>27.0</v>
      </c>
      <c r="F8008" s="14">
        <v>2.8</v>
      </c>
      <c r="G8008" s="15">
        <v>0.0832328106151991</v>
      </c>
      <c r="H8008" s="11" t="s">
        <v>33</v>
      </c>
      <c r="I8008" s="16">
        <v>0.4</v>
      </c>
      <c r="J8008" s="11" t="s">
        <v>106</v>
      </c>
      <c r="K8008" s="11" t="s">
        <v>35</v>
      </c>
      <c r="L8008" s="11" t="s">
        <v>48</v>
      </c>
      <c r="M8008" s="11" t="s">
        <v>28</v>
      </c>
      <c r="N8008" s="11" t="s">
        <v>188</v>
      </c>
      <c r="O8008" s="11" t="s">
        <v>1497</v>
      </c>
      <c r="P8008" s="11" t="s">
        <v>38</v>
      </c>
      <c r="Q8008" s="20">
        <v>41201.0</v>
      </c>
      <c r="R8008" s="17">
        <f t="shared" si="2"/>
        <v>6.325693607</v>
      </c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>
        <f t="shared" si="8"/>
        <v>4</v>
      </c>
      <c r="AF8008" s="19">
        <f t="shared" si="13"/>
        <v>2</v>
      </c>
      <c r="AG8008" s="9"/>
      <c r="AH8008" s="9"/>
      <c r="AI8008" s="9"/>
    </row>
    <row r="8009" ht="15.0" customHeight="1">
      <c r="A8009" s="11">
        <v>8008.0</v>
      </c>
      <c r="B8009" s="12">
        <f t="shared" si="1278"/>
        <v>41200</v>
      </c>
      <c r="C8009" s="13">
        <v>2012.0</v>
      </c>
      <c r="D8009" s="11" t="s">
        <v>39</v>
      </c>
      <c r="E8009" s="11">
        <v>5.0</v>
      </c>
      <c r="F8009" s="14">
        <v>19.9</v>
      </c>
      <c r="G8009" s="15">
        <v>0.07784615384615388</v>
      </c>
      <c r="H8009" s="11" t="s">
        <v>33</v>
      </c>
      <c r="I8009" s="16">
        <v>8.392000000000001</v>
      </c>
      <c r="J8009" s="11" t="s">
        <v>106</v>
      </c>
      <c r="K8009" s="11" t="s">
        <v>35</v>
      </c>
      <c r="L8009" s="11" t="s">
        <v>48</v>
      </c>
      <c r="M8009" s="11" t="s">
        <v>49</v>
      </c>
      <c r="N8009" s="11" t="s">
        <v>73</v>
      </c>
      <c r="O8009" s="11" t="s">
        <v>1135</v>
      </c>
      <c r="P8009" s="11" t="s">
        <v>38</v>
      </c>
      <c r="Q8009" s="20">
        <v>41202.0</v>
      </c>
      <c r="R8009" s="17">
        <f t="shared" si="2"/>
        <v>8.398977231</v>
      </c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>
        <f t="shared" si="8"/>
        <v>4</v>
      </c>
      <c r="AF8009" s="19">
        <f t="shared" si="13"/>
        <v>2</v>
      </c>
      <c r="AG8009" s="9"/>
      <c r="AH8009" s="9"/>
      <c r="AI8009" s="9"/>
    </row>
    <row r="8010" ht="15.0" customHeight="1">
      <c r="A8010" s="11">
        <v>8009.0</v>
      </c>
      <c r="B8010" s="12">
        <f t="shared" si="1278"/>
        <v>41200</v>
      </c>
      <c r="C8010" s="13">
        <v>2012.0</v>
      </c>
      <c r="D8010" s="11" t="s">
        <v>39</v>
      </c>
      <c r="E8010" s="11">
        <v>39.0</v>
      </c>
      <c r="F8010" s="14">
        <v>5.9</v>
      </c>
      <c r="G8010" s="15">
        <v>0.03666255651459099</v>
      </c>
      <c r="H8010" s="11" t="s">
        <v>33</v>
      </c>
      <c r="I8010" s="16">
        <v>4.28</v>
      </c>
      <c r="J8010" s="11" t="s">
        <v>1218</v>
      </c>
      <c r="K8010" s="11" t="s">
        <v>61</v>
      </c>
      <c r="L8010" s="11" t="s">
        <v>41</v>
      </c>
      <c r="M8010" s="11" t="s">
        <v>28</v>
      </c>
      <c r="N8010" s="11" t="s">
        <v>56</v>
      </c>
      <c r="O8010" s="11" t="s">
        <v>464</v>
      </c>
      <c r="P8010" s="11" t="s">
        <v>38</v>
      </c>
      <c r="Q8010" s="20">
        <v>41202.0</v>
      </c>
      <c r="R8010" s="17">
        <f t="shared" si="2"/>
        <v>8.592969996</v>
      </c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>
        <f t="shared" si="8"/>
        <v>3</v>
      </c>
      <c r="AF8010" s="19">
        <f t="shared" si="13"/>
        <v>4</v>
      </c>
      <c r="AG8010" s="9"/>
      <c r="AH8010" s="9"/>
      <c r="AI8010" s="9"/>
    </row>
    <row r="8011" ht="15.0" customHeight="1">
      <c r="A8011" s="11">
        <v>8010.0</v>
      </c>
      <c r="B8011" s="12">
        <f t="shared" si="1278"/>
        <v>41200</v>
      </c>
      <c r="C8011" s="13">
        <v>2012.0</v>
      </c>
      <c r="D8011" s="11" t="s">
        <v>44</v>
      </c>
      <c r="E8011" s="11">
        <v>18.0</v>
      </c>
      <c r="F8011" s="14">
        <v>1.8</v>
      </c>
      <c r="G8011" s="15">
        <v>0.06515580736543902</v>
      </c>
      <c r="H8011" s="11" t="s">
        <v>33</v>
      </c>
      <c r="I8011" s="16">
        <v>0.6000000000000001</v>
      </c>
      <c r="J8011" s="11" t="s">
        <v>1917</v>
      </c>
      <c r="K8011" s="11" t="s">
        <v>35</v>
      </c>
      <c r="L8011" s="11" t="s">
        <v>41</v>
      </c>
      <c r="M8011" s="11" t="s">
        <v>28</v>
      </c>
      <c r="N8011" s="11" t="s">
        <v>216</v>
      </c>
      <c r="O8011" s="11" t="s">
        <v>339</v>
      </c>
      <c r="P8011" s="11" t="s">
        <v>58</v>
      </c>
      <c r="Q8011" s="20">
        <v>41202.0</v>
      </c>
      <c r="R8011" s="17">
        <f t="shared" si="2"/>
        <v>2.150141643</v>
      </c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>
        <f t="shared" si="8"/>
        <v>3</v>
      </c>
      <c r="AF8011" s="19">
        <f t="shared" si="13"/>
        <v>2</v>
      </c>
      <c r="AG8011" s="9"/>
      <c r="AH8011" s="9"/>
      <c r="AI8011" s="9"/>
    </row>
    <row r="8012" ht="15.0" customHeight="1">
      <c r="A8012" s="11">
        <v>8011.0</v>
      </c>
      <c r="B8012" s="12">
        <f t="shared" si="1278"/>
        <v>41200</v>
      </c>
      <c r="C8012" s="13">
        <v>2012.0</v>
      </c>
      <c r="D8012" s="11" t="s">
        <v>102</v>
      </c>
      <c r="E8012" s="11">
        <v>39.0</v>
      </c>
      <c r="F8012" s="14">
        <v>5.9</v>
      </c>
      <c r="G8012" s="15">
        <v>0.08149019607843126</v>
      </c>
      <c r="H8012" s="11" t="s">
        <v>33</v>
      </c>
      <c r="I8012" s="16">
        <v>4.12</v>
      </c>
      <c r="J8012" s="11" t="s">
        <v>1423</v>
      </c>
      <c r="K8012" s="11" t="s">
        <v>61</v>
      </c>
      <c r="L8012" s="11" t="s">
        <v>48</v>
      </c>
      <c r="M8012" s="11" t="s">
        <v>28</v>
      </c>
      <c r="N8012" s="11" t="s">
        <v>56</v>
      </c>
      <c r="O8012" s="11" t="s">
        <v>1478</v>
      </c>
      <c r="P8012" s="11" t="s">
        <v>38</v>
      </c>
      <c r="Q8012" s="20">
        <v>41202.0</v>
      </c>
      <c r="R8012" s="17">
        <f t="shared" si="2"/>
        <v>19.08663373</v>
      </c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>
        <f t="shared" si="8"/>
        <v>4</v>
      </c>
      <c r="AF8012" s="19">
        <f t="shared" si="13"/>
        <v>4</v>
      </c>
      <c r="AG8012" s="9"/>
      <c r="AH8012" s="9"/>
      <c r="AI8012" s="9"/>
    </row>
    <row r="8013" ht="15.0" customHeight="1">
      <c r="A8013" s="11">
        <v>8012.0</v>
      </c>
      <c r="B8013" s="12">
        <f t="shared" si="1278"/>
        <v>41200</v>
      </c>
      <c r="C8013" s="13">
        <v>2012.0</v>
      </c>
      <c r="D8013" s="11" t="s">
        <v>23</v>
      </c>
      <c r="E8013" s="11">
        <v>12.0</v>
      </c>
      <c r="F8013" s="14">
        <v>500.9</v>
      </c>
      <c r="G8013" s="15">
        <v>0.048643602762622785</v>
      </c>
      <c r="H8013" s="11" t="s">
        <v>45</v>
      </c>
      <c r="I8013" s="16">
        <v>22.512</v>
      </c>
      <c r="J8013" s="11" t="s">
        <v>2475</v>
      </c>
      <c r="K8013" s="11" t="s">
        <v>35</v>
      </c>
      <c r="L8013" s="11" t="s">
        <v>41</v>
      </c>
      <c r="M8013" s="11" t="s">
        <v>66</v>
      </c>
      <c r="N8013" s="11" t="s">
        <v>69</v>
      </c>
      <c r="O8013" s="11" t="s">
        <v>564</v>
      </c>
      <c r="P8013" s="11" t="s">
        <v>52</v>
      </c>
      <c r="Q8013" s="20">
        <v>41202.0</v>
      </c>
      <c r="R8013" s="17">
        <f t="shared" si="2"/>
        <v>293.4820323</v>
      </c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>
        <f t="shared" si="8"/>
        <v>3</v>
      </c>
      <c r="AF8013" s="19">
        <f t="shared" si="13"/>
        <v>2</v>
      </c>
      <c r="AG8013" s="9"/>
      <c r="AH8013" s="9"/>
      <c r="AI8013" s="9"/>
    </row>
    <row r="8014" ht="15.0" customHeight="1">
      <c r="A8014" s="11">
        <v>8013.0</v>
      </c>
      <c r="B8014" s="12">
        <f t="shared" si="1278"/>
        <v>41200</v>
      </c>
      <c r="C8014" s="13">
        <v>2012.0</v>
      </c>
      <c r="D8014" s="11" t="s">
        <v>102</v>
      </c>
      <c r="E8014" s="11">
        <v>14.0</v>
      </c>
      <c r="F8014" s="14">
        <v>808.4</v>
      </c>
      <c r="G8014" s="15">
        <v>0.057624869366156316</v>
      </c>
      <c r="H8014" s="11" t="s">
        <v>45</v>
      </c>
      <c r="I8014" s="16">
        <v>44.24</v>
      </c>
      <c r="J8014" s="11" t="s">
        <v>2043</v>
      </c>
      <c r="K8014" s="11" t="s">
        <v>83</v>
      </c>
      <c r="L8014" s="11" t="s">
        <v>27</v>
      </c>
      <c r="M8014" s="11" t="s">
        <v>66</v>
      </c>
      <c r="N8014" s="11" t="s">
        <v>69</v>
      </c>
      <c r="O8014" s="11" t="s">
        <v>1666</v>
      </c>
      <c r="P8014" s="11" t="s">
        <v>52</v>
      </c>
      <c r="Q8014" s="20">
        <v>41202.0</v>
      </c>
      <c r="R8014" s="17">
        <f t="shared" si="2"/>
        <v>654.7245458</v>
      </c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>
        <f t="shared" si="8"/>
        <v>1</v>
      </c>
      <c r="AF8014" s="19" t="b">
        <f t="shared" si="13"/>
        <v>0</v>
      </c>
      <c r="AG8014" s="9"/>
      <c r="AH8014" s="9"/>
      <c r="AI8014" s="9"/>
    </row>
    <row r="8015" ht="15.0" customHeight="1">
      <c r="A8015" s="11">
        <v>8014.0</v>
      </c>
      <c r="B8015" s="12">
        <f t="shared" si="1278"/>
        <v>41200</v>
      </c>
      <c r="C8015" s="13">
        <v>2012.0</v>
      </c>
      <c r="D8015" s="11" t="s">
        <v>102</v>
      </c>
      <c r="E8015" s="11">
        <v>6.0</v>
      </c>
      <c r="F8015" s="14">
        <v>2.8</v>
      </c>
      <c r="G8015" s="15">
        <v>0.08849740932642497</v>
      </c>
      <c r="H8015" s="11" t="s">
        <v>33</v>
      </c>
      <c r="I8015" s="16">
        <v>0.792</v>
      </c>
      <c r="J8015" s="11" t="s">
        <v>2043</v>
      </c>
      <c r="K8015" s="11" t="s">
        <v>83</v>
      </c>
      <c r="L8015" s="11" t="s">
        <v>27</v>
      </c>
      <c r="M8015" s="11" t="s">
        <v>28</v>
      </c>
      <c r="N8015" s="11" t="s">
        <v>188</v>
      </c>
      <c r="O8015" s="11" t="s">
        <v>2320</v>
      </c>
      <c r="P8015" s="11" t="s">
        <v>38</v>
      </c>
      <c r="Q8015" s="20">
        <v>41202.0</v>
      </c>
      <c r="R8015" s="17">
        <f t="shared" si="2"/>
        <v>1.556846425</v>
      </c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>
        <f t="shared" si="8"/>
        <v>1</v>
      </c>
      <c r="AF8015" s="19" t="b">
        <f t="shared" si="13"/>
        <v>0</v>
      </c>
      <c r="AG8015" s="9"/>
      <c r="AH8015" s="9"/>
      <c r="AI8015" s="9"/>
    </row>
    <row r="8016" ht="15.0" customHeight="1">
      <c r="A8016" s="11">
        <v>8015.0</v>
      </c>
      <c r="B8016" s="12">
        <f t="shared" si="1278"/>
        <v>41200</v>
      </c>
      <c r="C8016" s="13">
        <v>2012.0</v>
      </c>
      <c r="D8016" s="11" t="s">
        <v>102</v>
      </c>
      <c r="E8016" s="11">
        <v>50.0</v>
      </c>
      <c r="F8016" s="14">
        <v>65.9</v>
      </c>
      <c r="G8016" s="15">
        <v>0.03562940651142999</v>
      </c>
      <c r="H8016" s="11" t="s">
        <v>33</v>
      </c>
      <c r="I8016" s="16">
        <v>7.192</v>
      </c>
      <c r="J8016" s="11" t="s">
        <v>2043</v>
      </c>
      <c r="K8016" s="11" t="s">
        <v>83</v>
      </c>
      <c r="L8016" s="11" t="s">
        <v>27</v>
      </c>
      <c r="M8016" s="11" t="s">
        <v>66</v>
      </c>
      <c r="N8016" s="11" t="s">
        <v>80</v>
      </c>
      <c r="O8016" s="11" t="s">
        <v>1875</v>
      </c>
      <c r="P8016" s="11" t="s">
        <v>38</v>
      </c>
      <c r="Q8016" s="20">
        <v>41202.0</v>
      </c>
      <c r="R8016" s="17">
        <f t="shared" si="2"/>
        <v>117.6551411</v>
      </c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>
        <f t="shared" si="8"/>
        <v>1</v>
      </c>
      <c r="AF8016" s="19" t="b">
        <f t="shared" si="13"/>
        <v>0</v>
      </c>
      <c r="AG8016" s="9"/>
      <c r="AH8016" s="9"/>
      <c r="AI8016" s="9"/>
    </row>
    <row r="8017" ht="15.0" customHeight="1">
      <c r="A8017" s="11">
        <v>8016.0</v>
      </c>
      <c r="B8017" s="12">
        <f t="shared" si="1278"/>
        <v>41200</v>
      </c>
      <c r="C8017" s="13">
        <v>2012.0</v>
      </c>
      <c r="D8017" s="11" t="s">
        <v>102</v>
      </c>
      <c r="E8017" s="11">
        <v>1.0</v>
      </c>
      <c r="F8017" s="14">
        <v>5.4</v>
      </c>
      <c r="G8017" s="15">
        <v>0.05876543209876532</v>
      </c>
      <c r="H8017" s="11" t="s">
        <v>33</v>
      </c>
      <c r="I8017" s="16">
        <v>2.2239999999999998</v>
      </c>
      <c r="J8017" s="11" t="s">
        <v>945</v>
      </c>
      <c r="K8017" s="11" t="s">
        <v>65</v>
      </c>
      <c r="L8017" s="11" t="s">
        <v>36</v>
      </c>
      <c r="M8017" s="11" t="s">
        <v>28</v>
      </c>
      <c r="N8017" s="11" t="s">
        <v>42</v>
      </c>
      <c r="O8017" s="11" t="s">
        <v>1311</v>
      </c>
      <c r="P8017" s="11" t="s">
        <v>38</v>
      </c>
      <c r="Q8017" s="20">
        <v>41202.0</v>
      </c>
      <c r="R8017" s="17">
        <f t="shared" si="2"/>
        <v>0.4480276543</v>
      </c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>
        <f t="shared" si="8"/>
        <v>2</v>
      </c>
      <c r="AF8017" s="19">
        <f t="shared" si="13"/>
        <v>5</v>
      </c>
      <c r="AG8017" s="9"/>
      <c r="AH8017" s="9"/>
      <c r="AI8017" s="9"/>
    </row>
    <row r="8018" ht="15.0" customHeight="1">
      <c r="A8018" s="11">
        <v>8017.0</v>
      </c>
      <c r="B8018" s="12">
        <f t="shared" si="1278"/>
        <v>41200</v>
      </c>
      <c r="C8018" s="13">
        <v>2012.0</v>
      </c>
      <c r="D8018" s="11" t="s">
        <v>102</v>
      </c>
      <c r="E8018" s="11">
        <v>11.0</v>
      </c>
      <c r="F8018" s="14">
        <v>6.6</v>
      </c>
      <c r="G8018" s="15">
        <v>0.10388758782201421</v>
      </c>
      <c r="H8018" s="11" t="s">
        <v>33</v>
      </c>
      <c r="I8018" s="16">
        <v>3.9280000000000004</v>
      </c>
      <c r="J8018" s="11" t="s">
        <v>945</v>
      </c>
      <c r="K8018" s="11" t="s">
        <v>65</v>
      </c>
      <c r="L8018" s="11" t="s">
        <v>36</v>
      </c>
      <c r="M8018" s="11" t="s">
        <v>28</v>
      </c>
      <c r="N8018" s="11" t="s">
        <v>56</v>
      </c>
      <c r="O8018" s="11" t="s">
        <v>1582</v>
      </c>
      <c r="P8018" s="11" t="s">
        <v>38</v>
      </c>
      <c r="Q8018" s="20">
        <v>41202.0</v>
      </c>
      <c r="R8018" s="17">
        <f t="shared" si="2"/>
        <v>7.950309321</v>
      </c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>
        <f t="shared" si="8"/>
        <v>2</v>
      </c>
      <c r="AF8018" s="19">
        <f t="shared" si="13"/>
        <v>5</v>
      </c>
      <c r="AG8018" s="9"/>
      <c r="AH8018" s="9"/>
      <c r="AI8018" s="9"/>
    </row>
    <row r="8019" ht="15.0" customHeight="1">
      <c r="A8019" s="11">
        <v>8018.0</v>
      </c>
      <c r="B8019" s="12">
        <f t="shared" si="1278"/>
        <v>41200</v>
      </c>
      <c r="C8019" s="13">
        <v>2012.0</v>
      </c>
      <c r="D8019" s="11" t="s">
        <v>44</v>
      </c>
      <c r="E8019" s="11">
        <v>19.0</v>
      </c>
      <c r="F8019" s="14">
        <v>4.9</v>
      </c>
      <c r="G8019" s="15">
        <v>0.09311348205625587</v>
      </c>
      <c r="H8019" s="11" t="s">
        <v>33</v>
      </c>
      <c r="I8019" s="16">
        <v>0.4</v>
      </c>
      <c r="J8019" s="11" t="s">
        <v>1560</v>
      </c>
      <c r="K8019" s="11" t="s">
        <v>26</v>
      </c>
      <c r="L8019" s="11" t="s">
        <v>27</v>
      </c>
      <c r="M8019" s="11" t="s">
        <v>28</v>
      </c>
      <c r="N8019" s="11" t="s">
        <v>188</v>
      </c>
      <c r="O8019" s="11" t="s">
        <v>410</v>
      </c>
      <c r="P8019" s="11" t="s">
        <v>38</v>
      </c>
      <c r="Q8019" s="20">
        <v>41203.0</v>
      </c>
      <c r="R8019" s="17">
        <f t="shared" si="2"/>
        <v>8.706110572</v>
      </c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>
        <f t="shared" si="8"/>
        <v>1</v>
      </c>
      <c r="AF8019" s="19">
        <f t="shared" si="13"/>
        <v>1</v>
      </c>
      <c r="AG8019" s="9"/>
      <c r="AH8019" s="9"/>
      <c r="AI8019" s="9"/>
    </row>
    <row r="8020" ht="15.0" customHeight="1">
      <c r="A8020" s="11">
        <v>8019.0</v>
      </c>
      <c r="B8020" s="12">
        <f t="shared" si="1278"/>
        <v>41200</v>
      </c>
      <c r="C8020" s="13">
        <v>2012.0</v>
      </c>
      <c r="D8020" s="11" t="s">
        <v>23</v>
      </c>
      <c r="E8020" s="11">
        <v>19.0</v>
      </c>
      <c r="F8020" s="14">
        <v>100.9</v>
      </c>
      <c r="G8020" s="15">
        <v>0.026813891531262887</v>
      </c>
      <c r="H8020" s="11" t="s">
        <v>45</v>
      </c>
      <c r="I8020" s="16">
        <v>20.976</v>
      </c>
      <c r="J8020" s="11" t="s">
        <v>1560</v>
      </c>
      <c r="K8020" s="11" t="s">
        <v>26</v>
      </c>
      <c r="L8020" s="11" t="s">
        <v>48</v>
      </c>
      <c r="M8020" s="11" t="s">
        <v>49</v>
      </c>
      <c r="N8020" s="11" t="s">
        <v>156</v>
      </c>
      <c r="O8020" s="11" t="s">
        <v>2437</v>
      </c>
      <c r="P8020" s="11" t="s">
        <v>87</v>
      </c>
      <c r="Q8020" s="20">
        <v>41203.0</v>
      </c>
      <c r="R8020" s="17">
        <f t="shared" si="2"/>
        <v>51.96735964</v>
      </c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>
        <f t="shared" si="8"/>
        <v>4</v>
      </c>
      <c r="AF8020" s="19">
        <f t="shared" si="13"/>
        <v>1</v>
      </c>
      <c r="AG8020" s="9"/>
      <c r="AH8020" s="9"/>
      <c r="AI8020" s="9"/>
    </row>
    <row r="8021" ht="15.0" customHeight="1">
      <c r="A8021" s="11">
        <v>8020.0</v>
      </c>
      <c r="B8021" s="12">
        <f t="shared" si="1278"/>
        <v>41200</v>
      </c>
      <c r="C8021" s="13">
        <v>2012.0</v>
      </c>
      <c r="D8021" s="11" t="s">
        <v>44</v>
      </c>
      <c r="E8021" s="11">
        <v>32.0</v>
      </c>
      <c r="F8021" s="14">
        <v>10.0</v>
      </c>
      <c r="G8021" s="15">
        <v>0.054254630990885025</v>
      </c>
      <c r="H8021" s="11" t="s">
        <v>33</v>
      </c>
      <c r="I8021" s="16">
        <v>1.6480000000000001</v>
      </c>
      <c r="J8021" s="11" t="s">
        <v>2597</v>
      </c>
      <c r="K8021" s="11" t="s">
        <v>35</v>
      </c>
      <c r="L8021" s="11" t="s">
        <v>48</v>
      </c>
      <c r="M8021" s="11" t="s">
        <v>28</v>
      </c>
      <c r="N8021" s="11" t="s">
        <v>56</v>
      </c>
      <c r="O8021" s="11" t="s">
        <v>1552</v>
      </c>
      <c r="P8021" s="11" t="s">
        <v>58</v>
      </c>
      <c r="Q8021" s="20">
        <v>41203.0</v>
      </c>
      <c r="R8021" s="17">
        <f t="shared" si="2"/>
        <v>17.45089355</v>
      </c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>
        <f t="shared" si="8"/>
        <v>4</v>
      </c>
      <c r="AF8021" s="19">
        <f t="shared" si="13"/>
        <v>2</v>
      </c>
      <c r="AG8021" s="9"/>
      <c r="AH8021" s="9"/>
      <c r="AI8021" s="9"/>
    </row>
    <row r="8022" ht="15.0" customHeight="1">
      <c r="A8022" s="11">
        <v>8021.0</v>
      </c>
      <c r="B8022" s="12">
        <f t="shared" ref="B8022:B8027" si="1279">DATE(2012,12,31)-73</f>
        <v>41201</v>
      </c>
      <c r="C8022" s="13">
        <v>2012.0</v>
      </c>
      <c r="D8022" s="11" t="s">
        <v>23</v>
      </c>
      <c r="E8022" s="11">
        <v>22.0</v>
      </c>
      <c r="F8022" s="14">
        <v>15.0</v>
      </c>
      <c r="G8022" s="15">
        <v>0.061799944274170945</v>
      </c>
      <c r="H8022" s="11" t="s">
        <v>33</v>
      </c>
      <c r="I8022" s="16">
        <v>6.720000000000001</v>
      </c>
      <c r="J8022" s="11" t="s">
        <v>106</v>
      </c>
      <c r="K8022" s="11" t="s">
        <v>35</v>
      </c>
      <c r="L8022" s="11" t="s">
        <v>48</v>
      </c>
      <c r="M8022" s="11" t="s">
        <v>28</v>
      </c>
      <c r="N8022" s="11" t="s">
        <v>42</v>
      </c>
      <c r="O8022" s="11" t="s">
        <v>1525</v>
      </c>
      <c r="P8022" s="11" t="s">
        <v>38</v>
      </c>
      <c r="Q8022" s="20">
        <v>41203.0</v>
      </c>
      <c r="R8022" s="17">
        <f t="shared" si="2"/>
        <v>20.80927724</v>
      </c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>
        <f t="shared" si="8"/>
        <v>4</v>
      </c>
      <c r="AF8022" s="19">
        <f t="shared" si="13"/>
        <v>2</v>
      </c>
      <c r="AG8022" s="9"/>
      <c r="AH8022" s="9"/>
      <c r="AI8022" s="9"/>
    </row>
    <row r="8023" ht="15.0" customHeight="1">
      <c r="A8023" s="11">
        <v>8022.0</v>
      </c>
      <c r="B8023" s="12">
        <f t="shared" si="1279"/>
        <v>41201</v>
      </c>
      <c r="C8023" s="13">
        <v>2012.0</v>
      </c>
      <c r="D8023" s="11" t="s">
        <v>23</v>
      </c>
      <c r="E8023" s="11">
        <v>2.0</v>
      </c>
      <c r="F8023" s="14">
        <v>59.7</v>
      </c>
      <c r="G8023" s="15">
        <v>0.06359501100513577</v>
      </c>
      <c r="H8023" s="11" t="s">
        <v>33</v>
      </c>
      <c r="I8023" s="16">
        <v>8.232</v>
      </c>
      <c r="J8023" s="11" t="s">
        <v>106</v>
      </c>
      <c r="K8023" s="11" t="s">
        <v>35</v>
      </c>
      <c r="L8023" s="11" t="s">
        <v>48</v>
      </c>
      <c r="M8023" s="11" t="s">
        <v>28</v>
      </c>
      <c r="N8023" s="11" t="s">
        <v>42</v>
      </c>
      <c r="O8023" s="11" t="s">
        <v>1991</v>
      </c>
      <c r="P8023" s="11" t="s">
        <v>38</v>
      </c>
      <c r="Q8023" s="20">
        <v>41203.0</v>
      </c>
      <c r="R8023" s="17">
        <f t="shared" si="2"/>
        <v>8.116758445</v>
      </c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>
        <f t="shared" si="8"/>
        <v>4</v>
      </c>
      <c r="AF8023" s="19">
        <f t="shared" si="13"/>
        <v>2</v>
      </c>
      <c r="AG8023" s="9"/>
      <c r="AH8023" s="9"/>
      <c r="AI8023" s="9"/>
    </row>
    <row r="8024" ht="15.0" customHeight="1">
      <c r="A8024" s="11">
        <v>8023.0</v>
      </c>
      <c r="B8024" s="12">
        <f t="shared" si="1279"/>
        <v>41201</v>
      </c>
      <c r="C8024" s="13">
        <v>2012.0</v>
      </c>
      <c r="D8024" s="11" t="s">
        <v>23</v>
      </c>
      <c r="E8024" s="11">
        <v>24.0</v>
      </c>
      <c r="F8024" s="14">
        <v>155.9</v>
      </c>
      <c r="G8024" s="15">
        <v>0.039425920705297365</v>
      </c>
      <c r="H8024" s="11" t="s">
        <v>33</v>
      </c>
      <c r="I8024" s="16">
        <v>6.464</v>
      </c>
      <c r="J8024" s="11" t="s">
        <v>106</v>
      </c>
      <c r="K8024" s="11" t="s">
        <v>35</v>
      </c>
      <c r="L8024" s="11" t="s">
        <v>48</v>
      </c>
      <c r="M8024" s="11" t="s">
        <v>66</v>
      </c>
      <c r="N8024" s="11" t="s">
        <v>80</v>
      </c>
      <c r="O8024" s="11" t="s">
        <v>1794</v>
      </c>
      <c r="P8024" s="11" t="s">
        <v>38</v>
      </c>
      <c r="Q8024" s="20">
        <v>41203.0</v>
      </c>
      <c r="R8024" s="17">
        <f t="shared" si="2"/>
        <v>147.7708741</v>
      </c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>
        <f t="shared" si="8"/>
        <v>4</v>
      </c>
      <c r="AF8024" s="19">
        <f t="shared" si="13"/>
        <v>2</v>
      </c>
      <c r="AG8024" s="9"/>
      <c r="AH8024" s="9"/>
      <c r="AI8024" s="9"/>
    </row>
    <row r="8025" ht="15.0" customHeight="1">
      <c r="A8025" s="11">
        <v>8024.0</v>
      </c>
      <c r="B8025" s="12">
        <f t="shared" si="1279"/>
        <v>41201</v>
      </c>
      <c r="C8025" s="13">
        <v>2012.0</v>
      </c>
      <c r="D8025" s="11" t="s">
        <v>44</v>
      </c>
      <c r="E8025" s="11">
        <v>12.0</v>
      </c>
      <c r="F8025" s="14">
        <v>58.1</v>
      </c>
      <c r="G8025" s="15">
        <v>0.010503949877417582</v>
      </c>
      <c r="H8025" s="11" t="s">
        <v>45</v>
      </c>
      <c r="I8025" s="16">
        <v>29.288</v>
      </c>
      <c r="J8025" s="11" t="s">
        <v>1907</v>
      </c>
      <c r="K8025" s="11" t="s">
        <v>61</v>
      </c>
      <c r="L8025" s="11" t="s">
        <v>36</v>
      </c>
      <c r="M8025" s="11" t="s">
        <v>49</v>
      </c>
      <c r="N8025" s="11" t="s">
        <v>156</v>
      </c>
      <c r="O8025" s="11" t="s">
        <v>1885</v>
      </c>
      <c r="P8025" s="11" t="s">
        <v>87</v>
      </c>
      <c r="Q8025" s="20">
        <v>41203.0</v>
      </c>
      <c r="R8025" s="17">
        <f t="shared" si="2"/>
        <v>7.630993539</v>
      </c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>
        <f t="shared" si="8"/>
        <v>2</v>
      </c>
      <c r="AF8025" s="19">
        <f t="shared" si="13"/>
        <v>4</v>
      </c>
      <c r="AG8025" s="9"/>
      <c r="AH8025" s="9"/>
      <c r="AI8025" s="9"/>
    </row>
    <row r="8026" ht="15.0" customHeight="1">
      <c r="A8026" s="11">
        <v>8025.0</v>
      </c>
      <c r="B8026" s="12">
        <f t="shared" si="1279"/>
        <v>41201</v>
      </c>
      <c r="C8026" s="13">
        <v>2012.0</v>
      </c>
      <c r="D8026" s="11" t="s">
        <v>44</v>
      </c>
      <c r="E8026" s="11">
        <v>18.0</v>
      </c>
      <c r="F8026" s="14">
        <v>449.9</v>
      </c>
      <c r="G8026" s="15">
        <v>0.08385309945734176</v>
      </c>
      <c r="H8026" s="11" t="s">
        <v>45</v>
      </c>
      <c r="I8026" s="16">
        <v>39.2</v>
      </c>
      <c r="J8026" s="11" t="s">
        <v>1907</v>
      </c>
      <c r="K8026" s="11" t="s">
        <v>61</v>
      </c>
      <c r="L8026" s="11" t="s">
        <v>36</v>
      </c>
      <c r="M8026" s="11" t="s">
        <v>66</v>
      </c>
      <c r="N8026" s="11" t="s">
        <v>170</v>
      </c>
      <c r="O8026" s="11" t="s">
        <v>1453</v>
      </c>
      <c r="P8026" s="11" t="s">
        <v>52</v>
      </c>
      <c r="Q8026" s="20">
        <v>41204.0</v>
      </c>
      <c r="R8026" s="17">
        <f t="shared" si="2"/>
        <v>682.3462115</v>
      </c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>
        <f t="shared" si="8"/>
        <v>2</v>
      </c>
      <c r="AF8026" s="19">
        <f t="shared" si="13"/>
        <v>4</v>
      </c>
      <c r="AG8026" s="9"/>
      <c r="AH8026" s="9"/>
      <c r="AI8026" s="9"/>
    </row>
    <row r="8027" ht="15.0" customHeight="1">
      <c r="A8027" s="11">
        <v>8026.0</v>
      </c>
      <c r="B8027" s="12">
        <f t="shared" si="1279"/>
        <v>41201</v>
      </c>
      <c r="C8027" s="13">
        <v>2012.0</v>
      </c>
      <c r="D8027" s="11" t="s">
        <v>32</v>
      </c>
      <c r="E8027" s="11">
        <v>28.0</v>
      </c>
      <c r="F8027" s="14">
        <v>10.3</v>
      </c>
      <c r="G8027" s="15">
        <v>0.07900636942675157</v>
      </c>
      <c r="H8027" s="11" t="s">
        <v>33</v>
      </c>
      <c r="I8027" s="16">
        <v>0.792</v>
      </c>
      <c r="J8027" s="11" t="s">
        <v>1332</v>
      </c>
      <c r="K8027" s="11" t="s">
        <v>35</v>
      </c>
      <c r="L8027" s="11" t="s">
        <v>36</v>
      </c>
      <c r="M8027" s="11" t="s">
        <v>28</v>
      </c>
      <c r="N8027" s="11" t="s">
        <v>188</v>
      </c>
      <c r="O8027" s="11" t="s">
        <v>2144</v>
      </c>
      <c r="P8027" s="11" t="s">
        <v>38</v>
      </c>
      <c r="Q8027" s="20">
        <v>41204.0</v>
      </c>
      <c r="R8027" s="17">
        <f t="shared" si="2"/>
        <v>22.84800999</v>
      </c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>
        <f t="shared" si="8"/>
        <v>2</v>
      </c>
      <c r="AF8027" s="19">
        <f t="shared" si="13"/>
        <v>2</v>
      </c>
      <c r="AG8027" s="9"/>
      <c r="AH8027" s="9"/>
      <c r="AI8027" s="9"/>
    </row>
    <row r="8028" ht="15.0" customHeight="1">
      <c r="A8028" s="11">
        <v>8027.0</v>
      </c>
      <c r="B8028" s="12">
        <f t="shared" ref="B8028:B8032" si="1280">DATE(2012,12,31)-72</f>
        <v>41202</v>
      </c>
      <c r="C8028" s="13">
        <v>2012.0</v>
      </c>
      <c r="D8028" s="11" t="s">
        <v>102</v>
      </c>
      <c r="E8028" s="11">
        <v>50.0</v>
      </c>
      <c r="F8028" s="14">
        <v>5.2</v>
      </c>
      <c r="G8028" s="15">
        <v>0.1083176312247645</v>
      </c>
      <c r="H8028" s="11" t="s">
        <v>33</v>
      </c>
      <c r="I8028" s="16">
        <v>5.008</v>
      </c>
      <c r="J8028" s="11" t="s">
        <v>1390</v>
      </c>
      <c r="K8028" s="11" t="s">
        <v>26</v>
      </c>
      <c r="L8028" s="11" t="s">
        <v>48</v>
      </c>
      <c r="M8028" s="11" t="s">
        <v>28</v>
      </c>
      <c r="N8028" s="11" t="s">
        <v>56</v>
      </c>
      <c r="O8028" s="11" t="s">
        <v>1449</v>
      </c>
      <c r="P8028" s="11" t="s">
        <v>38</v>
      </c>
      <c r="Q8028" s="20">
        <v>41204.0</v>
      </c>
      <c r="R8028" s="17">
        <f t="shared" si="2"/>
        <v>28.70503882</v>
      </c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>
        <f t="shared" si="8"/>
        <v>4</v>
      </c>
      <c r="AF8028" s="19">
        <f t="shared" si="13"/>
        <v>1</v>
      </c>
      <c r="AG8028" s="9"/>
      <c r="AH8028" s="9"/>
      <c r="AI8028" s="9"/>
    </row>
    <row r="8029" ht="15.0" customHeight="1">
      <c r="A8029" s="11">
        <v>8028.0</v>
      </c>
      <c r="B8029" s="12">
        <f t="shared" si="1280"/>
        <v>41202</v>
      </c>
      <c r="C8029" s="13">
        <v>2012.0</v>
      </c>
      <c r="D8029" s="11" t="s">
        <v>102</v>
      </c>
      <c r="E8029" s="11">
        <v>43.0</v>
      </c>
      <c r="F8029" s="14">
        <v>65.9</v>
      </c>
      <c r="G8029" s="15">
        <v>0.011400083670338802</v>
      </c>
      <c r="H8029" s="11" t="s">
        <v>33</v>
      </c>
      <c r="I8029" s="16">
        <v>2.0</v>
      </c>
      <c r="J8029" s="11" t="s">
        <v>1390</v>
      </c>
      <c r="K8029" s="11" t="s">
        <v>26</v>
      </c>
      <c r="L8029" s="11" t="s">
        <v>48</v>
      </c>
      <c r="M8029" s="11" t="s">
        <v>66</v>
      </c>
      <c r="N8029" s="11" t="s">
        <v>80</v>
      </c>
      <c r="O8029" s="11">
        <v>6190.0</v>
      </c>
      <c r="P8029" s="11" t="s">
        <v>38</v>
      </c>
      <c r="Q8029" s="20">
        <v>41204.0</v>
      </c>
      <c r="R8029" s="17">
        <f t="shared" si="2"/>
        <v>32.32721726</v>
      </c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>
        <f t="shared" si="8"/>
        <v>4</v>
      </c>
      <c r="AF8029" s="19">
        <f t="shared" si="13"/>
        <v>1</v>
      </c>
      <c r="AG8029" s="9"/>
      <c r="AH8029" s="9"/>
      <c r="AI8029" s="9"/>
    </row>
    <row r="8030" ht="15.0" customHeight="1">
      <c r="A8030" s="11">
        <v>8029.0</v>
      </c>
      <c r="B8030" s="12">
        <f t="shared" si="1280"/>
        <v>41202</v>
      </c>
      <c r="C8030" s="13">
        <v>2012.0</v>
      </c>
      <c r="D8030" s="11" t="s">
        <v>39</v>
      </c>
      <c r="E8030" s="11">
        <v>18.0</v>
      </c>
      <c r="F8030" s="14">
        <v>3.0</v>
      </c>
      <c r="G8030" s="15">
        <v>0.04709565217391302</v>
      </c>
      <c r="H8030" s="11" t="s">
        <v>33</v>
      </c>
      <c r="I8030" s="16">
        <v>0.792</v>
      </c>
      <c r="J8030" s="11" t="s">
        <v>1747</v>
      </c>
      <c r="K8030" s="11" t="s">
        <v>61</v>
      </c>
      <c r="L8030" s="11" t="s">
        <v>36</v>
      </c>
      <c r="M8030" s="11" t="s">
        <v>28</v>
      </c>
      <c r="N8030" s="11" t="s">
        <v>188</v>
      </c>
      <c r="O8030" s="11" t="s">
        <v>1495</v>
      </c>
      <c r="P8030" s="11" t="s">
        <v>38</v>
      </c>
      <c r="Q8030" s="20">
        <v>41204.0</v>
      </c>
      <c r="R8030" s="17">
        <f t="shared" si="2"/>
        <v>2.580464974</v>
      </c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>
        <f t="shared" si="8"/>
        <v>2</v>
      </c>
      <c r="AF8030" s="19">
        <f t="shared" si="13"/>
        <v>4</v>
      </c>
      <c r="AG8030" s="9"/>
      <c r="AH8030" s="9"/>
      <c r="AI8030" s="9"/>
    </row>
    <row r="8031" ht="15.0" customHeight="1">
      <c r="A8031" s="11">
        <v>8030.0</v>
      </c>
      <c r="B8031" s="12">
        <f t="shared" si="1280"/>
        <v>41202</v>
      </c>
      <c r="C8031" s="13">
        <v>2012.0</v>
      </c>
      <c r="D8031" s="11" t="s">
        <v>39</v>
      </c>
      <c r="E8031" s="11">
        <v>39.0</v>
      </c>
      <c r="F8031" s="14">
        <v>3.6</v>
      </c>
      <c r="G8031" s="15">
        <v>0.02309392265193366</v>
      </c>
      <c r="H8031" s="11" t="s">
        <v>33</v>
      </c>
      <c r="I8031" s="16">
        <v>1.056</v>
      </c>
      <c r="J8031" s="11" t="s">
        <v>1747</v>
      </c>
      <c r="K8031" s="11" t="s">
        <v>61</v>
      </c>
      <c r="L8031" s="11" t="s">
        <v>36</v>
      </c>
      <c r="M8031" s="11" t="s">
        <v>28</v>
      </c>
      <c r="N8031" s="11" t="s">
        <v>442</v>
      </c>
      <c r="O8031" s="11" t="s">
        <v>1304</v>
      </c>
      <c r="P8031" s="11" t="s">
        <v>58</v>
      </c>
      <c r="Q8031" s="20">
        <v>41204.0</v>
      </c>
      <c r="R8031" s="17">
        <f t="shared" si="2"/>
        <v>3.266773923</v>
      </c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>
        <f t="shared" si="8"/>
        <v>2</v>
      </c>
      <c r="AF8031" s="19">
        <f t="shared" si="13"/>
        <v>4</v>
      </c>
      <c r="AG8031" s="9"/>
      <c r="AH8031" s="9"/>
      <c r="AI8031" s="9"/>
    </row>
    <row r="8032" ht="15.0" customHeight="1">
      <c r="A8032" s="11">
        <v>8031.0</v>
      </c>
      <c r="B8032" s="12">
        <f t="shared" si="1280"/>
        <v>41202</v>
      </c>
      <c r="C8032" s="13">
        <v>2012.0</v>
      </c>
      <c r="D8032" s="11" t="s">
        <v>39</v>
      </c>
      <c r="E8032" s="11">
        <v>39.0</v>
      </c>
      <c r="F8032" s="14">
        <v>43.9</v>
      </c>
      <c r="G8032" s="15">
        <v>0.04953300055463117</v>
      </c>
      <c r="H8032" s="11" t="s">
        <v>33</v>
      </c>
      <c r="I8032" s="16">
        <v>1.592</v>
      </c>
      <c r="J8032" s="11" t="s">
        <v>1747</v>
      </c>
      <c r="K8032" s="11" t="s">
        <v>61</v>
      </c>
      <c r="L8032" s="11" t="s">
        <v>36</v>
      </c>
      <c r="M8032" s="11" t="s">
        <v>66</v>
      </c>
      <c r="N8032" s="11" t="s">
        <v>67</v>
      </c>
      <c r="O8032" s="11" t="s">
        <v>1631</v>
      </c>
      <c r="P8032" s="11" t="s">
        <v>99</v>
      </c>
      <c r="Q8032" s="20">
        <v>41205.0</v>
      </c>
      <c r="R8032" s="17">
        <f t="shared" si="2"/>
        <v>84.88430679</v>
      </c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>
        <f t="shared" si="8"/>
        <v>2</v>
      </c>
      <c r="AF8032" s="19">
        <f t="shared" si="13"/>
        <v>4</v>
      </c>
      <c r="AG8032" s="9"/>
      <c r="AH8032" s="9"/>
      <c r="AI8032" s="9"/>
    </row>
    <row r="8033" ht="15.0" customHeight="1">
      <c r="A8033" s="11">
        <v>8032.0</v>
      </c>
      <c r="B8033" s="12">
        <f t="shared" ref="B8033:B8035" si="1281">DATE(2012,12,31)-71</f>
        <v>41203</v>
      </c>
      <c r="C8033" s="13">
        <v>2012.0</v>
      </c>
      <c r="D8033" s="11" t="s">
        <v>23</v>
      </c>
      <c r="E8033" s="11">
        <v>49.0</v>
      </c>
      <c r="F8033" s="14">
        <v>6.0</v>
      </c>
      <c r="G8033" s="15">
        <v>0.08688544891640873</v>
      </c>
      <c r="H8033" s="11" t="s">
        <v>33</v>
      </c>
      <c r="I8033" s="16">
        <v>0.9359999999999999</v>
      </c>
      <c r="J8033" s="11" t="s">
        <v>1017</v>
      </c>
      <c r="K8033" s="11" t="s">
        <v>117</v>
      </c>
      <c r="L8033" s="11" t="s">
        <v>36</v>
      </c>
      <c r="M8033" s="11" t="s">
        <v>28</v>
      </c>
      <c r="N8033" s="11" t="s">
        <v>62</v>
      </c>
      <c r="O8033" s="11" t="s">
        <v>2485</v>
      </c>
      <c r="P8033" s="11" t="s">
        <v>58</v>
      </c>
      <c r="Q8033" s="20">
        <v>41205.0</v>
      </c>
      <c r="R8033" s="17">
        <f t="shared" si="2"/>
        <v>25.62564676</v>
      </c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>
        <f t="shared" si="8"/>
        <v>2</v>
      </c>
      <c r="AF8033" s="19" t="b">
        <f t="shared" si="13"/>
        <v>0</v>
      </c>
      <c r="AG8033" s="9"/>
      <c r="AH8033" s="9"/>
      <c r="AI8033" s="9"/>
    </row>
    <row r="8034" ht="15.0" customHeight="1">
      <c r="A8034" s="11">
        <v>8033.0</v>
      </c>
      <c r="B8034" s="12">
        <f t="shared" si="1281"/>
        <v>41203</v>
      </c>
      <c r="C8034" s="13">
        <v>2012.0</v>
      </c>
      <c r="D8034" s="11" t="s">
        <v>102</v>
      </c>
      <c r="E8034" s="11">
        <v>17.0</v>
      </c>
      <c r="F8034" s="14">
        <v>60.6</v>
      </c>
      <c r="G8034" s="15">
        <v>0.02644806844325151</v>
      </c>
      <c r="H8034" s="11" t="s">
        <v>33</v>
      </c>
      <c r="I8034" s="16">
        <v>9.784</v>
      </c>
      <c r="J8034" s="11" t="s">
        <v>453</v>
      </c>
      <c r="K8034" s="11" t="s">
        <v>61</v>
      </c>
      <c r="L8034" s="11" t="s">
        <v>36</v>
      </c>
      <c r="M8034" s="11" t="s">
        <v>49</v>
      </c>
      <c r="N8034" s="11" t="s">
        <v>73</v>
      </c>
      <c r="O8034" s="11" t="s">
        <v>652</v>
      </c>
      <c r="P8034" s="11" t="s">
        <v>75</v>
      </c>
      <c r="Q8034" s="20">
        <v>41205.0</v>
      </c>
      <c r="R8034" s="17">
        <f t="shared" si="2"/>
        <v>27.50556801</v>
      </c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>
        <f t="shared" si="8"/>
        <v>2</v>
      </c>
      <c r="AF8034" s="19">
        <f t="shared" si="13"/>
        <v>4</v>
      </c>
      <c r="AG8034" s="9"/>
      <c r="AH8034" s="9"/>
      <c r="AI8034" s="9"/>
    </row>
    <row r="8035" ht="15.0" customHeight="1">
      <c r="A8035" s="11">
        <v>8034.0</v>
      </c>
      <c r="B8035" s="12">
        <f t="shared" si="1281"/>
        <v>41203</v>
      </c>
      <c r="C8035" s="13">
        <v>2012.0</v>
      </c>
      <c r="D8035" s="11" t="s">
        <v>39</v>
      </c>
      <c r="E8035" s="11">
        <v>35.0</v>
      </c>
      <c r="F8035" s="14">
        <v>4.8</v>
      </c>
      <c r="G8035" s="15">
        <v>0.010458715596330345</v>
      </c>
      <c r="H8035" s="11" t="s">
        <v>33</v>
      </c>
      <c r="I8035" s="16">
        <v>4.576</v>
      </c>
      <c r="J8035" s="11" t="s">
        <v>1737</v>
      </c>
      <c r="K8035" s="11" t="s">
        <v>61</v>
      </c>
      <c r="L8035" s="11" t="s">
        <v>27</v>
      </c>
      <c r="M8035" s="11" t="s">
        <v>49</v>
      </c>
      <c r="N8035" s="11" t="s">
        <v>73</v>
      </c>
      <c r="O8035" s="11" t="s">
        <v>1873</v>
      </c>
      <c r="P8035" s="11" t="s">
        <v>99</v>
      </c>
      <c r="Q8035" s="20">
        <v>41205.0</v>
      </c>
      <c r="R8035" s="17">
        <f t="shared" si="2"/>
        <v>1.804923303</v>
      </c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>
        <f t="shared" si="8"/>
        <v>1</v>
      </c>
      <c r="AF8035" s="19">
        <f t="shared" si="13"/>
        <v>4</v>
      </c>
      <c r="AG8035" s="9"/>
      <c r="AH8035" s="9"/>
      <c r="AI8035" s="9"/>
    </row>
    <row r="8036" ht="15.0" customHeight="1">
      <c r="A8036" s="11">
        <v>8035.0</v>
      </c>
      <c r="B8036" s="12">
        <f t="shared" ref="B8036:B8039" si="1282">DATE(2012,12,31)-70</f>
        <v>41204</v>
      </c>
      <c r="C8036" s="13">
        <v>2012.0</v>
      </c>
      <c r="D8036" s="11" t="s">
        <v>44</v>
      </c>
      <c r="E8036" s="11">
        <v>36.0</v>
      </c>
      <c r="F8036" s="14">
        <v>100.9</v>
      </c>
      <c r="G8036" s="15">
        <v>0.04002528378413975</v>
      </c>
      <c r="H8036" s="11" t="s">
        <v>45</v>
      </c>
      <c r="I8036" s="16">
        <v>12.528</v>
      </c>
      <c r="J8036" s="11" t="s">
        <v>1929</v>
      </c>
      <c r="K8036" s="11" t="s">
        <v>83</v>
      </c>
      <c r="L8036" s="11" t="s">
        <v>48</v>
      </c>
      <c r="M8036" s="11" t="s">
        <v>28</v>
      </c>
      <c r="N8036" s="11" t="s">
        <v>197</v>
      </c>
      <c r="O8036" s="11" t="s">
        <v>2491</v>
      </c>
      <c r="P8036" s="11" t="s">
        <v>52</v>
      </c>
      <c r="Q8036" s="20">
        <v>41205.0</v>
      </c>
      <c r="R8036" s="17">
        <f t="shared" si="2"/>
        <v>145.8892776</v>
      </c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>
        <f t="shared" si="8"/>
        <v>4</v>
      </c>
      <c r="AF8036" s="19" t="b">
        <f t="shared" si="13"/>
        <v>0</v>
      </c>
      <c r="AG8036" s="9"/>
      <c r="AH8036" s="9"/>
      <c r="AI8036" s="9"/>
    </row>
    <row r="8037" ht="15.0" customHeight="1">
      <c r="A8037" s="11">
        <v>8036.0</v>
      </c>
      <c r="B8037" s="12">
        <f t="shared" si="1282"/>
        <v>41204</v>
      </c>
      <c r="C8037" s="13">
        <v>2012.0</v>
      </c>
      <c r="D8037" s="11" t="s">
        <v>44</v>
      </c>
      <c r="E8037" s="11">
        <v>11.0</v>
      </c>
      <c r="F8037" s="14">
        <v>10.0</v>
      </c>
      <c r="G8037" s="15">
        <v>0.056229923922231625</v>
      </c>
      <c r="H8037" s="11" t="s">
        <v>33</v>
      </c>
      <c r="I8037" s="16">
        <v>1.6480000000000001</v>
      </c>
      <c r="J8037" s="11" t="s">
        <v>1929</v>
      </c>
      <c r="K8037" s="11" t="s">
        <v>83</v>
      </c>
      <c r="L8037" s="11" t="s">
        <v>48</v>
      </c>
      <c r="M8037" s="11" t="s">
        <v>28</v>
      </c>
      <c r="N8037" s="11" t="s">
        <v>56</v>
      </c>
      <c r="O8037" s="11" t="s">
        <v>1552</v>
      </c>
      <c r="P8037" s="11" t="s">
        <v>58</v>
      </c>
      <c r="Q8037" s="20">
        <v>41205.0</v>
      </c>
      <c r="R8037" s="17">
        <f t="shared" si="2"/>
        <v>6.277958546</v>
      </c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>
        <f t="shared" si="8"/>
        <v>4</v>
      </c>
      <c r="AF8037" s="19" t="b">
        <f t="shared" si="13"/>
        <v>0</v>
      </c>
      <c r="AG8037" s="9"/>
      <c r="AH8037" s="9"/>
      <c r="AI8037" s="9"/>
    </row>
    <row r="8038" ht="15.0" customHeight="1">
      <c r="A8038" s="11">
        <v>8037.0</v>
      </c>
      <c r="B8038" s="12">
        <f t="shared" si="1282"/>
        <v>41204</v>
      </c>
      <c r="C8038" s="13">
        <v>2012.0</v>
      </c>
      <c r="D8038" s="11" t="s">
        <v>39</v>
      </c>
      <c r="E8038" s="11">
        <v>43.0</v>
      </c>
      <c r="F8038" s="14">
        <v>21.3</v>
      </c>
      <c r="G8038" s="15">
        <v>0.07920997506234416</v>
      </c>
      <c r="H8038" s="11" t="s">
        <v>33</v>
      </c>
      <c r="I8038" s="16">
        <v>7.192</v>
      </c>
      <c r="J8038" s="11" t="s">
        <v>759</v>
      </c>
      <c r="K8038" s="11" t="s">
        <v>61</v>
      </c>
      <c r="L8038" s="11" t="s">
        <v>41</v>
      </c>
      <c r="M8038" s="11" t="s">
        <v>28</v>
      </c>
      <c r="N8038" s="11" t="s">
        <v>62</v>
      </c>
      <c r="O8038" s="11" t="s">
        <v>890</v>
      </c>
      <c r="P8038" s="11" t="s">
        <v>99</v>
      </c>
      <c r="Q8038" s="20">
        <v>41205.0</v>
      </c>
      <c r="R8038" s="17">
        <f t="shared" si="2"/>
        <v>73.1180943</v>
      </c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>
        <f t="shared" si="8"/>
        <v>3</v>
      </c>
      <c r="AF8038" s="19">
        <f t="shared" si="13"/>
        <v>4</v>
      </c>
      <c r="AG8038" s="9"/>
      <c r="AH8038" s="9"/>
      <c r="AI8038" s="9"/>
    </row>
    <row r="8039" ht="15.0" customHeight="1">
      <c r="A8039" s="11">
        <v>8038.0</v>
      </c>
      <c r="B8039" s="12">
        <f t="shared" si="1282"/>
        <v>41204</v>
      </c>
      <c r="C8039" s="13">
        <v>2012.0</v>
      </c>
      <c r="D8039" s="11" t="s">
        <v>32</v>
      </c>
      <c r="E8039" s="11">
        <v>9.0</v>
      </c>
      <c r="F8039" s="14">
        <v>1637.5</v>
      </c>
      <c r="G8039" s="15">
        <v>0.06574666362784572</v>
      </c>
      <c r="H8039" s="11" t="s">
        <v>33</v>
      </c>
      <c r="I8039" s="16">
        <v>19.592</v>
      </c>
      <c r="J8039" s="11" t="s">
        <v>1010</v>
      </c>
      <c r="K8039" s="11" t="s">
        <v>35</v>
      </c>
      <c r="L8039" s="11" t="s">
        <v>27</v>
      </c>
      <c r="M8039" s="11" t="s">
        <v>28</v>
      </c>
      <c r="N8039" s="11" t="s">
        <v>442</v>
      </c>
      <c r="O8039" s="11" t="s">
        <v>922</v>
      </c>
      <c r="P8039" s="11" t="s">
        <v>75</v>
      </c>
      <c r="Q8039" s="20">
        <v>41206.0</v>
      </c>
      <c r="R8039" s="17">
        <f t="shared" si="2"/>
        <v>970.2295638</v>
      </c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>
        <f t="shared" si="8"/>
        <v>1</v>
      </c>
      <c r="AF8039" s="19">
        <f t="shared" si="13"/>
        <v>2</v>
      </c>
      <c r="AG8039" s="9"/>
      <c r="AH8039" s="9"/>
      <c r="AI8039" s="9"/>
    </row>
    <row r="8040" ht="15.0" customHeight="1">
      <c r="A8040" s="11">
        <v>8039.0</v>
      </c>
      <c r="B8040" s="12">
        <f t="shared" ref="B8040:B8046" si="1283">DATE(2012,12,31)-69</f>
        <v>41205</v>
      </c>
      <c r="C8040" s="13">
        <v>2012.0</v>
      </c>
      <c r="D8040" s="11" t="s">
        <v>44</v>
      </c>
      <c r="E8040" s="11">
        <v>31.0</v>
      </c>
      <c r="F8040" s="14">
        <v>4.7</v>
      </c>
      <c r="G8040" s="15">
        <v>0.04599999999999983</v>
      </c>
      <c r="H8040" s="11" t="s">
        <v>33</v>
      </c>
      <c r="I8040" s="16">
        <v>1.2160000000000002</v>
      </c>
      <c r="J8040" s="11" t="s">
        <v>1145</v>
      </c>
      <c r="K8040" s="11" t="s">
        <v>65</v>
      </c>
      <c r="L8040" s="11" t="s">
        <v>48</v>
      </c>
      <c r="M8040" s="11" t="s">
        <v>28</v>
      </c>
      <c r="N8040" s="11" t="s">
        <v>56</v>
      </c>
      <c r="O8040" s="11" t="s">
        <v>2334</v>
      </c>
      <c r="P8040" s="11" t="s">
        <v>58</v>
      </c>
      <c r="Q8040" s="20">
        <v>41206.0</v>
      </c>
      <c r="R8040" s="17">
        <f t="shared" si="2"/>
        <v>6.758136</v>
      </c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>
        <f t="shared" si="8"/>
        <v>4</v>
      </c>
      <c r="AF8040" s="19">
        <f t="shared" si="13"/>
        <v>5</v>
      </c>
      <c r="AG8040" s="9"/>
      <c r="AH8040" s="9"/>
      <c r="AI8040" s="9"/>
    </row>
    <row r="8041" ht="15.0" customHeight="1">
      <c r="A8041" s="11">
        <v>8040.0</v>
      </c>
      <c r="B8041" s="12">
        <f t="shared" si="1283"/>
        <v>41205</v>
      </c>
      <c r="C8041" s="13">
        <v>2012.0</v>
      </c>
      <c r="D8041" s="11" t="s">
        <v>102</v>
      </c>
      <c r="E8041" s="11">
        <v>34.0</v>
      </c>
      <c r="F8041" s="14">
        <v>3.8</v>
      </c>
      <c r="G8041" s="15">
        <v>0.07512465373961227</v>
      </c>
      <c r="H8041" s="11" t="s">
        <v>24</v>
      </c>
      <c r="I8041" s="16">
        <v>4.352</v>
      </c>
      <c r="J8041" s="11" t="s">
        <v>1524</v>
      </c>
      <c r="K8041" s="11" t="s">
        <v>26</v>
      </c>
      <c r="L8041" s="11" t="s">
        <v>48</v>
      </c>
      <c r="M8041" s="11" t="s">
        <v>28</v>
      </c>
      <c r="N8041" s="11" t="s">
        <v>42</v>
      </c>
      <c r="O8041" s="11" t="s">
        <v>1587</v>
      </c>
      <c r="P8041" s="11" t="s">
        <v>38</v>
      </c>
      <c r="Q8041" s="20">
        <v>41206.0</v>
      </c>
      <c r="R8041" s="17">
        <f t="shared" si="2"/>
        <v>10.03304776</v>
      </c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>
        <f t="shared" si="8"/>
        <v>4</v>
      </c>
      <c r="AF8041" s="19">
        <f t="shared" si="13"/>
        <v>1</v>
      </c>
      <c r="AG8041" s="9"/>
      <c r="AH8041" s="9"/>
      <c r="AI8041" s="9"/>
    </row>
    <row r="8042" ht="15.0" customHeight="1">
      <c r="A8042" s="11">
        <v>8041.0</v>
      </c>
      <c r="B8042" s="12">
        <f t="shared" si="1283"/>
        <v>41205</v>
      </c>
      <c r="C8042" s="13">
        <v>2012.0</v>
      </c>
      <c r="D8042" s="11" t="s">
        <v>39</v>
      </c>
      <c r="E8042" s="11">
        <v>34.0</v>
      </c>
      <c r="F8042" s="14">
        <v>170.9</v>
      </c>
      <c r="G8042" s="15">
        <v>0.08487567162314125</v>
      </c>
      <c r="H8042" s="11" t="s">
        <v>45</v>
      </c>
      <c r="I8042" s="16">
        <v>48.392</v>
      </c>
      <c r="J8042" s="11" t="s">
        <v>910</v>
      </c>
      <c r="K8042" s="11" t="s">
        <v>117</v>
      </c>
      <c r="L8042" s="11" t="s">
        <v>48</v>
      </c>
      <c r="M8042" s="11" t="s">
        <v>49</v>
      </c>
      <c r="N8042" s="11" t="s">
        <v>156</v>
      </c>
      <c r="O8042" s="11" t="s">
        <v>2612</v>
      </c>
      <c r="P8042" s="11" t="s">
        <v>87</v>
      </c>
      <c r="Q8042" s="20">
        <v>41206.0</v>
      </c>
      <c r="R8042" s="17">
        <f t="shared" si="2"/>
        <v>497.285881</v>
      </c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>
        <f t="shared" si="8"/>
        <v>4</v>
      </c>
      <c r="AF8042" s="19" t="b">
        <f t="shared" si="13"/>
        <v>0</v>
      </c>
      <c r="AG8042" s="9"/>
      <c r="AH8042" s="9"/>
      <c r="AI8042" s="9"/>
    </row>
    <row r="8043" ht="15.0" customHeight="1">
      <c r="A8043" s="11">
        <v>8042.0</v>
      </c>
      <c r="B8043" s="12">
        <f t="shared" si="1283"/>
        <v>41205</v>
      </c>
      <c r="C8043" s="13">
        <v>2012.0</v>
      </c>
      <c r="D8043" s="11" t="s">
        <v>32</v>
      </c>
      <c r="E8043" s="11">
        <v>42.0</v>
      </c>
      <c r="F8043" s="14">
        <v>100.9</v>
      </c>
      <c r="G8043" s="15">
        <v>0.09184325978556294</v>
      </c>
      <c r="H8043" s="11" t="s">
        <v>33</v>
      </c>
      <c r="I8043" s="16">
        <v>5.744</v>
      </c>
      <c r="J8043" s="11" t="s">
        <v>1264</v>
      </c>
      <c r="K8043" s="11" t="s">
        <v>35</v>
      </c>
      <c r="L8043" s="11" t="s">
        <v>41</v>
      </c>
      <c r="M8043" s="11" t="s">
        <v>66</v>
      </c>
      <c r="N8043" s="11" t="s">
        <v>67</v>
      </c>
      <c r="O8043" s="11" t="s">
        <v>1031</v>
      </c>
      <c r="P8043" s="11" t="s">
        <v>38</v>
      </c>
      <c r="Q8043" s="20">
        <v>41206.0</v>
      </c>
      <c r="R8043" s="17">
        <f t="shared" si="2"/>
        <v>389.740914</v>
      </c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>
        <f t="shared" si="8"/>
        <v>3</v>
      </c>
      <c r="AF8043" s="19">
        <f t="shared" si="13"/>
        <v>2</v>
      </c>
      <c r="AG8043" s="9"/>
      <c r="AH8043" s="9"/>
      <c r="AI8043" s="9"/>
    </row>
    <row r="8044" ht="15.0" customHeight="1">
      <c r="A8044" s="11">
        <v>8043.0</v>
      </c>
      <c r="B8044" s="12">
        <f t="shared" si="1283"/>
        <v>41205</v>
      </c>
      <c r="C8044" s="13">
        <v>2012.0</v>
      </c>
      <c r="D8044" s="11" t="s">
        <v>32</v>
      </c>
      <c r="E8044" s="11">
        <v>24.0</v>
      </c>
      <c r="F8044" s="14">
        <v>5.2</v>
      </c>
      <c r="G8044" s="15">
        <v>0.02575667655786356</v>
      </c>
      <c r="H8044" s="11" t="s">
        <v>33</v>
      </c>
      <c r="I8044" s="16">
        <v>6.5280000000000005</v>
      </c>
      <c r="J8044" s="11" t="s">
        <v>1264</v>
      </c>
      <c r="K8044" s="11" t="s">
        <v>35</v>
      </c>
      <c r="L8044" s="11" t="s">
        <v>41</v>
      </c>
      <c r="M8044" s="11" t="s">
        <v>28</v>
      </c>
      <c r="N8044" s="11" t="s">
        <v>56</v>
      </c>
      <c r="O8044" s="11" t="s">
        <v>2418</v>
      </c>
      <c r="P8044" s="11" t="s">
        <v>38</v>
      </c>
      <c r="Q8044" s="20">
        <v>41207.0</v>
      </c>
      <c r="R8044" s="17">
        <f t="shared" si="2"/>
        <v>3.382572819</v>
      </c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>
        <f t="shared" si="8"/>
        <v>3</v>
      </c>
      <c r="AF8044" s="19">
        <f t="shared" si="13"/>
        <v>2</v>
      </c>
      <c r="AG8044" s="9"/>
      <c r="AH8044" s="9"/>
      <c r="AI8044" s="9"/>
    </row>
    <row r="8045" ht="15.0" customHeight="1">
      <c r="A8045" s="11">
        <v>8044.0</v>
      </c>
      <c r="B8045" s="12">
        <f t="shared" si="1283"/>
        <v>41205</v>
      </c>
      <c r="C8045" s="13">
        <v>2012.0</v>
      </c>
      <c r="D8045" s="11" t="s">
        <v>32</v>
      </c>
      <c r="E8045" s="11">
        <v>5.0</v>
      </c>
      <c r="F8045" s="14">
        <v>15.6</v>
      </c>
      <c r="G8045" s="15">
        <v>0.036394640682095004</v>
      </c>
      <c r="H8045" s="11" t="s">
        <v>33</v>
      </c>
      <c r="I8045" s="16">
        <v>1.1119999999999999</v>
      </c>
      <c r="J8045" s="11" t="s">
        <v>2084</v>
      </c>
      <c r="K8045" s="11" t="s">
        <v>61</v>
      </c>
      <c r="L8045" s="11" t="s">
        <v>48</v>
      </c>
      <c r="M8045" s="11" t="s">
        <v>28</v>
      </c>
      <c r="N8045" s="11" t="s">
        <v>236</v>
      </c>
      <c r="O8045" s="11" t="s">
        <v>1274</v>
      </c>
      <c r="P8045" s="11" t="s">
        <v>38</v>
      </c>
      <c r="Q8045" s="20">
        <v>41207.0</v>
      </c>
      <c r="R8045" s="17">
        <f t="shared" si="2"/>
        <v>2.879252814</v>
      </c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>
        <f t="shared" si="8"/>
        <v>4</v>
      </c>
      <c r="AF8045" s="19">
        <f t="shared" si="13"/>
        <v>4</v>
      </c>
      <c r="AG8045" s="9"/>
      <c r="AH8045" s="9"/>
      <c r="AI8045" s="9"/>
    </row>
    <row r="8046" ht="15.0" customHeight="1">
      <c r="A8046" s="11">
        <v>8045.0</v>
      </c>
      <c r="B8046" s="12">
        <f t="shared" si="1283"/>
        <v>41205</v>
      </c>
      <c r="C8046" s="13">
        <v>2012.0</v>
      </c>
      <c r="D8046" s="11" t="s">
        <v>102</v>
      </c>
      <c r="E8046" s="11">
        <v>7.0</v>
      </c>
      <c r="F8046" s="14">
        <v>6.4</v>
      </c>
      <c r="G8046" s="15">
        <v>0.04705440900562844</v>
      </c>
      <c r="H8046" s="11" t="s">
        <v>33</v>
      </c>
      <c r="I8046" s="16">
        <v>5.992000000000001</v>
      </c>
      <c r="J8046" s="11" t="s">
        <v>213</v>
      </c>
      <c r="K8046" s="11" t="s">
        <v>47</v>
      </c>
      <c r="L8046" s="11" t="s">
        <v>48</v>
      </c>
      <c r="M8046" s="11" t="s">
        <v>28</v>
      </c>
      <c r="N8046" s="11" t="s">
        <v>56</v>
      </c>
      <c r="O8046" s="11" t="s">
        <v>1042</v>
      </c>
      <c r="P8046" s="11" t="s">
        <v>38</v>
      </c>
      <c r="Q8046" s="20">
        <v>41207.0</v>
      </c>
      <c r="R8046" s="17">
        <f t="shared" si="2"/>
        <v>2.389987542</v>
      </c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>
        <f t="shared" si="8"/>
        <v>4</v>
      </c>
      <c r="AF8046" s="19">
        <f t="shared" si="13"/>
        <v>3</v>
      </c>
      <c r="AG8046" s="9"/>
      <c r="AH8046" s="9"/>
      <c r="AI8046" s="9"/>
    </row>
    <row r="8047" ht="15.0" customHeight="1">
      <c r="A8047" s="11">
        <v>8046.0</v>
      </c>
      <c r="B8047" s="12">
        <f t="shared" ref="B8047:B8050" si="1284">DATE(2012,12,31)-68</f>
        <v>41206</v>
      </c>
      <c r="C8047" s="13">
        <v>2012.0</v>
      </c>
      <c r="D8047" s="11" t="s">
        <v>39</v>
      </c>
      <c r="E8047" s="11">
        <v>6.0</v>
      </c>
      <c r="F8047" s="14">
        <v>6.2</v>
      </c>
      <c r="G8047" s="15">
        <v>0.037767441860465004</v>
      </c>
      <c r="H8047" s="11" t="s">
        <v>24</v>
      </c>
      <c r="I8047" s="16">
        <v>4.176</v>
      </c>
      <c r="J8047" s="11" t="s">
        <v>603</v>
      </c>
      <c r="K8047" s="11" t="s">
        <v>61</v>
      </c>
      <c r="L8047" s="11" t="s">
        <v>48</v>
      </c>
      <c r="M8047" s="11" t="s">
        <v>49</v>
      </c>
      <c r="N8047" s="11" t="s">
        <v>73</v>
      </c>
      <c r="O8047" s="11" t="s">
        <v>1591</v>
      </c>
      <c r="P8047" s="11" t="s">
        <v>38</v>
      </c>
      <c r="Q8047" s="20">
        <v>41207.0</v>
      </c>
      <c r="R8047" s="17">
        <f t="shared" si="2"/>
        <v>1.562665674</v>
      </c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>
        <f t="shared" si="8"/>
        <v>4</v>
      </c>
      <c r="AF8047" s="19">
        <f t="shared" si="13"/>
        <v>4</v>
      </c>
      <c r="AG8047" s="9"/>
      <c r="AH8047" s="9"/>
      <c r="AI8047" s="9"/>
    </row>
    <row r="8048" ht="15.0" customHeight="1">
      <c r="A8048" s="11">
        <v>8047.0</v>
      </c>
      <c r="B8048" s="12">
        <f t="shared" si="1284"/>
        <v>41206</v>
      </c>
      <c r="C8048" s="13">
        <v>2012.0</v>
      </c>
      <c r="D8048" s="11" t="s">
        <v>32</v>
      </c>
      <c r="E8048" s="11">
        <v>10.0</v>
      </c>
      <c r="F8048" s="14">
        <v>40.9</v>
      </c>
      <c r="G8048" s="15">
        <v>0.06789557321225884</v>
      </c>
      <c r="H8048" s="11" t="s">
        <v>33</v>
      </c>
      <c r="I8048" s="16">
        <v>1.592</v>
      </c>
      <c r="J8048" s="11" t="s">
        <v>945</v>
      </c>
      <c r="K8048" s="11" t="s">
        <v>65</v>
      </c>
      <c r="L8048" s="11" t="s">
        <v>36</v>
      </c>
      <c r="M8048" s="11" t="s">
        <v>66</v>
      </c>
      <c r="N8048" s="11" t="s">
        <v>67</v>
      </c>
      <c r="O8048" s="11" t="s">
        <v>1087</v>
      </c>
      <c r="P8048" s="11" t="s">
        <v>99</v>
      </c>
      <c r="Q8048" s="20">
        <v>41208.0</v>
      </c>
      <c r="R8048" s="17">
        <f t="shared" si="2"/>
        <v>27.8773792</v>
      </c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>
        <f t="shared" si="8"/>
        <v>2</v>
      </c>
      <c r="AF8048" s="19">
        <f t="shared" si="13"/>
        <v>5</v>
      </c>
      <c r="AG8048" s="9"/>
      <c r="AH8048" s="9"/>
      <c r="AI8048" s="9"/>
    </row>
    <row r="8049" ht="15.0" customHeight="1">
      <c r="A8049" s="11">
        <v>8048.0</v>
      </c>
      <c r="B8049" s="12">
        <f t="shared" si="1284"/>
        <v>41206</v>
      </c>
      <c r="C8049" s="13">
        <v>2012.0</v>
      </c>
      <c r="D8049" s="11" t="s">
        <v>32</v>
      </c>
      <c r="E8049" s="11">
        <v>8.0</v>
      </c>
      <c r="F8049" s="14">
        <v>11.6</v>
      </c>
      <c r="G8049" s="15">
        <v>0.03108527131782958</v>
      </c>
      <c r="H8049" s="11" t="s">
        <v>33</v>
      </c>
      <c r="I8049" s="16">
        <v>7.192</v>
      </c>
      <c r="J8049" s="11" t="s">
        <v>1045</v>
      </c>
      <c r="K8049" s="11" t="s">
        <v>35</v>
      </c>
      <c r="L8049" s="11" t="s">
        <v>36</v>
      </c>
      <c r="M8049" s="11" t="s">
        <v>28</v>
      </c>
      <c r="N8049" s="11" t="s">
        <v>62</v>
      </c>
      <c r="O8049" s="11" t="s">
        <v>201</v>
      </c>
      <c r="P8049" s="11" t="s">
        <v>99</v>
      </c>
      <c r="Q8049" s="20">
        <v>41208.0</v>
      </c>
      <c r="R8049" s="17">
        <f t="shared" si="2"/>
        <v>3.10827845</v>
      </c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>
        <f t="shared" si="8"/>
        <v>2</v>
      </c>
      <c r="AF8049" s="19">
        <f t="shared" si="13"/>
        <v>2</v>
      </c>
      <c r="AG8049" s="9"/>
      <c r="AH8049" s="9"/>
      <c r="AI8049" s="9"/>
    </row>
    <row r="8050" ht="15.0" customHeight="1">
      <c r="A8050" s="11">
        <v>8049.0</v>
      </c>
      <c r="B8050" s="12">
        <f t="shared" si="1284"/>
        <v>41206</v>
      </c>
      <c r="C8050" s="13">
        <v>2012.0</v>
      </c>
      <c r="D8050" s="11" t="s">
        <v>32</v>
      </c>
      <c r="E8050" s="11">
        <v>21.0</v>
      </c>
      <c r="F8050" s="14">
        <v>3.2</v>
      </c>
      <c r="G8050" s="15">
        <v>0.04902506963788295</v>
      </c>
      <c r="H8050" s="11" t="s">
        <v>33</v>
      </c>
      <c r="I8050" s="16">
        <v>1.08</v>
      </c>
      <c r="J8050" s="11" t="s">
        <v>1045</v>
      </c>
      <c r="K8050" s="11" t="s">
        <v>35</v>
      </c>
      <c r="L8050" s="11" t="s">
        <v>36</v>
      </c>
      <c r="M8050" s="11" t="s">
        <v>28</v>
      </c>
      <c r="N8050" s="11" t="s">
        <v>216</v>
      </c>
      <c r="O8050" s="11" t="s">
        <v>217</v>
      </c>
      <c r="P8050" s="11" t="s">
        <v>58</v>
      </c>
      <c r="Q8050" s="20">
        <v>41208.0</v>
      </c>
      <c r="R8050" s="17">
        <f t="shared" si="2"/>
        <v>3.347431755</v>
      </c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>
        <f t="shared" si="8"/>
        <v>2</v>
      </c>
      <c r="AF8050" s="19">
        <f t="shared" si="13"/>
        <v>2</v>
      </c>
      <c r="AG8050" s="9"/>
      <c r="AH8050" s="9"/>
      <c r="AI8050" s="9"/>
    </row>
    <row r="8051" ht="15.0" customHeight="1">
      <c r="A8051" s="11">
        <v>8050.0</v>
      </c>
      <c r="B8051" s="12">
        <f t="shared" ref="B8051:B8059" si="1285">DATE(2012,12,31)-67</f>
        <v>41207</v>
      </c>
      <c r="C8051" s="13">
        <v>2012.0</v>
      </c>
      <c r="D8051" s="11" t="s">
        <v>44</v>
      </c>
      <c r="E8051" s="11">
        <v>50.0</v>
      </c>
      <c r="F8051" s="14">
        <v>4.2</v>
      </c>
      <c r="G8051" s="15">
        <v>0.07483757682177349</v>
      </c>
      <c r="H8051" s="11" t="s">
        <v>33</v>
      </c>
      <c r="I8051" s="16">
        <v>0.752</v>
      </c>
      <c r="J8051" s="11" t="s">
        <v>2409</v>
      </c>
      <c r="K8051" s="11" t="s">
        <v>83</v>
      </c>
      <c r="L8051" s="11" t="s">
        <v>27</v>
      </c>
      <c r="M8051" s="11" t="s">
        <v>28</v>
      </c>
      <c r="N8051" s="11" t="s">
        <v>62</v>
      </c>
      <c r="O8051" s="11" t="s">
        <v>291</v>
      </c>
      <c r="P8051" s="11" t="s">
        <v>58</v>
      </c>
      <c r="Q8051" s="20">
        <v>41208.0</v>
      </c>
      <c r="R8051" s="17">
        <f t="shared" si="2"/>
        <v>15.77216899</v>
      </c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>
        <f t="shared" si="8"/>
        <v>1</v>
      </c>
      <c r="AF8051" s="19" t="b">
        <f t="shared" si="13"/>
        <v>0</v>
      </c>
      <c r="AG8051" s="9"/>
      <c r="AH8051" s="9"/>
      <c r="AI8051" s="9"/>
    </row>
    <row r="8052" ht="15.0" customHeight="1">
      <c r="A8052" s="11">
        <v>8051.0</v>
      </c>
      <c r="B8052" s="12">
        <f t="shared" si="1285"/>
        <v>41207</v>
      </c>
      <c r="C8052" s="13">
        <v>2012.0</v>
      </c>
      <c r="D8052" s="11" t="s">
        <v>39</v>
      </c>
      <c r="E8052" s="11">
        <v>34.0</v>
      </c>
      <c r="F8052" s="14">
        <v>6.9</v>
      </c>
      <c r="G8052" s="15">
        <v>0.06929666011787806</v>
      </c>
      <c r="H8052" s="11" t="s">
        <v>33</v>
      </c>
      <c r="I8052" s="16">
        <v>2.2640000000000002</v>
      </c>
      <c r="J8052" s="11" t="s">
        <v>2557</v>
      </c>
      <c r="K8052" s="11" t="s">
        <v>61</v>
      </c>
      <c r="L8052" s="11" t="s">
        <v>48</v>
      </c>
      <c r="M8052" s="11" t="s">
        <v>49</v>
      </c>
      <c r="N8052" s="11" t="s">
        <v>73</v>
      </c>
      <c r="O8052" s="11" t="s">
        <v>1053</v>
      </c>
      <c r="P8052" s="11" t="s">
        <v>99</v>
      </c>
      <c r="Q8052" s="20">
        <v>41208.0</v>
      </c>
      <c r="R8052" s="17">
        <f t="shared" si="2"/>
        <v>16.4138841</v>
      </c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>
        <f t="shared" si="8"/>
        <v>4</v>
      </c>
      <c r="AF8052" s="19">
        <f t="shared" si="13"/>
        <v>4</v>
      </c>
      <c r="AG8052" s="9"/>
      <c r="AH8052" s="9"/>
      <c r="AI8052" s="9"/>
    </row>
    <row r="8053" ht="15.0" customHeight="1">
      <c r="A8053" s="11">
        <v>8052.0</v>
      </c>
      <c r="B8053" s="12">
        <f t="shared" si="1285"/>
        <v>41207</v>
      </c>
      <c r="C8053" s="13">
        <v>2012.0</v>
      </c>
      <c r="D8053" s="11" t="s">
        <v>39</v>
      </c>
      <c r="E8053" s="11">
        <v>38.0</v>
      </c>
      <c r="F8053" s="14">
        <v>5.9</v>
      </c>
      <c r="G8053" s="15">
        <v>0.017290322580645084</v>
      </c>
      <c r="H8053" s="11" t="s">
        <v>24</v>
      </c>
      <c r="I8053" s="16">
        <v>4.28</v>
      </c>
      <c r="J8053" s="11" t="s">
        <v>2557</v>
      </c>
      <c r="K8053" s="11" t="s">
        <v>61</v>
      </c>
      <c r="L8053" s="11" t="s">
        <v>48</v>
      </c>
      <c r="M8053" s="11" t="s">
        <v>28</v>
      </c>
      <c r="N8053" s="11" t="s">
        <v>56</v>
      </c>
      <c r="O8053" s="11" t="s">
        <v>464</v>
      </c>
      <c r="P8053" s="11" t="s">
        <v>38</v>
      </c>
      <c r="Q8053" s="20">
        <v>41208.0</v>
      </c>
      <c r="R8053" s="17">
        <f t="shared" si="2"/>
        <v>3.950492903</v>
      </c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>
        <f t="shared" si="8"/>
        <v>4</v>
      </c>
      <c r="AF8053" s="19">
        <f t="shared" si="13"/>
        <v>4</v>
      </c>
      <c r="AG8053" s="9"/>
      <c r="AH8053" s="9"/>
      <c r="AI8053" s="9"/>
    </row>
    <row r="8054" ht="15.0" customHeight="1">
      <c r="A8054" s="11">
        <v>8053.0</v>
      </c>
      <c r="B8054" s="12">
        <f t="shared" si="1285"/>
        <v>41207</v>
      </c>
      <c r="C8054" s="13">
        <v>2012.0</v>
      </c>
      <c r="D8054" s="11" t="s">
        <v>102</v>
      </c>
      <c r="E8054" s="11">
        <v>35.0</v>
      </c>
      <c r="F8054" s="14">
        <v>3.8</v>
      </c>
      <c r="G8054" s="15">
        <v>0.019614561027837193</v>
      </c>
      <c r="H8054" s="11" t="s">
        <v>33</v>
      </c>
      <c r="I8054" s="16">
        <v>4.352</v>
      </c>
      <c r="J8054" s="11" t="s">
        <v>1857</v>
      </c>
      <c r="K8054" s="11" t="s">
        <v>61</v>
      </c>
      <c r="L8054" s="11" t="s">
        <v>27</v>
      </c>
      <c r="M8054" s="11" t="s">
        <v>28</v>
      </c>
      <c r="N8054" s="11" t="s">
        <v>42</v>
      </c>
      <c r="O8054" s="11" t="s">
        <v>1587</v>
      </c>
      <c r="P8054" s="11" t="s">
        <v>38</v>
      </c>
      <c r="Q8054" s="20">
        <v>41208.0</v>
      </c>
      <c r="R8054" s="17">
        <f t="shared" si="2"/>
        <v>2.694099186</v>
      </c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>
        <f t="shared" si="8"/>
        <v>1</v>
      </c>
      <c r="AF8054" s="19">
        <f t="shared" si="13"/>
        <v>4</v>
      </c>
      <c r="AG8054" s="9"/>
      <c r="AH8054" s="9"/>
      <c r="AI8054" s="9"/>
    </row>
    <row r="8055" ht="15.0" customHeight="1">
      <c r="A8055" s="11">
        <v>8054.0</v>
      </c>
      <c r="B8055" s="12">
        <f t="shared" si="1285"/>
        <v>41207</v>
      </c>
      <c r="C8055" s="13">
        <v>2012.0</v>
      </c>
      <c r="D8055" s="11" t="s">
        <v>102</v>
      </c>
      <c r="E8055" s="11">
        <v>32.0</v>
      </c>
      <c r="F8055" s="14">
        <v>95.9</v>
      </c>
      <c r="G8055" s="15">
        <v>0.01505620100122783</v>
      </c>
      <c r="H8055" s="11" t="s">
        <v>45</v>
      </c>
      <c r="I8055" s="16">
        <v>59.48</v>
      </c>
      <c r="J8055" s="11" t="s">
        <v>1857</v>
      </c>
      <c r="K8055" s="11" t="s">
        <v>61</v>
      </c>
      <c r="L8055" s="11" t="s">
        <v>27</v>
      </c>
      <c r="M8055" s="11" t="s">
        <v>49</v>
      </c>
      <c r="N8055" s="11" t="s">
        <v>50</v>
      </c>
      <c r="O8055" s="11" t="s">
        <v>1959</v>
      </c>
      <c r="P8055" s="11" t="s">
        <v>52</v>
      </c>
      <c r="Q8055" s="20">
        <v>41208.0</v>
      </c>
      <c r="R8055" s="17">
        <f t="shared" si="2"/>
        <v>47.10001247</v>
      </c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>
        <f t="shared" si="8"/>
        <v>1</v>
      </c>
      <c r="AF8055" s="19">
        <f t="shared" si="13"/>
        <v>4</v>
      </c>
      <c r="AG8055" s="9"/>
      <c r="AH8055" s="9"/>
      <c r="AI8055" s="9"/>
    </row>
    <row r="8056" ht="15.0" customHeight="1">
      <c r="A8056" s="11">
        <v>8055.0</v>
      </c>
      <c r="B8056" s="12">
        <f t="shared" si="1285"/>
        <v>41207</v>
      </c>
      <c r="C8056" s="13">
        <v>2012.0</v>
      </c>
      <c r="D8056" s="11" t="s">
        <v>102</v>
      </c>
      <c r="E8056" s="11">
        <v>46.0</v>
      </c>
      <c r="F8056" s="14">
        <v>7.8</v>
      </c>
      <c r="G8056" s="15">
        <v>0.10252050708426554</v>
      </c>
      <c r="H8056" s="11" t="s">
        <v>33</v>
      </c>
      <c r="I8056" s="16">
        <v>2.256</v>
      </c>
      <c r="J8056" s="11" t="s">
        <v>1857</v>
      </c>
      <c r="K8056" s="11" t="s">
        <v>61</v>
      </c>
      <c r="L8056" s="11" t="s">
        <v>27</v>
      </c>
      <c r="M8056" s="11" t="s">
        <v>28</v>
      </c>
      <c r="N8056" s="11" t="s">
        <v>216</v>
      </c>
      <c r="O8056" s="11" t="s">
        <v>1537</v>
      </c>
      <c r="P8056" s="11" t="s">
        <v>58</v>
      </c>
      <c r="Q8056" s="20">
        <v>41208.0</v>
      </c>
      <c r="R8056" s="17">
        <f t="shared" si="2"/>
        <v>37.01564421</v>
      </c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>
        <f t="shared" si="8"/>
        <v>1</v>
      </c>
      <c r="AF8056" s="19">
        <f t="shared" si="13"/>
        <v>4</v>
      </c>
      <c r="AG8056" s="9"/>
      <c r="AH8056" s="9"/>
      <c r="AI8056" s="9"/>
    </row>
    <row r="8057" ht="15.0" customHeight="1">
      <c r="A8057" s="11">
        <v>8056.0</v>
      </c>
      <c r="B8057" s="12">
        <f t="shared" si="1285"/>
        <v>41207</v>
      </c>
      <c r="C8057" s="13">
        <v>2012.0</v>
      </c>
      <c r="D8057" s="11" t="s">
        <v>102</v>
      </c>
      <c r="E8057" s="11">
        <v>9.0</v>
      </c>
      <c r="F8057" s="14">
        <v>124.4</v>
      </c>
      <c r="G8057" s="15">
        <v>0.04761154855643045</v>
      </c>
      <c r="H8057" s="11" t="s">
        <v>45</v>
      </c>
      <c r="I8057" s="16">
        <v>41.552</v>
      </c>
      <c r="J8057" s="11" t="s">
        <v>1857</v>
      </c>
      <c r="K8057" s="11" t="s">
        <v>61</v>
      </c>
      <c r="L8057" s="11" t="s">
        <v>27</v>
      </c>
      <c r="M8057" s="11" t="s">
        <v>49</v>
      </c>
      <c r="N8057" s="11" t="s">
        <v>85</v>
      </c>
      <c r="O8057" s="11" t="s">
        <v>1711</v>
      </c>
      <c r="P8057" s="11" t="s">
        <v>87</v>
      </c>
      <c r="Q8057" s="20">
        <v>41209.0</v>
      </c>
      <c r="R8057" s="17">
        <f t="shared" si="2"/>
        <v>55.28424483</v>
      </c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>
        <f t="shared" si="8"/>
        <v>1</v>
      </c>
      <c r="AF8057" s="19">
        <f t="shared" si="13"/>
        <v>4</v>
      </c>
      <c r="AG8057" s="9"/>
      <c r="AH8057" s="9"/>
      <c r="AI8057" s="9"/>
    </row>
    <row r="8058" ht="15.0" customHeight="1">
      <c r="A8058" s="11">
        <v>8057.0</v>
      </c>
      <c r="B8058" s="12">
        <f t="shared" si="1285"/>
        <v>41207</v>
      </c>
      <c r="C8058" s="13">
        <v>2012.0</v>
      </c>
      <c r="D8058" s="11" t="s">
        <v>39</v>
      </c>
      <c r="E8058" s="11">
        <v>39.0</v>
      </c>
      <c r="F8058" s="14">
        <v>5.2</v>
      </c>
      <c r="G8058" s="15">
        <v>0.09265645514223193</v>
      </c>
      <c r="H8058" s="11" t="s">
        <v>33</v>
      </c>
      <c r="I8058" s="16">
        <v>4.5280000000000005</v>
      </c>
      <c r="J8058" s="11" t="s">
        <v>992</v>
      </c>
      <c r="K8058" s="11" t="s">
        <v>61</v>
      </c>
      <c r="L8058" s="11" t="s">
        <v>41</v>
      </c>
      <c r="M8058" s="11" t="s">
        <v>28</v>
      </c>
      <c r="N8058" s="11" t="s">
        <v>56</v>
      </c>
      <c r="O8058" s="11" t="s">
        <v>79</v>
      </c>
      <c r="P8058" s="11" t="s">
        <v>38</v>
      </c>
      <c r="Q8058" s="20">
        <v>41209.0</v>
      </c>
      <c r="R8058" s="17">
        <f t="shared" si="2"/>
        <v>19.21027753</v>
      </c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>
        <f t="shared" si="8"/>
        <v>3</v>
      </c>
      <c r="AF8058" s="19">
        <f t="shared" si="13"/>
        <v>4</v>
      </c>
      <c r="AG8058" s="9"/>
      <c r="AH8058" s="9"/>
      <c r="AI8058" s="9"/>
    </row>
    <row r="8059" ht="15.0" customHeight="1">
      <c r="A8059" s="11">
        <v>8058.0</v>
      </c>
      <c r="B8059" s="12">
        <f t="shared" si="1285"/>
        <v>41207</v>
      </c>
      <c r="C8059" s="13">
        <v>2012.0</v>
      </c>
      <c r="D8059" s="11" t="s">
        <v>102</v>
      </c>
      <c r="E8059" s="11">
        <v>40.0</v>
      </c>
      <c r="F8059" s="14">
        <v>2.8</v>
      </c>
      <c r="G8059" s="15">
        <v>0.029228130360205842</v>
      </c>
      <c r="H8059" s="11" t="s">
        <v>33</v>
      </c>
      <c r="I8059" s="16">
        <v>1.192</v>
      </c>
      <c r="J8059" s="11" t="s">
        <v>1168</v>
      </c>
      <c r="K8059" s="11" t="s">
        <v>61</v>
      </c>
      <c r="L8059" s="11" t="s">
        <v>36</v>
      </c>
      <c r="M8059" s="11" t="s">
        <v>28</v>
      </c>
      <c r="N8059" s="11" t="s">
        <v>42</v>
      </c>
      <c r="O8059" s="11" t="s">
        <v>1503</v>
      </c>
      <c r="P8059" s="11" t="s">
        <v>38</v>
      </c>
      <c r="Q8059" s="20">
        <v>41209.0</v>
      </c>
      <c r="R8059" s="17">
        <f t="shared" si="2"/>
        <v>3.308390532</v>
      </c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>
        <f t="shared" si="8"/>
        <v>2</v>
      </c>
      <c r="AF8059" s="19">
        <f t="shared" si="13"/>
        <v>4</v>
      </c>
      <c r="AG8059" s="9"/>
      <c r="AH8059" s="9"/>
      <c r="AI8059" s="9"/>
    </row>
    <row r="8060" ht="15.0" customHeight="1">
      <c r="A8060" s="11">
        <v>8059.0</v>
      </c>
      <c r="B8060" s="12">
        <f t="shared" ref="B8060:B8067" si="1286">DATE(2012,12,31)-66</f>
        <v>41208</v>
      </c>
      <c r="C8060" s="13">
        <v>2012.0</v>
      </c>
      <c r="D8060" s="11" t="s">
        <v>39</v>
      </c>
      <c r="E8060" s="11">
        <v>23.0</v>
      </c>
      <c r="F8060" s="14">
        <v>9.1</v>
      </c>
      <c r="G8060" s="15">
        <v>0.026114278119092758</v>
      </c>
      <c r="H8060" s="11" t="s">
        <v>24</v>
      </c>
      <c r="I8060" s="16">
        <v>1.72</v>
      </c>
      <c r="J8060" s="11" t="s">
        <v>499</v>
      </c>
      <c r="K8060" s="11" t="s">
        <v>83</v>
      </c>
      <c r="L8060" s="11" t="s">
        <v>41</v>
      </c>
      <c r="M8060" s="11" t="s">
        <v>28</v>
      </c>
      <c r="N8060" s="11" t="s">
        <v>56</v>
      </c>
      <c r="O8060" s="11" t="s">
        <v>57</v>
      </c>
      <c r="P8060" s="11" t="s">
        <v>58</v>
      </c>
      <c r="Q8060" s="20">
        <v>41209.0</v>
      </c>
      <c r="R8060" s="17">
        <f t="shared" si="2"/>
        <v>5.510634969</v>
      </c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>
        <f t="shared" si="8"/>
        <v>3</v>
      </c>
      <c r="AF8060" s="19" t="b">
        <f t="shared" si="13"/>
        <v>0</v>
      </c>
      <c r="AG8060" s="9"/>
      <c r="AH8060" s="9"/>
      <c r="AI8060" s="9"/>
    </row>
    <row r="8061" ht="15.0" customHeight="1">
      <c r="A8061" s="11">
        <v>8060.0</v>
      </c>
      <c r="B8061" s="12">
        <f t="shared" si="1286"/>
        <v>41208</v>
      </c>
      <c r="C8061" s="13">
        <v>2012.0</v>
      </c>
      <c r="D8061" s="11" t="s">
        <v>39</v>
      </c>
      <c r="E8061" s="11">
        <v>19.0</v>
      </c>
      <c r="F8061" s="14">
        <v>5.2</v>
      </c>
      <c r="G8061" s="15">
        <v>0.09703315881326358</v>
      </c>
      <c r="H8061" s="11" t="s">
        <v>33</v>
      </c>
      <c r="I8061" s="16">
        <v>4.68</v>
      </c>
      <c r="J8061" s="11" t="s">
        <v>499</v>
      </c>
      <c r="K8061" s="11" t="s">
        <v>83</v>
      </c>
      <c r="L8061" s="11" t="s">
        <v>41</v>
      </c>
      <c r="M8061" s="11" t="s">
        <v>28</v>
      </c>
      <c r="N8061" s="11" t="s">
        <v>56</v>
      </c>
      <c r="O8061" s="11" t="s">
        <v>2613</v>
      </c>
      <c r="P8061" s="11" t="s">
        <v>38</v>
      </c>
      <c r="Q8061" s="20">
        <v>41209.0</v>
      </c>
      <c r="R8061" s="17">
        <f t="shared" si="2"/>
        <v>10.04099127</v>
      </c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>
        <f t="shared" si="8"/>
        <v>3</v>
      </c>
      <c r="AF8061" s="19" t="b">
        <f t="shared" si="13"/>
        <v>0</v>
      </c>
      <c r="AG8061" s="9"/>
      <c r="AH8061" s="9"/>
      <c r="AI8061" s="9"/>
    </row>
    <row r="8062" ht="15.0" customHeight="1">
      <c r="A8062" s="11">
        <v>8061.0</v>
      </c>
      <c r="B8062" s="12">
        <f t="shared" si="1286"/>
        <v>41208</v>
      </c>
      <c r="C8062" s="13">
        <v>2012.0</v>
      </c>
      <c r="D8062" s="11" t="s">
        <v>32</v>
      </c>
      <c r="E8062" s="11">
        <v>9.0</v>
      </c>
      <c r="F8062" s="14">
        <v>10.9</v>
      </c>
      <c r="G8062" s="15">
        <v>0.05575868372943322</v>
      </c>
      <c r="H8062" s="11" t="s">
        <v>33</v>
      </c>
      <c r="I8062" s="16">
        <v>5.2</v>
      </c>
      <c r="J8062" s="11" t="s">
        <v>2527</v>
      </c>
      <c r="K8062" s="11" t="s">
        <v>61</v>
      </c>
      <c r="L8062" s="11" t="s">
        <v>36</v>
      </c>
      <c r="M8062" s="11" t="s">
        <v>66</v>
      </c>
      <c r="N8062" s="11" t="s">
        <v>67</v>
      </c>
      <c r="O8062" s="11" t="s">
        <v>1974</v>
      </c>
      <c r="P8062" s="11" t="s">
        <v>38</v>
      </c>
      <c r="Q8062" s="20">
        <v>41210.0</v>
      </c>
      <c r="R8062" s="17">
        <f t="shared" si="2"/>
        <v>5.759872029</v>
      </c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>
        <f t="shared" si="8"/>
        <v>2</v>
      </c>
      <c r="AF8062" s="19">
        <f t="shared" si="13"/>
        <v>4</v>
      </c>
      <c r="AG8062" s="9"/>
      <c r="AH8062" s="9"/>
      <c r="AI8062" s="9"/>
    </row>
    <row r="8063" ht="15.0" customHeight="1">
      <c r="A8063" s="11">
        <v>8062.0</v>
      </c>
      <c r="B8063" s="12">
        <f t="shared" si="1286"/>
        <v>41208</v>
      </c>
      <c r="C8063" s="13">
        <v>2012.0</v>
      </c>
      <c r="D8063" s="11" t="s">
        <v>32</v>
      </c>
      <c r="E8063" s="11">
        <v>14.0</v>
      </c>
      <c r="F8063" s="14">
        <v>145.4</v>
      </c>
      <c r="G8063" s="15">
        <v>0.031110270832348498</v>
      </c>
      <c r="H8063" s="11" t="s">
        <v>45</v>
      </c>
      <c r="I8063" s="16">
        <v>14.280000000000001</v>
      </c>
      <c r="J8063" s="11" t="s">
        <v>2527</v>
      </c>
      <c r="K8063" s="11" t="s">
        <v>61</v>
      </c>
      <c r="L8063" s="11" t="s">
        <v>36</v>
      </c>
      <c r="M8063" s="11" t="s">
        <v>66</v>
      </c>
      <c r="N8063" s="11" t="s">
        <v>69</v>
      </c>
      <c r="O8063" s="11" t="s">
        <v>111</v>
      </c>
      <c r="P8063" s="11" t="s">
        <v>52</v>
      </c>
      <c r="Q8063" s="20">
        <v>41210.0</v>
      </c>
      <c r="R8063" s="17">
        <f t="shared" si="2"/>
        <v>63.77232197</v>
      </c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>
        <f t="shared" si="8"/>
        <v>2</v>
      </c>
      <c r="AF8063" s="19">
        <f t="shared" si="13"/>
        <v>4</v>
      </c>
      <c r="AG8063" s="9"/>
      <c r="AH8063" s="9"/>
      <c r="AI8063" s="9"/>
    </row>
    <row r="8064" ht="15.0" customHeight="1">
      <c r="A8064" s="11">
        <v>8063.0</v>
      </c>
      <c r="B8064" s="12">
        <f t="shared" si="1286"/>
        <v>41208</v>
      </c>
      <c r="C8064" s="13">
        <v>2012.0</v>
      </c>
      <c r="D8064" s="11" t="s">
        <v>32</v>
      </c>
      <c r="E8064" s="11">
        <v>42.0</v>
      </c>
      <c r="F8064" s="14">
        <v>20.9</v>
      </c>
      <c r="G8064" s="15">
        <v>0.027521688142873337</v>
      </c>
      <c r="H8064" s="11" t="s">
        <v>24</v>
      </c>
      <c r="I8064" s="16">
        <v>3.2</v>
      </c>
      <c r="J8064" s="11" t="s">
        <v>2527</v>
      </c>
      <c r="K8064" s="11" t="s">
        <v>61</v>
      </c>
      <c r="L8064" s="11" t="s">
        <v>36</v>
      </c>
      <c r="M8064" s="11" t="s">
        <v>66</v>
      </c>
      <c r="N8064" s="11" t="s">
        <v>67</v>
      </c>
      <c r="O8064" s="11" t="s">
        <v>2130</v>
      </c>
      <c r="P8064" s="11" t="s">
        <v>38</v>
      </c>
      <c r="Q8064" s="20">
        <v>41210.0</v>
      </c>
      <c r="R8064" s="17">
        <f t="shared" si="2"/>
        <v>24.24660725</v>
      </c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>
        <f t="shared" si="8"/>
        <v>2</v>
      </c>
      <c r="AF8064" s="19">
        <f t="shared" si="13"/>
        <v>4</v>
      </c>
      <c r="AG8064" s="9"/>
      <c r="AH8064" s="9"/>
      <c r="AI8064" s="9"/>
    </row>
    <row r="8065" ht="15.0" customHeight="1">
      <c r="A8065" s="11">
        <v>8064.0</v>
      </c>
      <c r="B8065" s="12">
        <f t="shared" si="1286"/>
        <v>41208</v>
      </c>
      <c r="C8065" s="13">
        <v>2012.0</v>
      </c>
      <c r="D8065" s="11" t="s">
        <v>44</v>
      </c>
      <c r="E8065" s="11">
        <v>16.0</v>
      </c>
      <c r="F8065" s="14">
        <v>35.9</v>
      </c>
      <c r="G8065" s="15">
        <v>0.059706362153344246</v>
      </c>
      <c r="H8065" s="11" t="s">
        <v>33</v>
      </c>
      <c r="I8065" s="16">
        <v>2.0</v>
      </c>
      <c r="J8065" s="11" t="s">
        <v>1414</v>
      </c>
      <c r="K8065" s="11" t="s">
        <v>35</v>
      </c>
      <c r="L8065" s="11" t="s">
        <v>27</v>
      </c>
      <c r="M8065" s="11" t="s">
        <v>66</v>
      </c>
      <c r="N8065" s="11" t="s">
        <v>80</v>
      </c>
      <c r="O8065" s="11" t="s">
        <v>2614</v>
      </c>
      <c r="P8065" s="11" t="s">
        <v>99</v>
      </c>
      <c r="Q8065" s="20">
        <v>41210.0</v>
      </c>
      <c r="R8065" s="17">
        <f t="shared" si="2"/>
        <v>34.41474715</v>
      </c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>
        <f t="shared" si="8"/>
        <v>1</v>
      </c>
      <c r="AF8065" s="19">
        <f t="shared" si="13"/>
        <v>2</v>
      </c>
      <c r="AG8065" s="9"/>
      <c r="AH8065" s="9"/>
      <c r="AI8065" s="9"/>
    </row>
    <row r="8066" ht="15.0" customHeight="1">
      <c r="A8066" s="11">
        <v>8065.0</v>
      </c>
      <c r="B8066" s="12">
        <f t="shared" si="1286"/>
        <v>41208</v>
      </c>
      <c r="C8066" s="13">
        <v>2012.0</v>
      </c>
      <c r="D8066" s="11" t="s">
        <v>32</v>
      </c>
      <c r="E8066" s="11">
        <v>29.0</v>
      </c>
      <c r="F8066" s="14">
        <v>19.9</v>
      </c>
      <c r="G8066" s="15">
        <v>0.061610608020698614</v>
      </c>
      <c r="H8066" s="11" t="s">
        <v>33</v>
      </c>
      <c r="I8066" s="16">
        <v>3.2</v>
      </c>
      <c r="J8066" s="11" t="s">
        <v>317</v>
      </c>
      <c r="K8066" s="11" t="s">
        <v>65</v>
      </c>
      <c r="L8066" s="11" t="s">
        <v>27</v>
      </c>
      <c r="M8066" s="11" t="s">
        <v>66</v>
      </c>
      <c r="N8066" s="11" t="s">
        <v>67</v>
      </c>
      <c r="O8066" s="11" t="s">
        <v>920</v>
      </c>
      <c r="P8066" s="11" t="s">
        <v>38</v>
      </c>
      <c r="Q8066" s="20">
        <v>41210.0</v>
      </c>
      <c r="R8066" s="17">
        <f t="shared" si="2"/>
        <v>35.75263583</v>
      </c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>
        <f t="shared" si="8"/>
        <v>1</v>
      </c>
      <c r="AF8066" s="19">
        <f t="shared" si="13"/>
        <v>5</v>
      </c>
      <c r="AG8066" s="9"/>
      <c r="AH8066" s="9"/>
      <c r="AI8066" s="9"/>
    </row>
    <row r="8067" ht="15.0" customHeight="1">
      <c r="A8067" s="11">
        <v>8066.0</v>
      </c>
      <c r="B8067" s="12">
        <f t="shared" si="1286"/>
        <v>41208</v>
      </c>
      <c r="C8067" s="13">
        <v>2012.0</v>
      </c>
      <c r="D8067" s="11" t="s">
        <v>32</v>
      </c>
      <c r="E8067" s="11">
        <v>43.0</v>
      </c>
      <c r="F8067" s="14">
        <v>5.7</v>
      </c>
      <c r="G8067" s="15">
        <v>0.06621611585592284</v>
      </c>
      <c r="H8067" s="11" t="s">
        <v>33</v>
      </c>
      <c r="I8067" s="16">
        <v>6.368</v>
      </c>
      <c r="J8067" s="11" t="s">
        <v>317</v>
      </c>
      <c r="K8067" s="11" t="s">
        <v>65</v>
      </c>
      <c r="L8067" s="11" t="s">
        <v>27</v>
      </c>
      <c r="M8067" s="11" t="s">
        <v>28</v>
      </c>
      <c r="N8067" s="11" t="s">
        <v>56</v>
      </c>
      <c r="O8067" s="11" t="s">
        <v>1531</v>
      </c>
      <c r="P8067" s="11" t="s">
        <v>38</v>
      </c>
      <c r="Q8067" s="20">
        <v>41210.0</v>
      </c>
      <c r="R8067" s="17">
        <f t="shared" si="2"/>
        <v>16.65123422</v>
      </c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>
        <f t="shared" si="8"/>
        <v>1</v>
      </c>
      <c r="AF8067" s="19">
        <f t="shared" si="13"/>
        <v>5</v>
      </c>
      <c r="AG8067" s="9"/>
      <c r="AH8067" s="9"/>
      <c r="AI8067" s="9"/>
    </row>
    <row r="8068" ht="15.0" customHeight="1">
      <c r="A8068" s="11">
        <v>8067.0</v>
      </c>
      <c r="B8068" s="12">
        <f t="shared" ref="B8068:B8073" si="1287">DATE(2012,12,31)-65</f>
        <v>41209</v>
      </c>
      <c r="C8068" s="13">
        <v>2012.0</v>
      </c>
      <c r="D8068" s="11" t="s">
        <v>44</v>
      </c>
      <c r="E8068" s="11">
        <v>24.0</v>
      </c>
      <c r="F8068" s="14">
        <v>100.9</v>
      </c>
      <c r="G8068" s="15">
        <v>0.07749256428598303</v>
      </c>
      <c r="H8068" s="11" t="s">
        <v>45</v>
      </c>
      <c r="I8068" s="16">
        <v>28.672000000000004</v>
      </c>
      <c r="J8068" s="11" t="s">
        <v>2271</v>
      </c>
      <c r="K8068" s="11" t="s">
        <v>35</v>
      </c>
      <c r="L8068" s="11" t="s">
        <v>48</v>
      </c>
      <c r="M8068" s="11" t="s">
        <v>49</v>
      </c>
      <c r="N8068" s="11" t="s">
        <v>156</v>
      </c>
      <c r="O8068" s="11" t="s">
        <v>165</v>
      </c>
      <c r="P8068" s="11" t="s">
        <v>87</v>
      </c>
      <c r="Q8068" s="20">
        <v>41210.0</v>
      </c>
      <c r="R8068" s="17">
        <f t="shared" si="2"/>
        <v>189.8778605</v>
      </c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>
        <f t="shared" si="8"/>
        <v>4</v>
      </c>
      <c r="AF8068" s="19">
        <f t="shared" si="13"/>
        <v>2</v>
      </c>
      <c r="AG8068" s="9"/>
      <c r="AH8068" s="9"/>
      <c r="AI8068" s="9"/>
    </row>
    <row r="8069" ht="15.0" customHeight="1">
      <c r="A8069" s="11">
        <v>8068.0</v>
      </c>
      <c r="B8069" s="12">
        <f t="shared" si="1287"/>
        <v>41209</v>
      </c>
      <c r="C8069" s="13">
        <v>2012.0</v>
      </c>
      <c r="D8069" s="11" t="s">
        <v>102</v>
      </c>
      <c r="E8069" s="11">
        <v>26.0</v>
      </c>
      <c r="F8069" s="14">
        <v>21.3</v>
      </c>
      <c r="G8069" s="15">
        <v>0.06975748452918525</v>
      </c>
      <c r="H8069" s="11" t="s">
        <v>33</v>
      </c>
      <c r="I8069" s="16">
        <v>2.3920000000000003</v>
      </c>
      <c r="J8069" s="11" t="s">
        <v>1951</v>
      </c>
      <c r="K8069" s="11" t="s">
        <v>61</v>
      </c>
      <c r="L8069" s="11" t="s">
        <v>36</v>
      </c>
      <c r="M8069" s="11" t="s">
        <v>28</v>
      </c>
      <c r="N8069" s="11" t="s">
        <v>42</v>
      </c>
      <c r="O8069" s="11" t="s">
        <v>2201</v>
      </c>
      <c r="P8069" s="11" t="s">
        <v>38</v>
      </c>
      <c r="Q8069" s="20">
        <v>41211.0</v>
      </c>
      <c r="R8069" s="17">
        <f t="shared" si="2"/>
        <v>38.79855484</v>
      </c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>
        <f t="shared" si="8"/>
        <v>2</v>
      </c>
      <c r="AF8069" s="19">
        <f t="shared" si="13"/>
        <v>4</v>
      </c>
      <c r="AG8069" s="9"/>
      <c r="AH8069" s="9"/>
      <c r="AI8069" s="9"/>
    </row>
    <row r="8070" ht="15.0" customHeight="1">
      <c r="A8070" s="11">
        <v>8069.0</v>
      </c>
      <c r="B8070" s="12">
        <f t="shared" si="1287"/>
        <v>41209</v>
      </c>
      <c r="C8070" s="13">
        <v>2012.0</v>
      </c>
      <c r="D8070" s="11" t="s">
        <v>39</v>
      </c>
      <c r="E8070" s="11">
        <v>20.0</v>
      </c>
      <c r="F8070" s="14">
        <v>113.6</v>
      </c>
      <c r="G8070" s="15">
        <v>0.032393773664282706</v>
      </c>
      <c r="H8070" s="11" t="s">
        <v>33</v>
      </c>
      <c r="I8070" s="16">
        <v>28.0</v>
      </c>
      <c r="J8070" s="11" t="s">
        <v>120</v>
      </c>
      <c r="K8070" s="11" t="s">
        <v>35</v>
      </c>
      <c r="L8070" s="11" t="s">
        <v>27</v>
      </c>
      <c r="M8070" s="11" t="s">
        <v>49</v>
      </c>
      <c r="N8070" s="11" t="s">
        <v>73</v>
      </c>
      <c r="O8070" s="11" t="s">
        <v>1591</v>
      </c>
      <c r="P8070" s="11" t="s">
        <v>38</v>
      </c>
      <c r="Q8070" s="20">
        <v>41211.0</v>
      </c>
      <c r="R8070" s="17">
        <f t="shared" si="2"/>
        <v>74.50567943</v>
      </c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>
        <f t="shared" si="8"/>
        <v>1</v>
      </c>
      <c r="AF8070" s="19">
        <f t="shared" si="13"/>
        <v>2</v>
      </c>
      <c r="AG8070" s="9"/>
      <c r="AH8070" s="9"/>
      <c r="AI8070" s="9"/>
    </row>
    <row r="8071" ht="15.0" customHeight="1">
      <c r="A8071" s="11">
        <v>8070.0</v>
      </c>
      <c r="B8071" s="12">
        <f t="shared" si="1287"/>
        <v>41209</v>
      </c>
      <c r="C8071" s="13">
        <v>2012.0</v>
      </c>
      <c r="D8071" s="11" t="s">
        <v>23</v>
      </c>
      <c r="E8071" s="11">
        <v>7.0</v>
      </c>
      <c r="F8071" s="14">
        <v>999.9</v>
      </c>
      <c r="G8071" s="15">
        <v>0.09135198890516247</v>
      </c>
      <c r="H8071" s="11" t="s">
        <v>33</v>
      </c>
      <c r="I8071" s="16">
        <v>11.192</v>
      </c>
      <c r="J8071" s="11" t="s">
        <v>803</v>
      </c>
      <c r="K8071" s="11" t="s">
        <v>61</v>
      </c>
      <c r="L8071" s="11" t="s">
        <v>48</v>
      </c>
      <c r="M8071" s="11" t="s">
        <v>66</v>
      </c>
      <c r="N8071" s="11" t="s">
        <v>69</v>
      </c>
      <c r="O8071" s="11" t="s">
        <v>582</v>
      </c>
      <c r="P8071" s="11" t="s">
        <v>75</v>
      </c>
      <c r="Q8071" s="20">
        <v>41211.0</v>
      </c>
      <c r="R8071" s="17">
        <f t="shared" si="2"/>
        <v>640.4223874</v>
      </c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>
        <f t="shared" si="8"/>
        <v>4</v>
      </c>
      <c r="AF8071" s="19">
        <f t="shared" si="13"/>
        <v>4</v>
      </c>
      <c r="AG8071" s="9"/>
      <c r="AH8071" s="9"/>
      <c r="AI8071" s="9"/>
    </row>
    <row r="8072" ht="15.0" customHeight="1">
      <c r="A8072" s="11">
        <v>8071.0</v>
      </c>
      <c r="B8072" s="12">
        <f t="shared" si="1287"/>
        <v>41209</v>
      </c>
      <c r="C8072" s="13">
        <v>2012.0</v>
      </c>
      <c r="D8072" s="11" t="s">
        <v>102</v>
      </c>
      <c r="E8072" s="11">
        <v>31.0</v>
      </c>
      <c r="F8072" s="14">
        <v>39.4</v>
      </c>
      <c r="G8072" s="15">
        <v>0.01220256845165976</v>
      </c>
      <c r="H8072" s="11" t="s">
        <v>33</v>
      </c>
      <c r="I8072" s="16">
        <v>1.592</v>
      </c>
      <c r="J8072" s="11" t="s">
        <v>1222</v>
      </c>
      <c r="K8072" s="11" t="s">
        <v>83</v>
      </c>
      <c r="L8072" s="11" t="s">
        <v>48</v>
      </c>
      <c r="M8072" s="11" t="s">
        <v>66</v>
      </c>
      <c r="N8072" s="11" t="s">
        <v>67</v>
      </c>
      <c r="O8072" s="11" t="s">
        <v>695</v>
      </c>
      <c r="P8072" s="11" t="s">
        <v>99</v>
      </c>
      <c r="Q8072" s="20">
        <v>41211.0</v>
      </c>
      <c r="R8072" s="17">
        <f t="shared" si="2"/>
        <v>14.9236436</v>
      </c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>
        <f t="shared" si="8"/>
        <v>4</v>
      </c>
      <c r="AF8072" s="19" t="b">
        <f t="shared" si="13"/>
        <v>0</v>
      </c>
      <c r="AG8072" s="9"/>
      <c r="AH8072" s="9"/>
      <c r="AI8072" s="9"/>
    </row>
    <row r="8073" ht="15.0" customHeight="1">
      <c r="A8073" s="11">
        <v>8072.0</v>
      </c>
      <c r="B8073" s="12">
        <f t="shared" si="1287"/>
        <v>41209</v>
      </c>
      <c r="C8073" s="13">
        <v>2012.0</v>
      </c>
      <c r="D8073" s="11" t="s">
        <v>32</v>
      </c>
      <c r="E8073" s="11">
        <v>10.0</v>
      </c>
      <c r="F8073" s="14">
        <v>3.5</v>
      </c>
      <c r="G8073" s="15">
        <v>0.04636815920398021</v>
      </c>
      <c r="H8073" s="11" t="s">
        <v>24</v>
      </c>
      <c r="I8073" s="16">
        <v>3.3360000000000003</v>
      </c>
      <c r="J8073" s="11" t="s">
        <v>2373</v>
      </c>
      <c r="K8073" s="11" t="s">
        <v>83</v>
      </c>
      <c r="L8073" s="11" t="s">
        <v>48</v>
      </c>
      <c r="M8073" s="11" t="s">
        <v>28</v>
      </c>
      <c r="N8073" s="11" t="s">
        <v>62</v>
      </c>
      <c r="O8073" s="11" t="s">
        <v>1532</v>
      </c>
      <c r="P8073" s="11" t="s">
        <v>99</v>
      </c>
      <c r="Q8073" s="20">
        <v>41211.0</v>
      </c>
      <c r="R8073" s="17">
        <f t="shared" si="2"/>
        <v>1.777569751</v>
      </c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>
        <f t="shared" si="8"/>
        <v>4</v>
      </c>
      <c r="AF8073" s="19" t="b">
        <f t="shared" si="13"/>
        <v>0</v>
      </c>
      <c r="AG8073" s="9"/>
      <c r="AH8073" s="9"/>
      <c r="AI8073" s="9"/>
    </row>
    <row r="8074" ht="15.0" customHeight="1">
      <c r="A8074" s="11">
        <v>8073.0</v>
      </c>
      <c r="B8074" s="12">
        <f t="shared" ref="B8074:B8082" si="1288">DATE(2012,12,31)-64</f>
        <v>41210</v>
      </c>
      <c r="C8074" s="13">
        <v>2012.0</v>
      </c>
      <c r="D8074" s="11" t="s">
        <v>44</v>
      </c>
      <c r="E8074" s="11">
        <v>38.0</v>
      </c>
      <c r="F8074" s="14">
        <v>14.4</v>
      </c>
      <c r="G8074" s="15">
        <v>0.0058683926645091864</v>
      </c>
      <c r="H8074" s="11" t="s">
        <v>33</v>
      </c>
      <c r="I8074" s="16">
        <v>5.736000000000001</v>
      </c>
      <c r="J8074" s="11" t="s">
        <v>2540</v>
      </c>
      <c r="K8074" s="11" t="s">
        <v>61</v>
      </c>
      <c r="L8074" s="11" t="s">
        <v>41</v>
      </c>
      <c r="M8074" s="11" t="s">
        <v>28</v>
      </c>
      <c r="N8074" s="11" t="s">
        <v>42</v>
      </c>
      <c r="O8074" s="11" t="s">
        <v>1946</v>
      </c>
      <c r="P8074" s="11" t="s">
        <v>38</v>
      </c>
      <c r="Q8074" s="20">
        <v>41211.0</v>
      </c>
      <c r="R8074" s="17">
        <f t="shared" si="2"/>
        <v>3.244845566</v>
      </c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>
        <f t="shared" si="8"/>
        <v>3</v>
      </c>
      <c r="AF8074" s="19">
        <f t="shared" si="13"/>
        <v>4</v>
      </c>
      <c r="AG8074" s="9"/>
      <c r="AH8074" s="9"/>
      <c r="AI8074" s="9"/>
    </row>
    <row r="8075" ht="15.0" customHeight="1">
      <c r="A8075" s="11">
        <v>8074.0</v>
      </c>
      <c r="B8075" s="12">
        <f t="shared" si="1288"/>
        <v>41210</v>
      </c>
      <c r="C8075" s="13">
        <v>2012.0</v>
      </c>
      <c r="D8075" s="11" t="s">
        <v>44</v>
      </c>
      <c r="E8075" s="11">
        <v>47.0</v>
      </c>
      <c r="F8075" s="14">
        <v>15.9</v>
      </c>
      <c r="G8075" s="15">
        <v>0.0943855421686746</v>
      </c>
      <c r="H8075" s="11" t="s">
        <v>33</v>
      </c>
      <c r="I8075" s="16">
        <v>4.36</v>
      </c>
      <c r="J8075" s="11" t="s">
        <v>1896</v>
      </c>
      <c r="K8075" s="11" t="s">
        <v>83</v>
      </c>
      <c r="L8075" s="11" t="s">
        <v>48</v>
      </c>
      <c r="M8075" s="11" t="s">
        <v>28</v>
      </c>
      <c r="N8075" s="11" t="s">
        <v>62</v>
      </c>
      <c r="O8075" s="11" t="s">
        <v>1994</v>
      </c>
      <c r="P8075" s="11" t="s">
        <v>99</v>
      </c>
      <c r="Q8075" s="20">
        <v>41212.0</v>
      </c>
      <c r="R8075" s="17">
        <f t="shared" si="2"/>
        <v>70.94583663</v>
      </c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>
        <f t="shared" si="8"/>
        <v>4</v>
      </c>
      <c r="AF8075" s="19" t="b">
        <f t="shared" si="13"/>
        <v>0</v>
      </c>
      <c r="AG8075" s="9"/>
      <c r="AH8075" s="9"/>
      <c r="AI8075" s="9"/>
    </row>
    <row r="8076" ht="15.0" customHeight="1">
      <c r="A8076" s="11">
        <v>8075.0</v>
      </c>
      <c r="B8076" s="12">
        <f t="shared" si="1288"/>
        <v>41210</v>
      </c>
      <c r="C8076" s="13">
        <v>2012.0</v>
      </c>
      <c r="D8076" s="11" t="s">
        <v>23</v>
      </c>
      <c r="E8076" s="11">
        <v>8.0</v>
      </c>
      <c r="F8076" s="14">
        <v>208.1</v>
      </c>
      <c r="G8076" s="15">
        <v>0.0982817581034302</v>
      </c>
      <c r="H8076" s="11" t="s">
        <v>45</v>
      </c>
      <c r="I8076" s="16">
        <v>54.416</v>
      </c>
      <c r="J8076" s="11" t="s">
        <v>2329</v>
      </c>
      <c r="K8076" s="11" t="s">
        <v>35</v>
      </c>
      <c r="L8076" s="11" t="s">
        <v>27</v>
      </c>
      <c r="M8076" s="11" t="s">
        <v>28</v>
      </c>
      <c r="N8076" s="11" t="s">
        <v>197</v>
      </c>
      <c r="O8076" s="11" t="s">
        <v>294</v>
      </c>
      <c r="P8076" s="11" t="s">
        <v>52</v>
      </c>
      <c r="Q8076" s="20">
        <v>41212.0</v>
      </c>
      <c r="R8076" s="17">
        <f t="shared" si="2"/>
        <v>168.967571</v>
      </c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>
        <f t="shared" si="8"/>
        <v>1</v>
      </c>
      <c r="AF8076" s="19">
        <f t="shared" si="13"/>
        <v>2</v>
      </c>
      <c r="AG8076" s="9"/>
      <c r="AH8076" s="9"/>
      <c r="AI8076" s="9"/>
    </row>
    <row r="8077" ht="15.0" customHeight="1">
      <c r="A8077" s="11">
        <v>8076.0</v>
      </c>
      <c r="B8077" s="12">
        <f t="shared" si="1288"/>
        <v>41210</v>
      </c>
      <c r="C8077" s="13">
        <v>2012.0</v>
      </c>
      <c r="D8077" s="11" t="s">
        <v>23</v>
      </c>
      <c r="E8077" s="11">
        <v>1.0</v>
      </c>
      <c r="F8077" s="14">
        <v>1938.0</v>
      </c>
      <c r="G8077" s="15">
        <v>0.06674710332279991</v>
      </c>
      <c r="H8077" s="11" t="s">
        <v>33</v>
      </c>
      <c r="I8077" s="16">
        <v>11.192</v>
      </c>
      <c r="J8077" s="11" t="s">
        <v>2329</v>
      </c>
      <c r="K8077" s="11" t="s">
        <v>35</v>
      </c>
      <c r="L8077" s="11" t="s">
        <v>27</v>
      </c>
      <c r="M8077" s="11" t="s">
        <v>66</v>
      </c>
      <c r="N8077" s="11" t="s">
        <v>69</v>
      </c>
      <c r="O8077" s="11" t="s">
        <v>688</v>
      </c>
      <c r="P8077" s="11" t="s">
        <v>75</v>
      </c>
      <c r="Q8077" s="20">
        <v>41212.0</v>
      </c>
      <c r="R8077" s="17">
        <f t="shared" si="2"/>
        <v>130.1029198</v>
      </c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>
        <f t="shared" si="8"/>
        <v>1</v>
      </c>
      <c r="AF8077" s="19">
        <f t="shared" si="13"/>
        <v>2</v>
      </c>
      <c r="AG8077" s="9"/>
      <c r="AH8077" s="9"/>
      <c r="AI8077" s="9"/>
    </row>
    <row r="8078" ht="15.0" customHeight="1">
      <c r="A8078" s="11">
        <v>8077.0</v>
      </c>
      <c r="B8078" s="12">
        <f t="shared" si="1288"/>
        <v>41210</v>
      </c>
      <c r="C8078" s="13">
        <v>2012.0</v>
      </c>
      <c r="D8078" s="11" t="s">
        <v>32</v>
      </c>
      <c r="E8078" s="11">
        <v>41.0</v>
      </c>
      <c r="F8078" s="14">
        <v>22.8</v>
      </c>
      <c r="G8078" s="15">
        <v>0.02299532952776331</v>
      </c>
      <c r="H8078" s="11" t="s">
        <v>33</v>
      </c>
      <c r="I8078" s="16">
        <v>6.5440000000000005</v>
      </c>
      <c r="J8078" s="11" t="s">
        <v>2529</v>
      </c>
      <c r="K8078" s="11" t="s">
        <v>26</v>
      </c>
      <c r="L8078" s="11" t="s">
        <v>36</v>
      </c>
      <c r="M8078" s="11" t="s">
        <v>28</v>
      </c>
      <c r="N8078" s="11" t="s">
        <v>56</v>
      </c>
      <c r="O8078" s="11" t="s">
        <v>351</v>
      </c>
      <c r="P8078" s="11" t="s">
        <v>38</v>
      </c>
      <c r="Q8078" s="20">
        <v>41212.0</v>
      </c>
      <c r="R8078" s="17">
        <f t="shared" si="2"/>
        <v>21.64651548</v>
      </c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>
        <f t="shared" si="8"/>
        <v>2</v>
      </c>
      <c r="AF8078" s="19">
        <f t="shared" si="13"/>
        <v>1</v>
      </c>
      <c r="AG8078" s="9"/>
      <c r="AH8078" s="9"/>
      <c r="AI8078" s="9"/>
    </row>
    <row r="8079" ht="15.0" customHeight="1">
      <c r="A8079" s="11">
        <v>8078.0</v>
      </c>
      <c r="B8079" s="12">
        <f t="shared" si="1288"/>
        <v>41210</v>
      </c>
      <c r="C8079" s="13">
        <v>2012.0</v>
      </c>
      <c r="D8079" s="11" t="s">
        <v>44</v>
      </c>
      <c r="E8079" s="11">
        <v>46.0</v>
      </c>
      <c r="F8079" s="14">
        <v>152.4</v>
      </c>
      <c r="G8079" s="15">
        <v>0.010524533732118091</v>
      </c>
      <c r="H8079" s="11" t="s">
        <v>33</v>
      </c>
      <c r="I8079" s="16">
        <v>3.2</v>
      </c>
      <c r="J8079" s="11" t="s">
        <v>1667</v>
      </c>
      <c r="K8079" s="11" t="s">
        <v>26</v>
      </c>
      <c r="L8079" s="11" t="s">
        <v>48</v>
      </c>
      <c r="M8079" s="11" t="s">
        <v>66</v>
      </c>
      <c r="N8079" s="11" t="s">
        <v>67</v>
      </c>
      <c r="O8079" s="11" t="s">
        <v>944</v>
      </c>
      <c r="P8079" s="11" t="s">
        <v>38</v>
      </c>
      <c r="Q8079" s="20">
        <v>41212.0</v>
      </c>
      <c r="R8079" s="17">
        <f t="shared" si="2"/>
        <v>73.81486978</v>
      </c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>
        <f t="shared" si="8"/>
        <v>4</v>
      </c>
      <c r="AF8079" s="19">
        <f t="shared" si="13"/>
        <v>1</v>
      </c>
      <c r="AG8079" s="9"/>
      <c r="AH8079" s="9"/>
      <c r="AI8079" s="9"/>
    </row>
    <row r="8080" ht="15.0" customHeight="1">
      <c r="A8080" s="11">
        <v>8079.0</v>
      </c>
      <c r="B8080" s="12">
        <f t="shared" si="1288"/>
        <v>41210</v>
      </c>
      <c r="C8080" s="13">
        <v>2012.0</v>
      </c>
      <c r="D8080" s="11" t="s">
        <v>44</v>
      </c>
      <c r="E8080" s="11">
        <v>26.0</v>
      </c>
      <c r="F8080" s="14">
        <v>65.9</v>
      </c>
      <c r="G8080" s="15">
        <v>0.02148481568001815</v>
      </c>
      <c r="H8080" s="11" t="s">
        <v>33</v>
      </c>
      <c r="I8080" s="16">
        <v>3.9920000000000004</v>
      </c>
      <c r="J8080" s="11" t="s">
        <v>1667</v>
      </c>
      <c r="K8080" s="11" t="s">
        <v>26</v>
      </c>
      <c r="L8080" s="11" t="s">
        <v>48</v>
      </c>
      <c r="M8080" s="11" t="s">
        <v>66</v>
      </c>
      <c r="N8080" s="11" t="s">
        <v>80</v>
      </c>
      <c r="O8080" s="11" t="s">
        <v>1512</v>
      </c>
      <c r="P8080" s="11" t="s">
        <v>38</v>
      </c>
      <c r="Q8080" s="20">
        <v>41212.0</v>
      </c>
      <c r="R8080" s="17">
        <f t="shared" si="2"/>
        <v>36.89785057</v>
      </c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>
        <f t="shared" si="8"/>
        <v>4</v>
      </c>
      <c r="AF8080" s="19">
        <f t="shared" si="13"/>
        <v>1</v>
      </c>
      <c r="AG8080" s="9"/>
      <c r="AH8080" s="9"/>
      <c r="AI8080" s="9"/>
    </row>
    <row r="8081" ht="15.0" customHeight="1">
      <c r="A8081" s="11">
        <v>8080.0</v>
      </c>
      <c r="B8081" s="12">
        <f t="shared" si="1288"/>
        <v>41210</v>
      </c>
      <c r="C8081" s="13">
        <v>2012.0</v>
      </c>
      <c r="D8081" s="11" t="s">
        <v>39</v>
      </c>
      <c r="E8081" s="11">
        <v>20.0</v>
      </c>
      <c r="F8081" s="14">
        <v>15.5</v>
      </c>
      <c r="G8081" s="15">
        <v>0.06938775510204091</v>
      </c>
      <c r="H8081" s="11" t="s">
        <v>33</v>
      </c>
      <c r="I8081" s="16">
        <v>4.64</v>
      </c>
      <c r="J8081" s="11" t="s">
        <v>1851</v>
      </c>
      <c r="K8081" s="11" t="s">
        <v>26</v>
      </c>
      <c r="L8081" s="11" t="s">
        <v>48</v>
      </c>
      <c r="M8081" s="11" t="s">
        <v>28</v>
      </c>
      <c r="N8081" s="11" t="s">
        <v>29</v>
      </c>
      <c r="O8081" s="11" t="s">
        <v>2548</v>
      </c>
      <c r="P8081" s="11" t="s">
        <v>38</v>
      </c>
      <c r="Q8081" s="20">
        <v>41212.0</v>
      </c>
      <c r="R8081" s="17">
        <f t="shared" si="2"/>
        <v>21.83216327</v>
      </c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>
        <f t="shared" si="8"/>
        <v>4</v>
      </c>
      <c r="AF8081" s="19">
        <f t="shared" si="13"/>
        <v>1</v>
      </c>
      <c r="AG8081" s="9"/>
      <c r="AH8081" s="9"/>
      <c r="AI8081" s="9"/>
    </row>
    <row r="8082" ht="15.0" customHeight="1">
      <c r="A8082" s="11">
        <v>8081.0</v>
      </c>
      <c r="B8082" s="12">
        <f t="shared" si="1288"/>
        <v>41210</v>
      </c>
      <c r="C8082" s="13">
        <v>2012.0</v>
      </c>
      <c r="D8082" s="11" t="s">
        <v>32</v>
      </c>
      <c r="E8082" s="11">
        <v>50.0</v>
      </c>
      <c r="F8082" s="14">
        <v>100.9</v>
      </c>
      <c r="G8082" s="15">
        <v>0.09203225169249556</v>
      </c>
      <c r="H8082" s="11" t="s">
        <v>45</v>
      </c>
      <c r="I8082" s="16">
        <v>11.200000000000001</v>
      </c>
      <c r="J8082" s="11" t="s">
        <v>1747</v>
      </c>
      <c r="K8082" s="11" t="s">
        <v>61</v>
      </c>
      <c r="L8082" s="11" t="s">
        <v>36</v>
      </c>
      <c r="M8082" s="11" t="s">
        <v>66</v>
      </c>
      <c r="N8082" s="11" t="s">
        <v>69</v>
      </c>
      <c r="O8082" s="11" t="s">
        <v>1918</v>
      </c>
      <c r="P8082" s="11" t="s">
        <v>52</v>
      </c>
      <c r="Q8082" s="20">
        <v>41213.0</v>
      </c>
      <c r="R8082" s="17">
        <f t="shared" si="2"/>
        <v>465.333471</v>
      </c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>
        <f t="shared" si="8"/>
        <v>2</v>
      </c>
      <c r="AF8082" s="19">
        <f t="shared" si="13"/>
        <v>4</v>
      </c>
      <c r="AG8082" s="9"/>
      <c r="AH8082" s="9"/>
      <c r="AI8082" s="9"/>
    </row>
    <row r="8083" ht="15.0" customHeight="1">
      <c r="A8083" s="11">
        <v>8082.0</v>
      </c>
      <c r="B8083" s="12">
        <f t="shared" ref="B8083:B8090" si="1289">DATE(2012,12,31)-63</f>
        <v>41211</v>
      </c>
      <c r="C8083" s="13">
        <v>2012.0</v>
      </c>
      <c r="D8083" s="11" t="s">
        <v>23</v>
      </c>
      <c r="E8083" s="11">
        <v>13.0</v>
      </c>
      <c r="F8083" s="14">
        <v>304.9</v>
      </c>
      <c r="G8083" s="15">
        <v>0.02086554311723459</v>
      </c>
      <c r="H8083" s="11" t="s">
        <v>33</v>
      </c>
      <c r="I8083" s="16">
        <v>15.991999999999999</v>
      </c>
      <c r="J8083" s="11" t="s">
        <v>940</v>
      </c>
      <c r="K8083" s="11" t="s">
        <v>26</v>
      </c>
      <c r="L8083" s="11" t="s">
        <v>41</v>
      </c>
      <c r="M8083" s="11" t="s">
        <v>28</v>
      </c>
      <c r="N8083" s="11" t="s">
        <v>42</v>
      </c>
      <c r="O8083" s="11" t="s">
        <v>1505</v>
      </c>
      <c r="P8083" s="11" t="s">
        <v>38</v>
      </c>
      <c r="Q8083" s="20">
        <v>41213.0</v>
      </c>
      <c r="R8083" s="17">
        <f t="shared" si="2"/>
        <v>83.03843502</v>
      </c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>
        <f t="shared" si="8"/>
        <v>3</v>
      </c>
      <c r="AF8083" s="19">
        <f t="shared" si="13"/>
        <v>1</v>
      </c>
      <c r="AG8083" s="9"/>
      <c r="AH8083" s="9"/>
      <c r="AI8083" s="9"/>
    </row>
    <row r="8084" ht="15.0" customHeight="1">
      <c r="A8084" s="11">
        <v>8083.0</v>
      </c>
      <c r="B8084" s="12">
        <f t="shared" si="1289"/>
        <v>41211</v>
      </c>
      <c r="C8084" s="13">
        <v>2012.0</v>
      </c>
      <c r="D8084" s="11" t="s">
        <v>23</v>
      </c>
      <c r="E8084" s="11">
        <v>42.0</v>
      </c>
      <c r="F8084" s="14">
        <v>320.6</v>
      </c>
      <c r="G8084" s="15">
        <v>0.04834687964810123</v>
      </c>
      <c r="H8084" s="11" t="s">
        <v>45</v>
      </c>
      <c r="I8084" s="16">
        <v>34.856</v>
      </c>
      <c r="J8084" s="11" t="s">
        <v>485</v>
      </c>
      <c r="K8084" s="11" t="s">
        <v>47</v>
      </c>
      <c r="L8084" s="11" t="s">
        <v>41</v>
      </c>
      <c r="M8084" s="11" t="s">
        <v>49</v>
      </c>
      <c r="N8084" s="11" t="s">
        <v>85</v>
      </c>
      <c r="O8084" s="11" t="s">
        <v>1902</v>
      </c>
      <c r="P8084" s="11" t="s">
        <v>87</v>
      </c>
      <c r="Q8084" s="20">
        <v>41213.0</v>
      </c>
      <c r="R8084" s="17">
        <f t="shared" si="2"/>
        <v>652.6855827</v>
      </c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>
        <f t="shared" si="8"/>
        <v>3</v>
      </c>
      <c r="AF8084" s="19">
        <f t="shared" si="13"/>
        <v>3</v>
      </c>
      <c r="AG8084" s="9"/>
      <c r="AH8084" s="9"/>
      <c r="AI8084" s="9"/>
    </row>
    <row r="8085" ht="15.0" customHeight="1">
      <c r="A8085" s="11">
        <v>8084.0</v>
      </c>
      <c r="B8085" s="12">
        <f t="shared" si="1289"/>
        <v>41211</v>
      </c>
      <c r="C8085" s="13">
        <v>2012.0</v>
      </c>
      <c r="D8085" s="11" t="s">
        <v>39</v>
      </c>
      <c r="E8085" s="11">
        <v>50.0</v>
      </c>
      <c r="F8085" s="14">
        <v>25.9</v>
      </c>
      <c r="G8085" s="15">
        <v>0.04342656318641082</v>
      </c>
      <c r="H8085" s="11" t="s">
        <v>45</v>
      </c>
      <c r="I8085" s="16">
        <v>11.488</v>
      </c>
      <c r="J8085" s="11" t="s">
        <v>2074</v>
      </c>
      <c r="K8085" s="11" t="s">
        <v>35</v>
      </c>
      <c r="L8085" s="11" t="s">
        <v>36</v>
      </c>
      <c r="M8085" s="11" t="s">
        <v>49</v>
      </c>
      <c r="N8085" s="11" t="s">
        <v>50</v>
      </c>
      <c r="O8085" s="11" t="s">
        <v>470</v>
      </c>
      <c r="P8085" s="11" t="s">
        <v>52</v>
      </c>
      <c r="Q8085" s="20">
        <v>41213.0</v>
      </c>
      <c r="R8085" s="17">
        <f t="shared" si="2"/>
        <v>56.73628368</v>
      </c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>
        <f t="shared" si="8"/>
        <v>2</v>
      </c>
      <c r="AF8085" s="19">
        <f t="shared" si="13"/>
        <v>2</v>
      </c>
      <c r="AG8085" s="9"/>
      <c r="AH8085" s="9"/>
      <c r="AI8085" s="9"/>
    </row>
    <row r="8086" ht="15.0" customHeight="1">
      <c r="A8086" s="11">
        <v>8085.0</v>
      </c>
      <c r="B8086" s="12">
        <f t="shared" si="1289"/>
        <v>41211</v>
      </c>
      <c r="C8086" s="13">
        <v>2012.0</v>
      </c>
      <c r="D8086" s="11" t="s">
        <v>39</v>
      </c>
      <c r="E8086" s="11">
        <v>36.0</v>
      </c>
      <c r="F8086" s="14">
        <v>18.9</v>
      </c>
      <c r="G8086" s="15">
        <v>0.04443579766536965</v>
      </c>
      <c r="H8086" s="11" t="s">
        <v>33</v>
      </c>
      <c r="I8086" s="16">
        <v>7.224</v>
      </c>
      <c r="J8086" s="11" t="s">
        <v>353</v>
      </c>
      <c r="K8086" s="11" t="s">
        <v>117</v>
      </c>
      <c r="L8086" s="11" t="s">
        <v>36</v>
      </c>
      <c r="M8086" s="11" t="s">
        <v>28</v>
      </c>
      <c r="N8086" s="11" t="s">
        <v>56</v>
      </c>
      <c r="O8086" s="11" t="s">
        <v>388</v>
      </c>
      <c r="P8086" s="11" t="s">
        <v>38</v>
      </c>
      <c r="Q8086" s="20">
        <v>41213.0</v>
      </c>
      <c r="R8086" s="17">
        <f t="shared" si="2"/>
        <v>30.55512093</v>
      </c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>
        <f t="shared" si="8"/>
        <v>2</v>
      </c>
      <c r="AF8086" s="19" t="b">
        <f t="shared" si="13"/>
        <v>0</v>
      </c>
      <c r="AG8086" s="9"/>
      <c r="AH8086" s="9"/>
      <c r="AI8086" s="9"/>
    </row>
    <row r="8087" ht="15.0" customHeight="1">
      <c r="A8087" s="11">
        <v>8086.0</v>
      </c>
      <c r="B8087" s="12">
        <f t="shared" si="1289"/>
        <v>41211</v>
      </c>
      <c r="C8087" s="13">
        <v>2012.0</v>
      </c>
      <c r="D8087" s="11" t="s">
        <v>44</v>
      </c>
      <c r="E8087" s="11">
        <v>16.0</v>
      </c>
      <c r="F8087" s="14">
        <v>100.9</v>
      </c>
      <c r="G8087" s="15">
        <v>0.0433350800582241</v>
      </c>
      <c r="H8087" s="11" t="s">
        <v>45</v>
      </c>
      <c r="I8087" s="16">
        <v>28.672000000000004</v>
      </c>
      <c r="J8087" s="11" t="s">
        <v>1715</v>
      </c>
      <c r="K8087" s="11" t="s">
        <v>26</v>
      </c>
      <c r="L8087" s="11" t="s">
        <v>41</v>
      </c>
      <c r="M8087" s="11" t="s">
        <v>49</v>
      </c>
      <c r="N8087" s="11" t="s">
        <v>156</v>
      </c>
      <c r="O8087" s="11" t="s">
        <v>165</v>
      </c>
      <c r="P8087" s="11" t="s">
        <v>87</v>
      </c>
      <c r="Q8087" s="20">
        <v>41213.0</v>
      </c>
      <c r="R8087" s="17">
        <f t="shared" si="2"/>
        <v>71.20265666</v>
      </c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>
        <f t="shared" si="8"/>
        <v>3</v>
      </c>
      <c r="AF8087" s="19">
        <f t="shared" si="13"/>
        <v>1</v>
      </c>
      <c r="AG8087" s="9"/>
      <c r="AH8087" s="9"/>
      <c r="AI8087" s="9"/>
    </row>
    <row r="8088" ht="15.0" customHeight="1">
      <c r="A8088" s="11">
        <v>8087.0</v>
      </c>
      <c r="B8088" s="12">
        <f t="shared" si="1289"/>
        <v>41211</v>
      </c>
      <c r="C8088" s="13">
        <v>2012.0</v>
      </c>
      <c r="D8088" s="11" t="s">
        <v>23</v>
      </c>
      <c r="E8088" s="11">
        <v>30.0</v>
      </c>
      <c r="F8088" s="14">
        <v>180.9</v>
      </c>
      <c r="G8088" s="15">
        <v>0.030605893546264577</v>
      </c>
      <c r="H8088" s="11" t="s">
        <v>45</v>
      </c>
      <c r="I8088" s="16">
        <v>24.0</v>
      </c>
      <c r="J8088" s="11" t="s">
        <v>412</v>
      </c>
      <c r="K8088" s="11" t="s">
        <v>35</v>
      </c>
      <c r="L8088" s="11" t="s">
        <v>27</v>
      </c>
      <c r="M8088" s="11" t="s">
        <v>49</v>
      </c>
      <c r="N8088" s="11" t="s">
        <v>50</v>
      </c>
      <c r="O8088" s="11" t="s">
        <v>1677</v>
      </c>
      <c r="P8088" s="11" t="s">
        <v>52</v>
      </c>
      <c r="Q8088" s="20">
        <v>41213.0</v>
      </c>
      <c r="R8088" s="17">
        <f t="shared" si="2"/>
        <v>166.8327257</v>
      </c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>
        <f t="shared" si="8"/>
        <v>1</v>
      </c>
      <c r="AF8088" s="19">
        <f t="shared" si="13"/>
        <v>2</v>
      </c>
      <c r="AG8088" s="9"/>
      <c r="AH8088" s="9"/>
      <c r="AI8088" s="9"/>
    </row>
    <row r="8089" ht="15.0" customHeight="1">
      <c r="A8089" s="11">
        <v>8088.0</v>
      </c>
      <c r="B8089" s="12">
        <f t="shared" si="1289"/>
        <v>41211</v>
      </c>
      <c r="C8089" s="13">
        <v>2012.0</v>
      </c>
      <c r="D8089" s="11" t="s">
        <v>23</v>
      </c>
      <c r="E8089" s="11">
        <v>42.0</v>
      </c>
      <c r="F8089" s="14">
        <v>29.8</v>
      </c>
      <c r="G8089" s="15">
        <v>0.05075594606877731</v>
      </c>
      <c r="H8089" s="11" t="s">
        <v>33</v>
      </c>
      <c r="I8089" s="16">
        <v>1.592</v>
      </c>
      <c r="J8089" s="11" t="s">
        <v>412</v>
      </c>
      <c r="K8089" s="11" t="s">
        <v>35</v>
      </c>
      <c r="L8089" s="11" t="s">
        <v>27</v>
      </c>
      <c r="M8089" s="11" t="s">
        <v>66</v>
      </c>
      <c r="N8089" s="11" t="s">
        <v>67</v>
      </c>
      <c r="O8089" s="11" t="s">
        <v>559</v>
      </c>
      <c r="P8089" s="11" t="s">
        <v>99</v>
      </c>
      <c r="Q8089" s="20">
        <v>41213.0</v>
      </c>
      <c r="R8089" s="17">
        <f t="shared" si="2"/>
        <v>63.60694557</v>
      </c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>
        <f t="shared" si="8"/>
        <v>1</v>
      </c>
      <c r="AF8089" s="19">
        <f t="shared" si="13"/>
        <v>2</v>
      </c>
      <c r="AG8089" s="9"/>
      <c r="AH8089" s="9"/>
      <c r="AI8089" s="9"/>
    </row>
    <row r="8090" ht="15.0" customHeight="1">
      <c r="A8090" s="11">
        <v>8089.0</v>
      </c>
      <c r="B8090" s="12">
        <f t="shared" si="1289"/>
        <v>41211</v>
      </c>
      <c r="C8090" s="13">
        <v>2012.0</v>
      </c>
      <c r="D8090" s="11" t="s">
        <v>32</v>
      </c>
      <c r="E8090" s="11">
        <v>24.0</v>
      </c>
      <c r="F8090" s="14">
        <v>4.9</v>
      </c>
      <c r="G8090" s="15">
        <v>0.09869822485207086</v>
      </c>
      <c r="H8090" s="11" t="s">
        <v>33</v>
      </c>
      <c r="I8090" s="16">
        <v>4.256</v>
      </c>
      <c r="J8090" s="11" t="s">
        <v>1112</v>
      </c>
      <c r="K8090" s="11" t="s">
        <v>35</v>
      </c>
      <c r="L8090" s="11" t="s">
        <v>27</v>
      </c>
      <c r="M8090" s="11" t="s">
        <v>49</v>
      </c>
      <c r="N8090" s="11" t="s">
        <v>73</v>
      </c>
      <c r="O8090" s="11" t="s">
        <v>2580</v>
      </c>
      <c r="P8090" s="11" t="s">
        <v>38</v>
      </c>
      <c r="Q8090" s="20">
        <v>41213.0</v>
      </c>
      <c r="R8090" s="17">
        <f t="shared" si="2"/>
        <v>12.02697089</v>
      </c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>
        <f t="shared" si="8"/>
        <v>1</v>
      </c>
      <c r="AF8090" s="19">
        <f t="shared" si="13"/>
        <v>2</v>
      </c>
      <c r="AG8090" s="9"/>
      <c r="AH8090" s="9"/>
      <c r="AI8090" s="9"/>
    </row>
    <row r="8091" ht="15.0" customHeight="1">
      <c r="A8091" s="11">
        <v>8090.0</v>
      </c>
      <c r="B8091" s="12">
        <f t="shared" ref="B8091:B8106" si="1290">DATE(2012,12,31)-62</f>
        <v>41212</v>
      </c>
      <c r="C8091" s="13">
        <v>2012.0</v>
      </c>
      <c r="D8091" s="11" t="s">
        <v>23</v>
      </c>
      <c r="E8091" s="11">
        <v>48.0</v>
      </c>
      <c r="F8091" s="14">
        <v>100.9</v>
      </c>
      <c r="G8091" s="15">
        <v>0.011315130413535969</v>
      </c>
      <c r="H8091" s="11" t="s">
        <v>45</v>
      </c>
      <c r="I8091" s="16">
        <v>12.528</v>
      </c>
      <c r="J8091" s="11" t="s">
        <v>2079</v>
      </c>
      <c r="K8091" s="11" t="s">
        <v>61</v>
      </c>
      <c r="L8091" s="11" t="s">
        <v>48</v>
      </c>
      <c r="M8091" s="11" t="s">
        <v>28</v>
      </c>
      <c r="N8091" s="11" t="s">
        <v>197</v>
      </c>
      <c r="O8091" s="11" t="s">
        <v>2491</v>
      </c>
      <c r="P8091" s="11" t="s">
        <v>52</v>
      </c>
      <c r="Q8091" s="20">
        <v>41213.0</v>
      </c>
      <c r="R8091" s="17">
        <f t="shared" si="2"/>
        <v>54.94319557</v>
      </c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>
        <f t="shared" si="8"/>
        <v>4</v>
      </c>
      <c r="AF8091" s="19">
        <f t="shared" si="13"/>
        <v>4</v>
      </c>
      <c r="AG8091" s="9"/>
      <c r="AH8091" s="9"/>
      <c r="AI8091" s="9"/>
    </row>
    <row r="8092" ht="15.0" customHeight="1">
      <c r="A8092" s="11">
        <v>8091.0</v>
      </c>
      <c r="B8092" s="12">
        <f t="shared" si="1290"/>
        <v>41212</v>
      </c>
      <c r="C8092" s="13">
        <v>2012.0</v>
      </c>
      <c r="D8092" s="11" t="s">
        <v>23</v>
      </c>
      <c r="E8092" s="11">
        <v>23.0</v>
      </c>
      <c r="F8092" s="14">
        <v>7.3</v>
      </c>
      <c r="G8092" s="15">
        <v>0.01332571428571425</v>
      </c>
      <c r="H8092" s="11" t="s">
        <v>33</v>
      </c>
      <c r="I8092" s="16">
        <v>4.768</v>
      </c>
      <c r="J8092" s="11" t="s">
        <v>2079</v>
      </c>
      <c r="K8092" s="11" t="s">
        <v>61</v>
      </c>
      <c r="L8092" s="11" t="s">
        <v>48</v>
      </c>
      <c r="M8092" s="11" t="s">
        <v>28</v>
      </c>
      <c r="N8092" s="11" t="s">
        <v>56</v>
      </c>
      <c r="O8092" s="11" t="s">
        <v>1958</v>
      </c>
      <c r="P8092" s="11" t="s">
        <v>38</v>
      </c>
      <c r="Q8092" s="20">
        <v>41213.0</v>
      </c>
      <c r="R8092" s="17">
        <f t="shared" si="2"/>
        <v>2.300924434</v>
      </c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>
        <f t="shared" si="8"/>
        <v>4</v>
      </c>
      <c r="AF8092" s="19">
        <f t="shared" si="13"/>
        <v>4</v>
      </c>
      <c r="AG8092" s="9"/>
      <c r="AH8092" s="9"/>
      <c r="AI8092" s="9"/>
    </row>
    <row r="8093" ht="15.0" customHeight="1">
      <c r="A8093" s="11">
        <v>8092.0</v>
      </c>
      <c r="B8093" s="12">
        <f t="shared" si="1290"/>
        <v>41212</v>
      </c>
      <c r="C8093" s="13">
        <v>2012.0</v>
      </c>
      <c r="D8093" s="11" t="s">
        <v>23</v>
      </c>
      <c r="E8093" s="11">
        <v>19.0</v>
      </c>
      <c r="F8093" s="14">
        <v>40.9</v>
      </c>
      <c r="G8093" s="15">
        <v>0.09683297180043375</v>
      </c>
      <c r="H8093" s="11" t="s">
        <v>33</v>
      </c>
      <c r="I8093" s="16">
        <v>13.984000000000002</v>
      </c>
      <c r="J8093" s="11" t="s">
        <v>2079</v>
      </c>
      <c r="K8093" s="11" t="s">
        <v>61</v>
      </c>
      <c r="L8093" s="11" t="s">
        <v>48</v>
      </c>
      <c r="M8093" s="11" t="s">
        <v>28</v>
      </c>
      <c r="N8093" s="11" t="s">
        <v>56</v>
      </c>
      <c r="O8093" s="11" t="s">
        <v>1172</v>
      </c>
      <c r="P8093" s="11" t="s">
        <v>38</v>
      </c>
      <c r="Q8093" s="20">
        <v>41214.0</v>
      </c>
      <c r="R8093" s="17">
        <f t="shared" si="2"/>
        <v>76.60301466</v>
      </c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>
        <f t="shared" si="8"/>
        <v>4</v>
      </c>
      <c r="AF8093" s="19">
        <f t="shared" si="13"/>
        <v>4</v>
      </c>
      <c r="AG8093" s="9"/>
      <c r="AH8093" s="9"/>
      <c r="AI8093" s="9"/>
    </row>
    <row r="8094" ht="15.0" customHeight="1">
      <c r="A8094" s="11">
        <v>8093.0</v>
      </c>
      <c r="B8094" s="12">
        <f t="shared" si="1290"/>
        <v>41212</v>
      </c>
      <c r="C8094" s="13">
        <v>2012.0</v>
      </c>
      <c r="D8094" s="11" t="s">
        <v>39</v>
      </c>
      <c r="E8094" s="11">
        <v>28.0</v>
      </c>
      <c r="F8094" s="14">
        <v>2.8</v>
      </c>
      <c r="G8094" s="15">
        <v>0.038246041412911096</v>
      </c>
      <c r="H8094" s="11" t="s">
        <v>33</v>
      </c>
      <c r="I8094" s="16">
        <v>0.5599999999999999</v>
      </c>
      <c r="J8094" s="11" t="s">
        <v>2475</v>
      </c>
      <c r="K8094" s="11" t="s">
        <v>35</v>
      </c>
      <c r="L8094" s="11" t="s">
        <v>41</v>
      </c>
      <c r="M8094" s="11" t="s">
        <v>28</v>
      </c>
      <c r="N8094" s="11" t="s">
        <v>62</v>
      </c>
      <c r="O8094" s="11" t="s">
        <v>383</v>
      </c>
      <c r="P8094" s="11" t="s">
        <v>58</v>
      </c>
      <c r="Q8094" s="20">
        <v>41214.0</v>
      </c>
      <c r="R8094" s="17">
        <f t="shared" si="2"/>
        <v>3.01990743</v>
      </c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>
        <f t="shared" si="8"/>
        <v>3</v>
      </c>
      <c r="AF8094" s="19">
        <f t="shared" si="13"/>
        <v>2</v>
      </c>
      <c r="AG8094" s="9"/>
      <c r="AH8094" s="9"/>
      <c r="AI8094" s="9"/>
    </row>
    <row r="8095" ht="15.0" customHeight="1">
      <c r="A8095" s="11">
        <v>8094.0</v>
      </c>
      <c r="B8095" s="12">
        <f t="shared" si="1290"/>
        <v>41212</v>
      </c>
      <c r="C8095" s="13">
        <v>2012.0</v>
      </c>
      <c r="D8095" s="11" t="s">
        <v>39</v>
      </c>
      <c r="E8095" s="11">
        <v>28.0</v>
      </c>
      <c r="F8095" s="14">
        <v>15.5</v>
      </c>
      <c r="G8095" s="15">
        <v>0.005003430139492312</v>
      </c>
      <c r="H8095" s="11" t="s">
        <v>33</v>
      </c>
      <c r="I8095" s="16">
        <v>1.1119999999999999</v>
      </c>
      <c r="J8095" s="11" t="s">
        <v>1142</v>
      </c>
      <c r="K8095" s="11" t="s">
        <v>47</v>
      </c>
      <c r="L8095" s="11" t="s">
        <v>36</v>
      </c>
      <c r="M8095" s="11" t="s">
        <v>28</v>
      </c>
      <c r="N8095" s="11" t="s">
        <v>236</v>
      </c>
      <c r="O8095" s="11" t="s">
        <v>885</v>
      </c>
      <c r="P8095" s="11" t="s">
        <v>38</v>
      </c>
      <c r="Q8095" s="20">
        <v>41214.0</v>
      </c>
      <c r="R8095" s="17">
        <f t="shared" si="2"/>
        <v>2.177052495</v>
      </c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>
        <f t="shared" si="8"/>
        <v>2</v>
      </c>
      <c r="AF8095" s="19">
        <f t="shared" si="13"/>
        <v>3</v>
      </c>
      <c r="AG8095" s="9"/>
      <c r="AH8095" s="9"/>
      <c r="AI8095" s="9"/>
    </row>
    <row r="8096" ht="15.0" customHeight="1">
      <c r="A8096" s="11">
        <v>8095.0</v>
      </c>
      <c r="B8096" s="12">
        <f t="shared" si="1290"/>
        <v>41212</v>
      </c>
      <c r="C8096" s="13">
        <v>2012.0</v>
      </c>
      <c r="D8096" s="11" t="s">
        <v>44</v>
      </c>
      <c r="E8096" s="11">
        <v>39.0</v>
      </c>
      <c r="F8096" s="14">
        <v>200.9</v>
      </c>
      <c r="G8096" s="15">
        <v>0.049335488852427244</v>
      </c>
      <c r="H8096" s="11" t="s">
        <v>45</v>
      </c>
      <c r="I8096" s="16">
        <v>44.768</v>
      </c>
      <c r="J8096" s="11" t="s">
        <v>900</v>
      </c>
      <c r="K8096" s="11" t="s">
        <v>61</v>
      </c>
      <c r="L8096" s="11" t="s">
        <v>48</v>
      </c>
      <c r="M8096" s="11" t="s">
        <v>49</v>
      </c>
      <c r="N8096" s="11" t="s">
        <v>156</v>
      </c>
      <c r="O8096" s="11" t="s">
        <v>868</v>
      </c>
      <c r="P8096" s="11" t="s">
        <v>87</v>
      </c>
      <c r="Q8096" s="20">
        <v>41214.0</v>
      </c>
      <c r="R8096" s="17">
        <f t="shared" si="2"/>
        <v>388.7571399</v>
      </c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>
        <f t="shared" si="8"/>
        <v>4</v>
      </c>
      <c r="AF8096" s="19">
        <f t="shared" si="13"/>
        <v>4</v>
      </c>
      <c r="AG8096" s="9"/>
      <c r="AH8096" s="9"/>
      <c r="AI8096" s="9"/>
    </row>
    <row r="8097" ht="15.0" customHeight="1">
      <c r="A8097" s="11">
        <v>8096.0</v>
      </c>
      <c r="B8097" s="12">
        <f t="shared" si="1290"/>
        <v>41212</v>
      </c>
      <c r="C8097" s="13">
        <v>2012.0</v>
      </c>
      <c r="D8097" s="11" t="s">
        <v>44</v>
      </c>
      <c r="E8097" s="11">
        <v>15.0</v>
      </c>
      <c r="F8097" s="14">
        <v>209.3</v>
      </c>
      <c r="G8097" s="15">
        <v>0.02794073259074635</v>
      </c>
      <c r="H8097" s="11" t="s">
        <v>33</v>
      </c>
      <c r="I8097" s="16">
        <v>55.2</v>
      </c>
      <c r="J8097" s="11" t="s">
        <v>900</v>
      </c>
      <c r="K8097" s="11" t="s">
        <v>61</v>
      </c>
      <c r="L8097" s="11" t="s">
        <v>48</v>
      </c>
      <c r="M8097" s="11" t="s">
        <v>49</v>
      </c>
      <c r="N8097" s="11" t="s">
        <v>85</v>
      </c>
      <c r="O8097" s="11" t="s">
        <v>1727</v>
      </c>
      <c r="P8097" s="11" t="s">
        <v>31</v>
      </c>
      <c r="Q8097" s="20">
        <v>41214.0</v>
      </c>
      <c r="R8097" s="17">
        <f t="shared" si="2"/>
        <v>89.26225841</v>
      </c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>
        <f t="shared" si="8"/>
        <v>4</v>
      </c>
      <c r="AF8097" s="19">
        <f t="shared" si="13"/>
        <v>4</v>
      </c>
      <c r="AG8097" s="9"/>
      <c r="AH8097" s="9"/>
      <c r="AI8097" s="9"/>
    </row>
    <row r="8098" ht="15.0" customHeight="1">
      <c r="A8098" s="11">
        <v>8097.0</v>
      </c>
      <c r="B8098" s="12">
        <f t="shared" si="1290"/>
        <v>41212</v>
      </c>
      <c r="C8098" s="13">
        <v>2012.0</v>
      </c>
      <c r="D8098" s="11" t="s">
        <v>32</v>
      </c>
      <c r="E8098" s="11">
        <v>16.0</v>
      </c>
      <c r="F8098" s="14">
        <v>5.9</v>
      </c>
      <c r="G8098" s="15">
        <v>0.10658016682113067</v>
      </c>
      <c r="H8098" s="11" t="s">
        <v>33</v>
      </c>
      <c r="I8098" s="16">
        <v>2.0</v>
      </c>
      <c r="J8098" s="11" t="s">
        <v>353</v>
      </c>
      <c r="K8098" s="11" t="s">
        <v>83</v>
      </c>
      <c r="L8098" s="11" t="s">
        <v>41</v>
      </c>
      <c r="M8098" s="11" t="s">
        <v>28</v>
      </c>
      <c r="N8098" s="11" t="s">
        <v>236</v>
      </c>
      <c r="O8098" s="11" t="s">
        <v>1164</v>
      </c>
      <c r="P8098" s="11" t="s">
        <v>38</v>
      </c>
      <c r="Q8098" s="20">
        <v>41214.0</v>
      </c>
      <c r="R8098" s="17">
        <f t="shared" si="2"/>
        <v>10.27432808</v>
      </c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>
        <f t="shared" si="8"/>
        <v>3</v>
      </c>
      <c r="AF8098" s="19" t="b">
        <f t="shared" si="13"/>
        <v>0</v>
      </c>
      <c r="AG8098" s="9"/>
      <c r="AH8098" s="9"/>
      <c r="AI8098" s="9"/>
    </row>
    <row r="8099" ht="15.0" customHeight="1">
      <c r="A8099" s="11">
        <v>8098.0</v>
      </c>
      <c r="B8099" s="12">
        <f t="shared" si="1290"/>
        <v>41212</v>
      </c>
      <c r="C8099" s="13">
        <v>2012.0</v>
      </c>
      <c r="D8099" s="11" t="s">
        <v>32</v>
      </c>
      <c r="E8099" s="11">
        <v>33.0</v>
      </c>
      <c r="F8099" s="14">
        <v>5.8</v>
      </c>
      <c r="G8099" s="15">
        <v>0.017568947906026543</v>
      </c>
      <c r="H8099" s="11" t="s">
        <v>33</v>
      </c>
      <c r="I8099" s="16">
        <v>0.96</v>
      </c>
      <c r="J8099" s="11" t="s">
        <v>353</v>
      </c>
      <c r="K8099" s="11" t="s">
        <v>83</v>
      </c>
      <c r="L8099" s="11" t="s">
        <v>41</v>
      </c>
      <c r="M8099" s="11" t="s">
        <v>28</v>
      </c>
      <c r="N8099" s="11" t="s">
        <v>62</v>
      </c>
      <c r="O8099" s="11" t="s">
        <v>1540</v>
      </c>
      <c r="P8099" s="11" t="s">
        <v>58</v>
      </c>
      <c r="Q8099" s="20">
        <v>41214.0</v>
      </c>
      <c r="R8099" s="17">
        <f t="shared" si="2"/>
        <v>3.379562819</v>
      </c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>
        <f t="shared" si="8"/>
        <v>3</v>
      </c>
      <c r="AF8099" s="19" t="b">
        <f t="shared" si="13"/>
        <v>0</v>
      </c>
      <c r="AG8099" s="9"/>
      <c r="AH8099" s="9"/>
      <c r="AI8099" s="9"/>
    </row>
    <row r="8100" ht="15.0" customHeight="1">
      <c r="A8100" s="11">
        <v>8099.0</v>
      </c>
      <c r="B8100" s="12">
        <f t="shared" si="1290"/>
        <v>41212</v>
      </c>
      <c r="C8100" s="13">
        <v>2012.0</v>
      </c>
      <c r="D8100" s="11" t="s">
        <v>32</v>
      </c>
      <c r="E8100" s="11">
        <v>3.0</v>
      </c>
      <c r="F8100" s="14">
        <v>3.2</v>
      </c>
      <c r="G8100" s="15">
        <v>0.10999999999999988</v>
      </c>
      <c r="H8100" s="11" t="s">
        <v>33</v>
      </c>
      <c r="I8100" s="16">
        <v>1.08</v>
      </c>
      <c r="J8100" s="11" t="s">
        <v>320</v>
      </c>
      <c r="K8100" s="11" t="s">
        <v>65</v>
      </c>
      <c r="L8100" s="11" t="s">
        <v>36</v>
      </c>
      <c r="M8100" s="11" t="s">
        <v>28</v>
      </c>
      <c r="N8100" s="11" t="s">
        <v>216</v>
      </c>
      <c r="O8100" s="11" t="s">
        <v>217</v>
      </c>
      <c r="P8100" s="11" t="s">
        <v>58</v>
      </c>
      <c r="Q8100" s="20">
        <v>41214.0</v>
      </c>
      <c r="R8100" s="17">
        <f t="shared" si="2"/>
        <v>1.1748</v>
      </c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>
        <f t="shared" si="8"/>
        <v>2</v>
      </c>
      <c r="AF8100" s="19">
        <f t="shared" si="13"/>
        <v>5</v>
      </c>
      <c r="AG8100" s="9"/>
      <c r="AH8100" s="9"/>
      <c r="AI8100" s="9"/>
    </row>
    <row r="8101" ht="15.0" customHeight="1">
      <c r="A8101" s="11">
        <v>8100.0</v>
      </c>
      <c r="B8101" s="12">
        <f t="shared" si="1290"/>
        <v>41212</v>
      </c>
      <c r="C8101" s="13">
        <v>2012.0</v>
      </c>
      <c r="D8101" s="11" t="s">
        <v>32</v>
      </c>
      <c r="E8101" s="11">
        <v>39.0</v>
      </c>
      <c r="F8101" s="14">
        <v>15.7</v>
      </c>
      <c r="G8101" s="15">
        <v>0.02747085413981963</v>
      </c>
      <c r="H8101" s="11" t="s">
        <v>24</v>
      </c>
      <c r="I8101" s="16">
        <v>5.936</v>
      </c>
      <c r="J8101" s="11" t="s">
        <v>320</v>
      </c>
      <c r="K8101" s="11" t="s">
        <v>65</v>
      </c>
      <c r="L8101" s="11" t="s">
        <v>36</v>
      </c>
      <c r="M8101" s="11" t="s">
        <v>28</v>
      </c>
      <c r="N8101" s="11" t="s">
        <v>442</v>
      </c>
      <c r="O8101" s="11" t="s">
        <v>1678</v>
      </c>
      <c r="P8101" s="11" t="s">
        <v>99</v>
      </c>
      <c r="Q8101" s="20">
        <v>41214.0</v>
      </c>
      <c r="R8101" s="17">
        <f t="shared" si="2"/>
        <v>16.98347098</v>
      </c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>
        <f t="shared" si="8"/>
        <v>2</v>
      </c>
      <c r="AF8101" s="19">
        <f t="shared" si="13"/>
        <v>5</v>
      </c>
      <c r="AG8101" s="9"/>
      <c r="AH8101" s="9"/>
      <c r="AI8101" s="9"/>
    </row>
    <row r="8102" ht="15.0" customHeight="1">
      <c r="A8102" s="11">
        <v>8101.0</v>
      </c>
      <c r="B8102" s="12">
        <f t="shared" si="1290"/>
        <v>41212</v>
      </c>
      <c r="C8102" s="13">
        <v>2012.0</v>
      </c>
      <c r="D8102" s="11" t="s">
        <v>32</v>
      </c>
      <c r="E8102" s="11">
        <v>10.0</v>
      </c>
      <c r="F8102" s="14">
        <v>34.7</v>
      </c>
      <c r="G8102" s="15">
        <v>0.06238133121188014</v>
      </c>
      <c r="H8102" s="11" t="s">
        <v>33</v>
      </c>
      <c r="I8102" s="16">
        <v>6.5760000000000005</v>
      </c>
      <c r="J8102" s="11" t="s">
        <v>320</v>
      </c>
      <c r="K8102" s="11" t="s">
        <v>65</v>
      </c>
      <c r="L8102" s="11" t="s">
        <v>36</v>
      </c>
      <c r="M8102" s="11" t="s">
        <v>28</v>
      </c>
      <c r="N8102" s="11" t="s">
        <v>29</v>
      </c>
      <c r="O8102" s="11" t="s">
        <v>1735</v>
      </c>
      <c r="P8102" s="11" t="s">
        <v>38</v>
      </c>
      <c r="Q8102" s="20">
        <v>41214.0</v>
      </c>
      <c r="R8102" s="17">
        <f t="shared" si="2"/>
        <v>22.05654156</v>
      </c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>
        <f t="shared" si="8"/>
        <v>2</v>
      </c>
      <c r="AF8102" s="19">
        <f t="shared" si="13"/>
        <v>5</v>
      </c>
      <c r="AG8102" s="9"/>
      <c r="AH8102" s="9"/>
      <c r="AI8102" s="9"/>
    </row>
    <row r="8103" ht="15.0" customHeight="1">
      <c r="A8103" s="11">
        <v>8102.0</v>
      </c>
      <c r="B8103" s="12">
        <f t="shared" si="1290"/>
        <v>41212</v>
      </c>
      <c r="C8103" s="13">
        <v>2012.0</v>
      </c>
      <c r="D8103" s="11" t="s">
        <v>44</v>
      </c>
      <c r="E8103" s="11">
        <v>28.0</v>
      </c>
      <c r="F8103" s="14">
        <v>1.1</v>
      </c>
      <c r="G8103" s="15">
        <v>0.11661971830985907</v>
      </c>
      <c r="H8103" s="11" t="s">
        <v>33</v>
      </c>
      <c r="I8103" s="16">
        <v>0.5599999999999999</v>
      </c>
      <c r="J8103" s="11" t="s">
        <v>1217</v>
      </c>
      <c r="K8103" s="11" t="s">
        <v>26</v>
      </c>
      <c r="L8103" s="11" t="s">
        <v>36</v>
      </c>
      <c r="M8103" s="11" t="s">
        <v>28</v>
      </c>
      <c r="N8103" s="11" t="s">
        <v>216</v>
      </c>
      <c r="O8103" s="11" t="s">
        <v>484</v>
      </c>
      <c r="P8103" s="11" t="s">
        <v>58</v>
      </c>
      <c r="Q8103" s="20">
        <v>41214.0</v>
      </c>
      <c r="R8103" s="17">
        <f t="shared" si="2"/>
        <v>3.657194366</v>
      </c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>
        <f t="shared" si="8"/>
        <v>2</v>
      </c>
      <c r="AF8103" s="19">
        <f t="shared" si="13"/>
        <v>1</v>
      </c>
      <c r="AG8103" s="9"/>
      <c r="AH8103" s="9"/>
      <c r="AI8103" s="9"/>
    </row>
    <row r="8104" ht="15.0" customHeight="1">
      <c r="A8104" s="11">
        <v>8103.0</v>
      </c>
      <c r="B8104" s="12">
        <f t="shared" si="1290"/>
        <v>41212</v>
      </c>
      <c r="C8104" s="13">
        <v>2012.0</v>
      </c>
      <c r="D8104" s="11" t="s">
        <v>44</v>
      </c>
      <c r="E8104" s="11">
        <v>18.0</v>
      </c>
      <c r="F8104" s="14">
        <v>7.2</v>
      </c>
      <c r="G8104" s="15">
        <v>0.10574564234990332</v>
      </c>
      <c r="H8104" s="11" t="s">
        <v>33</v>
      </c>
      <c r="I8104" s="16">
        <v>8.92</v>
      </c>
      <c r="J8104" s="11" t="s">
        <v>1217</v>
      </c>
      <c r="K8104" s="11" t="s">
        <v>26</v>
      </c>
      <c r="L8104" s="11" t="s">
        <v>36</v>
      </c>
      <c r="M8104" s="11" t="s">
        <v>28</v>
      </c>
      <c r="N8104" s="11" t="s">
        <v>56</v>
      </c>
      <c r="O8104" s="11" t="s">
        <v>553</v>
      </c>
      <c r="P8104" s="11" t="s">
        <v>38</v>
      </c>
      <c r="Q8104" s="20">
        <v>41214.0</v>
      </c>
      <c r="R8104" s="17">
        <f t="shared" si="2"/>
        <v>14.64788638</v>
      </c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>
        <f t="shared" si="8"/>
        <v>2</v>
      </c>
      <c r="AF8104" s="19">
        <f t="shared" si="13"/>
        <v>1</v>
      </c>
      <c r="AG8104" s="9"/>
      <c r="AH8104" s="9"/>
      <c r="AI8104" s="9"/>
    </row>
    <row r="8105" ht="15.0" customHeight="1">
      <c r="A8105" s="11">
        <v>8104.0</v>
      </c>
      <c r="B8105" s="12">
        <f t="shared" si="1290"/>
        <v>41212</v>
      </c>
      <c r="C8105" s="13">
        <v>2012.0</v>
      </c>
      <c r="D8105" s="11" t="s">
        <v>32</v>
      </c>
      <c r="E8105" s="11">
        <v>35.0</v>
      </c>
      <c r="F8105" s="14">
        <v>22.9</v>
      </c>
      <c r="G8105" s="15">
        <v>0.09567301231802916</v>
      </c>
      <c r="H8105" s="11" t="s">
        <v>33</v>
      </c>
      <c r="I8105" s="16">
        <v>6.064</v>
      </c>
      <c r="J8105" s="11" t="s">
        <v>2384</v>
      </c>
      <c r="K8105" s="11" t="s">
        <v>61</v>
      </c>
      <c r="L8105" s="11" t="s">
        <v>27</v>
      </c>
      <c r="M8105" s="11" t="s">
        <v>49</v>
      </c>
      <c r="N8105" s="11" t="s">
        <v>73</v>
      </c>
      <c r="O8105" s="11" t="s">
        <v>2284</v>
      </c>
      <c r="P8105" s="11" t="s">
        <v>38</v>
      </c>
      <c r="Q8105" s="20">
        <v>41214.0</v>
      </c>
      <c r="R8105" s="17">
        <f t="shared" si="2"/>
        <v>77.26208052</v>
      </c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>
        <f t="shared" si="8"/>
        <v>1</v>
      </c>
      <c r="AF8105" s="19">
        <f t="shared" si="13"/>
        <v>4</v>
      </c>
      <c r="AG8105" s="9"/>
      <c r="AH8105" s="9"/>
      <c r="AI8105" s="9"/>
    </row>
    <row r="8106" ht="15.0" customHeight="1">
      <c r="A8106" s="11">
        <v>8105.0</v>
      </c>
      <c r="B8106" s="12">
        <f t="shared" si="1290"/>
        <v>41212</v>
      </c>
      <c r="C8106" s="13">
        <v>2012.0</v>
      </c>
      <c r="D8106" s="11" t="s">
        <v>32</v>
      </c>
      <c r="E8106" s="11">
        <v>5.0</v>
      </c>
      <c r="F8106" s="14">
        <v>179.2</v>
      </c>
      <c r="G8106" s="15">
        <v>0.012219189586395115</v>
      </c>
      <c r="H8106" s="11" t="s">
        <v>45</v>
      </c>
      <c r="I8106" s="16">
        <v>44.96000000000001</v>
      </c>
      <c r="J8106" s="11" t="s">
        <v>2384</v>
      </c>
      <c r="K8106" s="11" t="s">
        <v>61</v>
      </c>
      <c r="L8106" s="11" t="s">
        <v>27</v>
      </c>
      <c r="M8106" s="11" t="s">
        <v>49</v>
      </c>
      <c r="N8106" s="11" t="s">
        <v>85</v>
      </c>
      <c r="O8106" s="11" t="s">
        <v>2609</v>
      </c>
      <c r="P8106" s="11" t="s">
        <v>87</v>
      </c>
      <c r="Q8106" s="20">
        <v>41215.0</v>
      </c>
      <c r="R8106" s="17">
        <f t="shared" si="2"/>
        <v>11.49776863</v>
      </c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>
        <f t="shared" si="8"/>
        <v>1</v>
      </c>
      <c r="AF8106" s="19">
        <f t="shared" si="13"/>
        <v>4</v>
      </c>
      <c r="AG8106" s="9"/>
      <c r="AH8106" s="9"/>
      <c r="AI8106" s="9"/>
    </row>
    <row r="8107" ht="15.0" customHeight="1">
      <c r="A8107" s="11">
        <v>8106.0</v>
      </c>
      <c r="B8107" s="12">
        <f t="shared" ref="B8107:B8112" si="1291">DATE(2012,12,31)-61</f>
        <v>41213</v>
      </c>
      <c r="C8107" s="13">
        <v>2012.0</v>
      </c>
      <c r="D8107" s="11" t="s">
        <v>39</v>
      </c>
      <c r="E8107" s="11">
        <v>13.0</v>
      </c>
      <c r="F8107" s="14">
        <v>140.9</v>
      </c>
      <c r="G8107" s="15">
        <v>0.09654713707345287</v>
      </c>
      <c r="H8107" s="11" t="s">
        <v>45</v>
      </c>
      <c r="I8107" s="16">
        <v>42.784</v>
      </c>
      <c r="J8107" s="11" t="s">
        <v>120</v>
      </c>
      <c r="K8107" s="11" t="s">
        <v>35</v>
      </c>
      <c r="L8107" s="11" t="s">
        <v>48</v>
      </c>
      <c r="M8107" s="11" t="s">
        <v>49</v>
      </c>
      <c r="N8107" s="11" t="s">
        <v>156</v>
      </c>
      <c r="O8107" s="11" t="s">
        <v>396</v>
      </c>
      <c r="P8107" s="11" t="s">
        <v>87</v>
      </c>
      <c r="Q8107" s="20">
        <v>41215.0</v>
      </c>
      <c r="R8107" s="17">
        <f t="shared" si="2"/>
        <v>180.9760637</v>
      </c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>
        <f t="shared" si="8"/>
        <v>4</v>
      </c>
      <c r="AF8107" s="19">
        <f t="shared" si="13"/>
        <v>2</v>
      </c>
      <c r="AG8107" s="9"/>
      <c r="AH8107" s="9"/>
      <c r="AI8107" s="9"/>
    </row>
    <row r="8108" ht="15.0" customHeight="1">
      <c r="A8108" s="11">
        <v>8107.0</v>
      </c>
      <c r="B8108" s="12">
        <f t="shared" si="1291"/>
        <v>41213</v>
      </c>
      <c r="C8108" s="13">
        <v>2012.0</v>
      </c>
      <c r="D8108" s="11" t="s">
        <v>39</v>
      </c>
      <c r="E8108" s="11">
        <v>2.0</v>
      </c>
      <c r="F8108" s="14">
        <v>172.9</v>
      </c>
      <c r="G8108" s="15">
        <v>0.10113788819875769</v>
      </c>
      <c r="H8108" s="11" t="s">
        <v>33</v>
      </c>
      <c r="I8108" s="16">
        <v>15.991999999999999</v>
      </c>
      <c r="J8108" s="11" t="s">
        <v>120</v>
      </c>
      <c r="K8108" s="11" t="s">
        <v>35</v>
      </c>
      <c r="L8108" s="11" t="s">
        <v>48</v>
      </c>
      <c r="M8108" s="11" t="s">
        <v>49</v>
      </c>
      <c r="N8108" s="11" t="s">
        <v>73</v>
      </c>
      <c r="O8108" s="11" t="s">
        <v>652</v>
      </c>
      <c r="P8108" s="11" t="s">
        <v>75</v>
      </c>
      <c r="Q8108" s="20">
        <v>41215.0</v>
      </c>
      <c r="R8108" s="17">
        <f t="shared" si="2"/>
        <v>36.59087885</v>
      </c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>
        <f t="shared" si="8"/>
        <v>4</v>
      </c>
      <c r="AF8108" s="19">
        <f t="shared" si="13"/>
        <v>2</v>
      </c>
      <c r="AG8108" s="9"/>
      <c r="AH8108" s="9"/>
      <c r="AI8108" s="9"/>
    </row>
    <row r="8109" ht="15.0" customHeight="1">
      <c r="A8109" s="11">
        <v>8108.0</v>
      </c>
      <c r="B8109" s="12">
        <f t="shared" si="1291"/>
        <v>41213</v>
      </c>
      <c r="C8109" s="13">
        <v>2012.0</v>
      </c>
      <c r="D8109" s="11" t="s">
        <v>39</v>
      </c>
      <c r="E8109" s="11">
        <v>44.0</v>
      </c>
      <c r="F8109" s="14">
        <v>4.2</v>
      </c>
      <c r="G8109" s="15">
        <v>0.07560854446100347</v>
      </c>
      <c r="H8109" s="11" t="s">
        <v>33</v>
      </c>
      <c r="I8109" s="16">
        <v>1.2800000000000002</v>
      </c>
      <c r="J8109" s="11" t="s">
        <v>2136</v>
      </c>
      <c r="K8109" s="11" t="s">
        <v>61</v>
      </c>
      <c r="L8109" s="11" t="s">
        <v>27</v>
      </c>
      <c r="M8109" s="11" t="s">
        <v>28</v>
      </c>
      <c r="N8109" s="11" t="s">
        <v>62</v>
      </c>
      <c r="O8109" s="11" t="s">
        <v>939</v>
      </c>
      <c r="P8109" s="11" t="s">
        <v>58</v>
      </c>
      <c r="Q8109" s="20">
        <v>41215.0</v>
      </c>
      <c r="R8109" s="17">
        <f t="shared" si="2"/>
        <v>14.06923795</v>
      </c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>
        <f t="shared" si="8"/>
        <v>1</v>
      </c>
      <c r="AF8109" s="19">
        <f t="shared" si="13"/>
        <v>4</v>
      </c>
      <c r="AG8109" s="9"/>
      <c r="AH8109" s="9"/>
      <c r="AI8109" s="9"/>
    </row>
    <row r="8110" ht="15.0" customHeight="1">
      <c r="A8110" s="11">
        <v>8109.0</v>
      </c>
      <c r="B8110" s="12">
        <f t="shared" si="1291"/>
        <v>41213</v>
      </c>
      <c r="C8110" s="13">
        <v>2012.0</v>
      </c>
      <c r="D8110" s="11" t="s">
        <v>32</v>
      </c>
      <c r="E8110" s="11">
        <v>8.0</v>
      </c>
      <c r="F8110" s="14">
        <v>2.6</v>
      </c>
      <c r="G8110" s="15">
        <v>0.037288135593220445</v>
      </c>
      <c r="H8110" s="11" t="s">
        <v>33</v>
      </c>
      <c r="I8110" s="16">
        <v>1.92</v>
      </c>
      <c r="J8110" s="11" t="s">
        <v>808</v>
      </c>
      <c r="K8110" s="11" t="s">
        <v>83</v>
      </c>
      <c r="L8110" s="11" t="s">
        <v>48</v>
      </c>
      <c r="M8110" s="11" t="s">
        <v>28</v>
      </c>
      <c r="N8110" s="11" t="s">
        <v>62</v>
      </c>
      <c r="O8110" s="11" t="s">
        <v>212</v>
      </c>
      <c r="P8110" s="11" t="s">
        <v>58</v>
      </c>
      <c r="Q8110" s="20">
        <v>41216.0</v>
      </c>
      <c r="R8110" s="17">
        <f t="shared" si="2"/>
        <v>0.8471864407</v>
      </c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>
        <f t="shared" si="8"/>
        <v>4</v>
      </c>
      <c r="AF8110" s="19" t="b">
        <f t="shared" si="13"/>
        <v>0</v>
      </c>
      <c r="AG8110" s="9"/>
      <c r="AH8110" s="9"/>
      <c r="AI8110" s="9"/>
    </row>
    <row r="8111" ht="15.0" customHeight="1">
      <c r="A8111" s="11">
        <v>8110.0</v>
      </c>
      <c r="B8111" s="12">
        <f t="shared" si="1291"/>
        <v>41213</v>
      </c>
      <c r="C8111" s="13">
        <v>2012.0</v>
      </c>
      <c r="D8111" s="11" t="s">
        <v>32</v>
      </c>
      <c r="E8111" s="11">
        <v>49.0</v>
      </c>
      <c r="F8111" s="14">
        <v>8.7</v>
      </c>
      <c r="G8111" s="15">
        <v>0.08160373355960972</v>
      </c>
      <c r="H8111" s="11" t="s">
        <v>33</v>
      </c>
      <c r="I8111" s="16">
        <v>6.632</v>
      </c>
      <c r="J8111" s="11" t="s">
        <v>541</v>
      </c>
      <c r="K8111" s="11" t="s">
        <v>65</v>
      </c>
      <c r="L8111" s="11" t="s">
        <v>27</v>
      </c>
      <c r="M8111" s="11" t="s">
        <v>28</v>
      </c>
      <c r="N8111" s="11" t="s">
        <v>236</v>
      </c>
      <c r="O8111" s="11" t="s">
        <v>265</v>
      </c>
      <c r="P8111" s="11" t="s">
        <v>38</v>
      </c>
      <c r="Q8111" s="20">
        <v>41216.0</v>
      </c>
      <c r="R8111" s="17">
        <f t="shared" si="2"/>
        <v>35.32886758</v>
      </c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>
        <f t="shared" si="8"/>
        <v>1</v>
      </c>
      <c r="AF8111" s="19">
        <f t="shared" si="13"/>
        <v>5</v>
      </c>
      <c r="AG8111" s="9"/>
      <c r="AH8111" s="9"/>
      <c r="AI8111" s="9"/>
    </row>
    <row r="8112" ht="15.0" customHeight="1">
      <c r="A8112" s="11">
        <v>8111.0</v>
      </c>
      <c r="B8112" s="12">
        <f t="shared" si="1291"/>
        <v>41213</v>
      </c>
      <c r="C8112" s="13">
        <v>2012.0</v>
      </c>
      <c r="D8112" s="11" t="s">
        <v>23</v>
      </c>
      <c r="E8112" s="11">
        <v>25.0</v>
      </c>
      <c r="F8112" s="14">
        <v>6.4</v>
      </c>
      <c r="G8112" s="15">
        <v>0.04196123147092368</v>
      </c>
      <c r="H8112" s="11" t="s">
        <v>33</v>
      </c>
      <c r="I8112" s="16">
        <v>8.040000000000001</v>
      </c>
      <c r="J8112" s="11" t="s">
        <v>2387</v>
      </c>
      <c r="K8112" s="11" t="s">
        <v>47</v>
      </c>
      <c r="L8112" s="11" t="s">
        <v>27</v>
      </c>
      <c r="M8112" s="11" t="s">
        <v>28</v>
      </c>
      <c r="N8112" s="11" t="s">
        <v>56</v>
      </c>
      <c r="O8112" s="11" t="s">
        <v>646</v>
      </c>
      <c r="P8112" s="11" t="s">
        <v>38</v>
      </c>
      <c r="Q8112" s="20">
        <v>41216.0</v>
      </c>
      <c r="R8112" s="17">
        <f t="shared" si="2"/>
        <v>7.051165336</v>
      </c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>
        <f t="shared" si="8"/>
        <v>1</v>
      </c>
      <c r="AF8112" s="19">
        <f t="shared" si="13"/>
        <v>3</v>
      </c>
      <c r="AG8112" s="9"/>
      <c r="AH8112" s="9"/>
      <c r="AI8112" s="9"/>
    </row>
    <row r="8113" ht="15.0" customHeight="1">
      <c r="A8113" s="11">
        <v>8112.0</v>
      </c>
      <c r="B8113" s="12">
        <f t="shared" ref="B8113:B8120" si="1292">DATE(2012,12,31)-60</f>
        <v>41214</v>
      </c>
      <c r="C8113" s="13">
        <v>2012.0</v>
      </c>
      <c r="D8113" s="11" t="s">
        <v>23</v>
      </c>
      <c r="E8113" s="11">
        <v>36.0</v>
      </c>
      <c r="F8113" s="14">
        <v>2.0</v>
      </c>
      <c r="G8113" s="15">
        <v>0.12987074030552284</v>
      </c>
      <c r="H8113" s="11" t="s">
        <v>33</v>
      </c>
      <c r="I8113" s="16">
        <v>2.048</v>
      </c>
      <c r="J8113" s="11" t="s">
        <v>1961</v>
      </c>
      <c r="K8113" s="11" t="s">
        <v>65</v>
      </c>
      <c r="L8113" s="11" t="s">
        <v>27</v>
      </c>
      <c r="M8113" s="11" t="s">
        <v>28</v>
      </c>
      <c r="N8113" s="11" t="s">
        <v>442</v>
      </c>
      <c r="O8113" s="11" t="s">
        <v>692</v>
      </c>
      <c r="P8113" s="11" t="s">
        <v>99</v>
      </c>
      <c r="Q8113" s="20">
        <v>41216.0</v>
      </c>
      <c r="R8113" s="17">
        <f t="shared" si="2"/>
        <v>9.616668578</v>
      </c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>
        <f t="shared" si="8"/>
        <v>1</v>
      </c>
      <c r="AF8113" s="19">
        <f t="shared" si="13"/>
        <v>5</v>
      </c>
      <c r="AG8113" s="9"/>
      <c r="AH8113" s="9"/>
      <c r="AI8113" s="9"/>
    </row>
    <row r="8114" ht="15.0" customHeight="1">
      <c r="A8114" s="11">
        <v>8113.0</v>
      </c>
      <c r="B8114" s="12">
        <f t="shared" si="1292"/>
        <v>41214</v>
      </c>
      <c r="C8114" s="13">
        <v>2012.0</v>
      </c>
      <c r="D8114" s="11" t="s">
        <v>44</v>
      </c>
      <c r="E8114" s="11">
        <v>44.0</v>
      </c>
      <c r="F8114" s="14">
        <v>4.2</v>
      </c>
      <c r="G8114" s="15">
        <v>0.024881889763779426</v>
      </c>
      <c r="H8114" s="11" t="s">
        <v>33</v>
      </c>
      <c r="I8114" s="16">
        <v>0.96</v>
      </c>
      <c r="J8114" s="11" t="s">
        <v>1906</v>
      </c>
      <c r="K8114" s="11" t="s">
        <v>61</v>
      </c>
      <c r="L8114" s="11" t="s">
        <v>41</v>
      </c>
      <c r="M8114" s="11" t="s">
        <v>28</v>
      </c>
      <c r="N8114" s="11" t="s">
        <v>62</v>
      </c>
      <c r="O8114" s="11" t="s">
        <v>63</v>
      </c>
      <c r="P8114" s="11" t="s">
        <v>58</v>
      </c>
      <c r="Q8114" s="20">
        <v>41216.0</v>
      </c>
      <c r="R8114" s="17">
        <f t="shared" si="2"/>
        <v>4.622059843</v>
      </c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>
        <f t="shared" si="8"/>
        <v>3</v>
      </c>
      <c r="AF8114" s="19">
        <f t="shared" si="13"/>
        <v>4</v>
      </c>
      <c r="AG8114" s="9"/>
      <c r="AH8114" s="9"/>
      <c r="AI8114" s="9"/>
    </row>
    <row r="8115" ht="15.0" customHeight="1">
      <c r="A8115" s="11">
        <v>8114.0</v>
      </c>
      <c r="B8115" s="12">
        <f t="shared" si="1292"/>
        <v>41214</v>
      </c>
      <c r="C8115" s="13">
        <v>2012.0</v>
      </c>
      <c r="D8115" s="11" t="s">
        <v>39</v>
      </c>
      <c r="E8115" s="11">
        <v>45.0</v>
      </c>
      <c r="F8115" s="14">
        <v>22.9</v>
      </c>
      <c r="G8115" s="15">
        <v>0.05222368517299391</v>
      </c>
      <c r="H8115" s="11" t="s">
        <v>33</v>
      </c>
      <c r="I8115" s="16">
        <v>6.064</v>
      </c>
      <c r="J8115" s="11" t="s">
        <v>219</v>
      </c>
      <c r="K8115" s="11" t="s">
        <v>61</v>
      </c>
      <c r="L8115" s="11" t="s">
        <v>48</v>
      </c>
      <c r="M8115" s="11" t="s">
        <v>49</v>
      </c>
      <c r="N8115" s="11" t="s">
        <v>73</v>
      </c>
      <c r="O8115" s="11" t="s">
        <v>2284</v>
      </c>
      <c r="P8115" s="11" t="s">
        <v>38</v>
      </c>
      <c r="Q8115" s="20">
        <v>41216.0</v>
      </c>
      <c r="R8115" s="17">
        <f t="shared" si="2"/>
        <v>54.133192</v>
      </c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>
        <f t="shared" si="8"/>
        <v>4</v>
      </c>
      <c r="AF8115" s="19">
        <f t="shared" si="13"/>
        <v>4</v>
      </c>
      <c r="AG8115" s="9"/>
      <c r="AH8115" s="9"/>
      <c r="AI8115" s="9"/>
    </row>
    <row r="8116" ht="15.0" customHeight="1">
      <c r="A8116" s="11">
        <v>8115.0</v>
      </c>
      <c r="B8116" s="12">
        <f t="shared" si="1292"/>
        <v>41214</v>
      </c>
      <c r="C8116" s="13">
        <v>2012.0</v>
      </c>
      <c r="D8116" s="11" t="s">
        <v>39</v>
      </c>
      <c r="E8116" s="11">
        <v>37.0</v>
      </c>
      <c r="F8116" s="14">
        <v>1.2</v>
      </c>
      <c r="G8116" s="15">
        <v>0.07679671457905547</v>
      </c>
      <c r="H8116" s="11" t="s">
        <v>33</v>
      </c>
      <c r="I8116" s="16">
        <v>0.5599999999999999</v>
      </c>
      <c r="J8116" s="11" t="s">
        <v>485</v>
      </c>
      <c r="K8116" s="11" t="s">
        <v>47</v>
      </c>
      <c r="L8116" s="11" t="s">
        <v>48</v>
      </c>
      <c r="M8116" s="11" t="s">
        <v>28</v>
      </c>
      <c r="N8116" s="11" t="s">
        <v>216</v>
      </c>
      <c r="O8116" s="11" t="s">
        <v>1436</v>
      </c>
      <c r="P8116" s="11" t="s">
        <v>58</v>
      </c>
      <c r="Q8116" s="20">
        <v>41217.0</v>
      </c>
      <c r="R8116" s="17">
        <f t="shared" si="2"/>
        <v>3.452780287</v>
      </c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>
        <f t="shared" si="8"/>
        <v>4</v>
      </c>
      <c r="AF8116" s="19">
        <f t="shared" si="13"/>
        <v>3</v>
      </c>
      <c r="AG8116" s="9"/>
      <c r="AH8116" s="9"/>
      <c r="AI8116" s="9"/>
    </row>
    <row r="8117" ht="15.0" customHeight="1">
      <c r="A8117" s="11">
        <v>8116.0</v>
      </c>
      <c r="B8117" s="12">
        <f t="shared" si="1292"/>
        <v>41214</v>
      </c>
      <c r="C8117" s="13">
        <v>2012.0</v>
      </c>
      <c r="D8117" s="11" t="s">
        <v>44</v>
      </c>
      <c r="E8117" s="11">
        <v>18.0</v>
      </c>
      <c r="F8117" s="14">
        <v>6.6</v>
      </c>
      <c r="G8117" s="15">
        <v>0.0946902654867257</v>
      </c>
      <c r="H8117" s="11" t="s">
        <v>33</v>
      </c>
      <c r="I8117" s="16">
        <v>3.9600000000000004</v>
      </c>
      <c r="J8117" s="11" t="s">
        <v>1108</v>
      </c>
      <c r="K8117" s="11" t="s">
        <v>47</v>
      </c>
      <c r="L8117" s="11" t="s">
        <v>48</v>
      </c>
      <c r="M8117" s="11" t="s">
        <v>49</v>
      </c>
      <c r="N8117" s="11" t="s">
        <v>73</v>
      </c>
      <c r="O8117" s="11" t="s">
        <v>136</v>
      </c>
      <c r="P8117" s="11" t="s">
        <v>99</v>
      </c>
      <c r="Q8117" s="20">
        <v>41217.0</v>
      </c>
      <c r="R8117" s="17">
        <f t="shared" si="2"/>
        <v>11.62417699</v>
      </c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>
        <f t="shared" si="8"/>
        <v>4</v>
      </c>
      <c r="AF8117" s="19">
        <f t="shared" si="13"/>
        <v>3</v>
      </c>
      <c r="AG8117" s="9"/>
      <c r="AH8117" s="9"/>
      <c r="AI8117" s="9"/>
    </row>
    <row r="8118" ht="15.0" customHeight="1">
      <c r="A8118" s="11">
        <v>8117.0</v>
      </c>
      <c r="B8118" s="12">
        <f t="shared" si="1292"/>
        <v>41214</v>
      </c>
      <c r="C8118" s="13">
        <v>2012.0</v>
      </c>
      <c r="D8118" s="11" t="s">
        <v>44</v>
      </c>
      <c r="E8118" s="11">
        <v>22.0</v>
      </c>
      <c r="F8118" s="14">
        <v>110.9</v>
      </c>
      <c r="G8118" s="15">
        <v>0.039417781274586866</v>
      </c>
      <c r="H8118" s="11" t="s">
        <v>33</v>
      </c>
      <c r="I8118" s="16">
        <v>2.0</v>
      </c>
      <c r="J8118" s="11" t="s">
        <v>1108</v>
      </c>
      <c r="K8118" s="11" t="s">
        <v>47</v>
      </c>
      <c r="L8118" s="11" t="s">
        <v>48</v>
      </c>
      <c r="M8118" s="11" t="s">
        <v>66</v>
      </c>
      <c r="N8118" s="11" t="s">
        <v>80</v>
      </c>
      <c r="O8118" s="11" t="s">
        <v>81</v>
      </c>
      <c r="P8118" s="11" t="s">
        <v>38</v>
      </c>
      <c r="Q8118" s="20">
        <v>41217.0</v>
      </c>
      <c r="R8118" s="17">
        <f t="shared" si="2"/>
        <v>96.25033832</v>
      </c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>
        <f t="shared" si="8"/>
        <v>4</v>
      </c>
      <c r="AF8118" s="19">
        <f t="shared" si="13"/>
        <v>3</v>
      </c>
      <c r="AG8118" s="9"/>
      <c r="AH8118" s="9"/>
      <c r="AI8118" s="9"/>
    </row>
    <row r="8119" ht="15.0" customHeight="1">
      <c r="A8119" s="11">
        <v>8118.0</v>
      </c>
      <c r="B8119" s="12">
        <f t="shared" si="1292"/>
        <v>41214</v>
      </c>
      <c r="C8119" s="13">
        <v>2012.0</v>
      </c>
      <c r="D8119" s="11" t="s">
        <v>44</v>
      </c>
      <c r="E8119" s="11">
        <v>45.0</v>
      </c>
      <c r="F8119" s="14">
        <v>2.9</v>
      </c>
      <c r="G8119" s="15">
        <v>0.07469101123595502</v>
      </c>
      <c r="H8119" s="11" t="s">
        <v>33</v>
      </c>
      <c r="I8119" s="16">
        <v>1.2640000000000002</v>
      </c>
      <c r="J8119" s="11" t="s">
        <v>1108</v>
      </c>
      <c r="K8119" s="11" t="s">
        <v>47</v>
      </c>
      <c r="L8119" s="11" t="s">
        <v>48</v>
      </c>
      <c r="M8119" s="11" t="s">
        <v>28</v>
      </c>
      <c r="N8119" s="11" t="s">
        <v>216</v>
      </c>
      <c r="O8119" s="11" t="s">
        <v>643</v>
      </c>
      <c r="P8119" s="11" t="s">
        <v>58</v>
      </c>
      <c r="Q8119" s="20">
        <v>41217.0</v>
      </c>
      <c r="R8119" s="17">
        <f t="shared" si="2"/>
        <v>9.841586404</v>
      </c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>
        <f t="shared" si="8"/>
        <v>4</v>
      </c>
      <c r="AF8119" s="19">
        <f t="shared" si="13"/>
        <v>3</v>
      </c>
      <c r="AG8119" s="9"/>
      <c r="AH8119" s="9"/>
      <c r="AI8119" s="9"/>
    </row>
    <row r="8120" ht="15.0" customHeight="1">
      <c r="A8120" s="11">
        <v>8119.0</v>
      </c>
      <c r="B8120" s="12">
        <f t="shared" si="1292"/>
        <v>41214</v>
      </c>
      <c r="C8120" s="13">
        <v>2012.0</v>
      </c>
      <c r="D8120" s="11" t="s">
        <v>23</v>
      </c>
      <c r="E8120" s="11">
        <v>44.0</v>
      </c>
      <c r="F8120" s="14">
        <v>110.9</v>
      </c>
      <c r="G8120" s="15">
        <v>0.03933877791990547</v>
      </c>
      <c r="H8120" s="11" t="s">
        <v>33</v>
      </c>
      <c r="I8120" s="16">
        <v>2.0</v>
      </c>
      <c r="J8120" s="11" t="s">
        <v>863</v>
      </c>
      <c r="K8120" s="11" t="s">
        <v>117</v>
      </c>
      <c r="L8120" s="11" t="s">
        <v>48</v>
      </c>
      <c r="M8120" s="11" t="s">
        <v>66</v>
      </c>
      <c r="N8120" s="11" t="s">
        <v>80</v>
      </c>
      <c r="O8120" s="11" t="s">
        <v>81</v>
      </c>
      <c r="P8120" s="11" t="s">
        <v>38</v>
      </c>
      <c r="Q8120" s="20">
        <v>41218.0</v>
      </c>
      <c r="R8120" s="17">
        <f t="shared" si="2"/>
        <v>192.0361783</v>
      </c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>
        <f t="shared" si="8"/>
        <v>4</v>
      </c>
      <c r="AF8120" s="19" t="b">
        <f t="shared" si="13"/>
        <v>0</v>
      </c>
      <c r="AG8120" s="9"/>
      <c r="AH8120" s="9"/>
      <c r="AI8120" s="9"/>
    </row>
    <row r="8121" ht="15.0" customHeight="1">
      <c r="A8121" s="11">
        <v>8120.0</v>
      </c>
      <c r="B8121" s="12">
        <f>DATE(2012,12,31)-59</f>
        <v>41215</v>
      </c>
      <c r="C8121" s="13">
        <v>2012.0</v>
      </c>
      <c r="D8121" s="11" t="s">
        <v>32</v>
      </c>
      <c r="E8121" s="11">
        <v>40.0</v>
      </c>
      <c r="F8121" s="14">
        <v>3.7</v>
      </c>
      <c r="G8121" s="15">
        <v>0.059829059829059894</v>
      </c>
      <c r="H8121" s="11" t="s">
        <v>33</v>
      </c>
      <c r="I8121" s="16">
        <v>6.0</v>
      </c>
      <c r="J8121" s="11" t="s">
        <v>819</v>
      </c>
      <c r="K8121" s="11" t="s">
        <v>61</v>
      </c>
      <c r="L8121" s="11" t="s">
        <v>41</v>
      </c>
      <c r="M8121" s="11" t="s">
        <v>28</v>
      </c>
      <c r="N8121" s="11" t="s">
        <v>188</v>
      </c>
      <c r="O8121" s="11" t="s">
        <v>2563</v>
      </c>
      <c r="P8121" s="11" t="s">
        <v>38</v>
      </c>
      <c r="Q8121" s="20">
        <v>41218.0</v>
      </c>
      <c r="R8121" s="17">
        <f t="shared" si="2"/>
        <v>9.213675214</v>
      </c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>
        <f t="shared" si="8"/>
        <v>3</v>
      </c>
      <c r="AF8121" s="19">
        <f t="shared" si="13"/>
        <v>4</v>
      </c>
      <c r="AG8121" s="9"/>
      <c r="AH8121" s="9"/>
      <c r="AI8121" s="9"/>
    </row>
    <row r="8122" ht="15.0" customHeight="1">
      <c r="A8122" s="11">
        <v>8121.0</v>
      </c>
      <c r="B8122" s="12">
        <f t="shared" ref="B8122:B8124" si="1293">DATE(2012,12,31)-58</f>
        <v>41216</v>
      </c>
      <c r="C8122" s="13">
        <v>2012.0</v>
      </c>
      <c r="D8122" s="11" t="s">
        <v>32</v>
      </c>
      <c r="E8122" s="11">
        <v>42.0</v>
      </c>
      <c r="F8122" s="14">
        <v>20.9</v>
      </c>
      <c r="G8122" s="15">
        <v>0.027762039660056744</v>
      </c>
      <c r="H8122" s="11" t="s">
        <v>24</v>
      </c>
      <c r="I8122" s="16">
        <v>0.792</v>
      </c>
      <c r="J8122" s="11" t="s">
        <v>40</v>
      </c>
      <c r="K8122" s="11" t="s">
        <v>35</v>
      </c>
      <c r="L8122" s="11" t="s">
        <v>41</v>
      </c>
      <c r="M8122" s="11" t="s">
        <v>66</v>
      </c>
      <c r="N8122" s="11" t="s">
        <v>80</v>
      </c>
      <c r="O8122" s="11" t="s">
        <v>1854</v>
      </c>
      <c r="P8122" s="11" t="s">
        <v>58</v>
      </c>
      <c r="Q8122" s="20">
        <v>41218.0</v>
      </c>
      <c r="R8122" s="17">
        <f t="shared" si="2"/>
        <v>24.39150595</v>
      </c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>
        <f t="shared" si="8"/>
        <v>3</v>
      </c>
      <c r="AF8122" s="19">
        <f t="shared" si="13"/>
        <v>2</v>
      </c>
      <c r="AG8122" s="9"/>
      <c r="AH8122" s="9"/>
      <c r="AI8122" s="9"/>
    </row>
    <row r="8123" ht="15.0" customHeight="1">
      <c r="A8123" s="11">
        <v>8122.0</v>
      </c>
      <c r="B8123" s="12">
        <f t="shared" si="1293"/>
        <v>41216</v>
      </c>
      <c r="C8123" s="13">
        <v>2012.0</v>
      </c>
      <c r="D8123" s="11" t="s">
        <v>23</v>
      </c>
      <c r="E8123" s="11">
        <v>6.0</v>
      </c>
      <c r="F8123" s="14">
        <v>6.6</v>
      </c>
      <c r="G8123" s="15">
        <v>0.08101265822784817</v>
      </c>
      <c r="H8123" s="11" t="s">
        <v>33</v>
      </c>
      <c r="I8123" s="16">
        <v>3.9600000000000004</v>
      </c>
      <c r="J8123" s="11" t="s">
        <v>340</v>
      </c>
      <c r="K8123" s="11" t="s">
        <v>26</v>
      </c>
      <c r="L8123" s="11" t="s">
        <v>36</v>
      </c>
      <c r="M8123" s="11" t="s">
        <v>49</v>
      </c>
      <c r="N8123" s="11" t="s">
        <v>73</v>
      </c>
      <c r="O8123" s="11" t="s">
        <v>136</v>
      </c>
      <c r="P8123" s="11" t="s">
        <v>99</v>
      </c>
      <c r="Q8123" s="20">
        <v>41218.0</v>
      </c>
      <c r="R8123" s="17">
        <f t="shared" si="2"/>
        <v>3.528911392</v>
      </c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>
        <f t="shared" si="8"/>
        <v>2</v>
      </c>
      <c r="AF8123" s="19">
        <f t="shared" si="13"/>
        <v>1</v>
      </c>
      <c r="AG8123" s="9"/>
      <c r="AH8123" s="9"/>
      <c r="AI8123" s="9"/>
    </row>
    <row r="8124" ht="15.0" customHeight="1">
      <c r="A8124" s="11">
        <v>8123.0</v>
      </c>
      <c r="B8124" s="12">
        <f t="shared" si="1293"/>
        <v>41216</v>
      </c>
      <c r="C8124" s="13">
        <v>2012.0</v>
      </c>
      <c r="D8124" s="11" t="s">
        <v>23</v>
      </c>
      <c r="E8124" s="11">
        <v>50.0</v>
      </c>
      <c r="F8124" s="14">
        <v>4.9</v>
      </c>
      <c r="G8124" s="15">
        <v>0.05159064775776141</v>
      </c>
      <c r="H8124" s="11" t="s">
        <v>33</v>
      </c>
      <c r="I8124" s="16">
        <v>2.44</v>
      </c>
      <c r="J8124" s="11" t="s">
        <v>340</v>
      </c>
      <c r="K8124" s="11" t="s">
        <v>26</v>
      </c>
      <c r="L8124" s="11" t="s">
        <v>36</v>
      </c>
      <c r="M8124" s="11" t="s">
        <v>49</v>
      </c>
      <c r="N8124" s="11" t="s">
        <v>73</v>
      </c>
      <c r="O8124" s="11" t="s">
        <v>2209</v>
      </c>
      <c r="P8124" s="11" t="s">
        <v>99</v>
      </c>
      <c r="Q8124" s="20">
        <v>41218.0</v>
      </c>
      <c r="R8124" s="17">
        <f t="shared" si="2"/>
        <v>12.76558988</v>
      </c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>
        <f t="shared" si="8"/>
        <v>2</v>
      </c>
      <c r="AF8124" s="19">
        <f t="shared" si="13"/>
        <v>1</v>
      </c>
      <c r="AG8124" s="9"/>
      <c r="AH8124" s="9"/>
      <c r="AI8124" s="9"/>
    </row>
    <row r="8125" ht="15.0" customHeight="1">
      <c r="A8125" s="11">
        <v>8124.0</v>
      </c>
      <c r="B8125" s="12">
        <f t="shared" ref="B8125:B8126" si="1294">DATE(2012,12,31)-57</f>
        <v>41217</v>
      </c>
      <c r="C8125" s="13">
        <v>2012.0</v>
      </c>
      <c r="D8125" s="11" t="s">
        <v>32</v>
      </c>
      <c r="E8125" s="11">
        <v>3.0</v>
      </c>
      <c r="F8125" s="14">
        <v>810.9</v>
      </c>
      <c r="G8125" s="15">
        <v>0.06672721721874535</v>
      </c>
      <c r="H8125" s="11" t="s">
        <v>45</v>
      </c>
      <c r="I8125" s="16">
        <v>12.847999999999999</v>
      </c>
      <c r="J8125" s="11" t="s">
        <v>588</v>
      </c>
      <c r="K8125" s="11" t="s">
        <v>47</v>
      </c>
      <c r="L8125" s="11" t="s">
        <v>27</v>
      </c>
      <c r="M8125" s="11" t="s">
        <v>66</v>
      </c>
      <c r="N8125" s="11" t="s">
        <v>69</v>
      </c>
      <c r="O8125" s="11" t="s">
        <v>2460</v>
      </c>
      <c r="P8125" s="11" t="s">
        <v>52</v>
      </c>
      <c r="Q8125" s="20">
        <v>41218.0</v>
      </c>
      <c r="R8125" s="17">
        <f t="shared" si="2"/>
        <v>163.1846126</v>
      </c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>
        <f t="shared" si="8"/>
        <v>1</v>
      </c>
      <c r="AF8125" s="19">
        <f t="shared" si="13"/>
        <v>3</v>
      </c>
      <c r="AG8125" s="9"/>
      <c r="AH8125" s="9"/>
      <c r="AI8125" s="9"/>
    </row>
    <row r="8126" ht="15.0" customHeight="1">
      <c r="A8126" s="11">
        <v>8125.0</v>
      </c>
      <c r="B8126" s="12">
        <f t="shared" si="1294"/>
        <v>41217</v>
      </c>
      <c r="C8126" s="13">
        <v>2012.0</v>
      </c>
      <c r="D8126" s="11" t="s">
        <v>32</v>
      </c>
      <c r="E8126" s="11">
        <v>23.0</v>
      </c>
      <c r="F8126" s="14">
        <v>291.7</v>
      </c>
      <c r="G8126" s="15">
        <v>0.08397947548460671</v>
      </c>
      <c r="H8126" s="11" t="s">
        <v>45</v>
      </c>
      <c r="I8126" s="16">
        <v>39.04</v>
      </c>
      <c r="J8126" s="11" t="s">
        <v>2068</v>
      </c>
      <c r="K8126" s="11" t="s">
        <v>61</v>
      </c>
      <c r="L8126" s="11" t="s">
        <v>41</v>
      </c>
      <c r="M8126" s="11" t="s">
        <v>49</v>
      </c>
      <c r="N8126" s="11" t="s">
        <v>50</v>
      </c>
      <c r="O8126" s="11" t="s">
        <v>51</v>
      </c>
      <c r="P8126" s="11" t="s">
        <v>52</v>
      </c>
      <c r="Q8126" s="20">
        <v>41219.0</v>
      </c>
      <c r="R8126" s="17">
        <f t="shared" si="2"/>
        <v>566.7052577</v>
      </c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>
        <f t="shared" si="8"/>
        <v>3</v>
      </c>
      <c r="AF8126" s="19">
        <f t="shared" si="13"/>
        <v>4</v>
      </c>
      <c r="AG8126" s="9"/>
      <c r="AH8126" s="9"/>
      <c r="AI8126" s="9"/>
    </row>
    <row r="8127" ht="15.0" customHeight="1">
      <c r="A8127" s="11">
        <v>8126.0</v>
      </c>
      <c r="B8127" s="12">
        <f t="shared" ref="B8127:B8129" si="1295">DATE(2012,12,31)-56</f>
        <v>41218</v>
      </c>
      <c r="C8127" s="13">
        <v>2012.0</v>
      </c>
      <c r="D8127" s="11" t="s">
        <v>102</v>
      </c>
      <c r="E8127" s="11">
        <v>8.0</v>
      </c>
      <c r="F8127" s="14">
        <v>17.4</v>
      </c>
      <c r="G8127" s="15">
        <v>0.06326014637391889</v>
      </c>
      <c r="H8127" s="11" t="s">
        <v>33</v>
      </c>
      <c r="I8127" s="16">
        <v>1.592</v>
      </c>
      <c r="J8127" s="11" t="s">
        <v>1620</v>
      </c>
      <c r="K8127" s="11" t="s">
        <v>65</v>
      </c>
      <c r="L8127" s="11" t="s">
        <v>48</v>
      </c>
      <c r="M8127" s="11" t="s">
        <v>66</v>
      </c>
      <c r="N8127" s="11" t="s">
        <v>67</v>
      </c>
      <c r="O8127" s="11" t="s">
        <v>1549</v>
      </c>
      <c r="P8127" s="11" t="s">
        <v>99</v>
      </c>
      <c r="Q8127" s="20">
        <v>41219.0</v>
      </c>
      <c r="R8127" s="17">
        <f t="shared" si="2"/>
        <v>8.906522528</v>
      </c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>
        <f t="shared" si="8"/>
        <v>4</v>
      </c>
      <c r="AF8127" s="19">
        <f t="shared" si="13"/>
        <v>5</v>
      </c>
      <c r="AG8127" s="9"/>
      <c r="AH8127" s="9"/>
      <c r="AI8127" s="9"/>
    </row>
    <row r="8128" ht="15.0" customHeight="1">
      <c r="A8128" s="11">
        <v>8127.0</v>
      </c>
      <c r="B8128" s="12">
        <f t="shared" si="1295"/>
        <v>41218</v>
      </c>
      <c r="C8128" s="13">
        <v>2012.0</v>
      </c>
      <c r="D8128" s="11" t="s">
        <v>44</v>
      </c>
      <c r="E8128" s="11">
        <v>32.0</v>
      </c>
      <c r="F8128" s="14">
        <v>14.4</v>
      </c>
      <c r="G8128" s="15">
        <v>0.07138535031847129</v>
      </c>
      <c r="H8128" s="11" t="s">
        <v>33</v>
      </c>
      <c r="I8128" s="16">
        <v>5.736000000000001</v>
      </c>
      <c r="J8128" s="11" t="s">
        <v>1384</v>
      </c>
      <c r="K8128" s="11" t="s">
        <v>35</v>
      </c>
      <c r="L8128" s="11" t="s">
        <v>36</v>
      </c>
      <c r="M8128" s="11" t="s">
        <v>28</v>
      </c>
      <c r="N8128" s="11" t="s">
        <v>42</v>
      </c>
      <c r="O8128" s="11" t="s">
        <v>1946</v>
      </c>
      <c r="P8128" s="11" t="s">
        <v>38</v>
      </c>
      <c r="Q8128" s="20">
        <v>41219.0</v>
      </c>
      <c r="R8128" s="17">
        <f t="shared" si="2"/>
        <v>33.3038358</v>
      </c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>
        <f t="shared" si="8"/>
        <v>2</v>
      </c>
      <c r="AF8128" s="19">
        <f t="shared" si="13"/>
        <v>2</v>
      </c>
      <c r="AG8128" s="9"/>
      <c r="AH8128" s="9"/>
      <c r="AI8128" s="9"/>
    </row>
    <row r="8129" ht="15.0" customHeight="1">
      <c r="A8129" s="11">
        <v>8128.0</v>
      </c>
      <c r="B8129" s="12">
        <f t="shared" si="1295"/>
        <v>41218</v>
      </c>
      <c r="C8129" s="13">
        <v>2012.0</v>
      </c>
      <c r="D8129" s="11" t="s">
        <v>32</v>
      </c>
      <c r="E8129" s="11">
        <v>22.0</v>
      </c>
      <c r="F8129" s="14">
        <v>29.7</v>
      </c>
      <c r="G8129" s="15">
        <v>0.06843162211851228</v>
      </c>
      <c r="H8129" s="11" t="s">
        <v>33</v>
      </c>
      <c r="I8129" s="16">
        <v>5.312</v>
      </c>
      <c r="J8129" s="11" t="s">
        <v>94</v>
      </c>
      <c r="K8129" s="11" t="s">
        <v>26</v>
      </c>
      <c r="L8129" s="11" t="s">
        <v>27</v>
      </c>
      <c r="M8129" s="11" t="s">
        <v>28</v>
      </c>
      <c r="N8129" s="11" t="s">
        <v>29</v>
      </c>
      <c r="O8129" s="11" t="s">
        <v>1186</v>
      </c>
      <c r="P8129" s="11" t="s">
        <v>38</v>
      </c>
      <c r="Q8129" s="20">
        <v>41219.0</v>
      </c>
      <c r="R8129" s="17">
        <f t="shared" si="2"/>
        <v>45.07673067</v>
      </c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>
        <f t="shared" si="8"/>
        <v>1</v>
      </c>
      <c r="AF8129" s="19">
        <f t="shared" si="13"/>
        <v>1</v>
      </c>
      <c r="AG8129" s="9"/>
      <c r="AH8129" s="9"/>
      <c r="AI8129" s="9"/>
    </row>
    <row r="8130" ht="15.0" customHeight="1">
      <c r="A8130" s="11">
        <v>8129.0</v>
      </c>
      <c r="B8130" s="12">
        <f t="shared" ref="B8130:B8134" si="1296">DATE(2012,12,31)-55</f>
        <v>41219</v>
      </c>
      <c r="C8130" s="13">
        <v>2012.0</v>
      </c>
      <c r="D8130" s="11" t="s">
        <v>23</v>
      </c>
      <c r="E8130" s="11">
        <v>14.0</v>
      </c>
      <c r="F8130" s="14">
        <v>50.9</v>
      </c>
      <c r="G8130" s="15">
        <v>0.09772452130945021</v>
      </c>
      <c r="H8130" s="11" t="s">
        <v>33</v>
      </c>
      <c r="I8130" s="16">
        <v>17.791999999999998</v>
      </c>
      <c r="J8130" s="11" t="s">
        <v>1209</v>
      </c>
      <c r="K8130" s="11" t="s">
        <v>65</v>
      </c>
      <c r="L8130" s="11" t="s">
        <v>48</v>
      </c>
      <c r="M8130" s="11" t="s">
        <v>49</v>
      </c>
      <c r="N8130" s="11" t="s">
        <v>73</v>
      </c>
      <c r="O8130" s="11" t="s">
        <v>745</v>
      </c>
      <c r="P8130" s="11" t="s">
        <v>31</v>
      </c>
      <c r="Q8130" s="20">
        <v>41220.0</v>
      </c>
      <c r="R8130" s="17">
        <f t="shared" si="2"/>
        <v>71.37720857</v>
      </c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>
        <f t="shared" si="8"/>
        <v>4</v>
      </c>
      <c r="AF8130" s="19">
        <f t="shared" si="13"/>
        <v>5</v>
      </c>
      <c r="AG8130" s="9"/>
      <c r="AH8130" s="9"/>
      <c r="AI8130" s="9"/>
    </row>
    <row r="8131" ht="15.0" customHeight="1">
      <c r="A8131" s="11">
        <v>8130.0</v>
      </c>
      <c r="B8131" s="12">
        <f t="shared" si="1296"/>
        <v>41219</v>
      </c>
      <c r="C8131" s="13">
        <v>2012.0</v>
      </c>
      <c r="D8131" s="11" t="s">
        <v>44</v>
      </c>
      <c r="E8131" s="11">
        <v>32.0</v>
      </c>
      <c r="F8131" s="14">
        <v>9.7</v>
      </c>
      <c r="G8131" s="15">
        <v>0.04735267175572531</v>
      </c>
      <c r="H8131" s="11" t="s">
        <v>33</v>
      </c>
      <c r="I8131" s="16">
        <v>1.592</v>
      </c>
      <c r="J8131" s="11" t="s">
        <v>1756</v>
      </c>
      <c r="K8131" s="11" t="s">
        <v>117</v>
      </c>
      <c r="L8131" s="11" t="s">
        <v>48</v>
      </c>
      <c r="M8131" s="11" t="s">
        <v>66</v>
      </c>
      <c r="N8131" s="11" t="s">
        <v>67</v>
      </c>
      <c r="O8131" s="11" t="s">
        <v>414</v>
      </c>
      <c r="P8131" s="11" t="s">
        <v>99</v>
      </c>
      <c r="Q8131" s="20">
        <v>41220.0</v>
      </c>
      <c r="R8131" s="17">
        <f t="shared" si="2"/>
        <v>14.77365477</v>
      </c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>
        <f t="shared" si="8"/>
        <v>4</v>
      </c>
      <c r="AF8131" s="19" t="b">
        <f t="shared" si="13"/>
        <v>0</v>
      </c>
      <c r="AG8131" s="9"/>
      <c r="AH8131" s="9"/>
      <c r="AI8131" s="9"/>
    </row>
    <row r="8132" ht="15.0" customHeight="1">
      <c r="A8132" s="11">
        <v>8131.0</v>
      </c>
      <c r="B8132" s="12">
        <f t="shared" si="1296"/>
        <v>41219</v>
      </c>
      <c r="C8132" s="13">
        <v>2012.0</v>
      </c>
      <c r="D8132" s="11" t="s">
        <v>44</v>
      </c>
      <c r="E8132" s="11">
        <v>17.0</v>
      </c>
      <c r="F8132" s="14">
        <v>12.2</v>
      </c>
      <c r="G8132" s="15">
        <v>0.013734713076199511</v>
      </c>
      <c r="H8132" s="11" t="s">
        <v>24</v>
      </c>
      <c r="I8132" s="16">
        <v>2.2800000000000002</v>
      </c>
      <c r="J8132" s="11" t="s">
        <v>1756</v>
      </c>
      <c r="K8132" s="11" t="s">
        <v>117</v>
      </c>
      <c r="L8132" s="11" t="s">
        <v>48</v>
      </c>
      <c r="M8132" s="11" t="s">
        <v>49</v>
      </c>
      <c r="N8132" s="11" t="s">
        <v>73</v>
      </c>
      <c r="O8132" s="11" t="s">
        <v>612</v>
      </c>
      <c r="P8132" s="11" t="s">
        <v>99</v>
      </c>
      <c r="Q8132" s="20">
        <v>41221.0</v>
      </c>
      <c r="R8132" s="17">
        <f t="shared" si="2"/>
        <v>2.879894638</v>
      </c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>
        <f t="shared" si="8"/>
        <v>4</v>
      </c>
      <c r="AF8132" s="19" t="b">
        <f t="shared" si="13"/>
        <v>0</v>
      </c>
      <c r="AG8132" s="9"/>
      <c r="AH8132" s="9"/>
      <c r="AI8132" s="9"/>
    </row>
    <row r="8133" ht="15.0" customHeight="1">
      <c r="A8133" s="11">
        <v>8132.0</v>
      </c>
      <c r="B8133" s="12">
        <f t="shared" si="1296"/>
        <v>41219</v>
      </c>
      <c r="C8133" s="13">
        <v>2012.0</v>
      </c>
      <c r="D8133" s="11" t="s">
        <v>102</v>
      </c>
      <c r="E8133" s="11">
        <v>34.0</v>
      </c>
      <c r="F8133" s="14">
        <v>28.5</v>
      </c>
      <c r="G8133" s="15">
        <v>0.08377372745301735</v>
      </c>
      <c r="H8133" s="11" t="s">
        <v>33</v>
      </c>
      <c r="I8133" s="16">
        <v>1.192</v>
      </c>
      <c r="J8133" s="11" t="s">
        <v>1409</v>
      </c>
      <c r="K8133" s="11" t="s">
        <v>26</v>
      </c>
      <c r="L8133" s="11" t="s">
        <v>41</v>
      </c>
      <c r="M8133" s="11" t="s">
        <v>28</v>
      </c>
      <c r="N8133" s="11" t="s">
        <v>42</v>
      </c>
      <c r="O8133" s="11" t="s">
        <v>1003</v>
      </c>
      <c r="P8133" s="11" t="s">
        <v>38</v>
      </c>
      <c r="Q8133" s="20">
        <v>41221.0</v>
      </c>
      <c r="R8133" s="17">
        <f t="shared" si="2"/>
        <v>81.27660019</v>
      </c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>
        <f t="shared" si="8"/>
        <v>3</v>
      </c>
      <c r="AF8133" s="19">
        <f t="shared" si="13"/>
        <v>1</v>
      </c>
      <c r="AG8133" s="9"/>
      <c r="AH8133" s="9"/>
      <c r="AI8133" s="9"/>
    </row>
    <row r="8134" ht="15.0" customHeight="1">
      <c r="A8134" s="11">
        <v>8133.0</v>
      </c>
      <c r="B8134" s="12">
        <f t="shared" si="1296"/>
        <v>41219</v>
      </c>
      <c r="C8134" s="13">
        <v>2012.0</v>
      </c>
      <c r="D8134" s="11" t="s">
        <v>39</v>
      </c>
      <c r="E8134" s="11">
        <v>25.0</v>
      </c>
      <c r="F8134" s="14">
        <v>4.2</v>
      </c>
      <c r="G8134" s="15">
        <v>0.018599640933572734</v>
      </c>
      <c r="H8134" s="11" t="s">
        <v>24</v>
      </c>
      <c r="I8134" s="16">
        <v>4.328</v>
      </c>
      <c r="J8134" s="11" t="s">
        <v>525</v>
      </c>
      <c r="K8134" s="11" t="s">
        <v>65</v>
      </c>
      <c r="L8134" s="11" t="s">
        <v>48</v>
      </c>
      <c r="M8134" s="11" t="s">
        <v>28</v>
      </c>
      <c r="N8134" s="11" t="s">
        <v>42</v>
      </c>
      <c r="O8134" s="11" t="s">
        <v>1475</v>
      </c>
      <c r="P8134" s="11" t="s">
        <v>38</v>
      </c>
      <c r="Q8134" s="20">
        <v>41221.0</v>
      </c>
      <c r="R8134" s="17">
        <f t="shared" si="2"/>
        <v>2.033461544</v>
      </c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>
        <f t="shared" si="8"/>
        <v>4</v>
      </c>
      <c r="AF8134" s="19">
        <f t="shared" si="13"/>
        <v>5</v>
      </c>
      <c r="AG8134" s="9"/>
      <c r="AH8134" s="9"/>
      <c r="AI8134" s="9"/>
    </row>
    <row r="8135" ht="15.0" customHeight="1">
      <c r="A8135" s="11">
        <v>8134.0</v>
      </c>
      <c r="B8135" s="12">
        <f t="shared" ref="B8135:B8137" si="1297">DATE(2012,12,31)-54</f>
        <v>41220</v>
      </c>
      <c r="C8135" s="13">
        <v>2012.0</v>
      </c>
      <c r="D8135" s="11" t="s">
        <v>32</v>
      </c>
      <c r="E8135" s="11">
        <v>19.0</v>
      </c>
      <c r="F8135" s="14">
        <v>12.9</v>
      </c>
      <c r="G8135" s="15">
        <v>0.0364255319148936</v>
      </c>
      <c r="H8135" s="11" t="s">
        <v>33</v>
      </c>
      <c r="I8135" s="16">
        <v>3.9840000000000004</v>
      </c>
      <c r="J8135" s="11" t="s">
        <v>1942</v>
      </c>
      <c r="K8135" s="11" t="s">
        <v>65</v>
      </c>
      <c r="L8135" s="11" t="s">
        <v>48</v>
      </c>
      <c r="M8135" s="11" t="s">
        <v>28</v>
      </c>
      <c r="N8135" s="11" t="s">
        <v>42</v>
      </c>
      <c r="O8135" s="11" t="s">
        <v>2040</v>
      </c>
      <c r="P8135" s="11" t="s">
        <v>38</v>
      </c>
      <c r="Q8135" s="20">
        <v>41221.0</v>
      </c>
      <c r="R8135" s="17">
        <f t="shared" si="2"/>
        <v>9.073017191</v>
      </c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>
        <f t="shared" si="8"/>
        <v>4</v>
      </c>
      <c r="AF8135" s="19">
        <f t="shared" si="13"/>
        <v>5</v>
      </c>
      <c r="AG8135" s="9"/>
      <c r="AH8135" s="9"/>
      <c r="AI8135" s="9"/>
    </row>
    <row r="8136" ht="15.0" customHeight="1">
      <c r="A8136" s="11">
        <v>8135.0</v>
      </c>
      <c r="B8136" s="12">
        <f t="shared" si="1297"/>
        <v>41220</v>
      </c>
      <c r="C8136" s="13">
        <v>2012.0</v>
      </c>
      <c r="D8136" s="11" t="s">
        <v>23</v>
      </c>
      <c r="E8136" s="11">
        <v>38.0</v>
      </c>
      <c r="F8136" s="14">
        <v>5.2</v>
      </c>
      <c r="G8136" s="15">
        <v>0.03931558935361226</v>
      </c>
      <c r="H8136" s="11" t="s">
        <v>33</v>
      </c>
      <c r="I8136" s="16">
        <v>4.5280000000000005</v>
      </c>
      <c r="J8136" s="11" t="s">
        <v>1772</v>
      </c>
      <c r="K8136" s="11" t="s">
        <v>65</v>
      </c>
      <c r="L8136" s="11" t="s">
        <v>48</v>
      </c>
      <c r="M8136" s="11" t="s">
        <v>28</v>
      </c>
      <c r="N8136" s="11" t="s">
        <v>56</v>
      </c>
      <c r="O8136" s="11" t="s">
        <v>79</v>
      </c>
      <c r="P8136" s="11" t="s">
        <v>38</v>
      </c>
      <c r="Q8136" s="20">
        <v>41221.0</v>
      </c>
      <c r="R8136" s="17">
        <f t="shared" si="2"/>
        <v>7.946781445</v>
      </c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>
        <f t="shared" si="8"/>
        <v>4</v>
      </c>
      <c r="AF8136" s="19">
        <f t="shared" si="13"/>
        <v>5</v>
      </c>
      <c r="AG8136" s="9"/>
      <c r="AH8136" s="9"/>
      <c r="AI8136" s="9"/>
    </row>
    <row r="8137" ht="15.0" customHeight="1">
      <c r="A8137" s="11">
        <v>8136.0</v>
      </c>
      <c r="B8137" s="12">
        <f t="shared" si="1297"/>
        <v>41220</v>
      </c>
      <c r="C8137" s="13">
        <v>2012.0</v>
      </c>
      <c r="D8137" s="11" t="s">
        <v>23</v>
      </c>
      <c r="E8137" s="11">
        <v>6.0</v>
      </c>
      <c r="F8137" s="14">
        <v>3.7</v>
      </c>
      <c r="G8137" s="15">
        <v>0.02586206896551715</v>
      </c>
      <c r="H8137" s="11" t="s">
        <v>33</v>
      </c>
      <c r="I8137" s="16">
        <v>0.4</v>
      </c>
      <c r="J8137" s="11" t="s">
        <v>271</v>
      </c>
      <c r="K8137" s="11" t="s">
        <v>61</v>
      </c>
      <c r="L8137" s="11" t="s">
        <v>41</v>
      </c>
      <c r="M8137" s="11" t="s">
        <v>28</v>
      </c>
      <c r="N8137" s="11" t="s">
        <v>188</v>
      </c>
      <c r="O8137" s="11" t="s">
        <v>706</v>
      </c>
      <c r="P8137" s="11" t="s">
        <v>38</v>
      </c>
      <c r="Q8137" s="20">
        <v>41222.0</v>
      </c>
      <c r="R8137" s="17">
        <f t="shared" si="2"/>
        <v>0.5844827586</v>
      </c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>
        <f t="shared" si="8"/>
        <v>3</v>
      </c>
      <c r="AF8137" s="19">
        <f t="shared" si="13"/>
        <v>4</v>
      </c>
      <c r="AG8137" s="9"/>
      <c r="AH8137" s="9"/>
      <c r="AI8137" s="9"/>
    </row>
    <row r="8138" ht="15.0" customHeight="1">
      <c r="A8138" s="11">
        <v>8137.0</v>
      </c>
      <c r="B8138" s="12">
        <f t="shared" ref="B8138:B8143" si="1298">DATE(2012,12,31)-53</f>
        <v>41221</v>
      </c>
      <c r="C8138" s="13">
        <v>2012.0</v>
      </c>
      <c r="D8138" s="11" t="s">
        <v>102</v>
      </c>
      <c r="E8138" s="11">
        <v>26.0</v>
      </c>
      <c r="F8138" s="14">
        <v>17.5</v>
      </c>
      <c r="G8138" s="15">
        <v>0.07821849410824842</v>
      </c>
      <c r="H8138" s="11" t="s">
        <v>33</v>
      </c>
      <c r="I8138" s="16">
        <v>6.5360000000000005</v>
      </c>
      <c r="J8138" s="11" t="s">
        <v>550</v>
      </c>
      <c r="K8138" s="11" t="s">
        <v>65</v>
      </c>
      <c r="L8138" s="11" t="s">
        <v>48</v>
      </c>
      <c r="M8138" s="11" t="s">
        <v>28</v>
      </c>
      <c r="N8138" s="11" t="s">
        <v>197</v>
      </c>
      <c r="O8138" s="11" t="s">
        <v>1528</v>
      </c>
      <c r="P8138" s="11" t="s">
        <v>75</v>
      </c>
      <c r="Q8138" s="20">
        <v>41222.0</v>
      </c>
      <c r="R8138" s="17">
        <f t="shared" si="2"/>
        <v>36.1006509</v>
      </c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>
        <f t="shared" si="8"/>
        <v>4</v>
      </c>
      <c r="AF8138" s="19">
        <f t="shared" si="13"/>
        <v>5</v>
      </c>
      <c r="AG8138" s="9"/>
      <c r="AH8138" s="9"/>
      <c r="AI8138" s="9"/>
    </row>
    <row r="8139" ht="15.0" customHeight="1">
      <c r="A8139" s="11">
        <v>8138.0</v>
      </c>
      <c r="B8139" s="12">
        <f t="shared" si="1298"/>
        <v>41221</v>
      </c>
      <c r="C8139" s="13">
        <v>2012.0</v>
      </c>
      <c r="D8139" s="11" t="s">
        <v>102</v>
      </c>
      <c r="E8139" s="11">
        <v>5.0</v>
      </c>
      <c r="F8139" s="14">
        <v>20.9</v>
      </c>
      <c r="G8139" s="15">
        <v>0.00919963201471941</v>
      </c>
      <c r="H8139" s="11" t="s">
        <v>33</v>
      </c>
      <c r="I8139" s="16">
        <v>3.2</v>
      </c>
      <c r="J8139" s="11" t="s">
        <v>550</v>
      </c>
      <c r="K8139" s="11" t="s">
        <v>65</v>
      </c>
      <c r="L8139" s="11" t="s">
        <v>48</v>
      </c>
      <c r="M8139" s="11" t="s">
        <v>66</v>
      </c>
      <c r="N8139" s="11" t="s">
        <v>67</v>
      </c>
      <c r="O8139" s="11" t="s">
        <v>1485</v>
      </c>
      <c r="P8139" s="11" t="s">
        <v>38</v>
      </c>
      <c r="Q8139" s="20">
        <v>41222.0</v>
      </c>
      <c r="R8139" s="17">
        <f t="shared" si="2"/>
        <v>0.990800368</v>
      </c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>
        <f t="shared" si="8"/>
        <v>4</v>
      </c>
      <c r="AF8139" s="19">
        <f t="shared" si="13"/>
        <v>5</v>
      </c>
      <c r="AG8139" s="9"/>
      <c r="AH8139" s="9"/>
      <c r="AI8139" s="9"/>
    </row>
    <row r="8140" ht="15.0" customHeight="1">
      <c r="A8140" s="11">
        <v>8139.0</v>
      </c>
      <c r="B8140" s="12">
        <f t="shared" si="1298"/>
        <v>41221</v>
      </c>
      <c r="C8140" s="13">
        <v>2012.0</v>
      </c>
      <c r="D8140" s="11" t="s">
        <v>23</v>
      </c>
      <c r="E8140" s="11">
        <v>31.0</v>
      </c>
      <c r="F8140" s="14">
        <v>31.7</v>
      </c>
      <c r="G8140" s="15">
        <v>0.08599153010495314</v>
      </c>
      <c r="H8140" s="11" t="s">
        <v>33</v>
      </c>
      <c r="I8140" s="16">
        <v>10.096</v>
      </c>
      <c r="J8140" s="11" t="s">
        <v>145</v>
      </c>
      <c r="K8140" s="11" t="s">
        <v>83</v>
      </c>
      <c r="L8140" s="11" t="s">
        <v>41</v>
      </c>
      <c r="M8140" s="11" t="s">
        <v>28</v>
      </c>
      <c r="N8140" s="11" t="s">
        <v>42</v>
      </c>
      <c r="O8140" s="11" t="s">
        <v>1333</v>
      </c>
      <c r="P8140" s="11" t="s">
        <v>38</v>
      </c>
      <c r="Q8140" s="20">
        <v>41223.0</v>
      </c>
      <c r="R8140" s="17">
        <f t="shared" si="2"/>
        <v>85.37204712</v>
      </c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>
        <f t="shared" si="8"/>
        <v>3</v>
      </c>
      <c r="AF8140" s="19" t="b">
        <f t="shared" si="13"/>
        <v>0</v>
      </c>
      <c r="AG8140" s="9"/>
      <c r="AH8140" s="9"/>
      <c r="AI8140" s="9"/>
    </row>
    <row r="8141" ht="15.0" customHeight="1">
      <c r="A8141" s="11">
        <v>8140.0</v>
      </c>
      <c r="B8141" s="12">
        <f t="shared" si="1298"/>
        <v>41221</v>
      </c>
      <c r="C8141" s="13">
        <v>2012.0</v>
      </c>
      <c r="D8141" s="11" t="s">
        <v>23</v>
      </c>
      <c r="E8141" s="11">
        <v>18.0</v>
      </c>
      <c r="F8141" s="14">
        <v>120.9</v>
      </c>
      <c r="G8141" s="15">
        <v>0.0490174216027874</v>
      </c>
      <c r="H8141" s="11" t="s">
        <v>33</v>
      </c>
      <c r="I8141" s="16">
        <v>7.256</v>
      </c>
      <c r="J8141" s="11" t="s">
        <v>145</v>
      </c>
      <c r="K8141" s="11" t="s">
        <v>83</v>
      </c>
      <c r="L8141" s="11" t="s">
        <v>41</v>
      </c>
      <c r="M8141" s="11" t="s">
        <v>28</v>
      </c>
      <c r="N8141" s="11" t="s">
        <v>42</v>
      </c>
      <c r="O8141" s="11" t="s">
        <v>772</v>
      </c>
      <c r="P8141" s="11" t="s">
        <v>38</v>
      </c>
      <c r="Q8141" s="20">
        <v>41223.0</v>
      </c>
      <c r="R8141" s="17">
        <f t="shared" si="2"/>
        <v>107.0273833</v>
      </c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>
        <f t="shared" si="8"/>
        <v>3</v>
      </c>
      <c r="AF8141" s="19" t="b">
        <f t="shared" si="13"/>
        <v>0</v>
      </c>
      <c r="AG8141" s="9"/>
      <c r="AH8141" s="9"/>
      <c r="AI8141" s="9"/>
    </row>
    <row r="8142" ht="15.0" customHeight="1">
      <c r="A8142" s="11">
        <v>8141.0</v>
      </c>
      <c r="B8142" s="12">
        <f t="shared" si="1298"/>
        <v>41221</v>
      </c>
      <c r="C8142" s="13">
        <v>2012.0</v>
      </c>
      <c r="D8142" s="11" t="s">
        <v>32</v>
      </c>
      <c r="E8142" s="11">
        <v>28.0</v>
      </c>
      <c r="F8142" s="14">
        <v>4.0</v>
      </c>
      <c r="G8142" s="15">
        <v>0.04040747028862471</v>
      </c>
      <c r="H8142" s="11" t="s">
        <v>33</v>
      </c>
      <c r="I8142" s="16">
        <v>1.04</v>
      </c>
      <c r="J8142" s="11" t="s">
        <v>2232</v>
      </c>
      <c r="K8142" s="11" t="s">
        <v>35</v>
      </c>
      <c r="L8142" s="11" t="s">
        <v>27</v>
      </c>
      <c r="M8142" s="11" t="s">
        <v>28</v>
      </c>
      <c r="N8142" s="11" t="s">
        <v>56</v>
      </c>
      <c r="O8142" s="11" t="s">
        <v>858</v>
      </c>
      <c r="P8142" s="11" t="s">
        <v>58</v>
      </c>
      <c r="Q8142" s="20">
        <v>41223.0</v>
      </c>
      <c r="R8142" s="17">
        <f t="shared" si="2"/>
        <v>4.567660441</v>
      </c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>
        <f t="shared" si="8"/>
        <v>1</v>
      </c>
      <c r="AF8142" s="19">
        <f t="shared" si="13"/>
        <v>2</v>
      </c>
      <c r="AG8142" s="9"/>
      <c r="AH8142" s="9"/>
      <c r="AI8142" s="9"/>
    </row>
    <row r="8143" ht="15.0" customHeight="1">
      <c r="A8143" s="11">
        <v>8142.0</v>
      </c>
      <c r="B8143" s="12">
        <f t="shared" si="1298"/>
        <v>41221</v>
      </c>
      <c r="C8143" s="13">
        <v>2012.0</v>
      </c>
      <c r="D8143" s="11" t="s">
        <v>44</v>
      </c>
      <c r="E8143" s="11">
        <v>29.0</v>
      </c>
      <c r="F8143" s="14">
        <v>70.8</v>
      </c>
      <c r="G8143" s="15">
        <v>0.019321486268174533</v>
      </c>
      <c r="H8143" s="11" t="s">
        <v>45</v>
      </c>
      <c r="I8143" s="16">
        <v>71.44</v>
      </c>
      <c r="J8143" s="11" t="s">
        <v>2343</v>
      </c>
      <c r="K8143" s="11" t="s">
        <v>83</v>
      </c>
      <c r="L8143" s="11" t="s">
        <v>48</v>
      </c>
      <c r="M8143" s="11" t="s">
        <v>49</v>
      </c>
      <c r="N8143" s="11" t="s">
        <v>85</v>
      </c>
      <c r="O8143" s="11" t="s">
        <v>1522</v>
      </c>
      <c r="P8143" s="11" t="s">
        <v>87</v>
      </c>
      <c r="Q8143" s="20">
        <v>41223.0</v>
      </c>
      <c r="R8143" s="17">
        <f t="shared" si="2"/>
        <v>41.05120258</v>
      </c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>
        <f t="shared" si="8"/>
        <v>4</v>
      </c>
      <c r="AF8143" s="19" t="b">
        <f t="shared" si="13"/>
        <v>0</v>
      </c>
      <c r="AG8143" s="9"/>
      <c r="AH8143" s="9"/>
      <c r="AI8143" s="9"/>
    </row>
    <row r="8144" ht="15.0" customHeight="1">
      <c r="A8144" s="11">
        <v>8143.0</v>
      </c>
      <c r="B8144" s="12">
        <f t="shared" ref="B8144:B8149" si="1299">DATE(2012,12,31)-52</f>
        <v>41222</v>
      </c>
      <c r="C8144" s="13">
        <v>2012.0</v>
      </c>
      <c r="D8144" s="11" t="s">
        <v>23</v>
      </c>
      <c r="E8144" s="11">
        <v>25.0</v>
      </c>
      <c r="F8144" s="14">
        <v>56.9</v>
      </c>
      <c r="G8144" s="15">
        <v>0.059291059472233204</v>
      </c>
      <c r="H8144" s="11" t="s">
        <v>33</v>
      </c>
      <c r="I8144" s="16">
        <v>10.576</v>
      </c>
      <c r="J8144" s="11" t="s">
        <v>1684</v>
      </c>
      <c r="K8144" s="11" t="s">
        <v>47</v>
      </c>
      <c r="L8144" s="11" t="s">
        <v>48</v>
      </c>
      <c r="M8144" s="11" t="s">
        <v>28</v>
      </c>
      <c r="N8144" s="11" t="s">
        <v>197</v>
      </c>
      <c r="O8144" s="11" t="s">
        <v>2152</v>
      </c>
      <c r="P8144" s="11" t="s">
        <v>38</v>
      </c>
      <c r="Q8144" s="20">
        <v>41223.0</v>
      </c>
      <c r="R8144" s="17">
        <f t="shared" si="2"/>
        <v>84.96859434</v>
      </c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>
        <f t="shared" si="8"/>
        <v>4</v>
      </c>
      <c r="AF8144" s="19">
        <f t="shared" si="13"/>
        <v>3</v>
      </c>
      <c r="AG8144" s="9"/>
      <c r="AH8144" s="9"/>
      <c r="AI8144" s="9"/>
    </row>
    <row r="8145" ht="15.0" customHeight="1">
      <c r="A8145" s="11">
        <v>8144.0</v>
      </c>
      <c r="B8145" s="12">
        <f t="shared" si="1299"/>
        <v>41222</v>
      </c>
      <c r="C8145" s="13">
        <v>2012.0</v>
      </c>
      <c r="D8145" s="11" t="s">
        <v>23</v>
      </c>
      <c r="E8145" s="11">
        <v>21.0</v>
      </c>
      <c r="F8145" s="14">
        <v>73.9</v>
      </c>
      <c r="G8145" s="15">
        <v>0.06690267610704415</v>
      </c>
      <c r="H8145" s="11" t="s">
        <v>24</v>
      </c>
      <c r="I8145" s="16">
        <v>3.2</v>
      </c>
      <c r="J8145" s="11" t="s">
        <v>1684</v>
      </c>
      <c r="K8145" s="11" t="s">
        <v>47</v>
      </c>
      <c r="L8145" s="11" t="s">
        <v>48</v>
      </c>
      <c r="M8145" s="11" t="s">
        <v>66</v>
      </c>
      <c r="N8145" s="11" t="s">
        <v>67</v>
      </c>
      <c r="O8145" s="11" t="s">
        <v>177</v>
      </c>
      <c r="P8145" s="11" t="s">
        <v>38</v>
      </c>
      <c r="Q8145" s="20">
        <v>41224.0</v>
      </c>
      <c r="R8145" s="17">
        <f t="shared" si="2"/>
        <v>104.0403516</v>
      </c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>
        <f t="shared" si="8"/>
        <v>4</v>
      </c>
      <c r="AF8145" s="19">
        <f t="shared" si="13"/>
        <v>3</v>
      </c>
      <c r="AG8145" s="9"/>
      <c r="AH8145" s="9"/>
      <c r="AI8145" s="9"/>
    </row>
    <row r="8146" ht="15.0" customHeight="1">
      <c r="A8146" s="11">
        <v>8145.0</v>
      </c>
      <c r="B8146" s="12">
        <f t="shared" si="1299"/>
        <v>41222</v>
      </c>
      <c r="C8146" s="13">
        <v>2012.0</v>
      </c>
      <c r="D8146" s="11" t="s">
        <v>23</v>
      </c>
      <c r="E8146" s="11">
        <v>7.0</v>
      </c>
      <c r="F8146" s="14">
        <v>200.9</v>
      </c>
      <c r="G8146" s="15">
        <v>0.010903732809430388</v>
      </c>
      <c r="H8146" s="11" t="s">
        <v>33</v>
      </c>
      <c r="I8146" s="16">
        <v>3.3600000000000003</v>
      </c>
      <c r="J8146" s="11" t="s">
        <v>120</v>
      </c>
      <c r="K8146" s="11" t="s">
        <v>35</v>
      </c>
      <c r="L8146" s="11" t="s">
        <v>27</v>
      </c>
      <c r="M8146" s="11" t="s">
        <v>66</v>
      </c>
      <c r="N8146" s="11" t="s">
        <v>80</v>
      </c>
      <c r="O8146" s="11" t="s">
        <v>1519</v>
      </c>
      <c r="P8146" s="11" t="s">
        <v>38</v>
      </c>
      <c r="Q8146" s="20">
        <v>41224.0</v>
      </c>
      <c r="R8146" s="17">
        <f t="shared" si="2"/>
        <v>15.37055599</v>
      </c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>
        <f t="shared" si="8"/>
        <v>1</v>
      </c>
      <c r="AF8146" s="19">
        <f t="shared" si="13"/>
        <v>2</v>
      </c>
      <c r="AG8146" s="9"/>
      <c r="AH8146" s="9"/>
      <c r="AI8146" s="9"/>
    </row>
    <row r="8147" ht="15.0" customHeight="1">
      <c r="A8147" s="11">
        <v>8146.0</v>
      </c>
      <c r="B8147" s="12">
        <f t="shared" si="1299"/>
        <v>41222</v>
      </c>
      <c r="C8147" s="13">
        <v>2012.0</v>
      </c>
      <c r="D8147" s="11" t="s">
        <v>32</v>
      </c>
      <c r="E8147" s="11">
        <v>29.0</v>
      </c>
      <c r="F8147" s="14">
        <v>92.2</v>
      </c>
      <c r="G8147" s="15">
        <v>0.05964756178095987</v>
      </c>
      <c r="H8147" s="11" t="s">
        <v>33</v>
      </c>
      <c r="I8147" s="16">
        <v>31.688000000000002</v>
      </c>
      <c r="J8147" s="11" t="s">
        <v>2365</v>
      </c>
      <c r="K8147" s="11" t="s">
        <v>117</v>
      </c>
      <c r="L8147" s="11" t="s">
        <v>48</v>
      </c>
      <c r="M8147" s="11" t="s">
        <v>49</v>
      </c>
      <c r="N8147" s="11" t="s">
        <v>73</v>
      </c>
      <c r="O8147" s="11" t="s">
        <v>434</v>
      </c>
      <c r="P8147" s="11" t="s">
        <v>75</v>
      </c>
      <c r="Q8147" s="20">
        <v>41224.0</v>
      </c>
      <c r="R8147" s="17">
        <f t="shared" si="2"/>
        <v>161.3757626</v>
      </c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>
        <f t="shared" si="8"/>
        <v>4</v>
      </c>
      <c r="AF8147" s="19" t="b">
        <f t="shared" si="13"/>
        <v>0</v>
      </c>
      <c r="AG8147" s="9"/>
      <c r="AH8147" s="9"/>
      <c r="AI8147" s="9"/>
    </row>
    <row r="8148" ht="15.0" customHeight="1">
      <c r="A8148" s="11">
        <v>8147.0</v>
      </c>
      <c r="B8148" s="12">
        <f t="shared" si="1299"/>
        <v>41222</v>
      </c>
      <c r="C8148" s="13">
        <v>2012.0</v>
      </c>
      <c r="D8148" s="11" t="s">
        <v>32</v>
      </c>
      <c r="E8148" s="11">
        <v>15.0</v>
      </c>
      <c r="F8148" s="14">
        <v>1270.9</v>
      </c>
      <c r="G8148" s="15">
        <v>0.029394067343938433</v>
      </c>
      <c r="H8148" s="11" t="s">
        <v>33</v>
      </c>
      <c r="I8148" s="16">
        <v>15.991999999999999</v>
      </c>
      <c r="J8148" s="11" t="s">
        <v>2365</v>
      </c>
      <c r="K8148" s="11" t="s">
        <v>117</v>
      </c>
      <c r="L8148" s="11" t="s">
        <v>48</v>
      </c>
      <c r="M8148" s="11" t="s">
        <v>28</v>
      </c>
      <c r="N8148" s="11" t="s">
        <v>42</v>
      </c>
      <c r="O8148" s="11" t="s">
        <v>1429</v>
      </c>
      <c r="P8148" s="11" t="s">
        <v>38</v>
      </c>
      <c r="Q8148" s="20">
        <v>41224.0</v>
      </c>
      <c r="R8148" s="17">
        <f t="shared" si="2"/>
        <v>560.8238727</v>
      </c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>
        <f t="shared" si="8"/>
        <v>4</v>
      </c>
      <c r="AF8148" s="19" t="b">
        <f t="shared" si="13"/>
        <v>0</v>
      </c>
      <c r="AG8148" s="9"/>
      <c r="AH8148" s="9"/>
      <c r="AI8148" s="9"/>
    </row>
    <row r="8149" ht="15.0" customHeight="1">
      <c r="A8149" s="11">
        <v>8148.0</v>
      </c>
      <c r="B8149" s="12">
        <f t="shared" si="1299"/>
        <v>41222</v>
      </c>
      <c r="C8149" s="13">
        <v>2012.0</v>
      </c>
      <c r="D8149" s="11" t="s">
        <v>39</v>
      </c>
      <c r="E8149" s="11">
        <v>19.0</v>
      </c>
      <c r="F8149" s="14">
        <v>10.2</v>
      </c>
      <c r="G8149" s="15">
        <v>0.05481339712918669</v>
      </c>
      <c r="H8149" s="11" t="s">
        <v>33</v>
      </c>
      <c r="I8149" s="16">
        <v>3.7439999999999998</v>
      </c>
      <c r="J8149" s="11" t="s">
        <v>973</v>
      </c>
      <c r="K8149" s="11" t="s">
        <v>61</v>
      </c>
      <c r="L8149" s="11" t="s">
        <v>27</v>
      </c>
      <c r="M8149" s="11" t="s">
        <v>28</v>
      </c>
      <c r="N8149" s="11" t="s">
        <v>442</v>
      </c>
      <c r="O8149" s="11" t="s">
        <v>2139</v>
      </c>
      <c r="P8149" s="11" t="s">
        <v>99</v>
      </c>
      <c r="Q8149" s="20">
        <v>41224.0</v>
      </c>
      <c r="R8149" s="17">
        <f t="shared" si="2"/>
        <v>10.82805772</v>
      </c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>
        <f t="shared" si="8"/>
        <v>1</v>
      </c>
      <c r="AF8149" s="19">
        <f t="shared" si="13"/>
        <v>4</v>
      </c>
      <c r="AG8149" s="9"/>
      <c r="AH8149" s="9"/>
      <c r="AI8149" s="9"/>
    </row>
    <row r="8150" ht="15.0" customHeight="1">
      <c r="A8150" s="11">
        <v>8149.0</v>
      </c>
      <c r="B8150" s="12">
        <f t="shared" ref="B8150:B8161" si="1300">DATE(2012,12,31)-51</f>
        <v>41223</v>
      </c>
      <c r="C8150" s="13">
        <v>2012.0</v>
      </c>
      <c r="D8150" s="11" t="s">
        <v>44</v>
      </c>
      <c r="E8150" s="11">
        <v>16.0</v>
      </c>
      <c r="F8150" s="14">
        <v>315.9</v>
      </c>
      <c r="G8150" s="15">
        <v>0.03944379191452289</v>
      </c>
      <c r="H8150" s="11" t="s">
        <v>33</v>
      </c>
      <c r="I8150" s="16">
        <v>15.991999999999999</v>
      </c>
      <c r="J8150" s="11" t="s">
        <v>1496</v>
      </c>
      <c r="K8150" s="11" t="s">
        <v>61</v>
      </c>
      <c r="L8150" s="11" t="s">
        <v>48</v>
      </c>
      <c r="M8150" s="11" t="s">
        <v>28</v>
      </c>
      <c r="N8150" s="11" t="s">
        <v>42</v>
      </c>
      <c r="O8150" s="11" t="s">
        <v>1471</v>
      </c>
      <c r="P8150" s="11" t="s">
        <v>38</v>
      </c>
      <c r="Q8150" s="20">
        <v>41224.0</v>
      </c>
      <c r="R8150" s="17">
        <f t="shared" si="2"/>
        <v>199.995487</v>
      </c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>
        <f t="shared" si="8"/>
        <v>4</v>
      </c>
      <c r="AF8150" s="19">
        <f t="shared" si="13"/>
        <v>4</v>
      </c>
      <c r="AG8150" s="9"/>
      <c r="AH8150" s="9"/>
      <c r="AI8150" s="9"/>
    </row>
    <row r="8151" ht="15.0" customHeight="1">
      <c r="A8151" s="11">
        <v>8150.0</v>
      </c>
      <c r="B8151" s="12">
        <f t="shared" si="1300"/>
        <v>41223</v>
      </c>
      <c r="C8151" s="13">
        <v>2012.0</v>
      </c>
      <c r="D8151" s="11" t="s">
        <v>39</v>
      </c>
      <c r="E8151" s="11">
        <v>27.0</v>
      </c>
      <c r="F8151" s="14">
        <v>90.9</v>
      </c>
      <c r="G8151" s="15">
        <v>0.01287365484256665</v>
      </c>
      <c r="H8151" s="11" t="s">
        <v>45</v>
      </c>
      <c r="I8151" s="16">
        <v>22.400000000000002</v>
      </c>
      <c r="J8151" s="11" t="s">
        <v>2076</v>
      </c>
      <c r="K8151" s="11" t="s">
        <v>83</v>
      </c>
      <c r="L8151" s="11" t="s">
        <v>41</v>
      </c>
      <c r="M8151" s="11" t="s">
        <v>66</v>
      </c>
      <c r="N8151" s="11" t="s">
        <v>69</v>
      </c>
      <c r="O8151" s="11" t="s">
        <v>1600</v>
      </c>
      <c r="P8151" s="11" t="s">
        <v>52</v>
      </c>
      <c r="Q8151" s="20">
        <v>41225.0</v>
      </c>
      <c r="R8151" s="17">
        <f t="shared" si="2"/>
        <v>31.88418095</v>
      </c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>
        <f t="shared" si="8"/>
        <v>3</v>
      </c>
      <c r="AF8151" s="19" t="b">
        <f t="shared" si="13"/>
        <v>0</v>
      </c>
      <c r="AG8151" s="9"/>
      <c r="AH8151" s="9"/>
      <c r="AI8151" s="9"/>
    </row>
    <row r="8152" ht="15.0" customHeight="1">
      <c r="A8152" s="11">
        <v>8151.0</v>
      </c>
      <c r="B8152" s="12">
        <f t="shared" si="1300"/>
        <v>41223</v>
      </c>
      <c r="C8152" s="13">
        <v>2012.0</v>
      </c>
      <c r="D8152" s="11" t="s">
        <v>39</v>
      </c>
      <c r="E8152" s="11">
        <v>16.0</v>
      </c>
      <c r="F8152" s="14">
        <v>2.1</v>
      </c>
      <c r="G8152" s="15">
        <v>0.03846994535519129</v>
      </c>
      <c r="H8152" s="11" t="s">
        <v>33</v>
      </c>
      <c r="I8152" s="16">
        <v>1.592</v>
      </c>
      <c r="J8152" s="11" t="s">
        <v>2076</v>
      </c>
      <c r="K8152" s="11" t="s">
        <v>83</v>
      </c>
      <c r="L8152" s="11" t="s">
        <v>41</v>
      </c>
      <c r="M8152" s="11" t="s">
        <v>66</v>
      </c>
      <c r="N8152" s="11" t="s">
        <v>67</v>
      </c>
      <c r="O8152" s="11" t="s">
        <v>1106</v>
      </c>
      <c r="P8152" s="11" t="s">
        <v>99</v>
      </c>
      <c r="Q8152" s="20">
        <v>41225.0</v>
      </c>
      <c r="R8152" s="17">
        <f t="shared" si="2"/>
        <v>1.353834317</v>
      </c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>
        <f t="shared" si="8"/>
        <v>3</v>
      </c>
      <c r="AF8152" s="19" t="b">
        <f t="shared" si="13"/>
        <v>0</v>
      </c>
      <c r="AG8152" s="9"/>
      <c r="AH8152" s="9"/>
      <c r="AI8152" s="9"/>
    </row>
    <row r="8153" ht="15.0" customHeight="1">
      <c r="A8153" s="11">
        <v>8152.0</v>
      </c>
      <c r="B8153" s="12">
        <f t="shared" si="1300"/>
        <v>41223</v>
      </c>
      <c r="C8153" s="13">
        <v>2012.0</v>
      </c>
      <c r="D8153" s="11" t="s">
        <v>39</v>
      </c>
      <c r="E8153" s="11">
        <v>15.0</v>
      </c>
      <c r="F8153" s="14">
        <v>114.9</v>
      </c>
      <c r="G8153" s="15">
        <v>0.05376374068314661</v>
      </c>
      <c r="H8153" s="11" t="s">
        <v>45</v>
      </c>
      <c r="I8153" s="16">
        <v>41.136</v>
      </c>
      <c r="J8153" s="11" t="s">
        <v>2076</v>
      </c>
      <c r="K8153" s="11" t="s">
        <v>83</v>
      </c>
      <c r="L8153" s="11" t="s">
        <v>41</v>
      </c>
      <c r="M8153" s="11" t="s">
        <v>49</v>
      </c>
      <c r="N8153" s="11" t="s">
        <v>156</v>
      </c>
      <c r="O8153" s="11" t="s">
        <v>2196</v>
      </c>
      <c r="P8153" s="11" t="s">
        <v>87</v>
      </c>
      <c r="Q8153" s="20">
        <v>41225.0</v>
      </c>
      <c r="R8153" s="17">
        <f t="shared" si="2"/>
        <v>94.8734323</v>
      </c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>
        <f t="shared" si="8"/>
        <v>3</v>
      </c>
      <c r="AF8153" s="19" t="b">
        <f t="shared" si="13"/>
        <v>0</v>
      </c>
      <c r="AG8153" s="9"/>
      <c r="AH8153" s="9"/>
      <c r="AI8153" s="9"/>
    </row>
    <row r="8154" ht="15.0" customHeight="1">
      <c r="A8154" s="11">
        <v>8153.0</v>
      </c>
      <c r="B8154" s="12">
        <f t="shared" si="1300"/>
        <v>41223</v>
      </c>
      <c r="C8154" s="13">
        <v>2012.0</v>
      </c>
      <c r="D8154" s="11" t="s">
        <v>32</v>
      </c>
      <c r="E8154" s="11">
        <v>1.0</v>
      </c>
      <c r="F8154" s="14">
        <v>2.5</v>
      </c>
      <c r="G8154" s="15">
        <v>0.119</v>
      </c>
      <c r="H8154" s="11" t="s">
        <v>33</v>
      </c>
      <c r="I8154" s="16">
        <v>1.024</v>
      </c>
      <c r="J8154" s="11" t="s">
        <v>82</v>
      </c>
      <c r="K8154" s="11" t="s">
        <v>83</v>
      </c>
      <c r="L8154" s="11" t="s">
        <v>27</v>
      </c>
      <c r="M8154" s="11" t="s">
        <v>28</v>
      </c>
      <c r="N8154" s="11" t="s">
        <v>62</v>
      </c>
      <c r="O8154" s="11" t="s">
        <v>2466</v>
      </c>
      <c r="P8154" s="11" t="s">
        <v>58</v>
      </c>
      <c r="Q8154" s="20">
        <v>41225.0</v>
      </c>
      <c r="R8154" s="17">
        <f t="shared" si="2"/>
        <v>0.419356</v>
      </c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>
        <f t="shared" si="8"/>
        <v>1</v>
      </c>
      <c r="AF8154" s="19" t="b">
        <f t="shared" si="13"/>
        <v>0</v>
      </c>
      <c r="AG8154" s="9"/>
      <c r="AH8154" s="9"/>
      <c r="AI8154" s="9"/>
    </row>
    <row r="8155" ht="15.0" customHeight="1">
      <c r="A8155" s="11">
        <v>8154.0</v>
      </c>
      <c r="B8155" s="12">
        <f t="shared" si="1300"/>
        <v>41223</v>
      </c>
      <c r="C8155" s="13">
        <v>2012.0</v>
      </c>
      <c r="D8155" s="11" t="s">
        <v>39</v>
      </c>
      <c r="E8155" s="11">
        <v>12.0</v>
      </c>
      <c r="F8155" s="14">
        <v>152.4</v>
      </c>
      <c r="G8155" s="15">
        <v>0.06630650833290846</v>
      </c>
      <c r="H8155" s="11" t="s">
        <v>33</v>
      </c>
      <c r="I8155" s="16">
        <v>3.2</v>
      </c>
      <c r="J8155" s="11" t="s">
        <v>839</v>
      </c>
      <c r="K8155" s="11" t="s">
        <v>83</v>
      </c>
      <c r="L8155" s="11" t="s">
        <v>27</v>
      </c>
      <c r="M8155" s="11" t="s">
        <v>66</v>
      </c>
      <c r="N8155" s="11" t="s">
        <v>67</v>
      </c>
      <c r="O8155" s="11" t="s">
        <v>944</v>
      </c>
      <c r="P8155" s="11" t="s">
        <v>38</v>
      </c>
      <c r="Q8155" s="20">
        <v>41225.0</v>
      </c>
      <c r="R8155" s="17">
        <f t="shared" si="2"/>
        <v>121.4735233</v>
      </c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>
        <f t="shared" si="8"/>
        <v>1</v>
      </c>
      <c r="AF8155" s="19" t="b">
        <f t="shared" si="13"/>
        <v>0</v>
      </c>
      <c r="AG8155" s="9"/>
      <c r="AH8155" s="9"/>
      <c r="AI8155" s="9"/>
    </row>
    <row r="8156" ht="15.0" customHeight="1">
      <c r="A8156" s="11">
        <v>8155.0</v>
      </c>
      <c r="B8156" s="12">
        <f t="shared" si="1300"/>
        <v>41223</v>
      </c>
      <c r="C8156" s="13">
        <v>2012.0</v>
      </c>
      <c r="D8156" s="11" t="s">
        <v>39</v>
      </c>
      <c r="E8156" s="11">
        <v>42.0</v>
      </c>
      <c r="F8156" s="14">
        <v>15.0</v>
      </c>
      <c r="G8156" s="15">
        <v>0.05068991432436485</v>
      </c>
      <c r="H8156" s="11" t="s">
        <v>33</v>
      </c>
      <c r="I8156" s="16">
        <v>1.576</v>
      </c>
      <c r="J8156" s="11" t="s">
        <v>839</v>
      </c>
      <c r="K8156" s="11" t="s">
        <v>83</v>
      </c>
      <c r="L8156" s="11" t="s">
        <v>27</v>
      </c>
      <c r="M8156" s="11" t="s">
        <v>28</v>
      </c>
      <c r="N8156" s="11" t="s">
        <v>56</v>
      </c>
      <c r="O8156" s="11" t="s">
        <v>59</v>
      </c>
      <c r="P8156" s="11" t="s">
        <v>58</v>
      </c>
      <c r="Q8156" s="20">
        <v>41225.0</v>
      </c>
      <c r="R8156" s="17">
        <f t="shared" si="2"/>
        <v>32.01453333</v>
      </c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>
        <f t="shared" si="8"/>
        <v>1</v>
      </c>
      <c r="AF8156" s="19" t="b">
        <f t="shared" si="13"/>
        <v>0</v>
      </c>
      <c r="AG8156" s="9"/>
      <c r="AH8156" s="9"/>
      <c r="AI8156" s="9"/>
    </row>
    <row r="8157" ht="15.0" customHeight="1">
      <c r="A8157" s="11">
        <v>8156.0</v>
      </c>
      <c r="B8157" s="12">
        <f t="shared" si="1300"/>
        <v>41223</v>
      </c>
      <c r="C8157" s="13">
        <v>2012.0</v>
      </c>
      <c r="D8157" s="11" t="s">
        <v>23</v>
      </c>
      <c r="E8157" s="11">
        <v>6.0</v>
      </c>
      <c r="F8157" s="14">
        <v>51.7</v>
      </c>
      <c r="G8157" s="15">
        <v>0.06882101056237495</v>
      </c>
      <c r="H8157" s="11" t="s">
        <v>33</v>
      </c>
      <c r="I8157" s="16">
        <v>15.991999999999999</v>
      </c>
      <c r="J8157" s="11" t="s">
        <v>1123</v>
      </c>
      <c r="K8157" s="11" t="s">
        <v>61</v>
      </c>
      <c r="L8157" s="11" t="s">
        <v>48</v>
      </c>
      <c r="M8157" s="11" t="s">
        <v>49</v>
      </c>
      <c r="N8157" s="11" t="s">
        <v>73</v>
      </c>
      <c r="O8157" s="11" t="s">
        <v>1487</v>
      </c>
      <c r="P8157" s="11" t="s">
        <v>38</v>
      </c>
      <c r="Q8157" s="20">
        <v>41225.0</v>
      </c>
      <c r="R8157" s="17">
        <f t="shared" si="2"/>
        <v>22.44886308</v>
      </c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>
        <f t="shared" si="8"/>
        <v>4</v>
      </c>
      <c r="AF8157" s="19">
        <f t="shared" si="13"/>
        <v>4</v>
      </c>
      <c r="AG8157" s="9"/>
      <c r="AH8157" s="9"/>
      <c r="AI8157" s="9"/>
    </row>
    <row r="8158" ht="15.0" customHeight="1">
      <c r="A8158" s="11">
        <v>8157.0</v>
      </c>
      <c r="B8158" s="12">
        <f t="shared" si="1300"/>
        <v>41223</v>
      </c>
      <c r="C8158" s="13">
        <v>2012.0</v>
      </c>
      <c r="D8158" s="11" t="s">
        <v>23</v>
      </c>
      <c r="E8158" s="11">
        <v>1.0</v>
      </c>
      <c r="F8158" s="14">
        <v>65.9</v>
      </c>
      <c r="G8158" s="15">
        <v>0.10153446033810133</v>
      </c>
      <c r="H8158" s="11" t="s">
        <v>24</v>
      </c>
      <c r="I8158" s="16">
        <v>3.192</v>
      </c>
      <c r="J8158" s="11" t="s">
        <v>1123</v>
      </c>
      <c r="K8158" s="11" t="s">
        <v>61</v>
      </c>
      <c r="L8158" s="11" t="s">
        <v>48</v>
      </c>
      <c r="M8158" s="11" t="s">
        <v>66</v>
      </c>
      <c r="N8158" s="11" t="s">
        <v>80</v>
      </c>
      <c r="O8158" s="11" t="s">
        <v>587</v>
      </c>
      <c r="P8158" s="11" t="s">
        <v>38</v>
      </c>
      <c r="Q8158" s="20">
        <v>41226.0</v>
      </c>
      <c r="R8158" s="17">
        <f t="shared" si="2"/>
        <v>7.015218934</v>
      </c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>
        <f t="shared" si="8"/>
        <v>4</v>
      </c>
      <c r="AF8158" s="19">
        <f t="shared" si="13"/>
        <v>4</v>
      </c>
      <c r="AG8158" s="9"/>
      <c r="AH8158" s="9"/>
      <c r="AI8158" s="9"/>
    </row>
    <row r="8159" ht="15.0" customHeight="1">
      <c r="A8159" s="11">
        <v>8158.0</v>
      </c>
      <c r="B8159" s="12">
        <f t="shared" si="1300"/>
        <v>41223</v>
      </c>
      <c r="C8159" s="13">
        <v>2012.0</v>
      </c>
      <c r="D8159" s="11" t="s">
        <v>44</v>
      </c>
      <c r="E8159" s="11">
        <v>47.0</v>
      </c>
      <c r="F8159" s="14">
        <v>40.9</v>
      </c>
      <c r="G8159" s="15">
        <v>0.08451487033071613</v>
      </c>
      <c r="H8159" s="11" t="s">
        <v>33</v>
      </c>
      <c r="I8159" s="16">
        <v>1.592</v>
      </c>
      <c r="J8159" s="11" t="s">
        <v>1446</v>
      </c>
      <c r="K8159" s="11" t="s">
        <v>35</v>
      </c>
      <c r="L8159" s="11" t="s">
        <v>48</v>
      </c>
      <c r="M8159" s="11" t="s">
        <v>66</v>
      </c>
      <c r="N8159" s="11" t="s">
        <v>67</v>
      </c>
      <c r="O8159" s="11" t="s">
        <v>2453</v>
      </c>
      <c r="P8159" s="11" t="s">
        <v>99</v>
      </c>
      <c r="Q8159" s="20">
        <v>41226.0</v>
      </c>
      <c r="R8159" s="17">
        <f t="shared" si="2"/>
        <v>162.5974829</v>
      </c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>
        <f t="shared" si="8"/>
        <v>4</v>
      </c>
      <c r="AF8159" s="19">
        <f t="shared" si="13"/>
        <v>2</v>
      </c>
      <c r="AG8159" s="9"/>
      <c r="AH8159" s="9"/>
      <c r="AI8159" s="9"/>
    </row>
    <row r="8160" ht="15.0" customHeight="1">
      <c r="A8160" s="11">
        <v>8159.0</v>
      </c>
      <c r="B8160" s="12">
        <f t="shared" si="1300"/>
        <v>41223</v>
      </c>
      <c r="C8160" s="13">
        <v>2012.0</v>
      </c>
      <c r="D8160" s="11" t="s">
        <v>44</v>
      </c>
      <c r="E8160" s="11">
        <v>36.0</v>
      </c>
      <c r="F8160" s="14">
        <v>60.9</v>
      </c>
      <c r="G8160" s="15">
        <v>0.07691355960541707</v>
      </c>
      <c r="H8160" s="11" t="s">
        <v>33</v>
      </c>
      <c r="I8160" s="16">
        <v>15.991999999999999</v>
      </c>
      <c r="J8160" s="11" t="s">
        <v>1446</v>
      </c>
      <c r="K8160" s="11" t="s">
        <v>35</v>
      </c>
      <c r="L8160" s="11" t="s">
        <v>48</v>
      </c>
      <c r="M8160" s="11" t="s">
        <v>28</v>
      </c>
      <c r="N8160" s="11" t="s">
        <v>236</v>
      </c>
      <c r="O8160" s="11" t="s">
        <v>1755</v>
      </c>
      <c r="P8160" s="11" t="s">
        <v>38</v>
      </c>
      <c r="Q8160" s="20">
        <v>41226.0</v>
      </c>
      <c r="R8160" s="17">
        <f t="shared" si="2"/>
        <v>169.8552897</v>
      </c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>
        <f t="shared" si="8"/>
        <v>4</v>
      </c>
      <c r="AF8160" s="19">
        <f t="shared" si="13"/>
        <v>2</v>
      </c>
      <c r="AG8160" s="9"/>
      <c r="AH8160" s="9"/>
      <c r="AI8160" s="9"/>
    </row>
    <row r="8161" ht="15.0" customHeight="1">
      <c r="A8161" s="11">
        <v>8160.0</v>
      </c>
      <c r="B8161" s="12">
        <f t="shared" si="1300"/>
        <v>41223</v>
      </c>
      <c r="C8161" s="13">
        <v>2012.0</v>
      </c>
      <c r="D8161" s="11" t="s">
        <v>44</v>
      </c>
      <c r="E8161" s="11">
        <v>20.0</v>
      </c>
      <c r="F8161" s="14">
        <v>2.0</v>
      </c>
      <c r="G8161" s="15">
        <v>0.13377690802348333</v>
      </c>
      <c r="H8161" s="11" t="s">
        <v>33</v>
      </c>
      <c r="I8161" s="16">
        <v>4.264</v>
      </c>
      <c r="J8161" s="11" t="s">
        <v>1446</v>
      </c>
      <c r="K8161" s="11" t="s">
        <v>35</v>
      </c>
      <c r="L8161" s="11" t="s">
        <v>48</v>
      </c>
      <c r="M8161" s="11" t="s">
        <v>49</v>
      </c>
      <c r="N8161" s="11" t="s">
        <v>73</v>
      </c>
      <c r="O8161" s="11" t="s">
        <v>286</v>
      </c>
      <c r="P8161" s="11" t="s">
        <v>38</v>
      </c>
      <c r="Q8161" s="20">
        <v>41226.0</v>
      </c>
      <c r="R8161" s="17">
        <f t="shared" si="2"/>
        <v>5.921501057</v>
      </c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>
        <f t="shared" si="8"/>
        <v>4</v>
      </c>
      <c r="AF8161" s="19">
        <f t="shared" si="13"/>
        <v>2</v>
      </c>
      <c r="AG8161" s="9"/>
      <c r="AH8161" s="9"/>
      <c r="AI8161" s="9"/>
    </row>
    <row r="8162" ht="15.0" customHeight="1">
      <c r="A8162" s="11">
        <v>8161.0</v>
      </c>
      <c r="B8162" s="12">
        <f t="shared" ref="B8162:B8167" si="1301">DATE(2012,12,31)-50</f>
        <v>41224</v>
      </c>
      <c r="C8162" s="13">
        <v>2012.0</v>
      </c>
      <c r="D8162" s="11" t="s">
        <v>32</v>
      </c>
      <c r="E8162" s="11">
        <v>17.0</v>
      </c>
      <c r="F8162" s="14">
        <v>22.2</v>
      </c>
      <c r="G8162" s="15">
        <v>0.0260279605263159</v>
      </c>
      <c r="H8162" s="11" t="s">
        <v>33</v>
      </c>
      <c r="I8162" s="16">
        <v>1.592</v>
      </c>
      <c r="J8162" s="11" t="s">
        <v>786</v>
      </c>
      <c r="K8162" s="11" t="s">
        <v>35</v>
      </c>
      <c r="L8162" s="11" t="s">
        <v>48</v>
      </c>
      <c r="M8162" s="11" t="s">
        <v>66</v>
      </c>
      <c r="N8162" s="11" t="s">
        <v>67</v>
      </c>
      <c r="O8162" s="11" t="s">
        <v>2103</v>
      </c>
      <c r="P8162" s="11" t="s">
        <v>99</v>
      </c>
      <c r="Q8162" s="20">
        <v>41226.0</v>
      </c>
      <c r="R8162" s="17">
        <f t="shared" si="2"/>
        <v>9.864388816</v>
      </c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>
        <f t="shared" si="8"/>
        <v>4</v>
      </c>
      <c r="AF8162" s="19">
        <f t="shared" si="13"/>
        <v>2</v>
      </c>
      <c r="AG8162" s="9"/>
      <c r="AH8162" s="9"/>
      <c r="AI8162" s="9"/>
    </row>
    <row r="8163" ht="15.0" customHeight="1">
      <c r="A8163" s="11">
        <v>8162.0</v>
      </c>
      <c r="B8163" s="12">
        <f t="shared" si="1301"/>
        <v>41224</v>
      </c>
      <c r="C8163" s="13">
        <v>2012.0</v>
      </c>
      <c r="D8163" s="11" t="s">
        <v>32</v>
      </c>
      <c r="E8163" s="11">
        <v>24.0</v>
      </c>
      <c r="F8163" s="14">
        <v>29.8</v>
      </c>
      <c r="G8163" s="15">
        <v>0.02684250312804103</v>
      </c>
      <c r="H8163" s="11" t="s">
        <v>33</v>
      </c>
      <c r="I8163" s="16">
        <v>1.592</v>
      </c>
      <c r="J8163" s="11" t="s">
        <v>786</v>
      </c>
      <c r="K8163" s="11" t="s">
        <v>35</v>
      </c>
      <c r="L8163" s="11" t="s">
        <v>48</v>
      </c>
      <c r="M8163" s="11" t="s">
        <v>66</v>
      </c>
      <c r="N8163" s="11" t="s">
        <v>67</v>
      </c>
      <c r="O8163" s="11" t="s">
        <v>559</v>
      </c>
      <c r="P8163" s="11" t="s">
        <v>99</v>
      </c>
      <c r="Q8163" s="20">
        <v>41227.0</v>
      </c>
      <c r="R8163" s="17">
        <f t="shared" si="2"/>
        <v>19.2404915</v>
      </c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>
        <f t="shared" si="8"/>
        <v>4</v>
      </c>
      <c r="AF8163" s="19">
        <f t="shared" si="13"/>
        <v>2</v>
      </c>
      <c r="AG8163" s="9"/>
      <c r="AH8163" s="9"/>
      <c r="AI8163" s="9"/>
    </row>
    <row r="8164" ht="15.0" customHeight="1">
      <c r="A8164" s="11">
        <v>8163.0</v>
      </c>
      <c r="B8164" s="12">
        <f t="shared" si="1301"/>
        <v>41224</v>
      </c>
      <c r="C8164" s="13">
        <v>2012.0</v>
      </c>
      <c r="D8164" s="11" t="s">
        <v>44</v>
      </c>
      <c r="E8164" s="11">
        <v>41.0</v>
      </c>
      <c r="F8164" s="14">
        <v>8.6</v>
      </c>
      <c r="G8164" s="15">
        <v>0.07650364203954219</v>
      </c>
      <c r="H8164" s="11" t="s">
        <v>24</v>
      </c>
      <c r="I8164" s="16">
        <v>2.3920000000000003</v>
      </c>
      <c r="J8164" s="11" t="s">
        <v>1444</v>
      </c>
      <c r="K8164" s="11" t="s">
        <v>61</v>
      </c>
      <c r="L8164" s="11" t="s">
        <v>36</v>
      </c>
      <c r="M8164" s="11" t="s">
        <v>28</v>
      </c>
      <c r="N8164" s="11" t="s">
        <v>42</v>
      </c>
      <c r="O8164" s="11" t="s">
        <v>2146</v>
      </c>
      <c r="P8164" s="11" t="s">
        <v>38</v>
      </c>
      <c r="Q8164" s="20">
        <v>41227.0</v>
      </c>
      <c r="R8164" s="17">
        <f t="shared" si="2"/>
        <v>27.15818089</v>
      </c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>
        <f t="shared" si="8"/>
        <v>2</v>
      </c>
      <c r="AF8164" s="19">
        <f t="shared" si="13"/>
        <v>4</v>
      </c>
      <c r="AG8164" s="9"/>
      <c r="AH8164" s="9"/>
      <c r="AI8164" s="9"/>
    </row>
    <row r="8165" ht="15.0" customHeight="1">
      <c r="A8165" s="11">
        <v>8164.0</v>
      </c>
      <c r="B8165" s="12">
        <f t="shared" si="1301"/>
        <v>41224</v>
      </c>
      <c r="C8165" s="13">
        <v>2012.0</v>
      </c>
      <c r="D8165" s="11" t="s">
        <v>39</v>
      </c>
      <c r="E8165" s="11">
        <v>32.0</v>
      </c>
      <c r="F8165" s="14">
        <v>59.7</v>
      </c>
      <c r="G8165" s="15">
        <v>0.04989997028820443</v>
      </c>
      <c r="H8165" s="11" t="s">
        <v>33</v>
      </c>
      <c r="I8165" s="16">
        <v>8.232</v>
      </c>
      <c r="J8165" s="11" t="s">
        <v>1017</v>
      </c>
      <c r="K8165" s="11" t="s">
        <v>117</v>
      </c>
      <c r="L8165" s="11" t="s">
        <v>36</v>
      </c>
      <c r="M8165" s="11" t="s">
        <v>28</v>
      </c>
      <c r="N8165" s="11" t="s">
        <v>42</v>
      </c>
      <c r="O8165" s="11" t="s">
        <v>1991</v>
      </c>
      <c r="P8165" s="11" t="s">
        <v>38</v>
      </c>
      <c r="Q8165" s="20">
        <v>41227.0</v>
      </c>
      <c r="R8165" s="17">
        <f t="shared" si="2"/>
        <v>95.73967979</v>
      </c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>
        <f t="shared" si="8"/>
        <v>2</v>
      </c>
      <c r="AF8165" s="19" t="b">
        <f t="shared" si="13"/>
        <v>0</v>
      </c>
      <c r="AG8165" s="9"/>
      <c r="AH8165" s="9"/>
      <c r="AI8165" s="9"/>
    </row>
    <row r="8166" ht="15.0" customHeight="1">
      <c r="A8166" s="11">
        <v>8165.0</v>
      </c>
      <c r="B8166" s="12">
        <f t="shared" si="1301"/>
        <v>41224</v>
      </c>
      <c r="C8166" s="13">
        <v>2012.0</v>
      </c>
      <c r="D8166" s="11" t="s">
        <v>39</v>
      </c>
      <c r="E8166" s="11">
        <v>44.0</v>
      </c>
      <c r="F8166" s="14">
        <v>4.1</v>
      </c>
      <c r="G8166" s="15">
        <v>0.054887611082070194</v>
      </c>
      <c r="H8166" s="11" t="s">
        <v>33</v>
      </c>
      <c r="I8166" s="16">
        <v>0.4</v>
      </c>
      <c r="J8166" s="11" t="s">
        <v>1017</v>
      </c>
      <c r="K8166" s="11" t="s">
        <v>117</v>
      </c>
      <c r="L8166" s="11" t="s">
        <v>36</v>
      </c>
      <c r="M8166" s="11" t="s">
        <v>28</v>
      </c>
      <c r="N8166" s="11" t="s">
        <v>188</v>
      </c>
      <c r="O8166" s="11" t="s">
        <v>1968</v>
      </c>
      <c r="P8166" s="11" t="s">
        <v>38</v>
      </c>
      <c r="Q8166" s="20">
        <v>41227.0</v>
      </c>
      <c r="R8166" s="17">
        <f t="shared" si="2"/>
        <v>9.923680084</v>
      </c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>
        <f t="shared" si="8"/>
        <v>2</v>
      </c>
      <c r="AF8166" s="19" t="b">
        <f t="shared" si="13"/>
        <v>0</v>
      </c>
      <c r="AG8166" s="9"/>
      <c r="AH8166" s="9"/>
      <c r="AI8166" s="9"/>
    </row>
    <row r="8167" ht="15.0" customHeight="1">
      <c r="A8167" s="11">
        <v>8166.0</v>
      </c>
      <c r="B8167" s="12">
        <f t="shared" si="1301"/>
        <v>41224</v>
      </c>
      <c r="C8167" s="13">
        <v>2012.0</v>
      </c>
      <c r="D8167" s="11" t="s">
        <v>39</v>
      </c>
      <c r="E8167" s="11">
        <v>12.0</v>
      </c>
      <c r="F8167" s="14">
        <v>30.9</v>
      </c>
      <c r="G8167" s="15">
        <v>0.02097275273745874</v>
      </c>
      <c r="H8167" s="11" t="s">
        <v>33</v>
      </c>
      <c r="I8167" s="16">
        <v>13.664</v>
      </c>
      <c r="J8167" s="11" t="s">
        <v>1017</v>
      </c>
      <c r="K8167" s="11" t="s">
        <v>117</v>
      </c>
      <c r="L8167" s="11" t="s">
        <v>36</v>
      </c>
      <c r="M8167" s="11" t="s">
        <v>28</v>
      </c>
      <c r="N8167" s="11" t="s">
        <v>56</v>
      </c>
      <c r="O8167" s="11" t="s">
        <v>2106</v>
      </c>
      <c r="P8167" s="11" t="s">
        <v>38</v>
      </c>
      <c r="Q8167" s="20">
        <v>41227.0</v>
      </c>
      <c r="R8167" s="17">
        <f t="shared" si="2"/>
        <v>8.063268408</v>
      </c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>
        <f t="shared" si="8"/>
        <v>2</v>
      </c>
      <c r="AF8167" s="19" t="b">
        <f t="shared" si="13"/>
        <v>0</v>
      </c>
      <c r="AG8167" s="9"/>
      <c r="AH8167" s="9"/>
      <c r="AI8167" s="9"/>
    </row>
    <row r="8168" ht="15.0" customHeight="1">
      <c r="A8168" s="11">
        <v>8167.0</v>
      </c>
      <c r="B8168" s="12">
        <f>DATE(2012,12,31)-49</f>
        <v>41225</v>
      </c>
      <c r="C8168" s="13">
        <v>2012.0</v>
      </c>
      <c r="D8168" s="11" t="s">
        <v>39</v>
      </c>
      <c r="E8168" s="11">
        <v>49.0</v>
      </c>
      <c r="F8168" s="14">
        <v>2.0</v>
      </c>
      <c r="G8168" s="15">
        <v>0.10431512981199642</v>
      </c>
      <c r="H8168" s="11" t="s">
        <v>33</v>
      </c>
      <c r="I8168" s="16">
        <v>2.048</v>
      </c>
      <c r="J8168" s="11" t="s">
        <v>1294</v>
      </c>
      <c r="K8168" s="11" t="s">
        <v>47</v>
      </c>
      <c r="L8168" s="11" t="s">
        <v>27</v>
      </c>
      <c r="M8168" s="11" t="s">
        <v>28</v>
      </c>
      <c r="N8168" s="11" t="s">
        <v>442</v>
      </c>
      <c r="O8168" s="11" t="s">
        <v>692</v>
      </c>
      <c r="P8168" s="11" t="s">
        <v>99</v>
      </c>
      <c r="Q8168" s="20">
        <v>41227.0</v>
      </c>
      <c r="R8168" s="17">
        <f t="shared" si="2"/>
        <v>10.43652011</v>
      </c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>
        <f t="shared" si="8"/>
        <v>1</v>
      </c>
      <c r="AF8168" s="19">
        <f t="shared" si="13"/>
        <v>3</v>
      </c>
      <c r="AG8168" s="9"/>
      <c r="AH8168" s="9"/>
      <c r="AI8168" s="9"/>
    </row>
    <row r="8169" ht="15.0" customHeight="1">
      <c r="A8169" s="11">
        <v>8168.0</v>
      </c>
      <c r="B8169" s="12">
        <f t="shared" ref="B8169:B8171" si="1302">DATE(2012,12,31)-48</f>
        <v>41226</v>
      </c>
      <c r="C8169" s="13">
        <v>2012.0</v>
      </c>
      <c r="D8169" s="11" t="s">
        <v>39</v>
      </c>
      <c r="E8169" s="11">
        <v>19.0</v>
      </c>
      <c r="F8169" s="14">
        <v>1.8</v>
      </c>
      <c r="G8169" s="15">
        <v>0.10172588832487299</v>
      </c>
      <c r="H8169" s="11" t="s">
        <v>33</v>
      </c>
      <c r="I8169" s="16">
        <v>1.192</v>
      </c>
      <c r="J8169" s="11" t="s">
        <v>323</v>
      </c>
      <c r="K8169" s="11" t="s">
        <v>61</v>
      </c>
      <c r="L8169" s="11" t="s">
        <v>27</v>
      </c>
      <c r="M8169" s="11" t="s">
        <v>28</v>
      </c>
      <c r="N8169" s="11" t="s">
        <v>42</v>
      </c>
      <c r="O8169" s="11" t="s">
        <v>1129</v>
      </c>
      <c r="P8169" s="11" t="s">
        <v>38</v>
      </c>
      <c r="Q8169" s="20">
        <v>41228.0</v>
      </c>
      <c r="R8169" s="17">
        <f t="shared" si="2"/>
        <v>3.60028264</v>
      </c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>
        <f t="shared" si="8"/>
        <v>1</v>
      </c>
      <c r="AF8169" s="19">
        <f t="shared" si="13"/>
        <v>4</v>
      </c>
      <c r="AG8169" s="9"/>
      <c r="AH8169" s="9"/>
      <c r="AI8169" s="9"/>
    </row>
    <row r="8170" ht="15.0" customHeight="1">
      <c r="A8170" s="11">
        <v>8169.0</v>
      </c>
      <c r="B8170" s="12">
        <f t="shared" si="1302"/>
        <v>41226</v>
      </c>
      <c r="C8170" s="13">
        <v>2012.0</v>
      </c>
      <c r="D8170" s="11" t="s">
        <v>39</v>
      </c>
      <c r="E8170" s="11">
        <v>41.0</v>
      </c>
      <c r="F8170" s="14">
        <v>29.8</v>
      </c>
      <c r="G8170" s="15">
        <v>0.0855878615741087</v>
      </c>
      <c r="H8170" s="11" t="s">
        <v>33</v>
      </c>
      <c r="I8170" s="16">
        <v>1.592</v>
      </c>
      <c r="J8170" s="11" t="s">
        <v>323</v>
      </c>
      <c r="K8170" s="11" t="s">
        <v>61</v>
      </c>
      <c r="L8170" s="11" t="s">
        <v>27</v>
      </c>
      <c r="M8170" s="11" t="s">
        <v>66</v>
      </c>
      <c r="N8170" s="11" t="s">
        <v>67</v>
      </c>
      <c r="O8170" s="11" t="s">
        <v>559</v>
      </c>
      <c r="P8170" s="11" t="s">
        <v>99</v>
      </c>
      <c r="Q8170" s="20">
        <v>41228.0</v>
      </c>
      <c r="R8170" s="17">
        <f t="shared" si="2"/>
        <v>104.7075051</v>
      </c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>
        <f t="shared" si="8"/>
        <v>1</v>
      </c>
      <c r="AF8170" s="19">
        <f t="shared" si="13"/>
        <v>4</v>
      </c>
      <c r="AG8170" s="9"/>
      <c r="AH8170" s="9"/>
      <c r="AI8170" s="9"/>
    </row>
    <row r="8171" ht="15.0" customHeight="1">
      <c r="A8171" s="11">
        <v>8170.0</v>
      </c>
      <c r="B8171" s="12">
        <f t="shared" si="1302"/>
        <v>41226</v>
      </c>
      <c r="C8171" s="13">
        <v>2012.0</v>
      </c>
      <c r="D8171" s="11" t="s">
        <v>32</v>
      </c>
      <c r="E8171" s="11">
        <v>43.0</v>
      </c>
      <c r="F8171" s="14">
        <v>38.0</v>
      </c>
      <c r="G8171" s="15">
        <v>0.021685883266622963</v>
      </c>
      <c r="H8171" s="11" t="s">
        <v>33</v>
      </c>
      <c r="I8171" s="16">
        <v>3.6</v>
      </c>
      <c r="J8171" s="11" t="s">
        <v>958</v>
      </c>
      <c r="K8171" s="11" t="s">
        <v>35</v>
      </c>
      <c r="L8171" s="11" t="s">
        <v>27</v>
      </c>
      <c r="M8171" s="11" t="s">
        <v>28</v>
      </c>
      <c r="N8171" s="11" t="s">
        <v>197</v>
      </c>
      <c r="O8171" s="11" t="s">
        <v>2109</v>
      </c>
      <c r="P8171" s="11" t="s">
        <v>38</v>
      </c>
      <c r="Q8171" s="20">
        <v>41228.0</v>
      </c>
      <c r="R8171" s="17">
        <f t="shared" si="2"/>
        <v>35.51280244</v>
      </c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>
        <f t="shared" si="8"/>
        <v>1</v>
      </c>
      <c r="AF8171" s="19">
        <f t="shared" si="13"/>
        <v>2</v>
      </c>
      <c r="AG8171" s="9"/>
      <c r="AH8171" s="9"/>
      <c r="AI8171" s="9"/>
    </row>
    <row r="8172" ht="15.0" customHeight="1">
      <c r="A8172" s="11">
        <v>8171.0</v>
      </c>
      <c r="B8172" s="12">
        <f>DATE(2012,12,31)-47</f>
        <v>41227</v>
      </c>
      <c r="C8172" s="13">
        <v>2012.0</v>
      </c>
      <c r="D8172" s="11" t="s">
        <v>32</v>
      </c>
      <c r="E8172" s="11">
        <v>48.0</v>
      </c>
      <c r="F8172" s="14">
        <v>140.9</v>
      </c>
      <c r="G8172" s="15">
        <v>0.010936592060502452</v>
      </c>
      <c r="H8172" s="11" t="s">
        <v>33</v>
      </c>
      <c r="I8172" s="16">
        <v>11.192</v>
      </c>
      <c r="J8172" s="11" t="s">
        <v>120</v>
      </c>
      <c r="K8172" s="11" t="s">
        <v>35</v>
      </c>
      <c r="L8172" s="11" t="s">
        <v>27</v>
      </c>
      <c r="M8172" s="11" t="s">
        <v>66</v>
      </c>
      <c r="N8172" s="11" t="s">
        <v>69</v>
      </c>
      <c r="O8172" s="11" t="s">
        <v>2252</v>
      </c>
      <c r="P8172" s="11" t="s">
        <v>75</v>
      </c>
      <c r="Q8172" s="20">
        <v>41228.0</v>
      </c>
      <c r="R8172" s="17">
        <f t="shared" si="2"/>
        <v>74.08876176</v>
      </c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>
        <f t="shared" si="8"/>
        <v>1</v>
      </c>
      <c r="AF8172" s="19">
        <f t="shared" si="13"/>
        <v>2</v>
      </c>
      <c r="AG8172" s="9"/>
      <c r="AH8172" s="9"/>
      <c r="AI8172" s="9"/>
    </row>
    <row r="8173" ht="15.0" customHeight="1">
      <c r="A8173" s="11">
        <v>8172.0</v>
      </c>
      <c r="B8173" s="12">
        <f t="shared" ref="B8173:B8178" si="1303">DATE(2012,12,31)-46</f>
        <v>41228</v>
      </c>
      <c r="C8173" s="13">
        <v>2012.0</v>
      </c>
      <c r="D8173" s="11" t="s">
        <v>44</v>
      </c>
      <c r="E8173" s="11">
        <v>44.0</v>
      </c>
      <c r="F8173" s="14">
        <v>6.4</v>
      </c>
      <c r="G8173" s="15">
        <v>0.0989263420724094</v>
      </c>
      <c r="H8173" s="11" t="s">
        <v>33</v>
      </c>
      <c r="I8173" s="16">
        <v>7.104000000000001</v>
      </c>
      <c r="J8173" s="11" t="s">
        <v>1884</v>
      </c>
      <c r="K8173" s="11" t="s">
        <v>117</v>
      </c>
      <c r="L8173" s="11" t="s">
        <v>48</v>
      </c>
      <c r="M8173" s="11" t="s">
        <v>28</v>
      </c>
      <c r="N8173" s="11" t="s">
        <v>56</v>
      </c>
      <c r="O8173" s="11" t="s">
        <v>1807</v>
      </c>
      <c r="P8173" s="11" t="s">
        <v>38</v>
      </c>
      <c r="Q8173" s="20">
        <v>41229.0</v>
      </c>
      <c r="R8173" s="17">
        <f t="shared" si="2"/>
        <v>28.56043066</v>
      </c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>
        <f t="shared" si="8"/>
        <v>4</v>
      </c>
      <c r="AF8173" s="19" t="b">
        <f t="shared" si="13"/>
        <v>0</v>
      </c>
      <c r="AG8173" s="9"/>
      <c r="AH8173" s="9"/>
      <c r="AI8173" s="9"/>
    </row>
    <row r="8174" ht="15.0" customHeight="1">
      <c r="A8174" s="11">
        <v>8173.0</v>
      </c>
      <c r="B8174" s="12">
        <f t="shared" si="1303"/>
        <v>41228</v>
      </c>
      <c r="C8174" s="13">
        <v>2012.0</v>
      </c>
      <c r="D8174" s="11" t="s">
        <v>32</v>
      </c>
      <c r="E8174" s="11">
        <v>3.0</v>
      </c>
      <c r="F8174" s="14">
        <v>3.8</v>
      </c>
      <c r="G8174" s="15">
        <v>0.08559139784946249</v>
      </c>
      <c r="H8174" s="11" t="s">
        <v>33</v>
      </c>
      <c r="I8174" s="16">
        <v>5.6080000000000005</v>
      </c>
      <c r="J8174" s="11" t="s">
        <v>1737</v>
      </c>
      <c r="K8174" s="11" t="s">
        <v>61</v>
      </c>
      <c r="L8174" s="11" t="s">
        <v>27</v>
      </c>
      <c r="M8174" s="11" t="s">
        <v>28</v>
      </c>
      <c r="N8174" s="11" t="s">
        <v>42</v>
      </c>
      <c r="O8174" s="11" t="s">
        <v>1632</v>
      </c>
      <c r="P8174" s="11" t="s">
        <v>38</v>
      </c>
      <c r="Q8174" s="20">
        <v>41229.0</v>
      </c>
      <c r="R8174" s="17">
        <f t="shared" si="2"/>
        <v>1.455738495</v>
      </c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>
        <f t="shared" si="8"/>
        <v>1</v>
      </c>
      <c r="AF8174" s="19">
        <f t="shared" si="13"/>
        <v>4</v>
      </c>
      <c r="AG8174" s="9"/>
      <c r="AH8174" s="9"/>
      <c r="AI8174" s="9"/>
    </row>
    <row r="8175" ht="15.0" customHeight="1">
      <c r="A8175" s="11">
        <v>8174.0</v>
      </c>
      <c r="B8175" s="12">
        <f t="shared" si="1303"/>
        <v>41228</v>
      </c>
      <c r="C8175" s="13">
        <v>2012.0</v>
      </c>
      <c r="D8175" s="11" t="s">
        <v>32</v>
      </c>
      <c r="E8175" s="11">
        <v>7.0</v>
      </c>
      <c r="F8175" s="14">
        <v>88.8</v>
      </c>
      <c r="G8175" s="15">
        <v>0.016591679506933788</v>
      </c>
      <c r="H8175" s="11" t="s">
        <v>33</v>
      </c>
      <c r="I8175" s="16">
        <v>16.632</v>
      </c>
      <c r="J8175" s="11" t="s">
        <v>1737</v>
      </c>
      <c r="K8175" s="11" t="s">
        <v>61</v>
      </c>
      <c r="L8175" s="11" t="s">
        <v>27</v>
      </c>
      <c r="M8175" s="11" t="s">
        <v>49</v>
      </c>
      <c r="N8175" s="11" t="s">
        <v>73</v>
      </c>
      <c r="O8175" s="11" t="s">
        <v>2587</v>
      </c>
      <c r="P8175" s="11" t="s">
        <v>31</v>
      </c>
      <c r="Q8175" s="20">
        <v>41229.0</v>
      </c>
      <c r="R8175" s="17">
        <f t="shared" si="2"/>
        <v>10.5893408</v>
      </c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>
        <f t="shared" si="8"/>
        <v>1</v>
      </c>
      <c r="AF8175" s="19">
        <f t="shared" si="13"/>
        <v>4</v>
      </c>
      <c r="AG8175" s="9"/>
      <c r="AH8175" s="9"/>
      <c r="AI8175" s="9"/>
    </row>
    <row r="8176" ht="15.0" customHeight="1">
      <c r="A8176" s="11">
        <v>8175.0</v>
      </c>
      <c r="B8176" s="12">
        <f t="shared" si="1303"/>
        <v>41228</v>
      </c>
      <c r="C8176" s="13">
        <v>2012.0</v>
      </c>
      <c r="D8176" s="11" t="s">
        <v>32</v>
      </c>
      <c r="E8176" s="11">
        <v>10.0</v>
      </c>
      <c r="F8176" s="14">
        <v>115.9</v>
      </c>
      <c r="G8176" s="15">
        <v>0.0213656239488733</v>
      </c>
      <c r="H8176" s="11" t="s">
        <v>33</v>
      </c>
      <c r="I8176" s="16">
        <v>4.792000000000001</v>
      </c>
      <c r="J8176" s="11" t="s">
        <v>1737</v>
      </c>
      <c r="K8176" s="11" t="s">
        <v>61</v>
      </c>
      <c r="L8176" s="11" t="s">
        <v>27</v>
      </c>
      <c r="M8176" s="11" t="s">
        <v>66</v>
      </c>
      <c r="N8176" s="11" t="s">
        <v>80</v>
      </c>
      <c r="O8176" s="11">
        <v>2160.0</v>
      </c>
      <c r="P8176" s="11" t="s">
        <v>38</v>
      </c>
      <c r="Q8176" s="20">
        <v>41229.0</v>
      </c>
      <c r="R8176" s="17">
        <f t="shared" si="2"/>
        <v>24.86514223</v>
      </c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>
        <f t="shared" si="8"/>
        <v>1</v>
      </c>
      <c r="AF8176" s="19">
        <f t="shared" si="13"/>
        <v>4</v>
      </c>
      <c r="AG8176" s="9"/>
      <c r="AH8176" s="9"/>
      <c r="AI8176" s="9"/>
    </row>
    <row r="8177" ht="15.0" customHeight="1">
      <c r="A8177" s="11">
        <v>8176.0</v>
      </c>
      <c r="B8177" s="12">
        <f t="shared" si="1303"/>
        <v>41228</v>
      </c>
      <c r="C8177" s="13">
        <v>2012.0</v>
      </c>
      <c r="D8177" s="11" t="s">
        <v>32</v>
      </c>
      <c r="E8177" s="11">
        <v>10.0</v>
      </c>
      <c r="F8177" s="14">
        <v>21.3</v>
      </c>
      <c r="G8177" s="15">
        <v>0.025816372682044317</v>
      </c>
      <c r="H8177" s="11" t="s">
        <v>33</v>
      </c>
      <c r="I8177" s="16">
        <v>2.3920000000000003</v>
      </c>
      <c r="J8177" s="11" t="s">
        <v>648</v>
      </c>
      <c r="K8177" s="11" t="s">
        <v>35</v>
      </c>
      <c r="L8177" s="11" t="s">
        <v>27</v>
      </c>
      <c r="M8177" s="11" t="s">
        <v>28</v>
      </c>
      <c r="N8177" s="11" t="s">
        <v>42</v>
      </c>
      <c r="O8177" s="11" t="s">
        <v>2201</v>
      </c>
      <c r="P8177" s="11" t="s">
        <v>38</v>
      </c>
      <c r="Q8177" s="20">
        <v>41230.0</v>
      </c>
      <c r="R8177" s="17">
        <f t="shared" si="2"/>
        <v>5.560640145</v>
      </c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>
        <f t="shared" si="8"/>
        <v>1</v>
      </c>
      <c r="AF8177" s="19">
        <f t="shared" si="13"/>
        <v>2</v>
      </c>
      <c r="AG8177" s="9"/>
      <c r="AH8177" s="9"/>
      <c r="AI8177" s="9"/>
    </row>
    <row r="8178" ht="15.0" customHeight="1">
      <c r="A8178" s="11">
        <v>8177.0</v>
      </c>
      <c r="B8178" s="12">
        <f t="shared" si="1303"/>
        <v>41228</v>
      </c>
      <c r="C8178" s="13">
        <v>2012.0</v>
      </c>
      <c r="D8178" s="11" t="s">
        <v>32</v>
      </c>
      <c r="E8178" s="11">
        <v>37.0</v>
      </c>
      <c r="F8178" s="14">
        <v>19.9</v>
      </c>
      <c r="G8178" s="15">
        <v>0.08768189092699748</v>
      </c>
      <c r="H8178" s="11" t="s">
        <v>33</v>
      </c>
      <c r="I8178" s="16">
        <v>4.776</v>
      </c>
      <c r="J8178" s="11" t="s">
        <v>1607</v>
      </c>
      <c r="K8178" s="11" t="s">
        <v>35</v>
      </c>
      <c r="L8178" s="11" t="s">
        <v>41</v>
      </c>
      <c r="M8178" s="11" t="s">
        <v>28</v>
      </c>
      <c r="N8178" s="11" t="s">
        <v>56</v>
      </c>
      <c r="O8178" s="11" t="s">
        <v>1866</v>
      </c>
      <c r="P8178" s="11" t="s">
        <v>38</v>
      </c>
      <c r="Q8178" s="20">
        <v>41230.0</v>
      </c>
      <c r="R8178" s="17">
        <f t="shared" si="2"/>
        <v>64.978945</v>
      </c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>
        <f t="shared" si="8"/>
        <v>3</v>
      </c>
      <c r="AF8178" s="19">
        <f t="shared" si="13"/>
        <v>2</v>
      </c>
      <c r="AG8178" s="9"/>
      <c r="AH8178" s="9"/>
      <c r="AI8178" s="9"/>
    </row>
    <row r="8179" ht="15.0" customHeight="1">
      <c r="A8179" s="11">
        <v>8178.0</v>
      </c>
      <c r="B8179" s="12">
        <f t="shared" ref="B8179:B8180" si="1304">DATE(2012,12,31)-45</f>
        <v>41229</v>
      </c>
      <c r="C8179" s="13">
        <v>2012.0</v>
      </c>
      <c r="D8179" s="11" t="s">
        <v>23</v>
      </c>
      <c r="E8179" s="11">
        <v>38.0</v>
      </c>
      <c r="F8179" s="14">
        <v>83.9</v>
      </c>
      <c r="G8179" s="15">
        <v>0.03502317214252296</v>
      </c>
      <c r="H8179" s="11" t="s">
        <v>33</v>
      </c>
      <c r="I8179" s="16">
        <v>4.008</v>
      </c>
      <c r="J8179" s="11" t="s">
        <v>1264</v>
      </c>
      <c r="K8179" s="11" t="s">
        <v>35</v>
      </c>
      <c r="L8179" s="11" t="s">
        <v>36</v>
      </c>
      <c r="M8179" s="11" t="s">
        <v>28</v>
      </c>
      <c r="N8179" s="11" t="s">
        <v>236</v>
      </c>
      <c r="O8179" s="11" t="s">
        <v>2114</v>
      </c>
      <c r="P8179" s="11" t="s">
        <v>38</v>
      </c>
      <c r="Q8179" s="20">
        <v>41231.0</v>
      </c>
      <c r="R8179" s="17">
        <f t="shared" si="2"/>
        <v>111.8012503</v>
      </c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>
        <f t="shared" si="8"/>
        <v>2</v>
      </c>
      <c r="AF8179" s="19">
        <f t="shared" si="13"/>
        <v>2</v>
      </c>
      <c r="AG8179" s="9"/>
      <c r="AH8179" s="9"/>
      <c r="AI8179" s="9"/>
    </row>
    <row r="8180" ht="15.0" customHeight="1">
      <c r="A8180" s="11">
        <v>8179.0</v>
      </c>
      <c r="B8180" s="12">
        <f t="shared" si="1304"/>
        <v>41229</v>
      </c>
      <c r="C8180" s="13">
        <v>2012.0</v>
      </c>
      <c r="D8180" s="11" t="s">
        <v>44</v>
      </c>
      <c r="E8180" s="11">
        <v>20.0</v>
      </c>
      <c r="F8180" s="14">
        <v>20.9</v>
      </c>
      <c r="G8180" s="15">
        <v>0.08680331443523778</v>
      </c>
      <c r="H8180" s="11" t="s">
        <v>33</v>
      </c>
      <c r="I8180" s="16">
        <v>0.792</v>
      </c>
      <c r="J8180" s="11" t="s">
        <v>363</v>
      </c>
      <c r="K8180" s="11" t="s">
        <v>65</v>
      </c>
      <c r="L8180" s="11" t="s">
        <v>27</v>
      </c>
      <c r="M8180" s="11" t="s">
        <v>66</v>
      </c>
      <c r="N8180" s="11" t="s">
        <v>80</v>
      </c>
      <c r="O8180" s="11" t="s">
        <v>1854</v>
      </c>
      <c r="P8180" s="11" t="s">
        <v>58</v>
      </c>
      <c r="Q8180" s="20">
        <v>41232.0</v>
      </c>
      <c r="R8180" s="17">
        <f t="shared" si="2"/>
        <v>36.35253366</v>
      </c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>
        <f t="shared" si="8"/>
        <v>1</v>
      </c>
      <c r="AF8180" s="19">
        <f t="shared" si="13"/>
        <v>5</v>
      </c>
      <c r="AG8180" s="9"/>
      <c r="AH8180" s="9"/>
      <c r="AI8180" s="9"/>
    </row>
    <row r="8181" ht="15.0" customHeight="1">
      <c r="A8181" s="11">
        <v>8180.0</v>
      </c>
      <c r="B8181" s="12">
        <f t="shared" ref="B8181:B8182" si="1305">DATE(2012,12,31)-44</f>
        <v>41230</v>
      </c>
      <c r="C8181" s="13">
        <v>2012.0</v>
      </c>
      <c r="D8181" s="11" t="s">
        <v>23</v>
      </c>
      <c r="E8181" s="11">
        <v>6.0</v>
      </c>
      <c r="F8181" s="14">
        <v>280.9</v>
      </c>
      <c r="G8181" s="15">
        <v>0.05409836065573783</v>
      </c>
      <c r="H8181" s="11" t="s">
        <v>45</v>
      </c>
      <c r="I8181" s="16">
        <v>45.6</v>
      </c>
      <c r="J8181" s="11" t="s">
        <v>1298</v>
      </c>
      <c r="K8181" s="11" t="s">
        <v>61</v>
      </c>
      <c r="L8181" s="11" t="s">
        <v>48</v>
      </c>
      <c r="M8181" s="11" t="s">
        <v>49</v>
      </c>
      <c r="N8181" s="11" t="s">
        <v>50</v>
      </c>
      <c r="O8181" s="11" t="s">
        <v>801</v>
      </c>
      <c r="P8181" s="11" t="s">
        <v>52</v>
      </c>
      <c r="Q8181" s="20">
        <v>41232.0</v>
      </c>
      <c r="R8181" s="17">
        <f t="shared" si="2"/>
        <v>93.6442623</v>
      </c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>
        <f t="shared" si="8"/>
        <v>4</v>
      </c>
      <c r="AF8181" s="19">
        <f t="shared" si="13"/>
        <v>4</v>
      </c>
      <c r="AG8181" s="9"/>
      <c r="AH8181" s="9"/>
      <c r="AI8181" s="9"/>
    </row>
    <row r="8182" ht="15.0" customHeight="1">
      <c r="A8182" s="11">
        <v>8181.0</v>
      </c>
      <c r="B8182" s="12">
        <f t="shared" si="1305"/>
        <v>41230</v>
      </c>
      <c r="C8182" s="13">
        <v>2012.0</v>
      </c>
      <c r="D8182" s="11" t="s">
        <v>23</v>
      </c>
      <c r="E8182" s="11">
        <v>48.0</v>
      </c>
      <c r="F8182" s="14">
        <v>14.0</v>
      </c>
      <c r="G8182" s="15">
        <v>0.08694436979306647</v>
      </c>
      <c r="H8182" s="11" t="s">
        <v>33</v>
      </c>
      <c r="I8182" s="16">
        <v>7.4959999999999996</v>
      </c>
      <c r="J8182" s="11" t="s">
        <v>1298</v>
      </c>
      <c r="K8182" s="11" t="s">
        <v>61</v>
      </c>
      <c r="L8182" s="11" t="s">
        <v>48</v>
      </c>
      <c r="M8182" s="11" t="s">
        <v>28</v>
      </c>
      <c r="N8182" s="11" t="s">
        <v>29</v>
      </c>
      <c r="O8182" s="11" t="s">
        <v>2279</v>
      </c>
      <c r="P8182" s="11" t="s">
        <v>38</v>
      </c>
      <c r="Q8182" s="20">
        <v>41232.0</v>
      </c>
      <c r="R8182" s="17">
        <f t="shared" si="2"/>
        <v>59.0783515</v>
      </c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>
        <f t="shared" si="8"/>
        <v>4</v>
      </c>
      <c r="AF8182" s="19">
        <f t="shared" si="13"/>
        <v>4</v>
      </c>
      <c r="AG8182" s="9"/>
      <c r="AH8182" s="9"/>
      <c r="AI8182" s="9"/>
    </row>
    <row r="8183" ht="15.0" customHeight="1">
      <c r="A8183" s="11">
        <v>8182.0</v>
      </c>
      <c r="B8183" s="12">
        <f t="shared" ref="B8183:B8187" si="1306">DATE(2012,12,31)-43</f>
        <v>41231</v>
      </c>
      <c r="C8183" s="13">
        <v>2012.0</v>
      </c>
      <c r="D8183" s="11" t="s">
        <v>44</v>
      </c>
      <c r="E8183" s="11">
        <v>4.0</v>
      </c>
      <c r="F8183" s="14">
        <v>6.4</v>
      </c>
      <c r="G8183" s="15">
        <v>0.13336927223719677</v>
      </c>
      <c r="H8183" s="11" t="s">
        <v>33</v>
      </c>
      <c r="I8183" s="16">
        <v>6.552</v>
      </c>
      <c r="J8183" s="11" t="s">
        <v>106</v>
      </c>
      <c r="K8183" s="11" t="s">
        <v>35</v>
      </c>
      <c r="L8183" s="11" t="s">
        <v>48</v>
      </c>
      <c r="M8183" s="11" t="s">
        <v>28</v>
      </c>
      <c r="N8183" s="11" t="s">
        <v>56</v>
      </c>
      <c r="O8183" s="11" t="s">
        <v>637</v>
      </c>
      <c r="P8183" s="11" t="s">
        <v>38</v>
      </c>
      <c r="Q8183" s="20">
        <v>41233.0</v>
      </c>
      <c r="R8183" s="17">
        <f t="shared" si="2"/>
        <v>4.288088841</v>
      </c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>
        <f t="shared" si="8"/>
        <v>4</v>
      </c>
      <c r="AF8183" s="19">
        <f t="shared" si="13"/>
        <v>2</v>
      </c>
      <c r="AG8183" s="9"/>
      <c r="AH8183" s="9"/>
      <c r="AI8183" s="9"/>
    </row>
    <row r="8184" ht="15.0" customHeight="1">
      <c r="A8184" s="11">
        <v>8183.0</v>
      </c>
      <c r="B8184" s="12">
        <f t="shared" si="1306"/>
        <v>41231</v>
      </c>
      <c r="C8184" s="13">
        <v>2012.0</v>
      </c>
      <c r="D8184" s="11" t="s">
        <v>44</v>
      </c>
      <c r="E8184" s="11">
        <v>12.0</v>
      </c>
      <c r="F8184" s="14">
        <v>146.0</v>
      </c>
      <c r="G8184" s="15">
        <v>0.09912698412698409</v>
      </c>
      <c r="H8184" s="11" t="s">
        <v>45</v>
      </c>
      <c r="I8184" s="16">
        <v>64.16000000000001</v>
      </c>
      <c r="J8184" s="11" t="s">
        <v>491</v>
      </c>
      <c r="K8184" s="11" t="s">
        <v>47</v>
      </c>
      <c r="L8184" s="11" t="s">
        <v>48</v>
      </c>
      <c r="M8184" s="11" t="s">
        <v>49</v>
      </c>
      <c r="N8184" s="11" t="s">
        <v>85</v>
      </c>
      <c r="O8184" s="11" t="s">
        <v>545</v>
      </c>
      <c r="P8184" s="11" t="s">
        <v>87</v>
      </c>
      <c r="Q8184" s="20">
        <v>41233.0</v>
      </c>
      <c r="R8184" s="17">
        <f t="shared" si="2"/>
        <v>180.0304635</v>
      </c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>
        <f t="shared" si="8"/>
        <v>4</v>
      </c>
      <c r="AF8184" s="19">
        <f t="shared" si="13"/>
        <v>3</v>
      </c>
      <c r="AG8184" s="9"/>
      <c r="AH8184" s="9"/>
      <c r="AI8184" s="9"/>
    </row>
    <row r="8185" ht="15.0" customHeight="1">
      <c r="A8185" s="11">
        <v>8184.0</v>
      </c>
      <c r="B8185" s="12">
        <f t="shared" si="1306"/>
        <v>41231</v>
      </c>
      <c r="C8185" s="13">
        <v>2012.0</v>
      </c>
      <c r="D8185" s="11" t="s">
        <v>32</v>
      </c>
      <c r="E8185" s="11">
        <v>45.0</v>
      </c>
      <c r="F8185" s="14">
        <v>300.6</v>
      </c>
      <c r="G8185" s="15">
        <v>0.02012383542619039</v>
      </c>
      <c r="H8185" s="11" t="s">
        <v>33</v>
      </c>
      <c r="I8185" s="16">
        <v>19.592</v>
      </c>
      <c r="J8185" s="11" t="s">
        <v>1564</v>
      </c>
      <c r="K8185" s="11" t="s">
        <v>35</v>
      </c>
      <c r="L8185" s="11" t="s">
        <v>36</v>
      </c>
      <c r="M8185" s="11" t="s">
        <v>28</v>
      </c>
      <c r="N8185" s="11" t="s">
        <v>197</v>
      </c>
      <c r="O8185" s="11" t="s">
        <v>1953</v>
      </c>
      <c r="P8185" s="11" t="s">
        <v>31</v>
      </c>
      <c r="Q8185" s="20">
        <v>41233.0</v>
      </c>
      <c r="R8185" s="17">
        <f t="shared" si="2"/>
        <v>272.609388</v>
      </c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>
        <f t="shared" si="8"/>
        <v>2</v>
      </c>
      <c r="AF8185" s="19">
        <f t="shared" si="13"/>
        <v>2</v>
      </c>
      <c r="AG8185" s="9"/>
      <c r="AH8185" s="9"/>
      <c r="AI8185" s="9"/>
    </row>
    <row r="8186" ht="15.0" customHeight="1">
      <c r="A8186" s="11">
        <v>8185.0</v>
      </c>
      <c r="B8186" s="12">
        <f t="shared" si="1306"/>
        <v>41231</v>
      </c>
      <c r="C8186" s="13">
        <v>2012.0</v>
      </c>
      <c r="D8186" s="11" t="s">
        <v>32</v>
      </c>
      <c r="E8186" s="11">
        <v>40.0</v>
      </c>
      <c r="F8186" s="14">
        <v>11.9</v>
      </c>
      <c r="G8186" s="15">
        <v>0.08119448698315467</v>
      </c>
      <c r="H8186" s="11" t="s">
        <v>33</v>
      </c>
      <c r="I8186" s="16">
        <v>3.9840000000000004</v>
      </c>
      <c r="J8186" s="11" t="s">
        <v>1564</v>
      </c>
      <c r="K8186" s="11" t="s">
        <v>35</v>
      </c>
      <c r="L8186" s="11" t="s">
        <v>36</v>
      </c>
      <c r="M8186" s="11" t="s">
        <v>28</v>
      </c>
      <c r="N8186" s="11" t="s">
        <v>197</v>
      </c>
      <c r="O8186" s="11" t="s">
        <v>1001</v>
      </c>
      <c r="P8186" s="11" t="s">
        <v>38</v>
      </c>
      <c r="Q8186" s="20">
        <v>41233.0</v>
      </c>
      <c r="R8186" s="17">
        <f t="shared" si="2"/>
        <v>38.97205464</v>
      </c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>
        <f t="shared" si="8"/>
        <v>2</v>
      </c>
      <c r="AF8186" s="19">
        <f t="shared" si="13"/>
        <v>2</v>
      </c>
      <c r="AG8186" s="9"/>
      <c r="AH8186" s="9"/>
      <c r="AI8186" s="9"/>
    </row>
    <row r="8187" ht="15.0" customHeight="1">
      <c r="A8187" s="11">
        <v>8186.0</v>
      </c>
      <c r="B8187" s="12">
        <f t="shared" si="1306"/>
        <v>41231</v>
      </c>
      <c r="C8187" s="13">
        <v>2012.0</v>
      </c>
      <c r="D8187" s="11" t="s">
        <v>39</v>
      </c>
      <c r="E8187" s="11">
        <v>43.0</v>
      </c>
      <c r="F8187" s="14">
        <v>216.6</v>
      </c>
      <c r="G8187" s="15">
        <v>0.03513928682918082</v>
      </c>
      <c r="H8187" s="11" t="s">
        <v>45</v>
      </c>
      <c r="I8187" s="16">
        <v>51.36000000000001</v>
      </c>
      <c r="J8187" s="11" t="s">
        <v>448</v>
      </c>
      <c r="K8187" s="11" t="s">
        <v>83</v>
      </c>
      <c r="L8187" s="11" t="s">
        <v>36</v>
      </c>
      <c r="M8187" s="11" t="s">
        <v>49</v>
      </c>
      <c r="N8187" s="11" t="s">
        <v>50</v>
      </c>
      <c r="O8187" s="11" t="s">
        <v>2426</v>
      </c>
      <c r="P8187" s="11" t="s">
        <v>52</v>
      </c>
      <c r="Q8187" s="20">
        <v>41233.0</v>
      </c>
      <c r="R8187" s="17">
        <f t="shared" si="2"/>
        <v>329.0850434</v>
      </c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>
        <f t="shared" si="8"/>
        <v>2</v>
      </c>
      <c r="AF8187" s="19" t="b">
        <f t="shared" si="13"/>
        <v>0</v>
      </c>
      <c r="AG8187" s="9"/>
      <c r="AH8187" s="9"/>
      <c r="AI8187" s="9"/>
    </row>
    <row r="8188" ht="15.0" customHeight="1">
      <c r="A8188" s="11">
        <v>8187.0</v>
      </c>
      <c r="B8188" s="12">
        <f t="shared" ref="B8188:B8195" si="1307">DATE(2012,12,31)-42</f>
        <v>41232</v>
      </c>
      <c r="C8188" s="13">
        <v>2012.0</v>
      </c>
      <c r="D8188" s="11" t="s">
        <v>102</v>
      </c>
      <c r="E8188" s="11">
        <v>14.0</v>
      </c>
      <c r="F8188" s="14">
        <v>15.9</v>
      </c>
      <c r="G8188" s="15">
        <v>0.05562526139690511</v>
      </c>
      <c r="H8188" s="11" t="s">
        <v>33</v>
      </c>
      <c r="I8188" s="16">
        <v>3.2</v>
      </c>
      <c r="J8188" s="11" t="s">
        <v>808</v>
      </c>
      <c r="K8188" s="11" t="s">
        <v>83</v>
      </c>
      <c r="L8188" s="11" t="s">
        <v>48</v>
      </c>
      <c r="M8188" s="11" t="s">
        <v>66</v>
      </c>
      <c r="N8188" s="11" t="s">
        <v>67</v>
      </c>
      <c r="O8188" s="11" t="s">
        <v>941</v>
      </c>
      <c r="P8188" s="11" t="s">
        <v>38</v>
      </c>
      <c r="Q8188" s="20">
        <v>41233.0</v>
      </c>
      <c r="R8188" s="17">
        <f t="shared" si="2"/>
        <v>12.56018402</v>
      </c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>
        <f t="shared" si="8"/>
        <v>4</v>
      </c>
      <c r="AF8188" s="19" t="b">
        <f t="shared" si="13"/>
        <v>0</v>
      </c>
      <c r="AG8188" s="9"/>
      <c r="AH8188" s="9"/>
      <c r="AI8188" s="9"/>
    </row>
    <row r="8189" ht="15.0" customHeight="1">
      <c r="A8189" s="11">
        <v>8188.0</v>
      </c>
      <c r="B8189" s="12">
        <f t="shared" si="1307"/>
        <v>41232</v>
      </c>
      <c r="C8189" s="13">
        <v>2012.0</v>
      </c>
      <c r="D8189" s="11" t="s">
        <v>32</v>
      </c>
      <c r="E8189" s="11">
        <v>43.0</v>
      </c>
      <c r="F8189" s="14">
        <v>500.9</v>
      </c>
      <c r="G8189" s="15">
        <v>0.03886185530245622</v>
      </c>
      <c r="H8189" s="11" t="s">
        <v>45</v>
      </c>
      <c r="I8189" s="16">
        <v>22.512</v>
      </c>
      <c r="J8189" s="11" t="s">
        <v>429</v>
      </c>
      <c r="K8189" s="11" t="s">
        <v>83</v>
      </c>
      <c r="L8189" s="11" t="s">
        <v>27</v>
      </c>
      <c r="M8189" s="11" t="s">
        <v>66</v>
      </c>
      <c r="N8189" s="11" t="s">
        <v>69</v>
      </c>
      <c r="O8189" s="11" t="s">
        <v>564</v>
      </c>
      <c r="P8189" s="11" t="s">
        <v>52</v>
      </c>
      <c r="Q8189" s="20">
        <v>41233.0</v>
      </c>
      <c r="R8189" s="17">
        <f t="shared" si="2"/>
        <v>837.9087009</v>
      </c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>
        <f t="shared" si="8"/>
        <v>1</v>
      </c>
      <c r="AF8189" s="19" t="b">
        <f t="shared" si="13"/>
        <v>0</v>
      </c>
      <c r="AG8189" s="9"/>
      <c r="AH8189" s="9"/>
      <c r="AI8189" s="9"/>
    </row>
    <row r="8190" ht="15.0" customHeight="1">
      <c r="A8190" s="11">
        <v>8189.0</v>
      </c>
      <c r="B8190" s="12">
        <f t="shared" si="1307"/>
        <v>41232</v>
      </c>
      <c r="C8190" s="13">
        <v>2012.0</v>
      </c>
      <c r="D8190" s="11" t="s">
        <v>102</v>
      </c>
      <c r="E8190" s="11">
        <v>26.0</v>
      </c>
      <c r="F8190" s="14">
        <v>120.9</v>
      </c>
      <c r="G8190" s="15">
        <v>0.05002699298182465</v>
      </c>
      <c r="H8190" s="11" t="s">
        <v>45</v>
      </c>
      <c r="I8190" s="16">
        <v>24.0</v>
      </c>
      <c r="J8190" s="11" t="s">
        <v>2285</v>
      </c>
      <c r="K8190" s="11" t="s">
        <v>65</v>
      </c>
      <c r="L8190" s="11" t="s">
        <v>41</v>
      </c>
      <c r="M8190" s="11" t="s">
        <v>49</v>
      </c>
      <c r="N8190" s="11" t="s">
        <v>50</v>
      </c>
      <c r="O8190" s="11" t="s">
        <v>1402</v>
      </c>
      <c r="P8190" s="11" t="s">
        <v>52</v>
      </c>
      <c r="Q8190" s="20">
        <v>41233.0</v>
      </c>
      <c r="R8190" s="17">
        <f t="shared" si="2"/>
        <v>158.4554976</v>
      </c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>
        <f t="shared" si="8"/>
        <v>3</v>
      </c>
      <c r="AF8190" s="19">
        <f t="shared" si="13"/>
        <v>5</v>
      </c>
      <c r="AG8190" s="9"/>
      <c r="AH8190" s="9"/>
      <c r="AI8190" s="9"/>
    </row>
    <row r="8191" ht="15.0" customHeight="1">
      <c r="A8191" s="11">
        <v>8190.0</v>
      </c>
      <c r="B8191" s="12">
        <f t="shared" si="1307"/>
        <v>41232</v>
      </c>
      <c r="C8191" s="13">
        <v>2012.0</v>
      </c>
      <c r="D8191" s="11" t="s">
        <v>102</v>
      </c>
      <c r="E8191" s="11">
        <v>48.0</v>
      </c>
      <c r="F8191" s="14">
        <v>2.7</v>
      </c>
      <c r="G8191" s="15">
        <v>0.058008658008657746</v>
      </c>
      <c r="H8191" s="11" t="s">
        <v>33</v>
      </c>
      <c r="I8191" s="16">
        <v>0.96</v>
      </c>
      <c r="J8191" s="11" t="s">
        <v>2285</v>
      </c>
      <c r="K8191" s="11" t="s">
        <v>65</v>
      </c>
      <c r="L8191" s="11" t="s">
        <v>41</v>
      </c>
      <c r="M8191" s="11" t="s">
        <v>28</v>
      </c>
      <c r="N8191" s="11" t="s">
        <v>62</v>
      </c>
      <c r="O8191" s="11" t="s">
        <v>1514</v>
      </c>
      <c r="P8191" s="11" t="s">
        <v>58</v>
      </c>
      <c r="Q8191" s="20">
        <v>41233.0</v>
      </c>
      <c r="R8191" s="17">
        <f t="shared" si="2"/>
        <v>7.57361039</v>
      </c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>
        <f t="shared" si="8"/>
        <v>3</v>
      </c>
      <c r="AF8191" s="19">
        <f t="shared" si="13"/>
        <v>5</v>
      </c>
      <c r="AG8191" s="9"/>
      <c r="AH8191" s="9"/>
      <c r="AI8191" s="9"/>
    </row>
    <row r="8192" ht="15.0" customHeight="1">
      <c r="A8192" s="11">
        <v>8191.0</v>
      </c>
      <c r="B8192" s="12">
        <f t="shared" si="1307"/>
        <v>41232</v>
      </c>
      <c r="C8192" s="13">
        <v>2012.0</v>
      </c>
      <c r="D8192" s="11" t="s">
        <v>32</v>
      </c>
      <c r="E8192" s="11">
        <v>42.0</v>
      </c>
      <c r="F8192" s="14">
        <v>5.7</v>
      </c>
      <c r="G8192" s="15">
        <v>0.015867367569753363</v>
      </c>
      <c r="H8192" s="11" t="s">
        <v>33</v>
      </c>
      <c r="I8192" s="16">
        <v>3.976</v>
      </c>
      <c r="J8192" s="11" t="s">
        <v>485</v>
      </c>
      <c r="K8192" s="11" t="s">
        <v>47</v>
      </c>
      <c r="L8192" s="11" t="s">
        <v>41</v>
      </c>
      <c r="M8192" s="11" t="s">
        <v>28</v>
      </c>
      <c r="N8192" s="11" t="s">
        <v>42</v>
      </c>
      <c r="O8192" s="11" t="s">
        <v>1978</v>
      </c>
      <c r="P8192" s="11" t="s">
        <v>38</v>
      </c>
      <c r="Q8192" s="20">
        <v>41234.0</v>
      </c>
      <c r="R8192" s="17">
        <f t="shared" si="2"/>
        <v>3.86173645</v>
      </c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>
        <f t="shared" si="8"/>
        <v>3</v>
      </c>
      <c r="AF8192" s="19">
        <f t="shared" si="13"/>
        <v>3</v>
      </c>
      <c r="AG8192" s="9"/>
      <c r="AH8192" s="9"/>
      <c r="AI8192" s="9"/>
    </row>
    <row r="8193" ht="15.0" customHeight="1">
      <c r="A8193" s="11">
        <v>8192.0</v>
      </c>
      <c r="B8193" s="12">
        <f t="shared" si="1307"/>
        <v>41232</v>
      </c>
      <c r="C8193" s="13">
        <v>2012.0</v>
      </c>
      <c r="D8193" s="11" t="s">
        <v>102</v>
      </c>
      <c r="E8193" s="11">
        <v>11.0</v>
      </c>
      <c r="F8193" s="14">
        <v>64.6</v>
      </c>
      <c r="G8193" s="15">
        <v>0.02943495400788448</v>
      </c>
      <c r="H8193" s="11" t="s">
        <v>33</v>
      </c>
      <c r="I8193" s="16">
        <v>28.0</v>
      </c>
      <c r="J8193" s="11" t="s">
        <v>1112</v>
      </c>
      <c r="K8193" s="11" t="s">
        <v>35</v>
      </c>
      <c r="L8193" s="11" t="s">
        <v>27</v>
      </c>
      <c r="M8193" s="11" t="s">
        <v>28</v>
      </c>
      <c r="N8193" s="11" t="s">
        <v>29</v>
      </c>
      <c r="O8193" s="11" t="s">
        <v>1400</v>
      </c>
      <c r="P8193" s="11" t="s">
        <v>31</v>
      </c>
      <c r="Q8193" s="20">
        <v>41234.0</v>
      </c>
      <c r="R8193" s="17">
        <f t="shared" si="2"/>
        <v>21.74065703</v>
      </c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>
        <f t="shared" si="8"/>
        <v>1</v>
      </c>
      <c r="AF8193" s="19">
        <f t="shared" si="13"/>
        <v>2</v>
      </c>
      <c r="AG8193" s="9"/>
      <c r="AH8193" s="9"/>
      <c r="AI8193" s="9"/>
    </row>
    <row r="8194" ht="15.0" customHeight="1">
      <c r="A8194" s="11">
        <v>8193.0</v>
      </c>
      <c r="B8194" s="12">
        <f t="shared" si="1307"/>
        <v>41232</v>
      </c>
      <c r="C8194" s="13">
        <v>2012.0</v>
      </c>
      <c r="D8194" s="11" t="s">
        <v>102</v>
      </c>
      <c r="E8194" s="11">
        <v>16.0</v>
      </c>
      <c r="F8194" s="14">
        <v>20.9</v>
      </c>
      <c r="G8194" s="15">
        <v>0.024186317321688643</v>
      </c>
      <c r="H8194" s="11" t="s">
        <v>33</v>
      </c>
      <c r="I8194" s="16">
        <v>0.792</v>
      </c>
      <c r="J8194" s="11" t="s">
        <v>1112</v>
      </c>
      <c r="K8194" s="11" t="s">
        <v>35</v>
      </c>
      <c r="L8194" s="11" t="s">
        <v>27</v>
      </c>
      <c r="M8194" s="11" t="s">
        <v>66</v>
      </c>
      <c r="N8194" s="11" t="s">
        <v>80</v>
      </c>
      <c r="O8194" s="11" t="s">
        <v>1321</v>
      </c>
      <c r="P8194" s="11" t="s">
        <v>58</v>
      </c>
      <c r="Q8194" s="20">
        <v>41234.0</v>
      </c>
      <c r="R8194" s="17">
        <f t="shared" si="2"/>
        <v>8.107060076</v>
      </c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>
        <f t="shared" si="8"/>
        <v>1</v>
      </c>
      <c r="AF8194" s="19">
        <f t="shared" si="13"/>
        <v>2</v>
      </c>
      <c r="AG8194" s="9"/>
      <c r="AH8194" s="9"/>
      <c r="AI8194" s="9"/>
    </row>
    <row r="8195" ht="15.0" customHeight="1">
      <c r="A8195" s="11">
        <v>8194.0</v>
      </c>
      <c r="B8195" s="12">
        <f t="shared" si="1307"/>
        <v>41232</v>
      </c>
      <c r="C8195" s="13">
        <v>2012.0</v>
      </c>
      <c r="D8195" s="11" t="s">
        <v>32</v>
      </c>
      <c r="E8195" s="11">
        <v>22.0</v>
      </c>
      <c r="F8195" s="14">
        <v>4.5</v>
      </c>
      <c r="G8195" s="15">
        <v>0.1001388888888889</v>
      </c>
      <c r="H8195" s="11" t="s">
        <v>24</v>
      </c>
      <c r="I8195" s="16">
        <v>4.664000000000001</v>
      </c>
      <c r="J8195" s="11" t="s">
        <v>307</v>
      </c>
      <c r="K8195" s="11" t="s">
        <v>61</v>
      </c>
      <c r="L8195" s="11" t="s">
        <v>48</v>
      </c>
      <c r="M8195" s="11" t="s">
        <v>28</v>
      </c>
      <c r="N8195" s="11" t="s">
        <v>42</v>
      </c>
      <c r="O8195" s="11" t="s">
        <v>2396</v>
      </c>
      <c r="P8195" s="11" t="s">
        <v>38</v>
      </c>
      <c r="Q8195" s="20">
        <v>41234.0</v>
      </c>
      <c r="R8195" s="17">
        <f t="shared" si="2"/>
        <v>10.38079778</v>
      </c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>
        <f t="shared" si="8"/>
        <v>4</v>
      </c>
      <c r="AF8195" s="19">
        <f t="shared" si="13"/>
        <v>4</v>
      </c>
      <c r="AG8195" s="9"/>
      <c r="AH8195" s="9"/>
      <c r="AI8195" s="9"/>
    </row>
    <row r="8196" ht="15.0" customHeight="1">
      <c r="A8196" s="11">
        <v>8195.0</v>
      </c>
      <c r="B8196" s="12">
        <f t="shared" ref="B8196:B8199" si="1308">DATE(2012,12,31)-41</f>
        <v>41233</v>
      </c>
      <c r="C8196" s="13">
        <v>2012.0</v>
      </c>
      <c r="D8196" s="11" t="s">
        <v>32</v>
      </c>
      <c r="E8196" s="11">
        <v>43.0</v>
      </c>
      <c r="F8196" s="14">
        <v>4.1</v>
      </c>
      <c r="G8196" s="15">
        <v>0.07711361310133066</v>
      </c>
      <c r="H8196" s="11" t="s">
        <v>33</v>
      </c>
      <c r="I8196" s="16">
        <v>4.032</v>
      </c>
      <c r="J8196" s="11" t="s">
        <v>1684</v>
      </c>
      <c r="K8196" s="11" t="s">
        <v>47</v>
      </c>
      <c r="L8196" s="11" t="s">
        <v>48</v>
      </c>
      <c r="M8196" s="11" t="s">
        <v>28</v>
      </c>
      <c r="N8196" s="11" t="s">
        <v>42</v>
      </c>
      <c r="O8196" s="11" t="s">
        <v>864</v>
      </c>
      <c r="P8196" s="11" t="s">
        <v>38</v>
      </c>
      <c r="Q8196" s="20">
        <v>41235.0</v>
      </c>
      <c r="R8196" s="17">
        <f t="shared" si="2"/>
        <v>13.90605208</v>
      </c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>
        <f t="shared" si="8"/>
        <v>4</v>
      </c>
      <c r="AF8196" s="19">
        <f t="shared" si="13"/>
        <v>3</v>
      </c>
      <c r="AG8196" s="9"/>
      <c r="AH8196" s="9"/>
      <c r="AI8196" s="9"/>
    </row>
    <row r="8197" ht="15.0" customHeight="1">
      <c r="A8197" s="11">
        <v>8196.0</v>
      </c>
      <c r="B8197" s="12">
        <f t="shared" si="1308"/>
        <v>41233</v>
      </c>
      <c r="C8197" s="13">
        <v>2012.0</v>
      </c>
      <c r="D8197" s="11" t="s">
        <v>39</v>
      </c>
      <c r="E8197" s="11">
        <v>26.0</v>
      </c>
      <c r="F8197" s="14">
        <v>6.7</v>
      </c>
      <c r="G8197" s="15">
        <v>0.020022197558268458</v>
      </c>
      <c r="H8197" s="11" t="s">
        <v>33</v>
      </c>
      <c r="I8197" s="16">
        <v>2.3920000000000003</v>
      </c>
      <c r="J8197" s="11" t="s">
        <v>942</v>
      </c>
      <c r="K8197" s="11" t="s">
        <v>61</v>
      </c>
      <c r="L8197" s="11" t="s">
        <v>48</v>
      </c>
      <c r="M8197" s="11" t="s">
        <v>28</v>
      </c>
      <c r="N8197" s="11" t="s">
        <v>42</v>
      </c>
      <c r="O8197" s="11" t="s">
        <v>1576</v>
      </c>
      <c r="P8197" s="11" t="s">
        <v>38</v>
      </c>
      <c r="Q8197" s="20">
        <v>41235.0</v>
      </c>
      <c r="R8197" s="17">
        <f t="shared" si="2"/>
        <v>3.535759911</v>
      </c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>
        <f t="shared" si="8"/>
        <v>4</v>
      </c>
      <c r="AF8197" s="19">
        <f t="shared" si="13"/>
        <v>4</v>
      </c>
      <c r="AG8197" s="9"/>
      <c r="AH8197" s="9"/>
      <c r="AI8197" s="9"/>
    </row>
    <row r="8198" ht="15.0" customHeight="1">
      <c r="A8198" s="11">
        <v>8197.0</v>
      </c>
      <c r="B8198" s="12">
        <f t="shared" si="1308"/>
        <v>41233</v>
      </c>
      <c r="C8198" s="13">
        <v>2012.0</v>
      </c>
      <c r="D8198" s="11" t="s">
        <v>44</v>
      </c>
      <c r="E8198" s="11">
        <v>43.0</v>
      </c>
      <c r="F8198" s="14">
        <v>34.5</v>
      </c>
      <c r="G8198" s="15">
        <v>0.06866674996876165</v>
      </c>
      <c r="H8198" s="11" t="s">
        <v>33</v>
      </c>
      <c r="I8198" s="16">
        <v>7.192</v>
      </c>
      <c r="J8198" s="11" t="s">
        <v>639</v>
      </c>
      <c r="K8198" s="11" t="s">
        <v>35</v>
      </c>
      <c r="L8198" s="11" t="s">
        <v>27</v>
      </c>
      <c r="M8198" s="11" t="s">
        <v>28</v>
      </c>
      <c r="N8198" s="11" t="s">
        <v>62</v>
      </c>
      <c r="O8198" s="11" t="s">
        <v>2007</v>
      </c>
      <c r="P8198" s="11" t="s">
        <v>99</v>
      </c>
      <c r="Q8198" s="20">
        <v>41236.0</v>
      </c>
      <c r="R8198" s="17">
        <f t="shared" si="2"/>
        <v>102.3609748</v>
      </c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>
        <f t="shared" si="8"/>
        <v>1</v>
      </c>
      <c r="AF8198" s="19">
        <f t="shared" si="13"/>
        <v>2</v>
      </c>
      <c r="AG8198" s="9"/>
      <c r="AH8198" s="9"/>
      <c r="AI8198" s="9"/>
    </row>
    <row r="8199" ht="15.0" customHeight="1">
      <c r="A8199" s="11">
        <v>8198.0</v>
      </c>
      <c r="B8199" s="12">
        <f t="shared" si="1308"/>
        <v>41233</v>
      </c>
      <c r="C8199" s="13">
        <v>2012.0</v>
      </c>
      <c r="D8199" s="11" t="s">
        <v>44</v>
      </c>
      <c r="E8199" s="11">
        <v>24.0</v>
      </c>
      <c r="F8199" s="14">
        <v>89.8</v>
      </c>
      <c r="G8199" s="15">
        <v>0.09410788381742746</v>
      </c>
      <c r="H8199" s="11" t="s">
        <v>33</v>
      </c>
      <c r="I8199" s="16">
        <v>28.0</v>
      </c>
      <c r="J8199" s="11" t="s">
        <v>639</v>
      </c>
      <c r="K8199" s="11" t="s">
        <v>35</v>
      </c>
      <c r="L8199" s="11" t="s">
        <v>27</v>
      </c>
      <c r="M8199" s="11" t="s">
        <v>28</v>
      </c>
      <c r="N8199" s="11" t="s">
        <v>29</v>
      </c>
      <c r="O8199" s="11" t="s">
        <v>1066</v>
      </c>
      <c r="P8199" s="11" t="s">
        <v>31</v>
      </c>
      <c r="Q8199" s="20">
        <v>41236.0</v>
      </c>
      <c r="R8199" s="17">
        <f t="shared" si="2"/>
        <v>205.456332</v>
      </c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>
        <f t="shared" si="8"/>
        <v>1</v>
      </c>
      <c r="AF8199" s="19">
        <f t="shared" si="13"/>
        <v>2</v>
      </c>
      <c r="AG8199" s="9"/>
      <c r="AH8199" s="9"/>
      <c r="AI8199" s="9"/>
    </row>
    <row r="8200" ht="15.0" customHeight="1">
      <c r="A8200" s="11">
        <v>8199.0</v>
      </c>
      <c r="B8200" s="12">
        <f t="shared" ref="B8200:B8204" si="1309">DATE(2012,12,31)-40</f>
        <v>41234</v>
      </c>
      <c r="C8200" s="13">
        <v>2012.0</v>
      </c>
      <c r="D8200" s="11" t="s">
        <v>39</v>
      </c>
      <c r="E8200" s="11">
        <v>27.0</v>
      </c>
      <c r="F8200" s="14">
        <v>262.1</v>
      </c>
      <c r="G8200" s="15">
        <v>0.04931675692980813</v>
      </c>
      <c r="H8200" s="11" t="s">
        <v>45</v>
      </c>
      <c r="I8200" s="16">
        <v>50.19200000000001</v>
      </c>
      <c r="J8200" s="11" t="s">
        <v>1550</v>
      </c>
      <c r="K8200" s="11" t="s">
        <v>61</v>
      </c>
      <c r="L8200" s="11" t="s">
        <v>27</v>
      </c>
      <c r="M8200" s="11" t="s">
        <v>49</v>
      </c>
      <c r="N8200" s="11" t="s">
        <v>85</v>
      </c>
      <c r="O8200" s="11" t="s">
        <v>1368</v>
      </c>
      <c r="P8200" s="11" t="s">
        <v>87</v>
      </c>
      <c r="Q8200" s="20">
        <v>41236.0</v>
      </c>
      <c r="R8200" s="17">
        <f t="shared" si="2"/>
        <v>351.4752004</v>
      </c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>
        <f t="shared" si="8"/>
        <v>1</v>
      </c>
      <c r="AF8200" s="19">
        <f t="shared" si="13"/>
        <v>4</v>
      </c>
      <c r="AG8200" s="9"/>
      <c r="AH8200" s="9"/>
      <c r="AI8200" s="9"/>
    </row>
    <row r="8201" ht="15.0" customHeight="1">
      <c r="A8201" s="11">
        <v>8200.0</v>
      </c>
      <c r="B8201" s="12">
        <f t="shared" si="1309"/>
        <v>41234</v>
      </c>
      <c r="C8201" s="13">
        <v>2012.0</v>
      </c>
      <c r="D8201" s="11" t="s">
        <v>44</v>
      </c>
      <c r="E8201" s="11">
        <v>22.0</v>
      </c>
      <c r="F8201" s="14">
        <v>21.3</v>
      </c>
      <c r="G8201" s="15">
        <v>0.017161743441437703</v>
      </c>
      <c r="H8201" s="11" t="s">
        <v>33</v>
      </c>
      <c r="I8201" s="16">
        <v>7.192</v>
      </c>
      <c r="J8201" s="11" t="s">
        <v>2162</v>
      </c>
      <c r="K8201" s="11" t="s">
        <v>117</v>
      </c>
      <c r="L8201" s="11" t="s">
        <v>27</v>
      </c>
      <c r="M8201" s="11" t="s">
        <v>28</v>
      </c>
      <c r="N8201" s="11" t="s">
        <v>62</v>
      </c>
      <c r="O8201" s="11" t="s">
        <v>890</v>
      </c>
      <c r="P8201" s="11" t="s">
        <v>99</v>
      </c>
      <c r="Q8201" s="20">
        <v>41237.0</v>
      </c>
      <c r="R8201" s="17">
        <f t="shared" si="2"/>
        <v>8.165420235</v>
      </c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>
        <f t="shared" si="8"/>
        <v>1</v>
      </c>
      <c r="AF8201" s="19" t="b">
        <f t="shared" si="13"/>
        <v>0</v>
      </c>
      <c r="AG8201" s="9"/>
      <c r="AH8201" s="9"/>
      <c r="AI8201" s="9"/>
    </row>
    <row r="8202" ht="15.0" customHeight="1">
      <c r="A8202" s="11">
        <v>8201.0</v>
      </c>
      <c r="B8202" s="12">
        <f t="shared" si="1309"/>
        <v>41234</v>
      </c>
      <c r="C8202" s="13">
        <v>2012.0</v>
      </c>
      <c r="D8202" s="11" t="s">
        <v>44</v>
      </c>
      <c r="E8202" s="11">
        <v>10.0</v>
      </c>
      <c r="F8202" s="14">
        <v>35.9</v>
      </c>
      <c r="G8202" s="15">
        <v>0.04132160937916344</v>
      </c>
      <c r="H8202" s="11" t="s">
        <v>33</v>
      </c>
      <c r="I8202" s="16">
        <v>0.792</v>
      </c>
      <c r="J8202" s="11" t="s">
        <v>2162</v>
      </c>
      <c r="K8202" s="11" t="s">
        <v>117</v>
      </c>
      <c r="L8202" s="11" t="s">
        <v>27</v>
      </c>
      <c r="M8202" s="11" t="s">
        <v>66</v>
      </c>
      <c r="N8202" s="11" t="s">
        <v>80</v>
      </c>
      <c r="O8202" s="11" t="s">
        <v>1046</v>
      </c>
      <c r="P8202" s="11" t="s">
        <v>99</v>
      </c>
      <c r="Q8202" s="20">
        <v>41238.0</v>
      </c>
      <c r="R8202" s="17">
        <f t="shared" si="2"/>
        <v>14.86718448</v>
      </c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>
        <f t="shared" si="8"/>
        <v>1</v>
      </c>
      <c r="AF8202" s="19" t="b">
        <f t="shared" si="13"/>
        <v>0</v>
      </c>
      <c r="AG8202" s="9"/>
      <c r="AH8202" s="9"/>
      <c r="AI8202" s="9"/>
    </row>
    <row r="8203" ht="15.0" customHeight="1">
      <c r="A8203" s="11">
        <v>8202.0</v>
      </c>
      <c r="B8203" s="12">
        <f t="shared" si="1309"/>
        <v>41234</v>
      </c>
      <c r="C8203" s="13">
        <v>2012.0</v>
      </c>
      <c r="D8203" s="11" t="s">
        <v>44</v>
      </c>
      <c r="E8203" s="11">
        <v>26.0</v>
      </c>
      <c r="F8203" s="14">
        <v>85.9</v>
      </c>
      <c r="G8203" s="15">
        <v>0.057692307692307584</v>
      </c>
      <c r="H8203" s="11" t="s">
        <v>33</v>
      </c>
      <c r="I8203" s="16">
        <v>1.0</v>
      </c>
      <c r="J8203" s="11" t="s">
        <v>2162</v>
      </c>
      <c r="K8203" s="11" t="s">
        <v>117</v>
      </c>
      <c r="L8203" s="11" t="s">
        <v>27</v>
      </c>
      <c r="M8203" s="11" t="s">
        <v>66</v>
      </c>
      <c r="N8203" s="11" t="s">
        <v>80</v>
      </c>
      <c r="O8203" s="11" t="s">
        <v>2349</v>
      </c>
      <c r="P8203" s="11" t="s">
        <v>99</v>
      </c>
      <c r="Q8203" s="20">
        <v>41238.0</v>
      </c>
      <c r="R8203" s="17">
        <f t="shared" si="2"/>
        <v>128.9076923</v>
      </c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>
        <f t="shared" si="8"/>
        <v>1</v>
      </c>
      <c r="AF8203" s="19" t="b">
        <f t="shared" si="13"/>
        <v>0</v>
      </c>
      <c r="AG8203" s="9"/>
      <c r="AH8203" s="9"/>
      <c r="AI8203" s="9"/>
    </row>
    <row r="8204" ht="15.0" customHeight="1">
      <c r="A8204" s="11">
        <v>8203.0</v>
      </c>
      <c r="B8204" s="12">
        <f t="shared" si="1309"/>
        <v>41234</v>
      </c>
      <c r="C8204" s="13">
        <v>2012.0</v>
      </c>
      <c r="D8204" s="11" t="s">
        <v>102</v>
      </c>
      <c r="E8204" s="11">
        <v>28.0</v>
      </c>
      <c r="F8204" s="14">
        <v>65.9</v>
      </c>
      <c r="G8204" s="15">
        <v>0.050896481387047304</v>
      </c>
      <c r="H8204" s="11" t="s">
        <v>33</v>
      </c>
      <c r="I8204" s="16">
        <v>15.991999999999999</v>
      </c>
      <c r="J8204" s="11" t="s">
        <v>2384</v>
      </c>
      <c r="K8204" s="11" t="s">
        <v>61</v>
      </c>
      <c r="L8204" s="11" t="s">
        <v>27</v>
      </c>
      <c r="M8204" s="11" t="s">
        <v>66</v>
      </c>
      <c r="N8204" s="11" t="s">
        <v>80</v>
      </c>
      <c r="O8204" s="11" t="s">
        <v>2115</v>
      </c>
      <c r="P8204" s="11" t="s">
        <v>38</v>
      </c>
      <c r="Q8204" s="20">
        <v>41238.0</v>
      </c>
      <c r="R8204" s="17">
        <f t="shared" si="2"/>
        <v>94.72812399</v>
      </c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>
        <f t="shared" si="8"/>
        <v>1</v>
      </c>
      <c r="AF8204" s="19">
        <f t="shared" si="13"/>
        <v>4</v>
      </c>
      <c r="AG8204" s="9"/>
      <c r="AH8204" s="9"/>
      <c r="AI8204" s="9"/>
    </row>
    <row r="8205" ht="15.0" customHeight="1">
      <c r="A8205" s="11">
        <v>8204.0</v>
      </c>
      <c r="B8205" s="12">
        <f t="shared" ref="B8205:B8207" si="1310">DATE(2012,12,31)-39</f>
        <v>41235</v>
      </c>
      <c r="C8205" s="13">
        <v>2012.0</v>
      </c>
      <c r="D8205" s="11" t="s">
        <v>44</v>
      </c>
      <c r="E8205" s="11">
        <v>49.0</v>
      </c>
      <c r="F8205" s="14">
        <v>48.9</v>
      </c>
      <c r="G8205" s="15">
        <v>0.03968479999999999</v>
      </c>
      <c r="H8205" s="11" t="s">
        <v>33</v>
      </c>
      <c r="I8205" s="16">
        <v>4.688000000000001</v>
      </c>
      <c r="J8205" s="11" t="s">
        <v>370</v>
      </c>
      <c r="K8205" s="11" t="s">
        <v>65</v>
      </c>
      <c r="L8205" s="11" t="s">
        <v>48</v>
      </c>
      <c r="M8205" s="11" t="s">
        <v>28</v>
      </c>
      <c r="N8205" s="11" t="s">
        <v>56</v>
      </c>
      <c r="O8205" s="11" t="s">
        <v>2073</v>
      </c>
      <c r="P8205" s="11" t="s">
        <v>38</v>
      </c>
      <c r="Q8205" s="20">
        <v>41238.0</v>
      </c>
      <c r="R8205" s="17">
        <f t="shared" si="2"/>
        <v>95.27479162</v>
      </c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>
        <f t="shared" si="8"/>
        <v>4</v>
      </c>
      <c r="AF8205" s="19">
        <f t="shared" si="13"/>
        <v>5</v>
      </c>
      <c r="AG8205" s="9"/>
      <c r="AH8205" s="9"/>
      <c r="AI8205" s="9"/>
    </row>
    <row r="8206" ht="15.0" customHeight="1">
      <c r="A8206" s="11">
        <v>8205.0</v>
      </c>
      <c r="B8206" s="12">
        <f t="shared" si="1310"/>
        <v>41235</v>
      </c>
      <c r="C8206" s="13">
        <v>2012.0</v>
      </c>
      <c r="D8206" s="11" t="s">
        <v>44</v>
      </c>
      <c r="E8206" s="11">
        <v>22.0</v>
      </c>
      <c r="F8206" s="14">
        <v>1.8</v>
      </c>
      <c r="G8206" s="15">
        <v>0.08332584269662918</v>
      </c>
      <c r="H8206" s="11" t="s">
        <v>33</v>
      </c>
      <c r="I8206" s="16">
        <v>1.192</v>
      </c>
      <c r="J8206" s="11" t="s">
        <v>1110</v>
      </c>
      <c r="K8206" s="11" t="s">
        <v>61</v>
      </c>
      <c r="L8206" s="11" t="s">
        <v>48</v>
      </c>
      <c r="M8206" s="11" t="s">
        <v>28</v>
      </c>
      <c r="N8206" s="11" t="s">
        <v>42</v>
      </c>
      <c r="O8206" s="11" t="s">
        <v>1129</v>
      </c>
      <c r="P8206" s="11" t="s">
        <v>38</v>
      </c>
      <c r="Q8206" s="20">
        <v>41239.0</v>
      </c>
      <c r="R8206" s="17">
        <f t="shared" si="2"/>
        <v>3.399027775</v>
      </c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>
        <f t="shared" si="8"/>
        <v>4</v>
      </c>
      <c r="AF8206" s="19">
        <f t="shared" si="13"/>
        <v>4</v>
      </c>
      <c r="AG8206" s="9"/>
      <c r="AH8206" s="9"/>
      <c r="AI8206" s="9"/>
    </row>
    <row r="8207" ht="15.0" customHeight="1">
      <c r="A8207" s="11">
        <v>8206.0</v>
      </c>
      <c r="B8207" s="12">
        <f t="shared" si="1310"/>
        <v>41235</v>
      </c>
      <c r="C8207" s="13">
        <v>2012.0</v>
      </c>
      <c r="D8207" s="11" t="s">
        <v>44</v>
      </c>
      <c r="E8207" s="11">
        <v>12.0</v>
      </c>
      <c r="F8207" s="14">
        <v>205.9</v>
      </c>
      <c r="G8207" s="15">
        <v>0.04869704089310666</v>
      </c>
      <c r="H8207" s="11" t="s">
        <v>24</v>
      </c>
      <c r="I8207" s="16">
        <v>7.192</v>
      </c>
      <c r="J8207" s="11" t="s">
        <v>2311</v>
      </c>
      <c r="K8207" s="11" t="s">
        <v>61</v>
      </c>
      <c r="L8207" s="11" t="s">
        <v>27</v>
      </c>
      <c r="M8207" s="11" t="s">
        <v>66</v>
      </c>
      <c r="N8207" s="11" t="s">
        <v>80</v>
      </c>
      <c r="O8207" s="11" t="s">
        <v>615</v>
      </c>
      <c r="P8207" s="11" t="s">
        <v>38</v>
      </c>
      <c r="Q8207" s="20">
        <v>41239.0</v>
      </c>
      <c r="R8207" s="17">
        <f t="shared" si="2"/>
        <v>120.6708778</v>
      </c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>
        <f t="shared" si="8"/>
        <v>1</v>
      </c>
      <c r="AF8207" s="19">
        <f t="shared" si="13"/>
        <v>4</v>
      </c>
      <c r="AG8207" s="9"/>
      <c r="AH8207" s="9"/>
      <c r="AI8207" s="9"/>
    </row>
    <row r="8208" ht="15.0" customHeight="1">
      <c r="A8208" s="11">
        <v>8207.0</v>
      </c>
      <c r="B8208" s="12">
        <f t="shared" ref="B8208:B8210" si="1311">DATE(2012,12,31)-38</f>
        <v>41236</v>
      </c>
      <c r="C8208" s="13">
        <v>2012.0</v>
      </c>
      <c r="D8208" s="11" t="s">
        <v>102</v>
      </c>
      <c r="E8208" s="11">
        <v>21.0</v>
      </c>
      <c r="F8208" s="14">
        <v>299.0</v>
      </c>
      <c r="G8208" s="15">
        <v>0.026258441966389167</v>
      </c>
      <c r="H8208" s="11" t="s">
        <v>45</v>
      </c>
      <c r="I8208" s="16">
        <v>69.608</v>
      </c>
      <c r="J8208" s="11" t="s">
        <v>2524</v>
      </c>
      <c r="K8208" s="11" t="s">
        <v>117</v>
      </c>
      <c r="L8208" s="11" t="s">
        <v>48</v>
      </c>
      <c r="M8208" s="11" t="s">
        <v>49</v>
      </c>
      <c r="N8208" s="11" t="s">
        <v>50</v>
      </c>
      <c r="O8208" s="11" t="s">
        <v>2615</v>
      </c>
      <c r="P8208" s="11" t="s">
        <v>52</v>
      </c>
      <c r="Q8208" s="20">
        <v>41239.0</v>
      </c>
      <c r="R8208" s="17">
        <f t="shared" si="2"/>
        <v>166.7045547</v>
      </c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>
        <f t="shared" si="8"/>
        <v>4</v>
      </c>
      <c r="AF8208" s="19" t="b">
        <f t="shared" si="13"/>
        <v>0</v>
      </c>
      <c r="AG8208" s="9"/>
      <c r="AH8208" s="9"/>
      <c r="AI8208" s="9"/>
    </row>
    <row r="8209" ht="15.0" customHeight="1">
      <c r="A8209" s="11">
        <v>8208.0</v>
      </c>
      <c r="B8209" s="12">
        <f t="shared" si="1311"/>
        <v>41236</v>
      </c>
      <c r="C8209" s="13">
        <v>2012.0</v>
      </c>
      <c r="D8209" s="11" t="s">
        <v>102</v>
      </c>
      <c r="E8209" s="11">
        <v>3.0</v>
      </c>
      <c r="F8209" s="14">
        <v>291.7</v>
      </c>
      <c r="G8209" s="15">
        <v>0.10052149955721744</v>
      </c>
      <c r="H8209" s="11" t="s">
        <v>45</v>
      </c>
      <c r="I8209" s="16">
        <v>39.04</v>
      </c>
      <c r="J8209" s="11" t="s">
        <v>2524</v>
      </c>
      <c r="K8209" s="11" t="s">
        <v>117</v>
      </c>
      <c r="L8209" s="11" t="s">
        <v>48</v>
      </c>
      <c r="M8209" s="11" t="s">
        <v>49</v>
      </c>
      <c r="N8209" s="11" t="s">
        <v>50</v>
      </c>
      <c r="O8209" s="11" t="s">
        <v>51</v>
      </c>
      <c r="P8209" s="11" t="s">
        <v>52</v>
      </c>
      <c r="Q8209" s="20">
        <v>41239.0</v>
      </c>
      <c r="R8209" s="17">
        <f t="shared" si="2"/>
        <v>91.89072361</v>
      </c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>
        <f t="shared" si="8"/>
        <v>4</v>
      </c>
      <c r="AF8209" s="19" t="b">
        <f t="shared" si="13"/>
        <v>0</v>
      </c>
      <c r="AG8209" s="9"/>
      <c r="AH8209" s="9"/>
      <c r="AI8209" s="9"/>
    </row>
    <row r="8210" ht="15.0" customHeight="1">
      <c r="A8210" s="11">
        <v>8209.0</v>
      </c>
      <c r="B8210" s="12">
        <f t="shared" si="1311"/>
        <v>41236</v>
      </c>
      <c r="C8210" s="13">
        <v>2012.0</v>
      </c>
      <c r="D8210" s="11" t="s">
        <v>102</v>
      </c>
      <c r="E8210" s="11">
        <v>5.0</v>
      </c>
      <c r="F8210" s="14">
        <v>30.4</v>
      </c>
      <c r="G8210" s="15">
        <v>0.03975830815709978</v>
      </c>
      <c r="H8210" s="11" t="s">
        <v>33</v>
      </c>
      <c r="I8210" s="16">
        <v>6.920000000000001</v>
      </c>
      <c r="J8210" s="11" t="s">
        <v>2524</v>
      </c>
      <c r="K8210" s="11" t="s">
        <v>117</v>
      </c>
      <c r="L8210" s="11" t="s">
        <v>48</v>
      </c>
      <c r="M8210" s="11" t="s">
        <v>66</v>
      </c>
      <c r="N8210" s="11" t="s">
        <v>67</v>
      </c>
      <c r="O8210" s="11" t="s">
        <v>228</v>
      </c>
      <c r="P8210" s="11" t="s">
        <v>38</v>
      </c>
      <c r="Q8210" s="20">
        <v>41239.0</v>
      </c>
      <c r="R8210" s="17">
        <f t="shared" si="2"/>
        <v>6.318390332</v>
      </c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>
        <f t="shared" si="8"/>
        <v>4</v>
      </c>
      <c r="AF8210" s="19" t="b">
        <f t="shared" si="13"/>
        <v>0</v>
      </c>
      <c r="AG8210" s="9"/>
      <c r="AH8210" s="9"/>
      <c r="AI8210" s="9"/>
    </row>
    <row r="8211" ht="15.0" customHeight="1">
      <c r="A8211" s="11">
        <v>8210.0</v>
      </c>
      <c r="B8211" s="12">
        <f t="shared" ref="B8211:B8216" si="1312">DATE(2012,12,31)-37</f>
        <v>41237</v>
      </c>
      <c r="C8211" s="13">
        <v>2012.0</v>
      </c>
      <c r="D8211" s="11" t="s">
        <v>44</v>
      </c>
      <c r="E8211" s="11">
        <v>35.0</v>
      </c>
      <c r="F8211" s="14">
        <v>5.4</v>
      </c>
      <c r="G8211" s="15">
        <v>0.08171102661596961</v>
      </c>
      <c r="H8211" s="11" t="s">
        <v>33</v>
      </c>
      <c r="I8211" s="16">
        <v>4.208</v>
      </c>
      <c r="J8211" s="11" t="s">
        <v>960</v>
      </c>
      <c r="K8211" s="11" t="s">
        <v>65</v>
      </c>
      <c r="L8211" s="11" t="s">
        <v>36</v>
      </c>
      <c r="M8211" s="11" t="s">
        <v>49</v>
      </c>
      <c r="N8211" s="11" t="s">
        <v>73</v>
      </c>
      <c r="O8211" s="11" t="s">
        <v>2582</v>
      </c>
      <c r="P8211" s="11" t="s">
        <v>99</v>
      </c>
      <c r="Q8211" s="20">
        <v>41240.0</v>
      </c>
      <c r="R8211" s="17">
        <f t="shared" si="2"/>
        <v>15.78722403</v>
      </c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>
        <f t="shared" si="8"/>
        <v>2</v>
      </c>
      <c r="AF8211" s="19">
        <f t="shared" si="13"/>
        <v>5</v>
      </c>
      <c r="AG8211" s="9"/>
      <c r="AH8211" s="9"/>
      <c r="AI8211" s="9"/>
    </row>
    <row r="8212" ht="15.0" customHeight="1">
      <c r="A8212" s="11">
        <v>8211.0</v>
      </c>
      <c r="B8212" s="12">
        <f t="shared" si="1312"/>
        <v>41237</v>
      </c>
      <c r="C8212" s="13">
        <v>2012.0</v>
      </c>
      <c r="D8212" s="11" t="s">
        <v>102</v>
      </c>
      <c r="E8212" s="11">
        <v>45.0</v>
      </c>
      <c r="F8212" s="14">
        <v>95.9</v>
      </c>
      <c r="G8212" s="15">
        <v>0.023420165628697087</v>
      </c>
      <c r="H8212" s="11" t="s">
        <v>45</v>
      </c>
      <c r="I8212" s="16">
        <v>59.48</v>
      </c>
      <c r="J8212" s="11" t="s">
        <v>1802</v>
      </c>
      <c r="K8212" s="11" t="s">
        <v>61</v>
      </c>
      <c r="L8212" s="11" t="s">
        <v>27</v>
      </c>
      <c r="M8212" s="11" t="s">
        <v>49</v>
      </c>
      <c r="N8212" s="11" t="s">
        <v>50</v>
      </c>
      <c r="O8212" s="11" t="s">
        <v>1959</v>
      </c>
      <c r="P8212" s="11" t="s">
        <v>52</v>
      </c>
      <c r="Q8212" s="20">
        <v>41240.0</v>
      </c>
      <c r="R8212" s="17">
        <f t="shared" si="2"/>
        <v>102.4627562</v>
      </c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>
        <f t="shared" si="8"/>
        <v>1</v>
      </c>
      <c r="AF8212" s="19">
        <f t="shared" si="13"/>
        <v>4</v>
      </c>
      <c r="AG8212" s="9"/>
      <c r="AH8212" s="9"/>
      <c r="AI8212" s="9"/>
    </row>
    <row r="8213" ht="15.0" customHeight="1">
      <c r="A8213" s="11">
        <v>8212.0</v>
      </c>
      <c r="B8213" s="12">
        <f t="shared" si="1312"/>
        <v>41237</v>
      </c>
      <c r="C8213" s="13">
        <v>2012.0</v>
      </c>
      <c r="D8213" s="11" t="s">
        <v>102</v>
      </c>
      <c r="E8213" s="11">
        <v>29.0</v>
      </c>
      <c r="F8213" s="14">
        <v>5.9</v>
      </c>
      <c r="G8213" s="15">
        <v>0.09131020196789216</v>
      </c>
      <c r="H8213" s="11" t="s">
        <v>33</v>
      </c>
      <c r="I8213" s="16">
        <v>4.368</v>
      </c>
      <c r="J8213" s="11" t="s">
        <v>1802</v>
      </c>
      <c r="K8213" s="11" t="s">
        <v>61</v>
      </c>
      <c r="L8213" s="11" t="s">
        <v>27</v>
      </c>
      <c r="M8213" s="11" t="s">
        <v>28</v>
      </c>
      <c r="N8213" s="11" t="s">
        <v>56</v>
      </c>
      <c r="O8213" s="11" t="s">
        <v>693</v>
      </c>
      <c r="P8213" s="11" t="s">
        <v>38</v>
      </c>
      <c r="Q8213" s="20">
        <v>41240.0</v>
      </c>
      <c r="R8213" s="17">
        <f t="shared" si="2"/>
        <v>16.02201852</v>
      </c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>
        <f t="shared" si="8"/>
        <v>1</v>
      </c>
      <c r="AF8213" s="19">
        <f t="shared" si="13"/>
        <v>4</v>
      </c>
      <c r="AG8213" s="9"/>
      <c r="AH8213" s="9"/>
      <c r="AI8213" s="9"/>
    </row>
    <row r="8214" ht="15.0" customHeight="1">
      <c r="A8214" s="11">
        <v>8213.0</v>
      </c>
      <c r="B8214" s="12">
        <f t="shared" si="1312"/>
        <v>41237</v>
      </c>
      <c r="C8214" s="13">
        <v>2012.0</v>
      </c>
      <c r="D8214" s="11" t="s">
        <v>44</v>
      </c>
      <c r="E8214" s="11">
        <v>7.0</v>
      </c>
      <c r="F8214" s="14">
        <v>4.0</v>
      </c>
      <c r="G8214" s="15">
        <v>0.12729166666666664</v>
      </c>
      <c r="H8214" s="11" t="s">
        <v>24</v>
      </c>
      <c r="I8214" s="16">
        <v>5.5120000000000005</v>
      </c>
      <c r="J8214" s="11" t="s">
        <v>1999</v>
      </c>
      <c r="K8214" s="11" t="s">
        <v>65</v>
      </c>
      <c r="L8214" s="11" t="s">
        <v>41</v>
      </c>
      <c r="M8214" s="11" t="s">
        <v>28</v>
      </c>
      <c r="N8214" s="11" t="s">
        <v>197</v>
      </c>
      <c r="O8214" s="11" t="s">
        <v>704</v>
      </c>
      <c r="P8214" s="11" t="s">
        <v>38</v>
      </c>
      <c r="Q8214" s="20">
        <v>41240.0</v>
      </c>
      <c r="R8214" s="17">
        <f t="shared" si="2"/>
        <v>4.265798333</v>
      </c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>
        <f t="shared" si="8"/>
        <v>3</v>
      </c>
      <c r="AF8214" s="19">
        <f t="shared" si="13"/>
        <v>5</v>
      </c>
      <c r="AG8214" s="9"/>
      <c r="AH8214" s="9"/>
      <c r="AI8214" s="9"/>
    </row>
    <row r="8215" ht="15.0" customHeight="1">
      <c r="A8215" s="11">
        <v>8214.0</v>
      </c>
      <c r="B8215" s="12">
        <f t="shared" si="1312"/>
        <v>41237</v>
      </c>
      <c r="C8215" s="13">
        <v>2012.0</v>
      </c>
      <c r="D8215" s="11" t="s">
        <v>44</v>
      </c>
      <c r="E8215" s="11">
        <v>18.0</v>
      </c>
      <c r="F8215" s="14">
        <v>35.4</v>
      </c>
      <c r="G8215" s="15">
        <v>0.012516168771173458</v>
      </c>
      <c r="H8215" s="11" t="s">
        <v>33</v>
      </c>
      <c r="I8215" s="16">
        <v>4.072</v>
      </c>
      <c r="J8215" s="11" t="s">
        <v>1999</v>
      </c>
      <c r="K8215" s="11" t="s">
        <v>65</v>
      </c>
      <c r="L8215" s="11" t="s">
        <v>41</v>
      </c>
      <c r="M8215" s="11" t="s">
        <v>28</v>
      </c>
      <c r="N8215" s="11" t="s">
        <v>56</v>
      </c>
      <c r="O8215" s="11" t="s">
        <v>1093</v>
      </c>
      <c r="P8215" s="11" t="s">
        <v>38</v>
      </c>
      <c r="Q8215" s="20">
        <v>41240.0</v>
      </c>
      <c r="R8215" s="17">
        <f t="shared" si="2"/>
        <v>8.02626858</v>
      </c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>
        <f t="shared" si="8"/>
        <v>3</v>
      </c>
      <c r="AF8215" s="19">
        <f t="shared" si="13"/>
        <v>5</v>
      </c>
      <c r="AG8215" s="9"/>
      <c r="AH8215" s="9"/>
      <c r="AI8215" s="9"/>
    </row>
    <row r="8216" ht="15.0" customHeight="1">
      <c r="A8216" s="11">
        <v>8215.0</v>
      </c>
      <c r="B8216" s="12">
        <f t="shared" si="1312"/>
        <v>41237</v>
      </c>
      <c r="C8216" s="13">
        <v>2012.0</v>
      </c>
      <c r="D8216" s="11" t="s">
        <v>44</v>
      </c>
      <c r="E8216" s="11">
        <v>12.0</v>
      </c>
      <c r="F8216" s="14">
        <v>113.9</v>
      </c>
      <c r="G8216" s="15">
        <v>0.014804845222072581</v>
      </c>
      <c r="H8216" s="11" t="s">
        <v>45</v>
      </c>
      <c r="I8216" s="16">
        <v>24.0</v>
      </c>
      <c r="J8216" s="11" t="s">
        <v>1999</v>
      </c>
      <c r="K8216" s="11" t="s">
        <v>65</v>
      </c>
      <c r="L8216" s="11" t="s">
        <v>41</v>
      </c>
      <c r="M8216" s="11" t="s">
        <v>49</v>
      </c>
      <c r="N8216" s="11" t="s">
        <v>50</v>
      </c>
      <c r="O8216" s="11" t="s">
        <v>816</v>
      </c>
      <c r="P8216" s="11" t="s">
        <v>52</v>
      </c>
      <c r="Q8216" s="20">
        <v>41240.0</v>
      </c>
      <c r="R8216" s="17">
        <f t="shared" si="2"/>
        <v>20.59057873</v>
      </c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>
        <f t="shared" si="8"/>
        <v>3</v>
      </c>
      <c r="AF8216" s="19">
        <f t="shared" si="13"/>
        <v>5</v>
      </c>
      <c r="AG8216" s="9"/>
      <c r="AH8216" s="9"/>
      <c r="AI8216" s="9"/>
    </row>
    <row r="8217" ht="15.0" customHeight="1">
      <c r="A8217" s="11">
        <v>8216.0</v>
      </c>
      <c r="B8217" s="12">
        <f t="shared" ref="B8217:B8219" si="1313">DATE(2012,12,31)-36</f>
        <v>41238</v>
      </c>
      <c r="C8217" s="13">
        <v>2012.0</v>
      </c>
      <c r="D8217" s="11" t="s">
        <v>102</v>
      </c>
      <c r="E8217" s="11">
        <v>17.0</v>
      </c>
      <c r="F8217" s="14">
        <v>140.9</v>
      </c>
      <c r="G8217" s="15">
        <v>0.04852836176120575</v>
      </c>
      <c r="H8217" s="11" t="s">
        <v>33</v>
      </c>
      <c r="I8217" s="16">
        <v>3.3600000000000003</v>
      </c>
      <c r="J8217" s="11" t="s">
        <v>2350</v>
      </c>
      <c r="K8217" s="11" t="s">
        <v>61</v>
      </c>
      <c r="L8217" s="11" t="s">
        <v>36</v>
      </c>
      <c r="M8217" s="11" t="s">
        <v>66</v>
      </c>
      <c r="N8217" s="11" t="s">
        <v>80</v>
      </c>
      <c r="O8217" s="11">
        <v>7160.0</v>
      </c>
      <c r="P8217" s="11" t="s">
        <v>38</v>
      </c>
      <c r="Q8217" s="20">
        <v>41240.0</v>
      </c>
      <c r="R8217" s="17">
        <f t="shared" si="2"/>
        <v>116.4030402</v>
      </c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>
        <f t="shared" si="8"/>
        <v>2</v>
      </c>
      <c r="AF8217" s="19">
        <f t="shared" si="13"/>
        <v>4</v>
      </c>
      <c r="AG8217" s="9"/>
      <c r="AH8217" s="9"/>
      <c r="AI8217" s="9"/>
    </row>
    <row r="8218" ht="15.0" customHeight="1">
      <c r="A8218" s="11">
        <v>8217.0</v>
      </c>
      <c r="B8218" s="12">
        <f t="shared" si="1313"/>
        <v>41238</v>
      </c>
      <c r="C8218" s="13">
        <v>2012.0</v>
      </c>
      <c r="D8218" s="11" t="s">
        <v>23</v>
      </c>
      <c r="E8218" s="11">
        <v>46.0</v>
      </c>
      <c r="F8218" s="14">
        <v>152.4</v>
      </c>
      <c r="G8218" s="15">
        <v>0.03907491642461772</v>
      </c>
      <c r="H8218" s="11" t="s">
        <v>33</v>
      </c>
      <c r="I8218" s="16">
        <v>3.2</v>
      </c>
      <c r="J8218" s="11" t="s">
        <v>152</v>
      </c>
      <c r="K8218" s="11" t="s">
        <v>61</v>
      </c>
      <c r="L8218" s="11" t="s">
        <v>27</v>
      </c>
      <c r="M8218" s="11" t="s">
        <v>66</v>
      </c>
      <c r="N8218" s="11" t="s">
        <v>67</v>
      </c>
      <c r="O8218" s="11" t="s">
        <v>944</v>
      </c>
      <c r="P8218" s="11" t="s">
        <v>38</v>
      </c>
      <c r="Q8218" s="20">
        <v>41241.0</v>
      </c>
      <c r="R8218" s="17">
        <f t="shared" si="2"/>
        <v>274.0558338</v>
      </c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>
        <f t="shared" si="8"/>
        <v>1</v>
      </c>
      <c r="AF8218" s="19">
        <f t="shared" si="13"/>
        <v>4</v>
      </c>
      <c r="AG8218" s="9"/>
      <c r="AH8218" s="9"/>
      <c r="AI8218" s="9"/>
    </row>
    <row r="8219" ht="15.0" customHeight="1">
      <c r="A8219" s="11">
        <v>8218.0</v>
      </c>
      <c r="B8219" s="12">
        <f t="shared" si="1313"/>
        <v>41238</v>
      </c>
      <c r="C8219" s="13">
        <v>2012.0</v>
      </c>
      <c r="D8219" s="11" t="s">
        <v>44</v>
      </c>
      <c r="E8219" s="11">
        <v>13.0</v>
      </c>
      <c r="F8219" s="14">
        <v>6.6</v>
      </c>
      <c r="G8219" s="15">
        <v>0.06892561983471071</v>
      </c>
      <c r="H8219" s="11" t="s">
        <v>33</v>
      </c>
      <c r="I8219" s="16">
        <v>4.328</v>
      </c>
      <c r="J8219" s="11" t="s">
        <v>1736</v>
      </c>
      <c r="K8219" s="11" t="s">
        <v>65</v>
      </c>
      <c r="L8219" s="11" t="s">
        <v>27</v>
      </c>
      <c r="M8219" s="11" t="s">
        <v>28</v>
      </c>
      <c r="N8219" s="11" t="s">
        <v>56</v>
      </c>
      <c r="O8219" s="11" t="s">
        <v>1271</v>
      </c>
      <c r="P8219" s="11" t="s">
        <v>38</v>
      </c>
      <c r="Q8219" s="20">
        <v>41241.0</v>
      </c>
      <c r="R8219" s="17">
        <f t="shared" si="2"/>
        <v>6.212128264</v>
      </c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>
        <f t="shared" si="8"/>
        <v>1</v>
      </c>
      <c r="AF8219" s="19">
        <f t="shared" si="13"/>
        <v>5</v>
      </c>
      <c r="AG8219" s="9"/>
      <c r="AH8219" s="9"/>
      <c r="AI8219" s="9"/>
    </row>
    <row r="8220" ht="15.0" customHeight="1">
      <c r="A8220" s="11">
        <v>8219.0</v>
      </c>
      <c r="B8220" s="12">
        <f t="shared" ref="B8220:B8226" si="1314">DATE(2012,12,31)-35</f>
        <v>41239</v>
      </c>
      <c r="C8220" s="13">
        <v>2012.0</v>
      </c>
      <c r="D8220" s="11" t="s">
        <v>102</v>
      </c>
      <c r="E8220" s="11">
        <v>35.0</v>
      </c>
      <c r="F8220" s="14">
        <v>2.6</v>
      </c>
      <c r="G8220" s="15">
        <v>0.047401247401247425</v>
      </c>
      <c r="H8220" s="11" t="s">
        <v>33</v>
      </c>
      <c r="I8220" s="16">
        <v>0.6400000000000001</v>
      </c>
      <c r="J8220" s="11" t="s">
        <v>395</v>
      </c>
      <c r="K8220" s="11" t="s">
        <v>35</v>
      </c>
      <c r="L8220" s="11" t="s">
        <v>36</v>
      </c>
      <c r="M8220" s="11" t="s">
        <v>28</v>
      </c>
      <c r="N8220" s="11" t="s">
        <v>216</v>
      </c>
      <c r="O8220" s="11" t="s">
        <v>1290</v>
      </c>
      <c r="P8220" s="11" t="s">
        <v>58</v>
      </c>
      <c r="Q8220" s="20">
        <v>41241.0</v>
      </c>
      <c r="R8220" s="17">
        <f t="shared" si="2"/>
        <v>4.343850312</v>
      </c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>
        <f t="shared" si="8"/>
        <v>2</v>
      </c>
      <c r="AF8220" s="19">
        <f t="shared" si="13"/>
        <v>2</v>
      </c>
      <c r="AG8220" s="9"/>
      <c r="AH8220" s="9"/>
      <c r="AI8220" s="9"/>
    </row>
    <row r="8221" ht="15.0" customHeight="1">
      <c r="A8221" s="11">
        <v>8220.0</v>
      </c>
      <c r="B8221" s="12">
        <f t="shared" si="1314"/>
        <v>41239</v>
      </c>
      <c r="C8221" s="13">
        <v>2012.0</v>
      </c>
      <c r="D8221" s="11" t="s">
        <v>23</v>
      </c>
      <c r="E8221" s="11">
        <v>16.0</v>
      </c>
      <c r="F8221" s="14">
        <v>31.9</v>
      </c>
      <c r="G8221" s="15">
        <v>0.06137215650591455</v>
      </c>
      <c r="H8221" s="11" t="s">
        <v>33</v>
      </c>
      <c r="I8221" s="16">
        <v>5.376</v>
      </c>
      <c r="J8221" s="11" t="s">
        <v>932</v>
      </c>
      <c r="K8221" s="11" t="s">
        <v>83</v>
      </c>
      <c r="L8221" s="11" t="s">
        <v>41</v>
      </c>
      <c r="M8221" s="11" t="s">
        <v>28</v>
      </c>
      <c r="N8221" s="11" t="s">
        <v>29</v>
      </c>
      <c r="O8221" s="11" t="s">
        <v>2159</v>
      </c>
      <c r="P8221" s="11" t="s">
        <v>38</v>
      </c>
      <c r="Q8221" s="20">
        <v>41241.0</v>
      </c>
      <c r="R8221" s="17">
        <f t="shared" si="2"/>
        <v>31.65428539</v>
      </c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>
        <f t="shared" si="8"/>
        <v>3</v>
      </c>
      <c r="AF8221" s="19" t="b">
        <f t="shared" si="13"/>
        <v>0</v>
      </c>
      <c r="AG8221" s="9"/>
      <c r="AH8221" s="9"/>
      <c r="AI8221" s="9"/>
    </row>
    <row r="8222" ht="15.0" customHeight="1">
      <c r="A8222" s="11">
        <v>8221.0</v>
      </c>
      <c r="B8222" s="12">
        <f t="shared" si="1314"/>
        <v>41239</v>
      </c>
      <c r="C8222" s="13">
        <v>2012.0</v>
      </c>
      <c r="D8222" s="11" t="s">
        <v>44</v>
      </c>
      <c r="E8222" s="11">
        <v>3.0</v>
      </c>
      <c r="F8222" s="14">
        <v>1500.9</v>
      </c>
      <c r="G8222" s="15">
        <v>0.08380528286610647</v>
      </c>
      <c r="H8222" s="11" t="s">
        <v>45</v>
      </c>
      <c r="I8222" s="16">
        <v>23.76</v>
      </c>
      <c r="J8222" s="11" t="s">
        <v>1633</v>
      </c>
      <c r="K8222" s="11" t="s">
        <v>117</v>
      </c>
      <c r="L8222" s="11" t="s">
        <v>48</v>
      </c>
      <c r="M8222" s="11" t="s">
        <v>66</v>
      </c>
      <c r="N8222" s="11" t="s">
        <v>69</v>
      </c>
      <c r="O8222" s="11" t="s">
        <v>938</v>
      </c>
      <c r="P8222" s="11" t="s">
        <v>52</v>
      </c>
      <c r="Q8222" s="20">
        <v>41242.0</v>
      </c>
      <c r="R8222" s="17">
        <f t="shared" si="2"/>
        <v>379.3412607</v>
      </c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>
        <f t="shared" si="8"/>
        <v>4</v>
      </c>
      <c r="AF8222" s="19" t="b">
        <f t="shared" si="13"/>
        <v>0</v>
      </c>
      <c r="AG8222" s="9"/>
      <c r="AH8222" s="9"/>
      <c r="AI8222" s="9"/>
    </row>
    <row r="8223" ht="15.0" customHeight="1">
      <c r="A8223" s="11">
        <v>8222.0</v>
      </c>
      <c r="B8223" s="12">
        <f t="shared" si="1314"/>
        <v>41239</v>
      </c>
      <c r="C8223" s="13">
        <v>2012.0</v>
      </c>
      <c r="D8223" s="11" t="s">
        <v>23</v>
      </c>
      <c r="E8223" s="11">
        <v>26.0</v>
      </c>
      <c r="F8223" s="14">
        <v>2.8</v>
      </c>
      <c r="G8223" s="15">
        <v>0.039268929503916396</v>
      </c>
      <c r="H8223" s="11" t="s">
        <v>33</v>
      </c>
      <c r="I8223" s="16">
        <v>0.792</v>
      </c>
      <c r="J8223" s="11" t="s">
        <v>145</v>
      </c>
      <c r="K8223" s="11" t="s">
        <v>83</v>
      </c>
      <c r="L8223" s="11" t="s">
        <v>41</v>
      </c>
      <c r="M8223" s="11" t="s">
        <v>28</v>
      </c>
      <c r="N8223" s="11" t="s">
        <v>188</v>
      </c>
      <c r="O8223" s="11" t="s">
        <v>2320</v>
      </c>
      <c r="P8223" s="11" t="s">
        <v>38</v>
      </c>
      <c r="Q8223" s="20">
        <v>41242.0</v>
      </c>
      <c r="R8223" s="17">
        <f t="shared" si="2"/>
        <v>2.88987906</v>
      </c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>
        <f t="shared" si="8"/>
        <v>3</v>
      </c>
      <c r="AF8223" s="19" t="b">
        <f t="shared" si="13"/>
        <v>0</v>
      </c>
      <c r="AG8223" s="9"/>
      <c r="AH8223" s="9"/>
      <c r="AI8223" s="9"/>
    </row>
    <row r="8224" ht="15.0" customHeight="1">
      <c r="A8224" s="11">
        <v>8223.0</v>
      </c>
      <c r="B8224" s="12">
        <f t="shared" si="1314"/>
        <v>41239</v>
      </c>
      <c r="C8224" s="13">
        <v>2012.0</v>
      </c>
      <c r="D8224" s="11" t="s">
        <v>23</v>
      </c>
      <c r="E8224" s="11">
        <v>4.0</v>
      </c>
      <c r="F8224" s="14">
        <v>10.1</v>
      </c>
      <c r="G8224" s="15">
        <v>0.05132584269662919</v>
      </c>
      <c r="H8224" s="11" t="s">
        <v>33</v>
      </c>
      <c r="I8224" s="16">
        <v>1.816</v>
      </c>
      <c r="J8224" s="11" t="s">
        <v>145</v>
      </c>
      <c r="K8224" s="11" t="s">
        <v>83</v>
      </c>
      <c r="L8224" s="11" t="s">
        <v>41</v>
      </c>
      <c r="M8224" s="11" t="s">
        <v>28</v>
      </c>
      <c r="N8224" s="11" t="s">
        <v>56</v>
      </c>
      <c r="O8224" s="11" t="s">
        <v>71</v>
      </c>
      <c r="P8224" s="11" t="s">
        <v>58</v>
      </c>
      <c r="Q8224" s="20">
        <v>41242.0</v>
      </c>
      <c r="R8224" s="17">
        <f t="shared" si="2"/>
        <v>2.166771775</v>
      </c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>
        <f t="shared" si="8"/>
        <v>3</v>
      </c>
      <c r="AF8224" s="19" t="b">
        <f t="shared" si="13"/>
        <v>0</v>
      </c>
      <c r="AG8224" s="9"/>
      <c r="AH8224" s="9"/>
      <c r="AI8224" s="9"/>
    </row>
    <row r="8225" ht="15.0" customHeight="1">
      <c r="A8225" s="11">
        <v>8224.0</v>
      </c>
      <c r="B8225" s="12">
        <f t="shared" si="1314"/>
        <v>41239</v>
      </c>
      <c r="C8225" s="13">
        <v>2012.0</v>
      </c>
      <c r="D8225" s="11" t="s">
        <v>23</v>
      </c>
      <c r="E8225" s="11">
        <v>40.0</v>
      </c>
      <c r="F8225" s="14">
        <v>8.0</v>
      </c>
      <c r="G8225" s="15">
        <v>0.07987595150831688</v>
      </c>
      <c r="H8225" s="11" t="s">
        <v>33</v>
      </c>
      <c r="I8225" s="16">
        <v>6.368</v>
      </c>
      <c r="J8225" s="11" t="s">
        <v>1984</v>
      </c>
      <c r="K8225" s="11" t="s">
        <v>61</v>
      </c>
      <c r="L8225" s="11" t="s">
        <v>41</v>
      </c>
      <c r="M8225" s="11" t="s">
        <v>49</v>
      </c>
      <c r="N8225" s="11" t="s">
        <v>73</v>
      </c>
      <c r="O8225" s="11" t="s">
        <v>318</v>
      </c>
      <c r="P8225" s="11" t="s">
        <v>38</v>
      </c>
      <c r="Q8225" s="20">
        <v>41242.0</v>
      </c>
      <c r="R8225" s="17">
        <f t="shared" si="2"/>
        <v>26.06895454</v>
      </c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>
        <f t="shared" si="8"/>
        <v>3</v>
      </c>
      <c r="AF8225" s="19">
        <f t="shared" si="13"/>
        <v>4</v>
      </c>
      <c r="AG8225" s="9"/>
      <c r="AH8225" s="9"/>
      <c r="AI8225" s="9"/>
    </row>
    <row r="8226" ht="15.0" customHeight="1">
      <c r="A8226" s="11">
        <v>8225.0</v>
      </c>
      <c r="B8226" s="12">
        <f t="shared" si="1314"/>
        <v>41239</v>
      </c>
      <c r="C8226" s="13">
        <v>2012.0</v>
      </c>
      <c r="D8226" s="11" t="s">
        <v>23</v>
      </c>
      <c r="E8226" s="11">
        <v>10.0</v>
      </c>
      <c r="F8226" s="14">
        <v>20.9</v>
      </c>
      <c r="G8226" s="15">
        <v>0.034038638454461846</v>
      </c>
      <c r="H8226" s="11" t="s">
        <v>33</v>
      </c>
      <c r="I8226" s="16">
        <v>1.0</v>
      </c>
      <c r="J8226" s="11" t="s">
        <v>1984</v>
      </c>
      <c r="K8226" s="11" t="s">
        <v>61</v>
      </c>
      <c r="L8226" s="11" t="s">
        <v>41</v>
      </c>
      <c r="M8226" s="11" t="s">
        <v>66</v>
      </c>
      <c r="N8226" s="11" t="s">
        <v>80</v>
      </c>
      <c r="O8226" s="11" t="s">
        <v>1992</v>
      </c>
      <c r="P8226" s="11" t="s">
        <v>99</v>
      </c>
      <c r="Q8226" s="20">
        <v>41242.0</v>
      </c>
      <c r="R8226" s="17">
        <f t="shared" si="2"/>
        <v>7.148114075</v>
      </c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>
        <f t="shared" si="8"/>
        <v>3</v>
      </c>
      <c r="AF8226" s="19">
        <f t="shared" si="13"/>
        <v>4</v>
      </c>
      <c r="AG8226" s="9"/>
      <c r="AH8226" s="9"/>
      <c r="AI8226" s="9"/>
    </row>
    <row r="8227" ht="15.0" customHeight="1">
      <c r="A8227" s="11">
        <v>8226.0</v>
      </c>
      <c r="B8227" s="12">
        <f>DATE(2012,12,31)-34</f>
        <v>41240</v>
      </c>
      <c r="C8227" s="13">
        <v>2012.0</v>
      </c>
      <c r="D8227" s="11" t="s">
        <v>102</v>
      </c>
      <c r="E8227" s="11">
        <v>45.0</v>
      </c>
      <c r="F8227" s="14">
        <v>65.9</v>
      </c>
      <c r="G8227" s="15">
        <v>0.021287282074943032</v>
      </c>
      <c r="H8227" s="11" t="s">
        <v>33</v>
      </c>
      <c r="I8227" s="16">
        <v>4.208</v>
      </c>
      <c r="J8227" s="11" t="s">
        <v>2452</v>
      </c>
      <c r="K8227" s="11" t="s">
        <v>65</v>
      </c>
      <c r="L8227" s="11" t="s">
        <v>41</v>
      </c>
      <c r="M8227" s="11" t="s">
        <v>66</v>
      </c>
      <c r="N8227" s="11" t="s">
        <v>80</v>
      </c>
      <c r="O8227" s="11">
        <v>8860.0</v>
      </c>
      <c r="P8227" s="11" t="s">
        <v>38</v>
      </c>
      <c r="Q8227" s="20">
        <v>41242.0</v>
      </c>
      <c r="R8227" s="17">
        <f t="shared" si="2"/>
        <v>63.21701188</v>
      </c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>
        <f t="shared" si="8"/>
        <v>3</v>
      </c>
      <c r="AF8227" s="19">
        <f t="shared" si="13"/>
        <v>5</v>
      </c>
      <c r="AG8227" s="9"/>
      <c r="AH8227" s="9"/>
      <c r="AI8227" s="9"/>
    </row>
    <row r="8228" ht="15.0" customHeight="1">
      <c r="A8228" s="11">
        <v>8227.0</v>
      </c>
      <c r="B8228" s="12">
        <f t="shared" ref="B8228:B8234" si="1315">DATE(2012,12,31)-33</f>
        <v>41241</v>
      </c>
      <c r="C8228" s="13">
        <v>2012.0</v>
      </c>
      <c r="D8228" s="11" t="s">
        <v>23</v>
      </c>
      <c r="E8228" s="11">
        <v>45.0</v>
      </c>
      <c r="F8228" s="14">
        <v>60.9</v>
      </c>
      <c r="G8228" s="15">
        <v>0.05918563773507625</v>
      </c>
      <c r="H8228" s="11" t="s">
        <v>33</v>
      </c>
      <c r="I8228" s="16">
        <v>15.991999999999999</v>
      </c>
      <c r="J8228" s="11" t="s">
        <v>604</v>
      </c>
      <c r="K8228" s="11" t="s">
        <v>83</v>
      </c>
      <c r="L8228" s="11" t="s">
        <v>36</v>
      </c>
      <c r="M8228" s="11" t="s">
        <v>28</v>
      </c>
      <c r="N8228" s="11" t="s">
        <v>236</v>
      </c>
      <c r="O8228" s="11" t="s">
        <v>1755</v>
      </c>
      <c r="P8228" s="11" t="s">
        <v>38</v>
      </c>
      <c r="Q8228" s="20">
        <v>41242.0</v>
      </c>
      <c r="R8228" s="17">
        <f t="shared" si="2"/>
        <v>163.1447369</v>
      </c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>
        <f t="shared" si="8"/>
        <v>2</v>
      </c>
      <c r="AF8228" s="19" t="b">
        <f t="shared" si="13"/>
        <v>0</v>
      </c>
      <c r="AG8228" s="9"/>
      <c r="AH8228" s="9"/>
      <c r="AI8228" s="9"/>
    </row>
    <row r="8229" ht="15.0" customHeight="1">
      <c r="A8229" s="11">
        <v>8228.0</v>
      </c>
      <c r="B8229" s="12">
        <f t="shared" si="1315"/>
        <v>41241</v>
      </c>
      <c r="C8229" s="13">
        <v>2012.0</v>
      </c>
      <c r="D8229" s="11" t="s">
        <v>23</v>
      </c>
      <c r="E8229" s="11">
        <v>38.0</v>
      </c>
      <c r="F8229" s="14">
        <v>115.9</v>
      </c>
      <c r="G8229" s="15">
        <v>0.04860903715851714</v>
      </c>
      <c r="H8229" s="11" t="s">
        <v>33</v>
      </c>
      <c r="I8229" s="16">
        <v>4.736</v>
      </c>
      <c r="J8229" s="11" t="s">
        <v>741</v>
      </c>
      <c r="K8229" s="11" t="s">
        <v>35</v>
      </c>
      <c r="L8229" s="11" t="s">
        <v>41</v>
      </c>
      <c r="M8229" s="11" t="s">
        <v>66</v>
      </c>
      <c r="N8229" s="11" t="s">
        <v>80</v>
      </c>
      <c r="O8229" s="11">
        <v>8890.0</v>
      </c>
      <c r="P8229" s="11" t="s">
        <v>38</v>
      </c>
      <c r="Q8229" s="20">
        <v>41243.0</v>
      </c>
      <c r="R8229" s="17">
        <f t="shared" si="2"/>
        <v>214.3141339</v>
      </c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>
        <f t="shared" si="8"/>
        <v>3</v>
      </c>
      <c r="AF8229" s="19">
        <f t="shared" si="13"/>
        <v>2</v>
      </c>
      <c r="AG8229" s="9"/>
      <c r="AH8229" s="9"/>
      <c r="AI8229" s="9"/>
    </row>
    <row r="8230" ht="15.0" customHeight="1">
      <c r="A8230" s="11">
        <v>8229.0</v>
      </c>
      <c r="B8230" s="12">
        <f t="shared" si="1315"/>
        <v>41241</v>
      </c>
      <c r="C8230" s="13">
        <v>2012.0</v>
      </c>
      <c r="D8230" s="11" t="s">
        <v>102</v>
      </c>
      <c r="E8230" s="11">
        <v>12.0</v>
      </c>
      <c r="F8230" s="14">
        <v>100.9</v>
      </c>
      <c r="G8230" s="15">
        <v>0.03568395199124254</v>
      </c>
      <c r="H8230" s="11" t="s">
        <v>33</v>
      </c>
      <c r="I8230" s="16">
        <v>5.744</v>
      </c>
      <c r="J8230" s="11" t="s">
        <v>751</v>
      </c>
      <c r="K8230" s="11" t="s">
        <v>61</v>
      </c>
      <c r="L8230" s="11" t="s">
        <v>41</v>
      </c>
      <c r="M8230" s="11" t="s">
        <v>66</v>
      </c>
      <c r="N8230" s="11" t="s">
        <v>67</v>
      </c>
      <c r="O8230" s="11" t="s">
        <v>1181</v>
      </c>
      <c r="P8230" s="11" t="s">
        <v>38</v>
      </c>
      <c r="Q8230" s="20">
        <v>41243.0</v>
      </c>
      <c r="R8230" s="17">
        <f t="shared" si="2"/>
        <v>43.41109769</v>
      </c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>
        <f t="shared" si="8"/>
        <v>3</v>
      </c>
      <c r="AF8230" s="19">
        <f t="shared" si="13"/>
        <v>4</v>
      </c>
      <c r="AG8230" s="9"/>
      <c r="AH8230" s="9"/>
      <c r="AI8230" s="9"/>
    </row>
    <row r="8231" ht="15.0" customHeight="1">
      <c r="A8231" s="11">
        <v>8230.0</v>
      </c>
      <c r="B8231" s="12">
        <f t="shared" si="1315"/>
        <v>41241</v>
      </c>
      <c r="C8231" s="13">
        <v>2012.0</v>
      </c>
      <c r="D8231" s="11" t="s">
        <v>102</v>
      </c>
      <c r="E8231" s="11">
        <v>26.0</v>
      </c>
      <c r="F8231" s="14">
        <v>160.9</v>
      </c>
      <c r="G8231" s="15">
        <v>0.0671987584524996</v>
      </c>
      <c r="H8231" s="11" t="s">
        <v>45</v>
      </c>
      <c r="I8231" s="16">
        <v>24.0</v>
      </c>
      <c r="J8231" s="11" t="s">
        <v>751</v>
      </c>
      <c r="K8231" s="11" t="s">
        <v>61</v>
      </c>
      <c r="L8231" s="11" t="s">
        <v>41</v>
      </c>
      <c r="M8231" s="11" t="s">
        <v>49</v>
      </c>
      <c r="N8231" s="11" t="s">
        <v>50</v>
      </c>
      <c r="O8231" s="11" t="s">
        <v>515</v>
      </c>
      <c r="P8231" s="11" t="s">
        <v>52</v>
      </c>
      <c r="Q8231" s="20">
        <v>41243.0</v>
      </c>
      <c r="R8231" s="17">
        <f t="shared" si="2"/>
        <v>282.7320563</v>
      </c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>
        <f t="shared" si="8"/>
        <v>3</v>
      </c>
      <c r="AF8231" s="19">
        <f t="shared" si="13"/>
        <v>4</v>
      </c>
      <c r="AG8231" s="9"/>
      <c r="AH8231" s="9"/>
      <c r="AI8231" s="9"/>
    </row>
    <row r="8232" ht="15.0" customHeight="1">
      <c r="A8232" s="11">
        <v>8231.0</v>
      </c>
      <c r="B8232" s="12">
        <f t="shared" si="1315"/>
        <v>41241</v>
      </c>
      <c r="C8232" s="13">
        <v>2012.0</v>
      </c>
      <c r="D8232" s="11" t="s">
        <v>102</v>
      </c>
      <c r="E8232" s="11">
        <v>26.0</v>
      </c>
      <c r="F8232" s="14">
        <v>120.9</v>
      </c>
      <c r="G8232" s="15">
        <v>0.0485894652883836</v>
      </c>
      <c r="H8232" s="11" t="s">
        <v>24</v>
      </c>
      <c r="I8232" s="16">
        <v>5.688000000000001</v>
      </c>
      <c r="J8232" s="11" t="s">
        <v>751</v>
      </c>
      <c r="K8232" s="11" t="s">
        <v>61</v>
      </c>
      <c r="L8232" s="11" t="s">
        <v>41</v>
      </c>
      <c r="M8232" s="11" t="s">
        <v>66</v>
      </c>
      <c r="N8232" s="11" t="s">
        <v>69</v>
      </c>
      <c r="O8232" s="11" t="s">
        <v>1833</v>
      </c>
      <c r="P8232" s="11" t="s">
        <v>75</v>
      </c>
      <c r="Q8232" s="20">
        <v>41243.0</v>
      </c>
      <c r="R8232" s="17">
        <f t="shared" si="2"/>
        <v>153.0125021</v>
      </c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>
        <f t="shared" si="8"/>
        <v>3</v>
      </c>
      <c r="AF8232" s="19">
        <f t="shared" si="13"/>
        <v>4</v>
      </c>
      <c r="AG8232" s="9"/>
      <c r="AH8232" s="9"/>
      <c r="AI8232" s="9"/>
    </row>
    <row r="8233" ht="15.0" customHeight="1">
      <c r="A8233" s="11">
        <v>8232.0</v>
      </c>
      <c r="B8233" s="12">
        <f t="shared" si="1315"/>
        <v>41241</v>
      </c>
      <c r="C8233" s="13">
        <v>2012.0</v>
      </c>
      <c r="D8233" s="11" t="s">
        <v>102</v>
      </c>
      <c r="E8233" s="11">
        <v>4.0</v>
      </c>
      <c r="F8233" s="14">
        <v>6.4</v>
      </c>
      <c r="G8233" s="15">
        <v>0.14789743589743592</v>
      </c>
      <c r="H8233" s="11" t="s">
        <v>33</v>
      </c>
      <c r="I8233" s="16">
        <v>7.632</v>
      </c>
      <c r="J8233" s="11" t="s">
        <v>1048</v>
      </c>
      <c r="K8233" s="11" t="s">
        <v>65</v>
      </c>
      <c r="L8233" s="11" t="s">
        <v>48</v>
      </c>
      <c r="M8233" s="11" t="s">
        <v>28</v>
      </c>
      <c r="N8233" s="11" t="s">
        <v>56</v>
      </c>
      <c r="O8233" s="11" t="s">
        <v>1474</v>
      </c>
      <c r="P8233" s="11" t="s">
        <v>38</v>
      </c>
      <c r="Q8233" s="20">
        <v>41243.0</v>
      </c>
      <c r="R8233" s="17">
        <f t="shared" si="2"/>
        <v>4.91492759</v>
      </c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>
        <f t="shared" si="8"/>
        <v>4</v>
      </c>
      <c r="AF8233" s="19">
        <f t="shared" si="13"/>
        <v>5</v>
      </c>
      <c r="AG8233" s="9"/>
      <c r="AH8233" s="9"/>
      <c r="AI8233" s="9"/>
    </row>
    <row r="8234" ht="15.0" customHeight="1">
      <c r="A8234" s="11">
        <v>8233.0</v>
      </c>
      <c r="B8234" s="12">
        <f t="shared" si="1315"/>
        <v>41241</v>
      </c>
      <c r="C8234" s="13">
        <v>2012.0</v>
      </c>
      <c r="D8234" s="11" t="s">
        <v>23</v>
      </c>
      <c r="E8234" s="11">
        <v>36.0</v>
      </c>
      <c r="F8234" s="14">
        <v>2.2</v>
      </c>
      <c r="G8234" s="15">
        <v>0.025578562728379956</v>
      </c>
      <c r="H8234" s="11" t="s">
        <v>33</v>
      </c>
      <c r="I8234" s="16">
        <v>0.8</v>
      </c>
      <c r="J8234" s="11" t="s">
        <v>1355</v>
      </c>
      <c r="K8234" s="11" t="s">
        <v>61</v>
      </c>
      <c r="L8234" s="11" t="s">
        <v>27</v>
      </c>
      <c r="M8234" s="11" t="s">
        <v>28</v>
      </c>
      <c r="N8234" s="11" t="s">
        <v>62</v>
      </c>
      <c r="O8234" s="11" t="s">
        <v>1786</v>
      </c>
      <c r="P8234" s="11" t="s">
        <v>58</v>
      </c>
      <c r="Q8234" s="20">
        <v>41243.0</v>
      </c>
      <c r="R8234" s="17">
        <f t="shared" si="2"/>
        <v>2.046285018</v>
      </c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>
        <f t="shared" si="8"/>
        <v>1</v>
      </c>
      <c r="AF8234" s="19">
        <f t="shared" si="13"/>
        <v>4</v>
      </c>
      <c r="AG8234" s="9"/>
      <c r="AH8234" s="9"/>
      <c r="AI8234" s="9"/>
    </row>
    <row r="8235" ht="15.0" customHeight="1">
      <c r="A8235" s="11">
        <v>8234.0</v>
      </c>
      <c r="B8235" s="12">
        <f t="shared" ref="B8235:B8238" si="1316">DATE(2012,12,31)-32</f>
        <v>41242</v>
      </c>
      <c r="C8235" s="13">
        <v>2012.0</v>
      </c>
      <c r="D8235" s="11" t="s">
        <v>32</v>
      </c>
      <c r="E8235" s="11">
        <v>48.0</v>
      </c>
      <c r="F8235" s="14">
        <v>111.0</v>
      </c>
      <c r="G8235" s="15">
        <v>0.09143499437991756</v>
      </c>
      <c r="H8235" s="11" t="s">
        <v>33</v>
      </c>
      <c r="I8235" s="16">
        <v>6.912000000000001</v>
      </c>
      <c r="J8235" s="11" t="s">
        <v>1654</v>
      </c>
      <c r="K8235" s="11" t="s">
        <v>117</v>
      </c>
      <c r="L8235" s="11" t="s">
        <v>36</v>
      </c>
      <c r="M8235" s="11" t="s">
        <v>28</v>
      </c>
      <c r="N8235" s="11" t="s">
        <v>29</v>
      </c>
      <c r="O8235" s="11" t="s">
        <v>1819</v>
      </c>
      <c r="P8235" s="11" t="s">
        <v>38</v>
      </c>
      <c r="Q8235" s="20">
        <v>41244.0</v>
      </c>
      <c r="R8235" s="17">
        <f t="shared" si="2"/>
        <v>487.7976487</v>
      </c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>
        <f t="shared" si="8"/>
        <v>2</v>
      </c>
      <c r="AF8235" s="19" t="b">
        <f t="shared" si="13"/>
        <v>0</v>
      </c>
      <c r="AG8235" s="9"/>
      <c r="AH8235" s="9"/>
      <c r="AI8235" s="9"/>
    </row>
    <row r="8236" ht="15.0" customHeight="1">
      <c r="A8236" s="11">
        <v>8235.0</v>
      </c>
      <c r="B8236" s="12">
        <f t="shared" si="1316"/>
        <v>41242</v>
      </c>
      <c r="C8236" s="13">
        <v>2012.0</v>
      </c>
      <c r="D8236" s="11" t="s">
        <v>39</v>
      </c>
      <c r="E8236" s="11">
        <v>36.0</v>
      </c>
      <c r="F8236" s="14">
        <v>65.9</v>
      </c>
      <c r="G8236" s="15">
        <v>0.01164864415238721</v>
      </c>
      <c r="H8236" s="11" t="s">
        <v>33</v>
      </c>
      <c r="I8236" s="16">
        <v>3.9920000000000004</v>
      </c>
      <c r="J8236" s="11" t="s">
        <v>808</v>
      </c>
      <c r="K8236" s="11" t="s">
        <v>83</v>
      </c>
      <c r="L8236" s="11" t="s">
        <v>48</v>
      </c>
      <c r="M8236" s="11" t="s">
        <v>66</v>
      </c>
      <c r="N8236" s="11" t="s">
        <v>80</v>
      </c>
      <c r="O8236" s="11" t="s">
        <v>1512</v>
      </c>
      <c r="P8236" s="11" t="s">
        <v>38</v>
      </c>
      <c r="Q8236" s="20">
        <v>41244.0</v>
      </c>
      <c r="R8236" s="17">
        <f t="shared" si="2"/>
        <v>27.68174477</v>
      </c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>
        <f t="shared" si="8"/>
        <v>4</v>
      </c>
      <c r="AF8236" s="19" t="b">
        <f t="shared" si="13"/>
        <v>0</v>
      </c>
      <c r="AG8236" s="9"/>
      <c r="AH8236" s="9"/>
      <c r="AI8236" s="9"/>
    </row>
    <row r="8237" ht="15.0" customHeight="1">
      <c r="A8237" s="11">
        <v>8236.0</v>
      </c>
      <c r="B8237" s="12">
        <f t="shared" si="1316"/>
        <v>41242</v>
      </c>
      <c r="C8237" s="13">
        <v>2012.0</v>
      </c>
      <c r="D8237" s="11" t="s">
        <v>39</v>
      </c>
      <c r="E8237" s="11">
        <v>16.0</v>
      </c>
      <c r="F8237" s="14">
        <v>13.9</v>
      </c>
      <c r="G8237" s="15">
        <v>0.09397857992859968</v>
      </c>
      <c r="H8237" s="11" t="s">
        <v>33</v>
      </c>
      <c r="I8237" s="16">
        <v>6.008</v>
      </c>
      <c r="J8237" s="11" t="s">
        <v>808</v>
      </c>
      <c r="K8237" s="11" t="s">
        <v>83</v>
      </c>
      <c r="L8237" s="11" t="s">
        <v>48</v>
      </c>
      <c r="M8237" s="11" t="s">
        <v>66</v>
      </c>
      <c r="N8237" s="11" t="s">
        <v>69</v>
      </c>
      <c r="O8237" s="11" t="s">
        <v>607</v>
      </c>
      <c r="P8237" s="11" t="s">
        <v>75</v>
      </c>
      <c r="Q8237" s="20">
        <v>41244.0</v>
      </c>
      <c r="R8237" s="17">
        <f t="shared" si="2"/>
        <v>21.46545948</v>
      </c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>
        <f t="shared" si="8"/>
        <v>4</v>
      </c>
      <c r="AF8237" s="19" t="b">
        <f t="shared" si="13"/>
        <v>0</v>
      </c>
      <c r="AG8237" s="9"/>
      <c r="AH8237" s="9"/>
      <c r="AI8237" s="9"/>
    </row>
    <row r="8238" ht="15.0" customHeight="1">
      <c r="A8238" s="11">
        <v>8237.0</v>
      </c>
      <c r="B8238" s="12">
        <f t="shared" si="1316"/>
        <v>41242</v>
      </c>
      <c r="C8238" s="13">
        <v>2012.0</v>
      </c>
      <c r="D8238" s="11" t="s">
        <v>39</v>
      </c>
      <c r="E8238" s="11">
        <v>38.0</v>
      </c>
      <c r="F8238" s="14">
        <v>20.3</v>
      </c>
      <c r="G8238" s="15">
        <v>0.05764470116703994</v>
      </c>
      <c r="H8238" s="11" t="s">
        <v>33</v>
      </c>
      <c r="I8238" s="16">
        <v>28.0</v>
      </c>
      <c r="J8238" s="11" t="s">
        <v>808</v>
      </c>
      <c r="K8238" s="11" t="s">
        <v>83</v>
      </c>
      <c r="L8238" s="11" t="s">
        <v>48</v>
      </c>
      <c r="M8238" s="11" t="s">
        <v>28</v>
      </c>
      <c r="N8238" s="11" t="s">
        <v>29</v>
      </c>
      <c r="O8238" s="11" t="s">
        <v>162</v>
      </c>
      <c r="P8238" s="11" t="s">
        <v>31</v>
      </c>
      <c r="Q8238" s="20">
        <v>41244.0</v>
      </c>
      <c r="R8238" s="17">
        <f t="shared" si="2"/>
        <v>46.08117411</v>
      </c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>
        <f t="shared" si="8"/>
        <v>4</v>
      </c>
      <c r="AF8238" s="19" t="b">
        <f t="shared" si="13"/>
        <v>0</v>
      </c>
      <c r="AG8238" s="9"/>
      <c r="AH8238" s="9"/>
      <c r="AI8238" s="9"/>
    </row>
    <row r="8239" ht="15.0" customHeight="1">
      <c r="A8239" s="11">
        <v>8238.0</v>
      </c>
      <c r="B8239" s="12">
        <f t="shared" ref="B8239:B8244" si="1317">DATE(2012,12,31)-31</f>
        <v>41243</v>
      </c>
      <c r="C8239" s="13">
        <v>2012.0</v>
      </c>
      <c r="D8239" s="11" t="s">
        <v>32</v>
      </c>
      <c r="E8239" s="11">
        <v>41.0</v>
      </c>
      <c r="F8239" s="14">
        <v>14.3</v>
      </c>
      <c r="G8239" s="15">
        <v>0.0277199464496541</v>
      </c>
      <c r="H8239" s="11" t="s">
        <v>33</v>
      </c>
      <c r="I8239" s="16">
        <v>4.0</v>
      </c>
      <c r="J8239" s="11" t="s">
        <v>91</v>
      </c>
      <c r="K8239" s="11" t="s">
        <v>35</v>
      </c>
      <c r="L8239" s="11" t="s">
        <v>48</v>
      </c>
      <c r="M8239" s="11" t="s">
        <v>49</v>
      </c>
      <c r="N8239" s="11" t="s">
        <v>73</v>
      </c>
      <c r="O8239" s="11" t="s">
        <v>467</v>
      </c>
      <c r="P8239" s="11" t="s">
        <v>99</v>
      </c>
      <c r="Q8239" s="20">
        <v>41244.0</v>
      </c>
      <c r="R8239" s="17">
        <f t="shared" si="2"/>
        <v>16.36308439</v>
      </c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>
        <f t="shared" si="8"/>
        <v>4</v>
      </c>
      <c r="AF8239" s="19">
        <f t="shared" si="13"/>
        <v>2</v>
      </c>
      <c r="AG8239" s="9"/>
      <c r="AH8239" s="9"/>
      <c r="AI8239" s="9"/>
    </row>
    <row r="8240" ht="15.0" customHeight="1">
      <c r="A8240" s="11">
        <v>8239.0</v>
      </c>
      <c r="B8240" s="12">
        <f t="shared" si="1317"/>
        <v>41243</v>
      </c>
      <c r="C8240" s="13">
        <v>2012.0</v>
      </c>
      <c r="D8240" s="11" t="s">
        <v>32</v>
      </c>
      <c r="E8240" s="11">
        <v>24.0</v>
      </c>
      <c r="F8240" s="14">
        <v>138.7</v>
      </c>
      <c r="G8240" s="15">
        <v>0.06862590146721562</v>
      </c>
      <c r="H8240" s="11" t="s">
        <v>45</v>
      </c>
      <c r="I8240" s="16">
        <v>41.93600000000001</v>
      </c>
      <c r="J8240" s="11" t="s">
        <v>91</v>
      </c>
      <c r="K8240" s="11" t="s">
        <v>35</v>
      </c>
      <c r="L8240" s="11" t="s">
        <v>48</v>
      </c>
      <c r="M8240" s="11" t="s">
        <v>49</v>
      </c>
      <c r="N8240" s="11" t="s">
        <v>85</v>
      </c>
      <c r="O8240" s="11" t="s">
        <v>967</v>
      </c>
      <c r="P8240" s="11" t="s">
        <v>87</v>
      </c>
      <c r="Q8240" s="20">
        <v>41244.0</v>
      </c>
      <c r="R8240" s="17">
        <f t="shared" si="2"/>
        <v>231.3197966</v>
      </c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>
        <f t="shared" si="8"/>
        <v>4</v>
      </c>
      <c r="AF8240" s="19">
        <f t="shared" si="13"/>
        <v>2</v>
      </c>
      <c r="AG8240" s="9"/>
      <c r="AH8240" s="9"/>
      <c r="AI8240" s="9"/>
    </row>
    <row r="8241" ht="15.0" customHeight="1">
      <c r="A8241" s="11">
        <v>8240.0</v>
      </c>
      <c r="B8241" s="12">
        <f t="shared" si="1317"/>
        <v>41243</v>
      </c>
      <c r="C8241" s="13">
        <v>2012.0</v>
      </c>
      <c r="D8241" s="11" t="s">
        <v>23</v>
      </c>
      <c r="E8241" s="11">
        <v>3.0</v>
      </c>
      <c r="F8241" s="14">
        <v>70.9</v>
      </c>
      <c r="G8241" s="15">
        <v>0.027498989140480504</v>
      </c>
      <c r="H8241" s="11" t="s">
        <v>33</v>
      </c>
      <c r="I8241" s="16">
        <v>2.8000000000000003</v>
      </c>
      <c r="J8241" s="11" t="s">
        <v>2250</v>
      </c>
      <c r="K8241" s="11" t="s">
        <v>61</v>
      </c>
      <c r="L8241" s="11" t="s">
        <v>48</v>
      </c>
      <c r="M8241" s="11" t="s">
        <v>28</v>
      </c>
      <c r="N8241" s="11" t="s">
        <v>197</v>
      </c>
      <c r="O8241" s="11" t="s">
        <v>1134</v>
      </c>
      <c r="P8241" s="11" t="s">
        <v>38</v>
      </c>
      <c r="Q8241" s="20">
        <v>41245.0</v>
      </c>
      <c r="R8241" s="17">
        <f t="shared" si="2"/>
        <v>5.92603216</v>
      </c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>
        <f t="shared" si="8"/>
        <v>4</v>
      </c>
      <c r="AF8241" s="19">
        <f t="shared" si="13"/>
        <v>4</v>
      </c>
      <c r="AG8241" s="9"/>
      <c r="AH8241" s="9"/>
      <c r="AI8241" s="9"/>
    </row>
    <row r="8242" ht="15.0" customHeight="1">
      <c r="A8242" s="11">
        <v>8241.0</v>
      </c>
      <c r="B8242" s="12">
        <f t="shared" si="1317"/>
        <v>41243</v>
      </c>
      <c r="C8242" s="13">
        <v>2012.0</v>
      </c>
      <c r="D8242" s="11" t="s">
        <v>23</v>
      </c>
      <c r="E8242" s="11">
        <v>35.0</v>
      </c>
      <c r="F8242" s="14">
        <v>37.9</v>
      </c>
      <c r="G8242" s="15">
        <v>0.07574048346762978</v>
      </c>
      <c r="H8242" s="11" t="s">
        <v>33</v>
      </c>
      <c r="I8242" s="16">
        <v>4.064</v>
      </c>
      <c r="J8242" s="11" t="s">
        <v>2250</v>
      </c>
      <c r="K8242" s="11" t="s">
        <v>61</v>
      </c>
      <c r="L8242" s="11" t="s">
        <v>48</v>
      </c>
      <c r="M8242" s="11" t="s">
        <v>28</v>
      </c>
      <c r="N8242" s="11" t="s">
        <v>56</v>
      </c>
      <c r="O8242" s="11" t="s">
        <v>1040</v>
      </c>
      <c r="P8242" s="11" t="s">
        <v>58</v>
      </c>
      <c r="Q8242" s="20">
        <v>41245.0</v>
      </c>
      <c r="R8242" s="17">
        <f t="shared" si="2"/>
        <v>100.7775606</v>
      </c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>
        <f t="shared" si="8"/>
        <v>4</v>
      </c>
      <c r="AF8242" s="19">
        <f t="shared" si="13"/>
        <v>4</v>
      </c>
      <c r="AG8242" s="9"/>
      <c r="AH8242" s="9"/>
      <c r="AI8242" s="9"/>
    </row>
    <row r="8243" ht="15.0" customHeight="1">
      <c r="A8243" s="11">
        <v>8242.0</v>
      </c>
      <c r="B8243" s="12">
        <f t="shared" si="1317"/>
        <v>41243</v>
      </c>
      <c r="C8243" s="13">
        <v>2012.0</v>
      </c>
      <c r="D8243" s="11" t="s">
        <v>23</v>
      </c>
      <c r="E8243" s="11">
        <v>3.0</v>
      </c>
      <c r="F8243" s="14">
        <v>2036.4</v>
      </c>
      <c r="G8243" s="15">
        <v>0.05708079796657153</v>
      </c>
      <c r="H8243" s="11" t="s">
        <v>45</v>
      </c>
      <c r="I8243" s="16">
        <v>11.76</v>
      </c>
      <c r="J8243" s="11" t="s">
        <v>2250</v>
      </c>
      <c r="K8243" s="11" t="s">
        <v>61</v>
      </c>
      <c r="L8243" s="11" t="s">
        <v>48</v>
      </c>
      <c r="M8243" s="11" t="s">
        <v>66</v>
      </c>
      <c r="N8243" s="11" t="s">
        <v>69</v>
      </c>
      <c r="O8243" s="11" t="s">
        <v>618</v>
      </c>
      <c r="P8243" s="11" t="s">
        <v>52</v>
      </c>
      <c r="Q8243" s="20">
        <v>41245.0</v>
      </c>
      <c r="R8243" s="17">
        <f t="shared" si="2"/>
        <v>349.3892811</v>
      </c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>
        <f t="shared" si="8"/>
        <v>4</v>
      </c>
      <c r="AF8243" s="19">
        <f t="shared" si="13"/>
        <v>4</v>
      </c>
      <c r="AG8243" s="9"/>
      <c r="AH8243" s="9"/>
      <c r="AI8243" s="9"/>
    </row>
    <row r="8244" ht="15.0" customHeight="1">
      <c r="A8244" s="11">
        <v>8243.0</v>
      </c>
      <c r="B8244" s="12">
        <f t="shared" si="1317"/>
        <v>41243</v>
      </c>
      <c r="C8244" s="13">
        <v>2012.0</v>
      </c>
      <c r="D8244" s="11" t="s">
        <v>44</v>
      </c>
      <c r="E8244" s="11">
        <v>9.0</v>
      </c>
      <c r="F8244" s="14">
        <v>2550.1</v>
      </c>
      <c r="G8244" s="15">
        <v>0.056861714792404004</v>
      </c>
      <c r="H8244" s="11" t="s">
        <v>45</v>
      </c>
      <c r="I8244" s="16">
        <v>23.76</v>
      </c>
      <c r="J8244" s="11" t="s">
        <v>960</v>
      </c>
      <c r="K8244" s="11" t="s">
        <v>65</v>
      </c>
      <c r="L8244" s="11" t="s">
        <v>36</v>
      </c>
      <c r="M8244" s="11" t="s">
        <v>66</v>
      </c>
      <c r="N8244" s="11" t="s">
        <v>69</v>
      </c>
      <c r="O8244" s="11" t="s">
        <v>1128</v>
      </c>
      <c r="P8244" s="11" t="s">
        <v>52</v>
      </c>
      <c r="Q8244" s="20">
        <v>41245.0</v>
      </c>
      <c r="R8244" s="17">
        <f t="shared" si="2"/>
        <v>1306.378564</v>
      </c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>
        <f t="shared" si="8"/>
        <v>2</v>
      </c>
      <c r="AF8244" s="19">
        <f t="shared" si="13"/>
        <v>5</v>
      </c>
      <c r="AG8244" s="9"/>
      <c r="AH8244" s="9"/>
      <c r="AI8244" s="9"/>
    </row>
    <row r="8245" ht="15.0" customHeight="1">
      <c r="A8245" s="11">
        <v>8244.0</v>
      </c>
      <c r="B8245" s="12">
        <f t="shared" ref="B8245:B8249" si="1318">DATE(2012,12,31)-30</f>
        <v>41244</v>
      </c>
      <c r="C8245" s="13">
        <v>2012.0</v>
      </c>
      <c r="D8245" s="11" t="s">
        <v>23</v>
      </c>
      <c r="E8245" s="11">
        <v>41.0</v>
      </c>
      <c r="F8245" s="14">
        <v>89.9</v>
      </c>
      <c r="G8245" s="15">
        <v>0.02657799309928984</v>
      </c>
      <c r="H8245" s="11" t="s">
        <v>45</v>
      </c>
      <c r="I8245" s="16">
        <v>33.6</v>
      </c>
      <c r="J8245" s="11" t="s">
        <v>855</v>
      </c>
      <c r="K8245" s="11" t="s">
        <v>26</v>
      </c>
      <c r="L8245" s="11" t="s">
        <v>36</v>
      </c>
      <c r="M8245" s="11" t="s">
        <v>49</v>
      </c>
      <c r="N8245" s="11" t="s">
        <v>50</v>
      </c>
      <c r="O8245" s="11" t="s">
        <v>1153</v>
      </c>
      <c r="P8245" s="11" t="s">
        <v>52</v>
      </c>
      <c r="Q8245" s="20">
        <v>41245.0</v>
      </c>
      <c r="R8245" s="17">
        <f t="shared" si="2"/>
        <v>98.85684533</v>
      </c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>
        <f t="shared" si="8"/>
        <v>2</v>
      </c>
      <c r="AF8245" s="19">
        <f t="shared" si="13"/>
        <v>1</v>
      </c>
      <c r="AG8245" s="9"/>
      <c r="AH8245" s="9"/>
      <c r="AI8245" s="9"/>
    </row>
    <row r="8246" ht="15.0" customHeight="1">
      <c r="A8246" s="11">
        <v>8245.0</v>
      </c>
      <c r="B8246" s="12">
        <f t="shared" si="1318"/>
        <v>41244</v>
      </c>
      <c r="C8246" s="13">
        <v>2012.0</v>
      </c>
      <c r="D8246" s="11" t="s">
        <v>23</v>
      </c>
      <c r="E8246" s="11">
        <v>9.0</v>
      </c>
      <c r="F8246" s="14">
        <v>3499.9</v>
      </c>
      <c r="G8246" s="15">
        <v>0.010078895463510717</v>
      </c>
      <c r="H8246" s="11" t="s">
        <v>33</v>
      </c>
      <c r="I8246" s="16">
        <v>19.592</v>
      </c>
      <c r="J8246" s="11" t="s">
        <v>855</v>
      </c>
      <c r="K8246" s="11" t="s">
        <v>26</v>
      </c>
      <c r="L8246" s="11" t="s">
        <v>36</v>
      </c>
      <c r="M8246" s="11" t="s">
        <v>66</v>
      </c>
      <c r="N8246" s="11" t="s">
        <v>170</v>
      </c>
      <c r="O8246" s="11" t="s">
        <v>785</v>
      </c>
      <c r="P8246" s="11" t="s">
        <v>31</v>
      </c>
      <c r="Q8246" s="20">
        <v>41245.0</v>
      </c>
      <c r="R8246" s="17">
        <f t="shared" si="2"/>
        <v>317.6736018</v>
      </c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>
        <f t="shared" si="8"/>
        <v>2</v>
      </c>
      <c r="AF8246" s="19">
        <f t="shared" si="13"/>
        <v>1</v>
      </c>
      <c r="AG8246" s="9"/>
      <c r="AH8246" s="9"/>
      <c r="AI8246" s="9"/>
    </row>
    <row r="8247" ht="15.0" customHeight="1">
      <c r="A8247" s="11">
        <v>8246.0</v>
      </c>
      <c r="B8247" s="12">
        <f t="shared" si="1318"/>
        <v>41244</v>
      </c>
      <c r="C8247" s="13">
        <v>2012.0</v>
      </c>
      <c r="D8247" s="11" t="s">
        <v>23</v>
      </c>
      <c r="E8247" s="11">
        <v>44.0</v>
      </c>
      <c r="F8247" s="14">
        <v>30.9</v>
      </c>
      <c r="G8247" s="15">
        <v>0.05981529979324614</v>
      </c>
      <c r="H8247" s="11" t="s">
        <v>33</v>
      </c>
      <c r="I8247" s="16">
        <v>4.608</v>
      </c>
      <c r="J8247" s="11" t="s">
        <v>855</v>
      </c>
      <c r="K8247" s="11" t="s">
        <v>26</v>
      </c>
      <c r="L8247" s="11" t="s">
        <v>36</v>
      </c>
      <c r="M8247" s="11" t="s">
        <v>28</v>
      </c>
      <c r="N8247" s="11" t="s">
        <v>56</v>
      </c>
      <c r="O8247" s="11" t="s">
        <v>132</v>
      </c>
      <c r="P8247" s="11" t="s">
        <v>38</v>
      </c>
      <c r="Q8247" s="20">
        <v>41245.0</v>
      </c>
      <c r="R8247" s="17">
        <f t="shared" si="2"/>
        <v>81.6005105</v>
      </c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>
        <f t="shared" si="8"/>
        <v>2</v>
      </c>
      <c r="AF8247" s="19">
        <f t="shared" si="13"/>
        <v>1</v>
      </c>
      <c r="AG8247" s="9"/>
      <c r="AH8247" s="9"/>
      <c r="AI8247" s="9"/>
    </row>
    <row r="8248" ht="15.0" customHeight="1">
      <c r="A8248" s="11">
        <v>8247.0</v>
      </c>
      <c r="B8248" s="12">
        <f t="shared" si="1318"/>
        <v>41244</v>
      </c>
      <c r="C8248" s="13">
        <v>2012.0</v>
      </c>
      <c r="D8248" s="11" t="s">
        <v>23</v>
      </c>
      <c r="E8248" s="11">
        <v>17.0</v>
      </c>
      <c r="F8248" s="14">
        <v>28.5</v>
      </c>
      <c r="G8248" s="15">
        <v>0.0668741594620557</v>
      </c>
      <c r="H8248" s="11" t="s">
        <v>33</v>
      </c>
      <c r="I8248" s="16">
        <v>1.192</v>
      </c>
      <c r="J8248" s="11" t="s">
        <v>1214</v>
      </c>
      <c r="K8248" s="11" t="s">
        <v>35</v>
      </c>
      <c r="L8248" s="11" t="s">
        <v>27</v>
      </c>
      <c r="M8248" s="11" t="s">
        <v>28</v>
      </c>
      <c r="N8248" s="11" t="s">
        <v>42</v>
      </c>
      <c r="O8248" s="11" t="s">
        <v>1003</v>
      </c>
      <c r="P8248" s="11" t="s">
        <v>38</v>
      </c>
      <c r="Q8248" s="20">
        <v>41245.0</v>
      </c>
      <c r="R8248" s="17">
        <f t="shared" si="2"/>
        <v>32.48024426</v>
      </c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>
        <f t="shared" si="8"/>
        <v>1</v>
      </c>
      <c r="AF8248" s="19">
        <f t="shared" si="13"/>
        <v>2</v>
      </c>
      <c r="AG8248" s="9"/>
      <c r="AH8248" s="9"/>
      <c r="AI8248" s="9"/>
    </row>
    <row r="8249" ht="15.0" customHeight="1">
      <c r="A8249" s="11">
        <v>8248.0</v>
      </c>
      <c r="B8249" s="12">
        <f t="shared" si="1318"/>
        <v>41244</v>
      </c>
      <c r="C8249" s="13">
        <v>2012.0</v>
      </c>
      <c r="D8249" s="11" t="s">
        <v>23</v>
      </c>
      <c r="E8249" s="11">
        <v>47.0</v>
      </c>
      <c r="F8249" s="14">
        <v>6.4</v>
      </c>
      <c r="G8249" s="15">
        <v>0.07229513153915923</v>
      </c>
      <c r="H8249" s="11" t="s">
        <v>33</v>
      </c>
      <c r="I8249" s="16">
        <v>5.992000000000001</v>
      </c>
      <c r="J8249" s="11" t="s">
        <v>1214</v>
      </c>
      <c r="K8249" s="11" t="s">
        <v>35</v>
      </c>
      <c r="L8249" s="11" t="s">
        <v>27</v>
      </c>
      <c r="M8249" s="11" t="s">
        <v>28</v>
      </c>
      <c r="N8249" s="11" t="s">
        <v>56</v>
      </c>
      <c r="O8249" s="11" t="s">
        <v>1042</v>
      </c>
      <c r="P8249" s="11" t="s">
        <v>38</v>
      </c>
      <c r="Q8249" s="20">
        <v>41246.0</v>
      </c>
      <c r="R8249" s="17">
        <f t="shared" si="2"/>
        <v>22.179568</v>
      </c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>
        <f t="shared" si="8"/>
        <v>1</v>
      </c>
      <c r="AF8249" s="19">
        <f t="shared" si="13"/>
        <v>2</v>
      </c>
      <c r="AG8249" s="9"/>
      <c r="AH8249" s="9"/>
      <c r="AI8249" s="9"/>
    </row>
    <row r="8250" ht="15.0" customHeight="1">
      <c r="A8250" s="11">
        <v>8249.0</v>
      </c>
      <c r="B8250" s="12">
        <f t="shared" ref="B8250:B8259" si="1319">DATE(2012,12,31)-29</f>
        <v>41245</v>
      </c>
      <c r="C8250" s="13">
        <v>2012.0</v>
      </c>
      <c r="D8250" s="11" t="s">
        <v>39</v>
      </c>
      <c r="E8250" s="11">
        <v>32.0</v>
      </c>
      <c r="F8250" s="14">
        <v>596.9</v>
      </c>
      <c r="G8250" s="15">
        <v>0.05687314644388634</v>
      </c>
      <c r="H8250" s="11" t="s">
        <v>45</v>
      </c>
      <c r="I8250" s="16">
        <v>11.76</v>
      </c>
      <c r="J8250" s="11" t="s">
        <v>2513</v>
      </c>
      <c r="K8250" s="11" t="s">
        <v>65</v>
      </c>
      <c r="L8250" s="11" t="s">
        <v>48</v>
      </c>
      <c r="M8250" s="11" t="s">
        <v>66</v>
      </c>
      <c r="N8250" s="11" t="s">
        <v>69</v>
      </c>
      <c r="O8250" s="11" t="s">
        <v>2616</v>
      </c>
      <c r="P8250" s="11" t="s">
        <v>52</v>
      </c>
      <c r="Q8250" s="20">
        <v>41246.0</v>
      </c>
      <c r="R8250" s="17">
        <f t="shared" si="2"/>
        <v>1086.991424</v>
      </c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>
        <f t="shared" si="8"/>
        <v>4</v>
      </c>
      <c r="AF8250" s="19">
        <f t="shared" si="13"/>
        <v>5</v>
      </c>
      <c r="AG8250" s="9"/>
      <c r="AH8250" s="9"/>
      <c r="AI8250" s="9"/>
    </row>
    <row r="8251" ht="15.0" customHeight="1">
      <c r="A8251" s="11">
        <v>8250.0</v>
      </c>
      <c r="B8251" s="12">
        <f t="shared" si="1319"/>
        <v>41245</v>
      </c>
      <c r="C8251" s="13">
        <v>2012.0</v>
      </c>
      <c r="D8251" s="11" t="s">
        <v>102</v>
      </c>
      <c r="E8251" s="11">
        <v>22.0</v>
      </c>
      <c r="F8251" s="14">
        <v>2.8</v>
      </c>
      <c r="G8251" s="15">
        <v>0.048902439024390225</v>
      </c>
      <c r="H8251" s="11" t="s">
        <v>33</v>
      </c>
      <c r="I8251" s="16">
        <v>0.792</v>
      </c>
      <c r="J8251" s="11" t="s">
        <v>91</v>
      </c>
      <c r="K8251" s="11" t="s">
        <v>35</v>
      </c>
      <c r="L8251" s="11" t="s">
        <v>27</v>
      </c>
      <c r="M8251" s="11" t="s">
        <v>28</v>
      </c>
      <c r="N8251" s="11" t="s">
        <v>188</v>
      </c>
      <c r="O8251" s="11" t="s">
        <v>2320</v>
      </c>
      <c r="P8251" s="11" t="s">
        <v>38</v>
      </c>
      <c r="Q8251" s="20">
        <v>41246.0</v>
      </c>
      <c r="R8251" s="17">
        <f t="shared" si="2"/>
        <v>3.051120976</v>
      </c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>
        <f t="shared" si="8"/>
        <v>1</v>
      </c>
      <c r="AF8251" s="19">
        <f t="shared" si="13"/>
        <v>2</v>
      </c>
      <c r="AG8251" s="9"/>
      <c r="AH8251" s="9"/>
      <c r="AI8251" s="9"/>
    </row>
    <row r="8252" ht="15.0" customHeight="1">
      <c r="A8252" s="11">
        <v>8251.0</v>
      </c>
      <c r="B8252" s="12">
        <f t="shared" si="1319"/>
        <v>41245</v>
      </c>
      <c r="C8252" s="13">
        <v>2012.0</v>
      </c>
      <c r="D8252" s="11" t="s">
        <v>102</v>
      </c>
      <c r="E8252" s="11">
        <v>50.0</v>
      </c>
      <c r="F8252" s="14">
        <v>22.2</v>
      </c>
      <c r="G8252" s="15">
        <v>0.03120794840508976</v>
      </c>
      <c r="H8252" s="11" t="s">
        <v>33</v>
      </c>
      <c r="I8252" s="16">
        <v>1.592</v>
      </c>
      <c r="J8252" s="11" t="s">
        <v>91</v>
      </c>
      <c r="K8252" s="11" t="s">
        <v>35</v>
      </c>
      <c r="L8252" s="11" t="s">
        <v>27</v>
      </c>
      <c r="M8252" s="11" t="s">
        <v>66</v>
      </c>
      <c r="N8252" s="11" t="s">
        <v>67</v>
      </c>
      <c r="O8252" s="11" t="s">
        <v>2103</v>
      </c>
      <c r="P8252" s="11" t="s">
        <v>99</v>
      </c>
      <c r="Q8252" s="20">
        <v>41246.0</v>
      </c>
      <c r="R8252" s="17">
        <f t="shared" si="2"/>
        <v>34.69050578</v>
      </c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>
        <f t="shared" si="8"/>
        <v>1</v>
      </c>
      <c r="AF8252" s="19">
        <f t="shared" si="13"/>
        <v>2</v>
      </c>
      <c r="AG8252" s="9"/>
      <c r="AH8252" s="9"/>
      <c r="AI8252" s="9"/>
    </row>
    <row r="8253" ht="15.0" customHeight="1">
      <c r="A8253" s="11">
        <v>8252.0</v>
      </c>
      <c r="B8253" s="12">
        <f t="shared" si="1319"/>
        <v>41245</v>
      </c>
      <c r="C8253" s="13">
        <v>2012.0</v>
      </c>
      <c r="D8253" s="11" t="s">
        <v>23</v>
      </c>
      <c r="E8253" s="11">
        <v>2.0</v>
      </c>
      <c r="F8253" s="14">
        <v>8.3</v>
      </c>
      <c r="G8253" s="15">
        <v>0.0509289617486338</v>
      </c>
      <c r="H8253" s="11" t="s">
        <v>33</v>
      </c>
      <c r="I8253" s="16">
        <v>0.768</v>
      </c>
      <c r="J8253" s="11" t="s">
        <v>1080</v>
      </c>
      <c r="K8253" s="11" t="s">
        <v>47</v>
      </c>
      <c r="L8253" s="11" t="s">
        <v>48</v>
      </c>
      <c r="M8253" s="11" t="s">
        <v>49</v>
      </c>
      <c r="N8253" s="11" t="s">
        <v>73</v>
      </c>
      <c r="O8253" s="11" t="s">
        <v>220</v>
      </c>
      <c r="P8253" s="11" t="s">
        <v>58</v>
      </c>
      <c r="Q8253" s="20">
        <v>41246.0</v>
      </c>
      <c r="R8253" s="17">
        <f t="shared" si="2"/>
        <v>0.8845342077</v>
      </c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>
        <f t="shared" si="8"/>
        <v>4</v>
      </c>
      <c r="AF8253" s="19">
        <f t="shared" si="13"/>
        <v>3</v>
      </c>
      <c r="AG8253" s="9"/>
      <c r="AH8253" s="9"/>
      <c r="AI8253" s="9"/>
    </row>
    <row r="8254" ht="15.0" customHeight="1">
      <c r="A8254" s="11">
        <v>8253.0</v>
      </c>
      <c r="B8254" s="12">
        <f t="shared" si="1319"/>
        <v>41245</v>
      </c>
      <c r="C8254" s="13">
        <v>2012.0</v>
      </c>
      <c r="D8254" s="11" t="s">
        <v>23</v>
      </c>
      <c r="E8254" s="11">
        <v>42.0</v>
      </c>
      <c r="F8254" s="14">
        <v>110.9</v>
      </c>
      <c r="G8254" s="15">
        <v>0.03959154262656208</v>
      </c>
      <c r="H8254" s="11" t="s">
        <v>33</v>
      </c>
      <c r="I8254" s="16">
        <v>7.192</v>
      </c>
      <c r="J8254" s="11" t="s">
        <v>1080</v>
      </c>
      <c r="K8254" s="11" t="s">
        <v>47</v>
      </c>
      <c r="L8254" s="11" t="s">
        <v>48</v>
      </c>
      <c r="M8254" s="11" t="s">
        <v>66</v>
      </c>
      <c r="N8254" s="11" t="s">
        <v>80</v>
      </c>
      <c r="O8254" s="11" t="s">
        <v>1651</v>
      </c>
      <c r="P8254" s="11" t="s">
        <v>38</v>
      </c>
      <c r="Q8254" s="20">
        <v>41246.0</v>
      </c>
      <c r="R8254" s="17">
        <f t="shared" si="2"/>
        <v>184.6942296</v>
      </c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>
        <f t="shared" si="8"/>
        <v>4</v>
      </c>
      <c r="AF8254" s="19">
        <f t="shared" si="13"/>
        <v>3</v>
      </c>
      <c r="AG8254" s="9"/>
      <c r="AH8254" s="9"/>
      <c r="AI8254" s="9"/>
    </row>
    <row r="8255" ht="15.0" customHeight="1">
      <c r="A8255" s="11">
        <v>8254.0</v>
      </c>
      <c r="B8255" s="12">
        <f t="shared" si="1319"/>
        <v>41245</v>
      </c>
      <c r="C8255" s="13">
        <v>2012.0</v>
      </c>
      <c r="D8255" s="11" t="s">
        <v>39</v>
      </c>
      <c r="E8255" s="11">
        <v>4.0</v>
      </c>
      <c r="F8255" s="14">
        <v>99.9</v>
      </c>
      <c r="G8255" s="15">
        <v>0.010259585615622615</v>
      </c>
      <c r="H8255" s="11" t="s">
        <v>33</v>
      </c>
      <c r="I8255" s="16">
        <v>15.991999999999999</v>
      </c>
      <c r="J8255" s="11" t="s">
        <v>1009</v>
      </c>
      <c r="K8255" s="11" t="s">
        <v>65</v>
      </c>
      <c r="L8255" s="11" t="s">
        <v>36</v>
      </c>
      <c r="M8255" s="11" t="s">
        <v>66</v>
      </c>
      <c r="N8255" s="11" t="s">
        <v>67</v>
      </c>
      <c r="O8255" s="11" t="s">
        <v>845</v>
      </c>
      <c r="P8255" s="11" t="s">
        <v>38</v>
      </c>
      <c r="Q8255" s="20">
        <v>41246.0</v>
      </c>
      <c r="R8255" s="17">
        <f t="shared" si="2"/>
        <v>4.263801705</v>
      </c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>
        <f t="shared" si="8"/>
        <v>2</v>
      </c>
      <c r="AF8255" s="19">
        <f t="shared" si="13"/>
        <v>5</v>
      </c>
      <c r="AG8255" s="9"/>
      <c r="AH8255" s="9"/>
      <c r="AI8255" s="9"/>
    </row>
    <row r="8256" ht="15.0" customHeight="1">
      <c r="A8256" s="11">
        <v>8255.0</v>
      </c>
      <c r="B8256" s="12">
        <f t="shared" si="1319"/>
        <v>41245</v>
      </c>
      <c r="C8256" s="13">
        <v>2012.0</v>
      </c>
      <c r="D8256" s="11" t="s">
        <v>32</v>
      </c>
      <c r="E8256" s="11">
        <v>36.0</v>
      </c>
      <c r="F8256" s="14">
        <v>500.9</v>
      </c>
      <c r="G8256" s="15">
        <v>0.08297480024585144</v>
      </c>
      <c r="H8256" s="11" t="s">
        <v>45</v>
      </c>
      <c r="I8256" s="16">
        <v>20.8</v>
      </c>
      <c r="J8256" s="11" t="s">
        <v>1257</v>
      </c>
      <c r="K8256" s="11" t="s">
        <v>35</v>
      </c>
      <c r="L8256" s="11" t="s">
        <v>36</v>
      </c>
      <c r="M8256" s="11" t="s">
        <v>49</v>
      </c>
      <c r="N8256" s="11" t="s">
        <v>50</v>
      </c>
      <c r="O8256" s="11" t="s">
        <v>1649</v>
      </c>
      <c r="P8256" s="11" t="s">
        <v>52</v>
      </c>
      <c r="Q8256" s="20">
        <v>41246.0</v>
      </c>
      <c r="R8256" s="17">
        <f t="shared" si="2"/>
        <v>1497.960664</v>
      </c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>
        <f t="shared" si="8"/>
        <v>2</v>
      </c>
      <c r="AF8256" s="19">
        <f t="shared" si="13"/>
        <v>2</v>
      </c>
      <c r="AG8256" s="9"/>
      <c r="AH8256" s="9"/>
      <c r="AI8256" s="9"/>
    </row>
    <row r="8257" ht="15.0" customHeight="1">
      <c r="A8257" s="11">
        <v>8256.0</v>
      </c>
      <c r="B8257" s="12">
        <f t="shared" si="1319"/>
        <v>41245</v>
      </c>
      <c r="C8257" s="13">
        <v>2012.0</v>
      </c>
      <c r="D8257" s="11" t="s">
        <v>32</v>
      </c>
      <c r="E8257" s="11">
        <v>42.0</v>
      </c>
      <c r="F8257" s="14">
        <v>550.9</v>
      </c>
      <c r="G8257" s="15">
        <v>0.010595192381537574</v>
      </c>
      <c r="H8257" s="11" t="s">
        <v>45</v>
      </c>
      <c r="I8257" s="16">
        <v>51.672000000000004</v>
      </c>
      <c r="J8257" s="11" t="s">
        <v>1257</v>
      </c>
      <c r="K8257" s="11" t="s">
        <v>35</v>
      </c>
      <c r="L8257" s="11" t="s">
        <v>36</v>
      </c>
      <c r="M8257" s="11" t="s">
        <v>49</v>
      </c>
      <c r="N8257" s="11" t="s">
        <v>85</v>
      </c>
      <c r="O8257" s="11" t="s">
        <v>2492</v>
      </c>
      <c r="P8257" s="11" t="s">
        <v>87</v>
      </c>
      <c r="Q8257" s="20">
        <v>41247.0</v>
      </c>
      <c r="R8257" s="17">
        <f t="shared" si="2"/>
        <v>245.6969171</v>
      </c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>
        <f t="shared" si="8"/>
        <v>2</v>
      </c>
      <c r="AF8257" s="19">
        <f t="shared" si="13"/>
        <v>2</v>
      </c>
      <c r="AG8257" s="9"/>
      <c r="AH8257" s="9"/>
      <c r="AI8257" s="9"/>
    </row>
    <row r="8258" ht="15.0" customHeight="1">
      <c r="A8258" s="11">
        <v>8257.0</v>
      </c>
      <c r="B8258" s="12">
        <f t="shared" si="1319"/>
        <v>41245</v>
      </c>
      <c r="C8258" s="13">
        <v>2012.0</v>
      </c>
      <c r="D8258" s="11" t="s">
        <v>23</v>
      </c>
      <c r="E8258" s="11">
        <v>36.0</v>
      </c>
      <c r="F8258" s="14">
        <v>286.8</v>
      </c>
      <c r="G8258" s="15">
        <v>0.0921399130138005</v>
      </c>
      <c r="H8258" s="11" t="s">
        <v>45</v>
      </c>
      <c r="I8258" s="16">
        <v>49.408</v>
      </c>
      <c r="J8258" s="11" t="s">
        <v>2027</v>
      </c>
      <c r="K8258" s="11" t="s">
        <v>83</v>
      </c>
      <c r="L8258" s="11" t="s">
        <v>48</v>
      </c>
      <c r="M8258" s="11" t="s">
        <v>49</v>
      </c>
      <c r="N8258" s="11" t="s">
        <v>85</v>
      </c>
      <c r="O8258" s="11" t="s">
        <v>1796</v>
      </c>
      <c r="P8258" s="11" t="s">
        <v>87</v>
      </c>
      <c r="Q8258" s="20">
        <v>41247.0</v>
      </c>
      <c r="R8258" s="17">
        <f t="shared" si="2"/>
        <v>955.8786227</v>
      </c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>
        <f t="shared" si="8"/>
        <v>4</v>
      </c>
      <c r="AF8258" s="19" t="b">
        <f t="shared" si="13"/>
        <v>0</v>
      </c>
      <c r="AG8258" s="9"/>
      <c r="AH8258" s="9"/>
      <c r="AI8258" s="9"/>
    </row>
    <row r="8259" ht="15.0" customHeight="1">
      <c r="A8259" s="11">
        <v>8258.0</v>
      </c>
      <c r="B8259" s="12">
        <f t="shared" si="1319"/>
        <v>41245</v>
      </c>
      <c r="C8259" s="13">
        <v>2012.0</v>
      </c>
      <c r="D8259" s="11" t="s">
        <v>23</v>
      </c>
      <c r="E8259" s="11">
        <v>36.0</v>
      </c>
      <c r="F8259" s="14">
        <v>11.5</v>
      </c>
      <c r="G8259" s="15">
        <v>0.04814882032667874</v>
      </c>
      <c r="H8259" s="11" t="s">
        <v>33</v>
      </c>
      <c r="I8259" s="16">
        <v>5.5760000000000005</v>
      </c>
      <c r="J8259" s="11" t="s">
        <v>2027</v>
      </c>
      <c r="K8259" s="11" t="s">
        <v>83</v>
      </c>
      <c r="L8259" s="11" t="s">
        <v>48</v>
      </c>
      <c r="M8259" s="11" t="s">
        <v>28</v>
      </c>
      <c r="N8259" s="11" t="s">
        <v>236</v>
      </c>
      <c r="O8259" s="11" t="s">
        <v>376</v>
      </c>
      <c r="P8259" s="11" t="s">
        <v>38</v>
      </c>
      <c r="Q8259" s="20">
        <v>41247.0</v>
      </c>
      <c r="R8259" s="17">
        <f t="shared" si="2"/>
        <v>20.20208944</v>
      </c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>
        <f t="shared" si="8"/>
        <v>4</v>
      </c>
      <c r="AF8259" s="19" t="b">
        <f t="shared" si="13"/>
        <v>0</v>
      </c>
      <c r="AG8259" s="9"/>
      <c r="AH8259" s="9"/>
      <c r="AI8259" s="9"/>
    </row>
    <row r="8260" ht="15.0" customHeight="1">
      <c r="A8260" s="11">
        <v>8259.0</v>
      </c>
      <c r="B8260" s="12">
        <f t="shared" ref="B8260:B8266" si="1320">DATE(2012,12,31)-28</f>
        <v>41246</v>
      </c>
      <c r="C8260" s="13">
        <v>2012.0</v>
      </c>
      <c r="D8260" s="11" t="s">
        <v>44</v>
      </c>
      <c r="E8260" s="11">
        <v>3.0</v>
      </c>
      <c r="F8260" s="14">
        <v>284.9</v>
      </c>
      <c r="G8260" s="15">
        <v>0.07972098665588366</v>
      </c>
      <c r="H8260" s="11" t="s">
        <v>45</v>
      </c>
      <c r="I8260" s="16">
        <v>55.64</v>
      </c>
      <c r="J8260" s="11" t="s">
        <v>988</v>
      </c>
      <c r="K8260" s="11" t="s">
        <v>26</v>
      </c>
      <c r="L8260" s="11" t="s">
        <v>27</v>
      </c>
      <c r="M8260" s="11" t="s">
        <v>49</v>
      </c>
      <c r="N8260" s="11" t="s">
        <v>50</v>
      </c>
      <c r="O8260" s="11" t="s">
        <v>1438</v>
      </c>
      <c r="P8260" s="11" t="s">
        <v>52</v>
      </c>
      <c r="Q8260" s="20">
        <v>41247.0</v>
      </c>
      <c r="R8260" s="17">
        <f t="shared" si="2"/>
        <v>72.57320299</v>
      </c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>
        <f t="shared" si="8"/>
        <v>1</v>
      </c>
      <c r="AF8260" s="19">
        <f t="shared" si="13"/>
        <v>1</v>
      </c>
      <c r="AG8260" s="9"/>
      <c r="AH8260" s="9"/>
      <c r="AI8260" s="9"/>
    </row>
    <row r="8261" ht="15.0" customHeight="1">
      <c r="A8261" s="11">
        <v>8260.0</v>
      </c>
      <c r="B8261" s="12">
        <f t="shared" si="1320"/>
        <v>41246</v>
      </c>
      <c r="C8261" s="13">
        <v>2012.0</v>
      </c>
      <c r="D8261" s="11" t="s">
        <v>39</v>
      </c>
      <c r="E8261" s="11">
        <v>24.0</v>
      </c>
      <c r="F8261" s="14">
        <v>68.8</v>
      </c>
      <c r="G8261" s="15">
        <v>0.06333719199603115</v>
      </c>
      <c r="H8261" s="11" t="s">
        <v>45</v>
      </c>
      <c r="I8261" s="16">
        <v>48.0</v>
      </c>
      <c r="J8261" s="11" t="s">
        <v>2099</v>
      </c>
      <c r="K8261" s="11" t="s">
        <v>83</v>
      </c>
      <c r="L8261" s="11" t="s">
        <v>48</v>
      </c>
      <c r="M8261" s="11" t="s">
        <v>28</v>
      </c>
      <c r="N8261" s="11" t="s">
        <v>197</v>
      </c>
      <c r="O8261" s="11" t="s">
        <v>888</v>
      </c>
      <c r="P8261" s="11" t="s">
        <v>52</v>
      </c>
      <c r="Q8261" s="20">
        <v>41247.0</v>
      </c>
      <c r="R8261" s="17">
        <f t="shared" si="2"/>
        <v>107.6225566</v>
      </c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>
        <f t="shared" si="8"/>
        <v>4</v>
      </c>
      <c r="AF8261" s="19" t="b">
        <f t="shared" si="13"/>
        <v>0</v>
      </c>
      <c r="AG8261" s="9"/>
      <c r="AH8261" s="9"/>
      <c r="AI8261" s="9"/>
    </row>
    <row r="8262" ht="15.0" customHeight="1">
      <c r="A8262" s="11">
        <v>8261.0</v>
      </c>
      <c r="B8262" s="12">
        <f t="shared" si="1320"/>
        <v>41246</v>
      </c>
      <c r="C8262" s="13">
        <v>2012.0</v>
      </c>
      <c r="D8262" s="11" t="s">
        <v>39</v>
      </c>
      <c r="E8262" s="11">
        <v>49.0</v>
      </c>
      <c r="F8262" s="14">
        <v>12.9</v>
      </c>
      <c r="G8262" s="15">
        <v>0.026519404816689518</v>
      </c>
      <c r="H8262" s="11" t="s">
        <v>33</v>
      </c>
      <c r="I8262" s="16">
        <v>2.5120000000000005</v>
      </c>
      <c r="J8262" s="11" t="s">
        <v>2402</v>
      </c>
      <c r="K8262" s="11" t="s">
        <v>65</v>
      </c>
      <c r="L8262" s="11" t="s">
        <v>48</v>
      </c>
      <c r="M8262" s="11" t="s">
        <v>28</v>
      </c>
      <c r="N8262" s="11" t="s">
        <v>442</v>
      </c>
      <c r="O8262" s="11" t="s">
        <v>1613</v>
      </c>
      <c r="P8262" s="11" t="s">
        <v>99</v>
      </c>
      <c r="Q8262" s="20">
        <v>41247.0</v>
      </c>
      <c r="R8262" s="17">
        <f t="shared" si="2"/>
        <v>16.82953253</v>
      </c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>
        <f t="shared" si="8"/>
        <v>4</v>
      </c>
      <c r="AF8262" s="19">
        <f t="shared" si="13"/>
        <v>5</v>
      </c>
      <c r="AG8262" s="9"/>
      <c r="AH8262" s="9"/>
      <c r="AI8262" s="9"/>
    </row>
    <row r="8263" ht="15.0" customHeight="1">
      <c r="A8263" s="11">
        <v>8262.0</v>
      </c>
      <c r="B8263" s="12">
        <f t="shared" si="1320"/>
        <v>41246</v>
      </c>
      <c r="C8263" s="13">
        <v>2012.0</v>
      </c>
      <c r="D8263" s="11" t="s">
        <v>44</v>
      </c>
      <c r="E8263" s="11">
        <v>4.0</v>
      </c>
      <c r="F8263" s="14">
        <v>4.1</v>
      </c>
      <c r="G8263" s="15">
        <v>0.08196721311475429</v>
      </c>
      <c r="H8263" s="11" t="s">
        <v>33</v>
      </c>
      <c r="I8263" s="16">
        <v>0.4</v>
      </c>
      <c r="J8263" s="11" t="s">
        <v>2256</v>
      </c>
      <c r="K8263" s="11" t="s">
        <v>35</v>
      </c>
      <c r="L8263" s="11" t="s">
        <v>48</v>
      </c>
      <c r="M8263" s="11" t="s">
        <v>28</v>
      </c>
      <c r="N8263" s="11" t="s">
        <v>188</v>
      </c>
      <c r="O8263" s="11" t="s">
        <v>1968</v>
      </c>
      <c r="P8263" s="11" t="s">
        <v>38</v>
      </c>
      <c r="Q8263" s="20">
        <v>41248.0</v>
      </c>
      <c r="R8263" s="17">
        <f t="shared" si="2"/>
        <v>1.37704918</v>
      </c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>
        <f t="shared" si="8"/>
        <v>4</v>
      </c>
      <c r="AF8263" s="19">
        <f t="shared" si="13"/>
        <v>2</v>
      </c>
      <c r="AG8263" s="9"/>
      <c r="AH8263" s="9"/>
      <c r="AI8263" s="9"/>
    </row>
    <row r="8264" ht="15.0" customHeight="1">
      <c r="A8264" s="11">
        <v>8263.0</v>
      </c>
      <c r="B8264" s="12">
        <f t="shared" si="1320"/>
        <v>41246</v>
      </c>
      <c r="C8264" s="13">
        <v>2012.0</v>
      </c>
      <c r="D8264" s="11" t="s">
        <v>44</v>
      </c>
      <c r="E8264" s="11">
        <v>8.0</v>
      </c>
      <c r="F8264" s="14">
        <v>54.7</v>
      </c>
      <c r="G8264" s="15">
        <v>0.045318606627017866</v>
      </c>
      <c r="H8264" s="11" t="s">
        <v>33</v>
      </c>
      <c r="I8264" s="16">
        <v>11.864</v>
      </c>
      <c r="J8264" s="11" t="s">
        <v>2256</v>
      </c>
      <c r="K8264" s="11" t="s">
        <v>35</v>
      </c>
      <c r="L8264" s="11" t="s">
        <v>48</v>
      </c>
      <c r="M8264" s="11" t="s">
        <v>49</v>
      </c>
      <c r="N8264" s="11" t="s">
        <v>73</v>
      </c>
      <c r="O8264" s="11" t="s">
        <v>2430</v>
      </c>
      <c r="P8264" s="11" t="s">
        <v>38</v>
      </c>
      <c r="Q8264" s="20">
        <v>41248.0</v>
      </c>
      <c r="R8264" s="17">
        <f t="shared" si="2"/>
        <v>20.36908221</v>
      </c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>
        <f t="shared" si="8"/>
        <v>4</v>
      </c>
      <c r="AF8264" s="19">
        <f t="shared" si="13"/>
        <v>2</v>
      </c>
      <c r="AG8264" s="9"/>
      <c r="AH8264" s="9"/>
      <c r="AI8264" s="9"/>
    </row>
    <row r="8265" ht="15.0" customHeight="1">
      <c r="A8265" s="11">
        <v>8264.0</v>
      </c>
      <c r="B8265" s="12">
        <f t="shared" si="1320"/>
        <v>41246</v>
      </c>
      <c r="C8265" s="13">
        <v>2012.0</v>
      </c>
      <c r="D8265" s="11" t="s">
        <v>39</v>
      </c>
      <c r="E8265" s="11">
        <v>6.0</v>
      </c>
      <c r="F8265" s="14">
        <v>209.3</v>
      </c>
      <c r="G8265" s="15">
        <v>0.030110231560257317</v>
      </c>
      <c r="H8265" s="11" t="s">
        <v>24</v>
      </c>
      <c r="I8265" s="16">
        <v>55.2</v>
      </c>
      <c r="J8265" s="11" t="s">
        <v>1761</v>
      </c>
      <c r="K8265" s="11" t="s">
        <v>35</v>
      </c>
      <c r="L8265" s="11" t="s">
        <v>41</v>
      </c>
      <c r="M8265" s="11" t="s">
        <v>49</v>
      </c>
      <c r="N8265" s="11" t="s">
        <v>85</v>
      </c>
      <c r="O8265" s="11" t="s">
        <v>1727</v>
      </c>
      <c r="P8265" s="11" t="s">
        <v>31</v>
      </c>
      <c r="Q8265" s="20">
        <v>41248.0</v>
      </c>
      <c r="R8265" s="17">
        <f t="shared" si="2"/>
        <v>39.47451358</v>
      </c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>
        <f t="shared" si="8"/>
        <v>3</v>
      </c>
      <c r="AF8265" s="19">
        <f t="shared" si="13"/>
        <v>2</v>
      </c>
      <c r="AG8265" s="9"/>
      <c r="AH8265" s="9"/>
      <c r="AI8265" s="9"/>
    </row>
    <row r="8266" ht="15.0" customHeight="1">
      <c r="A8266" s="11">
        <v>8265.0</v>
      </c>
      <c r="B8266" s="12">
        <f t="shared" si="1320"/>
        <v>41246</v>
      </c>
      <c r="C8266" s="13">
        <v>2012.0</v>
      </c>
      <c r="D8266" s="11" t="s">
        <v>39</v>
      </c>
      <c r="E8266" s="11">
        <v>13.0</v>
      </c>
      <c r="F8266" s="14">
        <v>6.4</v>
      </c>
      <c r="G8266" s="15">
        <v>0.08669456066945604</v>
      </c>
      <c r="H8266" s="11" t="s">
        <v>24</v>
      </c>
      <c r="I8266" s="16">
        <v>4.112</v>
      </c>
      <c r="J8266" s="11" t="s">
        <v>1761</v>
      </c>
      <c r="K8266" s="11" t="s">
        <v>35</v>
      </c>
      <c r="L8266" s="11" t="s">
        <v>41</v>
      </c>
      <c r="M8266" s="11" t="s">
        <v>28</v>
      </c>
      <c r="N8266" s="11" t="s">
        <v>56</v>
      </c>
      <c r="O8266" s="11" t="s">
        <v>1424</v>
      </c>
      <c r="P8266" s="11" t="s">
        <v>38</v>
      </c>
      <c r="Q8266" s="20">
        <v>41248.0</v>
      </c>
      <c r="R8266" s="17">
        <f t="shared" si="2"/>
        <v>7.569475481</v>
      </c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>
        <f t="shared" si="8"/>
        <v>3</v>
      </c>
      <c r="AF8266" s="19">
        <f t="shared" si="13"/>
        <v>2</v>
      </c>
      <c r="AG8266" s="9"/>
      <c r="AH8266" s="9"/>
      <c r="AI8266" s="9"/>
    </row>
    <row r="8267" ht="15.0" customHeight="1">
      <c r="A8267" s="11">
        <v>8266.0</v>
      </c>
      <c r="B8267" s="12">
        <f t="shared" ref="B8267:B8273" si="1321">DATE(2012,12,31)-27</f>
        <v>41247</v>
      </c>
      <c r="C8267" s="13">
        <v>2012.0</v>
      </c>
      <c r="D8267" s="11" t="s">
        <v>44</v>
      </c>
      <c r="E8267" s="11">
        <v>34.0</v>
      </c>
      <c r="F8267" s="14">
        <v>6.4</v>
      </c>
      <c r="G8267" s="15">
        <v>0.09111020740138254</v>
      </c>
      <c r="H8267" s="11" t="s">
        <v>33</v>
      </c>
      <c r="I8267" s="16">
        <v>5.896000000000001</v>
      </c>
      <c r="J8267" s="11" t="s">
        <v>1681</v>
      </c>
      <c r="K8267" s="11" t="s">
        <v>61</v>
      </c>
      <c r="L8267" s="11" t="s">
        <v>41</v>
      </c>
      <c r="M8267" s="11" t="s">
        <v>28</v>
      </c>
      <c r="N8267" s="11" t="s">
        <v>56</v>
      </c>
      <c r="O8267" s="11" t="s">
        <v>860</v>
      </c>
      <c r="P8267" s="11" t="s">
        <v>38</v>
      </c>
      <c r="Q8267" s="20">
        <v>41249.0</v>
      </c>
      <c r="R8267" s="17">
        <f t="shared" si="2"/>
        <v>20.36276691</v>
      </c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>
        <f t="shared" si="8"/>
        <v>3</v>
      </c>
      <c r="AF8267" s="19">
        <f t="shared" si="13"/>
        <v>4</v>
      </c>
      <c r="AG8267" s="9"/>
      <c r="AH8267" s="9"/>
      <c r="AI8267" s="9"/>
    </row>
    <row r="8268" ht="15.0" customHeight="1">
      <c r="A8268" s="11">
        <v>8267.0</v>
      </c>
      <c r="B8268" s="12">
        <f t="shared" si="1321"/>
        <v>41247</v>
      </c>
      <c r="C8268" s="13">
        <v>2012.0</v>
      </c>
      <c r="D8268" s="11" t="s">
        <v>32</v>
      </c>
      <c r="E8268" s="11">
        <v>1.0</v>
      </c>
      <c r="F8268" s="14">
        <v>48.5</v>
      </c>
      <c r="G8268" s="15">
        <v>0.08499133448873489</v>
      </c>
      <c r="H8268" s="11" t="s">
        <v>45</v>
      </c>
      <c r="I8268" s="16">
        <v>4.296</v>
      </c>
      <c r="J8268" s="11" t="s">
        <v>370</v>
      </c>
      <c r="K8268" s="11" t="s">
        <v>65</v>
      </c>
      <c r="L8268" s="11" t="s">
        <v>48</v>
      </c>
      <c r="M8268" s="11" t="s">
        <v>49</v>
      </c>
      <c r="N8268" s="11" t="s">
        <v>156</v>
      </c>
      <c r="O8268" s="11" t="s">
        <v>2431</v>
      </c>
      <c r="P8268" s="11" t="s">
        <v>87</v>
      </c>
      <c r="Q8268" s="20">
        <v>41249.0</v>
      </c>
      <c r="R8268" s="17">
        <f t="shared" si="2"/>
        <v>4.487202496</v>
      </c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>
        <f t="shared" si="8"/>
        <v>4</v>
      </c>
      <c r="AF8268" s="19">
        <f t="shared" si="13"/>
        <v>5</v>
      </c>
      <c r="AG8268" s="9"/>
      <c r="AH8268" s="9"/>
      <c r="AI8268" s="9"/>
    </row>
    <row r="8269" ht="15.0" customHeight="1">
      <c r="A8269" s="11">
        <v>8268.0</v>
      </c>
      <c r="B8269" s="12">
        <f t="shared" si="1321"/>
        <v>41247</v>
      </c>
      <c r="C8269" s="13">
        <v>2012.0</v>
      </c>
      <c r="D8269" s="11" t="s">
        <v>32</v>
      </c>
      <c r="E8269" s="11">
        <v>36.0</v>
      </c>
      <c r="F8269" s="14">
        <v>6.4</v>
      </c>
      <c r="G8269" s="15">
        <v>0.07452631578947362</v>
      </c>
      <c r="H8269" s="11" t="s">
        <v>33</v>
      </c>
      <c r="I8269" s="16">
        <v>6.984000000000001</v>
      </c>
      <c r="J8269" s="11" t="s">
        <v>1123</v>
      </c>
      <c r="K8269" s="11" t="s">
        <v>61</v>
      </c>
      <c r="L8269" s="11" t="s">
        <v>48</v>
      </c>
      <c r="M8269" s="11" t="s">
        <v>28</v>
      </c>
      <c r="N8269" s="11" t="s">
        <v>56</v>
      </c>
      <c r="O8269" s="11" t="s">
        <v>160</v>
      </c>
      <c r="P8269" s="11" t="s">
        <v>38</v>
      </c>
      <c r="Q8269" s="20">
        <v>41249.0</v>
      </c>
      <c r="R8269" s="17">
        <f t="shared" si="2"/>
        <v>17.69135495</v>
      </c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>
        <f t="shared" si="8"/>
        <v>4</v>
      </c>
      <c r="AF8269" s="19">
        <f t="shared" si="13"/>
        <v>4</v>
      </c>
      <c r="AG8269" s="9"/>
      <c r="AH8269" s="9"/>
      <c r="AI8269" s="9"/>
    </row>
    <row r="8270" ht="15.0" customHeight="1">
      <c r="A8270" s="11">
        <v>8269.0</v>
      </c>
      <c r="B8270" s="12">
        <f t="shared" si="1321"/>
        <v>41247</v>
      </c>
      <c r="C8270" s="13">
        <v>2012.0</v>
      </c>
      <c r="D8270" s="11" t="s">
        <v>39</v>
      </c>
      <c r="E8270" s="11">
        <v>35.0</v>
      </c>
      <c r="F8270" s="14">
        <v>3.8</v>
      </c>
      <c r="G8270" s="15">
        <v>0.08309746328437921</v>
      </c>
      <c r="H8270" s="11" t="s">
        <v>33</v>
      </c>
      <c r="I8270" s="16">
        <v>4.352</v>
      </c>
      <c r="J8270" s="11" t="s">
        <v>1623</v>
      </c>
      <c r="K8270" s="11" t="s">
        <v>61</v>
      </c>
      <c r="L8270" s="11" t="s">
        <v>48</v>
      </c>
      <c r="M8270" s="11" t="s">
        <v>28</v>
      </c>
      <c r="N8270" s="11" t="s">
        <v>42</v>
      </c>
      <c r="O8270" s="11" t="s">
        <v>1587</v>
      </c>
      <c r="P8270" s="11" t="s">
        <v>38</v>
      </c>
      <c r="Q8270" s="20">
        <v>41250.0</v>
      </c>
      <c r="R8270" s="17">
        <f t="shared" si="2"/>
        <v>11.41360278</v>
      </c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>
        <f t="shared" si="8"/>
        <v>4</v>
      </c>
      <c r="AF8270" s="19">
        <f t="shared" si="13"/>
        <v>4</v>
      </c>
      <c r="AG8270" s="9"/>
      <c r="AH8270" s="9"/>
      <c r="AI8270" s="9"/>
    </row>
    <row r="8271" ht="15.0" customHeight="1">
      <c r="A8271" s="11">
        <v>8270.0</v>
      </c>
      <c r="B8271" s="12">
        <f t="shared" si="1321"/>
        <v>41247</v>
      </c>
      <c r="C8271" s="13">
        <v>2012.0</v>
      </c>
      <c r="D8271" s="11" t="s">
        <v>39</v>
      </c>
      <c r="E8271" s="11">
        <v>25.0</v>
      </c>
      <c r="F8271" s="14">
        <v>6.2</v>
      </c>
      <c r="G8271" s="15">
        <v>0.04110843373493983</v>
      </c>
      <c r="H8271" s="11" t="s">
        <v>33</v>
      </c>
      <c r="I8271" s="16">
        <v>4.176</v>
      </c>
      <c r="J8271" s="11" t="s">
        <v>1623</v>
      </c>
      <c r="K8271" s="11" t="s">
        <v>61</v>
      </c>
      <c r="L8271" s="11" t="s">
        <v>48</v>
      </c>
      <c r="M8271" s="11" t="s">
        <v>49</v>
      </c>
      <c r="N8271" s="11" t="s">
        <v>73</v>
      </c>
      <c r="O8271" s="11" t="s">
        <v>1591</v>
      </c>
      <c r="P8271" s="11" t="s">
        <v>38</v>
      </c>
      <c r="Q8271" s="20">
        <v>41250.0</v>
      </c>
      <c r="R8271" s="17">
        <f t="shared" si="2"/>
        <v>6.543476048</v>
      </c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>
        <f t="shared" si="8"/>
        <v>4</v>
      </c>
      <c r="AF8271" s="19">
        <f t="shared" si="13"/>
        <v>4</v>
      </c>
      <c r="AG8271" s="9"/>
      <c r="AH8271" s="9"/>
      <c r="AI8271" s="9"/>
    </row>
    <row r="8272" ht="15.0" customHeight="1">
      <c r="A8272" s="11">
        <v>8271.0</v>
      </c>
      <c r="B8272" s="12">
        <f t="shared" si="1321"/>
        <v>41247</v>
      </c>
      <c r="C8272" s="13">
        <v>2012.0</v>
      </c>
      <c r="D8272" s="11" t="s">
        <v>39</v>
      </c>
      <c r="E8272" s="11">
        <v>41.0</v>
      </c>
      <c r="F8272" s="14">
        <v>4.8</v>
      </c>
      <c r="G8272" s="15">
        <v>0.02840690978886764</v>
      </c>
      <c r="H8272" s="11" t="s">
        <v>33</v>
      </c>
      <c r="I8272" s="16">
        <v>5.68</v>
      </c>
      <c r="J8272" s="11" t="s">
        <v>1623</v>
      </c>
      <c r="K8272" s="11" t="s">
        <v>61</v>
      </c>
      <c r="L8272" s="11" t="s">
        <v>48</v>
      </c>
      <c r="M8272" s="11" t="s">
        <v>49</v>
      </c>
      <c r="N8272" s="11" t="s">
        <v>73</v>
      </c>
      <c r="O8272" s="11" t="s">
        <v>1455</v>
      </c>
      <c r="P8272" s="11" t="s">
        <v>38</v>
      </c>
      <c r="Q8272" s="20">
        <v>41250.0</v>
      </c>
      <c r="R8272" s="17">
        <f t="shared" si="2"/>
        <v>5.751831094</v>
      </c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>
        <f t="shared" si="8"/>
        <v>4</v>
      </c>
      <c r="AF8272" s="19">
        <f t="shared" si="13"/>
        <v>4</v>
      </c>
      <c r="AG8272" s="9"/>
      <c r="AH8272" s="9"/>
      <c r="AI8272" s="9"/>
    </row>
    <row r="8273" ht="15.0" customHeight="1">
      <c r="A8273" s="11">
        <v>8272.0</v>
      </c>
      <c r="B8273" s="12">
        <f t="shared" si="1321"/>
        <v>41247</v>
      </c>
      <c r="C8273" s="13">
        <v>2012.0</v>
      </c>
      <c r="D8273" s="11" t="s">
        <v>39</v>
      </c>
      <c r="E8273" s="11">
        <v>41.0</v>
      </c>
      <c r="F8273" s="14">
        <v>4.9</v>
      </c>
      <c r="G8273" s="15">
        <v>0.06675786593707257</v>
      </c>
      <c r="H8273" s="11" t="s">
        <v>33</v>
      </c>
      <c r="I8273" s="16">
        <v>3.7600000000000002</v>
      </c>
      <c r="J8273" s="11" t="s">
        <v>1623</v>
      </c>
      <c r="K8273" s="11" t="s">
        <v>61</v>
      </c>
      <c r="L8273" s="11" t="s">
        <v>48</v>
      </c>
      <c r="M8273" s="11" t="s">
        <v>28</v>
      </c>
      <c r="N8273" s="11" t="s">
        <v>56</v>
      </c>
      <c r="O8273" s="11" t="s">
        <v>1730</v>
      </c>
      <c r="P8273" s="11" t="s">
        <v>38</v>
      </c>
      <c r="Q8273" s="20">
        <v>41250.0</v>
      </c>
      <c r="R8273" s="17">
        <f t="shared" si="2"/>
        <v>13.66266484</v>
      </c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>
        <f t="shared" si="8"/>
        <v>4</v>
      </c>
      <c r="AF8273" s="19">
        <f t="shared" si="13"/>
        <v>4</v>
      </c>
      <c r="AG8273" s="9"/>
      <c r="AH8273" s="9"/>
      <c r="AI8273" s="9"/>
    </row>
    <row r="8274" ht="15.0" customHeight="1">
      <c r="A8274" s="11">
        <v>8273.0</v>
      </c>
      <c r="B8274" s="12">
        <f t="shared" ref="B8274:B8275" si="1322">DATE(2012,12,31)-26</f>
        <v>41248</v>
      </c>
      <c r="C8274" s="13">
        <v>2012.0</v>
      </c>
      <c r="D8274" s="11" t="s">
        <v>44</v>
      </c>
      <c r="E8274" s="11">
        <v>12.0</v>
      </c>
      <c r="F8274" s="14">
        <v>55.5</v>
      </c>
      <c r="G8274" s="15">
        <v>0.07020493956910148</v>
      </c>
      <c r="H8274" s="11" t="s">
        <v>33</v>
      </c>
      <c r="I8274" s="16">
        <v>41.760000000000005</v>
      </c>
      <c r="J8274" s="11" t="s">
        <v>1886</v>
      </c>
      <c r="K8274" s="11" t="s">
        <v>61</v>
      </c>
      <c r="L8274" s="11" t="s">
        <v>48</v>
      </c>
      <c r="M8274" s="11" t="s">
        <v>49</v>
      </c>
      <c r="N8274" s="11" t="s">
        <v>73</v>
      </c>
      <c r="O8274" s="11" t="s">
        <v>1293</v>
      </c>
      <c r="P8274" s="11" t="s">
        <v>75</v>
      </c>
      <c r="Q8274" s="20">
        <v>41251.0</v>
      </c>
      <c r="R8274" s="17">
        <f t="shared" si="2"/>
        <v>49.68824803</v>
      </c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>
        <f t="shared" si="8"/>
        <v>4</v>
      </c>
      <c r="AF8274" s="19">
        <f t="shared" si="13"/>
        <v>4</v>
      </c>
      <c r="AG8274" s="9"/>
      <c r="AH8274" s="9"/>
      <c r="AI8274" s="9"/>
    </row>
    <row r="8275" ht="15.0" customHeight="1">
      <c r="A8275" s="11">
        <v>8274.0</v>
      </c>
      <c r="B8275" s="12">
        <f t="shared" si="1322"/>
        <v>41248</v>
      </c>
      <c r="C8275" s="13">
        <v>2012.0</v>
      </c>
      <c r="D8275" s="11" t="s">
        <v>44</v>
      </c>
      <c r="E8275" s="11">
        <v>47.0</v>
      </c>
      <c r="F8275" s="14">
        <v>227.5</v>
      </c>
      <c r="G8275" s="15">
        <v>0.04840174135150493</v>
      </c>
      <c r="H8275" s="11" t="s">
        <v>45</v>
      </c>
      <c r="I8275" s="16">
        <v>25.983999999999998</v>
      </c>
      <c r="J8275" s="11" t="s">
        <v>1886</v>
      </c>
      <c r="K8275" s="11" t="s">
        <v>61</v>
      </c>
      <c r="L8275" s="11" t="s">
        <v>48</v>
      </c>
      <c r="M8275" s="11" t="s">
        <v>49</v>
      </c>
      <c r="N8275" s="11" t="s">
        <v>85</v>
      </c>
      <c r="O8275" s="11" t="s">
        <v>1279</v>
      </c>
      <c r="P8275" s="11" t="s">
        <v>87</v>
      </c>
      <c r="Q8275" s="20">
        <v>41251.0</v>
      </c>
      <c r="R8275" s="17">
        <f t="shared" si="2"/>
        <v>518.7932902</v>
      </c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>
        <f t="shared" si="8"/>
        <v>4</v>
      </c>
      <c r="AF8275" s="19">
        <f t="shared" si="13"/>
        <v>4</v>
      </c>
      <c r="AG8275" s="9"/>
      <c r="AH8275" s="9"/>
      <c r="AI8275" s="9"/>
    </row>
    <row r="8276" ht="15.0" customHeight="1">
      <c r="A8276" s="11">
        <v>8275.0</v>
      </c>
      <c r="B8276" s="12">
        <f t="shared" ref="B8276:B8278" si="1323">DATE(2012,12,31)-25</f>
        <v>41249</v>
      </c>
      <c r="C8276" s="13">
        <v>2012.0</v>
      </c>
      <c r="D8276" s="11" t="s">
        <v>44</v>
      </c>
      <c r="E8276" s="11">
        <v>28.0</v>
      </c>
      <c r="F8276" s="14">
        <v>4.1</v>
      </c>
      <c r="G8276" s="15">
        <v>0.01511993382961139</v>
      </c>
      <c r="H8276" s="11" t="s">
        <v>33</v>
      </c>
      <c r="I8276" s="16">
        <v>4.272</v>
      </c>
      <c r="J8276" s="11" t="s">
        <v>334</v>
      </c>
      <c r="K8276" s="11" t="s">
        <v>35</v>
      </c>
      <c r="L8276" s="11" t="s">
        <v>48</v>
      </c>
      <c r="M8276" s="11" t="s">
        <v>28</v>
      </c>
      <c r="N8276" s="11" t="s">
        <v>42</v>
      </c>
      <c r="O8276" s="11" t="s">
        <v>1483</v>
      </c>
      <c r="P8276" s="11" t="s">
        <v>38</v>
      </c>
      <c r="Q8276" s="20">
        <v>41252.0</v>
      </c>
      <c r="R8276" s="17">
        <f t="shared" si="2"/>
        <v>1.800360761</v>
      </c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>
        <f t="shared" si="8"/>
        <v>4</v>
      </c>
      <c r="AF8276" s="19">
        <f t="shared" si="13"/>
        <v>2</v>
      </c>
      <c r="AG8276" s="9"/>
      <c r="AH8276" s="9"/>
      <c r="AI8276" s="9"/>
    </row>
    <row r="8277" ht="15.0" customHeight="1">
      <c r="A8277" s="11">
        <v>8276.0</v>
      </c>
      <c r="B8277" s="12">
        <f t="shared" si="1323"/>
        <v>41249</v>
      </c>
      <c r="C8277" s="13">
        <v>2012.0</v>
      </c>
      <c r="D8277" s="11" t="s">
        <v>44</v>
      </c>
      <c r="E8277" s="11">
        <v>14.0</v>
      </c>
      <c r="F8277" s="14">
        <v>79.5</v>
      </c>
      <c r="G8277" s="15">
        <v>0.08191022881288369</v>
      </c>
      <c r="H8277" s="11" t="s">
        <v>33</v>
      </c>
      <c r="I8277" s="16">
        <v>38.56</v>
      </c>
      <c r="J8277" s="11" t="s">
        <v>334</v>
      </c>
      <c r="K8277" s="11" t="s">
        <v>35</v>
      </c>
      <c r="L8277" s="11" t="s">
        <v>48</v>
      </c>
      <c r="M8277" s="11" t="s">
        <v>49</v>
      </c>
      <c r="N8277" s="11" t="s">
        <v>73</v>
      </c>
      <c r="O8277" s="11" t="s">
        <v>1161</v>
      </c>
      <c r="P8277" s="11" t="s">
        <v>75</v>
      </c>
      <c r="Q8277" s="20">
        <v>41252.0</v>
      </c>
      <c r="R8277" s="17">
        <f t="shared" si="2"/>
        <v>94.32454309</v>
      </c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>
        <f t="shared" si="8"/>
        <v>4</v>
      </c>
      <c r="AF8277" s="19">
        <f t="shared" si="13"/>
        <v>2</v>
      </c>
      <c r="AG8277" s="9"/>
      <c r="AH8277" s="9"/>
      <c r="AI8277" s="9"/>
    </row>
    <row r="8278" ht="15.0" customHeight="1">
      <c r="A8278" s="11">
        <v>8277.0</v>
      </c>
      <c r="B8278" s="12">
        <f t="shared" si="1323"/>
        <v>41249</v>
      </c>
      <c r="C8278" s="13">
        <v>2012.0</v>
      </c>
      <c r="D8278" s="11" t="s">
        <v>102</v>
      </c>
      <c r="E8278" s="11">
        <v>38.0</v>
      </c>
      <c r="F8278" s="14">
        <v>3.5</v>
      </c>
      <c r="G8278" s="15">
        <v>0.05713109128345906</v>
      </c>
      <c r="H8278" s="11" t="s">
        <v>33</v>
      </c>
      <c r="I8278" s="16">
        <v>4.376</v>
      </c>
      <c r="J8278" s="11" t="s">
        <v>1767</v>
      </c>
      <c r="K8278" s="11" t="s">
        <v>35</v>
      </c>
      <c r="L8278" s="11" t="s">
        <v>27</v>
      </c>
      <c r="M8278" s="11" t="s">
        <v>28</v>
      </c>
      <c r="N8278" s="11" t="s">
        <v>42</v>
      </c>
      <c r="O8278" s="11" t="s">
        <v>1530</v>
      </c>
      <c r="P8278" s="11" t="s">
        <v>38</v>
      </c>
      <c r="Q8278" s="20">
        <v>41252.0</v>
      </c>
      <c r="R8278" s="17">
        <f t="shared" si="2"/>
        <v>7.848440796</v>
      </c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>
        <f t="shared" si="8"/>
        <v>1</v>
      </c>
      <c r="AF8278" s="19">
        <f t="shared" si="13"/>
        <v>2</v>
      </c>
      <c r="AG8278" s="9"/>
      <c r="AH8278" s="9"/>
      <c r="AI8278" s="9"/>
    </row>
    <row r="8279" ht="15.0" customHeight="1">
      <c r="A8279" s="11">
        <v>8278.0</v>
      </c>
      <c r="B8279" s="12">
        <f t="shared" ref="B8279:B8280" si="1324">DATE(2012,12,31)-24</f>
        <v>41250</v>
      </c>
      <c r="C8279" s="13">
        <v>2012.0</v>
      </c>
      <c r="D8279" s="11" t="s">
        <v>39</v>
      </c>
      <c r="E8279" s="11">
        <v>26.0</v>
      </c>
      <c r="F8279" s="14">
        <v>259.7</v>
      </c>
      <c r="G8279" s="15">
        <v>0.03106112163104913</v>
      </c>
      <c r="H8279" s="11" t="s">
        <v>45</v>
      </c>
      <c r="I8279" s="16">
        <v>53.336000000000006</v>
      </c>
      <c r="J8279" s="11" t="s">
        <v>588</v>
      </c>
      <c r="K8279" s="11" t="s">
        <v>47</v>
      </c>
      <c r="L8279" s="11" t="s">
        <v>27</v>
      </c>
      <c r="M8279" s="11" t="s">
        <v>49</v>
      </c>
      <c r="N8279" s="11" t="s">
        <v>85</v>
      </c>
      <c r="O8279" s="11" t="s">
        <v>579</v>
      </c>
      <c r="P8279" s="11" t="s">
        <v>87</v>
      </c>
      <c r="Q8279" s="20">
        <v>41252.0</v>
      </c>
      <c r="R8279" s="17">
        <f t="shared" si="2"/>
        <v>211.3875815</v>
      </c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>
        <f t="shared" si="8"/>
        <v>1</v>
      </c>
      <c r="AF8279" s="19">
        <f t="shared" si="13"/>
        <v>3</v>
      </c>
      <c r="AG8279" s="9"/>
      <c r="AH8279" s="9"/>
      <c r="AI8279" s="9"/>
    </row>
    <row r="8280" ht="15.0" customHeight="1">
      <c r="A8280" s="11">
        <v>8279.0</v>
      </c>
      <c r="B8280" s="12">
        <f t="shared" si="1324"/>
        <v>41250</v>
      </c>
      <c r="C8280" s="13">
        <v>2012.0</v>
      </c>
      <c r="D8280" s="11" t="s">
        <v>44</v>
      </c>
      <c r="E8280" s="11">
        <v>2.0</v>
      </c>
      <c r="F8280" s="14">
        <v>110.9</v>
      </c>
      <c r="G8280" s="15">
        <v>0.11606510969568297</v>
      </c>
      <c r="H8280" s="11" t="s">
        <v>33</v>
      </c>
      <c r="I8280" s="16">
        <v>28.0</v>
      </c>
      <c r="J8280" s="11" t="s">
        <v>919</v>
      </c>
      <c r="K8280" s="11" t="s">
        <v>61</v>
      </c>
      <c r="L8280" s="11" t="s">
        <v>48</v>
      </c>
      <c r="M8280" s="11" t="s">
        <v>28</v>
      </c>
      <c r="N8280" s="11" t="s">
        <v>29</v>
      </c>
      <c r="O8280" s="11" t="s">
        <v>2592</v>
      </c>
      <c r="P8280" s="11" t="s">
        <v>31</v>
      </c>
      <c r="Q8280" s="20">
        <v>41253.0</v>
      </c>
      <c r="R8280" s="17">
        <f t="shared" si="2"/>
        <v>28.9930644</v>
      </c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>
        <f t="shared" si="8"/>
        <v>4</v>
      </c>
      <c r="AF8280" s="19">
        <f t="shared" si="13"/>
        <v>4</v>
      </c>
      <c r="AG8280" s="9"/>
      <c r="AH8280" s="9"/>
      <c r="AI8280" s="9"/>
    </row>
    <row r="8281" ht="15.0" customHeight="1">
      <c r="A8281" s="11">
        <v>8280.0</v>
      </c>
      <c r="B8281" s="12">
        <f t="shared" ref="B8281:B8284" si="1325">DATE(2012,12,31)-23</f>
        <v>41251</v>
      </c>
      <c r="C8281" s="13">
        <v>2012.0</v>
      </c>
      <c r="D8281" s="11" t="s">
        <v>23</v>
      </c>
      <c r="E8281" s="11">
        <v>7.0</v>
      </c>
      <c r="F8281" s="14">
        <v>8.3</v>
      </c>
      <c r="G8281" s="15">
        <v>0.06585289514866967</v>
      </c>
      <c r="H8281" s="11" t="s">
        <v>33</v>
      </c>
      <c r="I8281" s="16">
        <v>1.592</v>
      </c>
      <c r="J8281" s="11" t="s">
        <v>756</v>
      </c>
      <c r="K8281" s="11" t="s">
        <v>65</v>
      </c>
      <c r="L8281" s="11" t="s">
        <v>27</v>
      </c>
      <c r="M8281" s="11" t="s">
        <v>66</v>
      </c>
      <c r="N8281" s="11" t="s">
        <v>67</v>
      </c>
      <c r="O8281" s="11" t="s">
        <v>749</v>
      </c>
      <c r="P8281" s="11" t="s">
        <v>99</v>
      </c>
      <c r="Q8281" s="20">
        <v>41253.0</v>
      </c>
      <c r="R8281" s="17">
        <f t="shared" si="2"/>
        <v>3.930891017</v>
      </c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>
        <f t="shared" si="8"/>
        <v>1</v>
      </c>
      <c r="AF8281" s="19">
        <f t="shared" si="13"/>
        <v>5</v>
      </c>
      <c r="AG8281" s="9"/>
      <c r="AH8281" s="9"/>
      <c r="AI8281" s="9"/>
    </row>
    <row r="8282" ht="15.0" customHeight="1">
      <c r="A8282" s="11">
        <v>8281.0</v>
      </c>
      <c r="B8282" s="12">
        <f t="shared" si="1325"/>
        <v>41251</v>
      </c>
      <c r="C8282" s="13">
        <v>2012.0</v>
      </c>
      <c r="D8282" s="11" t="s">
        <v>23</v>
      </c>
      <c r="E8282" s="11">
        <v>10.0</v>
      </c>
      <c r="F8282" s="14">
        <v>34.9</v>
      </c>
      <c r="G8282" s="15">
        <v>0.016655592469545854</v>
      </c>
      <c r="H8282" s="11" t="s">
        <v>33</v>
      </c>
      <c r="I8282" s="16">
        <v>6.184000000000001</v>
      </c>
      <c r="J8282" s="11" t="s">
        <v>756</v>
      </c>
      <c r="K8282" s="11" t="s">
        <v>65</v>
      </c>
      <c r="L8282" s="11" t="s">
        <v>27</v>
      </c>
      <c r="M8282" s="11" t="s">
        <v>28</v>
      </c>
      <c r="N8282" s="11" t="s">
        <v>62</v>
      </c>
      <c r="O8282" s="11" t="s">
        <v>720</v>
      </c>
      <c r="P8282" s="11" t="s">
        <v>38</v>
      </c>
      <c r="Q8282" s="20">
        <v>41253.0</v>
      </c>
      <c r="R8282" s="17">
        <f t="shared" si="2"/>
        <v>5.915799956</v>
      </c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>
        <f t="shared" si="8"/>
        <v>1</v>
      </c>
      <c r="AF8282" s="19">
        <f t="shared" si="13"/>
        <v>5</v>
      </c>
      <c r="AG8282" s="9"/>
      <c r="AH8282" s="9"/>
      <c r="AI8282" s="9"/>
    </row>
    <row r="8283" ht="15.0" customHeight="1">
      <c r="A8283" s="11">
        <v>8282.0</v>
      </c>
      <c r="B8283" s="12">
        <f t="shared" si="1325"/>
        <v>41251</v>
      </c>
      <c r="C8283" s="13">
        <v>2012.0</v>
      </c>
      <c r="D8283" s="11" t="s">
        <v>39</v>
      </c>
      <c r="E8283" s="11">
        <v>5.0</v>
      </c>
      <c r="F8283" s="14">
        <v>280.9</v>
      </c>
      <c r="G8283" s="15">
        <v>0.08993347558679564</v>
      </c>
      <c r="H8283" s="11" t="s">
        <v>45</v>
      </c>
      <c r="I8283" s="16">
        <v>45.6</v>
      </c>
      <c r="J8283" s="11" t="s">
        <v>1342</v>
      </c>
      <c r="K8283" s="11" t="s">
        <v>61</v>
      </c>
      <c r="L8283" s="11" t="s">
        <v>27</v>
      </c>
      <c r="M8283" s="11" t="s">
        <v>49</v>
      </c>
      <c r="N8283" s="11" t="s">
        <v>50</v>
      </c>
      <c r="O8283" s="11" t="s">
        <v>801</v>
      </c>
      <c r="P8283" s="11" t="s">
        <v>52</v>
      </c>
      <c r="Q8283" s="20">
        <v>41253.0</v>
      </c>
      <c r="R8283" s="17">
        <f t="shared" si="2"/>
        <v>130.4125329</v>
      </c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>
        <f t="shared" si="8"/>
        <v>1</v>
      </c>
      <c r="AF8283" s="19">
        <f t="shared" si="13"/>
        <v>4</v>
      </c>
      <c r="AG8283" s="9"/>
      <c r="AH8283" s="9"/>
      <c r="AI8283" s="9"/>
    </row>
    <row r="8284" ht="15.0" customHeight="1">
      <c r="A8284" s="11">
        <v>8283.0</v>
      </c>
      <c r="B8284" s="12">
        <f t="shared" si="1325"/>
        <v>41251</v>
      </c>
      <c r="C8284" s="13">
        <v>2012.0</v>
      </c>
      <c r="D8284" s="11" t="s">
        <v>39</v>
      </c>
      <c r="E8284" s="11">
        <v>29.0</v>
      </c>
      <c r="F8284" s="14">
        <v>10.9</v>
      </c>
      <c r="G8284" s="15">
        <v>0.03803258901629429</v>
      </c>
      <c r="H8284" s="11" t="s">
        <v>33</v>
      </c>
      <c r="I8284" s="16">
        <v>2.696</v>
      </c>
      <c r="J8284" s="11" t="s">
        <v>1342</v>
      </c>
      <c r="K8284" s="11" t="s">
        <v>61</v>
      </c>
      <c r="L8284" s="11" t="s">
        <v>27</v>
      </c>
      <c r="M8284" s="11" t="s">
        <v>28</v>
      </c>
      <c r="N8284" s="11" t="s">
        <v>442</v>
      </c>
      <c r="O8284" s="11" t="s">
        <v>1111</v>
      </c>
      <c r="P8284" s="11" t="s">
        <v>99</v>
      </c>
      <c r="Q8284" s="20">
        <v>41253.0</v>
      </c>
      <c r="R8284" s="17">
        <f t="shared" si="2"/>
        <v>12.12463725</v>
      </c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>
        <f t="shared" si="8"/>
        <v>1</v>
      </c>
      <c r="AF8284" s="19">
        <f t="shared" si="13"/>
        <v>4</v>
      </c>
      <c r="AG8284" s="9"/>
      <c r="AH8284" s="9"/>
      <c r="AI8284" s="9"/>
    </row>
    <row r="8285" ht="15.0" customHeight="1">
      <c r="A8285" s="11">
        <v>8284.0</v>
      </c>
      <c r="B8285" s="12">
        <f t="shared" ref="B8285:B8298" si="1326">DATE(2012,12,31)-22</f>
        <v>41252</v>
      </c>
      <c r="C8285" s="13">
        <v>2012.0</v>
      </c>
      <c r="D8285" s="11" t="s">
        <v>23</v>
      </c>
      <c r="E8285" s="11">
        <v>27.0</v>
      </c>
      <c r="F8285" s="14">
        <v>6.4</v>
      </c>
      <c r="G8285" s="15">
        <v>0.09939148073022296</v>
      </c>
      <c r="H8285" s="11" t="s">
        <v>33</v>
      </c>
      <c r="I8285" s="16">
        <v>4.800000000000001</v>
      </c>
      <c r="J8285" s="11" t="s">
        <v>1099</v>
      </c>
      <c r="K8285" s="11" t="s">
        <v>47</v>
      </c>
      <c r="L8285" s="11" t="s">
        <v>48</v>
      </c>
      <c r="M8285" s="11" t="s">
        <v>28</v>
      </c>
      <c r="N8285" s="11" t="s">
        <v>56</v>
      </c>
      <c r="O8285" s="11" t="s">
        <v>2577</v>
      </c>
      <c r="P8285" s="11" t="s">
        <v>38</v>
      </c>
      <c r="Q8285" s="20">
        <v>41253.0</v>
      </c>
      <c r="R8285" s="17">
        <f t="shared" si="2"/>
        <v>17.65192698</v>
      </c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>
        <f t="shared" si="8"/>
        <v>4</v>
      </c>
      <c r="AF8285" s="19">
        <f t="shared" si="13"/>
        <v>3</v>
      </c>
      <c r="AG8285" s="9"/>
      <c r="AH8285" s="9"/>
      <c r="AI8285" s="9"/>
    </row>
    <row r="8286" ht="15.0" customHeight="1">
      <c r="A8286" s="11">
        <v>8285.0</v>
      </c>
      <c r="B8286" s="12">
        <f t="shared" si="1326"/>
        <v>41252</v>
      </c>
      <c r="C8286" s="13">
        <v>2012.0</v>
      </c>
      <c r="D8286" s="11" t="s">
        <v>23</v>
      </c>
      <c r="E8286" s="11">
        <v>24.0</v>
      </c>
      <c r="F8286" s="14">
        <v>3.8</v>
      </c>
      <c r="G8286" s="15">
        <v>0.09330716388616314</v>
      </c>
      <c r="H8286" s="11" t="s">
        <v>24</v>
      </c>
      <c r="I8286" s="16">
        <v>1.192</v>
      </c>
      <c r="J8286" s="11" t="s">
        <v>1099</v>
      </c>
      <c r="K8286" s="11" t="s">
        <v>47</v>
      </c>
      <c r="L8286" s="11" t="s">
        <v>48</v>
      </c>
      <c r="M8286" s="11" t="s">
        <v>28</v>
      </c>
      <c r="N8286" s="11" t="s">
        <v>42</v>
      </c>
      <c r="O8286" s="11" t="s">
        <v>667</v>
      </c>
      <c r="P8286" s="11" t="s">
        <v>38</v>
      </c>
      <c r="Q8286" s="20">
        <v>41253.0</v>
      </c>
      <c r="R8286" s="17">
        <f t="shared" si="2"/>
        <v>8.620835486</v>
      </c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>
        <f t="shared" si="8"/>
        <v>4</v>
      </c>
      <c r="AF8286" s="19">
        <f t="shared" si="13"/>
        <v>3</v>
      </c>
      <c r="AG8286" s="9"/>
      <c r="AH8286" s="9"/>
      <c r="AI8286" s="9"/>
    </row>
    <row r="8287" ht="15.0" customHeight="1">
      <c r="A8287" s="11">
        <v>8286.0</v>
      </c>
      <c r="B8287" s="12">
        <f t="shared" si="1326"/>
        <v>41252</v>
      </c>
      <c r="C8287" s="13">
        <v>2012.0</v>
      </c>
      <c r="D8287" s="11" t="s">
        <v>44</v>
      </c>
      <c r="E8287" s="11">
        <v>29.0</v>
      </c>
      <c r="F8287" s="14">
        <v>20.8</v>
      </c>
      <c r="G8287" s="15">
        <v>0.078622790981109</v>
      </c>
      <c r="H8287" s="11" t="s">
        <v>33</v>
      </c>
      <c r="I8287" s="16">
        <v>1.592</v>
      </c>
      <c r="J8287" s="11" t="s">
        <v>1507</v>
      </c>
      <c r="K8287" s="11" t="s">
        <v>61</v>
      </c>
      <c r="L8287" s="11" t="s">
        <v>48</v>
      </c>
      <c r="M8287" s="11" t="s">
        <v>66</v>
      </c>
      <c r="N8287" s="11" t="s">
        <v>67</v>
      </c>
      <c r="O8287" s="11" t="s">
        <v>2051</v>
      </c>
      <c r="P8287" s="11" t="s">
        <v>99</v>
      </c>
      <c r="Q8287" s="20">
        <v>41253.0</v>
      </c>
      <c r="R8287" s="17">
        <f t="shared" si="2"/>
        <v>47.550435</v>
      </c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>
        <f t="shared" si="8"/>
        <v>4</v>
      </c>
      <c r="AF8287" s="19">
        <f t="shared" si="13"/>
        <v>4</v>
      </c>
      <c r="AG8287" s="9"/>
      <c r="AH8287" s="9"/>
      <c r="AI8287" s="9"/>
    </row>
    <row r="8288" ht="15.0" customHeight="1">
      <c r="A8288" s="11">
        <v>8287.0</v>
      </c>
      <c r="B8288" s="12">
        <f t="shared" si="1326"/>
        <v>41252</v>
      </c>
      <c r="C8288" s="13">
        <v>2012.0</v>
      </c>
      <c r="D8288" s="11" t="s">
        <v>44</v>
      </c>
      <c r="E8288" s="11">
        <v>39.0</v>
      </c>
      <c r="F8288" s="14">
        <v>2.8</v>
      </c>
      <c r="G8288" s="15">
        <v>0.07744107744107746</v>
      </c>
      <c r="H8288" s="11" t="s">
        <v>33</v>
      </c>
      <c r="I8288" s="16">
        <v>0.4</v>
      </c>
      <c r="J8288" s="11" t="s">
        <v>1507</v>
      </c>
      <c r="K8288" s="11" t="s">
        <v>61</v>
      </c>
      <c r="L8288" s="11" t="s">
        <v>48</v>
      </c>
      <c r="M8288" s="11" t="s">
        <v>28</v>
      </c>
      <c r="N8288" s="11" t="s">
        <v>188</v>
      </c>
      <c r="O8288" s="11" t="s">
        <v>437</v>
      </c>
      <c r="P8288" s="11" t="s">
        <v>38</v>
      </c>
      <c r="Q8288" s="20">
        <v>41254.0</v>
      </c>
      <c r="R8288" s="17">
        <f t="shared" si="2"/>
        <v>8.487542088</v>
      </c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>
        <f t="shared" si="8"/>
        <v>4</v>
      </c>
      <c r="AF8288" s="19">
        <f t="shared" si="13"/>
        <v>4</v>
      </c>
      <c r="AG8288" s="9"/>
      <c r="AH8288" s="9"/>
      <c r="AI8288" s="9"/>
    </row>
    <row r="8289" ht="15.0" customHeight="1">
      <c r="A8289" s="11">
        <v>8288.0</v>
      </c>
      <c r="B8289" s="12">
        <f t="shared" si="1326"/>
        <v>41252</v>
      </c>
      <c r="C8289" s="13">
        <v>2012.0</v>
      </c>
      <c r="D8289" s="11" t="s">
        <v>44</v>
      </c>
      <c r="E8289" s="11">
        <v>48.0</v>
      </c>
      <c r="F8289" s="14">
        <v>41.3</v>
      </c>
      <c r="G8289" s="15">
        <v>0.011219245489338494</v>
      </c>
      <c r="H8289" s="11" t="s">
        <v>33</v>
      </c>
      <c r="I8289" s="16">
        <v>6.928000000000001</v>
      </c>
      <c r="J8289" s="11" t="s">
        <v>1507</v>
      </c>
      <c r="K8289" s="11" t="s">
        <v>61</v>
      </c>
      <c r="L8289" s="11" t="s">
        <v>48</v>
      </c>
      <c r="M8289" s="11" t="s">
        <v>49</v>
      </c>
      <c r="N8289" s="11" t="s">
        <v>73</v>
      </c>
      <c r="O8289" s="11" t="s">
        <v>1871</v>
      </c>
      <c r="P8289" s="11" t="s">
        <v>75</v>
      </c>
      <c r="Q8289" s="20">
        <v>41254.0</v>
      </c>
      <c r="R8289" s="17">
        <f t="shared" si="2"/>
        <v>22.31875919</v>
      </c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>
        <f t="shared" si="8"/>
        <v>4</v>
      </c>
      <c r="AF8289" s="19">
        <f t="shared" si="13"/>
        <v>4</v>
      </c>
      <c r="AG8289" s="9"/>
      <c r="AH8289" s="9"/>
      <c r="AI8289" s="9"/>
    </row>
    <row r="8290" ht="15.0" customHeight="1">
      <c r="A8290" s="11">
        <v>8289.0</v>
      </c>
      <c r="B8290" s="12">
        <f t="shared" si="1326"/>
        <v>41252</v>
      </c>
      <c r="C8290" s="13">
        <v>2012.0</v>
      </c>
      <c r="D8290" s="11" t="s">
        <v>39</v>
      </c>
      <c r="E8290" s="11">
        <v>39.0</v>
      </c>
      <c r="F8290" s="14">
        <v>7.2</v>
      </c>
      <c r="G8290" s="15">
        <v>0.09064657878217199</v>
      </c>
      <c r="H8290" s="11" t="s">
        <v>33</v>
      </c>
      <c r="I8290" s="16">
        <v>8.92</v>
      </c>
      <c r="J8290" s="11" t="s">
        <v>76</v>
      </c>
      <c r="K8290" s="11" t="s">
        <v>61</v>
      </c>
      <c r="L8290" s="11" t="s">
        <v>48</v>
      </c>
      <c r="M8290" s="11" t="s">
        <v>28</v>
      </c>
      <c r="N8290" s="11" t="s">
        <v>56</v>
      </c>
      <c r="O8290" s="11" t="s">
        <v>553</v>
      </c>
      <c r="P8290" s="11" t="s">
        <v>38</v>
      </c>
      <c r="Q8290" s="20">
        <v>41254.0</v>
      </c>
      <c r="R8290" s="17">
        <f t="shared" si="2"/>
        <v>26.2621268</v>
      </c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>
        <f t="shared" si="8"/>
        <v>4</v>
      </c>
      <c r="AF8290" s="19">
        <f t="shared" si="13"/>
        <v>4</v>
      </c>
      <c r="AG8290" s="9"/>
      <c r="AH8290" s="9"/>
      <c r="AI8290" s="9"/>
    </row>
    <row r="8291" ht="15.0" customHeight="1">
      <c r="A8291" s="11">
        <v>8290.0</v>
      </c>
      <c r="B8291" s="12">
        <f t="shared" si="1326"/>
        <v>41252</v>
      </c>
      <c r="C8291" s="13">
        <v>2012.0</v>
      </c>
      <c r="D8291" s="11" t="s">
        <v>39</v>
      </c>
      <c r="E8291" s="11">
        <v>12.0</v>
      </c>
      <c r="F8291" s="14">
        <v>424.2</v>
      </c>
      <c r="G8291" s="15">
        <v>0.07800665871419167</v>
      </c>
      <c r="H8291" s="11" t="s">
        <v>45</v>
      </c>
      <c r="I8291" s="16">
        <v>88.16000000000001</v>
      </c>
      <c r="J8291" s="11" t="s">
        <v>76</v>
      </c>
      <c r="K8291" s="11" t="s">
        <v>61</v>
      </c>
      <c r="L8291" s="11" t="s">
        <v>48</v>
      </c>
      <c r="M8291" s="11" t="s">
        <v>49</v>
      </c>
      <c r="N8291" s="11" t="s">
        <v>85</v>
      </c>
      <c r="O8291" s="11" t="s">
        <v>1673</v>
      </c>
      <c r="P8291" s="11" t="s">
        <v>87</v>
      </c>
      <c r="Q8291" s="20">
        <v>41254.0</v>
      </c>
      <c r="R8291" s="17">
        <f t="shared" si="2"/>
        <v>403.9621626</v>
      </c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>
        <f t="shared" si="8"/>
        <v>4</v>
      </c>
      <c r="AF8291" s="19">
        <f t="shared" si="13"/>
        <v>4</v>
      </c>
      <c r="AG8291" s="9"/>
      <c r="AH8291" s="9"/>
      <c r="AI8291" s="9"/>
    </row>
    <row r="8292" ht="15.0" customHeight="1">
      <c r="A8292" s="11">
        <v>8291.0</v>
      </c>
      <c r="B8292" s="12">
        <f t="shared" si="1326"/>
        <v>41252</v>
      </c>
      <c r="C8292" s="13">
        <v>2012.0</v>
      </c>
      <c r="D8292" s="11" t="s">
        <v>39</v>
      </c>
      <c r="E8292" s="11">
        <v>44.0</v>
      </c>
      <c r="F8292" s="14">
        <v>200.9</v>
      </c>
      <c r="G8292" s="15">
        <v>0.08313840923695616</v>
      </c>
      <c r="H8292" s="11" t="s">
        <v>24</v>
      </c>
      <c r="I8292" s="16">
        <v>6.464</v>
      </c>
      <c r="J8292" s="11" t="s">
        <v>76</v>
      </c>
      <c r="K8292" s="11" t="s">
        <v>61</v>
      </c>
      <c r="L8292" s="11" t="s">
        <v>48</v>
      </c>
      <c r="M8292" s="11" t="s">
        <v>66</v>
      </c>
      <c r="N8292" s="11" t="s">
        <v>80</v>
      </c>
      <c r="O8292" s="11">
        <v>5125.0</v>
      </c>
      <c r="P8292" s="11" t="s">
        <v>38</v>
      </c>
      <c r="Q8292" s="20">
        <v>41254.0</v>
      </c>
      <c r="R8292" s="17">
        <f t="shared" si="2"/>
        <v>735.447689</v>
      </c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>
        <f t="shared" si="8"/>
        <v>4</v>
      </c>
      <c r="AF8292" s="19">
        <f t="shared" si="13"/>
        <v>4</v>
      </c>
      <c r="AG8292" s="9"/>
      <c r="AH8292" s="9"/>
      <c r="AI8292" s="9"/>
    </row>
    <row r="8293" ht="15.0" customHeight="1">
      <c r="A8293" s="11">
        <v>8292.0</v>
      </c>
      <c r="B8293" s="12">
        <f t="shared" si="1326"/>
        <v>41252</v>
      </c>
      <c r="C8293" s="13">
        <v>2012.0</v>
      </c>
      <c r="D8293" s="11" t="s">
        <v>102</v>
      </c>
      <c r="E8293" s="11">
        <v>4.0</v>
      </c>
      <c r="F8293" s="14">
        <v>1500.9</v>
      </c>
      <c r="G8293" s="15">
        <v>0.05756234852630747</v>
      </c>
      <c r="H8293" s="11" t="s">
        <v>45</v>
      </c>
      <c r="I8293" s="16">
        <v>23.76</v>
      </c>
      <c r="J8293" s="11" t="s">
        <v>2417</v>
      </c>
      <c r="K8293" s="11" t="s">
        <v>65</v>
      </c>
      <c r="L8293" s="11" t="s">
        <v>36</v>
      </c>
      <c r="M8293" s="11" t="s">
        <v>66</v>
      </c>
      <c r="N8293" s="11" t="s">
        <v>69</v>
      </c>
      <c r="O8293" s="11" t="s">
        <v>938</v>
      </c>
      <c r="P8293" s="11" t="s">
        <v>52</v>
      </c>
      <c r="Q8293" s="20">
        <v>41254.0</v>
      </c>
      <c r="R8293" s="17">
        <f t="shared" si="2"/>
        <v>346.948997</v>
      </c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>
        <f t="shared" si="8"/>
        <v>2</v>
      </c>
      <c r="AF8293" s="19">
        <f t="shared" si="13"/>
        <v>5</v>
      </c>
      <c r="AG8293" s="9"/>
      <c r="AH8293" s="9"/>
      <c r="AI8293" s="9"/>
    </row>
    <row r="8294" ht="15.0" customHeight="1">
      <c r="A8294" s="11">
        <v>8293.0</v>
      </c>
      <c r="B8294" s="12">
        <f t="shared" si="1326"/>
        <v>41252</v>
      </c>
      <c r="C8294" s="13">
        <v>2012.0</v>
      </c>
      <c r="D8294" s="11" t="s">
        <v>102</v>
      </c>
      <c r="E8294" s="11">
        <v>46.0</v>
      </c>
      <c r="F8294" s="14">
        <v>80.9</v>
      </c>
      <c r="G8294" s="15">
        <v>0.05890901781451789</v>
      </c>
      <c r="H8294" s="11" t="s">
        <v>45</v>
      </c>
      <c r="I8294" s="16">
        <v>24.048000000000002</v>
      </c>
      <c r="J8294" s="11" t="s">
        <v>2417</v>
      </c>
      <c r="K8294" s="11" t="s">
        <v>65</v>
      </c>
      <c r="L8294" s="11" t="s">
        <v>36</v>
      </c>
      <c r="M8294" s="11" t="s">
        <v>66</v>
      </c>
      <c r="N8294" s="11" t="s">
        <v>69</v>
      </c>
      <c r="O8294" s="11" t="s">
        <v>645</v>
      </c>
      <c r="P8294" s="11" t="s">
        <v>87</v>
      </c>
      <c r="Q8294" s="20">
        <v>41254.0</v>
      </c>
      <c r="R8294" s="17">
        <f t="shared" si="2"/>
        <v>220.640663</v>
      </c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>
        <f t="shared" si="8"/>
        <v>2</v>
      </c>
      <c r="AF8294" s="19">
        <f t="shared" si="13"/>
        <v>5</v>
      </c>
      <c r="AG8294" s="9"/>
      <c r="AH8294" s="9"/>
      <c r="AI8294" s="9"/>
    </row>
    <row r="8295" ht="15.0" customHeight="1">
      <c r="A8295" s="11">
        <v>8294.0</v>
      </c>
      <c r="B8295" s="12">
        <f t="shared" si="1326"/>
        <v>41252</v>
      </c>
      <c r="C8295" s="13">
        <v>2012.0</v>
      </c>
      <c r="D8295" s="11" t="s">
        <v>102</v>
      </c>
      <c r="E8295" s="11">
        <v>29.0</v>
      </c>
      <c r="F8295" s="14">
        <v>65.9</v>
      </c>
      <c r="G8295" s="15">
        <v>0.08465333778689683</v>
      </c>
      <c r="H8295" s="11" t="s">
        <v>33</v>
      </c>
      <c r="I8295" s="16">
        <v>7.192</v>
      </c>
      <c r="J8295" s="11" t="s">
        <v>2417</v>
      </c>
      <c r="K8295" s="11" t="s">
        <v>65</v>
      </c>
      <c r="L8295" s="11" t="s">
        <v>36</v>
      </c>
      <c r="M8295" s="11" t="s">
        <v>66</v>
      </c>
      <c r="N8295" s="11" t="s">
        <v>80</v>
      </c>
      <c r="O8295" s="11">
        <v>5180.0</v>
      </c>
      <c r="P8295" s="11" t="s">
        <v>38</v>
      </c>
      <c r="Q8295" s="20">
        <v>41254.0</v>
      </c>
      <c r="R8295" s="17">
        <f t="shared" si="2"/>
        <v>162.3898206</v>
      </c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>
        <f t="shared" si="8"/>
        <v>2</v>
      </c>
      <c r="AF8295" s="19">
        <f t="shared" si="13"/>
        <v>5</v>
      </c>
      <c r="AG8295" s="9"/>
      <c r="AH8295" s="9"/>
      <c r="AI8295" s="9"/>
    </row>
    <row r="8296" ht="15.0" customHeight="1">
      <c r="A8296" s="11">
        <v>8295.0</v>
      </c>
      <c r="B8296" s="12">
        <f t="shared" si="1326"/>
        <v>41252</v>
      </c>
      <c r="C8296" s="13">
        <v>2012.0</v>
      </c>
      <c r="D8296" s="11" t="s">
        <v>23</v>
      </c>
      <c r="E8296" s="11">
        <v>50.0</v>
      </c>
      <c r="F8296" s="14">
        <v>17.6</v>
      </c>
      <c r="G8296" s="15">
        <v>0.005835948005378593</v>
      </c>
      <c r="H8296" s="11" t="s">
        <v>33</v>
      </c>
      <c r="I8296" s="16">
        <v>7.192</v>
      </c>
      <c r="J8296" s="11" t="s">
        <v>1972</v>
      </c>
      <c r="K8296" s="11" t="s">
        <v>61</v>
      </c>
      <c r="L8296" s="11" t="s">
        <v>27</v>
      </c>
      <c r="M8296" s="11" t="s">
        <v>49</v>
      </c>
      <c r="N8296" s="11" t="s">
        <v>73</v>
      </c>
      <c r="O8296" s="11" t="s">
        <v>1073</v>
      </c>
      <c r="P8296" s="11" t="s">
        <v>99</v>
      </c>
      <c r="Q8296" s="20">
        <v>41254.0</v>
      </c>
      <c r="R8296" s="17">
        <f t="shared" si="2"/>
        <v>5.177606383</v>
      </c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>
        <f t="shared" si="8"/>
        <v>1</v>
      </c>
      <c r="AF8296" s="19">
        <f t="shared" si="13"/>
        <v>4</v>
      </c>
      <c r="AG8296" s="9"/>
      <c r="AH8296" s="9"/>
      <c r="AI8296" s="9"/>
    </row>
    <row r="8297" ht="15.0" customHeight="1">
      <c r="A8297" s="11">
        <v>8296.0</v>
      </c>
      <c r="B8297" s="12">
        <f t="shared" si="1326"/>
        <v>41252</v>
      </c>
      <c r="C8297" s="13">
        <v>2012.0</v>
      </c>
      <c r="D8297" s="11" t="s">
        <v>39</v>
      </c>
      <c r="E8297" s="11">
        <v>4.0</v>
      </c>
      <c r="F8297" s="14">
        <v>28.4</v>
      </c>
      <c r="G8297" s="15">
        <v>0.04404979253112039</v>
      </c>
      <c r="H8297" s="11" t="s">
        <v>33</v>
      </c>
      <c r="I8297" s="16">
        <v>1.592</v>
      </c>
      <c r="J8297" s="11" t="s">
        <v>2016</v>
      </c>
      <c r="K8297" s="11" t="s">
        <v>35</v>
      </c>
      <c r="L8297" s="11" t="s">
        <v>36</v>
      </c>
      <c r="M8297" s="11" t="s">
        <v>66</v>
      </c>
      <c r="N8297" s="11" t="s">
        <v>67</v>
      </c>
      <c r="O8297" s="11" t="s">
        <v>98</v>
      </c>
      <c r="P8297" s="11" t="s">
        <v>99</v>
      </c>
      <c r="Q8297" s="20">
        <v>41254.0</v>
      </c>
      <c r="R8297" s="17">
        <f t="shared" si="2"/>
        <v>5.074183701</v>
      </c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>
        <f t="shared" si="8"/>
        <v>2</v>
      </c>
      <c r="AF8297" s="19">
        <f t="shared" si="13"/>
        <v>2</v>
      </c>
      <c r="AG8297" s="9"/>
      <c r="AH8297" s="9"/>
      <c r="AI8297" s="9"/>
    </row>
    <row r="8298" ht="15.0" customHeight="1">
      <c r="A8298" s="11">
        <v>8297.0</v>
      </c>
      <c r="B8298" s="12">
        <f t="shared" si="1326"/>
        <v>41252</v>
      </c>
      <c r="C8298" s="13">
        <v>2012.0</v>
      </c>
      <c r="D8298" s="11" t="s">
        <v>39</v>
      </c>
      <c r="E8298" s="11">
        <v>23.0</v>
      </c>
      <c r="F8298" s="14">
        <v>699.9</v>
      </c>
      <c r="G8298" s="15">
        <v>0.060428424355937184</v>
      </c>
      <c r="H8298" s="11" t="s">
        <v>33</v>
      </c>
      <c r="I8298" s="16">
        <v>19.592</v>
      </c>
      <c r="J8298" s="11" t="s">
        <v>2016</v>
      </c>
      <c r="K8298" s="11" t="s">
        <v>35</v>
      </c>
      <c r="L8298" s="11" t="s">
        <v>36</v>
      </c>
      <c r="M8298" s="11" t="s">
        <v>66</v>
      </c>
      <c r="N8298" s="11" t="s">
        <v>170</v>
      </c>
      <c r="O8298" s="11" t="s">
        <v>171</v>
      </c>
      <c r="P8298" s="11" t="s">
        <v>31</v>
      </c>
      <c r="Q8298" s="20">
        <v>41255.0</v>
      </c>
      <c r="R8298" s="17">
        <f t="shared" si="2"/>
        <v>973.9425604</v>
      </c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>
        <f t="shared" si="8"/>
        <v>2</v>
      </c>
      <c r="AF8298" s="19">
        <f t="shared" si="13"/>
        <v>2</v>
      </c>
      <c r="AG8298" s="9"/>
      <c r="AH8298" s="9"/>
      <c r="AI8298" s="9"/>
    </row>
    <row r="8299" ht="15.0" customHeight="1">
      <c r="A8299" s="11">
        <v>8298.0</v>
      </c>
      <c r="B8299" s="12">
        <f t="shared" ref="B8299:B8309" si="1327">DATE(2012,12,31)-21</f>
        <v>41253</v>
      </c>
      <c r="C8299" s="13">
        <v>2012.0</v>
      </c>
      <c r="D8299" s="11" t="s">
        <v>23</v>
      </c>
      <c r="E8299" s="11">
        <v>29.0</v>
      </c>
      <c r="F8299" s="14">
        <v>18.9</v>
      </c>
      <c r="G8299" s="15">
        <v>0.022090083674559603</v>
      </c>
      <c r="H8299" s="11" t="s">
        <v>33</v>
      </c>
      <c r="I8299" s="16">
        <v>1.192</v>
      </c>
      <c r="J8299" s="11" t="s">
        <v>1848</v>
      </c>
      <c r="K8299" s="11" t="s">
        <v>61</v>
      </c>
      <c r="L8299" s="11" t="s">
        <v>27</v>
      </c>
      <c r="M8299" s="11" t="s">
        <v>28</v>
      </c>
      <c r="N8299" s="11" t="s">
        <v>42</v>
      </c>
      <c r="O8299" s="11" t="s">
        <v>2377</v>
      </c>
      <c r="P8299" s="11" t="s">
        <v>38</v>
      </c>
      <c r="Q8299" s="20">
        <v>41255.0</v>
      </c>
      <c r="R8299" s="17">
        <f t="shared" si="2"/>
        <v>12.13390624</v>
      </c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>
        <f t="shared" si="8"/>
        <v>1</v>
      </c>
      <c r="AF8299" s="19">
        <f t="shared" si="13"/>
        <v>4</v>
      </c>
      <c r="AG8299" s="9"/>
      <c r="AH8299" s="9"/>
      <c r="AI8299" s="9"/>
    </row>
    <row r="8300" ht="15.0" customHeight="1">
      <c r="A8300" s="11">
        <v>8299.0</v>
      </c>
      <c r="B8300" s="12">
        <f t="shared" si="1327"/>
        <v>41253</v>
      </c>
      <c r="C8300" s="13">
        <v>2012.0</v>
      </c>
      <c r="D8300" s="11" t="s">
        <v>23</v>
      </c>
      <c r="E8300" s="11">
        <v>30.0</v>
      </c>
      <c r="F8300" s="14">
        <v>122.9</v>
      </c>
      <c r="G8300" s="15">
        <v>0.049320428230340614</v>
      </c>
      <c r="H8300" s="11" t="s">
        <v>33</v>
      </c>
      <c r="I8300" s="16">
        <v>15.991999999999999</v>
      </c>
      <c r="J8300" s="11" t="s">
        <v>1848</v>
      </c>
      <c r="K8300" s="11" t="s">
        <v>61</v>
      </c>
      <c r="L8300" s="11" t="s">
        <v>27</v>
      </c>
      <c r="M8300" s="11" t="s">
        <v>28</v>
      </c>
      <c r="N8300" s="11" t="s">
        <v>42</v>
      </c>
      <c r="O8300" s="11" t="s">
        <v>1251</v>
      </c>
      <c r="P8300" s="11" t="s">
        <v>38</v>
      </c>
      <c r="Q8300" s="20">
        <v>41255.0</v>
      </c>
      <c r="R8300" s="17">
        <f t="shared" si="2"/>
        <v>182.6331512</v>
      </c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>
        <f t="shared" si="8"/>
        <v>1</v>
      </c>
      <c r="AF8300" s="19">
        <f t="shared" si="13"/>
        <v>4</v>
      </c>
      <c r="AG8300" s="9"/>
      <c r="AH8300" s="9"/>
      <c r="AI8300" s="9"/>
    </row>
    <row r="8301" ht="15.0" customHeight="1">
      <c r="A8301" s="11">
        <v>8300.0</v>
      </c>
      <c r="B8301" s="12">
        <f t="shared" si="1327"/>
        <v>41253</v>
      </c>
      <c r="C8301" s="13">
        <v>2012.0</v>
      </c>
      <c r="D8301" s="11" t="s">
        <v>23</v>
      </c>
      <c r="E8301" s="11">
        <v>14.0</v>
      </c>
      <c r="F8301" s="14">
        <v>1.1</v>
      </c>
      <c r="G8301" s="15">
        <v>0.03855421686746981</v>
      </c>
      <c r="H8301" s="11" t="s">
        <v>24</v>
      </c>
      <c r="I8301" s="16">
        <v>0.5599999999999999</v>
      </c>
      <c r="J8301" s="11" t="s">
        <v>1848</v>
      </c>
      <c r="K8301" s="11" t="s">
        <v>61</v>
      </c>
      <c r="L8301" s="11" t="s">
        <v>27</v>
      </c>
      <c r="M8301" s="11" t="s">
        <v>28</v>
      </c>
      <c r="N8301" s="11" t="s">
        <v>216</v>
      </c>
      <c r="O8301" s="11" t="s">
        <v>484</v>
      </c>
      <c r="P8301" s="11" t="s">
        <v>58</v>
      </c>
      <c r="Q8301" s="20">
        <v>41255.0</v>
      </c>
      <c r="R8301" s="17">
        <f t="shared" si="2"/>
        <v>0.6153253012</v>
      </c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>
        <f t="shared" si="8"/>
        <v>1</v>
      </c>
      <c r="AF8301" s="19">
        <f t="shared" si="13"/>
        <v>4</v>
      </c>
      <c r="AG8301" s="9"/>
      <c r="AH8301" s="9"/>
      <c r="AI8301" s="9"/>
    </row>
    <row r="8302" ht="15.0" customHeight="1">
      <c r="A8302" s="11">
        <v>8301.0</v>
      </c>
      <c r="B8302" s="12">
        <f t="shared" si="1327"/>
        <v>41253</v>
      </c>
      <c r="C8302" s="13">
        <v>2012.0</v>
      </c>
      <c r="D8302" s="11" t="s">
        <v>44</v>
      </c>
      <c r="E8302" s="11">
        <v>12.0</v>
      </c>
      <c r="F8302" s="14">
        <v>300.6</v>
      </c>
      <c r="G8302" s="15">
        <v>0.03058056238639994</v>
      </c>
      <c r="H8302" s="11" t="s">
        <v>33</v>
      </c>
      <c r="I8302" s="16">
        <v>19.592</v>
      </c>
      <c r="J8302" s="11" t="s">
        <v>571</v>
      </c>
      <c r="K8302" s="11" t="s">
        <v>65</v>
      </c>
      <c r="L8302" s="11" t="s">
        <v>27</v>
      </c>
      <c r="M8302" s="11" t="s">
        <v>28</v>
      </c>
      <c r="N8302" s="11" t="s">
        <v>197</v>
      </c>
      <c r="O8302" s="11" t="s">
        <v>1953</v>
      </c>
      <c r="P8302" s="11" t="s">
        <v>31</v>
      </c>
      <c r="Q8302" s="20">
        <v>41255.0</v>
      </c>
      <c r="R8302" s="17">
        <f t="shared" si="2"/>
        <v>110.909339</v>
      </c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>
        <f t="shared" si="8"/>
        <v>1</v>
      </c>
      <c r="AF8302" s="19">
        <f t="shared" si="13"/>
        <v>5</v>
      </c>
      <c r="AG8302" s="9"/>
      <c r="AH8302" s="9"/>
      <c r="AI8302" s="9"/>
    </row>
    <row r="8303" ht="15.0" customHeight="1">
      <c r="A8303" s="11">
        <v>8302.0</v>
      </c>
      <c r="B8303" s="12">
        <f t="shared" si="1327"/>
        <v>41253</v>
      </c>
      <c r="C8303" s="13">
        <v>2012.0</v>
      </c>
      <c r="D8303" s="11" t="s">
        <v>44</v>
      </c>
      <c r="E8303" s="11">
        <v>32.0</v>
      </c>
      <c r="F8303" s="14">
        <v>4.9</v>
      </c>
      <c r="G8303" s="15">
        <v>0.11263215258855573</v>
      </c>
      <c r="H8303" s="11" t="s">
        <v>33</v>
      </c>
      <c r="I8303" s="16">
        <v>6.032</v>
      </c>
      <c r="J8303" s="11" t="s">
        <v>571</v>
      </c>
      <c r="K8303" s="11" t="s">
        <v>65</v>
      </c>
      <c r="L8303" s="11" t="s">
        <v>27</v>
      </c>
      <c r="M8303" s="11" t="s">
        <v>28</v>
      </c>
      <c r="N8303" s="11" t="s">
        <v>56</v>
      </c>
      <c r="O8303" s="11" t="s">
        <v>842</v>
      </c>
      <c r="P8303" s="11" t="s">
        <v>38</v>
      </c>
      <c r="Q8303" s="20">
        <v>41255.0</v>
      </c>
      <c r="R8303" s="17">
        <f t="shared" si="2"/>
        <v>18.34011867</v>
      </c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>
        <f t="shared" si="8"/>
        <v>1</v>
      </c>
      <c r="AF8303" s="19">
        <f t="shared" si="13"/>
        <v>5</v>
      </c>
      <c r="AG8303" s="9"/>
      <c r="AH8303" s="9"/>
      <c r="AI8303" s="9"/>
    </row>
    <row r="8304" ht="15.0" customHeight="1">
      <c r="A8304" s="11">
        <v>8303.0</v>
      </c>
      <c r="B8304" s="12">
        <f t="shared" si="1327"/>
        <v>41253</v>
      </c>
      <c r="C8304" s="13">
        <v>2012.0</v>
      </c>
      <c r="D8304" s="11" t="s">
        <v>23</v>
      </c>
      <c r="E8304" s="11">
        <v>14.0</v>
      </c>
      <c r="F8304" s="14">
        <v>10.9</v>
      </c>
      <c r="G8304" s="15">
        <v>0.09289719626168223</v>
      </c>
      <c r="H8304" s="11" t="s">
        <v>33</v>
      </c>
      <c r="I8304" s="16">
        <v>2.696</v>
      </c>
      <c r="J8304" s="11" t="s">
        <v>2319</v>
      </c>
      <c r="K8304" s="11" t="s">
        <v>61</v>
      </c>
      <c r="L8304" s="11" t="s">
        <v>48</v>
      </c>
      <c r="M8304" s="11" t="s">
        <v>28</v>
      </c>
      <c r="N8304" s="11" t="s">
        <v>442</v>
      </c>
      <c r="O8304" s="11" t="s">
        <v>1111</v>
      </c>
      <c r="P8304" s="11" t="s">
        <v>99</v>
      </c>
      <c r="Q8304" s="20">
        <v>41255.0</v>
      </c>
      <c r="R8304" s="17">
        <f t="shared" si="2"/>
        <v>14.42656299</v>
      </c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>
        <f t="shared" si="8"/>
        <v>4</v>
      </c>
      <c r="AF8304" s="19">
        <f t="shared" si="13"/>
        <v>4</v>
      </c>
      <c r="AG8304" s="9"/>
      <c r="AH8304" s="9"/>
      <c r="AI8304" s="9"/>
    </row>
    <row r="8305" ht="15.0" customHeight="1">
      <c r="A8305" s="11">
        <v>8304.0</v>
      </c>
      <c r="B8305" s="12">
        <f t="shared" si="1327"/>
        <v>41253</v>
      </c>
      <c r="C8305" s="13">
        <v>2012.0</v>
      </c>
      <c r="D8305" s="11" t="s">
        <v>32</v>
      </c>
      <c r="E8305" s="11">
        <v>17.0</v>
      </c>
      <c r="F8305" s="14">
        <v>12.9</v>
      </c>
      <c r="G8305" s="15">
        <v>0.044662045060658545</v>
      </c>
      <c r="H8305" s="11" t="s">
        <v>24</v>
      </c>
      <c r="I8305" s="16">
        <v>1.192</v>
      </c>
      <c r="J8305" s="11" t="s">
        <v>958</v>
      </c>
      <c r="K8305" s="11" t="s">
        <v>35</v>
      </c>
      <c r="L8305" s="11" t="s">
        <v>27</v>
      </c>
      <c r="M8305" s="11" t="s">
        <v>28</v>
      </c>
      <c r="N8305" s="11" t="s">
        <v>42</v>
      </c>
      <c r="O8305" s="11" t="s">
        <v>556</v>
      </c>
      <c r="P8305" s="11" t="s">
        <v>38</v>
      </c>
      <c r="Q8305" s="20">
        <v>41255.0</v>
      </c>
      <c r="R8305" s="17">
        <f t="shared" si="2"/>
        <v>9.84762364</v>
      </c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>
        <f t="shared" si="8"/>
        <v>1</v>
      </c>
      <c r="AF8305" s="19">
        <f t="shared" si="13"/>
        <v>2</v>
      </c>
      <c r="AG8305" s="9"/>
      <c r="AH8305" s="9"/>
      <c r="AI8305" s="9"/>
    </row>
    <row r="8306" ht="15.0" customHeight="1">
      <c r="A8306" s="11">
        <v>8305.0</v>
      </c>
      <c r="B8306" s="12">
        <f t="shared" si="1327"/>
        <v>41253</v>
      </c>
      <c r="C8306" s="13">
        <v>2012.0</v>
      </c>
      <c r="D8306" s="11" t="s">
        <v>32</v>
      </c>
      <c r="E8306" s="11">
        <v>5.0</v>
      </c>
      <c r="F8306" s="14">
        <v>39.9</v>
      </c>
      <c r="G8306" s="15">
        <v>0.011139723414401451</v>
      </c>
      <c r="H8306" s="11" t="s">
        <v>33</v>
      </c>
      <c r="I8306" s="16">
        <v>7.864000000000001</v>
      </c>
      <c r="J8306" s="11" t="s">
        <v>958</v>
      </c>
      <c r="K8306" s="11" t="s">
        <v>35</v>
      </c>
      <c r="L8306" s="11" t="s">
        <v>27</v>
      </c>
      <c r="M8306" s="11" t="s">
        <v>28</v>
      </c>
      <c r="N8306" s="11" t="s">
        <v>236</v>
      </c>
      <c r="O8306" s="11" t="s">
        <v>2171</v>
      </c>
      <c r="P8306" s="11" t="s">
        <v>38</v>
      </c>
      <c r="Q8306" s="20">
        <v>41255.0</v>
      </c>
      <c r="R8306" s="17">
        <f t="shared" si="2"/>
        <v>2.309977606</v>
      </c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>
        <f t="shared" si="8"/>
        <v>1</v>
      </c>
      <c r="AF8306" s="19">
        <f t="shared" si="13"/>
        <v>2</v>
      </c>
      <c r="AG8306" s="9"/>
      <c r="AH8306" s="9"/>
      <c r="AI8306" s="9"/>
    </row>
    <row r="8307" ht="15.0" customHeight="1">
      <c r="A8307" s="11">
        <v>8306.0</v>
      </c>
      <c r="B8307" s="12">
        <f t="shared" si="1327"/>
        <v>41253</v>
      </c>
      <c r="C8307" s="13">
        <v>2012.0</v>
      </c>
      <c r="D8307" s="11" t="s">
        <v>102</v>
      </c>
      <c r="E8307" s="11">
        <v>23.0</v>
      </c>
      <c r="F8307" s="14">
        <v>6.8</v>
      </c>
      <c r="G8307" s="15">
        <v>0.013732833957552988</v>
      </c>
      <c r="H8307" s="11" t="s">
        <v>33</v>
      </c>
      <c r="I8307" s="16">
        <v>1.6</v>
      </c>
      <c r="J8307" s="11" t="s">
        <v>613</v>
      </c>
      <c r="K8307" s="11" t="s">
        <v>65</v>
      </c>
      <c r="L8307" s="11" t="s">
        <v>48</v>
      </c>
      <c r="M8307" s="11" t="s">
        <v>28</v>
      </c>
      <c r="N8307" s="11" t="s">
        <v>56</v>
      </c>
      <c r="O8307" s="11" t="s">
        <v>489</v>
      </c>
      <c r="P8307" s="11" t="s">
        <v>58</v>
      </c>
      <c r="Q8307" s="20">
        <v>41255.0</v>
      </c>
      <c r="R8307" s="17">
        <f t="shared" si="2"/>
        <v>2.169787765</v>
      </c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>
        <f t="shared" si="8"/>
        <v>4</v>
      </c>
      <c r="AF8307" s="19">
        <f t="shared" si="13"/>
        <v>5</v>
      </c>
      <c r="AG8307" s="9"/>
      <c r="AH8307" s="9"/>
      <c r="AI8307" s="9"/>
    </row>
    <row r="8308" ht="15.0" customHeight="1">
      <c r="A8308" s="11">
        <v>8307.0</v>
      </c>
      <c r="B8308" s="12">
        <f t="shared" si="1327"/>
        <v>41253</v>
      </c>
      <c r="C8308" s="13">
        <v>2012.0</v>
      </c>
      <c r="D8308" s="11" t="s">
        <v>39</v>
      </c>
      <c r="E8308" s="11">
        <v>12.0</v>
      </c>
      <c r="F8308" s="14">
        <v>40.9</v>
      </c>
      <c r="G8308" s="15">
        <v>0.05141981222456412</v>
      </c>
      <c r="H8308" s="11" t="s">
        <v>33</v>
      </c>
      <c r="I8308" s="16">
        <v>4.264</v>
      </c>
      <c r="J8308" s="11" t="s">
        <v>1712</v>
      </c>
      <c r="K8308" s="11" t="s">
        <v>35</v>
      </c>
      <c r="L8308" s="11" t="s">
        <v>41</v>
      </c>
      <c r="M8308" s="11" t="s">
        <v>28</v>
      </c>
      <c r="N8308" s="11" t="s">
        <v>197</v>
      </c>
      <c r="O8308" s="11" t="s">
        <v>2390</v>
      </c>
      <c r="P8308" s="11" t="s">
        <v>38</v>
      </c>
      <c r="Q8308" s="20">
        <v>41255.0</v>
      </c>
      <c r="R8308" s="17">
        <f t="shared" si="2"/>
        <v>25.45609792</v>
      </c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>
        <f t="shared" si="8"/>
        <v>3</v>
      </c>
      <c r="AF8308" s="19">
        <f t="shared" si="13"/>
        <v>2</v>
      </c>
      <c r="AG8308" s="9"/>
      <c r="AH8308" s="9"/>
      <c r="AI8308" s="9"/>
    </row>
    <row r="8309" ht="15.0" customHeight="1">
      <c r="A8309" s="11">
        <v>8308.0</v>
      </c>
      <c r="B8309" s="12">
        <f t="shared" si="1327"/>
        <v>41253</v>
      </c>
      <c r="C8309" s="13">
        <v>2012.0</v>
      </c>
      <c r="D8309" s="11" t="s">
        <v>39</v>
      </c>
      <c r="E8309" s="11">
        <v>46.0</v>
      </c>
      <c r="F8309" s="14">
        <v>12.9</v>
      </c>
      <c r="G8309" s="15">
        <v>0.10132818303372465</v>
      </c>
      <c r="H8309" s="11" t="s">
        <v>33</v>
      </c>
      <c r="I8309" s="16">
        <v>11.496</v>
      </c>
      <c r="J8309" s="11" t="s">
        <v>1712</v>
      </c>
      <c r="K8309" s="11" t="s">
        <v>35</v>
      </c>
      <c r="L8309" s="11" t="s">
        <v>41</v>
      </c>
      <c r="M8309" s="11" t="s">
        <v>49</v>
      </c>
      <c r="N8309" s="11" t="s">
        <v>73</v>
      </c>
      <c r="O8309" s="11" t="s">
        <v>255</v>
      </c>
      <c r="P8309" s="11" t="s">
        <v>31</v>
      </c>
      <c r="Q8309" s="20">
        <v>41255.0</v>
      </c>
      <c r="R8309" s="17">
        <f t="shared" si="2"/>
        <v>61.2930126</v>
      </c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>
        <f t="shared" si="8"/>
        <v>3</v>
      </c>
      <c r="AF8309" s="19">
        <f t="shared" si="13"/>
        <v>2</v>
      </c>
      <c r="AG8309" s="9"/>
      <c r="AH8309" s="9"/>
      <c r="AI8309" s="9"/>
    </row>
    <row r="8310" ht="15.0" customHeight="1">
      <c r="A8310" s="11">
        <v>8309.0</v>
      </c>
      <c r="B8310" s="12">
        <f t="shared" ref="B8310:B8318" si="1328">DATE(2012,12,31)-20</f>
        <v>41254</v>
      </c>
      <c r="C8310" s="13">
        <v>2012.0</v>
      </c>
      <c r="D8310" s="11" t="s">
        <v>39</v>
      </c>
      <c r="E8310" s="11">
        <v>20.0</v>
      </c>
      <c r="F8310" s="14">
        <v>14.9</v>
      </c>
      <c r="G8310" s="15">
        <v>0.05718536887786743</v>
      </c>
      <c r="H8310" s="11" t="s">
        <v>33</v>
      </c>
      <c r="I8310" s="16">
        <v>6.152000000000001</v>
      </c>
      <c r="J8310" s="11" t="s">
        <v>1008</v>
      </c>
      <c r="K8310" s="11" t="s">
        <v>65</v>
      </c>
      <c r="L8310" s="11" t="s">
        <v>48</v>
      </c>
      <c r="M8310" s="11" t="s">
        <v>28</v>
      </c>
      <c r="N8310" s="11" t="s">
        <v>29</v>
      </c>
      <c r="O8310" s="11" t="s">
        <v>951</v>
      </c>
      <c r="P8310" s="11" t="s">
        <v>38</v>
      </c>
      <c r="Q8310" s="20">
        <v>41256.0</v>
      </c>
      <c r="R8310" s="17">
        <f t="shared" si="2"/>
        <v>17.39304431</v>
      </c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>
        <f t="shared" si="8"/>
        <v>4</v>
      </c>
      <c r="AF8310" s="19">
        <f t="shared" si="13"/>
        <v>5</v>
      </c>
      <c r="AG8310" s="9"/>
      <c r="AH8310" s="9"/>
      <c r="AI8310" s="9"/>
    </row>
    <row r="8311" ht="15.0" customHeight="1">
      <c r="A8311" s="11">
        <v>8310.0</v>
      </c>
      <c r="B8311" s="12">
        <f t="shared" si="1328"/>
        <v>41254</v>
      </c>
      <c r="C8311" s="13">
        <v>2012.0</v>
      </c>
      <c r="D8311" s="11" t="s">
        <v>32</v>
      </c>
      <c r="E8311" s="11">
        <v>29.0</v>
      </c>
      <c r="F8311" s="14">
        <v>3.6</v>
      </c>
      <c r="G8311" s="15">
        <v>0.10503842869342428</v>
      </c>
      <c r="H8311" s="11" t="s">
        <v>33</v>
      </c>
      <c r="I8311" s="16">
        <v>0.4</v>
      </c>
      <c r="J8311" s="11" t="s">
        <v>491</v>
      </c>
      <c r="K8311" s="11" t="s">
        <v>47</v>
      </c>
      <c r="L8311" s="11" t="s">
        <v>48</v>
      </c>
      <c r="M8311" s="11" t="s">
        <v>28</v>
      </c>
      <c r="N8311" s="11" t="s">
        <v>188</v>
      </c>
      <c r="O8311" s="11" t="s">
        <v>2240</v>
      </c>
      <c r="P8311" s="11" t="s">
        <v>38</v>
      </c>
      <c r="Q8311" s="20">
        <v>41256.0</v>
      </c>
      <c r="R8311" s="17">
        <f t="shared" si="2"/>
        <v>11.00802733</v>
      </c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>
        <f t="shared" si="8"/>
        <v>4</v>
      </c>
      <c r="AF8311" s="19">
        <f t="shared" si="13"/>
        <v>3</v>
      </c>
      <c r="AG8311" s="9"/>
      <c r="AH8311" s="9"/>
      <c r="AI8311" s="9"/>
    </row>
    <row r="8312" ht="15.0" customHeight="1">
      <c r="A8312" s="11">
        <v>8311.0</v>
      </c>
      <c r="B8312" s="12">
        <f t="shared" si="1328"/>
        <v>41254</v>
      </c>
      <c r="C8312" s="13">
        <v>2012.0</v>
      </c>
      <c r="D8312" s="11" t="s">
        <v>32</v>
      </c>
      <c r="E8312" s="11">
        <v>5.0</v>
      </c>
      <c r="F8312" s="14">
        <v>65.9</v>
      </c>
      <c r="G8312" s="15">
        <v>0.0626614699331848</v>
      </c>
      <c r="H8312" s="11" t="s">
        <v>33</v>
      </c>
      <c r="I8312" s="16">
        <v>7.192</v>
      </c>
      <c r="J8312" s="11" t="s">
        <v>491</v>
      </c>
      <c r="K8312" s="11" t="s">
        <v>47</v>
      </c>
      <c r="L8312" s="11" t="s">
        <v>48</v>
      </c>
      <c r="M8312" s="11" t="s">
        <v>66</v>
      </c>
      <c r="N8312" s="11" t="s">
        <v>80</v>
      </c>
      <c r="O8312" s="11" t="s">
        <v>1506</v>
      </c>
      <c r="P8312" s="11" t="s">
        <v>38</v>
      </c>
      <c r="Q8312" s="20">
        <v>41256.0</v>
      </c>
      <c r="R8312" s="17">
        <f t="shared" si="2"/>
        <v>21.09761563</v>
      </c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>
        <f t="shared" si="8"/>
        <v>4</v>
      </c>
      <c r="AF8312" s="19">
        <f t="shared" si="13"/>
        <v>3</v>
      </c>
      <c r="AG8312" s="9"/>
      <c r="AH8312" s="9"/>
      <c r="AI8312" s="9"/>
    </row>
    <row r="8313" ht="15.0" customHeight="1">
      <c r="A8313" s="11">
        <v>8312.0</v>
      </c>
      <c r="B8313" s="12">
        <f t="shared" si="1328"/>
        <v>41254</v>
      </c>
      <c r="C8313" s="13">
        <v>2012.0</v>
      </c>
      <c r="D8313" s="11" t="s">
        <v>23</v>
      </c>
      <c r="E8313" s="11">
        <v>29.0</v>
      </c>
      <c r="F8313" s="14">
        <v>20.9</v>
      </c>
      <c r="G8313" s="15">
        <v>0.03473967399905066</v>
      </c>
      <c r="H8313" s="11" t="s">
        <v>33</v>
      </c>
      <c r="I8313" s="16">
        <v>3.848</v>
      </c>
      <c r="J8313" s="11" t="s">
        <v>2319</v>
      </c>
      <c r="K8313" s="11" t="s">
        <v>61</v>
      </c>
      <c r="L8313" s="11" t="s">
        <v>48</v>
      </c>
      <c r="M8313" s="11" t="s">
        <v>66</v>
      </c>
      <c r="N8313" s="11" t="s">
        <v>80</v>
      </c>
      <c r="O8313" s="11" t="s">
        <v>899</v>
      </c>
      <c r="P8313" s="11" t="s">
        <v>75</v>
      </c>
      <c r="Q8313" s="20">
        <v>41256.0</v>
      </c>
      <c r="R8313" s="17">
        <f t="shared" si="2"/>
        <v>21.18939468</v>
      </c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>
        <f t="shared" si="8"/>
        <v>4</v>
      </c>
      <c r="AF8313" s="19">
        <f t="shared" si="13"/>
        <v>4</v>
      </c>
      <c r="AG8313" s="9"/>
      <c r="AH8313" s="9"/>
      <c r="AI8313" s="9"/>
    </row>
    <row r="8314" ht="15.0" customHeight="1">
      <c r="A8314" s="11">
        <v>8313.0</v>
      </c>
      <c r="B8314" s="12">
        <f t="shared" si="1328"/>
        <v>41254</v>
      </c>
      <c r="C8314" s="13">
        <v>2012.0</v>
      </c>
      <c r="D8314" s="11" t="s">
        <v>23</v>
      </c>
      <c r="E8314" s="11">
        <v>10.0</v>
      </c>
      <c r="F8314" s="14">
        <v>14.5</v>
      </c>
      <c r="G8314" s="15">
        <v>0.06144278606965189</v>
      </c>
      <c r="H8314" s="11" t="s">
        <v>33</v>
      </c>
      <c r="I8314" s="16">
        <v>5.920000000000001</v>
      </c>
      <c r="J8314" s="11" t="s">
        <v>2319</v>
      </c>
      <c r="K8314" s="11" t="s">
        <v>61</v>
      </c>
      <c r="L8314" s="11" t="s">
        <v>48</v>
      </c>
      <c r="M8314" s="11" t="s">
        <v>49</v>
      </c>
      <c r="N8314" s="11" t="s">
        <v>73</v>
      </c>
      <c r="O8314" s="11" t="s">
        <v>2036</v>
      </c>
      <c r="P8314" s="11" t="s">
        <v>38</v>
      </c>
      <c r="Q8314" s="20">
        <v>41256.0</v>
      </c>
      <c r="R8314" s="17">
        <f t="shared" si="2"/>
        <v>9.272945274</v>
      </c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>
        <f t="shared" si="8"/>
        <v>4</v>
      </c>
      <c r="AF8314" s="19">
        <f t="shared" si="13"/>
        <v>4</v>
      </c>
      <c r="AG8314" s="9"/>
      <c r="AH8314" s="9"/>
      <c r="AI8314" s="9"/>
    </row>
    <row r="8315" ht="15.0" customHeight="1">
      <c r="A8315" s="11">
        <v>8314.0</v>
      </c>
      <c r="B8315" s="12">
        <f t="shared" si="1328"/>
        <v>41254</v>
      </c>
      <c r="C8315" s="13">
        <v>2012.0</v>
      </c>
      <c r="D8315" s="11" t="s">
        <v>44</v>
      </c>
      <c r="E8315" s="11">
        <v>41.0</v>
      </c>
      <c r="F8315" s="14">
        <v>30.9</v>
      </c>
      <c r="G8315" s="15">
        <v>0.04376081121383853</v>
      </c>
      <c r="H8315" s="11" t="s">
        <v>24</v>
      </c>
      <c r="I8315" s="16">
        <v>15.608000000000002</v>
      </c>
      <c r="J8315" s="11" t="s">
        <v>538</v>
      </c>
      <c r="K8315" s="11" t="s">
        <v>61</v>
      </c>
      <c r="L8315" s="11" t="s">
        <v>36</v>
      </c>
      <c r="M8315" s="11" t="s">
        <v>28</v>
      </c>
      <c r="N8315" s="11" t="s">
        <v>236</v>
      </c>
      <c r="O8315" s="11" t="s">
        <v>1241</v>
      </c>
      <c r="P8315" s="11" t="s">
        <v>38</v>
      </c>
      <c r="Q8315" s="20">
        <v>41256.0</v>
      </c>
      <c r="R8315" s="17">
        <f t="shared" si="2"/>
        <v>56.12359047</v>
      </c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>
        <f t="shared" si="8"/>
        <v>2</v>
      </c>
      <c r="AF8315" s="19">
        <f t="shared" si="13"/>
        <v>4</v>
      </c>
      <c r="AG8315" s="9"/>
      <c r="AH8315" s="9"/>
      <c r="AI8315" s="9"/>
    </row>
    <row r="8316" ht="15.0" customHeight="1">
      <c r="A8316" s="11">
        <v>8315.0</v>
      </c>
      <c r="B8316" s="12">
        <f t="shared" si="1328"/>
        <v>41254</v>
      </c>
      <c r="C8316" s="13">
        <v>2012.0</v>
      </c>
      <c r="D8316" s="11" t="s">
        <v>102</v>
      </c>
      <c r="E8316" s="11">
        <v>10.0</v>
      </c>
      <c r="F8316" s="14">
        <v>12.9</v>
      </c>
      <c r="G8316" s="15">
        <v>0.05726164874551971</v>
      </c>
      <c r="H8316" s="11" t="s">
        <v>24</v>
      </c>
      <c r="I8316" s="16">
        <v>2.5120000000000005</v>
      </c>
      <c r="J8316" s="11" t="s">
        <v>1934</v>
      </c>
      <c r="K8316" s="11" t="s">
        <v>61</v>
      </c>
      <c r="L8316" s="11" t="s">
        <v>27</v>
      </c>
      <c r="M8316" s="11" t="s">
        <v>28</v>
      </c>
      <c r="N8316" s="11" t="s">
        <v>442</v>
      </c>
      <c r="O8316" s="11" t="s">
        <v>1613</v>
      </c>
      <c r="P8316" s="11" t="s">
        <v>99</v>
      </c>
      <c r="Q8316" s="20">
        <v>41256.0</v>
      </c>
      <c r="R8316" s="17">
        <f t="shared" si="2"/>
        <v>7.53059395</v>
      </c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>
        <f t="shared" si="8"/>
        <v>1</v>
      </c>
      <c r="AF8316" s="19">
        <f t="shared" si="13"/>
        <v>4</v>
      </c>
      <c r="AG8316" s="9"/>
      <c r="AH8316" s="9"/>
      <c r="AI8316" s="9"/>
    </row>
    <row r="8317" ht="15.0" customHeight="1">
      <c r="A8317" s="11">
        <v>8316.0</v>
      </c>
      <c r="B8317" s="12">
        <f t="shared" si="1328"/>
        <v>41254</v>
      </c>
      <c r="C8317" s="13">
        <v>2012.0</v>
      </c>
      <c r="D8317" s="11" t="s">
        <v>102</v>
      </c>
      <c r="E8317" s="11">
        <v>35.0</v>
      </c>
      <c r="F8317" s="14">
        <v>13.4</v>
      </c>
      <c r="G8317" s="15">
        <v>0.08124416796267492</v>
      </c>
      <c r="H8317" s="11" t="s">
        <v>33</v>
      </c>
      <c r="I8317" s="16">
        <v>3.608</v>
      </c>
      <c r="J8317" s="11" t="s">
        <v>1934</v>
      </c>
      <c r="K8317" s="11" t="s">
        <v>61</v>
      </c>
      <c r="L8317" s="11" t="s">
        <v>27</v>
      </c>
      <c r="M8317" s="11" t="s">
        <v>28</v>
      </c>
      <c r="N8317" s="11" t="s">
        <v>29</v>
      </c>
      <c r="O8317" s="11" t="s">
        <v>929</v>
      </c>
      <c r="P8317" s="11" t="s">
        <v>38</v>
      </c>
      <c r="Q8317" s="20">
        <v>41256.0</v>
      </c>
      <c r="R8317" s="17">
        <f t="shared" si="2"/>
        <v>38.39664373</v>
      </c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>
        <f t="shared" si="8"/>
        <v>1</v>
      </c>
      <c r="AF8317" s="19">
        <f t="shared" si="13"/>
        <v>4</v>
      </c>
      <c r="AG8317" s="9"/>
      <c r="AH8317" s="9"/>
      <c r="AI8317" s="9"/>
    </row>
    <row r="8318" ht="15.0" customHeight="1">
      <c r="A8318" s="11">
        <v>8317.0</v>
      </c>
      <c r="B8318" s="12">
        <f t="shared" si="1328"/>
        <v>41254</v>
      </c>
      <c r="C8318" s="13">
        <v>2012.0</v>
      </c>
      <c r="D8318" s="11" t="s">
        <v>32</v>
      </c>
      <c r="E8318" s="11">
        <v>4.0</v>
      </c>
      <c r="F8318" s="14">
        <v>6.8</v>
      </c>
      <c r="G8318" s="15">
        <v>0.10280373831775702</v>
      </c>
      <c r="H8318" s="11" t="s">
        <v>33</v>
      </c>
      <c r="I8318" s="16">
        <v>1.6</v>
      </c>
      <c r="J8318" s="11" t="s">
        <v>1099</v>
      </c>
      <c r="K8318" s="11" t="s">
        <v>47</v>
      </c>
      <c r="L8318" s="11" t="s">
        <v>48</v>
      </c>
      <c r="M8318" s="11" t="s">
        <v>28</v>
      </c>
      <c r="N8318" s="11" t="s">
        <v>56</v>
      </c>
      <c r="O8318" s="11" t="s">
        <v>489</v>
      </c>
      <c r="P8318" s="11" t="s">
        <v>58</v>
      </c>
      <c r="Q8318" s="20">
        <v>41256.0</v>
      </c>
      <c r="R8318" s="17">
        <f t="shared" si="2"/>
        <v>2.960747664</v>
      </c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>
        <f t="shared" si="8"/>
        <v>4</v>
      </c>
      <c r="AF8318" s="19">
        <f t="shared" si="13"/>
        <v>3</v>
      </c>
      <c r="AG8318" s="9"/>
      <c r="AH8318" s="9"/>
      <c r="AI8318" s="9"/>
    </row>
    <row r="8319" ht="15.0" customHeight="1">
      <c r="A8319" s="11">
        <v>8318.0</v>
      </c>
      <c r="B8319" s="12">
        <f t="shared" ref="B8319:B8325" si="1329">DATE(2012,12,31)-19</f>
        <v>41255</v>
      </c>
      <c r="C8319" s="13">
        <v>2012.0</v>
      </c>
      <c r="D8319" s="11" t="s">
        <v>39</v>
      </c>
      <c r="E8319" s="11">
        <v>47.0</v>
      </c>
      <c r="F8319" s="14">
        <v>11.5</v>
      </c>
      <c r="G8319" s="15">
        <v>0.08485173395878712</v>
      </c>
      <c r="H8319" s="11" t="s">
        <v>33</v>
      </c>
      <c r="I8319" s="16">
        <v>5.752000000000001</v>
      </c>
      <c r="J8319" s="11" t="s">
        <v>2033</v>
      </c>
      <c r="K8319" s="11" t="s">
        <v>65</v>
      </c>
      <c r="L8319" s="11" t="s">
        <v>27</v>
      </c>
      <c r="M8319" s="11" t="s">
        <v>28</v>
      </c>
      <c r="N8319" s="11" t="s">
        <v>42</v>
      </c>
      <c r="O8319" s="11" t="s">
        <v>1030</v>
      </c>
      <c r="P8319" s="11" t="s">
        <v>38</v>
      </c>
      <c r="Q8319" s="20">
        <v>41256.0</v>
      </c>
      <c r="R8319" s="17">
        <f t="shared" si="2"/>
        <v>46.35042938</v>
      </c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>
        <f t="shared" si="8"/>
        <v>1</v>
      </c>
      <c r="AF8319" s="19">
        <f t="shared" si="13"/>
        <v>5</v>
      </c>
      <c r="AG8319" s="9"/>
      <c r="AH8319" s="9"/>
      <c r="AI8319" s="9"/>
    </row>
    <row r="8320" ht="15.0" customHeight="1">
      <c r="A8320" s="11">
        <v>8319.0</v>
      </c>
      <c r="B8320" s="12">
        <f t="shared" si="1329"/>
        <v>41255</v>
      </c>
      <c r="C8320" s="13">
        <v>2012.0</v>
      </c>
      <c r="D8320" s="11" t="s">
        <v>39</v>
      </c>
      <c r="E8320" s="11">
        <v>21.0</v>
      </c>
      <c r="F8320" s="14">
        <v>2.9</v>
      </c>
      <c r="G8320" s="15">
        <v>0.11187500000000006</v>
      </c>
      <c r="H8320" s="11" t="s">
        <v>24</v>
      </c>
      <c r="I8320" s="16">
        <v>1.6239999999999999</v>
      </c>
      <c r="J8320" s="11" t="s">
        <v>2033</v>
      </c>
      <c r="K8320" s="11" t="s">
        <v>65</v>
      </c>
      <c r="L8320" s="11" t="s">
        <v>27</v>
      </c>
      <c r="M8320" s="11" t="s">
        <v>28</v>
      </c>
      <c r="N8320" s="11" t="s">
        <v>62</v>
      </c>
      <c r="O8320" s="11" t="s">
        <v>335</v>
      </c>
      <c r="P8320" s="11" t="s">
        <v>58</v>
      </c>
      <c r="Q8320" s="20">
        <v>41257.0</v>
      </c>
      <c r="R8320" s="17">
        <f t="shared" si="2"/>
        <v>6.9948725</v>
      </c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>
        <f t="shared" si="8"/>
        <v>1</v>
      </c>
      <c r="AF8320" s="19">
        <f t="shared" si="13"/>
        <v>5</v>
      </c>
      <c r="AG8320" s="9"/>
      <c r="AH8320" s="9"/>
      <c r="AI8320" s="9"/>
    </row>
    <row r="8321" ht="15.0" customHeight="1">
      <c r="A8321" s="11">
        <v>8320.0</v>
      </c>
      <c r="B8321" s="12">
        <f t="shared" si="1329"/>
        <v>41255</v>
      </c>
      <c r="C8321" s="13">
        <v>2012.0</v>
      </c>
      <c r="D8321" s="11" t="s">
        <v>23</v>
      </c>
      <c r="E8321" s="11">
        <v>18.0</v>
      </c>
      <c r="F8321" s="14">
        <v>99.2</v>
      </c>
      <c r="G8321" s="15">
        <v>0.02086728563626426</v>
      </c>
      <c r="H8321" s="11" t="s">
        <v>33</v>
      </c>
      <c r="I8321" s="16">
        <v>7.192</v>
      </c>
      <c r="J8321" s="11" t="s">
        <v>152</v>
      </c>
      <c r="K8321" s="11" t="s">
        <v>61</v>
      </c>
      <c r="L8321" s="11" t="s">
        <v>48</v>
      </c>
      <c r="M8321" s="11" t="s">
        <v>49</v>
      </c>
      <c r="N8321" s="11" t="s">
        <v>73</v>
      </c>
      <c r="O8321" s="11" t="s">
        <v>1545</v>
      </c>
      <c r="P8321" s="11" t="s">
        <v>99</v>
      </c>
      <c r="Q8321" s="20">
        <v>41257.0</v>
      </c>
      <c r="R8321" s="17">
        <f t="shared" si="2"/>
        <v>37.41070275</v>
      </c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>
        <f t="shared" si="8"/>
        <v>4</v>
      </c>
      <c r="AF8321" s="19">
        <f t="shared" si="13"/>
        <v>4</v>
      </c>
      <c r="AG8321" s="9"/>
      <c r="AH8321" s="9"/>
      <c r="AI8321" s="9"/>
    </row>
    <row r="8322" ht="15.0" customHeight="1">
      <c r="A8322" s="11">
        <v>8321.0</v>
      </c>
      <c r="B8322" s="12">
        <f t="shared" si="1329"/>
        <v>41255</v>
      </c>
      <c r="C8322" s="13">
        <v>2012.0</v>
      </c>
      <c r="D8322" s="11" t="s">
        <v>23</v>
      </c>
      <c r="E8322" s="11">
        <v>24.0</v>
      </c>
      <c r="F8322" s="14">
        <v>180.9</v>
      </c>
      <c r="G8322" s="15">
        <v>0.040189956907923506</v>
      </c>
      <c r="H8322" s="11" t="s">
        <v>45</v>
      </c>
      <c r="I8322" s="16">
        <v>24.0</v>
      </c>
      <c r="J8322" s="11" t="s">
        <v>152</v>
      </c>
      <c r="K8322" s="11" t="s">
        <v>61</v>
      </c>
      <c r="L8322" s="11" t="s">
        <v>48</v>
      </c>
      <c r="M8322" s="11" t="s">
        <v>49</v>
      </c>
      <c r="N8322" s="11" t="s">
        <v>50</v>
      </c>
      <c r="O8322" s="11" t="s">
        <v>1677</v>
      </c>
      <c r="P8322" s="11" t="s">
        <v>52</v>
      </c>
      <c r="Q8322" s="20">
        <v>41257.0</v>
      </c>
      <c r="R8322" s="17">
        <f t="shared" si="2"/>
        <v>175.4532759</v>
      </c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>
        <f t="shared" si="8"/>
        <v>4</v>
      </c>
      <c r="AF8322" s="19">
        <f t="shared" si="13"/>
        <v>4</v>
      </c>
      <c r="AG8322" s="9"/>
      <c r="AH8322" s="9"/>
      <c r="AI8322" s="9"/>
    </row>
    <row r="8323" ht="15.0" customHeight="1">
      <c r="A8323" s="11">
        <v>8322.0</v>
      </c>
      <c r="B8323" s="12">
        <f t="shared" si="1329"/>
        <v>41255</v>
      </c>
      <c r="C8323" s="13">
        <v>2012.0</v>
      </c>
      <c r="D8323" s="11" t="s">
        <v>23</v>
      </c>
      <c r="E8323" s="11">
        <v>28.0</v>
      </c>
      <c r="F8323" s="14">
        <v>880.9</v>
      </c>
      <c r="G8323" s="15">
        <v>0.03889277987891244</v>
      </c>
      <c r="H8323" s="11" t="s">
        <v>45</v>
      </c>
      <c r="I8323" s="16">
        <v>35.64</v>
      </c>
      <c r="J8323" s="11" t="s">
        <v>152</v>
      </c>
      <c r="K8323" s="11" t="s">
        <v>61</v>
      </c>
      <c r="L8323" s="11" t="s">
        <v>48</v>
      </c>
      <c r="M8323" s="11" t="s">
        <v>49</v>
      </c>
      <c r="N8323" s="11" t="s">
        <v>156</v>
      </c>
      <c r="O8323" s="11" t="s">
        <v>157</v>
      </c>
      <c r="P8323" s="11" t="s">
        <v>87</v>
      </c>
      <c r="Q8323" s="20">
        <v>41257.0</v>
      </c>
      <c r="R8323" s="17">
        <f t="shared" si="2"/>
        <v>960.6843329</v>
      </c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>
        <f t="shared" si="8"/>
        <v>4</v>
      </c>
      <c r="AF8323" s="19">
        <f t="shared" si="13"/>
        <v>4</v>
      </c>
      <c r="AG8323" s="9"/>
      <c r="AH8323" s="9"/>
      <c r="AI8323" s="9"/>
    </row>
    <row r="8324" ht="15.0" customHeight="1">
      <c r="A8324" s="11">
        <v>8323.0</v>
      </c>
      <c r="B8324" s="12">
        <f t="shared" si="1329"/>
        <v>41255</v>
      </c>
      <c r="C8324" s="13">
        <v>2012.0</v>
      </c>
      <c r="D8324" s="11" t="s">
        <v>23</v>
      </c>
      <c r="E8324" s="11">
        <v>43.0</v>
      </c>
      <c r="F8324" s="14">
        <v>5.5</v>
      </c>
      <c r="G8324" s="15">
        <v>0.01818923327895587</v>
      </c>
      <c r="H8324" s="11" t="s">
        <v>24</v>
      </c>
      <c r="I8324" s="16">
        <v>4.24</v>
      </c>
      <c r="J8324" s="11" t="s">
        <v>152</v>
      </c>
      <c r="K8324" s="11" t="s">
        <v>61</v>
      </c>
      <c r="L8324" s="11" t="s">
        <v>48</v>
      </c>
      <c r="M8324" s="11" t="s">
        <v>28</v>
      </c>
      <c r="N8324" s="11" t="s">
        <v>236</v>
      </c>
      <c r="O8324" s="11" t="s">
        <v>1075</v>
      </c>
      <c r="P8324" s="11" t="s">
        <v>38</v>
      </c>
      <c r="Q8324" s="20">
        <v>41258.0</v>
      </c>
      <c r="R8324" s="17">
        <f t="shared" si="2"/>
        <v>4.37887602</v>
      </c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>
        <f t="shared" si="8"/>
        <v>4</v>
      </c>
      <c r="AF8324" s="19">
        <f t="shared" si="13"/>
        <v>4</v>
      </c>
      <c r="AG8324" s="9"/>
      <c r="AH8324" s="9"/>
      <c r="AI8324" s="9"/>
    </row>
    <row r="8325" ht="15.0" customHeight="1">
      <c r="A8325" s="11">
        <v>8324.0</v>
      </c>
      <c r="B8325" s="12">
        <f t="shared" si="1329"/>
        <v>41255</v>
      </c>
      <c r="C8325" s="13">
        <v>2012.0</v>
      </c>
      <c r="D8325" s="11" t="s">
        <v>23</v>
      </c>
      <c r="E8325" s="11">
        <v>24.0</v>
      </c>
      <c r="F8325" s="14">
        <v>7.2</v>
      </c>
      <c r="G8325" s="15">
        <v>0.11095890410958907</v>
      </c>
      <c r="H8325" s="11" t="s">
        <v>33</v>
      </c>
      <c r="I8325" s="16">
        <v>8.92</v>
      </c>
      <c r="J8325" s="11" t="s">
        <v>152</v>
      </c>
      <c r="K8325" s="11" t="s">
        <v>61</v>
      </c>
      <c r="L8325" s="11" t="s">
        <v>48</v>
      </c>
      <c r="M8325" s="11" t="s">
        <v>28</v>
      </c>
      <c r="N8325" s="11" t="s">
        <v>56</v>
      </c>
      <c r="O8325" s="11" t="s">
        <v>553</v>
      </c>
      <c r="P8325" s="11" t="s">
        <v>38</v>
      </c>
      <c r="Q8325" s="20">
        <v>41258.0</v>
      </c>
      <c r="R8325" s="17">
        <f t="shared" si="2"/>
        <v>20.16345205</v>
      </c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>
        <f t="shared" si="8"/>
        <v>4</v>
      </c>
      <c r="AF8325" s="19">
        <f t="shared" si="13"/>
        <v>4</v>
      </c>
      <c r="AG8325" s="9"/>
      <c r="AH8325" s="9"/>
      <c r="AI8325" s="9"/>
    </row>
    <row r="8326" ht="15.0" customHeight="1">
      <c r="A8326" s="11">
        <v>8325.0</v>
      </c>
      <c r="B8326" s="12">
        <f t="shared" ref="B8326:B8327" si="1330">DATE(2012,12,31)-18</f>
        <v>41256</v>
      </c>
      <c r="C8326" s="13">
        <v>2012.0</v>
      </c>
      <c r="D8326" s="11" t="s">
        <v>39</v>
      </c>
      <c r="E8326" s="11">
        <v>4.0</v>
      </c>
      <c r="F8326" s="14">
        <v>31.7</v>
      </c>
      <c r="G8326" s="15">
        <v>0.09025641025641029</v>
      </c>
      <c r="H8326" s="11" t="s">
        <v>45</v>
      </c>
      <c r="I8326" s="16">
        <v>36.408</v>
      </c>
      <c r="J8326" s="11" t="s">
        <v>1196</v>
      </c>
      <c r="K8326" s="11" t="s">
        <v>61</v>
      </c>
      <c r="L8326" s="11" t="s">
        <v>41</v>
      </c>
      <c r="M8326" s="11" t="s">
        <v>49</v>
      </c>
      <c r="N8326" s="11" t="s">
        <v>85</v>
      </c>
      <c r="O8326" s="11" t="s">
        <v>399</v>
      </c>
      <c r="P8326" s="11" t="s">
        <v>87</v>
      </c>
      <c r="Q8326" s="20">
        <v>41259.0</v>
      </c>
      <c r="R8326" s="17">
        <f t="shared" si="2"/>
        <v>14.73056821</v>
      </c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>
        <f t="shared" si="8"/>
        <v>3</v>
      </c>
      <c r="AF8326" s="19">
        <f t="shared" si="13"/>
        <v>4</v>
      </c>
      <c r="AG8326" s="9"/>
      <c r="AH8326" s="9"/>
      <c r="AI8326" s="9"/>
    </row>
    <row r="8327" ht="15.0" customHeight="1">
      <c r="A8327" s="11">
        <v>8326.0</v>
      </c>
      <c r="B8327" s="12">
        <f t="shared" si="1330"/>
        <v>41256</v>
      </c>
      <c r="C8327" s="13">
        <v>2012.0</v>
      </c>
      <c r="D8327" s="11" t="s">
        <v>23</v>
      </c>
      <c r="E8327" s="11">
        <v>21.0</v>
      </c>
      <c r="F8327" s="14">
        <v>70.9</v>
      </c>
      <c r="G8327" s="15">
        <v>0.04393041724442192</v>
      </c>
      <c r="H8327" s="11" t="s">
        <v>33</v>
      </c>
      <c r="I8327" s="16">
        <v>28.0</v>
      </c>
      <c r="J8327" s="11" t="s">
        <v>1092</v>
      </c>
      <c r="K8327" s="11" t="s">
        <v>26</v>
      </c>
      <c r="L8327" s="11" t="s">
        <v>41</v>
      </c>
      <c r="M8327" s="11" t="s">
        <v>28</v>
      </c>
      <c r="N8327" s="11" t="s">
        <v>29</v>
      </c>
      <c r="O8327" s="11" t="s">
        <v>2553</v>
      </c>
      <c r="P8327" s="11" t="s">
        <v>31</v>
      </c>
      <c r="Q8327" s="20">
        <v>41259.0</v>
      </c>
      <c r="R8327" s="17">
        <f t="shared" si="2"/>
        <v>66.63804992</v>
      </c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>
        <f t="shared" si="8"/>
        <v>3</v>
      </c>
      <c r="AF8327" s="19">
        <f t="shared" si="13"/>
        <v>1</v>
      </c>
      <c r="AG8327" s="9"/>
      <c r="AH8327" s="9"/>
      <c r="AI8327" s="9"/>
    </row>
    <row r="8328" ht="15.0" customHeight="1">
      <c r="A8328" s="11">
        <v>8327.0</v>
      </c>
      <c r="B8328" s="12">
        <f>DATE(2012,12,31)-17</f>
        <v>41257</v>
      </c>
      <c r="C8328" s="13">
        <v>2012.0</v>
      </c>
      <c r="D8328" s="11" t="s">
        <v>102</v>
      </c>
      <c r="E8328" s="11">
        <v>2.0</v>
      </c>
      <c r="F8328" s="14">
        <v>6.4</v>
      </c>
      <c r="G8328" s="15">
        <v>0.08841025641025642</v>
      </c>
      <c r="H8328" s="11" t="s">
        <v>33</v>
      </c>
      <c r="I8328" s="16">
        <v>4.976</v>
      </c>
      <c r="J8328" s="11" t="s">
        <v>2262</v>
      </c>
      <c r="K8328" s="11" t="s">
        <v>26</v>
      </c>
      <c r="L8328" s="11" t="s">
        <v>27</v>
      </c>
      <c r="M8328" s="11" t="s">
        <v>28</v>
      </c>
      <c r="N8328" s="11" t="s">
        <v>56</v>
      </c>
      <c r="O8328" s="11" t="s">
        <v>1216</v>
      </c>
      <c r="P8328" s="11" t="s">
        <v>38</v>
      </c>
      <c r="Q8328" s="20">
        <v>41259.0</v>
      </c>
      <c r="R8328" s="17">
        <f t="shared" si="2"/>
        <v>1.571580718</v>
      </c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>
        <f t="shared" si="8"/>
        <v>1</v>
      </c>
      <c r="AF8328" s="19">
        <f t="shared" si="13"/>
        <v>1</v>
      </c>
      <c r="AG8328" s="9"/>
      <c r="AH8328" s="9"/>
      <c r="AI8328" s="9"/>
    </row>
    <row r="8329" ht="15.0" customHeight="1">
      <c r="A8329" s="11">
        <v>8328.0</v>
      </c>
      <c r="B8329" s="12">
        <f t="shared" ref="B8329:B8334" si="1331">DATE(2012,12,31)-16</f>
        <v>41258</v>
      </c>
      <c r="C8329" s="13">
        <v>2012.0</v>
      </c>
      <c r="D8329" s="11" t="s">
        <v>23</v>
      </c>
      <c r="E8329" s="11">
        <v>46.0</v>
      </c>
      <c r="F8329" s="14">
        <v>11.7</v>
      </c>
      <c r="G8329" s="15">
        <v>0.058899273104880655</v>
      </c>
      <c r="H8329" s="11" t="s">
        <v>33</v>
      </c>
      <c r="I8329" s="16">
        <v>5.5680000000000005</v>
      </c>
      <c r="J8329" s="11" t="s">
        <v>2236</v>
      </c>
      <c r="K8329" s="11" t="s">
        <v>35</v>
      </c>
      <c r="L8329" s="11" t="s">
        <v>27</v>
      </c>
      <c r="M8329" s="11" t="s">
        <v>28</v>
      </c>
      <c r="N8329" s="11" t="s">
        <v>197</v>
      </c>
      <c r="O8329" s="11" t="s">
        <v>457</v>
      </c>
      <c r="P8329" s="11" t="s">
        <v>75</v>
      </c>
      <c r="Q8329" s="20">
        <v>41259.0</v>
      </c>
      <c r="R8329" s="17">
        <f t="shared" si="2"/>
        <v>32.02753994</v>
      </c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>
        <f t="shared" si="8"/>
        <v>1</v>
      </c>
      <c r="AF8329" s="19">
        <f t="shared" si="13"/>
        <v>2</v>
      </c>
      <c r="AG8329" s="9"/>
      <c r="AH8329" s="9"/>
      <c r="AI8329" s="9"/>
    </row>
    <row r="8330" ht="15.0" customHeight="1">
      <c r="A8330" s="11">
        <v>8329.0</v>
      </c>
      <c r="B8330" s="12">
        <f t="shared" si="1331"/>
        <v>41258</v>
      </c>
      <c r="C8330" s="13">
        <v>2012.0</v>
      </c>
      <c r="D8330" s="11" t="s">
        <v>23</v>
      </c>
      <c r="E8330" s="11">
        <v>47.0</v>
      </c>
      <c r="F8330" s="14">
        <v>363.2</v>
      </c>
      <c r="G8330" s="15">
        <v>0.08290526541785218</v>
      </c>
      <c r="H8330" s="11" t="s">
        <v>33</v>
      </c>
      <c r="I8330" s="16">
        <v>15.991999999999999</v>
      </c>
      <c r="J8330" s="11" t="s">
        <v>2557</v>
      </c>
      <c r="K8330" s="11" t="s">
        <v>61</v>
      </c>
      <c r="L8330" s="11" t="s">
        <v>48</v>
      </c>
      <c r="M8330" s="11" t="s">
        <v>28</v>
      </c>
      <c r="N8330" s="11" t="s">
        <v>197</v>
      </c>
      <c r="O8330" s="11" t="s">
        <v>1174</v>
      </c>
      <c r="P8330" s="11" t="s">
        <v>38</v>
      </c>
      <c r="Q8330" s="20">
        <v>41259.0</v>
      </c>
      <c r="R8330" s="17">
        <f t="shared" si="2"/>
        <v>1416.551864</v>
      </c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>
        <f t="shared" si="8"/>
        <v>4</v>
      </c>
      <c r="AF8330" s="19">
        <f t="shared" si="13"/>
        <v>4</v>
      </c>
      <c r="AG8330" s="9"/>
      <c r="AH8330" s="9"/>
      <c r="AI8330" s="9"/>
    </row>
    <row r="8331" ht="15.0" customHeight="1">
      <c r="A8331" s="11">
        <v>8330.0</v>
      </c>
      <c r="B8331" s="12">
        <f t="shared" si="1331"/>
        <v>41258</v>
      </c>
      <c r="C8331" s="13">
        <v>2012.0</v>
      </c>
      <c r="D8331" s="11" t="s">
        <v>23</v>
      </c>
      <c r="E8331" s="11">
        <v>9.0</v>
      </c>
      <c r="F8331" s="14">
        <v>18.9</v>
      </c>
      <c r="G8331" s="15">
        <v>0.013294930875575995</v>
      </c>
      <c r="H8331" s="11" t="s">
        <v>33</v>
      </c>
      <c r="I8331" s="16">
        <v>1.192</v>
      </c>
      <c r="J8331" s="11" t="s">
        <v>2557</v>
      </c>
      <c r="K8331" s="11" t="s">
        <v>61</v>
      </c>
      <c r="L8331" s="11" t="s">
        <v>48</v>
      </c>
      <c r="M8331" s="11" t="s">
        <v>28</v>
      </c>
      <c r="N8331" s="11" t="s">
        <v>42</v>
      </c>
      <c r="O8331" s="11" t="s">
        <v>2377</v>
      </c>
      <c r="P8331" s="11" t="s">
        <v>38</v>
      </c>
      <c r="Q8331" s="20">
        <v>41260.0</v>
      </c>
      <c r="R8331" s="17">
        <f t="shared" si="2"/>
        <v>2.2773153</v>
      </c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>
        <f t="shared" si="8"/>
        <v>4</v>
      </c>
      <c r="AF8331" s="19">
        <f t="shared" si="13"/>
        <v>4</v>
      </c>
      <c r="AG8331" s="9"/>
      <c r="AH8331" s="9"/>
      <c r="AI8331" s="9"/>
    </row>
    <row r="8332" ht="15.0" customHeight="1">
      <c r="A8332" s="11">
        <v>8331.0</v>
      </c>
      <c r="B8332" s="12">
        <f t="shared" si="1331"/>
        <v>41258</v>
      </c>
      <c r="C8332" s="13">
        <v>2012.0</v>
      </c>
      <c r="D8332" s="11" t="s">
        <v>23</v>
      </c>
      <c r="E8332" s="11">
        <v>3.0</v>
      </c>
      <c r="F8332" s="14">
        <v>4.4</v>
      </c>
      <c r="G8332" s="15">
        <v>0.08541935483870955</v>
      </c>
      <c r="H8332" s="11" t="s">
        <v>33</v>
      </c>
      <c r="I8332" s="16">
        <v>0.976</v>
      </c>
      <c r="J8332" s="11" t="s">
        <v>550</v>
      </c>
      <c r="K8332" s="11" t="s">
        <v>65</v>
      </c>
      <c r="L8332" s="11" t="s">
        <v>48</v>
      </c>
      <c r="M8332" s="11" t="s">
        <v>28</v>
      </c>
      <c r="N8332" s="11" t="s">
        <v>56</v>
      </c>
      <c r="O8332" s="11" t="s">
        <v>2308</v>
      </c>
      <c r="P8332" s="11" t="s">
        <v>58</v>
      </c>
      <c r="Q8332" s="20">
        <v>41260.0</v>
      </c>
      <c r="R8332" s="17">
        <f t="shared" si="2"/>
        <v>1.210904774</v>
      </c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>
        <f t="shared" si="8"/>
        <v>4</v>
      </c>
      <c r="AF8332" s="19">
        <f t="shared" si="13"/>
        <v>5</v>
      </c>
      <c r="AG8332" s="9"/>
      <c r="AH8332" s="9"/>
      <c r="AI8332" s="9"/>
    </row>
    <row r="8333" ht="15.0" customHeight="1">
      <c r="A8333" s="11">
        <v>8332.0</v>
      </c>
      <c r="B8333" s="12">
        <f t="shared" si="1331"/>
        <v>41258</v>
      </c>
      <c r="C8333" s="13">
        <v>2012.0</v>
      </c>
      <c r="D8333" s="11" t="s">
        <v>23</v>
      </c>
      <c r="E8333" s="11">
        <v>43.0</v>
      </c>
      <c r="F8333" s="14">
        <v>2.8</v>
      </c>
      <c r="G8333" s="15">
        <v>0.10862196020633748</v>
      </c>
      <c r="H8333" s="11" t="s">
        <v>24</v>
      </c>
      <c r="I8333" s="16">
        <v>0.5599999999999999</v>
      </c>
      <c r="J8333" s="11" t="s">
        <v>550</v>
      </c>
      <c r="K8333" s="11" t="s">
        <v>65</v>
      </c>
      <c r="L8333" s="11" t="s">
        <v>48</v>
      </c>
      <c r="M8333" s="11" t="s">
        <v>28</v>
      </c>
      <c r="N8333" s="11" t="s">
        <v>62</v>
      </c>
      <c r="O8333" s="11" t="s">
        <v>383</v>
      </c>
      <c r="P8333" s="11" t="s">
        <v>58</v>
      </c>
      <c r="Q8333" s="20">
        <v>41260.0</v>
      </c>
      <c r="R8333" s="17">
        <f t="shared" si="2"/>
        <v>13.13891231</v>
      </c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>
        <f t="shared" si="8"/>
        <v>4</v>
      </c>
      <c r="AF8333" s="19">
        <f t="shared" si="13"/>
        <v>5</v>
      </c>
      <c r="AG8333" s="9"/>
      <c r="AH8333" s="9"/>
      <c r="AI8333" s="9"/>
    </row>
    <row r="8334" ht="15.0" customHeight="1">
      <c r="A8334" s="11">
        <v>8333.0</v>
      </c>
      <c r="B8334" s="12">
        <f t="shared" si="1331"/>
        <v>41258</v>
      </c>
      <c r="C8334" s="13">
        <v>2012.0</v>
      </c>
      <c r="D8334" s="11" t="s">
        <v>23</v>
      </c>
      <c r="E8334" s="11">
        <v>18.0</v>
      </c>
      <c r="F8334" s="14">
        <v>3.8</v>
      </c>
      <c r="G8334" s="15">
        <v>0.052747252747252796</v>
      </c>
      <c r="H8334" s="11" t="s">
        <v>33</v>
      </c>
      <c r="I8334" s="16">
        <v>0.5599999999999999</v>
      </c>
      <c r="J8334" s="11" t="s">
        <v>1636</v>
      </c>
      <c r="K8334" s="11" t="s">
        <v>61</v>
      </c>
      <c r="L8334" s="11" t="s">
        <v>48</v>
      </c>
      <c r="M8334" s="11" t="s">
        <v>28</v>
      </c>
      <c r="N8334" s="11" t="s">
        <v>62</v>
      </c>
      <c r="O8334" s="11" t="s">
        <v>2121</v>
      </c>
      <c r="P8334" s="11" t="s">
        <v>58</v>
      </c>
      <c r="Q8334" s="20">
        <v>41260.0</v>
      </c>
      <c r="R8334" s="17">
        <f t="shared" si="2"/>
        <v>3.637450549</v>
      </c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>
        <f t="shared" si="8"/>
        <v>4</v>
      </c>
      <c r="AF8334" s="19">
        <f t="shared" si="13"/>
        <v>4</v>
      </c>
      <c r="AG8334" s="9"/>
      <c r="AH8334" s="9"/>
      <c r="AI8334" s="9"/>
    </row>
    <row r="8335" ht="15.0" customHeight="1">
      <c r="A8335" s="11">
        <v>8334.0</v>
      </c>
      <c r="B8335" s="12">
        <f t="shared" ref="B8335:B8340" si="1332">DATE(2012,12,31)-15</f>
        <v>41259</v>
      </c>
      <c r="C8335" s="13">
        <v>2012.0</v>
      </c>
      <c r="D8335" s="11" t="s">
        <v>39</v>
      </c>
      <c r="E8335" s="11">
        <v>32.0</v>
      </c>
      <c r="F8335" s="14">
        <v>5.9</v>
      </c>
      <c r="G8335" s="15">
        <v>0.06047664442326019</v>
      </c>
      <c r="H8335" s="11" t="s">
        <v>24</v>
      </c>
      <c r="I8335" s="16">
        <v>8.312000000000001</v>
      </c>
      <c r="J8335" s="11" t="s">
        <v>416</v>
      </c>
      <c r="K8335" s="11" t="s">
        <v>65</v>
      </c>
      <c r="L8335" s="11" t="s">
        <v>41</v>
      </c>
      <c r="M8335" s="11" t="s">
        <v>28</v>
      </c>
      <c r="N8335" s="11" t="s">
        <v>56</v>
      </c>
      <c r="O8335" s="11" t="s">
        <v>2400</v>
      </c>
      <c r="P8335" s="11" t="s">
        <v>38</v>
      </c>
      <c r="Q8335" s="20">
        <v>41260.0</v>
      </c>
      <c r="R8335" s="17">
        <f t="shared" si="2"/>
        <v>11.92067234</v>
      </c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>
        <f t="shared" si="8"/>
        <v>3</v>
      </c>
      <c r="AF8335" s="19">
        <f t="shared" si="13"/>
        <v>5</v>
      </c>
      <c r="AG8335" s="9"/>
      <c r="AH8335" s="9"/>
      <c r="AI8335" s="9"/>
    </row>
    <row r="8336" ht="15.0" customHeight="1">
      <c r="A8336" s="11">
        <v>8335.0</v>
      </c>
      <c r="B8336" s="12">
        <f t="shared" si="1332"/>
        <v>41259</v>
      </c>
      <c r="C8336" s="13">
        <v>2012.0</v>
      </c>
      <c r="D8336" s="11" t="s">
        <v>23</v>
      </c>
      <c r="E8336" s="11">
        <v>46.0</v>
      </c>
      <c r="F8336" s="14">
        <v>5.7</v>
      </c>
      <c r="G8336" s="15">
        <v>0.057670796460177094</v>
      </c>
      <c r="H8336" s="11" t="s">
        <v>33</v>
      </c>
      <c r="I8336" s="16">
        <v>4.008</v>
      </c>
      <c r="J8336" s="11" t="s">
        <v>2513</v>
      </c>
      <c r="K8336" s="11" t="s">
        <v>65</v>
      </c>
      <c r="L8336" s="11" t="s">
        <v>48</v>
      </c>
      <c r="M8336" s="11" t="s">
        <v>28</v>
      </c>
      <c r="N8336" s="11" t="s">
        <v>42</v>
      </c>
      <c r="O8336" s="11" t="s">
        <v>1547</v>
      </c>
      <c r="P8336" s="11" t="s">
        <v>38</v>
      </c>
      <c r="Q8336" s="20">
        <v>41261.0</v>
      </c>
      <c r="R8336" s="17">
        <f t="shared" si="2"/>
        <v>15.35242738</v>
      </c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>
        <f t="shared" si="8"/>
        <v>4</v>
      </c>
      <c r="AF8336" s="19">
        <f t="shared" si="13"/>
        <v>5</v>
      </c>
      <c r="AG8336" s="9"/>
      <c r="AH8336" s="9"/>
      <c r="AI8336" s="9"/>
    </row>
    <row r="8337" ht="15.0" customHeight="1">
      <c r="A8337" s="11">
        <v>8336.0</v>
      </c>
      <c r="B8337" s="12">
        <f t="shared" si="1332"/>
        <v>41259</v>
      </c>
      <c r="C8337" s="13">
        <v>2012.0</v>
      </c>
      <c r="D8337" s="11" t="s">
        <v>23</v>
      </c>
      <c r="E8337" s="11">
        <v>1.0</v>
      </c>
      <c r="F8337" s="14">
        <v>1500.9</v>
      </c>
      <c r="G8337" s="15">
        <v>0.013739569183000198</v>
      </c>
      <c r="H8337" s="11" t="s">
        <v>45</v>
      </c>
      <c r="I8337" s="16">
        <v>23.76</v>
      </c>
      <c r="J8337" s="11" t="s">
        <v>2513</v>
      </c>
      <c r="K8337" s="11" t="s">
        <v>65</v>
      </c>
      <c r="L8337" s="11" t="s">
        <v>48</v>
      </c>
      <c r="M8337" s="11" t="s">
        <v>66</v>
      </c>
      <c r="N8337" s="11" t="s">
        <v>69</v>
      </c>
      <c r="O8337" s="11" t="s">
        <v>938</v>
      </c>
      <c r="P8337" s="11" t="s">
        <v>52</v>
      </c>
      <c r="Q8337" s="20">
        <v>41261.0</v>
      </c>
      <c r="R8337" s="17">
        <f t="shared" si="2"/>
        <v>20.94817155</v>
      </c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>
        <f t="shared" si="8"/>
        <v>4</v>
      </c>
      <c r="AF8337" s="19">
        <f t="shared" si="13"/>
        <v>5</v>
      </c>
      <c r="AG8337" s="9"/>
      <c r="AH8337" s="9"/>
      <c r="AI8337" s="9"/>
    </row>
    <row r="8338" ht="15.0" customHeight="1">
      <c r="A8338" s="11">
        <v>8337.0</v>
      </c>
      <c r="B8338" s="12">
        <f t="shared" si="1332"/>
        <v>41259</v>
      </c>
      <c r="C8338" s="13">
        <v>2012.0</v>
      </c>
      <c r="D8338" s="11" t="s">
        <v>23</v>
      </c>
      <c r="E8338" s="11">
        <v>19.0</v>
      </c>
      <c r="F8338" s="14">
        <v>205.9</v>
      </c>
      <c r="G8338" s="15">
        <v>0.06607812276434388</v>
      </c>
      <c r="H8338" s="11" t="s">
        <v>33</v>
      </c>
      <c r="I8338" s="16">
        <v>4.208</v>
      </c>
      <c r="J8338" s="11" t="s">
        <v>2513</v>
      </c>
      <c r="K8338" s="11" t="s">
        <v>65</v>
      </c>
      <c r="L8338" s="11" t="s">
        <v>48</v>
      </c>
      <c r="M8338" s="11" t="s">
        <v>66</v>
      </c>
      <c r="N8338" s="11" t="s">
        <v>80</v>
      </c>
      <c r="O8338" s="11" t="s">
        <v>1810</v>
      </c>
      <c r="P8338" s="11" t="s">
        <v>38</v>
      </c>
      <c r="Q8338" s="20">
        <v>41261.0</v>
      </c>
      <c r="R8338" s="17">
        <f t="shared" si="2"/>
        <v>258.7822808</v>
      </c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>
        <f t="shared" si="8"/>
        <v>4</v>
      </c>
      <c r="AF8338" s="19">
        <f t="shared" si="13"/>
        <v>5</v>
      </c>
      <c r="AG8338" s="9"/>
      <c r="AH8338" s="9"/>
      <c r="AI8338" s="9"/>
    </row>
    <row r="8339" ht="15.0" customHeight="1">
      <c r="A8339" s="11">
        <v>8338.0</v>
      </c>
      <c r="B8339" s="12">
        <f t="shared" si="1332"/>
        <v>41259</v>
      </c>
      <c r="C8339" s="13">
        <v>2012.0</v>
      </c>
      <c r="D8339" s="11" t="s">
        <v>32</v>
      </c>
      <c r="E8339" s="11">
        <v>6.0</v>
      </c>
      <c r="F8339" s="14">
        <v>43.4</v>
      </c>
      <c r="G8339" s="15">
        <v>0.05876790830945564</v>
      </c>
      <c r="H8339" s="11" t="s">
        <v>33</v>
      </c>
      <c r="I8339" s="16">
        <v>2.3920000000000003</v>
      </c>
      <c r="J8339" s="11" t="s">
        <v>839</v>
      </c>
      <c r="K8339" s="11" t="s">
        <v>83</v>
      </c>
      <c r="L8339" s="11" t="s">
        <v>27</v>
      </c>
      <c r="M8339" s="11" t="s">
        <v>28</v>
      </c>
      <c r="N8339" s="11" t="s">
        <v>42</v>
      </c>
      <c r="O8339" s="11" t="s">
        <v>2518</v>
      </c>
      <c r="P8339" s="11" t="s">
        <v>38</v>
      </c>
      <c r="Q8339" s="20">
        <v>41261.0</v>
      </c>
      <c r="R8339" s="17">
        <f t="shared" si="2"/>
        <v>15.44373616</v>
      </c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>
        <f t="shared" si="8"/>
        <v>1</v>
      </c>
      <c r="AF8339" s="19" t="b">
        <f t="shared" si="13"/>
        <v>0</v>
      </c>
      <c r="AG8339" s="9"/>
      <c r="AH8339" s="9"/>
      <c r="AI8339" s="9"/>
    </row>
    <row r="8340" ht="15.0" customHeight="1">
      <c r="A8340" s="11">
        <v>8339.0</v>
      </c>
      <c r="B8340" s="12">
        <f t="shared" si="1332"/>
        <v>41259</v>
      </c>
      <c r="C8340" s="13">
        <v>2012.0</v>
      </c>
      <c r="D8340" s="11" t="s">
        <v>39</v>
      </c>
      <c r="E8340" s="11">
        <v>50.0</v>
      </c>
      <c r="F8340" s="14">
        <v>35.9</v>
      </c>
      <c r="G8340" s="15">
        <v>0.022171403680714255</v>
      </c>
      <c r="H8340" s="11" t="s">
        <v>33</v>
      </c>
      <c r="I8340" s="16">
        <v>0.8800000000000001</v>
      </c>
      <c r="J8340" s="11" t="s">
        <v>928</v>
      </c>
      <c r="K8340" s="11" t="s">
        <v>61</v>
      </c>
      <c r="L8340" s="11" t="s">
        <v>36</v>
      </c>
      <c r="M8340" s="11" t="s">
        <v>66</v>
      </c>
      <c r="N8340" s="11" t="s">
        <v>80</v>
      </c>
      <c r="O8340" s="11" t="s">
        <v>143</v>
      </c>
      <c r="P8340" s="11" t="s">
        <v>38</v>
      </c>
      <c r="Q8340" s="20">
        <v>41261.0</v>
      </c>
      <c r="R8340" s="17">
        <f t="shared" si="2"/>
        <v>39.81718044</v>
      </c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>
        <f t="shared" si="8"/>
        <v>2</v>
      </c>
      <c r="AF8340" s="19">
        <f t="shared" si="13"/>
        <v>4</v>
      </c>
      <c r="AG8340" s="9"/>
      <c r="AH8340" s="9"/>
      <c r="AI8340" s="9"/>
    </row>
    <row r="8341" ht="15.0" customHeight="1">
      <c r="A8341" s="11">
        <v>8340.0</v>
      </c>
      <c r="B8341" s="12">
        <f>DATE(2012,12,31)-14</f>
        <v>41260</v>
      </c>
      <c r="C8341" s="13">
        <v>2012.0</v>
      </c>
      <c r="D8341" s="11" t="s">
        <v>102</v>
      </c>
      <c r="E8341" s="11">
        <v>28.0</v>
      </c>
      <c r="F8341" s="14">
        <v>10.9</v>
      </c>
      <c r="G8341" s="15">
        <v>0.10031413612565444</v>
      </c>
      <c r="H8341" s="11" t="s">
        <v>33</v>
      </c>
      <c r="I8341" s="16">
        <v>4.112</v>
      </c>
      <c r="J8341" s="11" t="s">
        <v>2061</v>
      </c>
      <c r="K8341" s="11" t="s">
        <v>65</v>
      </c>
      <c r="L8341" s="11" t="s">
        <v>27</v>
      </c>
      <c r="M8341" s="11" t="s">
        <v>28</v>
      </c>
      <c r="N8341" s="11" t="s">
        <v>42</v>
      </c>
      <c r="O8341" s="11" t="s">
        <v>1778</v>
      </c>
      <c r="P8341" s="11" t="s">
        <v>38</v>
      </c>
      <c r="Q8341" s="20">
        <v>41262.0</v>
      </c>
      <c r="R8341" s="17">
        <f t="shared" si="2"/>
        <v>31.02836607</v>
      </c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>
        <f t="shared" si="8"/>
        <v>1</v>
      </c>
      <c r="AF8341" s="19">
        <f t="shared" si="13"/>
        <v>5</v>
      </c>
      <c r="AG8341" s="9"/>
      <c r="AH8341" s="9"/>
      <c r="AI8341" s="9"/>
    </row>
    <row r="8342" ht="15.0" customHeight="1">
      <c r="A8342" s="11">
        <v>8341.0</v>
      </c>
      <c r="B8342" s="12">
        <f t="shared" ref="B8342:B8346" si="1333">DATE(2012,12,31)-13</f>
        <v>41261</v>
      </c>
      <c r="C8342" s="13">
        <v>2012.0</v>
      </c>
      <c r="D8342" s="11" t="s">
        <v>102</v>
      </c>
      <c r="E8342" s="11">
        <v>44.0</v>
      </c>
      <c r="F8342" s="14">
        <v>2.8</v>
      </c>
      <c r="G8342" s="15">
        <v>0.11651179413867055</v>
      </c>
      <c r="H8342" s="11" t="s">
        <v>33</v>
      </c>
      <c r="I8342" s="16">
        <v>0.4</v>
      </c>
      <c r="J8342" s="11" t="s">
        <v>202</v>
      </c>
      <c r="K8342" s="11" t="s">
        <v>35</v>
      </c>
      <c r="L8342" s="11" t="s">
        <v>27</v>
      </c>
      <c r="M8342" s="11" t="s">
        <v>28</v>
      </c>
      <c r="N8342" s="11" t="s">
        <v>188</v>
      </c>
      <c r="O8342" s="11" t="s">
        <v>901</v>
      </c>
      <c r="P8342" s="11" t="s">
        <v>38</v>
      </c>
      <c r="Q8342" s="20">
        <v>41262.0</v>
      </c>
      <c r="R8342" s="17">
        <f t="shared" si="2"/>
        <v>14.40085776</v>
      </c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>
        <f t="shared" si="8"/>
        <v>1</v>
      </c>
      <c r="AF8342" s="19">
        <f t="shared" si="13"/>
        <v>2</v>
      </c>
      <c r="AG8342" s="9"/>
      <c r="AH8342" s="9"/>
      <c r="AI8342" s="9"/>
    </row>
    <row r="8343" ht="15.0" customHeight="1">
      <c r="A8343" s="11">
        <v>8342.0</v>
      </c>
      <c r="B8343" s="12">
        <f t="shared" si="1333"/>
        <v>41261</v>
      </c>
      <c r="C8343" s="13">
        <v>2012.0</v>
      </c>
      <c r="D8343" s="11" t="s">
        <v>32</v>
      </c>
      <c r="E8343" s="11">
        <v>25.0</v>
      </c>
      <c r="F8343" s="14">
        <v>45.9</v>
      </c>
      <c r="G8343" s="15">
        <v>0.08485811938637627</v>
      </c>
      <c r="H8343" s="11" t="s">
        <v>33</v>
      </c>
      <c r="I8343" s="16">
        <v>3.84</v>
      </c>
      <c r="J8343" s="11" t="s">
        <v>1447</v>
      </c>
      <c r="K8343" s="11" t="s">
        <v>61</v>
      </c>
      <c r="L8343" s="11" t="s">
        <v>36</v>
      </c>
      <c r="M8343" s="11" t="s">
        <v>49</v>
      </c>
      <c r="N8343" s="11" t="s">
        <v>73</v>
      </c>
      <c r="O8343" s="11" t="s">
        <v>1431</v>
      </c>
      <c r="P8343" s="11" t="s">
        <v>58</v>
      </c>
      <c r="Q8343" s="20">
        <v>41262.0</v>
      </c>
      <c r="R8343" s="17">
        <f t="shared" si="2"/>
        <v>97.70054717</v>
      </c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>
        <f t="shared" si="8"/>
        <v>2</v>
      </c>
      <c r="AF8343" s="19">
        <f t="shared" si="13"/>
        <v>4</v>
      </c>
      <c r="AG8343" s="9"/>
      <c r="AH8343" s="9"/>
      <c r="AI8343" s="9"/>
    </row>
    <row r="8344" ht="15.0" customHeight="1">
      <c r="A8344" s="11">
        <v>8343.0</v>
      </c>
      <c r="B8344" s="12">
        <f t="shared" si="1333"/>
        <v>41261</v>
      </c>
      <c r="C8344" s="13">
        <v>2012.0</v>
      </c>
      <c r="D8344" s="11" t="s">
        <v>32</v>
      </c>
      <c r="E8344" s="11">
        <v>29.0</v>
      </c>
      <c r="F8344" s="14">
        <v>300.9</v>
      </c>
      <c r="G8344" s="15">
        <v>0.029503962299801068</v>
      </c>
      <c r="H8344" s="11" t="s">
        <v>33</v>
      </c>
      <c r="I8344" s="16">
        <v>5.744</v>
      </c>
      <c r="J8344" s="11" t="s">
        <v>1447</v>
      </c>
      <c r="K8344" s="11" t="s">
        <v>61</v>
      </c>
      <c r="L8344" s="11" t="s">
        <v>36</v>
      </c>
      <c r="M8344" s="11" t="s">
        <v>66</v>
      </c>
      <c r="N8344" s="11" t="s">
        <v>67</v>
      </c>
      <c r="O8344" s="11" t="s">
        <v>1147</v>
      </c>
      <c r="P8344" s="11" t="s">
        <v>38</v>
      </c>
      <c r="Q8344" s="20">
        <v>41262.0</v>
      </c>
      <c r="R8344" s="17">
        <f t="shared" si="2"/>
        <v>257.6239962</v>
      </c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>
        <f t="shared" si="8"/>
        <v>2</v>
      </c>
      <c r="AF8344" s="19">
        <f t="shared" si="13"/>
        <v>4</v>
      </c>
      <c r="AG8344" s="9"/>
      <c r="AH8344" s="9"/>
      <c r="AI8344" s="9"/>
    </row>
    <row r="8345" ht="15.0" customHeight="1">
      <c r="A8345" s="11">
        <v>8344.0</v>
      </c>
      <c r="B8345" s="12">
        <f t="shared" si="1333"/>
        <v>41261</v>
      </c>
      <c r="C8345" s="13">
        <v>2012.0</v>
      </c>
      <c r="D8345" s="11" t="s">
        <v>32</v>
      </c>
      <c r="E8345" s="11">
        <v>2.0</v>
      </c>
      <c r="F8345" s="14">
        <v>29.8</v>
      </c>
      <c r="G8345" s="15">
        <v>0.008233387358184808</v>
      </c>
      <c r="H8345" s="11" t="s">
        <v>33</v>
      </c>
      <c r="I8345" s="16">
        <v>1.592</v>
      </c>
      <c r="J8345" s="11" t="s">
        <v>1447</v>
      </c>
      <c r="K8345" s="11" t="s">
        <v>61</v>
      </c>
      <c r="L8345" s="11" t="s">
        <v>36</v>
      </c>
      <c r="M8345" s="11" t="s">
        <v>66</v>
      </c>
      <c r="N8345" s="11" t="s">
        <v>67</v>
      </c>
      <c r="O8345" s="11" t="s">
        <v>559</v>
      </c>
      <c r="P8345" s="11" t="s">
        <v>99</v>
      </c>
      <c r="Q8345" s="20">
        <v>41263.0</v>
      </c>
      <c r="R8345" s="17">
        <f t="shared" si="2"/>
        <v>0.5038174392</v>
      </c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>
        <f t="shared" si="8"/>
        <v>2</v>
      </c>
      <c r="AF8345" s="19">
        <f t="shared" si="13"/>
        <v>4</v>
      </c>
      <c r="AG8345" s="9"/>
      <c r="AH8345" s="9"/>
      <c r="AI8345" s="9"/>
    </row>
    <row r="8346" ht="15.0" customHeight="1">
      <c r="A8346" s="11">
        <v>8345.0</v>
      </c>
      <c r="B8346" s="12">
        <f t="shared" si="1333"/>
        <v>41261</v>
      </c>
      <c r="C8346" s="13">
        <v>2012.0</v>
      </c>
      <c r="D8346" s="11" t="s">
        <v>32</v>
      </c>
      <c r="E8346" s="11">
        <v>50.0</v>
      </c>
      <c r="F8346" s="14">
        <v>15.5</v>
      </c>
      <c r="G8346" s="15">
        <v>0.052123255047081665</v>
      </c>
      <c r="H8346" s="11" t="s">
        <v>33</v>
      </c>
      <c r="I8346" s="16">
        <v>1.1119999999999999</v>
      </c>
      <c r="J8346" s="11" t="s">
        <v>1447</v>
      </c>
      <c r="K8346" s="11" t="s">
        <v>61</v>
      </c>
      <c r="L8346" s="11" t="s">
        <v>36</v>
      </c>
      <c r="M8346" s="11" t="s">
        <v>28</v>
      </c>
      <c r="N8346" s="11" t="s">
        <v>236</v>
      </c>
      <c r="O8346" s="11" t="s">
        <v>885</v>
      </c>
      <c r="P8346" s="11" t="s">
        <v>38</v>
      </c>
      <c r="Q8346" s="20">
        <v>41263.0</v>
      </c>
      <c r="R8346" s="17">
        <f t="shared" si="2"/>
        <v>40.45348372</v>
      </c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>
        <f t="shared" si="8"/>
        <v>2</v>
      </c>
      <c r="AF8346" s="19">
        <f t="shared" si="13"/>
        <v>4</v>
      </c>
      <c r="AG8346" s="9"/>
      <c r="AH8346" s="9"/>
      <c r="AI8346" s="9"/>
    </row>
    <row r="8347" ht="15.0" customHeight="1">
      <c r="A8347" s="11">
        <v>8346.0</v>
      </c>
      <c r="B8347" s="12">
        <f t="shared" ref="B8347:B8348" si="1334">DATE(2012,12,31)-12</f>
        <v>41262</v>
      </c>
      <c r="C8347" s="13">
        <v>2012.0</v>
      </c>
      <c r="D8347" s="11" t="s">
        <v>102</v>
      </c>
      <c r="E8347" s="11">
        <v>31.0</v>
      </c>
      <c r="F8347" s="14">
        <v>65.9</v>
      </c>
      <c r="G8347" s="15">
        <v>0.02137502390514432</v>
      </c>
      <c r="H8347" s="11" t="s">
        <v>33</v>
      </c>
      <c r="I8347" s="16">
        <v>3.9920000000000004</v>
      </c>
      <c r="J8347" s="11" t="s">
        <v>727</v>
      </c>
      <c r="K8347" s="11" t="s">
        <v>35</v>
      </c>
      <c r="L8347" s="11" t="s">
        <v>48</v>
      </c>
      <c r="M8347" s="11" t="s">
        <v>66</v>
      </c>
      <c r="N8347" s="11" t="s">
        <v>80</v>
      </c>
      <c r="O8347" s="11" t="s">
        <v>1512</v>
      </c>
      <c r="P8347" s="11" t="s">
        <v>38</v>
      </c>
      <c r="Q8347" s="20">
        <v>41263.0</v>
      </c>
      <c r="R8347" s="17">
        <f t="shared" si="2"/>
        <v>43.75236543</v>
      </c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>
        <f t="shared" si="8"/>
        <v>4</v>
      </c>
      <c r="AF8347" s="19">
        <f t="shared" si="13"/>
        <v>2</v>
      </c>
      <c r="AG8347" s="9"/>
      <c r="AH8347" s="9"/>
      <c r="AI8347" s="9"/>
    </row>
    <row r="8348" ht="15.0" customHeight="1">
      <c r="A8348" s="11">
        <v>8347.0</v>
      </c>
      <c r="B8348" s="12">
        <f t="shared" si="1334"/>
        <v>41262</v>
      </c>
      <c r="C8348" s="13">
        <v>2012.0</v>
      </c>
      <c r="D8348" s="11" t="s">
        <v>39</v>
      </c>
      <c r="E8348" s="11">
        <v>25.0</v>
      </c>
      <c r="F8348" s="14">
        <v>6.2</v>
      </c>
      <c r="G8348" s="15">
        <v>0.0776794945433659</v>
      </c>
      <c r="H8348" s="11" t="s">
        <v>33</v>
      </c>
      <c r="I8348" s="16">
        <v>5.5760000000000005</v>
      </c>
      <c r="J8348" s="11" t="s">
        <v>2391</v>
      </c>
      <c r="K8348" s="11" t="s">
        <v>47</v>
      </c>
      <c r="L8348" s="11" t="s">
        <v>48</v>
      </c>
      <c r="M8348" s="11" t="s">
        <v>28</v>
      </c>
      <c r="N8348" s="11" t="s">
        <v>42</v>
      </c>
      <c r="O8348" s="11" t="s">
        <v>2506</v>
      </c>
      <c r="P8348" s="11" t="s">
        <v>38</v>
      </c>
      <c r="Q8348" s="20">
        <v>41263.0</v>
      </c>
      <c r="R8348" s="17">
        <f t="shared" si="2"/>
        <v>12.47346252</v>
      </c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>
        <f t="shared" si="8"/>
        <v>4</v>
      </c>
      <c r="AF8348" s="19">
        <f t="shared" si="13"/>
        <v>3</v>
      </c>
      <c r="AG8348" s="9"/>
      <c r="AH8348" s="9"/>
      <c r="AI8348" s="9"/>
    </row>
    <row r="8349" ht="15.0" customHeight="1">
      <c r="A8349" s="11">
        <v>8348.0</v>
      </c>
      <c r="B8349" s="12">
        <f t="shared" ref="B8349:B8353" si="1335">DATE(2012,12,31)-11</f>
        <v>41263</v>
      </c>
      <c r="C8349" s="13">
        <v>2012.0</v>
      </c>
      <c r="D8349" s="11" t="s">
        <v>23</v>
      </c>
      <c r="E8349" s="11">
        <v>6.0</v>
      </c>
      <c r="F8349" s="14">
        <v>193.1</v>
      </c>
      <c r="G8349" s="15">
        <v>0.0688925881886644</v>
      </c>
      <c r="H8349" s="11" t="s">
        <v>33</v>
      </c>
      <c r="I8349" s="16">
        <v>15.991999999999999</v>
      </c>
      <c r="J8349" s="11" t="s">
        <v>953</v>
      </c>
      <c r="K8349" s="11" t="s">
        <v>65</v>
      </c>
      <c r="L8349" s="11" t="s">
        <v>48</v>
      </c>
      <c r="M8349" s="11" t="s">
        <v>28</v>
      </c>
      <c r="N8349" s="11" t="s">
        <v>29</v>
      </c>
      <c r="O8349" s="11" t="s">
        <v>847</v>
      </c>
      <c r="P8349" s="11" t="s">
        <v>38</v>
      </c>
      <c r="Q8349" s="20">
        <v>41264.0</v>
      </c>
      <c r="R8349" s="17">
        <f t="shared" si="2"/>
        <v>80.92068295</v>
      </c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>
        <f t="shared" si="8"/>
        <v>4</v>
      </c>
      <c r="AF8349" s="19">
        <f t="shared" si="13"/>
        <v>5</v>
      </c>
      <c r="AG8349" s="9"/>
      <c r="AH8349" s="9"/>
      <c r="AI8349" s="9"/>
    </row>
    <row r="8350" ht="15.0" customHeight="1">
      <c r="A8350" s="11">
        <v>8349.0</v>
      </c>
      <c r="B8350" s="12">
        <f t="shared" si="1335"/>
        <v>41263</v>
      </c>
      <c r="C8350" s="13">
        <v>2012.0</v>
      </c>
      <c r="D8350" s="11" t="s">
        <v>23</v>
      </c>
      <c r="E8350" s="11">
        <v>17.0</v>
      </c>
      <c r="F8350" s="14">
        <v>30.5</v>
      </c>
      <c r="G8350" s="15">
        <v>0.022533308313004177</v>
      </c>
      <c r="H8350" s="11" t="s">
        <v>33</v>
      </c>
      <c r="I8350" s="16">
        <v>2.3920000000000003</v>
      </c>
      <c r="J8350" s="11" t="s">
        <v>953</v>
      </c>
      <c r="K8350" s="11" t="s">
        <v>65</v>
      </c>
      <c r="L8350" s="11" t="s">
        <v>48</v>
      </c>
      <c r="M8350" s="11" t="s">
        <v>28</v>
      </c>
      <c r="N8350" s="11" t="s">
        <v>42</v>
      </c>
      <c r="O8350" s="11" t="s">
        <v>594</v>
      </c>
      <c r="P8350" s="11" t="s">
        <v>38</v>
      </c>
      <c r="Q8350" s="20">
        <v>41264.0</v>
      </c>
      <c r="R8350" s="17">
        <f t="shared" si="2"/>
        <v>11.73742003</v>
      </c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>
        <f t="shared" si="8"/>
        <v>4</v>
      </c>
      <c r="AF8350" s="19">
        <f t="shared" si="13"/>
        <v>5</v>
      </c>
      <c r="AG8350" s="9"/>
      <c r="AH8350" s="9"/>
      <c r="AI8350" s="9"/>
    </row>
    <row r="8351" ht="15.0" customHeight="1">
      <c r="A8351" s="11">
        <v>8350.0</v>
      </c>
      <c r="B8351" s="12">
        <f t="shared" si="1335"/>
        <v>41263</v>
      </c>
      <c r="C8351" s="13">
        <v>2012.0</v>
      </c>
      <c r="D8351" s="11" t="s">
        <v>32</v>
      </c>
      <c r="E8351" s="11">
        <v>27.0</v>
      </c>
      <c r="F8351" s="14">
        <v>39.8</v>
      </c>
      <c r="G8351" s="15">
        <v>0.012621928859552649</v>
      </c>
      <c r="H8351" s="11" t="s">
        <v>33</v>
      </c>
      <c r="I8351" s="16">
        <v>2.4320000000000004</v>
      </c>
      <c r="J8351" s="11" t="s">
        <v>2069</v>
      </c>
      <c r="K8351" s="11" t="s">
        <v>35</v>
      </c>
      <c r="L8351" s="11" t="s">
        <v>48</v>
      </c>
      <c r="M8351" s="11" t="s">
        <v>49</v>
      </c>
      <c r="N8351" s="11" t="s">
        <v>73</v>
      </c>
      <c r="O8351" s="11" t="s">
        <v>1149</v>
      </c>
      <c r="P8351" s="11" t="s">
        <v>58</v>
      </c>
      <c r="Q8351" s="20">
        <v>41265.0</v>
      </c>
      <c r="R8351" s="17">
        <f t="shared" si="2"/>
        <v>13.59422128</v>
      </c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>
        <f t="shared" si="8"/>
        <v>4</v>
      </c>
      <c r="AF8351" s="19">
        <f t="shared" si="13"/>
        <v>2</v>
      </c>
      <c r="AG8351" s="9"/>
      <c r="AH8351" s="9"/>
      <c r="AI8351" s="9"/>
    </row>
    <row r="8352" ht="15.0" customHeight="1">
      <c r="A8352" s="11">
        <v>8351.0</v>
      </c>
      <c r="B8352" s="12">
        <f t="shared" si="1335"/>
        <v>41263</v>
      </c>
      <c r="C8352" s="13">
        <v>2012.0</v>
      </c>
      <c r="D8352" s="11" t="s">
        <v>32</v>
      </c>
      <c r="E8352" s="11">
        <v>42.0</v>
      </c>
      <c r="F8352" s="14">
        <v>101.4</v>
      </c>
      <c r="G8352" s="15">
        <v>0.06703229737964655</v>
      </c>
      <c r="H8352" s="11" t="s">
        <v>33</v>
      </c>
      <c r="I8352" s="16">
        <v>28.0</v>
      </c>
      <c r="J8352" s="11" t="s">
        <v>2069</v>
      </c>
      <c r="K8352" s="11" t="s">
        <v>35</v>
      </c>
      <c r="L8352" s="11" t="s">
        <v>48</v>
      </c>
      <c r="M8352" s="11" t="s">
        <v>28</v>
      </c>
      <c r="N8352" s="11" t="s">
        <v>29</v>
      </c>
      <c r="O8352" s="11" t="s">
        <v>1637</v>
      </c>
      <c r="P8352" s="11" t="s">
        <v>31</v>
      </c>
      <c r="Q8352" s="20">
        <v>41265.0</v>
      </c>
      <c r="R8352" s="17">
        <f t="shared" si="2"/>
        <v>287.3540524</v>
      </c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>
        <f t="shared" si="8"/>
        <v>4</v>
      </c>
      <c r="AF8352" s="19">
        <f t="shared" si="13"/>
        <v>2</v>
      </c>
      <c r="AG8352" s="9"/>
      <c r="AH8352" s="9"/>
      <c r="AI8352" s="9"/>
    </row>
    <row r="8353" ht="15.0" customHeight="1">
      <c r="A8353" s="11">
        <v>8352.0</v>
      </c>
      <c r="B8353" s="12">
        <f t="shared" si="1335"/>
        <v>41263</v>
      </c>
      <c r="C8353" s="13">
        <v>2012.0</v>
      </c>
      <c r="D8353" s="11" t="s">
        <v>32</v>
      </c>
      <c r="E8353" s="11">
        <v>45.0</v>
      </c>
      <c r="F8353" s="14">
        <v>90.9</v>
      </c>
      <c r="G8353" s="15">
        <v>0.03606548850886753</v>
      </c>
      <c r="H8353" s="11" t="s">
        <v>45</v>
      </c>
      <c r="I8353" s="16">
        <v>24.0</v>
      </c>
      <c r="J8353" s="11" t="s">
        <v>2069</v>
      </c>
      <c r="K8353" s="11" t="s">
        <v>35</v>
      </c>
      <c r="L8353" s="11" t="s">
        <v>48</v>
      </c>
      <c r="M8353" s="11" t="s">
        <v>49</v>
      </c>
      <c r="N8353" s="11" t="s">
        <v>50</v>
      </c>
      <c r="O8353" s="11" t="s">
        <v>2206</v>
      </c>
      <c r="P8353" s="11" t="s">
        <v>52</v>
      </c>
      <c r="Q8353" s="20">
        <v>41265.0</v>
      </c>
      <c r="R8353" s="17">
        <f t="shared" si="2"/>
        <v>148.3914525</v>
      </c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>
        <f t="shared" si="8"/>
        <v>4</v>
      </c>
      <c r="AF8353" s="19">
        <f t="shared" si="13"/>
        <v>2</v>
      </c>
      <c r="AG8353" s="9"/>
      <c r="AH8353" s="9"/>
      <c r="AI8353" s="9"/>
    </row>
    <row r="8354" ht="15.0" customHeight="1">
      <c r="A8354" s="11">
        <v>8353.0</v>
      </c>
      <c r="B8354" s="12">
        <f t="shared" ref="B8354:B8362" si="1336">DATE(2012,12,31)-10</f>
        <v>41264</v>
      </c>
      <c r="C8354" s="13">
        <v>2012.0</v>
      </c>
      <c r="D8354" s="11" t="s">
        <v>39</v>
      </c>
      <c r="E8354" s="11">
        <v>7.0</v>
      </c>
      <c r="F8354" s="14">
        <v>22.2</v>
      </c>
      <c r="G8354" s="15">
        <v>0.07234438627108788</v>
      </c>
      <c r="H8354" s="11" t="s">
        <v>33</v>
      </c>
      <c r="I8354" s="16">
        <v>4.064</v>
      </c>
      <c r="J8354" s="11" t="s">
        <v>2064</v>
      </c>
      <c r="K8354" s="11" t="s">
        <v>61</v>
      </c>
      <c r="L8354" s="11" t="s">
        <v>27</v>
      </c>
      <c r="M8354" s="11" t="s">
        <v>49</v>
      </c>
      <c r="N8354" s="11" t="s">
        <v>73</v>
      </c>
      <c r="O8354" s="11" t="s">
        <v>2488</v>
      </c>
      <c r="P8354" s="11" t="s">
        <v>99</v>
      </c>
      <c r="Q8354" s="20">
        <v>41265.0</v>
      </c>
      <c r="R8354" s="17">
        <f t="shared" si="2"/>
        <v>11.53632521</v>
      </c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>
        <f t="shared" si="8"/>
        <v>1</v>
      </c>
      <c r="AF8354" s="19">
        <f t="shared" si="13"/>
        <v>4</v>
      </c>
      <c r="AG8354" s="9"/>
      <c r="AH8354" s="9"/>
      <c r="AI8354" s="9"/>
    </row>
    <row r="8355" ht="15.0" customHeight="1">
      <c r="A8355" s="11">
        <v>8354.0</v>
      </c>
      <c r="B8355" s="12">
        <f t="shared" si="1336"/>
        <v>41264</v>
      </c>
      <c r="C8355" s="13">
        <v>2012.0</v>
      </c>
      <c r="D8355" s="11" t="s">
        <v>32</v>
      </c>
      <c r="E8355" s="11">
        <v>17.0</v>
      </c>
      <c r="F8355" s="14">
        <v>145.4</v>
      </c>
      <c r="G8355" s="15">
        <v>0.08418183157739613</v>
      </c>
      <c r="H8355" s="11" t="s">
        <v>45</v>
      </c>
      <c r="I8355" s="16">
        <v>14.280000000000001</v>
      </c>
      <c r="J8355" s="11" t="s">
        <v>2350</v>
      </c>
      <c r="K8355" s="11" t="s">
        <v>61</v>
      </c>
      <c r="L8355" s="11" t="s">
        <v>36</v>
      </c>
      <c r="M8355" s="11" t="s">
        <v>66</v>
      </c>
      <c r="N8355" s="11" t="s">
        <v>69</v>
      </c>
      <c r="O8355" s="11" t="s">
        <v>111</v>
      </c>
      <c r="P8355" s="11" t="s">
        <v>52</v>
      </c>
      <c r="Q8355" s="20">
        <v>41265.0</v>
      </c>
      <c r="R8355" s="17">
        <f t="shared" si="2"/>
        <v>209.2827678</v>
      </c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>
        <f t="shared" si="8"/>
        <v>2</v>
      </c>
      <c r="AF8355" s="19">
        <f t="shared" si="13"/>
        <v>4</v>
      </c>
      <c r="AG8355" s="9"/>
      <c r="AH8355" s="9"/>
      <c r="AI8355" s="9"/>
    </row>
    <row r="8356" ht="15.0" customHeight="1">
      <c r="A8356" s="11">
        <v>8355.0</v>
      </c>
      <c r="B8356" s="12">
        <f t="shared" si="1336"/>
        <v>41264</v>
      </c>
      <c r="C8356" s="13">
        <v>2012.0</v>
      </c>
      <c r="D8356" s="11" t="s">
        <v>102</v>
      </c>
      <c r="E8356" s="11">
        <v>7.0</v>
      </c>
      <c r="F8356" s="14">
        <v>150.9</v>
      </c>
      <c r="G8356" s="15">
        <v>0.05956127213461365</v>
      </c>
      <c r="H8356" s="11" t="s">
        <v>33</v>
      </c>
      <c r="I8356" s="16">
        <v>11.192</v>
      </c>
      <c r="J8356" s="11" t="s">
        <v>1014</v>
      </c>
      <c r="K8356" s="11" t="s">
        <v>61</v>
      </c>
      <c r="L8356" s="11" t="s">
        <v>36</v>
      </c>
      <c r="M8356" s="11" t="s">
        <v>66</v>
      </c>
      <c r="N8356" s="11" t="s">
        <v>69</v>
      </c>
      <c r="O8356" s="11" t="s">
        <v>468</v>
      </c>
      <c r="P8356" s="11" t="s">
        <v>75</v>
      </c>
      <c r="Q8356" s="20">
        <v>41265.0</v>
      </c>
      <c r="R8356" s="17">
        <f t="shared" si="2"/>
        <v>63.58118151</v>
      </c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>
        <f t="shared" si="8"/>
        <v>2</v>
      </c>
      <c r="AF8356" s="19">
        <f t="shared" si="13"/>
        <v>4</v>
      </c>
      <c r="AG8356" s="9"/>
      <c r="AH8356" s="9"/>
      <c r="AI8356" s="9"/>
    </row>
    <row r="8357" ht="15.0" customHeight="1">
      <c r="A8357" s="11">
        <v>8356.0</v>
      </c>
      <c r="B8357" s="12">
        <f t="shared" si="1336"/>
        <v>41264</v>
      </c>
      <c r="C8357" s="13">
        <v>2012.0</v>
      </c>
      <c r="D8357" s="11" t="s">
        <v>102</v>
      </c>
      <c r="E8357" s="11">
        <v>45.0</v>
      </c>
      <c r="F8357" s="14">
        <v>6.2</v>
      </c>
      <c r="G8357" s="15">
        <v>0.02922180322248886</v>
      </c>
      <c r="H8357" s="11" t="s">
        <v>33</v>
      </c>
      <c r="I8357" s="16">
        <v>4.176</v>
      </c>
      <c r="J8357" s="11" t="s">
        <v>1014</v>
      </c>
      <c r="K8357" s="11" t="s">
        <v>61</v>
      </c>
      <c r="L8357" s="11" t="s">
        <v>36</v>
      </c>
      <c r="M8357" s="11" t="s">
        <v>49</v>
      </c>
      <c r="N8357" s="11" t="s">
        <v>73</v>
      </c>
      <c r="O8357" s="11" t="s">
        <v>1591</v>
      </c>
      <c r="P8357" s="11" t="s">
        <v>38</v>
      </c>
      <c r="Q8357" s="20">
        <v>41265.0</v>
      </c>
      <c r="R8357" s="17">
        <f t="shared" si="2"/>
        <v>8.274913349</v>
      </c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>
        <f t="shared" si="8"/>
        <v>2</v>
      </c>
      <c r="AF8357" s="19">
        <f t="shared" si="13"/>
        <v>4</v>
      </c>
      <c r="AG8357" s="9"/>
      <c r="AH8357" s="9"/>
      <c r="AI8357" s="9"/>
    </row>
    <row r="8358" ht="15.0" customHeight="1">
      <c r="A8358" s="11">
        <v>8357.0</v>
      </c>
      <c r="B8358" s="12">
        <f t="shared" si="1336"/>
        <v>41264</v>
      </c>
      <c r="C8358" s="13">
        <v>2012.0</v>
      </c>
      <c r="D8358" s="11" t="s">
        <v>102</v>
      </c>
      <c r="E8358" s="11">
        <v>48.0</v>
      </c>
      <c r="F8358" s="14">
        <v>65.9</v>
      </c>
      <c r="G8358" s="15">
        <v>0.058227005172721336</v>
      </c>
      <c r="H8358" s="11" t="s">
        <v>33</v>
      </c>
      <c r="I8358" s="16">
        <v>4.736</v>
      </c>
      <c r="J8358" s="11" t="s">
        <v>1014</v>
      </c>
      <c r="K8358" s="11" t="s">
        <v>61</v>
      </c>
      <c r="L8358" s="11" t="s">
        <v>36</v>
      </c>
      <c r="M8358" s="11" t="s">
        <v>66</v>
      </c>
      <c r="N8358" s="11" t="s">
        <v>80</v>
      </c>
      <c r="O8358" s="11">
        <v>252.0</v>
      </c>
      <c r="P8358" s="11" t="s">
        <v>38</v>
      </c>
      <c r="Q8358" s="20">
        <v>41265.0</v>
      </c>
      <c r="R8358" s="17">
        <f t="shared" si="2"/>
        <v>184.4594259</v>
      </c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>
        <f t="shared" si="8"/>
        <v>2</v>
      </c>
      <c r="AF8358" s="19">
        <f t="shared" si="13"/>
        <v>4</v>
      </c>
      <c r="AG8358" s="9"/>
      <c r="AH8358" s="9"/>
      <c r="AI8358" s="9"/>
    </row>
    <row r="8359" ht="15.0" customHeight="1">
      <c r="A8359" s="11">
        <v>8358.0</v>
      </c>
      <c r="B8359" s="12">
        <f t="shared" si="1336"/>
        <v>41264</v>
      </c>
      <c r="C8359" s="13">
        <v>2012.0</v>
      </c>
      <c r="D8359" s="11" t="s">
        <v>39</v>
      </c>
      <c r="E8359" s="11">
        <v>19.0</v>
      </c>
      <c r="F8359" s="14">
        <v>15.0</v>
      </c>
      <c r="G8359" s="15">
        <v>0.06259640102827752</v>
      </c>
      <c r="H8359" s="11" t="s">
        <v>33</v>
      </c>
      <c r="I8359" s="16">
        <v>6.720000000000001</v>
      </c>
      <c r="J8359" s="11" t="s">
        <v>1025</v>
      </c>
      <c r="K8359" s="11" t="s">
        <v>117</v>
      </c>
      <c r="L8359" s="11" t="s">
        <v>48</v>
      </c>
      <c r="M8359" s="11" t="s">
        <v>28</v>
      </c>
      <c r="N8359" s="11" t="s">
        <v>42</v>
      </c>
      <c r="O8359" s="11" t="s">
        <v>1525</v>
      </c>
      <c r="P8359" s="11" t="s">
        <v>38</v>
      </c>
      <c r="Q8359" s="20">
        <v>41266.0</v>
      </c>
      <c r="R8359" s="17">
        <f t="shared" si="2"/>
        <v>18.26062211</v>
      </c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>
        <f t="shared" si="8"/>
        <v>4</v>
      </c>
      <c r="AF8359" s="19" t="b">
        <f t="shared" si="13"/>
        <v>0</v>
      </c>
      <c r="AG8359" s="9"/>
      <c r="AH8359" s="9"/>
      <c r="AI8359" s="9"/>
    </row>
    <row r="8360" ht="15.0" customHeight="1">
      <c r="A8360" s="11">
        <v>8359.0</v>
      </c>
      <c r="B8360" s="12">
        <f t="shared" si="1336"/>
        <v>41264</v>
      </c>
      <c r="C8360" s="13">
        <v>2012.0</v>
      </c>
      <c r="D8360" s="11" t="s">
        <v>39</v>
      </c>
      <c r="E8360" s="11">
        <v>25.0</v>
      </c>
      <c r="F8360" s="14">
        <v>20.9</v>
      </c>
      <c r="G8360" s="15">
        <v>0.05294328786791098</v>
      </c>
      <c r="H8360" s="11" t="s">
        <v>33</v>
      </c>
      <c r="I8360" s="16">
        <v>5.2</v>
      </c>
      <c r="J8360" s="11" t="s">
        <v>1025</v>
      </c>
      <c r="K8360" s="11" t="s">
        <v>117</v>
      </c>
      <c r="L8360" s="11" t="s">
        <v>48</v>
      </c>
      <c r="M8360" s="11" t="s">
        <v>66</v>
      </c>
      <c r="N8360" s="11" t="s">
        <v>67</v>
      </c>
      <c r="O8360" s="11" t="s">
        <v>2130</v>
      </c>
      <c r="P8360" s="11" t="s">
        <v>38</v>
      </c>
      <c r="Q8360" s="20">
        <v>41266.0</v>
      </c>
      <c r="R8360" s="17">
        <f t="shared" si="2"/>
        <v>27.93817301</v>
      </c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>
        <f t="shared" si="8"/>
        <v>4</v>
      </c>
      <c r="AF8360" s="19" t="b">
        <f t="shared" si="13"/>
        <v>0</v>
      </c>
      <c r="AG8360" s="9"/>
      <c r="AH8360" s="9"/>
      <c r="AI8360" s="9"/>
    </row>
    <row r="8361" ht="15.0" customHeight="1">
      <c r="A8361" s="11">
        <v>8360.0</v>
      </c>
      <c r="B8361" s="12">
        <f t="shared" si="1336"/>
        <v>41264</v>
      </c>
      <c r="C8361" s="13">
        <v>2012.0</v>
      </c>
      <c r="D8361" s="11" t="s">
        <v>39</v>
      </c>
      <c r="E8361" s="11">
        <v>10.0</v>
      </c>
      <c r="F8361" s="14">
        <v>10.0</v>
      </c>
      <c r="G8361" s="15">
        <v>0.06107208872458414</v>
      </c>
      <c r="H8361" s="11" t="s">
        <v>33</v>
      </c>
      <c r="I8361" s="16">
        <v>1.592</v>
      </c>
      <c r="J8361" s="11" t="s">
        <v>1025</v>
      </c>
      <c r="K8361" s="11" t="s">
        <v>117</v>
      </c>
      <c r="L8361" s="11" t="s">
        <v>48</v>
      </c>
      <c r="M8361" s="11" t="s">
        <v>66</v>
      </c>
      <c r="N8361" s="11" t="s">
        <v>67</v>
      </c>
      <c r="O8361" s="11" t="s">
        <v>1598</v>
      </c>
      <c r="P8361" s="11" t="s">
        <v>99</v>
      </c>
      <c r="Q8361" s="20">
        <v>41266.0</v>
      </c>
      <c r="R8361" s="17">
        <f t="shared" si="2"/>
        <v>6.204435638</v>
      </c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>
        <f t="shared" si="8"/>
        <v>4</v>
      </c>
      <c r="AF8361" s="19" t="b">
        <f t="shared" si="13"/>
        <v>0</v>
      </c>
      <c r="AG8361" s="9"/>
      <c r="AH8361" s="9"/>
      <c r="AI8361" s="9"/>
    </row>
    <row r="8362" ht="15.0" customHeight="1">
      <c r="A8362" s="11">
        <v>8361.0</v>
      </c>
      <c r="B8362" s="12">
        <f t="shared" si="1336"/>
        <v>41264</v>
      </c>
      <c r="C8362" s="13">
        <v>2012.0</v>
      </c>
      <c r="D8362" s="11" t="s">
        <v>23</v>
      </c>
      <c r="E8362" s="11">
        <v>13.0</v>
      </c>
      <c r="F8362" s="14">
        <v>110.9</v>
      </c>
      <c r="G8362" s="15">
        <v>0.0704572765795964</v>
      </c>
      <c r="H8362" s="11" t="s">
        <v>33</v>
      </c>
      <c r="I8362" s="16">
        <v>28.0</v>
      </c>
      <c r="J8362" s="11" t="s">
        <v>648</v>
      </c>
      <c r="K8362" s="11" t="s">
        <v>35</v>
      </c>
      <c r="L8362" s="11" t="s">
        <v>48</v>
      </c>
      <c r="M8362" s="11" t="s">
        <v>28</v>
      </c>
      <c r="N8362" s="11" t="s">
        <v>29</v>
      </c>
      <c r="O8362" s="11" t="s">
        <v>2592</v>
      </c>
      <c r="P8362" s="11" t="s">
        <v>31</v>
      </c>
      <c r="Q8362" s="20">
        <v>41267.0</v>
      </c>
      <c r="R8362" s="17">
        <f t="shared" si="2"/>
        <v>103.5510594</v>
      </c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>
        <f t="shared" si="8"/>
        <v>4</v>
      </c>
      <c r="AF8362" s="19">
        <f t="shared" si="13"/>
        <v>2</v>
      </c>
      <c r="AG8362" s="9"/>
      <c r="AH8362" s="9"/>
      <c r="AI8362" s="9"/>
    </row>
    <row r="8363" ht="15.0" customHeight="1">
      <c r="A8363" s="11">
        <v>8362.0</v>
      </c>
      <c r="B8363" s="12">
        <f>DATE(2012,12,31)-9</f>
        <v>41265</v>
      </c>
      <c r="C8363" s="13">
        <v>2012.0</v>
      </c>
      <c r="D8363" s="11" t="s">
        <v>23</v>
      </c>
      <c r="E8363" s="11">
        <v>4.0</v>
      </c>
      <c r="F8363" s="14">
        <v>120.9</v>
      </c>
      <c r="G8363" s="15">
        <v>0.07541223891535345</v>
      </c>
      <c r="H8363" s="11" t="s">
        <v>45</v>
      </c>
      <c r="I8363" s="16">
        <v>21.040000000000003</v>
      </c>
      <c r="J8363" s="11" t="s">
        <v>1466</v>
      </c>
      <c r="K8363" s="11" t="s">
        <v>65</v>
      </c>
      <c r="L8363" s="11" t="s">
        <v>27</v>
      </c>
      <c r="M8363" s="11" t="s">
        <v>66</v>
      </c>
      <c r="N8363" s="11" t="s">
        <v>69</v>
      </c>
      <c r="O8363" s="11" t="s">
        <v>118</v>
      </c>
      <c r="P8363" s="11" t="s">
        <v>52</v>
      </c>
      <c r="Q8363" s="20">
        <v>41267.0</v>
      </c>
      <c r="R8363" s="17">
        <f t="shared" si="2"/>
        <v>38.05603225</v>
      </c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>
        <f t="shared" si="8"/>
        <v>1</v>
      </c>
      <c r="AF8363" s="19">
        <f t="shared" si="13"/>
        <v>5</v>
      </c>
      <c r="AG8363" s="9"/>
      <c r="AH8363" s="9"/>
      <c r="AI8363" s="9"/>
    </row>
    <row r="8364" ht="15.0" customHeight="1">
      <c r="A8364" s="11">
        <v>8363.0</v>
      </c>
      <c r="B8364" s="12">
        <f t="shared" ref="B8364:B8365" si="1337">DATE(2012,12,31)-8</f>
        <v>41266</v>
      </c>
      <c r="C8364" s="13">
        <v>2012.0</v>
      </c>
      <c r="D8364" s="11" t="s">
        <v>44</v>
      </c>
      <c r="E8364" s="11">
        <v>10.0</v>
      </c>
      <c r="F8364" s="14">
        <v>53.9</v>
      </c>
      <c r="G8364" s="15">
        <v>0.050829694323144145</v>
      </c>
      <c r="H8364" s="11" t="s">
        <v>33</v>
      </c>
      <c r="I8364" s="16">
        <v>4.4</v>
      </c>
      <c r="J8364" s="11" t="s">
        <v>2283</v>
      </c>
      <c r="K8364" s="11" t="s">
        <v>65</v>
      </c>
      <c r="L8364" s="11" t="s">
        <v>41</v>
      </c>
      <c r="M8364" s="11" t="s">
        <v>66</v>
      </c>
      <c r="N8364" s="11" t="s">
        <v>67</v>
      </c>
      <c r="O8364" s="11" t="s">
        <v>1765</v>
      </c>
      <c r="P8364" s="11" t="s">
        <v>38</v>
      </c>
      <c r="Q8364" s="20">
        <v>41268.0</v>
      </c>
      <c r="R8364" s="17">
        <f t="shared" si="2"/>
        <v>27.6208559</v>
      </c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>
        <f t="shared" si="8"/>
        <v>3</v>
      </c>
      <c r="AF8364" s="19">
        <f t="shared" si="13"/>
        <v>5</v>
      </c>
      <c r="AG8364" s="9"/>
      <c r="AH8364" s="9"/>
      <c r="AI8364" s="9"/>
    </row>
    <row r="8365" ht="15.0" customHeight="1">
      <c r="A8365" s="11">
        <v>8364.0</v>
      </c>
      <c r="B8365" s="12">
        <f t="shared" si="1337"/>
        <v>41266</v>
      </c>
      <c r="C8365" s="13">
        <v>2012.0</v>
      </c>
      <c r="D8365" s="11" t="s">
        <v>23</v>
      </c>
      <c r="E8365" s="11">
        <v>45.0</v>
      </c>
      <c r="F8365" s="14">
        <v>95.9</v>
      </c>
      <c r="G8365" s="15">
        <v>0.013331825378873468</v>
      </c>
      <c r="H8365" s="11" t="s">
        <v>45</v>
      </c>
      <c r="I8365" s="16">
        <v>46.56</v>
      </c>
      <c r="J8365" s="11" t="s">
        <v>711</v>
      </c>
      <c r="K8365" s="11" t="s">
        <v>83</v>
      </c>
      <c r="L8365" s="11" t="s">
        <v>48</v>
      </c>
      <c r="M8365" s="11" t="s">
        <v>49</v>
      </c>
      <c r="N8365" s="11" t="s">
        <v>50</v>
      </c>
      <c r="O8365" s="11" t="s">
        <v>2247</v>
      </c>
      <c r="P8365" s="11" t="s">
        <v>52</v>
      </c>
      <c r="Q8365" s="20">
        <v>41269.0</v>
      </c>
      <c r="R8365" s="17">
        <f t="shared" si="2"/>
        <v>58.15422221</v>
      </c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>
        <f t="shared" si="8"/>
        <v>4</v>
      </c>
      <c r="AF8365" s="19" t="b">
        <f t="shared" si="13"/>
        <v>0</v>
      </c>
      <c r="AG8365" s="9"/>
      <c r="AH8365" s="9"/>
      <c r="AI8365" s="9"/>
    </row>
    <row r="8366" ht="15.0" customHeight="1">
      <c r="A8366" s="11">
        <v>8365.0</v>
      </c>
      <c r="B8366" s="12">
        <f t="shared" ref="B8366:B8370" si="1338">DATE(2012,12,31)-7</f>
        <v>41267</v>
      </c>
      <c r="C8366" s="13">
        <v>2012.0</v>
      </c>
      <c r="D8366" s="11" t="s">
        <v>23</v>
      </c>
      <c r="E8366" s="11">
        <v>7.0</v>
      </c>
      <c r="F8366" s="14">
        <v>6.8</v>
      </c>
      <c r="G8366" s="15">
        <v>0.10217616580310876</v>
      </c>
      <c r="H8366" s="11" t="s">
        <v>33</v>
      </c>
      <c r="I8366" s="16">
        <v>4.384</v>
      </c>
      <c r="J8366" s="11" t="s">
        <v>1056</v>
      </c>
      <c r="K8366" s="11" t="s">
        <v>65</v>
      </c>
      <c r="L8366" s="11" t="s">
        <v>48</v>
      </c>
      <c r="M8366" s="11" t="s">
        <v>28</v>
      </c>
      <c r="N8366" s="11" t="s">
        <v>42</v>
      </c>
      <c r="O8366" s="11" t="s">
        <v>2379</v>
      </c>
      <c r="P8366" s="11" t="s">
        <v>38</v>
      </c>
      <c r="Q8366" s="20">
        <v>41269.0</v>
      </c>
      <c r="R8366" s="17">
        <f t="shared" si="2"/>
        <v>5.311525803</v>
      </c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>
        <f t="shared" si="8"/>
        <v>4</v>
      </c>
      <c r="AF8366" s="19">
        <f t="shared" si="13"/>
        <v>5</v>
      </c>
      <c r="AG8366" s="9"/>
      <c r="AH8366" s="9"/>
      <c r="AI8366" s="9"/>
    </row>
    <row r="8367" ht="15.0" customHeight="1">
      <c r="A8367" s="11">
        <v>8366.0</v>
      </c>
      <c r="B8367" s="12">
        <f t="shared" si="1338"/>
        <v>41267</v>
      </c>
      <c r="C8367" s="13">
        <v>2012.0</v>
      </c>
      <c r="D8367" s="11" t="s">
        <v>44</v>
      </c>
      <c r="E8367" s="11">
        <v>25.0</v>
      </c>
      <c r="F8367" s="14">
        <v>3.5</v>
      </c>
      <c r="G8367" s="15">
        <v>0.036733828207847284</v>
      </c>
      <c r="H8367" s="11" t="s">
        <v>33</v>
      </c>
      <c r="I8367" s="16">
        <v>3.3360000000000003</v>
      </c>
      <c r="J8367" s="11" t="s">
        <v>2386</v>
      </c>
      <c r="K8367" s="11" t="s">
        <v>65</v>
      </c>
      <c r="L8367" s="11" t="s">
        <v>48</v>
      </c>
      <c r="M8367" s="11" t="s">
        <v>28</v>
      </c>
      <c r="N8367" s="11" t="s">
        <v>62</v>
      </c>
      <c r="O8367" s="11" t="s">
        <v>1532</v>
      </c>
      <c r="P8367" s="11" t="s">
        <v>99</v>
      </c>
      <c r="Q8367" s="20">
        <v>41269.0</v>
      </c>
      <c r="R8367" s="17">
        <f t="shared" si="2"/>
        <v>3.336754019</v>
      </c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>
        <f t="shared" si="8"/>
        <v>4</v>
      </c>
      <c r="AF8367" s="19">
        <f t="shared" si="13"/>
        <v>5</v>
      </c>
      <c r="AG8367" s="9"/>
      <c r="AH8367" s="9"/>
      <c r="AI8367" s="9"/>
    </row>
    <row r="8368" ht="15.0" customHeight="1">
      <c r="A8368" s="11">
        <v>8367.0</v>
      </c>
      <c r="B8368" s="12">
        <f t="shared" si="1338"/>
        <v>41267</v>
      </c>
      <c r="C8368" s="13">
        <v>2012.0</v>
      </c>
      <c r="D8368" s="11" t="s">
        <v>44</v>
      </c>
      <c r="E8368" s="11">
        <v>17.0</v>
      </c>
      <c r="F8368" s="14">
        <v>65.9</v>
      </c>
      <c r="G8368" s="15">
        <v>0.04042698548249352</v>
      </c>
      <c r="H8368" s="11" t="s">
        <v>33</v>
      </c>
      <c r="I8368" s="16">
        <v>3.3600000000000003</v>
      </c>
      <c r="J8368" s="11" t="s">
        <v>2386</v>
      </c>
      <c r="K8368" s="11" t="s">
        <v>65</v>
      </c>
      <c r="L8368" s="11" t="s">
        <v>48</v>
      </c>
      <c r="M8368" s="11" t="s">
        <v>66</v>
      </c>
      <c r="N8368" s="11" t="s">
        <v>80</v>
      </c>
      <c r="O8368" s="11">
        <v>5170.0</v>
      </c>
      <c r="P8368" s="11" t="s">
        <v>38</v>
      </c>
      <c r="Q8368" s="20">
        <v>41269.0</v>
      </c>
      <c r="R8368" s="17">
        <f t="shared" si="2"/>
        <v>45.42618651</v>
      </c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>
        <f t="shared" si="8"/>
        <v>4</v>
      </c>
      <c r="AF8368" s="19">
        <f t="shared" si="13"/>
        <v>5</v>
      </c>
      <c r="AG8368" s="9"/>
      <c r="AH8368" s="9"/>
      <c r="AI8368" s="9"/>
    </row>
    <row r="8369" ht="15.0" customHeight="1">
      <c r="A8369" s="11">
        <v>8368.0</v>
      </c>
      <c r="B8369" s="12">
        <f t="shared" si="1338"/>
        <v>41267</v>
      </c>
      <c r="C8369" s="13">
        <v>2012.0</v>
      </c>
      <c r="D8369" s="11" t="s">
        <v>39</v>
      </c>
      <c r="E8369" s="11">
        <v>32.0</v>
      </c>
      <c r="F8369" s="14">
        <v>51.9</v>
      </c>
      <c r="G8369" s="15">
        <v>0.026100799223184982</v>
      </c>
      <c r="H8369" s="11" t="s">
        <v>33</v>
      </c>
      <c r="I8369" s="16">
        <v>8.136000000000001</v>
      </c>
      <c r="J8369" s="11" t="s">
        <v>2597</v>
      </c>
      <c r="K8369" s="11" t="s">
        <v>35</v>
      </c>
      <c r="L8369" s="11" t="s">
        <v>48</v>
      </c>
      <c r="M8369" s="11" t="s">
        <v>66</v>
      </c>
      <c r="N8369" s="11" t="s">
        <v>69</v>
      </c>
      <c r="O8369" s="11" t="s">
        <v>827</v>
      </c>
      <c r="P8369" s="11" t="s">
        <v>75</v>
      </c>
      <c r="Q8369" s="20">
        <v>41269.0</v>
      </c>
      <c r="R8369" s="17">
        <f t="shared" si="2"/>
        <v>43.56056345</v>
      </c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>
        <f t="shared" si="8"/>
        <v>4</v>
      </c>
      <c r="AF8369" s="19">
        <f t="shared" si="13"/>
        <v>2</v>
      </c>
      <c r="AG8369" s="9"/>
      <c r="AH8369" s="9"/>
      <c r="AI8369" s="9"/>
    </row>
    <row r="8370" ht="15.0" customHeight="1">
      <c r="A8370" s="11">
        <v>8369.0</v>
      </c>
      <c r="B8370" s="12">
        <f t="shared" si="1338"/>
        <v>41267</v>
      </c>
      <c r="C8370" s="13">
        <v>2012.0</v>
      </c>
      <c r="D8370" s="11" t="s">
        <v>39</v>
      </c>
      <c r="E8370" s="11">
        <v>32.0</v>
      </c>
      <c r="F8370" s="14">
        <v>218.7</v>
      </c>
      <c r="G8370" s="15">
        <v>0.058673570151325107</v>
      </c>
      <c r="H8370" s="11" t="s">
        <v>45</v>
      </c>
      <c r="I8370" s="16">
        <v>55.712</v>
      </c>
      <c r="J8370" s="11" t="s">
        <v>2597</v>
      </c>
      <c r="K8370" s="11" t="s">
        <v>35</v>
      </c>
      <c r="L8370" s="11" t="s">
        <v>48</v>
      </c>
      <c r="M8370" s="11" t="s">
        <v>49</v>
      </c>
      <c r="N8370" s="11" t="s">
        <v>85</v>
      </c>
      <c r="O8370" s="11" t="s">
        <v>522</v>
      </c>
      <c r="P8370" s="11" t="s">
        <v>87</v>
      </c>
      <c r="Q8370" s="20">
        <v>41269.0</v>
      </c>
      <c r="R8370" s="17">
        <f t="shared" si="2"/>
        <v>413.8899353</v>
      </c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>
        <f t="shared" si="8"/>
        <v>4</v>
      </c>
      <c r="AF8370" s="19">
        <f t="shared" si="13"/>
        <v>2</v>
      </c>
      <c r="AG8370" s="9"/>
      <c r="AH8370" s="9"/>
      <c r="AI8370" s="9"/>
    </row>
    <row r="8371" ht="15.0" customHeight="1">
      <c r="A8371" s="11">
        <v>8370.0</v>
      </c>
      <c r="B8371" s="12">
        <f t="shared" ref="B8371:B8375" si="1339">DATE(2012,12,31)-6</f>
        <v>41268</v>
      </c>
      <c r="C8371" s="13">
        <v>2012.0</v>
      </c>
      <c r="D8371" s="11" t="s">
        <v>32</v>
      </c>
      <c r="E8371" s="11">
        <v>27.0</v>
      </c>
      <c r="F8371" s="14">
        <v>4.2</v>
      </c>
      <c r="G8371" s="15">
        <v>0.08385232744783301</v>
      </c>
      <c r="H8371" s="11" t="s">
        <v>33</v>
      </c>
      <c r="I8371" s="16">
        <v>0.752</v>
      </c>
      <c r="J8371" s="11" t="s">
        <v>1099</v>
      </c>
      <c r="K8371" s="11" t="s">
        <v>47</v>
      </c>
      <c r="L8371" s="11" t="s">
        <v>48</v>
      </c>
      <c r="M8371" s="11" t="s">
        <v>28</v>
      </c>
      <c r="N8371" s="11" t="s">
        <v>62</v>
      </c>
      <c r="O8371" s="11" t="s">
        <v>291</v>
      </c>
      <c r="P8371" s="11" t="s">
        <v>58</v>
      </c>
      <c r="Q8371" s="20">
        <v>41270.0</v>
      </c>
      <c r="R8371" s="17">
        <f t="shared" si="2"/>
        <v>9.571910883</v>
      </c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>
        <f t="shared" si="8"/>
        <v>4</v>
      </c>
      <c r="AF8371" s="19">
        <f t="shared" si="13"/>
        <v>3</v>
      </c>
      <c r="AG8371" s="9"/>
      <c r="AH8371" s="9"/>
      <c r="AI8371" s="9"/>
    </row>
    <row r="8372" ht="15.0" customHeight="1">
      <c r="A8372" s="11">
        <v>8371.0</v>
      </c>
      <c r="B8372" s="12">
        <f t="shared" si="1339"/>
        <v>41268</v>
      </c>
      <c r="C8372" s="13">
        <v>2012.0</v>
      </c>
      <c r="D8372" s="11" t="s">
        <v>102</v>
      </c>
      <c r="E8372" s="11">
        <v>36.0</v>
      </c>
      <c r="F8372" s="14">
        <v>122.9</v>
      </c>
      <c r="G8372" s="15">
        <v>0.027180649428609604</v>
      </c>
      <c r="H8372" s="11" t="s">
        <v>45</v>
      </c>
      <c r="I8372" s="16">
        <v>56.160000000000004</v>
      </c>
      <c r="J8372" s="11" t="s">
        <v>323</v>
      </c>
      <c r="K8372" s="11" t="s">
        <v>61</v>
      </c>
      <c r="L8372" s="11" t="s">
        <v>48</v>
      </c>
      <c r="M8372" s="11" t="s">
        <v>49</v>
      </c>
      <c r="N8372" s="11" t="s">
        <v>50</v>
      </c>
      <c r="O8372" s="11" t="s">
        <v>537</v>
      </c>
      <c r="P8372" s="11" t="s">
        <v>52</v>
      </c>
      <c r="Q8372" s="20">
        <v>41270.0</v>
      </c>
      <c r="R8372" s="17">
        <f t="shared" si="2"/>
        <v>121.7845306</v>
      </c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>
        <f t="shared" si="8"/>
        <v>4</v>
      </c>
      <c r="AF8372" s="19">
        <f t="shared" si="13"/>
        <v>4</v>
      </c>
      <c r="AG8372" s="9"/>
      <c r="AH8372" s="9"/>
      <c r="AI8372" s="9"/>
    </row>
    <row r="8373" ht="15.0" customHeight="1">
      <c r="A8373" s="11">
        <v>8372.0</v>
      </c>
      <c r="B8373" s="12">
        <f t="shared" si="1339"/>
        <v>41268</v>
      </c>
      <c r="C8373" s="13">
        <v>2012.0</v>
      </c>
      <c r="D8373" s="11" t="s">
        <v>102</v>
      </c>
      <c r="E8373" s="11">
        <v>16.0</v>
      </c>
      <c r="F8373" s="14">
        <v>20.9</v>
      </c>
      <c r="G8373" s="15">
        <v>0.05205882352941196</v>
      </c>
      <c r="H8373" s="11" t="s">
        <v>33</v>
      </c>
      <c r="I8373" s="16">
        <v>0.792</v>
      </c>
      <c r="J8373" s="11" t="s">
        <v>219</v>
      </c>
      <c r="K8373" s="11" t="s">
        <v>61</v>
      </c>
      <c r="L8373" s="11" t="s">
        <v>48</v>
      </c>
      <c r="M8373" s="11" t="s">
        <v>66</v>
      </c>
      <c r="N8373" s="11" t="s">
        <v>80</v>
      </c>
      <c r="O8373" s="11" t="s">
        <v>1854</v>
      </c>
      <c r="P8373" s="11" t="s">
        <v>58</v>
      </c>
      <c r="Q8373" s="20">
        <v>41270.0</v>
      </c>
      <c r="R8373" s="17">
        <f t="shared" si="2"/>
        <v>17.44970118</v>
      </c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>
        <f t="shared" si="8"/>
        <v>4</v>
      </c>
      <c r="AF8373" s="19">
        <f t="shared" si="13"/>
        <v>4</v>
      </c>
      <c r="AG8373" s="9"/>
      <c r="AH8373" s="9"/>
      <c r="AI8373" s="9"/>
    </row>
    <row r="8374" ht="15.0" customHeight="1">
      <c r="A8374" s="11">
        <v>8373.0</v>
      </c>
      <c r="B8374" s="12">
        <f t="shared" si="1339"/>
        <v>41268</v>
      </c>
      <c r="C8374" s="13">
        <v>2012.0</v>
      </c>
      <c r="D8374" s="11" t="s">
        <v>102</v>
      </c>
      <c r="E8374" s="11">
        <v>5.0</v>
      </c>
      <c r="F8374" s="14">
        <v>125.9</v>
      </c>
      <c r="G8374" s="15">
        <v>0.050790337011631465</v>
      </c>
      <c r="H8374" s="11" t="s">
        <v>33</v>
      </c>
      <c r="I8374" s="16">
        <v>7.040000000000001</v>
      </c>
      <c r="J8374" s="11" t="s">
        <v>219</v>
      </c>
      <c r="K8374" s="11" t="s">
        <v>61</v>
      </c>
      <c r="L8374" s="11" t="s">
        <v>48</v>
      </c>
      <c r="M8374" s="11" t="s">
        <v>66</v>
      </c>
      <c r="N8374" s="11" t="s">
        <v>80</v>
      </c>
      <c r="O8374" s="11" t="s">
        <v>765</v>
      </c>
      <c r="P8374" s="11" t="s">
        <v>38</v>
      </c>
      <c r="Q8374" s="20">
        <v>41271.0</v>
      </c>
      <c r="R8374" s="17">
        <f t="shared" si="2"/>
        <v>32.33008112</v>
      </c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>
        <f t="shared" si="8"/>
        <v>4</v>
      </c>
      <c r="AF8374" s="19">
        <f t="shared" si="13"/>
        <v>4</v>
      </c>
      <c r="AG8374" s="9"/>
      <c r="AH8374" s="9"/>
      <c r="AI8374" s="9"/>
    </row>
    <row r="8375" ht="15.0" customHeight="1">
      <c r="A8375" s="11">
        <v>8374.0</v>
      </c>
      <c r="B8375" s="12">
        <f t="shared" si="1339"/>
        <v>41268</v>
      </c>
      <c r="C8375" s="13">
        <v>2012.0</v>
      </c>
      <c r="D8375" s="11" t="s">
        <v>23</v>
      </c>
      <c r="E8375" s="11">
        <v>46.0</v>
      </c>
      <c r="F8375" s="14">
        <v>7.0</v>
      </c>
      <c r="G8375" s="15">
        <v>0.10232815964523286</v>
      </c>
      <c r="H8375" s="11" t="s">
        <v>33</v>
      </c>
      <c r="I8375" s="16">
        <v>1.8800000000000001</v>
      </c>
      <c r="J8375" s="11" t="s">
        <v>485</v>
      </c>
      <c r="K8375" s="11" t="s">
        <v>47</v>
      </c>
      <c r="L8375" s="11" t="s">
        <v>48</v>
      </c>
      <c r="M8375" s="11" t="s">
        <v>28</v>
      </c>
      <c r="N8375" s="11" t="s">
        <v>62</v>
      </c>
      <c r="O8375" s="11" t="s">
        <v>1113</v>
      </c>
      <c r="P8375" s="11" t="s">
        <v>58</v>
      </c>
      <c r="Q8375" s="20">
        <v>41271.0</v>
      </c>
      <c r="R8375" s="17">
        <f t="shared" si="2"/>
        <v>33.14204435</v>
      </c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>
        <f t="shared" si="8"/>
        <v>4</v>
      </c>
      <c r="AF8375" s="19">
        <f t="shared" si="13"/>
        <v>3</v>
      </c>
      <c r="AG8375" s="9"/>
      <c r="AH8375" s="9"/>
      <c r="AI8375" s="9"/>
    </row>
    <row r="8376" ht="15.0" customHeight="1">
      <c r="A8376" s="11">
        <v>8375.0</v>
      </c>
      <c r="B8376" s="12">
        <f t="shared" ref="B8376:B8377" si="1340">DATE(2012,12,31)-5</f>
        <v>41269</v>
      </c>
      <c r="C8376" s="13">
        <v>2012.0</v>
      </c>
      <c r="D8376" s="11" t="s">
        <v>32</v>
      </c>
      <c r="E8376" s="11">
        <v>38.0</v>
      </c>
      <c r="F8376" s="14">
        <v>2.6</v>
      </c>
      <c r="G8376" s="15">
        <v>0.04247104247104239</v>
      </c>
      <c r="H8376" s="11" t="s">
        <v>33</v>
      </c>
      <c r="I8376" s="16">
        <v>0.4</v>
      </c>
      <c r="J8376" s="11" t="s">
        <v>60</v>
      </c>
      <c r="K8376" s="11" t="s">
        <v>61</v>
      </c>
      <c r="L8376" s="11" t="s">
        <v>27</v>
      </c>
      <c r="M8376" s="11" t="s">
        <v>28</v>
      </c>
      <c r="N8376" s="11" t="s">
        <v>188</v>
      </c>
      <c r="O8376" s="11" t="s">
        <v>918</v>
      </c>
      <c r="P8376" s="11" t="s">
        <v>38</v>
      </c>
      <c r="Q8376" s="20">
        <v>41271.0</v>
      </c>
      <c r="R8376" s="17">
        <f t="shared" si="2"/>
        <v>4.213127413</v>
      </c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>
        <f t="shared" si="8"/>
        <v>1</v>
      </c>
      <c r="AF8376" s="19">
        <f t="shared" si="13"/>
        <v>4</v>
      </c>
      <c r="AG8376" s="9"/>
      <c r="AH8376" s="9"/>
      <c r="AI8376" s="9"/>
    </row>
    <row r="8377" ht="15.0" customHeight="1">
      <c r="A8377" s="11">
        <v>8376.0</v>
      </c>
      <c r="B8377" s="12">
        <f t="shared" si="1340"/>
        <v>41269</v>
      </c>
      <c r="C8377" s="13">
        <v>2012.0</v>
      </c>
      <c r="D8377" s="11" t="s">
        <v>32</v>
      </c>
      <c r="E8377" s="11">
        <v>43.0</v>
      </c>
      <c r="F8377" s="14">
        <v>5.8</v>
      </c>
      <c r="G8377" s="15">
        <v>0.027695497630331665</v>
      </c>
      <c r="H8377" s="11" t="s">
        <v>33</v>
      </c>
      <c r="I8377" s="16">
        <v>2.696</v>
      </c>
      <c r="J8377" s="11" t="s">
        <v>1014</v>
      </c>
      <c r="K8377" s="11" t="s">
        <v>61</v>
      </c>
      <c r="L8377" s="11" t="s">
        <v>36</v>
      </c>
      <c r="M8377" s="11" t="s">
        <v>28</v>
      </c>
      <c r="N8377" s="11" t="s">
        <v>216</v>
      </c>
      <c r="O8377" s="11" t="s">
        <v>557</v>
      </c>
      <c r="P8377" s="11" t="s">
        <v>58</v>
      </c>
      <c r="Q8377" s="20">
        <v>41271.0</v>
      </c>
      <c r="R8377" s="17">
        <f t="shared" si="2"/>
        <v>6.981924171</v>
      </c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>
        <f t="shared" si="8"/>
        <v>2</v>
      </c>
      <c r="AF8377" s="19">
        <f t="shared" si="13"/>
        <v>4</v>
      </c>
      <c r="AG8377" s="9"/>
      <c r="AH8377" s="9"/>
      <c r="AI8377" s="9"/>
    </row>
    <row r="8378" ht="15.0" customHeight="1">
      <c r="A8378" s="11">
        <v>8377.0</v>
      </c>
      <c r="B8378" s="12">
        <f t="shared" ref="B8378:B8384" si="1341">DATE(2012,12,31)-4</f>
        <v>41270</v>
      </c>
      <c r="C8378" s="13">
        <v>2012.0</v>
      </c>
      <c r="D8378" s="11" t="s">
        <v>32</v>
      </c>
      <c r="E8378" s="11">
        <v>13.0</v>
      </c>
      <c r="F8378" s="14">
        <v>60.8</v>
      </c>
      <c r="G8378" s="15">
        <v>0.0910499944326913</v>
      </c>
      <c r="H8378" s="11" t="s">
        <v>45</v>
      </c>
      <c r="I8378" s="16">
        <v>25.927999999999997</v>
      </c>
      <c r="J8378" s="11" t="s">
        <v>2095</v>
      </c>
      <c r="K8378" s="11" t="s">
        <v>35</v>
      </c>
      <c r="L8378" s="11" t="s">
        <v>36</v>
      </c>
      <c r="M8378" s="11" t="s">
        <v>49</v>
      </c>
      <c r="N8378" s="11" t="s">
        <v>50</v>
      </c>
      <c r="O8378" s="11" t="s">
        <v>1037</v>
      </c>
      <c r="P8378" s="11" t="s">
        <v>52</v>
      </c>
      <c r="Q8378" s="20">
        <v>41271.0</v>
      </c>
      <c r="R8378" s="17">
        <f t="shared" si="2"/>
        <v>74.32665986</v>
      </c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>
        <f t="shared" si="8"/>
        <v>2</v>
      </c>
      <c r="AF8378" s="19">
        <f t="shared" si="13"/>
        <v>2</v>
      </c>
      <c r="AG8378" s="9"/>
      <c r="AH8378" s="9"/>
      <c r="AI8378" s="9"/>
    </row>
    <row r="8379" ht="15.0" customHeight="1">
      <c r="A8379" s="11">
        <v>8378.0</v>
      </c>
      <c r="B8379" s="12">
        <f t="shared" si="1341"/>
        <v>41270</v>
      </c>
      <c r="C8379" s="13">
        <v>2012.0</v>
      </c>
      <c r="D8379" s="11" t="s">
        <v>32</v>
      </c>
      <c r="E8379" s="11">
        <v>37.0</v>
      </c>
      <c r="F8379" s="14">
        <v>4.3</v>
      </c>
      <c r="G8379" s="15">
        <v>0.040446796002351536</v>
      </c>
      <c r="H8379" s="11" t="s">
        <v>33</v>
      </c>
      <c r="I8379" s="16">
        <v>4.12</v>
      </c>
      <c r="J8379" s="11" t="s">
        <v>1861</v>
      </c>
      <c r="K8379" s="11" t="s">
        <v>83</v>
      </c>
      <c r="L8379" s="11" t="s">
        <v>36</v>
      </c>
      <c r="M8379" s="11" t="s">
        <v>28</v>
      </c>
      <c r="N8379" s="11" t="s">
        <v>197</v>
      </c>
      <c r="O8379" s="11" t="s">
        <v>1745</v>
      </c>
      <c r="P8379" s="11" t="s">
        <v>38</v>
      </c>
      <c r="Q8379" s="20">
        <v>41271.0</v>
      </c>
      <c r="R8379" s="17">
        <f t="shared" si="2"/>
        <v>6.601726044</v>
      </c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>
        <f t="shared" si="8"/>
        <v>2</v>
      </c>
      <c r="AF8379" s="19" t="b">
        <f t="shared" si="13"/>
        <v>0</v>
      </c>
      <c r="AG8379" s="9"/>
      <c r="AH8379" s="9"/>
      <c r="AI8379" s="9"/>
    </row>
    <row r="8380" ht="15.0" customHeight="1">
      <c r="A8380" s="11">
        <v>8379.0</v>
      </c>
      <c r="B8380" s="12">
        <f t="shared" si="1341"/>
        <v>41270</v>
      </c>
      <c r="C8380" s="13">
        <v>2012.0</v>
      </c>
      <c r="D8380" s="11" t="s">
        <v>32</v>
      </c>
      <c r="E8380" s="11">
        <v>11.0</v>
      </c>
      <c r="F8380" s="14">
        <v>3.4</v>
      </c>
      <c r="G8380" s="15">
        <v>0.0960191846522783</v>
      </c>
      <c r="H8380" s="11" t="s">
        <v>33</v>
      </c>
      <c r="I8380" s="16">
        <v>0.296</v>
      </c>
      <c r="J8380" s="11" t="s">
        <v>1861</v>
      </c>
      <c r="K8380" s="11" t="s">
        <v>83</v>
      </c>
      <c r="L8380" s="11" t="s">
        <v>36</v>
      </c>
      <c r="M8380" s="11" t="s">
        <v>28</v>
      </c>
      <c r="N8380" s="11" t="s">
        <v>197</v>
      </c>
      <c r="O8380" s="11" t="s">
        <v>2265</v>
      </c>
      <c r="P8380" s="11" t="s">
        <v>31</v>
      </c>
      <c r="Q8380" s="20">
        <v>41271.0</v>
      </c>
      <c r="R8380" s="17">
        <f t="shared" si="2"/>
        <v>3.619539185</v>
      </c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>
        <f t="shared" si="8"/>
        <v>2</v>
      </c>
      <c r="AF8380" s="19" t="b">
        <f t="shared" si="13"/>
        <v>0</v>
      </c>
      <c r="AG8380" s="9"/>
      <c r="AH8380" s="9"/>
      <c r="AI8380" s="9"/>
    </row>
    <row r="8381" ht="15.0" customHeight="1">
      <c r="A8381" s="11">
        <v>8380.0</v>
      </c>
      <c r="B8381" s="12">
        <f t="shared" si="1341"/>
        <v>41270</v>
      </c>
      <c r="C8381" s="13">
        <v>2012.0</v>
      </c>
      <c r="D8381" s="11" t="s">
        <v>32</v>
      </c>
      <c r="E8381" s="11">
        <v>41.0</v>
      </c>
      <c r="F8381" s="14">
        <v>20.9</v>
      </c>
      <c r="G8381" s="15">
        <v>0.051517630153642156</v>
      </c>
      <c r="H8381" s="11" t="s">
        <v>33</v>
      </c>
      <c r="I8381" s="16">
        <v>1.192</v>
      </c>
      <c r="J8381" s="11" t="s">
        <v>1861</v>
      </c>
      <c r="K8381" s="11" t="s">
        <v>83</v>
      </c>
      <c r="L8381" s="11" t="s">
        <v>36</v>
      </c>
      <c r="M8381" s="11" t="s">
        <v>28</v>
      </c>
      <c r="N8381" s="11" t="s">
        <v>42</v>
      </c>
      <c r="O8381" s="11" t="s">
        <v>1121</v>
      </c>
      <c r="P8381" s="11" t="s">
        <v>38</v>
      </c>
      <c r="Q8381" s="20">
        <v>41272.0</v>
      </c>
      <c r="R8381" s="17">
        <f t="shared" si="2"/>
        <v>44.20686629</v>
      </c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>
        <f t="shared" si="8"/>
        <v>2</v>
      </c>
      <c r="AF8381" s="19" t="b">
        <f t="shared" si="13"/>
        <v>0</v>
      </c>
      <c r="AG8381" s="9"/>
      <c r="AH8381" s="9"/>
      <c r="AI8381" s="9"/>
    </row>
    <row r="8382" ht="15.0" customHeight="1">
      <c r="A8382" s="11">
        <v>8381.0</v>
      </c>
      <c r="B8382" s="12">
        <f t="shared" si="1341"/>
        <v>41270</v>
      </c>
      <c r="C8382" s="13">
        <v>2012.0</v>
      </c>
      <c r="D8382" s="11" t="s">
        <v>44</v>
      </c>
      <c r="E8382" s="11">
        <v>30.0</v>
      </c>
      <c r="F8382" s="14">
        <v>525.9</v>
      </c>
      <c r="G8382" s="15">
        <v>0.09127571306094026</v>
      </c>
      <c r="H8382" s="11" t="s">
        <v>33</v>
      </c>
      <c r="I8382" s="16">
        <v>15.991999999999999</v>
      </c>
      <c r="J8382" s="11" t="s">
        <v>1938</v>
      </c>
      <c r="K8382" s="11" t="s">
        <v>26</v>
      </c>
      <c r="L8382" s="11" t="s">
        <v>41</v>
      </c>
      <c r="M8382" s="11" t="s">
        <v>28</v>
      </c>
      <c r="N8382" s="11" t="s">
        <v>42</v>
      </c>
      <c r="O8382" s="11" t="s">
        <v>1163</v>
      </c>
      <c r="P8382" s="11" t="s">
        <v>38</v>
      </c>
      <c r="Q8382" s="20">
        <v>41272.0</v>
      </c>
      <c r="R8382" s="17">
        <f t="shared" si="2"/>
        <v>1441.516606</v>
      </c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>
        <f t="shared" si="8"/>
        <v>3</v>
      </c>
      <c r="AF8382" s="19">
        <f t="shared" si="13"/>
        <v>1</v>
      </c>
      <c r="AG8382" s="9"/>
      <c r="AH8382" s="9"/>
      <c r="AI8382" s="9"/>
    </row>
    <row r="8383" ht="15.0" customHeight="1">
      <c r="A8383" s="11">
        <v>8382.0</v>
      </c>
      <c r="B8383" s="12">
        <f t="shared" si="1341"/>
        <v>41270</v>
      </c>
      <c r="C8383" s="13">
        <v>2012.0</v>
      </c>
      <c r="D8383" s="11" t="s">
        <v>44</v>
      </c>
      <c r="E8383" s="11">
        <v>42.0</v>
      </c>
      <c r="F8383" s="14">
        <v>115.9</v>
      </c>
      <c r="G8383" s="15">
        <v>0.09194352345117911</v>
      </c>
      <c r="H8383" s="11" t="s">
        <v>33</v>
      </c>
      <c r="I8383" s="16">
        <v>7.192</v>
      </c>
      <c r="J8383" s="11" t="s">
        <v>1938</v>
      </c>
      <c r="K8383" s="11" t="s">
        <v>26</v>
      </c>
      <c r="L8383" s="11" t="s">
        <v>41</v>
      </c>
      <c r="M8383" s="11" t="s">
        <v>66</v>
      </c>
      <c r="N8383" s="11" t="s">
        <v>80</v>
      </c>
      <c r="O8383" s="11">
        <v>5185.0</v>
      </c>
      <c r="P8383" s="11" t="s">
        <v>38</v>
      </c>
      <c r="Q8383" s="20">
        <v>41272.0</v>
      </c>
      <c r="R8383" s="17">
        <f t="shared" si="2"/>
        <v>448.2239413</v>
      </c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>
        <f t="shared" si="8"/>
        <v>3</v>
      </c>
      <c r="AF8383" s="19">
        <f t="shared" si="13"/>
        <v>1</v>
      </c>
      <c r="AG8383" s="9"/>
      <c r="AH8383" s="9"/>
      <c r="AI8383" s="9"/>
    </row>
    <row r="8384" ht="15.0" customHeight="1">
      <c r="A8384" s="11">
        <v>8383.0</v>
      </c>
      <c r="B8384" s="12">
        <f t="shared" si="1341"/>
        <v>41270</v>
      </c>
      <c r="C8384" s="13">
        <v>2012.0</v>
      </c>
      <c r="D8384" s="11" t="s">
        <v>102</v>
      </c>
      <c r="E8384" s="11">
        <v>22.0</v>
      </c>
      <c r="F8384" s="14">
        <v>1.7</v>
      </c>
      <c r="G8384" s="15">
        <v>0.055721393034825914</v>
      </c>
      <c r="H8384" s="11" t="s">
        <v>24</v>
      </c>
      <c r="I8384" s="16">
        <v>0.5599999999999999</v>
      </c>
      <c r="J8384" s="11" t="s">
        <v>1108</v>
      </c>
      <c r="K8384" s="11" t="s">
        <v>47</v>
      </c>
      <c r="L8384" s="11" t="s">
        <v>27</v>
      </c>
      <c r="M8384" s="11" t="s">
        <v>28</v>
      </c>
      <c r="N8384" s="11" t="s">
        <v>62</v>
      </c>
      <c r="O8384" s="11" t="s">
        <v>1107</v>
      </c>
      <c r="P8384" s="11" t="s">
        <v>58</v>
      </c>
      <c r="Q8384" s="20">
        <v>41272.0</v>
      </c>
      <c r="R8384" s="17">
        <f t="shared" si="2"/>
        <v>2.11518408</v>
      </c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>
        <f t="shared" si="8"/>
        <v>1</v>
      </c>
      <c r="AF8384" s="19">
        <f t="shared" si="13"/>
        <v>3</v>
      </c>
      <c r="AG8384" s="9"/>
      <c r="AH8384" s="9"/>
      <c r="AI8384" s="9"/>
    </row>
    <row r="8385" ht="15.0" customHeight="1">
      <c r="A8385" s="11">
        <v>8384.0</v>
      </c>
      <c r="B8385" s="12">
        <f t="shared" ref="B8385:B8387" si="1342">DATE(2012,12,31)-3</f>
        <v>41271</v>
      </c>
      <c r="C8385" s="13">
        <v>2012.0</v>
      </c>
      <c r="D8385" s="11" t="s">
        <v>23</v>
      </c>
      <c r="E8385" s="11">
        <v>30.0</v>
      </c>
      <c r="F8385" s="14">
        <v>67.2</v>
      </c>
      <c r="G8385" s="15">
        <v>0.022657880813813647</v>
      </c>
      <c r="H8385" s="11" t="s">
        <v>33</v>
      </c>
      <c r="I8385" s="16">
        <v>15.991999999999999</v>
      </c>
      <c r="J8385" s="11" t="s">
        <v>253</v>
      </c>
      <c r="K8385" s="11" t="s">
        <v>61</v>
      </c>
      <c r="L8385" s="11" t="s">
        <v>36</v>
      </c>
      <c r="M8385" s="11" t="s">
        <v>28</v>
      </c>
      <c r="N8385" s="11" t="s">
        <v>42</v>
      </c>
      <c r="O8385" s="11" t="s">
        <v>1882</v>
      </c>
      <c r="P8385" s="11" t="s">
        <v>38</v>
      </c>
      <c r="Q8385" s="20">
        <v>41272.0</v>
      </c>
      <c r="R8385" s="17">
        <f t="shared" si="2"/>
        <v>46.04063255</v>
      </c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>
        <f t="shared" si="8"/>
        <v>2</v>
      </c>
      <c r="AF8385" s="19">
        <f t="shared" si="13"/>
        <v>4</v>
      </c>
      <c r="AG8385" s="9"/>
      <c r="AH8385" s="9"/>
      <c r="AI8385" s="9"/>
    </row>
    <row r="8386" ht="15.0" customHeight="1">
      <c r="A8386" s="11">
        <v>8385.0</v>
      </c>
      <c r="B8386" s="12">
        <f t="shared" si="1342"/>
        <v>41271</v>
      </c>
      <c r="C8386" s="13">
        <v>2012.0</v>
      </c>
      <c r="D8386" s="11" t="s">
        <v>102</v>
      </c>
      <c r="E8386" s="11">
        <v>2.0</v>
      </c>
      <c r="F8386" s="14">
        <v>20.9</v>
      </c>
      <c r="G8386" s="15">
        <v>0.018447488584474883</v>
      </c>
      <c r="H8386" s="11" t="s">
        <v>33</v>
      </c>
      <c r="I8386" s="16">
        <v>1.192</v>
      </c>
      <c r="J8386" s="11" t="s">
        <v>510</v>
      </c>
      <c r="K8386" s="11" t="s">
        <v>35</v>
      </c>
      <c r="L8386" s="11" t="s">
        <v>27</v>
      </c>
      <c r="M8386" s="11" t="s">
        <v>28</v>
      </c>
      <c r="N8386" s="11" t="s">
        <v>42</v>
      </c>
      <c r="O8386" s="11" t="s">
        <v>1121</v>
      </c>
      <c r="P8386" s="11" t="s">
        <v>38</v>
      </c>
      <c r="Q8386" s="20">
        <v>41272.0</v>
      </c>
      <c r="R8386" s="17">
        <f t="shared" si="2"/>
        <v>0.7930944292</v>
      </c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>
        <f t="shared" si="8"/>
        <v>1</v>
      </c>
      <c r="AF8386" s="19">
        <f t="shared" si="13"/>
        <v>2</v>
      </c>
      <c r="AG8386" s="9"/>
      <c r="AH8386" s="9"/>
      <c r="AI8386" s="9"/>
    </row>
    <row r="8387" ht="15.0" customHeight="1">
      <c r="A8387" s="11">
        <v>8386.0</v>
      </c>
      <c r="B8387" s="12">
        <f t="shared" si="1342"/>
        <v>41271</v>
      </c>
      <c r="C8387" s="13">
        <v>2012.0</v>
      </c>
      <c r="D8387" s="11" t="s">
        <v>39</v>
      </c>
      <c r="E8387" s="11">
        <v>26.0</v>
      </c>
      <c r="F8387" s="14">
        <v>21.6</v>
      </c>
      <c r="G8387" s="15">
        <v>0.045664778407197626</v>
      </c>
      <c r="H8387" s="11" t="s">
        <v>33</v>
      </c>
      <c r="I8387" s="16">
        <v>11.192</v>
      </c>
      <c r="J8387" s="11" t="s">
        <v>2052</v>
      </c>
      <c r="K8387" s="11" t="s">
        <v>65</v>
      </c>
      <c r="L8387" s="11" t="s">
        <v>27</v>
      </c>
      <c r="M8387" s="11" t="s">
        <v>28</v>
      </c>
      <c r="N8387" s="11" t="s">
        <v>197</v>
      </c>
      <c r="O8387" s="11" t="s">
        <v>1612</v>
      </c>
      <c r="P8387" s="11" t="s">
        <v>75</v>
      </c>
      <c r="Q8387" s="20">
        <v>41273.0</v>
      </c>
      <c r="R8387" s="17">
        <f t="shared" si="2"/>
        <v>26.15641975</v>
      </c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>
        <f t="shared" si="8"/>
        <v>1</v>
      </c>
      <c r="AF8387" s="19">
        <f t="shared" si="13"/>
        <v>5</v>
      </c>
      <c r="AG8387" s="9"/>
      <c r="AH8387" s="9"/>
      <c r="AI8387" s="9"/>
    </row>
    <row r="8388" ht="15.0" customHeight="1">
      <c r="A8388" s="11">
        <v>8387.0</v>
      </c>
      <c r="B8388" s="12">
        <f t="shared" ref="B8388:B8393" si="1343">DATE(2012,12,31)-2</f>
        <v>41272</v>
      </c>
      <c r="C8388" s="13">
        <v>2012.0</v>
      </c>
      <c r="D8388" s="11" t="s">
        <v>102</v>
      </c>
      <c r="E8388" s="11">
        <v>27.0</v>
      </c>
      <c r="F8388" s="14">
        <v>6.7</v>
      </c>
      <c r="G8388" s="15">
        <v>0.09871968962172646</v>
      </c>
      <c r="H8388" s="11" t="s">
        <v>33</v>
      </c>
      <c r="I8388" s="16">
        <v>4.944</v>
      </c>
      <c r="J8388" s="11" t="s">
        <v>1887</v>
      </c>
      <c r="K8388" s="11" t="s">
        <v>61</v>
      </c>
      <c r="L8388" s="11" t="s">
        <v>36</v>
      </c>
      <c r="M8388" s="11" t="s">
        <v>28</v>
      </c>
      <c r="N8388" s="11" t="s">
        <v>56</v>
      </c>
      <c r="O8388" s="11" t="s">
        <v>2378</v>
      </c>
      <c r="P8388" s="11" t="s">
        <v>38</v>
      </c>
      <c r="Q8388" s="20">
        <v>41273.0</v>
      </c>
      <c r="R8388" s="17">
        <f t="shared" si="2"/>
        <v>18.346462</v>
      </c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>
        <f t="shared" si="8"/>
        <v>2</v>
      </c>
      <c r="AF8388" s="19">
        <f t="shared" si="13"/>
        <v>4</v>
      </c>
      <c r="AG8388" s="9"/>
      <c r="AH8388" s="9"/>
      <c r="AI8388" s="9"/>
    </row>
    <row r="8389" ht="15.0" customHeight="1">
      <c r="A8389" s="11">
        <v>8388.0</v>
      </c>
      <c r="B8389" s="12">
        <f t="shared" si="1343"/>
        <v>41272</v>
      </c>
      <c r="C8389" s="13">
        <v>2012.0</v>
      </c>
      <c r="D8389" s="11" t="s">
        <v>39</v>
      </c>
      <c r="E8389" s="11">
        <v>46.0</v>
      </c>
      <c r="F8389" s="14">
        <v>43.2</v>
      </c>
      <c r="G8389" s="15">
        <v>0.09168073746178071</v>
      </c>
      <c r="H8389" s="11" t="s">
        <v>33</v>
      </c>
      <c r="I8389" s="16">
        <v>3.2</v>
      </c>
      <c r="J8389" s="11" t="s">
        <v>317</v>
      </c>
      <c r="K8389" s="11" t="s">
        <v>65</v>
      </c>
      <c r="L8389" s="11" t="s">
        <v>27</v>
      </c>
      <c r="M8389" s="11" t="s">
        <v>66</v>
      </c>
      <c r="N8389" s="11" t="s">
        <v>67</v>
      </c>
      <c r="O8389" s="11" t="s">
        <v>68</v>
      </c>
      <c r="P8389" s="11" t="s">
        <v>38</v>
      </c>
      <c r="Q8389" s="20">
        <v>41273.0</v>
      </c>
      <c r="R8389" s="17">
        <f t="shared" si="2"/>
        <v>182.4813398</v>
      </c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>
        <f t="shared" si="8"/>
        <v>1</v>
      </c>
      <c r="AF8389" s="19">
        <f t="shared" si="13"/>
        <v>5</v>
      </c>
      <c r="AG8389" s="9"/>
      <c r="AH8389" s="9"/>
      <c r="AI8389" s="9"/>
    </row>
    <row r="8390" ht="15.0" customHeight="1">
      <c r="A8390" s="11">
        <v>8389.0</v>
      </c>
      <c r="B8390" s="12">
        <f t="shared" si="1343"/>
        <v>41272</v>
      </c>
      <c r="C8390" s="13">
        <v>2012.0</v>
      </c>
      <c r="D8390" s="11" t="s">
        <v>39</v>
      </c>
      <c r="E8390" s="11">
        <v>17.0</v>
      </c>
      <c r="F8390" s="14">
        <v>218.7</v>
      </c>
      <c r="G8390" s="15">
        <v>0.042206147364146414</v>
      </c>
      <c r="H8390" s="11" t="s">
        <v>45</v>
      </c>
      <c r="I8390" s="16">
        <v>55.712</v>
      </c>
      <c r="J8390" s="11" t="s">
        <v>317</v>
      </c>
      <c r="K8390" s="11" t="s">
        <v>65</v>
      </c>
      <c r="L8390" s="11" t="s">
        <v>27</v>
      </c>
      <c r="M8390" s="11" t="s">
        <v>49</v>
      </c>
      <c r="N8390" s="11" t="s">
        <v>85</v>
      </c>
      <c r="O8390" s="11" t="s">
        <v>522</v>
      </c>
      <c r="P8390" s="11" t="s">
        <v>87</v>
      </c>
      <c r="Q8390" s="20">
        <v>41273.0</v>
      </c>
      <c r="R8390" s="17">
        <f t="shared" si="2"/>
        <v>159.2696242</v>
      </c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>
        <f t="shared" si="8"/>
        <v>1</v>
      </c>
      <c r="AF8390" s="19">
        <f t="shared" si="13"/>
        <v>5</v>
      </c>
      <c r="AG8390" s="9"/>
      <c r="AH8390" s="9"/>
      <c r="AI8390" s="9"/>
    </row>
    <row r="8391" ht="15.0" customHeight="1">
      <c r="A8391" s="11">
        <v>8390.0</v>
      </c>
      <c r="B8391" s="12">
        <f t="shared" si="1343"/>
        <v>41272</v>
      </c>
      <c r="C8391" s="13">
        <v>2012.0</v>
      </c>
      <c r="D8391" s="11" t="s">
        <v>102</v>
      </c>
      <c r="E8391" s="11">
        <v>36.0</v>
      </c>
      <c r="F8391" s="14">
        <v>367.9</v>
      </c>
      <c r="G8391" s="15">
        <v>0.07457659292344199</v>
      </c>
      <c r="H8391" s="11" t="s">
        <v>24</v>
      </c>
      <c r="I8391" s="16">
        <v>15.991999999999999</v>
      </c>
      <c r="J8391" s="11" t="s">
        <v>1524</v>
      </c>
      <c r="K8391" s="11" t="s">
        <v>26</v>
      </c>
      <c r="L8391" s="11" t="s">
        <v>48</v>
      </c>
      <c r="M8391" s="11" t="s">
        <v>28</v>
      </c>
      <c r="N8391" s="11" t="s">
        <v>42</v>
      </c>
      <c r="O8391" s="11" t="s">
        <v>1790</v>
      </c>
      <c r="P8391" s="11" t="s">
        <v>38</v>
      </c>
      <c r="Q8391" s="20">
        <v>41273.0</v>
      </c>
      <c r="R8391" s="17">
        <f t="shared" si="2"/>
        <v>988.9148562</v>
      </c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>
        <f t="shared" si="8"/>
        <v>4</v>
      </c>
      <c r="AF8391" s="19">
        <f t="shared" si="13"/>
        <v>1</v>
      </c>
      <c r="AG8391" s="9"/>
      <c r="AH8391" s="9"/>
      <c r="AI8391" s="9"/>
    </row>
    <row r="8392" ht="15.0" customHeight="1">
      <c r="A8392" s="11">
        <v>8391.0</v>
      </c>
      <c r="B8392" s="12">
        <f t="shared" si="1343"/>
        <v>41272</v>
      </c>
      <c r="C8392" s="13">
        <v>2012.0</v>
      </c>
      <c r="D8392" s="11" t="s">
        <v>23</v>
      </c>
      <c r="E8392" s="11">
        <v>45.0</v>
      </c>
      <c r="F8392" s="14">
        <v>3.9</v>
      </c>
      <c r="G8392" s="15">
        <v>0.08177914110429438</v>
      </c>
      <c r="H8392" s="11" t="s">
        <v>33</v>
      </c>
      <c r="I8392" s="16">
        <v>4.104</v>
      </c>
      <c r="J8392" s="11" t="s">
        <v>803</v>
      </c>
      <c r="K8392" s="11" t="s">
        <v>61</v>
      </c>
      <c r="L8392" s="11" t="s">
        <v>48</v>
      </c>
      <c r="M8392" s="11" t="s">
        <v>28</v>
      </c>
      <c r="N8392" s="11" t="s">
        <v>197</v>
      </c>
      <c r="O8392" s="11" t="s">
        <v>1788</v>
      </c>
      <c r="P8392" s="11" t="s">
        <v>38</v>
      </c>
      <c r="Q8392" s="20">
        <v>41273.0</v>
      </c>
      <c r="R8392" s="17">
        <f t="shared" si="2"/>
        <v>14.68786086</v>
      </c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>
        <f t="shared" si="8"/>
        <v>4</v>
      </c>
      <c r="AF8392" s="19">
        <f t="shared" si="13"/>
        <v>4</v>
      </c>
      <c r="AG8392" s="9"/>
      <c r="AH8392" s="9"/>
      <c r="AI8392" s="9"/>
    </row>
    <row r="8393" ht="15.0" customHeight="1">
      <c r="A8393" s="11">
        <v>8392.0</v>
      </c>
      <c r="B8393" s="12">
        <f t="shared" si="1343"/>
        <v>41272</v>
      </c>
      <c r="C8393" s="13">
        <v>2012.0</v>
      </c>
      <c r="D8393" s="11" t="s">
        <v>32</v>
      </c>
      <c r="E8393" s="11">
        <v>40.0</v>
      </c>
      <c r="F8393" s="14">
        <v>4.5</v>
      </c>
      <c r="G8393" s="15">
        <v>0.061666666666666786</v>
      </c>
      <c r="H8393" s="11" t="s">
        <v>33</v>
      </c>
      <c r="I8393" s="16">
        <v>4.664000000000001</v>
      </c>
      <c r="J8393" s="11" t="s">
        <v>2428</v>
      </c>
      <c r="K8393" s="11" t="s">
        <v>26</v>
      </c>
      <c r="L8393" s="11" t="s">
        <v>48</v>
      </c>
      <c r="M8393" s="11" t="s">
        <v>28</v>
      </c>
      <c r="N8393" s="11" t="s">
        <v>42</v>
      </c>
      <c r="O8393" s="11" t="s">
        <v>2396</v>
      </c>
      <c r="P8393" s="11" t="s">
        <v>38</v>
      </c>
      <c r="Q8393" s="20">
        <v>41273.0</v>
      </c>
      <c r="R8393" s="17">
        <f t="shared" si="2"/>
        <v>11.38761333</v>
      </c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>
        <f t="shared" si="8"/>
        <v>4</v>
      </c>
      <c r="AF8393" s="19">
        <f t="shared" si="13"/>
        <v>1</v>
      </c>
      <c r="AG8393" s="9"/>
      <c r="AH8393" s="9"/>
      <c r="AI8393" s="9"/>
    </row>
    <row r="8394" ht="15.0" customHeight="1">
      <c r="A8394" s="11">
        <v>8393.0</v>
      </c>
      <c r="B8394" s="12">
        <f t="shared" ref="B8394:B8400" si="1344">DATE(2012,12,31)-1</f>
        <v>41273</v>
      </c>
      <c r="C8394" s="13">
        <v>2012.0</v>
      </c>
      <c r="D8394" s="11" t="s">
        <v>44</v>
      </c>
      <c r="E8394" s="11">
        <v>37.0</v>
      </c>
      <c r="F8394" s="14">
        <v>7.2</v>
      </c>
      <c r="G8394" s="15">
        <v>0.09529175050301791</v>
      </c>
      <c r="H8394" s="11" t="s">
        <v>24</v>
      </c>
      <c r="I8394" s="16">
        <v>3.3840000000000003</v>
      </c>
      <c r="J8394" s="11" t="s">
        <v>2519</v>
      </c>
      <c r="K8394" s="11" t="s">
        <v>35</v>
      </c>
      <c r="L8394" s="11" t="s">
        <v>27</v>
      </c>
      <c r="M8394" s="11" t="s">
        <v>28</v>
      </c>
      <c r="N8394" s="11" t="s">
        <v>56</v>
      </c>
      <c r="O8394" s="11" t="s">
        <v>2551</v>
      </c>
      <c r="P8394" s="11" t="s">
        <v>58</v>
      </c>
      <c r="Q8394" s="20">
        <v>41273.0</v>
      </c>
      <c r="R8394" s="17">
        <f t="shared" si="2"/>
        <v>25.70818962</v>
      </c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>
        <f t="shared" si="8"/>
        <v>1</v>
      </c>
      <c r="AF8394" s="19">
        <f t="shared" si="13"/>
        <v>2</v>
      </c>
      <c r="AG8394" s="9"/>
      <c r="AH8394" s="9"/>
      <c r="AI8394" s="9"/>
    </row>
    <row r="8395" ht="15.0" customHeight="1">
      <c r="A8395" s="11">
        <v>8394.0</v>
      </c>
      <c r="B8395" s="12">
        <f t="shared" si="1344"/>
        <v>41273</v>
      </c>
      <c r="C8395" s="13">
        <v>2012.0</v>
      </c>
      <c r="D8395" s="11" t="s">
        <v>102</v>
      </c>
      <c r="E8395" s="11">
        <v>10.0</v>
      </c>
      <c r="F8395" s="14">
        <v>1.4</v>
      </c>
      <c r="G8395" s="15">
        <v>0.14352941176470585</v>
      </c>
      <c r="H8395" s="11" t="s">
        <v>33</v>
      </c>
      <c r="I8395" s="16">
        <v>0.5599999999999999</v>
      </c>
      <c r="J8395" s="11" t="s">
        <v>793</v>
      </c>
      <c r="K8395" s="11" t="s">
        <v>65</v>
      </c>
      <c r="L8395" s="11" t="s">
        <v>41</v>
      </c>
      <c r="M8395" s="11" t="s">
        <v>28</v>
      </c>
      <c r="N8395" s="11" t="s">
        <v>216</v>
      </c>
      <c r="O8395" s="11" t="s">
        <v>1561</v>
      </c>
      <c r="P8395" s="11" t="s">
        <v>58</v>
      </c>
      <c r="Q8395" s="20">
        <v>41273.0</v>
      </c>
      <c r="R8395" s="17">
        <f t="shared" si="2"/>
        <v>2.089788235</v>
      </c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>
        <f t="shared" si="8"/>
        <v>3</v>
      </c>
      <c r="AF8395" s="19">
        <f t="shared" si="13"/>
        <v>5</v>
      </c>
      <c r="AG8395" s="9"/>
      <c r="AH8395" s="9"/>
      <c r="AI8395" s="9"/>
    </row>
    <row r="8396" ht="15.0" customHeight="1">
      <c r="A8396" s="11">
        <v>8395.0</v>
      </c>
      <c r="B8396" s="12">
        <f t="shared" si="1344"/>
        <v>41273</v>
      </c>
      <c r="C8396" s="13">
        <v>2012.0</v>
      </c>
      <c r="D8396" s="11" t="s">
        <v>23</v>
      </c>
      <c r="E8396" s="11">
        <v>45.0</v>
      </c>
      <c r="F8396" s="14">
        <v>13.7</v>
      </c>
      <c r="G8396" s="15">
        <v>0.07800177883190039</v>
      </c>
      <c r="H8396" s="11" t="s">
        <v>33</v>
      </c>
      <c r="I8396" s="16">
        <v>5.48</v>
      </c>
      <c r="J8396" s="11" t="s">
        <v>1199</v>
      </c>
      <c r="K8396" s="11" t="s">
        <v>83</v>
      </c>
      <c r="L8396" s="11" t="s">
        <v>36</v>
      </c>
      <c r="M8396" s="11" t="s">
        <v>49</v>
      </c>
      <c r="N8396" s="11" t="s">
        <v>73</v>
      </c>
      <c r="O8396" s="11" t="s">
        <v>1850</v>
      </c>
      <c r="P8396" s="11" t="s">
        <v>58</v>
      </c>
      <c r="Q8396" s="20">
        <v>41273.0</v>
      </c>
      <c r="R8396" s="17">
        <f t="shared" si="2"/>
        <v>48.5155464</v>
      </c>
      <c r="S8396" s="9"/>
      <c r="T8396" s="9"/>
      <c r="U8396" s="9"/>
      <c r="V8396" s="9"/>
      <c r="W8396" s="9"/>
      <c r="X8396" s="9"/>
      <c r="Y8396" s="9"/>
      <c r="Z8396" s="9"/>
      <c r="AA8396" s="9"/>
      <c r="AE8396" s="9">
        <f t="shared" si="8"/>
        <v>2</v>
      </c>
      <c r="AF8396" s="19" t="b">
        <f t="shared" si="13"/>
        <v>0</v>
      </c>
    </row>
    <row r="8397" ht="15.0" customHeight="1">
      <c r="A8397" s="11">
        <v>8396.0</v>
      </c>
      <c r="B8397" s="12">
        <f t="shared" si="1344"/>
        <v>41273</v>
      </c>
      <c r="C8397" s="13">
        <v>2012.0</v>
      </c>
      <c r="D8397" s="11" t="s">
        <v>44</v>
      </c>
      <c r="E8397" s="11">
        <v>31.0</v>
      </c>
      <c r="F8397" s="14">
        <v>19.9</v>
      </c>
      <c r="G8397" s="15">
        <v>0.005133964383121983</v>
      </c>
      <c r="H8397" s="11" t="s">
        <v>33</v>
      </c>
      <c r="I8397" s="16">
        <v>3.2</v>
      </c>
      <c r="J8397" s="11" t="s">
        <v>2293</v>
      </c>
      <c r="K8397" s="11" t="s">
        <v>65</v>
      </c>
      <c r="L8397" s="11" t="s">
        <v>27</v>
      </c>
      <c r="M8397" s="11" t="s">
        <v>66</v>
      </c>
      <c r="N8397" s="11" t="s">
        <v>67</v>
      </c>
      <c r="O8397" s="11" t="s">
        <v>920</v>
      </c>
      <c r="P8397" s="11" t="s">
        <v>38</v>
      </c>
      <c r="Q8397" s="20">
        <v>41273.0</v>
      </c>
      <c r="R8397" s="17">
        <f t="shared" si="2"/>
        <v>3.183571314</v>
      </c>
      <c r="S8397" s="9"/>
      <c r="T8397" s="9"/>
      <c r="U8397" s="9"/>
      <c r="V8397" s="9"/>
      <c r="W8397" s="9"/>
      <c r="X8397" s="9"/>
      <c r="Y8397" s="9"/>
      <c r="Z8397" s="9"/>
      <c r="AA8397" s="9"/>
      <c r="AE8397" s="9">
        <f t="shared" si="8"/>
        <v>1</v>
      </c>
      <c r="AF8397" s="19">
        <f t="shared" si="13"/>
        <v>5</v>
      </c>
    </row>
    <row r="8398" ht="15.0" customHeight="1">
      <c r="A8398" s="11">
        <v>8397.0</v>
      </c>
      <c r="B8398" s="12">
        <f t="shared" si="1344"/>
        <v>41273</v>
      </c>
      <c r="C8398" s="13">
        <v>2012.0</v>
      </c>
      <c r="D8398" s="11" t="s">
        <v>44</v>
      </c>
      <c r="E8398" s="11">
        <v>1.0</v>
      </c>
      <c r="F8398" s="14">
        <v>832.8</v>
      </c>
      <c r="G8398" s="15">
        <v>0.08776541095890415</v>
      </c>
      <c r="H8398" s="11" t="s">
        <v>33</v>
      </c>
      <c r="I8398" s="16">
        <v>19.592</v>
      </c>
      <c r="J8398" s="11" t="s">
        <v>2293</v>
      </c>
      <c r="K8398" s="11" t="s">
        <v>65</v>
      </c>
      <c r="L8398" s="11" t="s">
        <v>27</v>
      </c>
      <c r="M8398" s="11" t="s">
        <v>28</v>
      </c>
      <c r="N8398" s="11" t="s">
        <v>442</v>
      </c>
      <c r="O8398" s="11" t="s">
        <v>2611</v>
      </c>
      <c r="P8398" s="11" t="s">
        <v>75</v>
      </c>
      <c r="Q8398" s="20">
        <v>41273.0</v>
      </c>
      <c r="R8398" s="17">
        <f t="shared" si="2"/>
        <v>74.81053418</v>
      </c>
      <c r="S8398" s="9"/>
      <c r="T8398" s="9"/>
      <c r="U8398" s="9"/>
      <c r="V8398" s="9"/>
      <c r="W8398" s="9"/>
      <c r="X8398" s="9"/>
      <c r="Y8398" s="9"/>
      <c r="Z8398" s="9"/>
      <c r="AA8398" s="9"/>
      <c r="AE8398" s="9">
        <f t="shared" si="8"/>
        <v>1</v>
      </c>
      <c r="AF8398" s="19">
        <f t="shared" si="13"/>
        <v>5</v>
      </c>
    </row>
    <row r="8399" ht="15.0" customHeight="1">
      <c r="A8399" s="11">
        <v>8398.0</v>
      </c>
      <c r="B8399" s="12">
        <f t="shared" si="1344"/>
        <v>41273</v>
      </c>
      <c r="C8399" s="13">
        <v>2012.0</v>
      </c>
      <c r="D8399" s="11" t="s">
        <v>23</v>
      </c>
      <c r="E8399" s="11">
        <v>6.0</v>
      </c>
      <c r="F8399" s="14">
        <v>60.9</v>
      </c>
      <c r="G8399" s="15">
        <v>0.07197330791229753</v>
      </c>
      <c r="H8399" s="11" t="s">
        <v>45</v>
      </c>
      <c r="I8399" s="16">
        <v>24.0</v>
      </c>
      <c r="J8399" s="11" t="s">
        <v>1324</v>
      </c>
      <c r="K8399" s="11" t="s">
        <v>61</v>
      </c>
      <c r="L8399" s="11" t="s">
        <v>48</v>
      </c>
      <c r="M8399" s="11" t="s">
        <v>49</v>
      </c>
      <c r="N8399" s="11" t="s">
        <v>50</v>
      </c>
      <c r="O8399" s="11" t="s">
        <v>1028</v>
      </c>
      <c r="P8399" s="11" t="s">
        <v>52</v>
      </c>
      <c r="Q8399" s="20">
        <v>41273.0</v>
      </c>
      <c r="R8399" s="17">
        <f t="shared" si="2"/>
        <v>28.0264061</v>
      </c>
      <c r="S8399" s="9"/>
      <c r="T8399" s="9"/>
      <c r="U8399" s="9"/>
      <c r="V8399" s="9"/>
      <c r="W8399" s="9"/>
      <c r="X8399" s="9"/>
      <c r="Y8399" s="9"/>
      <c r="Z8399" s="9"/>
      <c r="AA8399" s="9"/>
      <c r="AE8399" s="9">
        <f t="shared" si="8"/>
        <v>4</v>
      </c>
      <c r="AF8399" s="19">
        <f t="shared" si="13"/>
        <v>4</v>
      </c>
    </row>
    <row r="8400" ht="15.0" customHeight="1">
      <c r="A8400" s="11">
        <v>8399.0</v>
      </c>
      <c r="B8400" s="12">
        <f t="shared" si="1344"/>
        <v>41273</v>
      </c>
      <c r="C8400" s="13">
        <v>2012.0</v>
      </c>
      <c r="D8400" s="11" t="s">
        <v>23</v>
      </c>
      <c r="E8400" s="11">
        <v>35.0</v>
      </c>
      <c r="F8400" s="14">
        <v>13.4</v>
      </c>
      <c r="G8400" s="15">
        <v>0.09790418018705856</v>
      </c>
      <c r="H8400" s="11" t="s">
        <v>24</v>
      </c>
      <c r="I8400" s="16">
        <v>3.608</v>
      </c>
      <c r="J8400" s="11" t="s">
        <v>1324</v>
      </c>
      <c r="K8400" s="11" t="s">
        <v>61</v>
      </c>
      <c r="L8400" s="11" t="s">
        <v>48</v>
      </c>
      <c r="M8400" s="11" t="s">
        <v>28</v>
      </c>
      <c r="N8400" s="11" t="s">
        <v>29</v>
      </c>
      <c r="O8400" s="11" t="s">
        <v>929</v>
      </c>
      <c r="P8400" s="11" t="s">
        <v>38</v>
      </c>
      <c r="Q8400" s="20">
        <v>41273.0</v>
      </c>
      <c r="R8400" s="17">
        <f t="shared" si="2"/>
        <v>46.27029879</v>
      </c>
      <c r="S8400" s="9"/>
      <c r="T8400" s="9"/>
      <c r="U8400" s="9"/>
      <c r="V8400" s="9"/>
      <c r="W8400" s="9"/>
      <c r="X8400" s="9"/>
      <c r="Y8400" s="9"/>
      <c r="Z8400" s="9"/>
      <c r="AA8400" s="9"/>
      <c r="AE8400" s="9">
        <f t="shared" si="8"/>
        <v>4</v>
      </c>
      <c r="AF8400" s="19">
        <f t="shared" si="13"/>
        <v>4</v>
      </c>
    </row>
    <row r="8401" ht="15.0" customHeight="1">
      <c r="A8401" s="11"/>
      <c r="B8401" s="12"/>
      <c r="C8401" s="13"/>
      <c r="D8401" s="11"/>
      <c r="E8401" s="11"/>
      <c r="F8401" s="14"/>
      <c r="G8401" s="15"/>
      <c r="H8401" s="11"/>
      <c r="I8401" s="16">
        <f>average(I18,I19,I32,I33,I34,I35,I36,I134,I135,I265,I266,I311,I312,I313,I627,I775,I813,I902,I903,I980,I981,I1117,I1118,I1194,I1298,I1344,I1370,I1546,I1794,I1817,I1818,I1819,I1939,I1943,I2039,I2092,I2093,I2174,I2375,I2376,I2435,I2465,I2526,I2567,I2569,I2570,I2723,I2598,I2724,I2852,I2853,I3022,I3044,I3045,I3046,I3189,I3198,I3419,I3420,I3433,I3434,I3465,I3499,I3500,I3541,I3561,I3562,I3566,I3567,I3611,I3568,I3637,I3644,I3694,I3695,I3759,I3877,I3878,I3949,I3977,I3978,I4044,I3979,I4096,I4161,I4162,I4163,I4199,I4267,I4291,I4292,I4471,I4508,I4548,I4549,I4681,I4719,I4720,I4721,I4722,I5127,I5128,I5129,I5327,I5551,I5560,I5606,I5707,I5708,I5709,I5745,I5746,I5747,I5748,I5793,I5794,I5947,I5948,I5974,I6202,I6298,I6337,I6338,I6368,I6369,I6443,I6444,I6486,I6574,I6578,I6579,I6807,I6874,I6903,I7113,I7133,I7134,I7140,I7180,I7181,I7238,I7265,I7353,I7354,I7390,I7391,I7392,I7393,I7394,I7395,I7429,I7657,I7658,I7659,I7660,I7754,I7755,I7844,I7845,I7846,I7853,I7887,I8070,I8086,I8098,I8099,I8107,I8108,I8117,I8118,I8119,I8125,I8146,I8154,I8172,I8279,I8384)</f>
        <v>10.14183051</v>
      </c>
      <c r="J8401" s="11"/>
      <c r="K8401" s="11"/>
      <c r="L8401" s="11"/>
      <c r="M8401" s="11"/>
      <c r="N8401" s="11"/>
      <c r="O8401" s="11"/>
      <c r="P8401" s="11"/>
      <c r="Q8401" s="20"/>
      <c r="R8401" s="17"/>
      <c r="S8401" s="9"/>
      <c r="T8401" s="9"/>
      <c r="U8401" s="9"/>
      <c r="V8401" s="9"/>
      <c r="W8401" s="9"/>
      <c r="X8401" s="9"/>
      <c r="Y8401" s="9"/>
      <c r="Z8401" s="9"/>
      <c r="AA8401" s="9"/>
      <c r="AE8401" s="9"/>
      <c r="AF8401" s="19"/>
    </row>
    <row r="8402" ht="15.0" customHeight="1">
      <c r="A8402" s="11"/>
      <c r="B8402" s="12"/>
      <c r="C8402" s="13"/>
      <c r="D8402" s="11"/>
      <c r="E8402" s="11">
        <f>AVERAGE(E2:E8400)</f>
        <v>25.57173473</v>
      </c>
      <c r="F8402" s="14"/>
      <c r="G8402" s="15"/>
      <c r="H8402" s="11"/>
      <c r="I8402" s="16"/>
      <c r="J8402" s="11"/>
      <c r="K8402" s="11"/>
      <c r="L8402" s="11"/>
      <c r="M8402" s="11"/>
      <c r="N8402" s="11"/>
      <c r="O8402" s="11"/>
      <c r="P8402" s="11"/>
      <c r="Q8402" s="20"/>
      <c r="R8402" s="17"/>
      <c r="S8402" s="9"/>
      <c r="T8402" s="9"/>
      <c r="U8402" s="9"/>
      <c r="V8402" s="9"/>
      <c r="W8402" s="9"/>
      <c r="X8402" s="9"/>
      <c r="Y8402" s="9"/>
      <c r="Z8402" s="9"/>
      <c r="AA8402" s="9"/>
      <c r="AE8402" s="9"/>
      <c r="AF8402" s="19"/>
    </row>
  </sheetData>
  <customSheetViews>
    <customSheetView guid="{63157C91-7A23-4AFB-9CFF-90E5A1153BAE}" filter="1" showAutoFilter="1">
      <autoFilter ref="$A$1:$AF$8402">
        <filterColumn colId="11">
          <filters>
            <filter val="Corporate"/>
          </filters>
        </filterColumn>
      </autoFilter>
      <extLst>
        <ext uri="GoogleSheetsCustomDataVersion1">
          <go:sheetsCustomData xmlns:go="http://customooxmlschemas.google.com/" filterViewId="1437418258"/>
        </ext>
      </extLst>
    </customSheetView>
    <customSheetView guid="{3F6A0025-A2C1-481A-90EE-9A240FC68263}" filter="1" showAutoFilter="1">
      <autoFilter ref="$A$1:$AF$8402">
        <filterColumn colId="10">
          <filters>
            <filter val="West"/>
          </filters>
        </filterColumn>
        <sortState ref="A1:AF8402">
          <sortCondition descending="1" ref="H1:H8402"/>
        </sortState>
      </autoFilter>
      <extLst>
        <ext uri="GoogleSheetsCustomDataVersion1">
          <go:sheetsCustomData xmlns:go="http://customooxmlschemas.google.com/" filterViewId="926705549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29"/>
    <col customWidth="1" min="2" max="2" width="17.29"/>
    <col customWidth="1" min="3" max="3" width="22.57"/>
    <col customWidth="1" min="4" max="4" width="21.0"/>
    <col customWidth="1" min="8" max="8" width="22.14"/>
    <col customWidth="1" min="11" max="11" width="21.14"/>
    <col customWidth="1" min="13" max="13" width="15.86"/>
  </cols>
  <sheetData>
    <row r="1">
      <c r="A1" s="1" t="s">
        <v>0</v>
      </c>
      <c r="B1" s="2" t="s">
        <v>1</v>
      </c>
      <c r="C1" s="2" t="s">
        <v>9</v>
      </c>
      <c r="D1" s="2" t="s">
        <v>12</v>
      </c>
      <c r="G1" s="37" t="s">
        <v>2617</v>
      </c>
      <c r="I1" s="37" t="s">
        <v>2618</v>
      </c>
    </row>
    <row r="2">
      <c r="A2" s="11">
        <v>1.0</v>
      </c>
      <c r="B2" s="12">
        <f t="shared" ref="B2:B3" si="1">DATE(2012,12,31)-1460</f>
        <v>39814</v>
      </c>
      <c r="C2" s="11" t="s">
        <v>25</v>
      </c>
      <c r="D2" s="11" t="s">
        <v>28</v>
      </c>
      <c r="F2" s="38">
        <f>IFERROR(__xludf.DUMMYFUNCTION("UNIQUE(B2:B8400)"),39814.0)</f>
        <v>39814</v>
      </c>
      <c r="G2" s="39">
        <f t="shared" ref="G2:G1419" si="2">COUNTIF(B2:B8400,F2)</f>
        <v>2</v>
      </c>
      <c r="H2" s="39" t="str">
        <f>IFERROR(__xludf.DUMMYFUNCTION("UNIQUE(C2:C8400)"),"Matt Collister")</f>
        <v>Matt Collister</v>
      </c>
      <c r="I2" s="40">
        <f t="shared" ref="I2:I796" si="3">COUNTIF(C2:C8400,H2)</f>
        <v>17</v>
      </c>
      <c r="K2" s="41" t="s">
        <v>2619</v>
      </c>
      <c r="L2" s="41">
        <v>123.0</v>
      </c>
      <c r="M2" s="41" t="s">
        <v>2620</v>
      </c>
      <c r="N2" s="41">
        <v>5505.0</v>
      </c>
    </row>
    <row r="3">
      <c r="A3" s="11">
        <v>2.0</v>
      </c>
      <c r="B3" s="12">
        <f t="shared" si="1"/>
        <v>39814</v>
      </c>
      <c r="C3" s="11" t="s">
        <v>34</v>
      </c>
      <c r="D3" s="11" t="s">
        <v>28</v>
      </c>
      <c r="F3" s="38">
        <f>IFERROR(__xludf.DUMMYFUNCTION("""COMPUTED_VALUE"""),39815.0)</f>
        <v>39815</v>
      </c>
      <c r="G3" s="39">
        <f t="shared" si="2"/>
        <v>6</v>
      </c>
      <c r="H3" s="39" t="str">
        <f>IFERROR(__xludf.DUMMYFUNCTION("""COMPUTED_VALUE"""),"Jessica Myrick")</f>
        <v>Jessica Myrick</v>
      </c>
      <c r="I3" s="40">
        <f t="shared" si="3"/>
        <v>10</v>
      </c>
      <c r="K3" s="41" t="s">
        <v>2621</v>
      </c>
      <c r="L3" s="41">
        <v>605.0</v>
      </c>
      <c r="M3" s="41" t="s">
        <v>2622</v>
      </c>
      <c r="N3" s="42">
        <v>0.1</v>
      </c>
    </row>
    <row r="4">
      <c r="A4" s="11">
        <v>3.0</v>
      </c>
      <c r="B4" s="12">
        <f t="shared" ref="B4:B9" si="4">DATE(2012,12,31)-1459</f>
        <v>39815</v>
      </c>
      <c r="C4" s="11" t="s">
        <v>40</v>
      </c>
      <c r="D4" s="11" t="s">
        <v>28</v>
      </c>
      <c r="F4" s="38">
        <f>IFERROR(__xludf.DUMMYFUNCTION("""COMPUTED_VALUE"""),39816.0)</f>
        <v>39816</v>
      </c>
      <c r="G4" s="39">
        <f t="shared" si="2"/>
        <v>10</v>
      </c>
      <c r="H4" s="39" t="str">
        <f>IFERROR(__xludf.DUMMYFUNCTION("""COMPUTED_VALUE"""),"David Philippe")</f>
        <v>David Philippe</v>
      </c>
      <c r="I4" s="40">
        <f t="shared" si="3"/>
        <v>11</v>
      </c>
      <c r="K4" s="41" t="s">
        <v>2623</v>
      </c>
      <c r="L4" s="41">
        <v>316.0</v>
      </c>
      <c r="M4" s="41" t="s">
        <v>2624</v>
      </c>
      <c r="N4" s="42">
        <v>0.3</v>
      </c>
    </row>
    <row r="5">
      <c r="A5" s="11">
        <v>4.0</v>
      </c>
      <c r="B5" s="12">
        <f t="shared" si="4"/>
        <v>39815</v>
      </c>
      <c r="C5" s="11" t="s">
        <v>46</v>
      </c>
      <c r="D5" s="11" t="s">
        <v>49</v>
      </c>
      <c r="F5" s="38">
        <f>IFERROR(__xludf.DUMMYFUNCTION("""COMPUTED_VALUE"""),39817.0)</f>
        <v>39817</v>
      </c>
      <c r="G5" s="39">
        <f t="shared" si="2"/>
        <v>3</v>
      </c>
      <c r="H5" s="39" t="str">
        <f>IFERROR(__xludf.DUMMYFUNCTION("""COMPUTED_VALUE"""),"Alan Schoenberger")</f>
        <v>Alan Schoenberger</v>
      </c>
      <c r="I5" s="40">
        <f t="shared" si="3"/>
        <v>10</v>
      </c>
      <c r="K5" s="41" t="s">
        <v>2625</v>
      </c>
      <c r="L5" s="41">
        <v>737.0</v>
      </c>
    </row>
    <row r="6">
      <c r="A6" s="11">
        <v>5.0</v>
      </c>
      <c r="B6" s="12">
        <f t="shared" si="4"/>
        <v>39815</v>
      </c>
      <c r="C6" s="11" t="s">
        <v>46</v>
      </c>
      <c r="D6" s="11" t="s">
        <v>49</v>
      </c>
      <c r="F6" s="38">
        <f>IFERROR(__xludf.DUMMYFUNCTION("""COMPUTED_VALUE"""),39818.0)</f>
        <v>39818</v>
      </c>
      <c r="G6" s="39">
        <f t="shared" si="2"/>
        <v>15</v>
      </c>
      <c r="H6" s="39" t="str">
        <f>IFERROR(__xludf.DUMMYFUNCTION("""COMPUTED_VALUE"""),"Elizabeth Moffitt")</f>
        <v>Elizabeth Moffitt</v>
      </c>
      <c r="I6" s="40">
        <f t="shared" si="3"/>
        <v>7</v>
      </c>
      <c r="K6" s="41" t="s">
        <v>2626</v>
      </c>
      <c r="L6" s="41">
        <v>1559.0</v>
      </c>
    </row>
    <row r="7">
      <c r="A7" s="11">
        <v>6.0</v>
      </c>
      <c r="B7" s="12">
        <f t="shared" si="4"/>
        <v>39815</v>
      </c>
      <c r="C7" s="11" t="s">
        <v>46</v>
      </c>
      <c r="D7" s="11" t="s">
        <v>28</v>
      </c>
      <c r="F7" s="38">
        <f>IFERROR(__xludf.DUMMYFUNCTION("""COMPUTED_VALUE"""),39819.0)</f>
        <v>39819</v>
      </c>
      <c r="G7" s="39">
        <f t="shared" si="2"/>
        <v>13</v>
      </c>
      <c r="H7" s="39" t="str">
        <f>IFERROR(__xludf.DUMMYFUNCTION("""COMPUTED_VALUE"""),"Alex Russell")</f>
        <v>Alex Russell</v>
      </c>
      <c r="I7" s="40">
        <f t="shared" si="3"/>
        <v>10</v>
      </c>
      <c r="K7" s="41" t="s">
        <v>2627</v>
      </c>
      <c r="L7" s="41">
        <v>3625.0</v>
      </c>
    </row>
    <row r="8">
      <c r="A8" s="11">
        <v>7.0</v>
      </c>
      <c r="B8" s="12">
        <f t="shared" si="4"/>
        <v>39815</v>
      </c>
      <c r="C8" s="11" t="s">
        <v>55</v>
      </c>
      <c r="D8" s="11" t="s">
        <v>28</v>
      </c>
      <c r="F8" s="38">
        <f>IFERROR(__xludf.DUMMYFUNCTION("""COMPUTED_VALUE"""),39820.0)</f>
        <v>39820</v>
      </c>
      <c r="G8" s="39">
        <f t="shared" si="2"/>
        <v>9</v>
      </c>
      <c r="H8" s="39" t="str">
        <f>IFERROR(__xludf.DUMMYFUNCTION("""COMPUTED_VALUE"""),"Andy Reiter")</f>
        <v>Andy Reiter</v>
      </c>
      <c r="I8" s="40">
        <f t="shared" si="3"/>
        <v>10</v>
      </c>
      <c r="K8" s="41" t="s">
        <v>2628</v>
      </c>
      <c r="L8" s="41">
        <v>1859.0</v>
      </c>
    </row>
    <row r="9">
      <c r="A9" s="11">
        <v>8.0</v>
      </c>
      <c r="B9" s="12">
        <f t="shared" si="4"/>
        <v>39815</v>
      </c>
      <c r="C9" s="11" t="s">
        <v>55</v>
      </c>
      <c r="D9" s="11" t="s">
        <v>28</v>
      </c>
      <c r="F9" s="38">
        <f>IFERROR(__xludf.DUMMYFUNCTION("""COMPUTED_VALUE"""),39821.0)</f>
        <v>39821</v>
      </c>
      <c r="G9" s="39">
        <f t="shared" si="2"/>
        <v>4</v>
      </c>
      <c r="H9" s="39" t="str">
        <f>IFERROR(__xludf.DUMMYFUNCTION("""COMPUTED_VALUE"""),"Larry Tron")</f>
        <v>Larry Tron</v>
      </c>
      <c r="I9" s="40">
        <f t="shared" si="3"/>
        <v>16</v>
      </c>
    </row>
    <row r="10">
      <c r="A10" s="11">
        <v>9.0</v>
      </c>
      <c r="B10" s="12">
        <f t="shared" ref="B10:B19" si="5">DATE(2012,12,31)-1458</f>
        <v>39816</v>
      </c>
      <c r="C10" s="11" t="s">
        <v>60</v>
      </c>
      <c r="D10" s="11" t="s">
        <v>28</v>
      </c>
      <c r="F10" s="38">
        <f>IFERROR(__xludf.DUMMYFUNCTION("""COMPUTED_VALUE"""),39822.0)</f>
        <v>39822</v>
      </c>
      <c r="G10" s="39">
        <f t="shared" si="2"/>
        <v>8</v>
      </c>
      <c r="H10" s="39" t="str">
        <f>IFERROR(__xludf.DUMMYFUNCTION("""COMPUTED_VALUE"""),"Ann Steele")</f>
        <v>Ann Steele</v>
      </c>
      <c r="I10" s="40">
        <f t="shared" si="3"/>
        <v>10</v>
      </c>
      <c r="K10" s="41" t="s">
        <v>2629</v>
      </c>
      <c r="L10" s="39">
        <f t="shared" ref="L10:L12" si="6">L6/$N$2</f>
        <v>0.2831970936</v>
      </c>
      <c r="M10" s="41" t="s">
        <v>2630</v>
      </c>
    </row>
    <row r="11">
      <c r="A11" s="11">
        <v>10.0</v>
      </c>
      <c r="B11" s="12">
        <f t="shared" si="5"/>
        <v>39816</v>
      </c>
      <c r="C11" s="11" t="s">
        <v>64</v>
      </c>
      <c r="D11" s="11" t="s">
        <v>66</v>
      </c>
      <c r="F11" s="38">
        <f>IFERROR(__xludf.DUMMYFUNCTION("""COMPUTED_VALUE"""),39823.0)</f>
        <v>39823</v>
      </c>
      <c r="G11" s="39">
        <f t="shared" si="2"/>
        <v>12</v>
      </c>
      <c r="H11" s="39" t="str">
        <f>IFERROR(__xludf.DUMMYFUNCTION("""COMPUTED_VALUE"""),"Bill Donatelli")</f>
        <v>Bill Donatelli</v>
      </c>
      <c r="I11" s="40">
        <f t="shared" si="3"/>
        <v>25</v>
      </c>
      <c r="K11" s="41" t="s">
        <v>2631</v>
      </c>
      <c r="L11" s="39">
        <f t="shared" si="6"/>
        <v>0.6584922797</v>
      </c>
      <c r="M11" s="41" t="s">
        <v>2630</v>
      </c>
    </row>
    <row r="12">
      <c r="A12" s="11">
        <v>11.0</v>
      </c>
      <c r="B12" s="12">
        <f t="shared" si="5"/>
        <v>39816</v>
      </c>
      <c r="C12" s="11" t="s">
        <v>64</v>
      </c>
      <c r="D12" s="11" t="s">
        <v>66</v>
      </c>
      <c r="F12" s="38">
        <f>IFERROR(__xludf.DUMMYFUNCTION("""COMPUTED_VALUE"""),39824.0)</f>
        <v>39824</v>
      </c>
      <c r="G12" s="39">
        <f t="shared" si="2"/>
        <v>7</v>
      </c>
      <c r="H12" s="39" t="str">
        <f>IFERROR(__xludf.DUMMYFUNCTION("""COMPUTED_VALUE"""),"Patrick Jones")</f>
        <v>Patrick Jones</v>
      </c>
      <c r="I12" s="40">
        <f t="shared" si="3"/>
        <v>30</v>
      </c>
      <c r="K12" s="41" t="s">
        <v>2632</v>
      </c>
      <c r="L12" s="39">
        <f t="shared" si="6"/>
        <v>0.3376930064</v>
      </c>
      <c r="M12" s="41" t="s">
        <v>2630</v>
      </c>
    </row>
    <row r="13">
      <c r="A13" s="11">
        <v>12.0</v>
      </c>
      <c r="B13" s="12">
        <f t="shared" si="5"/>
        <v>39816</v>
      </c>
      <c r="C13" s="11" t="s">
        <v>64</v>
      </c>
      <c r="D13" s="11" t="s">
        <v>28</v>
      </c>
      <c r="F13" s="38">
        <f>IFERROR(__xludf.DUMMYFUNCTION("""COMPUTED_VALUE"""),39825.0)</f>
        <v>39825</v>
      </c>
      <c r="G13" s="39">
        <f t="shared" si="2"/>
        <v>8</v>
      </c>
      <c r="H13" s="39" t="str">
        <f>IFERROR(__xludf.DUMMYFUNCTION("""COMPUTED_VALUE"""),"Tamara Dahlen")</f>
        <v>Tamara Dahlen</v>
      </c>
      <c r="I13" s="40">
        <f t="shared" si="3"/>
        <v>9</v>
      </c>
      <c r="K13" s="41" t="s">
        <v>2633</v>
      </c>
      <c r="L13" s="39">
        <f t="shared" ref="L13:L16" si="7">L2/$N$2</f>
        <v>0.02234332425</v>
      </c>
    </row>
    <row r="14">
      <c r="A14" s="11">
        <v>13.0</v>
      </c>
      <c r="B14" s="12">
        <f t="shared" si="5"/>
        <v>39816</v>
      </c>
      <c r="C14" s="11" t="s">
        <v>72</v>
      </c>
      <c r="D14" s="11" t="s">
        <v>49</v>
      </c>
      <c r="F14" s="38">
        <f>IFERROR(__xludf.DUMMYFUNCTION("""COMPUTED_VALUE"""),39826.0)</f>
        <v>39826</v>
      </c>
      <c r="G14" s="39">
        <f t="shared" si="2"/>
        <v>4</v>
      </c>
      <c r="H14" s="39" t="str">
        <f>IFERROR(__xludf.DUMMYFUNCTION("""COMPUTED_VALUE"""),"Dave Hallsten")</f>
        <v>Dave Hallsten</v>
      </c>
      <c r="I14" s="40">
        <f t="shared" si="3"/>
        <v>21</v>
      </c>
      <c r="K14" s="41" t="s">
        <v>2634</v>
      </c>
      <c r="L14" s="39">
        <f t="shared" si="7"/>
        <v>0.1099000908</v>
      </c>
      <c r="M14" s="43" t="s">
        <v>2630</v>
      </c>
    </row>
    <row r="15">
      <c r="A15" s="11">
        <v>14.0</v>
      </c>
      <c r="B15" s="12">
        <f t="shared" si="5"/>
        <v>39816</v>
      </c>
      <c r="C15" s="11" t="s">
        <v>76</v>
      </c>
      <c r="D15" s="11" t="s">
        <v>66</v>
      </c>
      <c r="F15" s="38">
        <f>IFERROR(__xludf.DUMMYFUNCTION("""COMPUTED_VALUE"""),39827.0)</f>
        <v>39827</v>
      </c>
      <c r="G15" s="39">
        <f t="shared" si="2"/>
        <v>12</v>
      </c>
      <c r="H15" s="39" t="str">
        <f>IFERROR(__xludf.DUMMYFUNCTION("""COMPUTED_VALUE"""),"Dorris Love")</f>
        <v>Dorris Love</v>
      </c>
      <c r="I15" s="40">
        <f t="shared" si="3"/>
        <v>13</v>
      </c>
      <c r="K15" s="41" t="s">
        <v>2635</v>
      </c>
      <c r="L15" s="39">
        <f t="shared" si="7"/>
        <v>0.05740236149</v>
      </c>
    </row>
    <row r="16">
      <c r="A16" s="11">
        <v>15.0</v>
      </c>
      <c r="B16" s="12">
        <f t="shared" si="5"/>
        <v>39816</v>
      </c>
      <c r="C16" s="11" t="s">
        <v>78</v>
      </c>
      <c r="D16" s="11" t="s">
        <v>28</v>
      </c>
      <c r="F16" s="38">
        <f>IFERROR(__xludf.DUMMYFUNCTION("""COMPUTED_VALUE"""),39828.0)</f>
        <v>39828</v>
      </c>
      <c r="G16" s="39">
        <f t="shared" si="2"/>
        <v>6</v>
      </c>
      <c r="H16" s="39" t="str">
        <f>IFERROR(__xludf.DUMMYFUNCTION("""COMPUTED_VALUE"""),"Matt Collins")</f>
        <v>Matt Collins</v>
      </c>
      <c r="I16" s="40">
        <f t="shared" si="3"/>
        <v>8</v>
      </c>
      <c r="K16" s="41" t="s">
        <v>2636</v>
      </c>
      <c r="L16" s="39">
        <f t="shared" si="7"/>
        <v>0.1338782925</v>
      </c>
      <c r="M16" s="43" t="s">
        <v>2630</v>
      </c>
    </row>
    <row r="17">
      <c r="A17" s="11">
        <v>16.0</v>
      </c>
      <c r="B17" s="12">
        <f t="shared" si="5"/>
        <v>39816</v>
      </c>
      <c r="C17" s="11" t="s">
        <v>78</v>
      </c>
      <c r="D17" s="11" t="s">
        <v>66</v>
      </c>
      <c r="F17" s="38">
        <f>IFERROR(__xludf.DUMMYFUNCTION("""COMPUTED_VALUE"""),39829.0)</f>
        <v>39829</v>
      </c>
      <c r="G17" s="39">
        <f t="shared" si="2"/>
        <v>10</v>
      </c>
      <c r="H17" s="39" t="str">
        <f>IFERROR(__xludf.DUMMYFUNCTION("""COMPUTED_VALUE"""),"Valerie Dominguez")</f>
        <v>Valerie Dominguez</v>
      </c>
      <c r="I17" s="40">
        <f t="shared" si="3"/>
        <v>9</v>
      </c>
      <c r="K17" s="41" t="s">
        <v>2637</v>
      </c>
      <c r="L17" s="39">
        <f>L2/N2</f>
        <v>0.02234332425</v>
      </c>
    </row>
    <row r="18">
      <c r="A18" s="11">
        <v>17.0</v>
      </c>
      <c r="B18" s="12">
        <f t="shared" si="5"/>
        <v>39816</v>
      </c>
      <c r="C18" s="11" t="s">
        <v>82</v>
      </c>
      <c r="D18" s="11" t="s">
        <v>28</v>
      </c>
      <c r="F18" s="38">
        <f>IFERROR(__xludf.DUMMYFUNCTION("""COMPUTED_VALUE"""),39830.0)</f>
        <v>39830</v>
      </c>
      <c r="G18" s="39">
        <f t="shared" si="2"/>
        <v>12</v>
      </c>
      <c r="H18" s="39" t="str">
        <f>IFERROR(__xludf.DUMMYFUNCTION("""COMPUTED_VALUE"""),"Pauline Chand")</f>
        <v>Pauline Chand</v>
      </c>
      <c r="I18" s="40">
        <f t="shared" si="3"/>
        <v>24</v>
      </c>
      <c r="K18" s="41" t="s">
        <v>2638</v>
      </c>
      <c r="O18" s="41" t="s">
        <v>2638</v>
      </c>
    </row>
    <row r="19">
      <c r="A19" s="11">
        <v>18.0</v>
      </c>
      <c r="B19" s="12">
        <f t="shared" si="5"/>
        <v>39816</v>
      </c>
      <c r="C19" s="11" t="s">
        <v>82</v>
      </c>
      <c r="D19" s="11" t="s">
        <v>49</v>
      </c>
      <c r="F19" s="38">
        <f>IFERROR(__xludf.DUMMYFUNCTION("""COMPUTED_VALUE"""),39831.0)</f>
        <v>39831</v>
      </c>
      <c r="G19" s="39">
        <f t="shared" si="2"/>
        <v>7</v>
      </c>
      <c r="H19" s="39" t="str">
        <f>IFERROR(__xludf.DUMMYFUNCTION("""COMPUTED_VALUE"""),"Marina Lichtenstein")</f>
        <v>Marina Lichtenstein</v>
      </c>
      <c r="I19" s="40">
        <f t="shared" si="3"/>
        <v>5</v>
      </c>
      <c r="K19" s="41" t="s">
        <v>2639</v>
      </c>
      <c r="L19" s="41" t="s">
        <v>2640</v>
      </c>
      <c r="M19" s="44">
        <f>L5/L7</f>
        <v>0.2033103448</v>
      </c>
      <c r="O19" s="41" t="s">
        <v>2641</v>
      </c>
      <c r="Q19" s="45">
        <f>L5/L8</f>
        <v>0.3964497041</v>
      </c>
    </row>
    <row r="20">
      <c r="A20" s="11">
        <v>19.0</v>
      </c>
      <c r="B20" s="12">
        <f t="shared" ref="B20:B22" si="8">DATE(2012,12,31)-1457</f>
        <v>39817</v>
      </c>
      <c r="C20" s="11" t="s">
        <v>88</v>
      </c>
      <c r="D20" s="11" t="s">
        <v>28</v>
      </c>
      <c r="F20" s="38">
        <f>IFERROR(__xludf.DUMMYFUNCTION("""COMPUTED_VALUE"""),39832.0)</f>
        <v>39832</v>
      </c>
      <c r="G20" s="39">
        <f t="shared" si="2"/>
        <v>4</v>
      </c>
      <c r="H20" s="39" t="str">
        <f>IFERROR(__xludf.DUMMYFUNCTION("""COMPUTED_VALUE"""),"Susan Vittorini")</f>
        <v>Susan Vittorini</v>
      </c>
      <c r="I20" s="40">
        <f t="shared" si="3"/>
        <v>14</v>
      </c>
      <c r="K20" s="41" t="s">
        <v>2642</v>
      </c>
      <c r="M20" s="39">
        <f>L16/L11</f>
        <v>0.2033103448</v>
      </c>
      <c r="O20" s="41" t="s">
        <v>2642</v>
      </c>
    </row>
    <row r="21">
      <c r="A21" s="11">
        <v>20.0</v>
      </c>
      <c r="B21" s="12">
        <f t="shared" si="8"/>
        <v>39817</v>
      </c>
      <c r="C21" s="11" t="s">
        <v>88</v>
      </c>
      <c r="D21" s="11" t="s">
        <v>28</v>
      </c>
      <c r="F21" s="38">
        <f>IFERROR(__xludf.DUMMYFUNCTION("""COMPUTED_VALUE"""),39833.0)</f>
        <v>39833</v>
      </c>
      <c r="G21" s="39">
        <f t="shared" si="2"/>
        <v>2</v>
      </c>
      <c r="H21" s="39" t="str">
        <f>IFERROR(__xludf.DUMMYFUNCTION("""COMPUTED_VALUE"""),"Darren Budd")</f>
        <v>Darren Budd</v>
      </c>
      <c r="I21" s="40">
        <f t="shared" si="3"/>
        <v>41</v>
      </c>
      <c r="K21" s="41" t="s">
        <v>2639</v>
      </c>
      <c r="L21" s="39">
        <f>M19/L12</f>
        <v>0.6020567231</v>
      </c>
      <c r="N21" s="39">
        <f>L16/(L11*L12)</f>
        <v>0.6020567231</v>
      </c>
      <c r="O21" s="41" t="s">
        <v>2641</v>
      </c>
      <c r="Q21" s="39">
        <f>Q19/L11</f>
        <v>0.6020567231</v>
      </c>
    </row>
    <row r="22">
      <c r="A22" s="11">
        <v>21.0</v>
      </c>
      <c r="B22" s="12">
        <f t="shared" si="8"/>
        <v>39817</v>
      </c>
      <c r="C22" s="11" t="s">
        <v>91</v>
      </c>
      <c r="D22" s="11" t="s">
        <v>49</v>
      </c>
      <c r="F22" s="38">
        <f>IFERROR(__xludf.DUMMYFUNCTION("""COMPUTED_VALUE"""),39834.0)</f>
        <v>39834</v>
      </c>
      <c r="G22" s="39">
        <f t="shared" si="2"/>
        <v>14</v>
      </c>
      <c r="H22" s="39" t="str">
        <f>IFERROR(__xludf.DUMMYFUNCTION("""COMPUTED_VALUE"""),"Robert Waldorf")</f>
        <v>Robert Waldorf</v>
      </c>
      <c r="I22" s="40">
        <f t="shared" si="3"/>
        <v>7</v>
      </c>
    </row>
    <row r="23">
      <c r="A23" s="11">
        <v>22.0</v>
      </c>
      <c r="B23" s="12">
        <f t="shared" ref="B23:B37" si="9">DATE(2012,12,31)-1456</f>
        <v>39818</v>
      </c>
      <c r="C23" s="11" t="s">
        <v>94</v>
      </c>
      <c r="D23" s="11" t="s">
        <v>28</v>
      </c>
      <c r="F23" s="38">
        <f>IFERROR(__xludf.DUMMYFUNCTION("""COMPUTED_VALUE"""),39835.0)</f>
        <v>39835</v>
      </c>
      <c r="G23" s="39">
        <f t="shared" si="2"/>
        <v>10</v>
      </c>
      <c r="H23" s="39" t="str">
        <f>IFERROR(__xludf.DUMMYFUNCTION("""COMPUTED_VALUE"""),"Victor Price")</f>
        <v>Victor Price</v>
      </c>
      <c r="I23" s="40">
        <f t="shared" si="3"/>
        <v>6</v>
      </c>
      <c r="K23" s="41" t="s">
        <v>2638</v>
      </c>
    </row>
    <row r="24">
      <c r="A24" s="11">
        <v>23.0</v>
      </c>
      <c r="B24" s="12">
        <f t="shared" si="9"/>
        <v>39818</v>
      </c>
      <c r="C24" s="11" t="s">
        <v>97</v>
      </c>
      <c r="D24" s="11" t="s">
        <v>66</v>
      </c>
      <c r="F24" s="38">
        <f>IFERROR(__xludf.DUMMYFUNCTION("""COMPUTED_VALUE"""),39836.0)</f>
        <v>39836</v>
      </c>
      <c r="G24" s="39">
        <f t="shared" si="2"/>
        <v>3</v>
      </c>
      <c r="H24" s="39" t="str">
        <f>IFERROR(__xludf.DUMMYFUNCTION("""COMPUTED_VALUE"""),"Craig Leslie")</f>
        <v>Craig Leslie</v>
      </c>
      <c r="I24" s="40">
        <f t="shared" si="3"/>
        <v>10</v>
      </c>
      <c r="K24" s="41" t="s">
        <v>2643</v>
      </c>
      <c r="M24" s="44">
        <f>L3/L7</f>
        <v>0.1668965517</v>
      </c>
      <c r="O24" s="41" t="s">
        <v>2644</v>
      </c>
      <c r="Q24" s="45">
        <f>L3/L6</f>
        <v>0.3880692752</v>
      </c>
    </row>
    <row r="25">
      <c r="A25" s="11">
        <v>24.0</v>
      </c>
      <c r="B25" s="12">
        <f t="shared" si="9"/>
        <v>39818</v>
      </c>
      <c r="C25" s="11" t="s">
        <v>97</v>
      </c>
      <c r="D25" s="11" t="s">
        <v>66</v>
      </c>
      <c r="F25" s="38">
        <f>IFERROR(__xludf.DUMMYFUNCTION("""COMPUTED_VALUE"""),39837.0)</f>
        <v>39837</v>
      </c>
      <c r="G25" s="39">
        <f t="shared" si="2"/>
        <v>5</v>
      </c>
      <c r="H25" s="39" t="str">
        <f>IFERROR(__xludf.DUMMYFUNCTION("""COMPUTED_VALUE"""),"Muhammed Yedwab")</f>
        <v>Muhammed Yedwab</v>
      </c>
      <c r="I25" s="40">
        <f t="shared" si="3"/>
        <v>22</v>
      </c>
      <c r="K25" s="41" t="s">
        <v>2642</v>
      </c>
    </row>
    <row r="26">
      <c r="A26" s="11">
        <v>25.0</v>
      </c>
      <c r="B26" s="12">
        <f t="shared" si="9"/>
        <v>39818</v>
      </c>
      <c r="C26" s="11" t="s">
        <v>104</v>
      </c>
      <c r="D26" s="11" t="s">
        <v>28</v>
      </c>
      <c r="F26" s="38">
        <f>IFERROR(__xludf.DUMMYFUNCTION("""COMPUTED_VALUE"""),39838.0)</f>
        <v>39838</v>
      </c>
      <c r="G26" s="39">
        <f t="shared" si="2"/>
        <v>2</v>
      </c>
      <c r="H26" s="39" t="str">
        <f>IFERROR(__xludf.DUMMYFUNCTION("""COMPUTED_VALUE"""),"Tracy Collins")</f>
        <v>Tracy Collins</v>
      </c>
      <c r="I26" s="40">
        <f t="shared" si="3"/>
        <v>18</v>
      </c>
      <c r="K26" s="41" t="s">
        <v>2643</v>
      </c>
      <c r="M26" s="39">
        <f>M24/L10</f>
        <v>0.5893300303</v>
      </c>
    </row>
    <row r="27">
      <c r="A27" s="11">
        <v>26.0</v>
      </c>
      <c r="B27" s="12">
        <f t="shared" si="9"/>
        <v>39818</v>
      </c>
      <c r="C27" s="11" t="s">
        <v>106</v>
      </c>
      <c r="D27" s="11" t="s">
        <v>49</v>
      </c>
      <c r="F27" s="38">
        <f>IFERROR(__xludf.DUMMYFUNCTION("""COMPUTED_VALUE"""),39839.0)</f>
        <v>39839</v>
      </c>
      <c r="G27" s="39">
        <f t="shared" si="2"/>
        <v>9</v>
      </c>
      <c r="H27" s="39" t="str">
        <f>IFERROR(__xludf.DUMMYFUNCTION("""COMPUTED_VALUE"""),"Julia Barnett")</f>
        <v>Julia Barnett</v>
      </c>
      <c r="I27" s="40">
        <f t="shared" si="3"/>
        <v>21</v>
      </c>
    </row>
    <row r="28">
      <c r="A28" s="11">
        <v>27.0</v>
      </c>
      <c r="B28" s="12">
        <f t="shared" si="9"/>
        <v>39818</v>
      </c>
      <c r="C28" s="11" t="s">
        <v>106</v>
      </c>
      <c r="D28" s="11" t="s">
        <v>49</v>
      </c>
      <c r="F28" s="38">
        <f>IFERROR(__xludf.DUMMYFUNCTION("""COMPUTED_VALUE"""),39840.0)</f>
        <v>39840</v>
      </c>
      <c r="G28" s="39">
        <f t="shared" si="2"/>
        <v>5</v>
      </c>
      <c r="H28" s="39" t="str">
        <f>IFERROR(__xludf.DUMMYFUNCTION("""COMPUTED_VALUE"""),"Julia West")</f>
        <v>Julia West</v>
      </c>
      <c r="I28" s="40">
        <f t="shared" si="3"/>
        <v>10</v>
      </c>
    </row>
    <row r="29">
      <c r="A29" s="11">
        <v>28.0</v>
      </c>
      <c r="B29" s="12">
        <f t="shared" si="9"/>
        <v>39818</v>
      </c>
      <c r="C29" s="11" t="s">
        <v>106</v>
      </c>
      <c r="D29" s="11" t="s">
        <v>66</v>
      </c>
      <c r="F29" s="38">
        <f>IFERROR(__xludf.DUMMYFUNCTION("""COMPUTED_VALUE"""),39841.0)</f>
        <v>39841</v>
      </c>
      <c r="G29" s="39">
        <f t="shared" si="2"/>
        <v>6</v>
      </c>
      <c r="H29" s="39" t="str">
        <f>IFERROR(__xludf.DUMMYFUNCTION("""COMPUTED_VALUE"""),"Maribeth Schnelling")</f>
        <v>Maribeth Schnelling</v>
      </c>
      <c r="I29" s="40">
        <f t="shared" si="3"/>
        <v>5</v>
      </c>
      <c r="K29" s="41" t="s">
        <v>2638</v>
      </c>
    </row>
    <row r="30">
      <c r="A30" s="11">
        <v>29.0</v>
      </c>
      <c r="B30" s="12">
        <f t="shared" si="9"/>
        <v>39818</v>
      </c>
      <c r="C30" s="11" t="s">
        <v>113</v>
      </c>
      <c r="D30" s="11" t="s">
        <v>49</v>
      </c>
      <c r="F30" s="38">
        <f>IFERROR(__xludf.DUMMYFUNCTION("""COMPUTED_VALUE"""),39842.0)</f>
        <v>39842</v>
      </c>
      <c r="G30" s="39">
        <f t="shared" si="2"/>
        <v>3</v>
      </c>
      <c r="H30" s="39" t="str">
        <f>IFERROR(__xludf.DUMMYFUNCTION("""COMPUTED_VALUE"""),"Corey Roper")</f>
        <v>Corey Roper</v>
      </c>
      <c r="I30" s="40">
        <f t="shared" si="3"/>
        <v>3</v>
      </c>
      <c r="K30" s="41" t="s">
        <v>2645</v>
      </c>
      <c r="M30" s="44">
        <f>L4/L8</f>
        <v>0.1699838623</v>
      </c>
      <c r="O30" s="41" t="s">
        <v>2646</v>
      </c>
      <c r="Q30" s="44">
        <f>L4/L6</f>
        <v>0.2026940346</v>
      </c>
    </row>
    <row r="31">
      <c r="A31" s="11">
        <v>30.0</v>
      </c>
      <c r="B31" s="12">
        <f t="shared" si="9"/>
        <v>39818</v>
      </c>
      <c r="C31" s="11" t="s">
        <v>116</v>
      </c>
      <c r="D31" s="11" t="s">
        <v>66</v>
      </c>
      <c r="F31" s="38">
        <f>IFERROR(__xludf.DUMMYFUNCTION("""COMPUTED_VALUE"""),39843.0)</f>
        <v>39843</v>
      </c>
      <c r="G31" s="39">
        <f t="shared" si="2"/>
        <v>3</v>
      </c>
      <c r="H31" s="39" t="str">
        <f>IFERROR(__xludf.DUMMYFUNCTION("""COMPUTED_VALUE"""),"Jasper Cacioppo")</f>
        <v>Jasper Cacioppo</v>
      </c>
      <c r="I31" s="40">
        <f t="shared" si="3"/>
        <v>12</v>
      </c>
      <c r="K31" s="41" t="s">
        <v>2642</v>
      </c>
    </row>
    <row r="32">
      <c r="A32" s="11">
        <v>31.0</v>
      </c>
      <c r="B32" s="12">
        <f t="shared" si="9"/>
        <v>39818</v>
      </c>
      <c r="C32" s="11" t="s">
        <v>120</v>
      </c>
      <c r="D32" s="11" t="s">
        <v>49</v>
      </c>
      <c r="F32" s="38">
        <f>IFERROR(__xludf.DUMMYFUNCTION("""COMPUTED_VALUE"""),39844.0)</f>
        <v>39844</v>
      </c>
      <c r="G32" s="39">
        <f t="shared" si="2"/>
        <v>9</v>
      </c>
      <c r="H32" s="39" t="str">
        <f>IFERROR(__xludf.DUMMYFUNCTION("""COMPUTED_VALUE"""),"George Ashbrook")</f>
        <v>George Ashbrook</v>
      </c>
      <c r="I32" s="40">
        <f t="shared" si="3"/>
        <v>14</v>
      </c>
      <c r="K32" s="41" t="s">
        <v>2645</v>
      </c>
      <c r="M32" s="39">
        <f>M30/L10</f>
        <v>0.6002316625</v>
      </c>
    </row>
    <row r="33">
      <c r="A33" s="11">
        <v>32.0</v>
      </c>
      <c r="B33" s="12">
        <f t="shared" si="9"/>
        <v>39818</v>
      </c>
      <c r="C33" s="11" t="s">
        <v>120</v>
      </c>
      <c r="D33" s="11" t="s">
        <v>49</v>
      </c>
      <c r="F33" s="38">
        <f>IFERROR(__xludf.DUMMYFUNCTION("""COMPUTED_VALUE"""),39845.0)</f>
        <v>39845</v>
      </c>
      <c r="G33" s="39">
        <f t="shared" si="2"/>
        <v>3</v>
      </c>
      <c r="H33" s="39" t="str">
        <f>IFERROR(__xludf.DUMMYFUNCTION("""COMPUTED_VALUE"""),"Benjamin Venier")</f>
        <v>Benjamin Venier</v>
      </c>
      <c r="I33" s="40">
        <f t="shared" si="3"/>
        <v>11</v>
      </c>
    </row>
    <row r="34">
      <c r="A34" s="11">
        <v>33.0</v>
      </c>
      <c r="B34" s="12">
        <f t="shared" si="9"/>
        <v>39818</v>
      </c>
      <c r="C34" s="11" t="s">
        <v>120</v>
      </c>
      <c r="D34" s="11" t="s">
        <v>49</v>
      </c>
      <c r="F34" s="38">
        <f>IFERROR(__xludf.DUMMYFUNCTION("""COMPUTED_VALUE"""),39846.0)</f>
        <v>39846</v>
      </c>
      <c r="G34" s="39">
        <f t="shared" si="2"/>
        <v>6</v>
      </c>
      <c r="H34" s="39" t="str">
        <f>IFERROR(__xludf.DUMMYFUNCTION("""COMPUTED_VALUE"""),"Julie Kriz")</f>
        <v>Julie Kriz</v>
      </c>
      <c r="I34" s="40">
        <f t="shared" si="3"/>
        <v>8</v>
      </c>
    </row>
    <row r="35">
      <c r="A35" s="11">
        <v>34.0</v>
      </c>
      <c r="B35" s="12">
        <f t="shared" si="9"/>
        <v>39818</v>
      </c>
      <c r="C35" s="11" t="s">
        <v>120</v>
      </c>
      <c r="D35" s="11" t="s">
        <v>49</v>
      </c>
      <c r="F35" s="38">
        <f>IFERROR(__xludf.DUMMYFUNCTION("""COMPUTED_VALUE"""),39847.0)</f>
        <v>39847</v>
      </c>
      <c r="G35" s="39">
        <f t="shared" si="2"/>
        <v>2</v>
      </c>
      <c r="H35" s="39" t="str">
        <f>IFERROR(__xludf.DUMMYFUNCTION("""COMPUTED_VALUE"""),"Chloris Kastensmidt")</f>
        <v>Chloris Kastensmidt</v>
      </c>
      <c r="I35" s="40">
        <f t="shared" si="3"/>
        <v>4</v>
      </c>
    </row>
    <row r="36">
      <c r="A36" s="11">
        <v>35.0</v>
      </c>
      <c r="B36" s="12">
        <f t="shared" si="9"/>
        <v>39818</v>
      </c>
      <c r="C36" s="11" t="s">
        <v>120</v>
      </c>
      <c r="D36" s="11" t="s">
        <v>66</v>
      </c>
      <c r="F36" s="38">
        <f>IFERROR(__xludf.DUMMYFUNCTION("""COMPUTED_VALUE"""),39848.0)</f>
        <v>39848</v>
      </c>
      <c r="G36" s="39">
        <f t="shared" si="2"/>
        <v>16</v>
      </c>
      <c r="H36" s="39" t="str">
        <f>IFERROR(__xludf.DUMMYFUNCTION("""COMPUTED_VALUE"""),"Sandra Flanagan")</f>
        <v>Sandra Flanagan</v>
      </c>
      <c r="I36" s="40">
        <f t="shared" si="3"/>
        <v>11</v>
      </c>
    </row>
    <row r="37">
      <c r="A37" s="11">
        <v>36.0</v>
      </c>
      <c r="B37" s="12">
        <f t="shared" si="9"/>
        <v>39818</v>
      </c>
      <c r="C37" s="11" t="s">
        <v>131</v>
      </c>
      <c r="D37" s="11" t="s">
        <v>28</v>
      </c>
      <c r="F37" s="38">
        <f>IFERROR(__xludf.DUMMYFUNCTION("""COMPUTED_VALUE"""),39849.0)</f>
        <v>39849</v>
      </c>
      <c r="G37" s="39">
        <f t="shared" si="2"/>
        <v>7</v>
      </c>
      <c r="H37" s="39" t="str">
        <f>IFERROR(__xludf.DUMMYFUNCTION("""COMPUTED_VALUE"""),"Ruben Dartt")</f>
        <v>Ruben Dartt</v>
      </c>
      <c r="I37" s="40">
        <f t="shared" si="3"/>
        <v>10</v>
      </c>
    </row>
    <row r="38">
      <c r="A38" s="11">
        <v>37.0</v>
      </c>
      <c r="B38" s="12">
        <f t="shared" ref="B38:B50" si="10">DATE(2012,12,31)-1455</f>
        <v>39819</v>
      </c>
      <c r="C38" s="11" t="s">
        <v>133</v>
      </c>
      <c r="D38" s="11" t="s">
        <v>28</v>
      </c>
      <c r="F38" s="38">
        <f>IFERROR(__xludf.DUMMYFUNCTION("""COMPUTED_VALUE"""),39850.0)</f>
        <v>39850</v>
      </c>
      <c r="G38" s="39">
        <f t="shared" si="2"/>
        <v>6</v>
      </c>
      <c r="H38" s="39" t="str">
        <f>IFERROR(__xludf.DUMMYFUNCTION("""COMPUTED_VALUE"""),"Luke Schmidt")</f>
        <v>Luke Schmidt</v>
      </c>
      <c r="I38" s="40">
        <f t="shared" si="3"/>
        <v>18</v>
      </c>
    </row>
    <row r="39">
      <c r="A39" s="11">
        <v>38.0</v>
      </c>
      <c r="B39" s="12">
        <f t="shared" si="10"/>
        <v>39819</v>
      </c>
      <c r="C39" s="11" t="s">
        <v>133</v>
      </c>
      <c r="D39" s="11" t="s">
        <v>49</v>
      </c>
      <c r="F39" s="38">
        <f>IFERROR(__xludf.DUMMYFUNCTION("""COMPUTED_VALUE"""),39851.0)</f>
        <v>39851</v>
      </c>
      <c r="G39" s="39">
        <f t="shared" si="2"/>
        <v>5</v>
      </c>
      <c r="H39" s="39" t="str">
        <f>IFERROR(__xludf.DUMMYFUNCTION("""COMPUTED_VALUE"""),"Cynthia Voltz")</f>
        <v>Cynthia Voltz</v>
      </c>
      <c r="I39" s="40">
        <f t="shared" si="3"/>
        <v>6</v>
      </c>
    </row>
    <row r="40">
      <c r="A40" s="11">
        <v>39.0</v>
      </c>
      <c r="B40" s="12">
        <f t="shared" si="10"/>
        <v>39819</v>
      </c>
      <c r="C40" s="11" t="s">
        <v>138</v>
      </c>
      <c r="D40" s="11" t="s">
        <v>49</v>
      </c>
      <c r="F40" s="38">
        <f>IFERROR(__xludf.DUMMYFUNCTION("""COMPUTED_VALUE"""),39852.0)</f>
        <v>39852</v>
      </c>
      <c r="G40" s="39">
        <f t="shared" si="2"/>
        <v>4</v>
      </c>
      <c r="H40" s="39" t="str">
        <f>IFERROR(__xludf.DUMMYFUNCTION("""COMPUTED_VALUE"""),"Joni Blumstein")</f>
        <v>Joni Blumstein</v>
      </c>
      <c r="I40" s="40">
        <f t="shared" si="3"/>
        <v>16</v>
      </c>
    </row>
    <row r="41">
      <c r="A41" s="11">
        <v>40.0</v>
      </c>
      <c r="B41" s="12">
        <f t="shared" si="10"/>
        <v>39819</v>
      </c>
      <c r="C41" s="11" t="s">
        <v>138</v>
      </c>
      <c r="D41" s="11" t="s">
        <v>28</v>
      </c>
      <c r="F41" s="38">
        <f>IFERROR(__xludf.DUMMYFUNCTION("""COMPUTED_VALUE"""),39853.0)</f>
        <v>39853</v>
      </c>
      <c r="G41" s="39">
        <f t="shared" si="2"/>
        <v>1</v>
      </c>
      <c r="H41" s="39" t="str">
        <f>IFERROR(__xludf.DUMMYFUNCTION("""COMPUTED_VALUE"""),"Mark Haberlin")</f>
        <v>Mark Haberlin</v>
      </c>
      <c r="I41" s="40">
        <f t="shared" si="3"/>
        <v>8</v>
      </c>
    </row>
    <row r="42">
      <c r="A42" s="11">
        <v>41.0</v>
      </c>
      <c r="B42" s="12">
        <f t="shared" si="10"/>
        <v>39819</v>
      </c>
      <c r="C42" s="11" t="s">
        <v>138</v>
      </c>
      <c r="D42" s="11" t="s">
        <v>66</v>
      </c>
      <c r="F42" s="38">
        <f>IFERROR(__xludf.DUMMYFUNCTION("""COMPUTED_VALUE"""),39854.0)</f>
        <v>39854</v>
      </c>
      <c r="G42" s="39">
        <f t="shared" si="2"/>
        <v>5</v>
      </c>
      <c r="H42" s="39" t="str">
        <f>IFERROR(__xludf.DUMMYFUNCTION("""COMPUTED_VALUE"""),"Olvera Toch")</f>
        <v>Olvera Toch</v>
      </c>
      <c r="I42" s="40">
        <f t="shared" si="3"/>
        <v>15</v>
      </c>
    </row>
    <row r="43">
      <c r="A43" s="11">
        <v>42.0</v>
      </c>
      <c r="B43" s="12">
        <f t="shared" si="10"/>
        <v>39819</v>
      </c>
      <c r="C43" s="11" t="s">
        <v>145</v>
      </c>
      <c r="D43" s="11" t="s">
        <v>28</v>
      </c>
      <c r="F43" s="38">
        <f>IFERROR(__xludf.DUMMYFUNCTION("""COMPUTED_VALUE"""),39855.0)</f>
        <v>39855</v>
      </c>
      <c r="G43" s="39">
        <f t="shared" si="2"/>
        <v>5</v>
      </c>
      <c r="H43" s="39" t="str">
        <f>IFERROR(__xludf.DUMMYFUNCTION("""COMPUTED_VALUE"""),"Benjamin Patterson")</f>
        <v>Benjamin Patterson</v>
      </c>
      <c r="I43" s="40">
        <f t="shared" si="3"/>
        <v>10</v>
      </c>
    </row>
    <row r="44">
      <c r="A44" s="11">
        <v>43.0</v>
      </c>
      <c r="B44" s="12">
        <f t="shared" si="10"/>
        <v>39819</v>
      </c>
      <c r="C44" s="11" t="s">
        <v>148</v>
      </c>
      <c r="D44" s="11" t="s">
        <v>66</v>
      </c>
      <c r="F44" s="38">
        <f>IFERROR(__xludf.DUMMYFUNCTION("""COMPUTED_VALUE"""),39856.0)</f>
        <v>39856</v>
      </c>
      <c r="G44" s="39">
        <f t="shared" si="2"/>
        <v>12</v>
      </c>
      <c r="H44" s="39" t="str">
        <f>IFERROR(__xludf.DUMMYFUNCTION("""COMPUTED_VALUE"""),"Yana Sorensen")</f>
        <v>Yana Sorensen</v>
      </c>
      <c r="I44" s="40">
        <f t="shared" si="3"/>
        <v>6</v>
      </c>
    </row>
    <row r="45">
      <c r="A45" s="11">
        <v>44.0</v>
      </c>
      <c r="B45" s="12">
        <f t="shared" si="10"/>
        <v>39819</v>
      </c>
      <c r="C45" s="11" t="s">
        <v>148</v>
      </c>
      <c r="D45" s="11" t="s">
        <v>28</v>
      </c>
      <c r="F45" s="38">
        <f>IFERROR(__xludf.DUMMYFUNCTION("""COMPUTED_VALUE"""),39857.0)</f>
        <v>39857</v>
      </c>
      <c r="G45" s="39">
        <f t="shared" si="2"/>
        <v>5</v>
      </c>
      <c r="H45" s="39" t="str">
        <f>IFERROR(__xludf.DUMMYFUNCTION("""COMPUTED_VALUE"""),"Darren Powers")</f>
        <v>Darren Powers</v>
      </c>
      <c r="I45" s="40">
        <f t="shared" si="3"/>
        <v>13</v>
      </c>
    </row>
    <row r="46">
      <c r="A46" s="11">
        <v>45.0</v>
      </c>
      <c r="B46" s="12">
        <f t="shared" si="10"/>
        <v>39819</v>
      </c>
      <c r="C46" s="11" t="s">
        <v>152</v>
      </c>
      <c r="D46" s="11" t="s">
        <v>28</v>
      </c>
      <c r="F46" s="38">
        <f>IFERROR(__xludf.DUMMYFUNCTION("""COMPUTED_VALUE"""),39858.0)</f>
        <v>39858</v>
      </c>
      <c r="G46" s="39">
        <f t="shared" si="2"/>
        <v>4</v>
      </c>
      <c r="H46" s="39" t="str">
        <f>IFERROR(__xludf.DUMMYFUNCTION("""COMPUTED_VALUE"""),"Michelle Moray")</f>
        <v>Michelle Moray</v>
      </c>
      <c r="I46" s="40">
        <f t="shared" si="3"/>
        <v>15</v>
      </c>
    </row>
    <row r="47">
      <c r="A47" s="11">
        <v>46.0</v>
      </c>
      <c r="B47" s="12">
        <f t="shared" si="10"/>
        <v>39819</v>
      </c>
      <c r="C47" s="11" t="s">
        <v>155</v>
      </c>
      <c r="D47" s="11" t="s">
        <v>49</v>
      </c>
      <c r="F47" s="38">
        <f>IFERROR(__xludf.DUMMYFUNCTION("""COMPUTED_VALUE"""),39859.0)</f>
        <v>39859</v>
      </c>
      <c r="G47" s="39">
        <f t="shared" si="2"/>
        <v>8</v>
      </c>
      <c r="H47" s="39" t="str">
        <f>IFERROR(__xludf.DUMMYFUNCTION("""COMPUTED_VALUE"""),"Maria Bertelson")</f>
        <v>Maria Bertelson</v>
      </c>
      <c r="I47" s="40">
        <f t="shared" si="3"/>
        <v>25</v>
      </c>
    </row>
    <row r="48">
      <c r="A48" s="11">
        <v>47.0</v>
      </c>
      <c r="B48" s="12">
        <f t="shared" si="10"/>
        <v>39819</v>
      </c>
      <c r="C48" s="11" t="s">
        <v>159</v>
      </c>
      <c r="D48" s="11" t="s">
        <v>28</v>
      </c>
      <c r="F48" s="38">
        <f>IFERROR(__xludf.DUMMYFUNCTION("""COMPUTED_VALUE"""),39860.0)</f>
        <v>39860</v>
      </c>
      <c r="G48" s="39">
        <f t="shared" si="2"/>
        <v>6</v>
      </c>
      <c r="H48" s="39" t="str">
        <f>IFERROR(__xludf.DUMMYFUNCTION("""COMPUTED_VALUE"""),"Giulietta Dortch")</f>
        <v>Giulietta Dortch</v>
      </c>
      <c r="I48" s="40">
        <f t="shared" si="3"/>
        <v>28</v>
      </c>
    </row>
    <row r="49">
      <c r="A49" s="11">
        <v>48.0</v>
      </c>
      <c r="B49" s="12">
        <f t="shared" si="10"/>
        <v>39819</v>
      </c>
      <c r="C49" s="11" t="s">
        <v>159</v>
      </c>
      <c r="D49" s="11" t="s">
        <v>28</v>
      </c>
      <c r="F49" s="38">
        <f>IFERROR(__xludf.DUMMYFUNCTION("""COMPUTED_VALUE"""),39861.0)</f>
        <v>39861</v>
      </c>
      <c r="G49" s="39">
        <f t="shared" si="2"/>
        <v>5</v>
      </c>
      <c r="H49" s="39" t="str">
        <f>IFERROR(__xludf.DUMMYFUNCTION("""COMPUTED_VALUE"""),"Sean Wendt")</f>
        <v>Sean Wendt</v>
      </c>
      <c r="I49" s="40">
        <f t="shared" si="3"/>
        <v>9</v>
      </c>
    </row>
    <row r="50">
      <c r="A50" s="11">
        <v>49.0</v>
      </c>
      <c r="B50" s="12">
        <f t="shared" si="10"/>
        <v>39819</v>
      </c>
      <c r="C50" s="11" t="s">
        <v>164</v>
      </c>
      <c r="D50" s="11" t="s">
        <v>49</v>
      </c>
      <c r="F50" s="38">
        <f>IFERROR(__xludf.DUMMYFUNCTION("""COMPUTED_VALUE"""),39862.0)</f>
        <v>39862</v>
      </c>
      <c r="G50" s="39">
        <f t="shared" si="2"/>
        <v>2</v>
      </c>
      <c r="H50" s="39" t="str">
        <f>IFERROR(__xludf.DUMMYFUNCTION("""COMPUTED_VALUE"""),"Rob Haberlin")</f>
        <v>Rob Haberlin</v>
      </c>
      <c r="I50" s="40">
        <f t="shared" si="3"/>
        <v>23</v>
      </c>
    </row>
    <row r="51">
      <c r="A51" s="11">
        <v>50.0</v>
      </c>
      <c r="B51" s="12">
        <f t="shared" ref="B51:B59" si="11">DATE(2012,12,31)-1454</f>
        <v>39820</v>
      </c>
      <c r="C51" s="11" t="s">
        <v>167</v>
      </c>
      <c r="D51" s="11" t="s">
        <v>28</v>
      </c>
      <c r="F51" s="38">
        <f>IFERROR(__xludf.DUMMYFUNCTION("""COMPUTED_VALUE"""),39863.0)</f>
        <v>39863</v>
      </c>
      <c r="G51" s="39">
        <f t="shared" si="2"/>
        <v>6</v>
      </c>
      <c r="H51" s="39" t="str">
        <f>IFERROR(__xludf.DUMMYFUNCTION("""COMPUTED_VALUE"""),"Kristina Nunn")</f>
        <v>Kristina Nunn</v>
      </c>
      <c r="I51" s="40">
        <f t="shared" si="3"/>
        <v>14</v>
      </c>
    </row>
    <row r="52">
      <c r="A52" s="11">
        <v>51.0</v>
      </c>
      <c r="B52" s="12">
        <f t="shared" si="11"/>
        <v>39820</v>
      </c>
      <c r="C52" s="11" t="s">
        <v>167</v>
      </c>
      <c r="D52" s="11" t="s">
        <v>66</v>
      </c>
      <c r="F52" s="38">
        <f>IFERROR(__xludf.DUMMYFUNCTION("""COMPUTED_VALUE"""),39864.0)</f>
        <v>39864</v>
      </c>
      <c r="G52" s="39">
        <f t="shared" si="2"/>
        <v>6</v>
      </c>
      <c r="H52" s="39" t="str">
        <f>IFERROR(__xludf.DUMMYFUNCTION("""COMPUTED_VALUE"""),"Alan Barnes")</f>
        <v>Alan Barnes</v>
      </c>
      <c r="I52" s="40">
        <f t="shared" si="3"/>
        <v>14</v>
      </c>
    </row>
    <row r="53">
      <c r="A53" s="11">
        <v>52.0</v>
      </c>
      <c r="B53" s="12">
        <f t="shared" si="11"/>
        <v>39820</v>
      </c>
      <c r="C53" s="11" t="s">
        <v>167</v>
      </c>
      <c r="D53" s="11" t="s">
        <v>66</v>
      </c>
      <c r="F53" s="38">
        <f>IFERROR(__xludf.DUMMYFUNCTION("""COMPUTED_VALUE"""),39865.0)</f>
        <v>39865</v>
      </c>
      <c r="G53" s="39">
        <f t="shared" si="2"/>
        <v>3</v>
      </c>
      <c r="H53" s="39" t="str">
        <f>IFERROR(__xludf.DUMMYFUNCTION("""COMPUTED_VALUE"""),"Andy Gerbode")</f>
        <v>Andy Gerbode</v>
      </c>
      <c r="I53" s="40">
        <f t="shared" si="3"/>
        <v>7</v>
      </c>
    </row>
    <row r="54">
      <c r="A54" s="11">
        <v>53.0</v>
      </c>
      <c r="B54" s="12">
        <f t="shared" si="11"/>
        <v>39820</v>
      </c>
      <c r="C54" s="11" t="s">
        <v>174</v>
      </c>
      <c r="D54" s="11" t="s">
        <v>28</v>
      </c>
      <c r="F54" s="38">
        <f>IFERROR(__xludf.DUMMYFUNCTION("""COMPUTED_VALUE"""),39866.0)</f>
        <v>39866</v>
      </c>
      <c r="G54" s="39">
        <f t="shared" si="2"/>
        <v>4</v>
      </c>
      <c r="H54" s="39" t="str">
        <f>IFERROR(__xludf.DUMMYFUNCTION("""COMPUTED_VALUE"""),"Bradley Drucker")</f>
        <v>Bradley Drucker</v>
      </c>
      <c r="I54" s="40">
        <f t="shared" si="3"/>
        <v>17</v>
      </c>
    </row>
    <row r="55">
      <c r="A55" s="11">
        <v>54.0</v>
      </c>
      <c r="B55" s="12">
        <f t="shared" si="11"/>
        <v>39820</v>
      </c>
      <c r="C55" s="11" t="s">
        <v>174</v>
      </c>
      <c r="D55" s="11" t="s">
        <v>66</v>
      </c>
      <c r="F55" s="38">
        <f>IFERROR(__xludf.DUMMYFUNCTION("""COMPUTED_VALUE"""),39867.0)</f>
        <v>39867</v>
      </c>
      <c r="G55" s="39">
        <f t="shared" si="2"/>
        <v>4</v>
      </c>
      <c r="H55" s="39" t="str">
        <f>IFERROR(__xludf.DUMMYFUNCTION("""COMPUTED_VALUE"""),"Greg Matthias")</f>
        <v>Greg Matthias</v>
      </c>
      <c r="I55" s="40">
        <f t="shared" si="3"/>
        <v>10</v>
      </c>
    </row>
    <row r="56">
      <c r="A56" s="11">
        <v>55.0</v>
      </c>
      <c r="B56" s="12">
        <f t="shared" si="11"/>
        <v>39820</v>
      </c>
      <c r="C56" s="11" t="s">
        <v>106</v>
      </c>
      <c r="D56" s="11" t="s">
        <v>66</v>
      </c>
      <c r="F56" s="38">
        <f>IFERROR(__xludf.DUMMYFUNCTION("""COMPUTED_VALUE"""),39868.0)</f>
        <v>39868</v>
      </c>
      <c r="G56" s="39">
        <f t="shared" si="2"/>
        <v>4</v>
      </c>
      <c r="H56" s="39" t="str">
        <f>IFERROR(__xludf.DUMMYFUNCTION("""COMPUTED_VALUE"""),"Cindy Schnelling")</f>
        <v>Cindy Schnelling</v>
      </c>
      <c r="I56" s="40">
        <f t="shared" si="3"/>
        <v>13</v>
      </c>
    </row>
    <row r="57">
      <c r="A57" s="11">
        <v>56.0</v>
      </c>
      <c r="B57" s="12">
        <f t="shared" si="11"/>
        <v>39820</v>
      </c>
      <c r="C57" s="11" t="s">
        <v>180</v>
      </c>
      <c r="D57" s="11" t="s">
        <v>66</v>
      </c>
      <c r="F57" s="38">
        <f>IFERROR(__xludf.DUMMYFUNCTION("""COMPUTED_VALUE"""),39869.0)</f>
        <v>39869</v>
      </c>
      <c r="G57" s="39">
        <f t="shared" si="2"/>
        <v>5</v>
      </c>
      <c r="H57" s="39" t="str">
        <f>IFERROR(__xludf.DUMMYFUNCTION("""COMPUTED_VALUE"""),"Liz Price")</f>
        <v>Liz Price</v>
      </c>
      <c r="I57" s="40">
        <f t="shared" si="3"/>
        <v>21</v>
      </c>
    </row>
    <row r="58">
      <c r="A58" s="11">
        <v>57.0</v>
      </c>
      <c r="B58" s="12">
        <f t="shared" si="11"/>
        <v>39820</v>
      </c>
      <c r="C58" s="11" t="s">
        <v>181</v>
      </c>
      <c r="D58" s="11" t="s">
        <v>28</v>
      </c>
      <c r="F58" s="38">
        <f>IFERROR(__xludf.DUMMYFUNCTION("""COMPUTED_VALUE"""),39870.0)</f>
        <v>39870</v>
      </c>
      <c r="G58" s="39">
        <f t="shared" si="2"/>
        <v>9</v>
      </c>
      <c r="H58" s="39" t="str">
        <f>IFERROR(__xludf.DUMMYFUNCTION("""COMPUTED_VALUE"""),"Guy Thornton")</f>
        <v>Guy Thornton</v>
      </c>
      <c r="I58" s="40">
        <f t="shared" si="3"/>
        <v>9</v>
      </c>
    </row>
    <row r="59">
      <c r="A59" s="11">
        <v>58.0</v>
      </c>
      <c r="B59" s="12">
        <f t="shared" si="11"/>
        <v>39820</v>
      </c>
      <c r="C59" s="11" t="s">
        <v>184</v>
      </c>
      <c r="D59" s="11" t="s">
        <v>28</v>
      </c>
      <c r="F59" s="38">
        <f>IFERROR(__xludf.DUMMYFUNCTION("""COMPUTED_VALUE"""),39871.0)</f>
        <v>39871</v>
      </c>
      <c r="G59" s="39">
        <f t="shared" si="2"/>
        <v>5</v>
      </c>
      <c r="H59" s="39" t="str">
        <f>IFERROR(__xludf.DUMMYFUNCTION("""COMPUTED_VALUE"""),"Rick Reed")</f>
        <v>Rick Reed</v>
      </c>
      <c r="I59" s="40">
        <f t="shared" si="3"/>
        <v>3</v>
      </c>
    </row>
    <row r="60">
      <c r="A60" s="11">
        <v>59.0</v>
      </c>
      <c r="B60" s="12">
        <f t="shared" ref="B60:B63" si="12">DATE(2012,12,31)-1453</f>
        <v>39821</v>
      </c>
      <c r="C60" s="11" t="s">
        <v>187</v>
      </c>
      <c r="D60" s="11" t="s">
        <v>28</v>
      </c>
      <c r="F60" s="38">
        <f>IFERROR(__xludf.DUMMYFUNCTION("""COMPUTED_VALUE"""),39872.0)</f>
        <v>39872</v>
      </c>
      <c r="G60" s="39">
        <f t="shared" si="2"/>
        <v>4</v>
      </c>
      <c r="H60" s="39" t="str">
        <f>IFERROR(__xludf.DUMMYFUNCTION("""COMPUTED_VALUE"""),"Brian Stugart")</f>
        <v>Brian Stugart</v>
      </c>
      <c r="I60" s="40">
        <f t="shared" si="3"/>
        <v>16</v>
      </c>
    </row>
    <row r="61">
      <c r="A61" s="11">
        <v>60.0</v>
      </c>
      <c r="B61" s="12">
        <f t="shared" si="12"/>
        <v>39821</v>
      </c>
      <c r="C61" s="11" t="s">
        <v>187</v>
      </c>
      <c r="D61" s="11" t="s">
        <v>49</v>
      </c>
      <c r="F61" s="38">
        <f>IFERROR(__xludf.DUMMYFUNCTION("""COMPUTED_VALUE"""),39873.0)</f>
        <v>39873</v>
      </c>
      <c r="G61" s="39">
        <f t="shared" si="2"/>
        <v>7</v>
      </c>
      <c r="H61" s="39" t="str">
        <f>IFERROR(__xludf.DUMMYFUNCTION("""COMPUTED_VALUE"""),"Mike Gockenbach")</f>
        <v>Mike Gockenbach</v>
      </c>
      <c r="I61" s="40">
        <f t="shared" si="3"/>
        <v>9</v>
      </c>
    </row>
    <row r="62">
      <c r="A62" s="11">
        <v>61.0</v>
      </c>
      <c r="B62" s="12">
        <f t="shared" si="12"/>
        <v>39821</v>
      </c>
      <c r="C62" s="11" t="s">
        <v>193</v>
      </c>
      <c r="D62" s="11" t="s">
        <v>28</v>
      </c>
      <c r="F62" s="38">
        <f>IFERROR(__xludf.DUMMYFUNCTION("""COMPUTED_VALUE"""),39874.0)</f>
        <v>39874</v>
      </c>
      <c r="G62" s="39">
        <f t="shared" si="2"/>
        <v>6</v>
      </c>
      <c r="H62" s="39" t="str">
        <f>IFERROR(__xludf.DUMMYFUNCTION("""COMPUTED_VALUE"""),"Michelle Huthwaite")</f>
        <v>Michelle Huthwaite</v>
      </c>
      <c r="I62" s="40">
        <f t="shared" si="3"/>
        <v>12</v>
      </c>
    </row>
    <row r="63">
      <c r="A63" s="11">
        <v>62.0</v>
      </c>
      <c r="B63" s="12">
        <f t="shared" si="12"/>
        <v>39821</v>
      </c>
      <c r="C63" s="11" t="s">
        <v>196</v>
      </c>
      <c r="D63" s="11" t="s">
        <v>28</v>
      </c>
      <c r="F63" s="38">
        <f>IFERROR(__xludf.DUMMYFUNCTION("""COMPUTED_VALUE"""),39875.0)</f>
        <v>39875</v>
      </c>
      <c r="G63" s="39">
        <f t="shared" si="2"/>
        <v>1</v>
      </c>
      <c r="H63" s="39" t="str">
        <f>IFERROR(__xludf.DUMMYFUNCTION("""COMPUTED_VALUE"""),"Jennifer Patt")</f>
        <v>Jennifer Patt</v>
      </c>
      <c r="I63" s="40">
        <f t="shared" si="3"/>
        <v>18</v>
      </c>
    </row>
    <row r="64">
      <c r="A64" s="11">
        <v>63.0</v>
      </c>
      <c r="B64" s="12">
        <f t="shared" ref="B64:B71" si="13">DATE(2012,12,31)-1452</f>
        <v>39822</v>
      </c>
      <c r="C64" s="11" t="s">
        <v>200</v>
      </c>
      <c r="D64" s="11" t="s">
        <v>28</v>
      </c>
      <c r="F64" s="38">
        <f>IFERROR(__xludf.DUMMYFUNCTION("""COMPUTED_VALUE"""),39876.0)</f>
        <v>39876</v>
      </c>
      <c r="G64" s="39">
        <f t="shared" si="2"/>
        <v>3</v>
      </c>
      <c r="H64" s="39" t="str">
        <f>IFERROR(__xludf.DUMMYFUNCTION("""COMPUTED_VALUE"""),"Toby Swindell")</f>
        <v>Toby Swindell</v>
      </c>
      <c r="I64" s="40">
        <f t="shared" si="3"/>
        <v>16</v>
      </c>
    </row>
    <row r="65">
      <c r="A65" s="11">
        <v>64.0</v>
      </c>
      <c r="B65" s="12">
        <f t="shared" si="13"/>
        <v>39822</v>
      </c>
      <c r="C65" s="11" t="s">
        <v>202</v>
      </c>
      <c r="D65" s="11" t="s">
        <v>28</v>
      </c>
      <c r="F65" s="38">
        <f>IFERROR(__xludf.DUMMYFUNCTION("""COMPUTED_VALUE"""),39877.0)</f>
        <v>39877</v>
      </c>
      <c r="G65" s="39">
        <f t="shared" si="2"/>
        <v>9</v>
      </c>
      <c r="H65" s="39" t="str">
        <f>IFERROR(__xludf.DUMMYFUNCTION("""COMPUTED_VALUE"""),"Clytie Kelty")</f>
        <v>Clytie Kelty</v>
      </c>
      <c r="I65" s="40">
        <f t="shared" si="3"/>
        <v>18</v>
      </c>
    </row>
    <row r="66">
      <c r="A66" s="11">
        <v>65.0</v>
      </c>
      <c r="B66" s="12">
        <f t="shared" si="13"/>
        <v>39822</v>
      </c>
      <c r="C66" s="11" t="s">
        <v>205</v>
      </c>
      <c r="D66" s="11" t="s">
        <v>28</v>
      </c>
      <c r="F66" s="38">
        <f>IFERROR(__xludf.DUMMYFUNCTION("""COMPUTED_VALUE"""),39878.0)</f>
        <v>39878</v>
      </c>
      <c r="G66" s="39">
        <f t="shared" si="2"/>
        <v>4</v>
      </c>
      <c r="H66" s="39" t="str">
        <f>IFERROR(__xludf.DUMMYFUNCTION("""COMPUTED_VALUE"""),"Tamara Manning")</f>
        <v>Tamara Manning</v>
      </c>
      <c r="I66" s="40">
        <f t="shared" si="3"/>
        <v>12</v>
      </c>
    </row>
    <row r="67">
      <c r="A67" s="11">
        <v>66.0</v>
      </c>
      <c r="B67" s="12">
        <f t="shared" si="13"/>
        <v>39822</v>
      </c>
      <c r="C67" s="11" t="s">
        <v>205</v>
      </c>
      <c r="D67" s="11" t="s">
        <v>28</v>
      </c>
      <c r="F67" s="38">
        <f>IFERROR(__xludf.DUMMYFUNCTION("""COMPUTED_VALUE"""),39879.0)</f>
        <v>39879</v>
      </c>
      <c r="G67" s="39">
        <f t="shared" si="2"/>
        <v>1</v>
      </c>
      <c r="H67" s="39" t="str">
        <f>IFERROR(__xludf.DUMMYFUNCTION("""COMPUTED_VALUE"""),"Skye Norling")</f>
        <v>Skye Norling</v>
      </c>
      <c r="I67" s="40">
        <f t="shared" si="3"/>
        <v>9</v>
      </c>
    </row>
    <row r="68">
      <c r="A68" s="11">
        <v>67.0</v>
      </c>
      <c r="B68" s="12">
        <f t="shared" si="13"/>
        <v>39822</v>
      </c>
      <c r="C68" s="11" t="s">
        <v>205</v>
      </c>
      <c r="D68" s="11" t="s">
        <v>28</v>
      </c>
      <c r="F68" s="38">
        <f>IFERROR(__xludf.DUMMYFUNCTION("""COMPUTED_VALUE"""),39880.0)</f>
        <v>39880</v>
      </c>
      <c r="G68" s="39">
        <f t="shared" si="2"/>
        <v>5</v>
      </c>
      <c r="H68" s="39" t="str">
        <f>IFERROR(__xludf.DUMMYFUNCTION("""COMPUTED_VALUE"""),"Jennifer Jackson")</f>
        <v>Jennifer Jackson</v>
      </c>
      <c r="I68" s="40">
        <f t="shared" si="3"/>
        <v>11</v>
      </c>
    </row>
    <row r="69">
      <c r="A69" s="11">
        <v>68.0</v>
      </c>
      <c r="B69" s="12">
        <f t="shared" si="13"/>
        <v>39822</v>
      </c>
      <c r="C69" s="11" t="s">
        <v>211</v>
      </c>
      <c r="D69" s="11" t="s">
        <v>28</v>
      </c>
      <c r="F69" s="38">
        <f>IFERROR(__xludf.DUMMYFUNCTION("""COMPUTED_VALUE"""),39881.0)</f>
        <v>39881</v>
      </c>
      <c r="G69" s="39">
        <f t="shared" si="2"/>
        <v>5</v>
      </c>
      <c r="H69" s="39" t="str">
        <f>IFERROR(__xludf.DUMMYFUNCTION("""COMPUTED_VALUE"""),"Amy Hunt")</f>
        <v>Amy Hunt</v>
      </c>
      <c r="I69" s="40">
        <f t="shared" si="3"/>
        <v>20</v>
      </c>
    </row>
    <row r="70">
      <c r="A70" s="11">
        <v>69.0</v>
      </c>
      <c r="B70" s="12">
        <f t="shared" si="13"/>
        <v>39822</v>
      </c>
      <c r="C70" s="11" t="s">
        <v>213</v>
      </c>
      <c r="D70" s="11" t="s">
        <v>66</v>
      </c>
      <c r="F70" s="38">
        <f>IFERROR(__xludf.DUMMYFUNCTION("""COMPUTED_VALUE"""),39882.0)</f>
        <v>39882</v>
      </c>
      <c r="G70" s="39">
        <f t="shared" si="2"/>
        <v>4</v>
      </c>
      <c r="H70" s="39" t="str">
        <f>IFERROR(__xludf.DUMMYFUNCTION("""COMPUTED_VALUE"""),"Giulietta Weimer")</f>
        <v>Giulietta Weimer</v>
      </c>
      <c r="I70" s="40">
        <f t="shared" si="3"/>
        <v>16</v>
      </c>
    </row>
    <row r="71">
      <c r="A71" s="11">
        <v>70.0</v>
      </c>
      <c r="B71" s="12">
        <f t="shared" si="13"/>
        <v>39822</v>
      </c>
      <c r="C71" s="11" t="s">
        <v>215</v>
      </c>
      <c r="D71" s="11" t="s">
        <v>28</v>
      </c>
      <c r="F71" s="38">
        <f>IFERROR(__xludf.DUMMYFUNCTION("""COMPUTED_VALUE"""),39883.0)</f>
        <v>39883</v>
      </c>
      <c r="G71" s="39">
        <f t="shared" si="2"/>
        <v>4</v>
      </c>
      <c r="H71" s="39" t="str">
        <f>IFERROR(__xludf.DUMMYFUNCTION("""COMPUTED_VALUE"""),"Amy Cox")</f>
        <v>Amy Cox</v>
      </c>
      <c r="I71" s="40">
        <f t="shared" si="3"/>
        <v>19</v>
      </c>
    </row>
    <row r="72">
      <c r="A72" s="11">
        <v>71.0</v>
      </c>
      <c r="B72" s="12">
        <f t="shared" ref="B72:B83" si="14">DATE(2012,12,31)-1451</f>
        <v>39823</v>
      </c>
      <c r="C72" s="11" t="s">
        <v>219</v>
      </c>
      <c r="D72" s="11" t="s">
        <v>49</v>
      </c>
      <c r="F72" s="38">
        <f>IFERROR(__xludf.DUMMYFUNCTION("""COMPUTED_VALUE"""),39884.0)</f>
        <v>39884</v>
      </c>
      <c r="G72" s="39">
        <f t="shared" si="2"/>
        <v>7</v>
      </c>
      <c r="H72" s="39" t="str">
        <f>IFERROR(__xludf.DUMMYFUNCTION("""COMPUTED_VALUE"""),"Sanjit Jacobs")</f>
        <v>Sanjit Jacobs</v>
      </c>
      <c r="I72" s="40">
        <f t="shared" si="3"/>
        <v>11</v>
      </c>
    </row>
    <row r="73">
      <c r="A73" s="11">
        <v>72.0</v>
      </c>
      <c r="B73" s="12">
        <f t="shared" si="14"/>
        <v>39823</v>
      </c>
      <c r="C73" s="11" t="s">
        <v>219</v>
      </c>
      <c r="D73" s="11" t="s">
        <v>28</v>
      </c>
      <c r="F73" s="38">
        <f>IFERROR(__xludf.DUMMYFUNCTION("""COMPUTED_VALUE"""),39885.0)</f>
        <v>39885</v>
      </c>
      <c r="G73" s="39">
        <f t="shared" si="2"/>
        <v>4</v>
      </c>
      <c r="H73" s="39" t="str">
        <f>IFERROR(__xludf.DUMMYFUNCTION("""COMPUTED_VALUE"""),"Christina Anderson")</f>
        <v>Christina Anderson</v>
      </c>
      <c r="I73" s="40">
        <f t="shared" si="3"/>
        <v>7</v>
      </c>
    </row>
    <row r="74">
      <c r="A74" s="11">
        <v>73.0</v>
      </c>
      <c r="B74" s="12">
        <f t="shared" si="14"/>
        <v>39823</v>
      </c>
      <c r="C74" s="11" t="s">
        <v>222</v>
      </c>
      <c r="D74" s="11" t="s">
        <v>49</v>
      </c>
      <c r="F74" s="38">
        <f>IFERROR(__xludf.DUMMYFUNCTION("""COMPUTED_VALUE"""),39886.0)</f>
        <v>39886</v>
      </c>
      <c r="G74" s="39">
        <f t="shared" si="2"/>
        <v>7</v>
      </c>
      <c r="H74" s="39" t="str">
        <f>IFERROR(__xludf.DUMMYFUNCTION("""COMPUTED_VALUE"""),"Xylona Price")</f>
        <v>Xylona Price</v>
      </c>
      <c r="I74" s="40">
        <f t="shared" si="3"/>
        <v>14</v>
      </c>
    </row>
    <row r="75">
      <c r="A75" s="11">
        <v>74.0</v>
      </c>
      <c r="B75" s="12">
        <f t="shared" si="14"/>
        <v>39823</v>
      </c>
      <c r="C75" s="11" t="s">
        <v>222</v>
      </c>
      <c r="D75" s="11" t="s">
        <v>66</v>
      </c>
      <c r="F75" s="38">
        <f>IFERROR(__xludf.DUMMYFUNCTION("""COMPUTED_VALUE"""),39887.0)</f>
        <v>39887</v>
      </c>
      <c r="G75" s="39">
        <f t="shared" si="2"/>
        <v>6</v>
      </c>
      <c r="H75" s="39" t="str">
        <f>IFERROR(__xludf.DUMMYFUNCTION("""COMPUTED_VALUE"""),"Sylvia Foulston")</f>
        <v>Sylvia Foulston</v>
      </c>
      <c r="I75" s="40">
        <f t="shared" si="3"/>
        <v>24</v>
      </c>
    </row>
    <row r="76">
      <c r="A76" s="11">
        <v>75.0</v>
      </c>
      <c r="B76" s="12">
        <f t="shared" si="14"/>
        <v>39823</v>
      </c>
      <c r="C76" s="11" t="s">
        <v>227</v>
      </c>
      <c r="D76" s="11" t="s">
        <v>66</v>
      </c>
      <c r="F76" s="38">
        <f>IFERROR(__xludf.DUMMYFUNCTION("""COMPUTED_VALUE"""),39888.0)</f>
        <v>39888</v>
      </c>
      <c r="G76" s="39">
        <f t="shared" si="2"/>
        <v>4</v>
      </c>
      <c r="H76" s="39" t="str">
        <f>IFERROR(__xludf.DUMMYFUNCTION("""COMPUTED_VALUE"""),"Jason Klamczynski")</f>
        <v>Jason Klamczynski</v>
      </c>
      <c r="I76" s="40">
        <f t="shared" si="3"/>
        <v>11</v>
      </c>
    </row>
    <row r="77">
      <c r="A77" s="11">
        <v>76.0</v>
      </c>
      <c r="B77" s="12">
        <f t="shared" si="14"/>
        <v>39823</v>
      </c>
      <c r="C77" s="11" t="s">
        <v>227</v>
      </c>
      <c r="D77" s="11" t="s">
        <v>28</v>
      </c>
      <c r="F77" s="38">
        <f>IFERROR(__xludf.DUMMYFUNCTION("""COMPUTED_VALUE"""),39889.0)</f>
        <v>39889</v>
      </c>
      <c r="G77" s="39">
        <f t="shared" si="2"/>
        <v>3</v>
      </c>
      <c r="H77" s="39" t="str">
        <f>IFERROR(__xludf.DUMMYFUNCTION("""COMPUTED_VALUE"""),"Joe Elijah")</f>
        <v>Joe Elijah</v>
      </c>
      <c r="I77" s="40">
        <f t="shared" si="3"/>
        <v>8</v>
      </c>
    </row>
    <row r="78">
      <c r="A78" s="11">
        <v>77.0</v>
      </c>
      <c r="B78" s="12">
        <f t="shared" si="14"/>
        <v>39823</v>
      </c>
      <c r="C78" s="11" t="s">
        <v>232</v>
      </c>
      <c r="D78" s="11" t="s">
        <v>66</v>
      </c>
      <c r="F78" s="38">
        <f>IFERROR(__xludf.DUMMYFUNCTION("""COMPUTED_VALUE"""),39890.0)</f>
        <v>39890</v>
      </c>
      <c r="G78" s="39">
        <f t="shared" si="2"/>
        <v>8</v>
      </c>
      <c r="H78" s="39" t="str">
        <f>IFERROR(__xludf.DUMMYFUNCTION("""COMPUTED_VALUE"""),"Katherine Ducich")</f>
        <v>Katherine Ducich</v>
      </c>
      <c r="I78" s="40">
        <f t="shared" si="3"/>
        <v>7</v>
      </c>
    </row>
    <row r="79">
      <c r="A79" s="11">
        <v>78.0</v>
      </c>
      <c r="B79" s="12">
        <f t="shared" si="14"/>
        <v>39823</v>
      </c>
      <c r="C79" s="11" t="s">
        <v>235</v>
      </c>
      <c r="D79" s="11" t="s">
        <v>28</v>
      </c>
      <c r="F79" s="38">
        <f>IFERROR(__xludf.DUMMYFUNCTION("""COMPUTED_VALUE"""),39891.0)</f>
        <v>39891</v>
      </c>
      <c r="G79" s="39">
        <f t="shared" si="2"/>
        <v>7</v>
      </c>
      <c r="H79" s="39" t="str">
        <f>IFERROR(__xludf.DUMMYFUNCTION("""COMPUTED_VALUE"""),"Carlos Soltero")</f>
        <v>Carlos Soltero</v>
      </c>
      <c r="I79" s="40">
        <f t="shared" si="3"/>
        <v>33</v>
      </c>
    </row>
    <row r="80">
      <c r="A80" s="11">
        <v>79.0</v>
      </c>
      <c r="B80" s="12">
        <f t="shared" si="14"/>
        <v>39823</v>
      </c>
      <c r="C80" s="11" t="s">
        <v>239</v>
      </c>
      <c r="D80" s="11" t="s">
        <v>66</v>
      </c>
      <c r="F80" s="38">
        <f>IFERROR(__xludf.DUMMYFUNCTION("""COMPUTED_VALUE"""),39892.0)</f>
        <v>39892</v>
      </c>
      <c r="G80" s="39">
        <f t="shared" si="2"/>
        <v>6</v>
      </c>
      <c r="H80" s="39" t="str">
        <f>IFERROR(__xludf.DUMMYFUNCTION("""COMPUTED_VALUE"""),"John Lee")</f>
        <v>John Lee</v>
      </c>
      <c r="I80" s="40">
        <f t="shared" si="3"/>
        <v>18</v>
      </c>
    </row>
    <row r="81">
      <c r="A81" s="11">
        <v>80.0</v>
      </c>
      <c r="B81" s="12">
        <f t="shared" si="14"/>
        <v>39823</v>
      </c>
      <c r="C81" s="11" t="s">
        <v>76</v>
      </c>
      <c r="D81" s="11" t="s">
        <v>28</v>
      </c>
      <c r="F81" s="38">
        <f>IFERROR(__xludf.DUMMYFUNCTION("""COMPUTED_VALUE"""),39893.0)</f>
        <v>39893</v>
      </c>
      <c r="G81" s="39">
        <f t="shared" si="2"/>
        <v>6</v>
      </c>
      <c r="H81" s="39" t="str">
        <f>IFERROR(__xludf.DUMMYFUNCTION("""COMPUTED_VALUE"""),"Randy Ferguson")</f>
        <v>Randy Ferguson</v>
      </c>
      <c r="I81" s="40">
        <f t="shared" si="3"/>
        <v>16</v>
      </c>
    </row>
    <row r="82">
      <c r="A82" s="11">
        <v>81.0</v>
      </c>
      <c r="B82" s="12">
        <f t="shared" si="14"/>
        <v>39823</v>
      </c>
      <c r="C82" s="11" t="s">
        <v>243</v>
      </c>
      <c r="D82" s="11" t="s">
        <v>49</v>
      </c>
      <c r="F82" s="38">
        <f>IFERROR(__xludf.DUMMYFUNCTION("""COMPUTED_VALUE"""),39894.0)</f>
        <v>39894</v>
      </c>
      <c r="G82" s="39">
        <f t="shared" si="2"/>
        <v>12</v>
      </c>
      <c r="H82" s="39" t="str">
        <f>IFERROR(__xludf.DUMMYFUNCTION("""COMPUTED_VALUE"""),"Joel Eaton")</f>
        <v>Joel Eaton</v>
      </c>
      <c r="I82" s="40">
        <f t="shared" si="3"/>
        <v>8</v>
      </c>
    </row>
    <row r="83">
      <c r="A83" s="11">
        <v>82.0</v>
      </c>
      <c r="B83" s="12">
        <f t="shared" si="14"/>
        <v>39823</v>
      </c>
      <c r="C83" s="11" t="s">
        <v>243</v>
      </c>
      <c r="D83" s="11" t="s">
        <v>28</v>
      </c>
      <c r="F83" s="38">
        <f>IFERROR(__xludf.DUMMYFUNCTION("""COMPUTED_VALUE"""),39895.0)</f>
        <v>39895</v>
      </c>
      <c r="G83" s="39">
        <f t="shared" si="2"/>
        <v>7</v>
      </c>
      <c r="H83" s="39" t="str">
        <f>IFERROR(__xludf.DUMMYFUNCTION("""COMPUTED_VALUE"""),"Paul Prost")</f>
        <v>Paul Prost</v>
      </c>
      <c r="I83" s="40">
        <f t="shared" si="3"/>
        <v>11</v>
      </c>
    </row>
    <row r="84">
      <c r="A84" s="11">
        <v>83.0</v>
      </c>
      <c r="B84" s="12">
        <f t="shared" ref="B84:B90" si="15">DATE(2012,12,31)-1450</f>
        <v>39824</v>
      </c>
      <c r="C84" s="11" t="s">
        <v>248</v>
      </c>
      <c r="D84" s="11" t="s">
        <v>66</v>
      </c>
      <c r="F84" s="38">
        <f>IFERROR(__xludf.DUMMYFUNCTION("""COMPUTED_VALUE"""),39896.0)</f>
        <v>39896</v>
      </c>
      <c r="G84" s="39">
        <f t="shared" si="2"/>
        <v>7</v>
      </c>
      <c r="H84" s="39" t="str">
        <f>IFERROR(__xludf.DUMMYFUNCTION("""COMPUTED_VALUE"""),"Natalie Webber")</f>
        <v>Natalie Webber</v>
      </c>
      <c r="I84" s="40">
        <f t="shared" si="3"/>
        <v>18</v>
      </c>
    </row>
    <row r="85">
      <c r="A85" s="11">
        <v>84.0</v>
      </c>
      <c r="B85" s="12">
        <f t="shared" si="15"/>
        <v>39824</v>
      </c>
      <c r="C85" s="11" t="s">
        <v>251</v>
      </c>
      <c r="D85" s="11" t="s">
        <v>66</v>
      </c>
      <c r="F85" s="38">
        <f>IFERROR(__xludf.DUMMYFUNCTION("""COMPUTED_VALUE"""),39897.0)</f>
        <v>39897</v>
      </c>
      <c r="G85" s="39">
        <f t="shared" si="2"/>
        <v>10</v>
      </c>
      <c r="H85" s="39" t="str">
        <f>IFERROR(__xludf.DUMMYFUNCTION("""COMPUTED_VALUE"""),"Erica Bern")</f>
        <v>Erica Bern</v>
      </c>
      <c r="I85" s="40">
        <f t="shared" si="3"/>
        <v>18</v>
      </c>
    </row>
    <row r="86">
      <c r="A86" s="11">
        <v>85.0</v>
      </c>
      <c r="B86" s="12">
        <f t="shared" si="15"/>
        <v>39824</v>
      </c>
      <c r="C86" s="11" t="s">
        <v>253</v>
      </c>
      <c r="D86" s="11" t="s">
        <v>66</v>
      </c>
      <c r="F86" s="38">
        <f>IFERROR(__xludf.DUMMYFUNCTION("""COMPUTED_VALUE"""),39898.0)</f>
        <v>39898</v>
      </c>
      <c r="G86" s="39">
        <f t="shared" si="2"/>
        <v>6</v>
      </c>
      <c r="H86" s="39" t="str">
        <f>IFERROR(__xludf.DUMMYFUNCTION("""COMPUTED_VALUE"""),"Kristen Hastings")</f>
        <v>Kristen Hastings</v>
      </c>
      <c r="I86" s="40">
        <f t="shared" si="3"/>
        <v>10</v>
      </c>
    </row>
    <row r="87">
      <c r="A87" s="11">
        <v>86.0</v>
      </c>
      <c r="B87" s="12">
        <f t="shared" si="15"/>
        <v>39824</v>
      </c>
      <c r="C87" s="11" t="s">
        <v>253</v>
      </c>
      <c r="D87" s="11" t="s">
        <v>49</v>
      </c>
      <c r="F87" s="38">
        <f>IFERROR(__xludf.DUMMYFUNCTION("""COMPUTED_VALUE"""),39899.0)</f>
        <v>39899</v>
      </c>
      <c r="G87" s="39">
        <f t="shared" si="2"/>
        <v>15</v>
      </c>
      <c r="H87" s="39" t="str">
        <f>IFERROR(__xludf.DUMMYFUNCTION("""COMPUTED_VALUE"""),"Arthur Gainer")</f>
        <v>Arthur Gainer</v>
      </c>
      <c r="I87" s="40">
        <f t="shared" si="3"/>
        <v>12</v>
      </c>
    </row>
    <row r="88">
      <c r="A88" s="11">
        <v>87.0</v>
      </c>
      <c r="B88" s="12">
        <f t="shared" si="15"/>
        <v>39824</v>
      </c>
      <c r="C88" s="11" t="s">
        <v>253</v>
      </c>
      <c r="D88" s="11" t="s">
        <v>28</v>
      </c>
      <c r="F88" s="38">
        <f>IFERROR(__xludf.DUMMYFUNCTION("""COMPUTED_VALUE"""),39900.0)</f>
        <v>39900</v>
      </c>
      <c r="G88" s="39">
        <f t="shared" si="2"/>
        <v>7</v>
      </c>
      <c r="H88" s="39" t="str">
        <f>IFERROR(__xludf.DUMMYFUNCTION("""COMPUTED_VALUE"""),"Stuart Calhoun")</f>
        <v>Stuart Calhoun</v>
      </c>
      <c r="I88" s="40">
        <f t="shared" si="3"/>
        <v>9</v>
      </c>
    </row>
    <row r="89">
      <c r="A89" s="11">
        <v>88.0</v>
      </c>
      <c r="B89" s="12">
        <f t="shared" si="15"/>
        <v>39824</v>
      </c>
      <c r="C89" s="11" t="s">
        <v>253</v>
      </c>
      <c r="D89" s="11" t="s">
        <v>49</v>
      </c>
      <c r="F89" s="38">
        <f>IFERROR(__xludf.DUMMYFUNCTION("""COMPUTED_VALUE"""),39901.0)</f>
        <v>39901</v>
      </c>
      <c r="G89" s="39">
        <f t="shared" si="2"/>
        <v>4</v>
      </c>
      <c r="H89" s="39" t="str">
        <f>IFERROR(__xludf.DUMMYFUNCTION("""COMPUTED_VALUE"""),"Chris Cortes")</f>
        <v>Chris Cortes</v>
      </c>
      <c r="I89" s="40">
        <f t="shared" si="3"/>
        <v>8</v>
      </c>
    </row>
    <row r="90">
      <c r="A90" s="11">
        <v>89.0</v>
      </c>
      <c r="B90" s="12">
        <f t="shared" si="15"/>
        <v>39824</v>
      </c>
      <c r="C90" s="11" t="s">
        <v>253</v>
      </c>
      <c r="D90" s="11" t="s">
        <v>28</v>
      </c>
      <c r="F90" s="38">
        <f>IFERROR(__xludf.DUMMYFUNCTION("""COMPUTED_VALUE"""),39902.0)</f>
        <v>39902</v>
      </c>
      <c r="G90" s="39">
        <f t="shared" si="2"/>
        <v>7</v>
      </c>
      <c r="H90" s="39" t="str">
        <f>IFERROR(__xludf.DUMMYFUNCTION("""COMPUTED_VALUE"""),"Tanja Norvell")</f>
        <v>Tanja Norvell</v>
      </c>
      <c r="I90" s="40">
        <f t="shared" si="3"/>
        <v>22</v>
      </c>
    </row>
    <row r="91">
      <c r="A91" s="11">
        <v>90.0</v>
      </c>
      <c r="B91" s="12">
        <f t="shared" ref="B91:B98" si="16">DATE(2012,12,31)-1449</f>
        <v>39825</v>
      </c>
      <c r="C91" s="11" t="s">
        <v>262</v>
      </c>
      <c r="D91" s="11" t="s">
        <v>49</v>
      </c>
      <c r="F91" s="38">
        <f>IFERROR(__xludf.DUMMYFUNCTION("""COMPUTED_VALUE"""),39903.0)</f>
        <v>39903</v>
      </c>
      <c r="G91" s="39">
        <f t="shared" si="2"/>
        <v>3</v>
      </c>
      <c r="H91" s="39" t="str">
        <f>IFERROR(__xludf.DUMMYFUNCTION("""COMPUTED_VALUE"""),"Cynthia Arntzen")</f>
        <v>Cynthia Arntzen</v>
      </c>
      <c r="I91" s="40">
        <f t="shared" si="3"/>
        <v>25</v>
      </c>
    </row>
    <row r="92">
      <c r="A92" s="11">
        <v>91.0</v>
      </c>
      <c r="B92" s="12">
        <f t="shared" si="16"/>
        <v>39825</v>
      </c>
      <c r="C92" s="11" t="s">
        <v>262</v>
      </c>
      <c r="D92" s="11" t="s">
        <v>28</v>
      </c>
      <c r="F92" s="38">
        <f>IFERROR(__xludf.DUMMYFUNCTION("""COMPUTED_VALUE"""),39904.0)</f>
        <v>39904</v>
      </c>
      <c r="G92" s="39">
        <f t="shared" si="2"/>
        <v>7</v>
      </c>
      <c r="H92" s="39" t="str">
        <f>IFERROR(__xludf.DUMMYFUNCTION("""COMPUTED_VALUE"""),"Arthur Prichep")</f>
        <v>Arthur Prichep</v>
      </c>
      <c r="I92" s="40">
        <f t="shared" si="3"/>
        <v>13</v>
      </c>
    </row>
    <row r="93">
      <c r="A93" s="11">
        <v>92.0</v>
      </c>
      <c r="B93" s="12">
        <f t="shared" si="16"/>
        <v>39825</v>
      </c>
      <c r="C93" s="11" t="s">
        <v>262</v>
      </c>
      <c r="D93" s="11" t="s">
        <v>28</v>
      </c>
      <c r="F93" s="38">
        <f>IFERROR(__xludf.DUMMYFUNCTION("""COMPUTED_VALUE"""),39905.0)</f>
        <v>39905</v>
      </c>
      <c r="G93" s="39">
        <f t="shared" si="2"/>
        <v>5</v>
      </c>
      <c r="H93" s="39" t="str">
        <f>IFERROR(__xludf.DUMMYFUNCTION("""COMPUTED_VALUE"""),"Roy Phan")</f>
        <v>Roy Phan</v>
      </c>
      <c r="I93" s="40">
        <f t="shared" si="3"/>
        <v>18</v>
      </c>
    </row>
    <row r="94">
      <c r="A94" s="11">
        <v>93.0</v>
      </c>
      <c r="B94" s="12">
        <f t="shared" si="16"/>
        <v>39825</v>
      </c>
      <c r="C94" s="11" t="s">
        <v>268</v>
      </c>
      <c r="D94" s="11" t="s">
        <v>28</v>
      </c>
      <c r="F94" s="38">
        <f>IFERROR(__xludf.DUMMYFUNCTION("""COMPUTED_VALUE"""),39906.0)</f>
        <v>39906</v>
      </c>
      <c r="G94" s="39">
        <f t="shared" si="2"/>
        <v>1</v>
      </c>
      <c r="H94" s="39" t="str">
        <f>IFERROR(__xludf.DUMMYFUNCTION("""COMPUTED_VALUE"""),"Aaron Smayling")</f>
        <v>Aaron Smayling</v>
      </c>
      <c r="I94" s="40">
        <f t="shared" si="3"/>
        <v>14</v>
      </c>
    </row>
    <row r="95">
      <c r="A95" s="11">
        <v>94.0</v>
      </c>
      <c r="B95" s="12">
        <f t="shared" si="16"/>
        <v>39825</v>
      </c>
      <c r="C95" s="11" t="s">
        <v>271</v>
      </c>
      <c r="D95" s="11" t="s">
        <v>66</v>
      </c>
      <c r="F95" s="38">
        <f>IFERROR(__xludf.DUMMYFUNCTION("""COMPUTED_VALUE"""),39907.0)</f>
        <v>39907</v>
      </c>
      <c r="G95" s="39">
        <f t="shared" si="2"/>
        <v>6</v>
      </c>
      <c r="H95" s="39" t="str">
        <f>IFERROR(__xludf.DUMMYFUNCTION("""COMPUTED_VALUE"""),"Harold Ryan")</f>
        <v>Harold Ryan</v>
      </c>
      <c r="I95" s="40">
        <f t="shared" si="3"/>
        <v>12</v>
      </c>
    </row>
    <row r="96">
      <c r="A96" s="11">
        <v>95.0</v>
      </c>
      <c r="B96" s="12">
        <f t="shared" si="16"/>
        <v>39825</v>
      </c>
      <c r="C96" s="11" t="s">
        <v>274</v>
      </c>
      <c r="D96" s="11" t="s">
        <v>28</v>
      </c>
      <c r="F96" s="38">
        <f>IFERROR(__xludf.DUMMYFUNCTION("""COMPUTED_VALUE"""),39908.0)</f>
        <v>39908</v>
      </c>
      <c r="G96" s="39">
        <f t="shared" si="2"/>
        <v>4</v>
      </c>
      <c r="H96" s="39" t="str">
        <f>IFERROR(__xludf.DUMMYFUNCTION("""COMPUTED_VALUE"""),"Thea Hudgings")</f>
        <v>Thea Hudgings</v>
      </c>
      <c r="I96" s="40">
        <f t="shared" si="3"/>
        <v>9</v>
      </c>
    </row>
    <row r="97">
      <c r="A97" s="11">
        <v>96.0</v>
      </c>
      <c r="B97" s="12">
        <f t="shared" si="16"/>
        <v>39825</v>
      </c>
      <c r="C97" s="11" t="s">
        <v>276</v>
      </c>
      <c r="D97" s="11" t="s">
        <v>49</v>
      </c>
      <c r="F97" s="38">
        <f>IFERROR(__xludf.DUMMYFUNCTION("""COMPUTED_VALUE"""),39909.0)</f>
        <v>39909</v>
      </c>
      <c r="G97" s="39">
        <f t="shared" si="2"/>
        <v>14</v>
      </c>
      <c r="H97" s="39" t="str">
        <f>IFERROR(__xludf.DUMMYFUNCTION("""COMPUTED_VALUE"""),"Andrew Allen")</f>
        <v>Andrew Allen</v>
      </c>
      <c r="I97" s="40">
        <f t="shared" si="3"/>
        <v>7</v>
      </c>
    </row>
    <row r="98">
      <c r="A98" s="11">
        <v>97.0</v>
      </c>
      <c r="B98" s="12">
        <f t="shared" si="16"/>
        <v>39825</v>
      </c>
      <c r="C98" s="11" t="s">
        <v>276</v>
      </c>
      <c r="D98" s="11" t="s">
        <v>28</v>
      </c>
      <c r="F98" s="38">
        <f>IFERROR(__xludf.DUMMYFUNCTION("""COMPUTED_VALUE"""),39910.0)</f>
        <v>39910</v>
      </c>
      <c r="G98" s="39">
        <f t="shared" si="2"/>
        <v>7</v>
      </c>
      <c r="H98" s="39" t="str">
        <f>IFERROR(__xludf.DUMMYFUNCTION("""COMPUTED_VALUE"""),"Sally Matthias")</f>
        <v>Sally Matthias</v>
      </c>
      <c r="I98" s="40">
        <f t="shared" si="3"/>
        <v>11</v>
      </c>
    </row>
    <row r="99">
      <c r="A99" s="11">
        <v>98.0</v>
      </c>
      <c r="B99" s="12">
        <f t="shared" ref="B99:B102" si="17">DATE(2012,12,31)-1448</f>
        <v>39826</v>
      </c>
      <c r="C99" s="11" t="s">
        <v>279</v>
      </c>
      <c r="D99" s="11" t="s">
        <v>66</v>
      </c>
      <c r="F99" s="38">
        <f>IFERROR(__xludf.DUMMYFUNCTION("""COMPUTED_VALUE"""),39911.0)</f>
        <v>39911</v>
      </c>
      <c r="G99" s="39">
        <f t="shared" si="2"/>
        <v>6</v>
      </c>
      <c r="H99" s="39" t="str">
        <f>IFERROR(__xludf.DUMMYFUNCTION("""COMPUTED_VALUE"""),"Guy Phonely")</f>
        <v>Guy Phonely</v>
      </c>
      <c r="I99" s="40">
        <f t="shared" si="3"/>
        <v>10</v>
      </c>
    </row>
    <row r="100">
      <c r="A100" s="11">
        <v>99.0</v>
      </c>
      <c r="B100" s="12">
        <f t="shared" si="17"/>
        <v>39826</v>
      </c>
      <c r="C100" s="11" t="s">
        <v>279</v>
      </c>
      <c r="D100" s="11" t="s">
        <v>28</v>
      </c>
      <c r="F100" s="38">
        <f>IFERROR(__xludf.DUMMYFUNCTION("""COMPUTED_VALUE"""),39912.0)</f>
        <v>39912</v>
      </c>
      <c r="G100" s="39">
        <f t="shared" si="2"/>
        <v>14</v>
      </c>
      <c r="H100" s="39" t="str">
        <f>IFERROR(__xludf.DUMMYFUNCTION("""COMPUTED_VALUE"""),"Khloe Miller")</f>
        <v>Khloe Miller</v>
      </c>
      <c r="I100" s="40">
        <f t="shared" si="3"/>
        <v>17</v>
      </c>
    </row>
    <row r="101">
      <c r="A101" s="11">
        <v>100.0</v>
      </c>
      <c r="B101" s="12">
        <f t="shared" si="17"/>
        <v>39826</v>
      </c>
      <c r="C101" s="11" t="s">
        <v>282</v>
      </c>
      <c r="D101" s="11" t="s">
        <v>28</v>
      </c>
      <c r="F101" s="38">
        <f>IFERROR(__xludf.DUMMYFUNCTION("""COMPUTED_VALUE"""),39913.0)</f>
        <v>39913</v>
      </c>
      <c r="G101" s="39">
        <f t="shared" si="2"/>
        <v>11</v>
      </c>
      <c r="H101" s="39" t="str">
        <f>IFERROR(__xludf.DUMMYFUNCTION("""COMPUTED_VALUE"""),"Nathan Mautz")</f>
        <v>Nathan Mautz</v>
      </c>
      <c r="I101" s="40">
        <f t="shared" si="3"/>
        <v>22</v>
      </c>
    </row>
    <row r="102">
      <c r="A102" s="11">
        <v>101.0</v>
      </c>
      <c r="B102" s="12">
        <f t="shared" si="17"/>
        <v>39826</v>
      </c>
      <c r="C102" s="11" t="s">
        <v>285</v>
      </c>
      <c r="D102" s="11" t="s">
        <v>49</v>
      </c>
      <c r="F102" s="38">
        <f>IFERROR(__xludf.DUMMYFUNCTION("""COMPUTED_VALUE"""),39914.0)</f>
        <v>39914</v>
      </c>
      <c r="G102" s="39">
        <f t="shared" si="2"/>
        <v>4</v>
      </c>
      <c r="H102" s="39" t="str">
        <f>IFERROR(__xludf.DUMMYFUNCTION("""COMPUTED_VALUE"""),"Russell Applegate")</f>
        <v>Russell Applegate</v>
      </c>
      <c r="I102" s="40">
        <f t="shared" si="3"/>
        <v>11</v>
      </c>
    </row>
    <row r="103">
      <c r="A103" s="11">
        <v>102.0</v>
      </c>
      <c r="B103" s="12">
        <f t="shared" ref="B103:B114" si="18">DATE(2012,12,31)-1447</f>
        <v>39827</v>
      </c>
      <c r="C103" s="11" t="s">
        <v>288</v>
      </c>
      <c r="D103" s="11" t="s">
        <v>66</v>
      </c>
      <c r="F103" s="38">
        <f>IFERROR(__xludf.DUMMYFUNCTION("""COMPUTED_VALUE"""),39915.0)</f>
        <v>39915</v>
      </c>
      <c r="G103" s="39">
        <f t="shared" si="2"/>
        <v>4</v>
      </c>
      <c r="H103" s="39" t="str">
        <f>IFERROR(__xludf.DUMMYFUNCTION("""COMPUTED_VALUE"""),"Jocasta Rupert")</f>
        <v>Jocasta Rupert</v>
      </c>
      <c r="I103" s="40">
        <f t="shared" si="3"/>
        <v>4</v>
      </c>
    </row>
    <row r="104">
      <c r="A104" s="11">
        <v>103.0</v>
      </c>
      <c r="B104" s="12">
        <f t="shared" si="18"/>
        <v>39827</v>
      </c>
      <c r="C104" s="11" t="s">
        <v>288</v>
      </c>
      <c r="D104" s="11" t="s">
        <v>28</v>
      </c>
      <c r="F104" s="38">
        <f>IFERROR(__xludf.DUMMYFUNCTION("""COMPUTED_VALUE"""),39916.0)</f>
        <v>39916</v>
      </c>
      <c r="G104" s="39">
        <f t="shared" si="2"/>
        <v>3</v>
      </c>
      <c r="H104" s="39" t="str">
        <f>IFERROR(__xludf.DUMMYFUNCTION("""COMPUTED_VALUE"""),"Victoria Brennan")</f>
        <v>Victoria Brennan</v>
      </c>
      <c r="I104" s="40">
        <f t="shared" si="3"/>
        <v>11</v>
      </c>
    </row>
    <row r="105">
      <c r="A105" s="11">
        <v>104.0</v>
      </c>
      <c r="B105" s="12">
        <f t="shared" si="18"/>
        <v>39827</v>
      </c>
      <c r="C105" s="11" t="s">
        <v>293</v>
      </c>
      <c r="D105" s="11" t="s">
        <v>28</v>
      </c>
      <c r="F105" s="38">
        <f>IFERROR(__xludf.DUMMYFUNCTION("""COMPUTED_VALUE"""),39917.0)</f>
        <v>39917</v>
      </c>
      <c r="G105" s="39">
        <f t="shared" si="2"/>
        <v>3</v>
      </c>
      <c r="H105" s="39" t="str">
        <f>IFERROR(__xludf.DUMMYFUNCTION("""COMPUTED_VALUE"""),"Cynthia Delaney")</f>
        <v>Cynthia Delaney</v>
      </c>
      <c r="I105" s="40">
        <f t="shared" si="3"/>
        <v>12</v>
      </c>
    </row>
    <row r="106">
      <c r="A106" s="11">
        <v>105.0</v>
      </c>
      <c r="B106" s="12">
        <f t="shared" si="18"/>
        <v>39827</v>
      </c>
      <c r="C106" s="11" t="s">
        <v>293</v>
      </c>
      <c r="D106" s="11" t="s">
        <v>28</v>
      </c>
      <c r="F106" s="38">
        <f>IFERROR(__xludf.DUMMYFUNCTION("""COMPUTED_VALUE"""),39918.0)</f>
        <v>39918</v>
      </c>
      <c r="G106" s="39">
        <f t="shared" si="2"/>
        <v>5</v>
      </c>
      <c r="H106" s="39" t="str">
        <f>IFERROR(__xludf.DUMMYFUNCTION("""COMPUTED_VALUE"""),"Filia McAdams")</f>
        <v>Filia McAdams</v>
      </c>
      <c r="I106" s="40">
        <f t="shared" si="3"/>
        <v>9</v>
      </c>
    </row>
    <row r="107">
      <c r="A107" s="11">
        <v>106.0</v>
      </c>
      <c r="B107" s="12">
        <f t="shared" si="18"/>
        <v>39827</v>
      </c>
      <c r="C107" s="11" t="s">
        <v>293</v>
      </c>
      <c r="D107" s="11" t="s">
        <v>49</v>
      </c>
      <c r="F107" s="38">
        <f>IFERROR(__xludf.DUMMYFUNCTION("""COMPUTED_VALUE"""),39919.0)</f>
        <v>39919</v>
      </c>
      <c r="G107" s="39">
        <f t="shared" si="2"/>
        <v>4</v>
      </c>
      <c r="H107" s="39" t="str">
        <f>IFERROR(__xludf.DUMMYFUNCTION("""COMPUTED_VALUE"""),"Debra Catini")</f>
        <v>Debra Catini</v>
      </c>
      <c r="I107" s="40">
        <f t="shared" si="3"/>
        <v>11</v>
      </c>
    </row>
    <row r="108">
      <c r="A108" s="11">
        <v>107.0</v>
      </c>
      <c r="B108" s="12">
        <f t="shared" si="18"/>
        <v>39827</v>
      </c>
      <c r="C108" s="11" t="s">
        <v>293</v>
      </c>
      <c r="D108" s="11" t="s">
        <v>28</v>
      </c>
      <c r="F108" s="38">
        <f>IFERROR(__xludf.DUMMYFUNCTION("""COMPUTED_VALUE"""),39920.0)</f>
        <v>39920</v>
      </c>
      <c r="G108" s="39">
        <f t="shared" si="2"/>
        <v>4</v>
      </c>
      <c r="H108" s="39" t="str">
        <f>IFERROR(__xludf.DUMMYFUNCTION("""COMPUTED_VALUE"""),"Michael Dominguez")</f>
        <v>Michael Dominguez</v>
      </c>
      <c r="I108" s="40">
        <f t="shared" si="3"/>
        <v>19</v>
      </c>
    </row>
    <row r="109">
      <c r="A109" s="11">
        <v>108.0</v>
      </c>
      <c r="B109" s="12">
        <f t="shared" si="18"/>
        <v>39827</v>
      </c>
      <c r="C109" s="11" t="s">
        <v>300</v>
      </c>
      <c r="D109" s="11" t="s">
        <v>28</v>
      </c>
      <c r="F109" s="38">
        <f>IFERROR(__xludf.DUMMYFUNCTION("""COMPUTED_VALUE"""),39921.0)</f>
        <v>39921</v>
      </c>
      <c r="G109" s="39">
        <f t="shared" si="2"/>
        <v>8</v>
      </c>
      <c r="H109" s="39" t="str">
        <f>IFERROR(__xludf.DUMMYFUNCTION("""COMPUTED_VALUE"""),"Laurel Beltran")</f>
        <v>Laurel Beltran</v>
      </c>
      <c r="I109" s="40">
        <f t="shared" si="3"/>
        <v>4</v>
      </c>
    </row>
    <row r="110">
      <c r="A110" s="11">
        <v>109.0</v>
      </c>
      <c r="B110" s="12">
        <f t="shared" si="18"/>
        <v>39827</v>
      </c>
      <c r="C110" s="11" t="s">
        <v>300</v>
      </c>
      <c r="D110" s="11" t="s">
        <v>66</v>
      </c>
      <c r="F110" s="38">
        <f>IFERROR(__xludf.DUMMYFUNCTION("""COMPUTED_VALUE"""),39922.0)</f>
        <v>39922</v>
      </c>
      <c r="G110" s="39">
        <f t="shared" si="2"/>
        <v>7</v>
      </c>
      <c r="H110" s="39" t="str">
        <f>IFERROR(__xludf.DUMMYFUNCTION("""COMPUTED_VALUE"""),"Ken Brennan")</f>
        <v>Ken Brennan</v>
      </c>
      <c r="I110" s="40">
        <f t="shared" si="3"/>
        <v>10</v>
      </c>
    </row>
    <row r="111">
      <c r="A111" s="11">
        <v>110.0</v>
      </c>
      <c r="B111" s="12">
        <f t="shared" si="18"/>
        <v>39827</v>
      </c>
      <c r="C111" s="11" t="s">
        <v>300</v>
      </c>
      <c r="D111" s="11" t="s">
        <v>28</v>
      </c>
      <c r="F111" s="38">
        <f>IFERROR(__xludf.DUMMYFUNCTION("""COMPUTED_VALUE"""),39923.0)</f>
        <v>39923</v>
      </c>
      <c r="G111" s="39">
        <f t="shared" si="2"/>
        <v>6</v>
      </c>
      <c r="H111" s="39" t="str">
        <f>IFERROR(__xludf.DUMMYFUNCTION("""COMPUTED_VALUE"""),"Gene Hale")</f>
        <v>Gene Hale</v>
      </c>
      <c r="I111" s="40">
        <f t="shared" si="3"/>
        <v>10</v>
      </c>
    </row>
    <row r="112">
      <c r="A112" s="11">
        <v>111.0</v>
      </c>
      <c r="B112" s="12">
        <f t="shared" si="18"/>
        <v>39827</v>
      </c>
      <c r="C112" s="11" t="s">
        <v>307</v>
      </c>
      <c r="D112" s="11" t="s">
        <v>49</v>
      </c>
      <c r="F112" s="38">
        <f>IFERROR(__xludf.DUMMYFUNCTION("""COMPUTED_VALUE"""),39924.0)</f>
        <v>39924</v>
      </c>
      <c r="G112" s="39">
        <f t="shared" si="2"/>
        <v>8</v>
      </c>
      <c r="H112" s="39" t="str">
        <f>IFERROR(__xludf.DUMMYFUNCTION("""COMPUTED_VALUE"""),"Stefanie Holloman")</f>
        <v>Stefanie Holloman</v>
      </c>
      <c r="I112" s="40">
        <f t="shared" si="3"/>
        <v>3</v>
      </c>
    </row>
    <row r="113">
      <c r="A113" s="11">
        <v>112.0</v>
      </c>
      <c r="B113" s="12">
        <f t="shared" si="18"/>
        <v>39827</v>
      </c>
      <c r="C113" s="11" t="s">
        <v>307</v>
      </c>
      <c r="D113" s="11" t="s">
        <v>66</v>
      </c>
      <c r="F113" s="38">
        <f>IFERROR(__xludf.DUMMYFUNCTION("""COMPUTED_VALUE"""),39925.0)</f>
        <v>39925</v>
      </c>
      <c r="G113" s="39">
        <f t="shared" si="2"/>
        <v>6</v>
      </c>
      <c r="H113" s="39" t="str">
        <f>IFERROR(__xludf.DUMMYFUNCTION("""COMPUTED_VALUE"""),"Sean O'Donnell")</f>
        <v>Sean O'Donnell</v>
      </c>
      <c r="I113" s="40">
        <f t="shared" si="3"/>
        <v>16</v>
      </c>
    </row>
    <row r="114">
      <c r="A114" s="11">
        <v>113.0</v>
      </c>
      <c r="B114" s="12">
        <f t="shared" si="18"/>
        <v>39827</v>
      </c>
      <c r="C114" s="11" t="s">
        <v>307</v>
      </c>
      <c r="D114" s="11" t="s">
        <v>49</v>
      </c>
      <c r="F114" s="38">
        <f>IFERROR(__xludf.DUMMYFUNCTION("""COMPUTED_VALUE"""),39926.0)</f>
        <v>39926</v>
      </c>
      <c r="G114" s="39">
        <f t="shared" si="2"/>
        <v>6</v>
      </c>
      <c r="H114" s="39" t="str">
        <f>IFERROR(__xludf.DUMMYFUNCTION("""COMPUTED_VALUE"""),"Cindy Chapman")</f>
        <v>Cindy Chapman</v>
      </c>
      <c r="I114" s="40">
        <f t="shared" si="3"/>
        <v>20</v>
      </c>
    </row>
    <row r="115">
      <c r="A115" s="11">
        <v>114.0</v>
      </c>
      <c r="B115" s="12">
        <f t="shared" ref="B115:B120" si="19">DATE(2012,12,31)-1446</f>
        <v>39828</v>
      </c>
      <c r="C115" s="11" t="s">
        <v>312</v>
      </c>
      <c r="D115" s="11" t="s">
        <v>28</v>
      </c>
      <c r="F115" s="38">
        <f>IFERROR(__xludf.DUMMYFUNCTION("""COMPUTED_VALUE"""),39927.0)</f>
        <v>39927</v>
      </c>
      <c r="G115" s="39">
        <f t="shared" si="2"/>
        <v>6</v>
      </c>
      <c r="H115" s="39" t="str">
        <f>IFERROR(__xludf.DUMMYFUNCTION("""COMPUTED_VALUE"""),"Cari Sayre")</f>
        <v>Cari Sayre</v>
      </c>
      <c r="I115" s="40">
        <f t="shared" si="3"/>
        <v>16</v>
      </c>
    </row>
    <row r="116">
      <c r="A116" s="11">
        <v>115.0</v>
      </c>
      <c r="B116" s="12">
        <f t="shared" si="19"/>
        <v>39828</v>
      </c>
      <c r="C116" s="11" t="s">
        <v>312</v>
      </c>
      <c r="D116" s="11" t="s">
        <v>28</v>
      </c>
      <c r="F116" s="38">
        <f>IFERROR(__xludf.DUMMYFUNCTION("""COMPUTED_VALUE"""),39928.0)</f>
        <v>39928</v>
      </c>
      <c r="G116" s="39">
        <f t="shared" si="2"/>
        <v>1</v>
      </c>
      <c r="H116" s="39" t="str">
        <f>IFERROR(__xludf.DUMMYFUNCTION("""COMPUTED_VALUE"""),"Adam Hart")</f>
        <v>Adam Hart</v>
      </c>
      <c r="I116" s="40">
        <f t="shared" si="3"/>
        <v>27</v>
      </c>
    </row>
    <row r="117">
      <c r="A117" s="11">
        <v>116.0</v>
      </c>
      <c r="B117" s="12">
        <f t="shared" si="19"/>
        <v>39828</v>
      </c>
      <c r="C117" s="11" t="s">
        <v>317</v>
      </c>
      <c r="D117" s="11" t="s">
        <v>49</v>
      </c>
      <c r="F117" s="38">
        <f>IFERROR(__xludf.DUMMYFUNCTION("""COMPUTED_VALUE"""),39929.0)</f>
        <v>39929</v>
      </c>
      <c r="G117" s="39">
        <f t="shared" si="2"/>
        <v>4</v>
      </c>
      <c r="H117" s="39" t="str">
        <f>IFERROR(__xludf.DUMMYFUNCTION("""COMPUTED_VALUE"""),"Liz MacKendrick")</f>
        <v>Liz MacKendrick</v>
      </c>
      <c r="I117" s="40">
        <f t="shared" si="3"/>
        <v>20</v>
      </c>
    </row>
    <row r="118">
      <c r="A118" s="11">
        <v>117.0</v>
      </c>
      <c r="B118" s="12">
        <f t="shared" si="19"/>
        <v>39828</v>
      </c>
      <c r="C118" s="11" t="s">
        <v>320</v>
      </c>
      <c r="D118" s="11" t="s">
        <v>28</v>
      </c>
      <c r="F118" s="38">
        <f>IFERROR(__xludf.DUMMYFUNCTION("""COMPUTED_VALUE"""),39930.0)</f>
        <v>39930</v>
      </c>
      <c r="G118" s="39">
        <f t="shared" si="2"/>
        <v>5</v>
      </c>
      <c r="H118" s="39" t="str">
        <f>IFERROR(__xludf.DUMMYFUNCTION("""COMPUTED_VALUE"""),"Katherine Hughes")</f>
        <v>Katherine Hughes</v>
      </c>
      <c r="I118" s="40">
        <f t="shared" si="3"/>
        <v>8</v>
      </c>
    </row>
    <row r="119">
      <c r="A119" s="11">
        <v>118.0</v>
      </c>
      <c r="B119" s="12">
        <f t="shared" si="19"/>
        <v>39828</v>
      </c>
      <c r="C119" s="11" t="s">
        <v>323</v>
      </c>
      <c r="D119" s="11" t="s">
        <v>28</v>
      </c>
      <c r="F119" s="38">
        <f>IFERROR(__xludf.DUMMYFUNCTION("""COMPUTED_VALUE"""),39931.0)</f>
        <v>39931</v>
      </c>
      <c r="G119" s="39">
        <f t="shared" si="2"/>
        <v>6</v>
      </c>
      <c r="H119" s="39" t="str">
        <f>IFERROR(__xludf.DUMMYFUNCTION("""COMPUTED_VALUE"""),"Clay Rozendal")</f>
        <v>Clay Rozendal</v>
      </c>
      <c r="I119" s="40">
        <f t="shared" si="3"/>
        <v>5</v>
      </c>
    </row>
    <row r="120">
      <c r="A120" s="11">
        <v>119.0</v>
      </c>
      <c r="B120" s="12">
        <f t="shared" si="19"/>
        <v>39828</v>
      </c>
      <c r="C120" s="11" t="s">
        <v>326</v>
      </c>
      <c r="D120" s="11" t="s">
        <v>28</v>
      </c>
      <c r="F120" s="38">
        <f>IFERROR(__xludf.DUMMYFUNCTION("""COMPUTED_VALUE"""),39932.0)</f>
        <v>39932</v>
      </c>
      <c r="G120" s="39">
        <f t="shared" si="2"/>
        <v>4</v>
      </c>
      <c r="H120" s="39" t="str">
        <f>IFERROR(__xludf.DUMMYFUNCTION("""COMPUTED_VALUE"""),"Eugene Barchas")</f>
        <v>Eugene Barchas</v>
      </c>
      <c r="I120" s="40">
        <f t="shared" si="3"/>
        <v>10</v>
      </c>
    </row>
    <row r="121">
      <c r="A121" s="11">
        <v>120.0</v>
      </c>
      <c r="B121" s="12">
        <f t="shared" ref="B121:B130" si="20">DATE(2012,12,31)-1445</f>
        <v>39829</v>
      </c>
      <c r="C121" s="11" t="s">
        <v>329</v>
      </c>
      <c r="D121" s="11" t="s">
        <v>49</v>
      </c>
      <c r="F121" s="38">
        <f>IFERROR(__xludf.DUMMYFUNCTION("""COMPUTED_VALUE"""),39933.0)</f>
        <v>39933</v>
      </c>
      <c r="G121" s="39">
        <f t="shared" si="2"/>
        <v>3</v>
      </c>
      <c r="H121" s="39" t="str">
        <f>IFERROR(__xludf.DUMMYFUNCTION("""COMPUTED_VALUE"""),"Maria Zettner")</f>
        <v>Maria Zettner</v>
      </c>
      <c r="I121" s="40">
        <f t="shared" si="3"/>
        <v>12</v>
      </c>
    </row>
    <row r="122">
      <c r="A122" s="11">
        <v>121.0</v>
      </c>
      <c r="B122" s="12">
        <f t="shared" si="20"/>
        <v>39829</v>
      </c>
      <c r="C122" s="11" t="s">
        <v>329</v>
      </c>
      <c r="D122" s="11" t="s">
        <v>28</v>
      </c>
      <c r="F122" s="38">
        <f>IFERROR(__xludf.DUMMYFUNCTION("""COMPUTED_VALUE"""),39934.0)</f>
        <v>39934</v>
      </c>
      <c r="G122" s="39">
        <f t="shared" si="2"/>
        <v>7</v>
      </c>
      <c r="H122" s="39" t="str">
        <f>IFERROR(__xludf.DUMMYFUNCTION("""COMPUTED_VALUE"""),"Art Foster")</f>
        <v>Art Foster</v>
      </c>
      <c r="I122" s="40">
        <f t="shared" si="3"/>
        <v>15</v>
      </c>
    </row>
    <row r="123">
      <c r="A123" s="11">
        <v>122.0</v>
      </c>
      <c r="B123" s="12">
        <f t="shared" si="20"/>
        <v>39829</v>
      </c>
      <c r="C123" s="11" t="s">
        <v>332</v>
      </c>
      <c r="D123" s="11" t="s">
        <v>49</v>
      </c>
      <c r="F123" s="38">
        <f>IFERROR(__xludf.DUMMYFUNCTION("""COMPUTED_VALUE"""),39935.0)</f>
        <v>39935</v>
      </c>
      <c r="G123" s="39">
        <f t="shared" si="2"/>
        <v>5</v>
      </c>
      <c r="H123" s="39" t="str">
        <f>IFERROR(__xludf.DUMMYFUNCTION("""COMPUTED_VALUE"""),"Matt Abelman")</f>
        <v>Matt Abelman</v>
      </c>
      <c r="I123" s="40">
        <f t="shared" si="3"/>
        <v>18</v>
      </c>
    </row>
    <row r="124">
      <c r="A124" s="11">
        <v>123.0</v>
      </c>
      <c r="B124" s="12">
        <f t="shared" si="20"/>
        <v>39829</v>
      </c>
      <c r="C124" s="11" t="s">
        <v>334</v>
      </c>
      <c r="D124" s="11" t="s">
        <v>28</v>
      </c>
      <c r="F124" s="38">
        <f>IFERROR(__xludf.DUMMYFUNCTION("""COMPUTED_VALUE"""),39936.0)</f>
        <v>39936</v>
      </c>
      <c r="G124" s="39">
        <f t="shared" si="2"/>
        <v>4</v>
      </c>
      <c r="H124" s="39" t="str">
        <f>IFERROR(__xludf.DUMMYFUNCTION("""COMPUTED_VALUE"""),"Dave Brooks")</f>
        <v>Dave Brooks</v>
      </c>
      <c r="I124" s="40">
        <f t="shared" si="3"/>
        <v>6</v>
      </c>
    </row>
    <row r="125">
      <c r="A125" s="11">
        <v>124.0</v>
      </c>
      <c r="B125" s="12">
        <f t="shared" si="20"/>
        <v>39829</v>
      </c>
      <c r="C125" s="11" t="s">
        <v>334</v>
      </c>
      <c r="D125" s="11" t="s">
        <v>66</v>
      </c>
      <c r="F125" s="38">
        <f>IFERROR(__xludf.DUMMYFUNCTION("""COMPUTED_VALUE"""),39937.0)</f>
        <v>39937</v>
      </c>
      <c r="G125" s="39">
        <f t="shared" si="2"/>
        <v>7</v>
      </c>
      <c r="H125" s="39" t="str">
        <f>IFERROR(__xludf.DUMMYFUNCTION("""COMPUTED_VALUE"""),"Marc Crier")</f>
        <v>Marc Crier</v>
      </c>
      <c r="I125" s="40">
        <f t="shared" si="3"/>
        <v>17</v>
      </c>
    </row>
    <row r="126">
      <c r="A126" s="11">
        <v>125.0</v>
      </c>
      <c r="B126" s="12">
        <f t="shared" si="20"/>
        <v>39829</v>
      </c>
      <c r="C126" s="11" t="s">
        <v>337</v>
      </c>
      <c r="D126" s="11" t="s">
        <v>28</v>
      </c>
      <c r="F126" s="38">
        <f>IFERROR(__xludf.DUMMYFUNCTION("""COMPUTED_VALUE"""),39938.0)</f>
        <v>39938</v>
      </c>
      <c r="G126" s="39">
        <f t="shared" si="2"/>
        <v>6</v>
      </c>
      <c r="H126" s="39" t="str">
        <f>IFERROR(__xludf.DUMMYFUNCTION("""COMPUTED_VALUE"""),"Joy Smith")</f>
        <v>Joy Smith</v>
      </c>
      <c r="I126" s="40">
        <f t="shared" si="3"/>
        <v>28</v>
      </c>
    </row>
    <row r="127">
      <c r="A127" s="11">
        <v>126.0</v>
      </c>
      <c r="B127" s="12">
        <f t="shared" si="20"/>
        <v>39829</v>
      </c>
      <c r="C127" s="11" t="s">
        <v>337</v>
      </c>
      <c r="D127" s="11" t="s">
        <v>28</v>
      </c>
      <c r="F127" s="38">
        <f>IFERROR(__xludf.DUMMYFUNCTION("""COMPUTED_VALUE"""),39939.0)</f>
        <v>39939</v>
      </c>
      <c r="G127" s="39">
        <f t="shared" si="2"/>
        <v>3</v>
      </c>
      <c r="H127" s="39" t="str">
        <f>IFERROR(__xludf.DUMMYFUNCTION("""COMPUTED_VALUE"""),"Bill Overfelt")</f>
        <v>Bill Overfelt</v>
      </c>
      <c r="I127" s="40">
        <f t="shared" si="3"/>
        <v>11</v>
      </c>
    </row>
    <row r="128">
      <c r="A128" s="11">
        <v>127.0</v>
      </c>
      <c r="B128" s="12">
        <f t="shared" si="20"/>
        <v>39829</v>
      </c>
      <c r="C128" s="11" t="s">
        <v>340</v>
      </c>
      <c r="D128" s="11" t="s">
        <v>28</v>
      </c>
      <c r="F128" s="38">
        <f>IFERROR(__xludf.DUMMYFUNCTION("""COMPUTED_VALUE"""),39940.0)</f>
        <v>39940</v>
      </c>
      <c r="G128" s="39">
        <f t="shared" si="2"/>
        <v>8</v>
      </c>
      <c r="H128" s="39" t="str">
        <f>IFERROR(__xludf.DUMMYFUNCTION("""COMPUTED_VALUE"""),"Alejandro Grove")</f>
        <v>Alejandro Grove</v>
      </c>
      <c r="I128" s="40">
        <f t="shared" si="3"/>
        <v>14</v>
      </c>
    </row>
    <row r="129">
      <c r="A129" s="11">
        <v>128.0</v>
      </c>
      <c r="B129" s="12">
        <f t="shared" si="20"/>
        <v>39829</v>
      </c>
      <c r="C129" s="11" t="s">
        <v>340</v>
      </c>
      <c r="D129" s="11" t="s">
        <v>49</v>
      </c>
      <c r="F129" s="38">
        <f>IFERROR(__xludf.DUMMYFUNCTION("""COMPUTED_VALUE"""),39941.0)</f>
        <v>39941</v>
      </c>
      <c r="G129" s="39">
        <f t="shared" si="2"/>
        <v>3</v>
      </c>
      <c r="H129" s="39" t="str">
        <f>IFERROR(__xludf.DUMMYFUNCTION("""COMPUTED_VALUE"""),"Carol Darley")</f>
        <v>Carol Darley</v>
      </c>
      <c r="I129" s="40">
        <f t="shared" si="3"/>
        <v>9</v>
      </c>
    </row>
    <row r="130">
      <c r="A130" s="11">
        <v>129.0</v>
      </c>
      <c r="B130" s="12">
        <f t="shared" si="20"/>
        <v>39829</v>
      </c>
      <c r="C130" s="11" t="s">
        <v>345</v>
      </c>
      <c r="D130" s="11" t="s">
        <v>28</v>
      </c>
      <c r="F130" s="38">
        <f>IFERROR(__xludf.DUMMYFUNCTION("""COMPUTED_VALUE"""),39942.0)</f>
        <v>39942</v>
      </c>
      <c r="G130" s="39">
        <f t="shared" si="2"/>
        <v>5</v>
      </c>
      <c r="H130" s="39" t="str">
        <f>IFERROR(__xludf.DUMMYFUNCTION("""COMPUTED_VALUE"""),"Henia Zydlo")</f>
        <v>Henia Zydlo</v>
      </c>
      <c r="I130" s="40">
        <f t="shared" si="3"/>
        <v>6</v>
      </c>
    </row>
    <row r="131">
      <c r="A131" s="11">
        <v>130.0</v>
      </c>
      <c r="B131" s="12">
        <f t="shared" ref="B131:B142" si="21">DATE(2012,12,31)-1444</f>
        <v>39830</v>
      </c>
      <c r="C131" s="11" t="s">
        <v>180</v>
      </c>
      <c r="D131" s="11" t="s">
        <v>28</v>
      </c>
      <c r="F131" s="38">
        <f>IFERROR(__xludf.DUMMYFUNCTION("""COMPUTED_VALUE"""),39943.0)</f>
        <v>39943</v>
      </c>
      <c r="G131" s="39">
        <f t="shared" si="2"/>
        <v>2</v>
      </c>
      <c r="H131" s="39" t="str">
        <f>IFERROR(__xludf.DUMMYFUNCTION("""COMPUTED_VALUE"""),"Sonia Sunley")</f>
        <v>Sonia Sunley</v>
      </c>
      <c r="I131" s="40">
        <f t="shared" si="3"/>
        <v>26</v>
      </c>
    </row>
    <row r="132">
      <c r="A132" s="11">
        <v>131.0</v>
      </c>
      <c r="B132" s="12">
        <f t="shared" si="21"/>
        <v>39830</v>
      </c>
      <c r="C132" s="11" t="s">
        <v>349</v>
      </c>
      <c r="D132" s="11" t="s">
        <v>28</v>
      </c>
      <c r="F132" s="38">
        <f>IFERROR(__xludf.DUMMYFUNCTION("""COMPUTED_VALUE"""),39944.0)</f>
        <v>39944</v>
      </c>
      <c r="G132" s="39">
        <f t="shared" si="2"/>
        <v>9</v>
      </c>
      <c r="H132" s="39" t="str">
        <f>IFERROR(__xludf.DUMMYFUNCTION("""COMPUTED_VALUE"""),"Dean Katz")</f>
        <v>Dean Katz</v>
      </c>
      <c r="I132" s="40">
        <f t="shared" si="3"/>
        <v>7</v>
      </c>
    </row>
    <row r="133">
      <c r="A133" s="11">
        <v>132.0</v>
      </c>
      <c r="B133" s="12">
        <f t="shared" si="21"/>
        <v>39830</v>
      </c>
      <c r="C133" s="11" t="s">
        <v>349</v>
      </c>
      <c r="D133" s="11" t="s">
        <v>28</v>
      </c>
      <c r="F133" s="38">
        <f>IFERROR(__xludf.DUMMYFUNCTION("""COMPUTED_VALUE"""),39945.0)</f>
        <v>39945</v>
      </c>
      <c r="G133" s="39">
        <f t="shared" si="2"/>
        <v>8</v>
      </c>
      <c r="H133" s="39" t="str">
        <f>IFERROR(__xludf.DUMMYFUNCTION("""COMPUTED_VALUE"""),"Michael Grace")</f>
        <v>Michael Grace</v>
      </c>
      <c r="I133" s="40">
        <f t="shared" si="3"/>
        <v>16</v>
      </c>
    </row>
    <row r="134">
      <c r="A134" s="11">
        <v>133.0</v>
      </c>
      <c r="B134" s="12">
        <f t="shared" si="21"/>
        <v>39830</v>
      </c>
      <c r="C134" s="11" t="s">
        <v>353</v>
      </c>
      <c r="D134" s="11" t="s">
        <v>28</v>
      </c>
      <c r="F134" s="38">
        <f>IFERROR(__xludf.DUMMYFUNCTION("""COMPUTED_VALUE"""),39946.0)</f>
        <v>39946</v>
      </c>
      <c r="G134" s="39">
        <f t="shared" si="2"/>
        <v>8</v>
      </c>
      <c r="H134" s="39" t="str">
        <f>IFERROR(__xludf.DUMMYFUNCTION("""COMPUTED_VALUE"""),"Gene McClure")</f>
        <v>Gene McClure</v>
      </c>
      <c r="I134" s="40">
        <f t="shared" si="3"/>
        <v>8</v>
      </c>
    </row>
    <row r="135">
      <c r="A135" s="11">
        <v>134.0</v>
      </c>
      <c r="B135" s="12">
        <f t="shared" si="21"/>
        <v>39830</v>
      </c>
      <c r="C135" s="11" t="s">
        <v>353</v>
      </c>
      <c r="D135" s="11" t="s">
        <v>28</v>
      </c>
      <c r="F135" s="38">
        <f>IFERROR(__xludf.DUMMYFUNCTION("""COMPUTED_VALUE"""),39947.0)</f>
        <v>39947</v>
      </c>
      <c r="G135" s="39">
        <f t="shared" si="2"/>
        <v>6</v>
      </c>
      <c r="H135" s="39" t="str">
        <f>IFERROR(__xludf.DUMMYFUNCTION("""COMPUTED_VALUE"""),"Christine Sundaresam")</f>
        <v>Christine Sundaresam</v>
      </c>
      <c r="I135" s="40">
        <f t="shared" si="3"/>
        <v>11</v>
      </c>
    </row>
    <row r="136">
      <c r="A136" s="11">
        <v>135.0</v>
      </c>
      <c r="B136" s="12">
        <f t="shared" si="21"/>
        <v>39830</v>
      </c>
      <c r="C136" s="11" t="s">
        <v>357</v>
      </c>
      <c r="D136" s="11" t="s">
        <v>66</v>
      </c>
      <c r="F136" s="38">
        <f>IFERROR(__xludf.DUMMYFUNCTION("""COMPUTED_VALUE"""),39948.0)</f>
        <v>39948</v>
      </c>
      <c r="G136" s="39">
        <f t="shared" si="2"/>
        <v>9</v>
      </c>
      <c r="H136" s="39" t="str">
        <f>IFERROR(__xludf.DUMMYFUNCTION("""COMPUTED_VALUE"""),"Robert Barroso")</f>
        <v>Robert Barroso</v>
      </c>
      <c r="I136" s="40">
        <f t="shared" si="3"/>
        <v>12</v>
      </c>
    </row>
    <row r="137">
      <c r="A137" s="11">
        <v>136.0</v>
      </c>
      <c r="B137" s="12">
        <f t="shared" si="21"/>
        <v>39830</v>
      </c>
      <c r="C137" s="11" t="s">
        <v>360</v>
      </c>
      <c r="D137" s="11" t="s">
        <v>28</v>
      </c>
      <c r="F137" s="38">
        <f>IFERROR(__xludf.DUMMYFUNCTION("""COMPUTED_VALUE"""),39949.0)</f>
        <v>39949</v>
      </c>
      <c r="G137" s="39">
        <f t="shared" si="2"/>
        <v>5</v>
      </c>
      <c r="H137" s="39" t="str">
        <f>IFERROR(__xludf.DUMMYFUNCTION("""COMPUTED_VALUE"""),"Christina Vanderzanden")</f>
        <v>Christina Vanderzanden</v>
      </c>
      <c r="I137" s="40">
        <f t="shared" si="3"/>
        <v>19</v>
      </c>
    </row>
    <row r="138">
      <c r="A138" s="11">
        <v>137.0</v>
      </c>
      <c r="B138" s="12">
        <f t="shared" si="21"/>
        <v>39830</v>
      </c>
      <c r="C138" s="11" t="s">
        <v>363</v>
      </c>
      <c r="D138" s="11" t="s">
        <v>28</v>
      </c>
      <c r="F138" s="38">
        <f>IFERROR(__xludf.DUMMYFUNCTION("""COMPUTED_VALUE"""),39950.0)</f>
        <v>39950</v>
      </c>
      <c r="G138" s="39">
        <f t="shared" si="2"/>
        <v>5</v>
      </c>
      <c r="H138" s="39" t="str">
        <f>IFERROR(__xludf.DUMMYFUNCTION("""COMPUTED_VALUE"""),"Mick Crebagga")</f>
        <v>Mick Crebagga</v>
      </c>
      <c r="I138" s="40">
        <f t="shared" si="3"/>
        <v>20</v>
      </c>
    </row>
    <row r="139">
      <c r="A139" s="11">
        <v>138.0</v>
      </c>
      <c r="B139" s="12">
        <f t="shared" si="21"/>
        <v>39830</v>
      </c>
      <c r="C139" s="11" t="s">
        <v>363</v>
      </c>
      <c r="D139" s="11" t="s">
        <v>28</v>
      </c>
      <c r="F139" s="38">
        <f>IFERROR(__xludf.DUMMYFUNCTION("""COMPUTED_VALUE"""),39951.0)</f>
        <v>39951</v>
      </c>
      <c r="G139" s="39">
        <f t="shared" si="2"/>
        <v>7</v>
      </c>
      <c r="H139" s="39" t="str">
        <f>IFERROR(__xludf.DUMMYFUNCTION("""COMPUTED_VALUE"""),"Ricardo Block")</f>
        <v>Ricardo Block</v>
      </c>
      <c r="I139" s="40">
        <f t="shared" si="3"/>
        <v>9</v>
      </c>
    </row>
    <row r="140">
      <c r="A140" s="11">
        <v>139.0</v>
      </c>
      <c r="B140" s="12">
        <f t="shared" si="21"/>
        <v>39830</v>
      </c>
      <c r="C140" s="11" t="s">
        <v>366</v>
      </c>
      <c r="D140" s="11" t="s">
        <v>28</v>
      </c>
      <c r="F140" s="38">
        <f>IFERROR(__xludf.DUMMYFUNCTION("""COMPUTED_VALUE"""),39952.0)</f>
        <v>39952</v>
      </c>
      <c r="G140" s="39">
        <f t="shared" si="2"/>
        <v>3</v>
      </c>
      <c r="H140" s="39" t="str">
        <f>IFERROR(__xludf.DUMMYFUNCTION("""COMPUTED_VALUE"""),"Anthony Johnson")</f>
        <v>Anthony Johnson</v>
      </c>
      <c r="I140" s="40">
        <f t="shared" si="3"/>
        <v>12</v>
      </c>
    </row>
    <row r="141">
      <c r="A141" s="11">
        <v>140.0</v>
      </c>
      <c r="B141" s="12">
        <f t="shared" si="21"/>
        <v>39830</v>
      </c>
      <c r="C141" s="11" t="s">
        <v>366</v>
      </c>
      <c r="D141" s="11" t="s">
        <v>66</v>
      </c>
      <c r="F141" s="38">
        <f>IFERROR(__xludf.DUMMYFUNCTION("""COMPUTED_VALUE"""),39953.0)</f>
        <v>39953</v>
      </c>
      <c r="G141" s="39">
        <f t="shared" si="2"/>
        <v>9</v>
      </c>
      <c r="H141" s="39" t="str">
        <f>IFERROR(__xludf.DUMMYFUNCTION("""COMPUTED_VALUE"""),"Kelly Andreada")</f>
        <v>Kelly Andreada</v>
      </c>
      <c r="I141" s="40">
        <f t="shared" si="3"/>
        <v>8</v>
      </c>
    </row>
    <row r="142">
      <c r="A142" s="11">
        <v>141.0</v>
      </c>
      <c r="B142" s="12">
        <f t="shared" si="21"/>
        <v>39830</v>
      </c>
      <c r="C142" s="11" t="s">
        <v>366</v>
      </c>
      <c r="D142" s="11" t="s">
        <v>28</v>
      </c>
      <c r="F142" s="38">
        <f>IFERROR(__xludf.DUMMYFUNCTION("""COMPUTED_VALUE"""),39954.0)</f>
        <v>39954</v>
      </c>
      <c r="G142" s="39">
        <f t="shared" si="2"/>
        <v>11</v>
      </c>
      <c r="H142" s="39" t="str">
        <f>IFERROR(__xludf.DUMMYFUNCTION("""COMPUTED_VALUE"""),"Bobby Elias")</f>
        <v>Bobby Elias</v>
      </c>
      <c r="I142" s="40">
        <f t="shared" si="3"/>
        <v>16</v>
      </c>
    </row>
    <row r="143">
      <c r="A143" s="11">
        <v>142.0</v>
      </c>
      <c r="B143" s="12">
        <f t="shared" ref="B143:B149" si="22">DATE(2012,12,31)-1443</f>
        <v>39831</v>
      </c>
      <c r="C143" s="11" t="s">
        <v>370</v>
      </c>
      <c r="D143" s="11" t="s">
        <v>28</v>
      </c>
      <c r="F143" s="38">
        <f>IFERROR(__xludf.DUMMYFUNCTION("""COMPUTED_VALUE"""),39955.0)</f>
        <v>39955</v>
      </c>
      <c r="G143" s="39">
        <f t="shared" si="2"/>
        <v>7</v>
      </c>
      <c r="H143" s="39" t="str">
        <f>IFERROR(__xludf.DUMMYFUNCTION("""COMPUTED_VALUE"""),"Nick Zandusky")</f>
        <v>Nick Zandusky</v>
      </c>
      <c r="I143" s="40">
        <f t="shared" si="3"/>
        <v>9</v>
      </c>
    </row>
    <row r="144">
      <c r="A144" s="11">
        <v>143.0</v>
      </c>
      <c r="B144" s="12">
        <f t="shared" si="22"/>
        <v>39831</v>
      </c>
      <c r="C144" s="11" t="s">
        <v>373</v>
      </c>
      <c r="D144" s="11" t="s">
        <v>28</v>
      </c>
      <c r="F144" s="38">
        <f>IFERROR(__xludf.DUMMYFUNCTION("""COMPUTED_VALUE"""),39956.0)</f>
        <v>39956</v>
      </c>
      <c r="G144" s="39">
        <f t="shared" si="2"/>
        <v>5</v>
      </c>
      <c r="H144" s="39" t="str">
        <f>IFERROR(__xludf.DUMMYFUNCTION("""COMPUTED_VALUE"""),"Ed Braxton")</f>
        <v>Ed Braxton</v>
      </c>
      <c r="I144" s="40">
        <f t="shared" si="3"/>
        <v>38</v>
      </c>
    </row>
    <row r="145">
      <c r="A145" s="11">
        <v>144.0</v>
      </c>
      <c r="B145" s="12">
        <f t="shared" si="22"/>
        <v>39831</v>
      </c>
      <c r="C145" s="11" t="s">
        <v>375</v>
      </c>
      <c r="D145" s="11" t="s">
        <v>28</v>
      </c>
      <c r="F145" s="38">
        <f>IFERROR(__xludf.DUMMYFUNCTION("""COMPUTED_VALUE"""),39957.0)</f>
        <v>39957</v>
      </c>
      <c r="G145" s="39">
        <f t="shared" si="2"/>
        <v>7</v>
      </c>
      <c r="H145" s="39" t="str">
        <f>IFERROR(__xludf.DUMMYFUNCTION("""COMPUTED_VALUE"""),"Robert Dilbeck")</f>
        <v>Robert Dilbeck</v>
      </c>
      <c r="I145" s="40">
        <f t="shared" si="3"/>
        <v>5</v>
      </c>
    </row>
    <row r="146">
      <c r="A146" s="11">
        <v>145.0</v>
      </c>
      <c r="B146" s="12">
        <f t="shared" si="22"/>
        <v>39831</v>
      </c>
      <c r="C146" s="11" t="s">
        <v>375</v>
      </c>
      <c r="D146" s="11" t="s">
        <v>28</v>
      </c>
      <c r="F146" s="38">
        <f>IFERROR(__xludf.DUMMYFUNCTION("""COMPUTED_VALUE"""),39958.0)</f>
        <v>39958</v>
      </c>
      <c r="G146" s="39">
        <f t="shared" si="2"/>
        <v>11</v>
      </c>
      <c r="H146" s="39" t="str">
        <f>IFERROR(__xludf.DUMMYFUNCTION("""COMPUTED_VALUE"""),"Bradley Nguyen")</f>
        <v>Bradley Nguyen</v>
      </c>
      <c r="I146" s="40">
        <f t="shared" si="3"/>
        <v>6</v>
      </c>
    </row>
    <row r="147">
      <c r="A147" s="11">
        <v>146.0</v>
      </c>
      <c r="B147" s="12">
        <f t="shared" si="22"/>
        <v>39831</v>
      </c>
      <c r="C147" s="11" t="s">
        <v>375</v>
      </c>
      <c r="D147" s="11" t="s">
        <v>28</v>
      </c>
      <c r="F147" s="38">
        <f>IFERROR(__xludf.DUMMYFUNCTION("""COMPUTED_VALUE"""),39959.0)</f>
        <v>39959</v>
      </c>
      <c r="G147" s="39">
        <f t="shared" si="2"/>
        <v>6</v>
      </c>
      <c r="H147" s="39" t="str">
        <f>IFERROR(__xludf.DUMMYFUNCTION("""COMPUTED_VALUE"""),"Helen Wasserman")</f>
        <v>Helen Wasserman</v>
      </c>
      <c r="I147" s="40">
        <f t="shared" si="3"/>
        <v>22</v>
      </c>
    </row>
    <row r="148">
      <c r="A148" s="11">
        <v>147.0</v>
      </c>
      <c r="B148" s="12">
        <f t="shared" si="22"/>
        <v>39831</v>
      </c>
      <c r="C148" s="11" t="s">
        <v>375</v>
      </c>
      <c r="D148" s="11" t="s">
        <v>49</v>
      </c>
      <c r="F148" s="38">
        <f>IFERROR(__xludf.DUMMYFUNCTION("""COMPUTED_VALUE"""),39960.0)</f>
        <v>39960</v>
      </c>
      <c r="G148" s="39">
        <f t="shared" si="2"/>
        <v>5</v>
      </c>
      <c r="H148" s="39" t="str">
        <f>IFERROR(__xludf.DUMMYFUNCTION("""COMPUTED_VALUE"""),"Grant Donatelli")</f>
        <v>Grant Donatelli</v>
      </c>
      <c r="I148" s="40">
        <f t="shared" si="3"/>
        <v>6</v>
      </c>
    </row>
    <row r="149">
      <c r="A149" s="11">
        <v>148.0</v>
      </c>
      <c r="B149" s="12">
        <f t="shared" si="22"/>
        <v>39831</v>
      </c>
      <c r="C149" s="11" t="s">
        <v>375</v>
      </c>
      <c r="D149" s="11" t="s">
        <v>66</v>
      </c>
      <c r="F149" s="38">
        <f>IFERROR(__xludf.DUMMYFUNCTION("""COMPUTED_VALUE"""),39961.0)</f>
        <v>39961</v>
      </c>
      <c r="G149" s="39">
        <f t="shared" si="2"/>
        <v>6</v>
      </c>
      <c r="H149" s="39" t="str">
        <f>IFERROR(__xludf.DUMMYFUNCTION("""COMPUTED_VALUE"""),"Max Engle")</f>
        <v>Max Engle</v>
      </c>
      <c r="I149" s="40">
        <f t="shared" si="3"/>
        <v>10</v>
      </c>
    </row>
    <row r="150">
      <c r="A150" s="11">
        <v>149.0</v>
      </c>
      <c r="B150" s="12">
        <f t="shared" ref="B150:B153" si="23">DATE(2012,12,31)-1442</f>
        <v>39832</v>
      </c>
      <c r="C150" s="11" t="s">
        <v>382</v>
      </c>
      <c r="D150" s="11" t="s">
        <v>28</v>
      </c>
      <c r="F150" s="38">
        <f>IFERROR(__xludf.DUMMYFUNCTION("""COMPUTED_VALUE"""),39962.0)</f>
        <v>39962</v>
      </c>
      <c r="G150" s="39">
        <f t="shared" si="2"/>
        <v>3</v>
      </c>
      <c r="H150" s="39" t="str">
        <f>IFERROR(__xludf.DUMMYFUNCTION("""COMPUTED_VALUE"""),"Christine Abelman")</f>
        <v>Christine Abelman</v>
      </c>
      <c r="I150" s="40">
        <f t="shared" si="3"/>
        <v>17</v>
      </c>
    </row>
    <row r="151">
      <c r="A151" s="11">
        <v>150.0</v>
      </c>
      <c r="B151" s="12">
        <f t="shared" si="23"/>
        <v>39832</v>
      </c>
      <c r="C151" s="11" t="s">
        <v>385</v>
      </c>
      <c r="D151" s="11" t="s">
        <v>28</v>
      </c>
      <c r="F151" s="38">
        <f>IFERROR(__xludf.DUMMYFUNCTION("""COMPUTED_VALUE"""),39963.0)</f>
        <v>39963</v>
      </c>
      <c r="G151" s="39">
        <f t="shared" si="2"/>
        <v>2</v>
      </c>
      <c r="H151" s="39" t="str">
        <f>IFERROR(__xludf.DUMMYFUNCTION("""COMPUTED_VALUE"""),"Ionia McGrath")</f>
        <v>Ionia McGrath</v>
      </c>
      <c r="I151" s="40">
        <f t="shared" si="3"/>
        <v>18</v>
      </c>
    </row>
    <row r="152">
      <c r="A152" s="11">
        <v>151.0</v>
      </c>
      <c r="B152" s="12">
        <f t="shared" si="23"/>
        <v>39832</v>
      </c>
      <c r="C152" s="11" t="s">
        <v>387</v>
      </c>
      <c r="D152" s="11" t="s">
        <v>28</v>
      </c>
      <c r="F152" s="38">
        <f>IFERROR(__xludf.DUMMYFUNCTION("""COMPUTED_VALUE"""),39965.0)</f>
        <v>39965</v>
      </c>
      <c r="G152" s="39">
        <f t="shared" si="2"/>
        <v>12</v>
      </c>
      <c r="H152" s="39" t="str">
        <f>IFERROR(__xludf.DUMMYFUNCTION("""COMPUTED_VALUE"""),"Evan Bailliet")</f>
        <v>Evan Bailliet</v>
      </c>
      <c r="I152" s="40">
        <f t="shared" si="3"/>
        <v>8</v>
      </c>
    </row>
    <row r="153">
      <c r="A153" s="11">
        <v>152.0</v>
      </c>
      <c r="B153" s="12">
        <f t="shared" si="23"/>
        <v>39832</v>
      </c>
      <c r="C153" s="11" t="s">
        <v>387</v>
      </c>
      <c r="D153" s="11" t="s">
        <v>66</v>
      </c>
      <c r="F153" s="38">
        <f>IFERROR(__xludf.DUMMYFUNCTION("""COMPUTED_VALUE"""),39966.0)</f>
        <v>39966</v>
      </c>
      <c r="G153" s="39">
        <f t="shared" si="2"/>
        <v>6</v>
      </c>
      <c r="H153" s="39" t="str">
        <f>IFERROR(__xludf.DUMMYFUNCTION("""COMPUTED_VALUE"""),"Edward Becker")</f>
        <v>Edward Becker</v>
      </c>
      <c r="I153" s="40">
        <f t="shared" si="3"/>
        <v>18</v>
      </c>
    </row>
    <row r="154">
      <c r="A154" s="11">
        <v>153.0</v>
      </c>
      <c r="B154" s="12">
        <f t="shared" ref="B154:B155" si="24">DATE(2012,12,31)-1441</f>
        <v>39833</v>
      </c>
      <c r="C154" s="11" t="s">
        <v>392</v>
      </c>
      <c r="D154" s="11" t="s">
        <v>28</v>
      </c>
      <c r="F154" s="38">
        <f>IFERROR(__xludf.DUMMYFUNCTION("""COMPUTED_VALUE"""),39967.0)</f>
        <v>39967</v>
      </c>
      <c r="G154" s="39">
        <f t="shared" si="2"/>
        <v>10</v>
      </c>
      <c r="H154" s="39" t="str">
        <f>IFERROR(__xludf.DUMMYFUNCTION("""COMPUTED_VALUE"""),"Thais Sissman")</f>
        <v>Thais Sissman</v>
      </c>
      <c r="I154" s="40">
        <f t="shared" si="3"/>
        <v>21</v>
      </c>
    </row>
    <row r="155">
      <c r="A155" s="11">
        <v>154.0</v>
      </c>
      <c r="B155" s="12">
        <f t="shared" si="24"/>
        <v>39833</v>
      </c>
      <c r="C155" s="11" t="s">
        <v>395</v>
      </c>
      <c r="D155" s="11" t="s">
        <v>49</v>
      </c>
      <c r="F155" s="38">
        <f>IFERROR(__xludf.DUMMYFUNCTION("""COMPUTED_VALUE"""),39968.0)</f>
        <v>39968</v>
      </c>
      <c r="G155" s="39">
        <f t="shared" si="2"/>
        <v>5</v>
      </c>
      <c r="H155" s="39" t="str">
        <f>IFERROR(__xludf.DUMMYFUNCTION("""COMPUTED_VALUE"""),"Rick Wilson")</f>
        <v>Rick Wilson</v>
      </c>
      <c r="I155" s="40">
        <f t="shared" si="3"/>
        <v>22</v>
      </c>
    </row>
    <row r="156">
      <c r="A156" s="11">
        <v>155.0</v>
      </c>
      <c r="B156" s="12">
        <f t="shared" ref="B156:B169" si="25">DATE(2012,12,31)-1440</f>
        <v>39834</v>
      </c>
      <c r="C156" s="11" t="s">
        <v>398</v>
      </c>
      <c r="D156" s="11" t="s">
        <v>49</v>
      </c>
      <c r="F156" s="38">
        <f>IFERROR(__xludf.DUMMYFUNCTION("""COMPUTED_VALUE"""),39969.0)</f>
        <v>39969</v>
      </c>
      <c r="G156" s="39">
        <f t="shared" si="2"/>
        <v>1</v>
      </c>
      <c r="H156" s="39" t="str">
        <f>IFERROR(__xludf.DUMMYFUNCTION("""COMPUTED_VALUE"""),"Nicole Brennan")</f>
        <v>Nicole Brennan</v>
      </c>
      <c r="I156" s="40">
        <f t="shared" si="3"/>
        <v>22</v>
      </c>
    </row>
    <row r="157">
      <c r="A157" s="11">
        <v>156.0</v>
      </c>
      <c r="B157" s="12">
        <f t="shared" si="25"/>
        <v>39834</v>
      </c>
      <c r="C157" s="11" t="s">
        <v>72</v>
      </c>
      <c r="D157" s="11" t="s">
        <v>49</v>
      </c>
      <c r="F157" s="38">
        <f>IFERROR(__xludf.DUMMYFUNCTION("""COMPUTED_VALUE"""),39970.0)</f>
        <v>39970</v>
      </c>
      <c r="G157" s="39">
        <f t="shared" si="2"/>
        <v>2</v>
      </c>
      <c r="H157" s="39" t="str">
        <f>IFERROR(__xludf.DUMMYFUNCTION("""COMPUTED_VALUE"""),"Michael Moore")</f>
        <v>Michael Moore</v>
      </c>
      <c r="I157" s="40">
        <f t="shared" si="3"/>
        <v>6</v>
      </c>
    </row>
    <row r="158">
      <c r="A158" s="11">
        <v>157.0</v>
      </c>
      <c r="B158" s="12">
        <f t="shared" si="25"/>
        <v>39834</v>
      </c>
      <c r="C158" s="11" t="s">
        <v>72</v>
      </c>
      <c r="D158" s="11" t="s">
        <v>28</v>
      </c>
      <c r="F158" s="38">
        <f>IFERROR(__xludf.DUMMYFUNCTION("""COMPUTED_VALUE"""),39971.0)</f>
        <v>39971</v>
      </c>
      <c r="G158" s="39">
        <f t="shared" si="2"/>
        <v>9</v>
      </c>
      <c r="H158" s="39" t="str">
        <f>IFERROR(__xludf.DUMMYFUNCTION("""COMPUTED_VALUE"""),"Frank Hawley")</f>
        <v>Frank Hawley</v>
      </c>
      <c r="I158" s="40">
        <f t="shared" si="3"/>
        <v>12</v>
      </c>
    </row>
    <row r="159">
      <c r="A159" s="11">
        <v>158.0</v>
      </c>
      <c r="B159" s="12">
        <f t="shared" si="25"/>
        <v>39834</v>
      </c>
      <c r="C159" s="11" t="s">
        <v>72</v>
      </c>
      <c r="D159" s="11" t="s">
        <v>28</v>
      </c>
      <c r="F159" s="38">
        <f>IFERROR(__xludf.DUMMYFUNCTION("""COMPUTED_VALUE"""),39972.0)</f>
        <v>39972</v>
      </c>
      <c r="G159" s="39">
        <f t="shared" si="2"/>
        <v>2</v>
      </c>
      <c r="H159" s="39" t="str">
        <f>IFERROR(__xludf.DUMMYFUNCTION("""COMPUTED_VALUE"""),"David Smith")</f>
        <v>David Smith</v>
      </c>
      <c r="I159" s="40">
        <f t="shared" si="3"/>
        <v>7</v>
      </c>
    </row>
    <row r="160">
      <c r="A160" s="11">
        <v>159.0</v>
      </c>
      <c r="B160" s="12">
        <f t="shared" si="25"/>
        <v>39834</v>
      </c>
      <c r="C160" s="11" t="s">
        <v>403</v>
      </c>
      <c r="D160" s="11" t="s">
        <v>28</v>
      </c>
      <c r="F160" s="38">
        <f>IFERROR(__xludf.DUMMYFUNCTION("""COMPUTED_VALUE"""),39973.0)</f>
        <v>39973</v>
      </c>
      <c r="G160" s="39">
        <f t="shared" si="2"/>
        <v>1</v>
      </c>
      <c r="H160" s="39" t="str">
        <f>IFERROR(__xludf.DUMMYFUNCTION("""COMPUTED_VALUE"""),"Cathy Armstrong")</f>
        <v>Cathy Armstrong</v>
      </c>
      <c r="I160" s="40">
        <f t="shared" si="3"/>
        <v>13</v>
      </c>
    </row>
    <row r="161">
      <c r="A161" s="11">
        <v>160.0</v>
      </c>
      <c r="B161" s="12">
        <f t="shared" si="25"/>
        <v>39834</v>
      </c>
      <c r="C161" s="11" t="s">
        <v>403</v>
      </c>
      <c r="D161" s="11" t="s">
        <v>49</v>
      </c>
      <c r="F161" s="38">
        <f>IFERROR(__xludf.DUMMYFUNCTION("""COMPUTED_VALUE"""),39974.0)</f>
        <v>39974</v>
      </c>
      <c r="G161" s="39">
        <f t="shared" si="2"/>
        <v>2</v>
      </c>
      <c r="H161" s="39" t="str">
        <f>IFERROR(__xludf.DUMMYFUNCTION("""COMPUTED_VALUE"""),"Trudy Bell")</f>
        <v>Trudy Bell</v>
      </c>
      <c r="I161" s="40">
        <f t="shared" si="3"/>
        <v>9</v>
      </c>
    </row>
    <row r="162">
      <c r="A162" s="11">
        <v>161.0</v>
      </c>
      <c r="B162" s="12">
        <f t="shared" si="25"/>
        <v>39834</v>
      </c>
      <c r="C162" s="11" t="s">
        <v>407</v>
      </c>
      <c r="D162" s="11" t="s">
        <v>28</v>
      </c>
      <c r="F162" s="38">
        <f>IFERROR(__xludf.DUMMYFUNCTION("""COMPUTED_VALUE"""),39975.0)</f>
        <v>39975</v>
      </c>
      <c r="G162" s="39">
        <f t="shared" si="2"/>
        <v>10</v>
      </c>
      <c r="H162" s="39" t="str">
        <f>IFERROR(__xludf.DUMMYFUNCTION("""COMPUTED_VALUE"""),"Vivek Grady")</f>
        <v>Vivek Grady</v>
      </c>
      <c r="I162" s="40">
        <f t="shared" si="3"/>
        <v>23</v>
      </c>
    </row>
    <row r="163">
      <c r="A163" s="11">
        <v>162.0</v>
      </c>
      <c r="B163" s="12">
        <f t="shared" si="25"/>
        <v>39834</v>
      </c>
      <c r="C163" s="11" t="s">
        <v>239</v>
      </c>
      <c r="D163" s="11" t="s">
        <v>28</v>
      </c>
      <c r="F163" s="38">
        <f>IFERROR(__xludf.DUMMYFUNCTION("""COMPUTED_VALUE"""),39976.0)</f>
        <v>39976</v>
      </c>
      <c r="G163" s="39">
        <f t="shared" si="2"/>
        <v>11</v>
      </c>
      <c r="H163" s="39" t="str">
        <f>IFERROR(__xludf.DUMMYFUNCTION("""COMPUTED_VALUE"""),"Vicky Freymann")</f>
        <v>Vicky Freymann</v>
      </c>
      <c r="I163" s="40">
        <f t="shared" si="3"/>
        <v>9</v>
      </c>
    </row>
    <row r="164">
      <c r="A164" s="11">
        <v>163.0</v>
      </c>
      <c r="B164" s="12">
        <f t="shared" si="25"/>
        <v>39834</v>
      </c>
      <c r="C164" s="11" t="s">
        <v>239</v>
      </c>
      <c r="D164" s="11" t="s">
        <v>28</v>
      </c>
      <c r="F164" s="38">
        <f>IFERROR(__xludf.DUMMYFUNCTION("""COMPUTED_VALUE"""),39977.0)</f>
        <v>39977</v>
      </c>
      <c r="G164" s="39">
        <f t="shared" si="2"/>
        <v>5</v>
      </c>
      <c r="H164" s="39" t="str">
        <f>IFERROR(__xludf.DUMMYFUNCTION("""COMPUTED_VALUE"""),"Lena Creighton")</f>
        <v>Lena Creighton</v>
      </c>
      <c r="I164" s="40">
        <f t="shared" si="3"/>
        <v>28</v>
      </c>
    </row>
    <row r="165">
      <c r="A165" s="11">
        <v>164.0</v>
      </c>
      <c r="B165" s="12">
        <f t="shared" si="25"/>
        <v>39834</v>
      </c>
      <c r="C165" s="11" t="s">
        <v>239</v>
      </c>
      <c r="D165" s="11" t="s">
        <v>28</v>
      </c>
      <c r="F165" s="38">
        <f>IFERROR(__xludf.DUMMYFUNCTION("""COMPUTED_VALUE"""),39978.0)</f>
        <v>39978</v>
      </c>
      <c r="G165" s="39">
        <f t="shared" si="2"/>
        <v>4</v>
      </c>
      <c r="H165" s="39" t="str">
        <f>IFERROR(__xludf.DUMMYFUNCTION("""COMPUTED_VALUE"""),"Janet Lee")</f>
        <v>Janet Lee</v>
      </c>
      <c r="I165" s="40">
        <f t="shared" si="3"/>
        <v>11</v>
      </c>
    </row>
    <row r="166">
      <c r="A166" s="11">
        <v>165.0</v>
      </c>
      <c r="B166" s="12">
        <f t="shared" si="25"/>
        <v>39834</v>
      </c>
      <c r="C166" s="11" t="s">
        <v>412</v>
      </c>
      <c r="D166" s="11" t="s">
        <v>28</v>
      </c>
      <c r="F166" s="38">
        <f>IFERROR(__xludf.DUMMYFUNCTION("""COMPUTED_VALUE"""),39979.0)</f>
        <v>39979</v>
      </c>
      <c r="G166" s="39">
        <f t="shared" si="2"/>
        <v>7</v>
      </c>
      <c r="H166" s="39" t="str">
        <f>IFERROR(__xludf.DUMMYFUNCTION("""COMPUTED_VALUE"""),"Charles Crestani")</f>
        <v>Charles Crestani</v>
      </c>
      <c r="I166" s="40">
        <f t="shared" si="3"/>
        <v>16</v>
      </c>
    </row>
    <row r="167">
      <c r="A167" s="11">
        <v>166.0</v>
      </c>
      <c r="B167" s="12">
        <f t="shared" si="25"/>
        <v>39834</v>
      </c>
      <c r="C167" s="11" t="s">
        <v>412</v>
      </c>
      <c r="D167" s="11" t="s">
        <v>66</v>
      </c>
      <c r="F167" s="38">
        <f>IFERROR(__xludf.DUMMYFUNCTION("""COMPUTED_VALUE"""),39980.0)</f>
        <v>39980</v>
      </c>
      <c r="G167" s="39">
        <f t="shared" si="2"/>
        <v>1</v>
      </c>
      <c r="H167" s="39" t="str">
        <f>IFERROR(__xludf.DUMMYFUNCTION("""COMPUTED_VALUE"""),"Bill Eplett")</f>
        <v>Bill Eplett</v>
      </c>
      <c r="I167" s="40">
        <f t="shared" si="3"/>
        <v>20</v>
      </c>
    </row>
    <row r="168">
      <c r="A168" s="11">
        <v>167.0</v>
      </c>
      <c r="B168" s="12">
        <f t="shared" si="25"/>
        <v>39834</v>
      </c>
      <c r="C168" s="11" t="s">
        <v>416</v>
      </c>
      <c r="D168" s="11" t="s">
        <v>28</v>
      </c>
      <c r="F168" s="38">
        <f>IFERROR(__xludf.DUMMYFUNCTION("""COMPUTED_VALUE"""),39981.0)</f>
        <v>39981</v>
      </c>
      <c r="G168" s="39">
        <f t="shared" si="2"/>
        <v>14</v>
      </c>
      <c r="H168" s="39" t="str">
        <f>IFERROR(__xludf.DUMMYFUNCTION("""COMPUTED_VALUE"""),"Mick Brown")</f>
        <v>Mick Brown</v>
      </c>
      <c r="I168" s="40">
        <f t="shared" si="3"/>
        <v>6</v>
      </c>
    </row>
    <row r="169">
      <c r="A169" s="11">
        <v>168.0</v>
      </c>
      <c r="B169" s="12">
        <f t="shared" si="25"/>
        <v>39834</v>
      </c>
      <c r="C169" s="11" t="s">
        <v>418</v>
      </c>
      <c r="D169" s="11" t="s">
        <v>28</v>
      </c>
      <c r="F169" s="38">
        <f>IFERROR(__xludf.DUMMYFUNCTION("""COMPUTED_VALUE"""),39982.0)</f>
        <v>39982</v>
      </c>
      <c r="G169" s="39">
        <f t="shared" si="2"/>
        <v>2</v>
      </c>
      <c r="H169" s="39" t="str">
        <f>IFERROR(__xludf.DUMMYFUNCTION("""COMPUTED_VALUE"""),"Phillip Flathmann")</f>
        <v>Phillip Flathmann</v>
      </c>
      <c r="I169" s="40">
        <f t="shared" si="3"/>
        <v>14</v>
      </c>
    </row>
    <row r="170">
      <c r="A170" s="11">
        <v>169.0</v>
      </c>
      <c r="B170" s="12">
        <f t="shared" ref="B170:B179" si="26">DATE(2012,12,31)-1439</f>
        <v>39835</v>
      </c>
      <c r="C170" s="11" t="s">
        <v>320</v>
      </c>
      <c r="D170" s="11" t="s">
        <v>66</v>
      </c>
      <c r="F170" s="38">
        <f>IFERROR(__xludf.DUMMYFUNCTION("""COMPUTED_VALUE"""),39983.0)</f>
        <v>39983</v>
      </c>
      <c r="G170" s="39">
        <f t="shared" si="2"/>
        <v>4</v>
      </c>
      <c r="H170" s="39" t="str">
        <f>IFERROR(__xludf.DUMMYFUNCTION("""COMPUTED_VALUE"""),"Sharelle Roach")</f>
        <v>Sharelle Roach</v>
      </c>
      <c r="I170" s="40">
        <f t="shared" si="3"/>
        <v>3</v>
      </c>
    </row>
    <row r="171">
      <c r="A171" s="11">
        <v>170.0</v>
      </c>
      <c r="B171" s="12">
        <f t="shared" si="26"/>
        <v>39835</v>
      </c>
      <c r="C171" s="11" t="s">
        <v>421</v>
      </c>
      <c r="D171" s="11" t="s">
        <v>49</v>
      </c>
      <c r="F171" s="38">
        <f>IFERROR(__xludf.DUMMYFUNCTION("""COMPUTED_VALUE"""),39984.0)</f>
        <v>39984</v>
      </c>
      <c r="G171" s="39">
        <f t="shared" si="2"/>
        <v>5</v>
      </c>
      <c r="H171" s="39" t="str">
        <f>IFERROR(__xludf.DUMMYFUNCTION("""COMPUTED_VALUE"""),"Erica Smith")</f>
        <v>Erica Smith</v>
      </c>
      <c r="I171" s="40">
        <f t="shared" si="3"/>
        <v>15</v>
      </c>
    </row>
    <row r="172">
      <c r="A172" s="11">
        <v>171.0</v>
      </c>
      <c r="B172" s="12">
        <f t="shared" si="26"/>
        <v>39835</v>
      </c>
      <c r="C172" s="11" t="s">
        <v>423</v>
      </c>
      <c r="D172" s="11" t="s">
        <v>28</v>
      </c>
      <c r="F172" s="38">
        <f>IFERROR(__xludf.DUMMYFUNCTION("""COMPUTED_VALUE"""),39985.0)</f>
        <v>39985</v>
      </c>
      <c r="G172" s="39">
        <f t="shared" si="2"/>
        <v>5</v>
      </c>
      <c r="H172" s="39" t="str">
        <f>IFERROR(__xludf.DUMMYFUNCTION("""COMPUTED_VALUE"""),"David Bremer")</f>
        <v>David Bremer</v>
      </c>
      <c r="I172" s="40">
        <f t="shared" si="3"/>
        <v>7</v>
      </c>
    </row>
    <row r="173">
      <c r="A173" s="11">
        <v>172.0</v>
      </c>
      <c r="B173" s="12">
        <f t="shared" si="26"/>
        <v>39835</v>
      </c>
      <c r="C173" s="11" t="s">
        <v>426</v>
      </c>
      <c r="D173" s="11" t="s">
        <v>49</v>
      </c>
      <c r="F173" s="38">
        <f>IFERROR(__xludf.DUMMYFUNCTION("""COMPUTED_VALUE"""),39986.0)</f>
        <v>39986</v>
      </c>
      <c r="G173" s="39">
        <f t="shared" si="2"/>
        <v>8</v>
      </c>
      <c r="H173" s="39" t="str">
        <f>IFERROR(__xludf.DUMMYFUNCTION("""COMPUTED_VALUE"""),"Frank Merwin")</f>
        <v>Frank Merwin</v>
      </c>
      <c r="I173" s="40">
        <f t="shared" si="3"/>
        <v>16</v>
      </c>
    </row>
    <row r="174">
      <c r="A174" s="11">
        <v>173.0</v>
      </c>
      <c r="B174" s="12">
        <f t="shared" si="26"/>
        <v>39835</v>
      </c>
      <c r="C174" s="11" t="s">
        <v>429</v>
      </c>
      <c r="D174" s="11" t="s">
        <v>28</v>
      </c>
      <c r="F174" s="38">
        <f>IFERROR(__xludf.DUMMYFUNCTION("""COMPUTED_VALUE"""),39987.0)</f>
        <v>39987</v>
      </c>
      <c r="G174" s="39">
        <f t="shared" si="2"/>
        <v>6</v>
      </c>
      <c r="H174" s="39" t="str">
        <f>IFERROR(__xludf.DUMMYFUNCTION("""COMPUTED_VALUE"""),"Nicole Hansen")</f>
        <v>Nicole Hansen</v>
      </c>
      <c r="I174" s="40">
        <f t="shared" si="3"/>
        <v>12</v>
      </c>
    </row>
    <row r="175">
      <c r="A175" s="11">
        <v>174.0</v>
      </c>
      <c r="B175" s="12">
        <f t="shared" si="26"/>
        <v>39835</v>
      </c>
      <c r="C175" s="11" t="s">
        <v>429</v>
      </c>
      <c r="D175" s="11" t="s">
        <v>66</v>
      </c>
      <c r="F175" s="38">
        <f>IFERROR(__xludf.DUMMYFUNCTION("""COMPUTED_VALUE"""),39988.0)</f>
        <v>39988</v>
      </c>
      <c r="G175" s="39">
        <f t="shared" si="2"/>
        <v>7</v>
      </c>
      <c r="H175" s="39" t="str">
        <f>IFERROR(__xludf.DUMMYFUNCTION("""COMPUTED_VALUE"""),"Justin Knight")</f>
        <v>Justin Knight</v>
      </c>
      <c r="I175" s="40">
        <f t="shared" si="3"/>
        <v>19</v>
      </c>
    </row>
    <row r="176">
      <c r="A176" s="11">
        <v>175.0</v>
      </c>
      <c r="B176" s="12">
        <f t="shared" si="26"/>
        <v>39835</v>
      </c>
      <c r="C176" s="11" t="s">
        <v>429</v>
      </c>
      <c r="D176" s="11" t="s">
        <v>49</v>
      </c>
      <c r="F176" s="38">
        <f>IFERROR(__xludf.DUMMYFUNCTION("""COMPUTED_VALUE"""),39989.0)</f>
        <v>39989</v>
      </c>
      <c r="G176" s="39">
        <f t="shared" si="2"/>
        <v>5</v>
      </c>
      <c r="H176" s="39" t="str">
        <f>IFERROR(__xludf.DUMMYFUNCTION("""COMPUTED_VALUE"""),"Roland Fjeld")</f>
        <v>Roland Fjeld</v>
      </c>
      <c r="I176" s="40">
        <f t="shared" si="3"/>
        <v>5</v>
      </c>
    </row>
    <row r="177">
      <c r="A177" s="11">
        <v>176.0</v>
      </c>
      <c r="B177" s="12">
        <f t="shared" si="26"/>
        <v>39835</v>
      </c>
      <c r="C177" s="11" t="s">
        <v>429</v>
      </c>
      <c r="D177" s="11" t="s">
        <v>66</v>
      </c>
      <c r="F177" s="38">
        <f>IFERROR(__xludf.DUMMYFUNCTION("""COMPUTED_VALUE"""),39990.0)</f>
        <v>39990</v>
      </c>
      <c r="G177" s="39">
        <f t="shared" si="2"/>
        <v>1</v>
      </c>
      <c r="H177" s="39" t="str">
        <f>IFERROR(__xludf.DUMMYFUNCTION("""COMPUTED_VALUE"""),"Sally Hughsby")</f>
        <v>Sally Hughsby</v>
      </c>
      <c r="I177" s="40">
        <f t="shared" si="3"/>
        <v>21</v>
      </c>
    </row>
    <row r="178">
      <c r="A178" s="11">
        <v>177.0</v>
      </c>
      <c r="B178" s="12">
        <f t="shared" si="26"/>
        <v>39835</v>
      </c>
      <c r="C178" s="11" t="s">
        <v>436</v>
      </c>
      <c r="D178" s="11" t="s">
        <v>28</v>
      </c>
      <c r="F178" s="38">
        <f>IFERROR(__xludf.DUMMYFUNCTION("""COMPUTED_VALUE"""),39992.0)</f>
        <v>39992</v>
      </c>
      <c r="G178" s="39">
        <f t="shared" si="2"/>
        <v>4</v>
      </c>
      <c r="H178" s="39" t="str">
        <f>IFERROR(__xludf.DUMMYFUNCTION("""COMPUTED_VALUE"""),"Ann Blume")</f>
        <v>Ann Blume</v>
      </c>
      <c r="I178" s="40">
        <f t="shared" si="3"/>
        <v>8</v>
      </c>
    </row>
    <row r="179">
      <c r="A179" s="11">
        <v>178.0</v>
      </c>
      <c r="B179" s="12">
        <f t="shared" si="26"/>
        <v>39835</v>
      </c>
      <c r="C179" s="11" t="s">
        <v>436</v>
      </c>
      <c r="D179" s="11" t="s">
        <v>49</v>
      </c>
      <c r="F179" s="38">
        <f>IFERROR(__xludf.DUMMYFUNCTION("""COMPUTED_VALUE"""),39993.0)</f>
        <v>39993</v>
      </c>
      <c r="G179" s="39">
        <f t="shared" si="2"/>
        <v>6</v>
      </c>
      <c r="H179" s="39" t="str">
        <f>IFERROR(__xludf.DUMMYFUNCTION("""COMPUTED_VALUE"""),"Neola Schneider")</f>
        <v>Neola Schneider</v>
      </c>
      <c r="I179" s="40">
        <f t="shared" si="3"/>
        <v>7</v>
      </c>
    </row>
    <row r="180">
      <c r="A180" s="11">
        <v>179.0</v>
      </c>
      <c r="B180" s="12">
        <f t="shared" ref="B180:B182" si="27">DATE(2012,12,31)-1438</f>
        <v>39836</v>
      </c>
      <c r="C180" s="11" t="s">
        <v>441</v>
      </c>
      <c r="D180" s="11" t="s">
        <v>28</v>
      </c>
      <c r="F180" s="38">
        <f>IFERROR(__xludf.DUMMYFUNCTION("""COMPUTED_VALUE"""),39994.0)</f>
        <v>39994</v>
      </c>
      <c r="G180" s="39">
        <f t="shared" si="2"/>
        <v>9</v>
      </c>
      <c r="H180" s="39" t="str">
        <f>IFERROR(__xludf.DUMMYFUNCTION("""COMPUTED_VALUE"""),"Anthony O'Donnell")</f>
        <v>Anthony O'Donnell</v>
      </c>
      <c r="I180" s="40">
        <f t="shared" si="3"/>
        <v>10</v>
      </c>
    </row>
    <row r="181">
      <c r="A181" s="11">
        <v>180.0</v>
      </c>
      <c r="B181" s="12">
        <f t="shared" si="27"/>
        <v>39836</v>
      </c>
      <c r="C181" s="11" t="s">
        <v>441</v>
      </c>
      <c r="D181" s="11" t="s">
        <v>28</v>
      </c>
      <c r="F181" s="38">
        <f>IFERROR(__xludf.DUMMYFUNCTION("""COMPUTED_VALUE"""),39995.0)</f>
        <v>39995</v>
      </c>
      <c r="G181" s="39">
        <f t="shared" si="2"/>
        <v>10</v>
      </c>
      <c r="H181" s="39" t="str">
        <f>IFERROR(__xludf.DUMMYFUNCTION("""COMPUTED_VALUE"""),"Adam Shillingsburg")</f>
        <v>Adam Shillingsburg</v>
      </c>
      <c r="I181" s="40">
        <f t="shared" si="3"/>
        <v>12</v>
      </c>
    </row>
    <row r="182">
      <c r="A182" s="11">
        <v>181.0</v>
      </c>
      <c r="B182" s="12">
        <f t="shared" si="27"/>
        <v>39836</v>
      </c>
      <c r="C182" s="11" t="s">
        <v>444</v>
      </c>
      <c r="D182" s="11" t="s">
        <v>66</v>
      </c>
      <c r="F182" s="38">
        <f>IFERROR(__xludf.DUMMYFUNCTION("""COMPUTED_VALUE"""),39996.0)</f>
        <v>39996</v>
      </c>
      <c r="G182" s="39">
        <f t="shared" si="2"/>
        <v>9</v>
      </c>
      <c r="H182" s="39" t="str">
        <f>IFERROR(__xludf.DUMMYFUNCTION("""COMPUTED_VALUE"""),"Peter Buhler")</f>
        <v>Peter Buhler</v>
      </c>
      <c r="I182" s="40">
        <f t="shared" si="3"/>
        <v>6</v>
      </c>
    </row>
    <row r="183">
      <c r="A183" s="11">
        <v>182.0</v>
      </c>
      <c r="B183" s="12">
        <f t="shared" ref="B183:B187" si="28">DATE(2012,12,31)-1437</f>
        <v>39837</v>
      </c>
      <c r="C183" s="11" t="s">
        <v>446</v>
      </c>
      <c r="D183" s="11" t="s">
        <v>28</v>
      </c>
      <c r="F183" s="38">
        <f>IFERROR(__xludf.DUMMYFUNCTION("""COMPUTED_VALUE"""),39997.0)</f>
        <v>39997</v>
      </c>
      <c r="G183" s="39">
        <f t="shared" si="2"/>
        <v>8</v>
      </c>
      <c r="H183" s="39" t="str">
        <f>IFERROR(__xludf.DUMMYFUNCTION("""COMPUTED_VALUE"""),"Brian Moss")</f>
        <v>Brian Moss</v>
      </c>
      <c r="I183" s="40">
        <f t="shared" si="3"/>
        <v>12</v>
      </c>
    </row>
    <row r="184">
      <c r="A184" s="11">
        <v>183.0</v>
      </c>
      <c r="B184" s="12">
        <f t="shared" si="28"/>
        <v>39837</v>
      </c>
      <c r="C184" s="11" t="s">
        <v>448</v>
      </c>
      <c r="D184" s="11" t="s">
        <v>49</v>
      </c>
      <c r="F184" s="38">
        <f>IFERROR(__xludf.DUMMYFUNCTION("""COMPUTED_VALUE"""),39998.0)</f>
        <v>39998</v>
      </c>
      <c r="G184" s="39">
        <f t="shared" si="2"/>
        <v>10</v>
      </c>
      <c r="H184" s="39" t="str">
        <f>IFERROR(__xludf.DUMMYFUNCTION("""COMPUTED_VALUE"""),"Ruben Ausman")</f>
        <v>Ruben Ausman</v>
      </c>
      <c r="I184" s="40">
        <f t="shared" si="3"/>
        <v>8</v>
      </c>
    </row>
    <row r="185">
      <c r="A185" s="11">
        <v>184.0</v>
      </c>
      <c r="B185" s="12">
        <f t="shared" si="28"/>
        <v>39837</v>
      </c>
      <c r="C185" s="11" t="s">
        <v>448</v>
      </c>
      <c r="D185" s="11" t="s">
        <v>66</v>
      </c>
      <c r="F185" s="38">
        <f>IFERROR(__xludf.DUMMYFUNCTION("""COMPUTED_VALUE"""),39999.0)</f>
        <v>39999</v>
      </c>
      <c r="G185" s="39">
        <f t="shared" si="2"/>
        <v>4</v>
      </c>
      <c r="H185" s="39" t="str">
        <f>IFERROR(__xludf.DUMMYFUNCTION("""COMPUTED_VALUE"""),"Mary O'Rourke")</f>
        <v>Mary O'Rourke</v>
      </c>
      <c r="I185" s="40">
        <f t="shared" si="3"/>
        <v>4</v>
      </c>
    </row>
    <row r="186">
      <c r="A186" s="11">
        <v>185.0</v>
      </c>
      <c r="B186" s="12">
        <f t="shared" si="28"/>
        <v>39837</v>
      </c>
      <c r="C186" s="11" t="s">
        <v>453</v>
      </c>
      <c r="D186" s="11" t="s">
        <v>28</v>
      </c>
      <c r="F186" s="38">
        <f>IFERROR(__xludf.DUMMYFUNCTION("""COMPUTED_VALUE"""),40000.0)</f>
        <v>40000</v>
      </c>
      <c r="G186" s="39">
        <f t="shared" si="2"/>
        <v>14</v>
      </c>
      <c r="H186" s="39" t="str">
        <f>IFERROR(__xludf.DUMMYFUNCTION("""COMPUTED_VALUE"""),"Peter McVee")</f>
        <v>Peter McVee</v>
      </c>
      <c r="I186" s="40">
        <f t="shared" si="3"/>
        <v>5</v>
      </c>
    </row>
    <row r="187">
      <c r="A187" s="11">
        <v>186.0</v>
      </c>
      <c r="B187" s="12">
        <f t="shared" si="28"/>
        <v>39837</v>
      </c>
      <c r="C187" s="11" t="s">
        <v>456</v>
      </c>
      <c r="D187" s="11" t="s">
        <v>28</v>
      </c>
      <c r="F187" s="38">
        <f>IFERROR(__xludf.DUMMYFUNCTION("""COMPUTED_VALUE"""),40001.0)</f>
        <v>40001</v>
      </c>
      <c r="G187" s="39">
        <f t="shared" si="2"/>
        <v>8</v>
      </c>
      <c r="H187" s="39" t="str">
        <f>IFERROR(__xludf.DUMMYFUNCTION("""COMPUTED_VALUE"""),"Jeremy Lonsdale")</f>
        <v>Jeremy Lonsdale</v>
      </c>
      <c r="I187" s="40">
        <f t="shared" si="3"/>
        <v>15</v>
      </c>
    </row>
    <row r="188">
      <c r="A188" s="11">
        <v>187.0</v>
      </c>
      <c r="B188" s="12">
        <f t="shared" ref="B188:B189" si="29">DATE(2012,12,31)-1436</f>
        <v>39838</v>
      </c>
      <c r="C188" s="11" t="s">
        <v>232</v>
      </c>
      <c r="D188" s="11" t="s">
        <v>49</v>
      </c>
      <c r="F188" s="38">
        <f>IFERROR(__xludf.DUMMYFUNCTION("""COMPUTED_VALUE"""),40002.0)</f>
        <v>40002</v>
      </c>
      <c r="G188" s="39">
        <f t="shared" si="2"/>
        <v>1</v>
      </c>
      <c r="H188" s="39" t="str">
        <f>IFERROR(__xludf.DUMMYFUNCTION("""COMPUTED_VALUE"""),"Katrina Bavinger")</f>
        <v>Katrina Bavinger</v>
      </c>
      <c r="I188" s="40">
        <f t="shared" si="3"/>
        <v>6</v>
      </c>
    </row>
    <row r="189">
      <c r="A189" s="11">
        <v>188.0</v>
      </c>
      <c r="B189" s="12">
        <f t="shared" si="29"/>
        <v>39838</v>
      </c>
      <c r="C189" s="11" t="s">
        <v>459</v>
      </c>
      <c r="D189" s="11" t="s">
        <v>66</v>
      </c>
      <c r="F189" s="38">
        <f>IFERROR(__xludf.DUMMYFUNCTION("""COMPUTED_VALUE"""),40003.0)</f>
        <v>40003</v>
      </c>
      <c r="G189" s="39">
        <f t="shared" si="2"/>
        <v>7</v>
      </c>
      <c r="H189" s="39" t="str">
        <f>IFERROR(__xludf.DUMMYFUNCTION("""COMPUTED_VALUE"""),"Dan Campbell")</f>
        <v>Dan Campbell</v>
      </c>
      <c r="I189" s="40">
        <f t="shared" si="3"/>
        <v>21</v>
      </c>
    </row>
    <row r="190">
      <c r="A190" s="11">
        <v>189.0</v>
      </c>
      <c r="B190" s="12">
        <f t="shared" ref="B190:B198" si="30">DATE(2012,12,31)-1435</f>
        <v>39839</v>
      </c>
      <c r="C190" s="11" t="s">
        <v>462</v>
      </c>
      <c r="D190" s="11" t="s">
        <v>49</v>
      </c>
      <c r="F190" s="38">
        <f>IFERROR(__xludf.DUMMYFUNCTION("""COMPUTED_VALUE"""),40004.0)</f>
        <v>40004</v>
      </c>
      <c r="G190" s="39">
        <f t="shared" si="2"/>
        <v>2</v>
      </c>
      <c r="H190" s="39" t="str">
        <f>IFERROR(__xludf.DUMMYFUNCTION("""COMPUTED_VALUE"""),"Dana Kaydos")</f>
        <v>Dana Kaydos</v>
      </c>
      <c r="I190" s="40">
        <f t="shared" si="3"/>
        <v>9</v>
      </c>
    </row>
    <row r="191">
      <c r="A191" s="11">
        <v>190.0</v>
      </c>
      <c r="B191" s="12">
        <f t="shared" si="30"/>
        <v>39839</v>
      </c>
      <c r="C191" s="11" t="s">
        <v>462</v>
      </c>
      <c r="D191" s="11" t="s">
        <v>28</v>
      </c>
      <c r="F191" s="38">
        <f>IFERROR(__xludf.DUMMYFUNCTION("""COMPUTED_VALUE"""),40005.0)</f>
        <v>40005</v>
      </c>
      <c r="G191" s="39">
        <f t="shared" si="2"/>
        <v>1</v>
      </c>
      <c r="H191" s="39" t="str">
        <f>IFERROR(__xludf.DUMMYFUNCTION("""COMPUTED_VALUE"""),"Stephanie Phelps")</f>
        <v>Stephanie Phelps</v>
      </c>
      <c r="I191" s="40">
        <f t="shared" si="3"/>
        <v>12</v>
      </c>
    </row>
    <row r="192">
      <c r="A192" s="11">
        <v>191.0</v>
      </c>
      <c r="B192" s="12">
        <f t="shared" si="30"/>
        <v>39839</v>
      </c>
      <c r="C192" s="11" t="s">
        <v>465</v>
      </c>
      <c r="D192" s="11" t="s">
        <v>28</v>
      </c>
      <c r="F192" s="38">
        <f>IFERROR(__xludf.DUMMYFUNCTION("""COMPUTED_VALUE"""),40006.0)</f>
        <v>40006</v>
      </c>
      <c r="G192" s="39">
        <f t="shared" si="2"/>
        <v>11</v>
      </c>
      <c r="H192" s="39" t="str">
        <f>IFERROR(__xludf.DUMMYFUNCTION("""COMPUTED_VALUE"""),"Cathy Hwang")</f>
        <v>Cathy Hwang</v>
      </c>
      <c r="I192" s="40">
        <f t="shared" si="3"/>
        <v>4</v>
      </c>
    </row>
    <row r="193">
      <c r="A193" s="11">
        <v>192.0</v>
      </c>
      <c r="B193" s="12">
        <f t="shared" si="30"/>
        <v>39839</v>
      </c>
      <c r="C193" s="11" t="s">
        <v>465</v>
      </c>
      <c r="D193" s="11" t="s">
        <v>49</v>
      </c>
      <c r="F193" s="38">
        <f>IFERROR(__xludf.DUMMYFUNCTION("""COMPUTED_VALUE"""),40007.0)</f>
        <v>40007</v>
      </c>
      <c r="G193" s="39">
        <f t="shared" si="2"/>
        <v>4</v>
      </c>
      <c r="H193" s="39" t="str">
        <f>IFERROR(__xludf.DUMMYFUNCTION("""COMPUTED_VALUE"""),"Darrin Van Huff")</f>
        <v>Darrin Van Huff</v>
      </c>
      <c r="I193" s="40">
        <f t="shared" si="3"/>
        <v>9</v>
      </c>
    </row>
    <row r="194">
      <c r="A194" s="11">
        <v>193.0</v>
      </c>
      <c r="B194" s="12">
        <f t="shared" si="30"/>
        <v>39839</v>
      </c>
      <c r="C194" s="11" t="s">
        <v>392</v>
      </c>
      <c r="D194" s="11" t="s">
        <v>66</v>
      </c>
      <c r="F194" s="38">
        <f>IFERROR(__xludf.DUMMYFUNCTION("""COMPUTED_VALUE"""),40008.0)</f>
        <v>40008</v>
      </c>
      <c r="G194" s="39">
        <f t="shared" si="2"/>
        <v>4</v>
      </c>
      <c r="H194" s="39" t="str">
        <f>IFERROR(__xludf.DUMMYFUNCTION("""COMPUTED_VALUE"""),"Jill Matthias")</f>
        <v>Jill Matthias</v>
      </c>
      <c r="I194" s="40">
        <f t="shared" si="3"/>
        <v>7</v>
      </c>
    </row>
    <row r="195">
      <c r="A195" s="11">
        <v>194.0</v>
      </c>
      <c r="B195" s="12">
        <f t="shared" si="30"/>
        <v>39839</v>
      </c>
      <c r="C195" s="11" t="s">
        <v>392</v>
      </c>
      <c r="D195" s="11" t="s">
        <v>49</v>
      </c>
      <c r="F195" s="38">
        <f>IFERROR(__xludf.DUMMYFUNCTION("""COMPUTED_VALUE"""),40009.0)</f>
        <v>40009</v>
      </c>
      <c r="G195" s="39">
        <f t="shared" si="2"/>
        <v>6</v>
      </c>
      <c r="H195" s="39" t="str">
        <f>IFERROR(__xludf.DUMMYFUNCTION("""COMPUTED_VALUE"""),"Keith Dawkins")</f>
        <v>Keith Dawkins</v>
      </c>
      <c r="I195" s="40">
        <f t="shared" si="3"/>
        <v>18</v>
      </c>
    </row>
    <row r="196">
      <c r="A196" s="11">
        <v>195.0</v>
      </c>
      <c r="B196" s="12">
        <f t="shared" si="30"/>
        <v>39839</v>
      </c>
      <c r="C196" s="11" t="s">
        <v>392</v>
      </c>
      <c r="D196" s="11" t="s">
        <v>28</v>
      </c>
      <c r="F196" s="38">
        <f>IFERROR(__xludf.DUMMYFUNCTION("""COMPUTED_VALUE"""),40010.0)</f>
        <v>40010</v>
      </c>
      <c r="G196" s="39">
        <f t="shared" si="2"/>
        <v>8</v>
      </c>
      <c r="H196" s="39" t="str">
        <f>IFERROR(__xludf.DUMMYFUNCTION("""COMPUTED_VALUE"""),"James Lanier")</f>
        <v>James Lanier</v>
      </c>
      <c r="I196" s="40">
        <f t="shared" si="3"/>
        <v>13</v>
      </c>
    </row>
    <row r="197">
      <c r="A197" s="11">
        <v>196.0</v>
      </c>
      <c r="B197" s="12">
        <f t="shared" si="30"/>
        <v>39839</v>
      </c>
      <c r="C197" s="11" t="s">
        <v>474</v>
      </c>
      <c r="D197" s="11" t="s">
        <v>66</v>
      </c>
      <c r="F197" s="38">
        <f>IFERROR(__xludf.DUMMYFUNCTION("""COMPUTED_VALUE"""),40011.0)</f>
        <v>40011</v>
      </c>
      <c r="G197" s="39">
        <f t="shared" si="2"/>
        <v>10</v>
      </c>
      <c r="H197" s="39" t="str">
        <f>IFERROR(__xludf.DUMMYFUNCTION("""COMPUTED_VALUE"""),"Victoria Pisteka")</f>
        <v>Victoria Pisteka</v>
      </c>
      <c r="I197" s="40">
        <f t="shared" si="3"/>
        <v>18</v>
      </c>
    </row>
    <row r="198">
      <c r="A198" s="11">
        <v>197.0</v>
      </c>
      <c r="B198" s="12">
        <f t="shared" si="30"/>
        <v>39839</v>
      </c>
      <c r="C198" s="11" t="s">
        <v>474</v>
      </c>
      <c r="D198" s="11" t="s">
        <v>49</v>
      </c>
      <c r="F198" s="38">
        <f>IFERROR(__xludf.DUMMYFUNCTION("""COMPUTED_VALUE"""),40014.0)</f>
        <v>40014</v>
      </c>
      <c r="G198" s="39">
        <f t="shared" si="2"/>
        <v>8</v>
      </c>
      <c r="H198" s="39" t="str">
        <f>IFERROR(__xludf.DUMMYFUNCTION("""COMPUTED_VALUE"""),"Steven Ward")</f>
        <v>Steven Ward</v>
      </c>
      <c r="I198" s="40">
        <f t="shared" si="3"/>
        <v>7</v>
      </c>
    </row>
    <row r="199">
      <c r="A199" s="11">
        <v>198.0</v>
      </c>
      <c r="B199" s="12">
        <f t="shared" ref="B199:B203" si="31">DATE(2012,12,31)-1434</f>
        <v>39840</v>
      </c>
      <c r="C199" s="11" t="s">
        <v>133</v>
      </c>
      <c r="D199" s="11" t="s">
        <v>66</v>
      </c>
      <c r="F199" s="38">
        <f>IFERROR(__xludf.DUMMYFUNCTION("""COMPUTED_VALUE"""),40015.0)</f>
        <v>40015</v>
      </c>
      <c r="G199" s="39">
        <f t="shared" si="2"/>
        <v>12</v>
      </c>
      <c r="H199" s="39" t="str">
        <f>IFERROR(__xludf.DUMMYFUNCTION("""COMPUTED_VALUE"""),"Natalie Fritzler")</f>
        <v>Natalie Fritzler</v>
      </c>
      <c r="I199" s="40">
        <f t="shared" si="3"/>
        <v>4</v>
      </c>
    </row>
    <row r="200">
      <c r="A200" s="11">
        <v>199.0</v>
      </c>
      <c r="B200" s="12">
        <f t="shared" si="31"/>
        <v>39840</v>
      </c>
      <c r="C200" s="11" t="s">
        <v>456</v>
      </c>
      <c r="D200" s="11" t="s">
        <v>66</v>
      </c>
      <c r="F200" s="38">
        <f>IFERROR(__xludf.DUMMYFUNCTION("""COMPUTED_VALUE"""),40016.0)</f>
        <v>40016</v>
      </c>
      <c r="G200" s="39">
        <f t="shared" si="2"/>
        <v>5</v>
      </c>
      <c r="H200" s="39" t="str">
        <f>IFERROR(__xludf.DUMMYFUNCTION("""COMPUTED_VALUE"""),"Evan Minnotte")</f>
        <v>Evan Minnotte</v>
      </c>
      <c r="I200" s="40">
        <f t="shared" si="3"/>
        <v>7</v>
      </c>
    </row>
    <row r="201">
      <c r="A201" s="11">
        <v>200.0</v>
      </c>
      <c r="B201" s="12">
        <f t="shared" si="31"/>
        <v>39840</v>
      </c>
      <c r="C201" s="11" t="s">
        <v>479</v>
      </c>
      <c r="D201" s="11" t="s">
        <v>28</v>
      </c>
      <c r="F201" s="38">
        <f>IFERROR(__xludf.DUMMYFUNCTION("""COMPUTED_VALUE"""),40018.0)</f>
        <v>40018</v>
      </c>
      <c r="G201" s="39">
        <f t="shared" si="2"/>
        <v>7</v>
      </c>
      <c r="H201" s="39" t="str">
        <f>IFERROR(__xludf.DUMMYFUNCTION("""COMPUTED_VALUE"""),"Denise Monton")</f>
        <v>Denise Monton</v>
      </c>
      <c r="I201" s="40">
        <f t="shared" si="3"/>
        <v>27</v>
      </c>
    </row>
    <row r="202">
      <c r="A202" s="11">
        <v>201.0</v>
      </c>
      <c r="B202" s="12">
        <f t="shared" si="31"/>
        <v>39840</v>
      </c>
      <c r="C202" s="11" t="s">
        <v>479</v>
      </c>
      <c r="D202" s="11" t="s">
        <v>28</v>
      </c>
      <c r="F202" s="38">
        <f>IFERROR(__xludf.DUMMYFUNCTION("""COMPUTED_VALUE"""),40019.0)</f>
        <v>40019</v>
      </c>
      <c r="G202" s="39">
        <f t="shared" si="2"/>
        <v>1</v>
      </c>
      <c r="H202" s="39" t="str">
        <f>IFERROR(__xludf.DUMMYFUNCTION("""COMPUTED_VALUE"""),"Alan Hwang")</f>
        <v>Alan Hwang</v>
      </c>
      <c r="I202" s="40">
        <f t="shared" si="3"/>
        <v>27</v>
      </c>
    </row>
    <row r="203">
      <c r="A203" s="11">
        <v>202.0</v>
      </c>
      <c r="B203" s="12">
        <f t="shared" si="31"/>
        <v>39840</v>
      </c>
      <c r="C203" s="11" t="s">
        <v>479</v>
      </c>
      <c r="D203" s="11" t="s">
        <v>28</v>
      </c>
      <c r="F203" s="38">
        <f>IFERROR(__xludf.DUMMYFUNCTION("""COMPUTED_VALUE"""),40020.0)</f>
        <v>40020</v>
      </c>
      <c r="G203" s="39">
        <f t="shared" si="2"/>
        <v>12</v>
      </c>
      <c r="H203" s="39" t="str">
        <f>IFERROR(__xludf.DUMMYFUNCTION("""COMPUTED_VALUE"""),"Theresa Swint")</f>
        <v>Theresa Swint</v>
      </c>
      <c r="I203" s="40">
        <f t="shared" si="3"/>
        <v>20</v>
      </c>
    </row>
    <row r="204">
      <c r="A204" s="11">
        <v>203.0</v>
      </c>
      <c r="B204" s="12">
        <f t="shared" ref="B204:B209" si="32">DATE(2012,12,31)-1433</f>
        <v>39841</v>
      </c>
      <c r="C204" s="11" t="s">
        <v>485</v>
      </c>
      <c r="D204" s="11" t="s">
        <v>28</v>
      </c>
      <c r="F204" s="38">
        <f>IFERROR(__xludf.DUMMYFUNCTION("""COMPUTED_VALUE"""),40021.0)</f>
        <v>40021</v>
      </c>
      <c r="G204" s="39">
        <f t="shared" si="2"/>
        <v>7</v>
      </c>
      <c r="H204" s="39" t="str">
        <f>IFERROR(__xludf.DUMMYFUNCTION("""COMPUTED_VALUE"""),"Ryan Akin")</f>
        <v>Ryan Akin</v>
      </c>
      <c r="I204" s="40">
        <f t="shared" si="3"/>
        <v>5</v>
      </c>
    </row>
    <row r="205">
      <c r="A205" s="11">
        <v>204.0</v>
      </c>
      <c r="B205" s="12">
        <f t="shared" si="32"/>
        <v>39841</v>
      </c>
      <c r="C205" s="11" t="s">
        <v>485</v>
      </c>
      <c r="D205" s="11" t="s">
        <v>28</v>
      </c>
      <c r="F205" s="38">
        <f>IFERROR(__xludf.DUMMYFUNCTION("""COMPUTED_VALUE"""),40022.0)</f>
        <v>40022</v>
      </c>
      <c r="G205" s="39">
        <f t="shared" si="2"/>
        <v>3</v>
      </c>
      <c r="H205" s="39" t="str">
        <f>IFERROR(__xludf.DUMMYFUNCTION("""COMPUTED_VALUE"""),"Jim Radford")</f>
        <v>Jim Radford</v>
      </c>
      <c r="I205" s="40">
        <f t="shared" si="3"/>
        <v>10</v>
      </c>
    </row>
    <row r="206">
      <c r="A206" s="11">
        <v>205.0</v>
      </c>
      <c r="B206" s="12">
        <f t="shared" si="32"/>
        <v>39841</v>
      </c>
      <c r="C206" s="11" t="s">
        <v>488</v>
      </c>
      <c r="D206" s="11" t="s">
        <v>28</v>
      </c>
      <c r="F206" s="38">
        <f>IFERROR(__xludf.DUMMYFUNCTION("""COMPUTED_VALUE"""),40023.0)</f>
        <v>40023</v>
      </c>
      <c r="G206" s="39">
        <f t="shared" si="2"/>
        <v>4</v>
      </c>
      <c r="H206" s="39" t="str">
        <f>IFERROR(__xludf.DUMMYFUNCTION("""COMPUTED_VALUE"""),"Delfina Latchford")</f>
        <v>Delfina Latchford</v>
      </c>
      <c r="I206" s="40">
        <f t="shared" si="3"/>
        <v>6</v>
      </c>
    </row>
    <row r="207">
      <c r="A207" s="11">
        <v>206.0</v>
      </c>
      <c r="B207" s="12">
        <f t="shared" si="32"/>
        <v>39841</v>
      </c>
      <c r="C207" s="11" t="s">
        <v>488</v>
      </c>
      <c r="D207" s="11" t="s">
        <v>28</v>
      </c>
      <c r="F207" s="38">
        <f>IFERROR(__xludf.DUMMYFUNCTION("""COMPUTED_VALUE"""),40024.0)</f>
        <v>40024</v>
      </c>
      <c r="G207" s="39">
        <f t="shared" si="2"/>
        <v>6</v>
      </c>
      <c r="H207" s="39" t="str">
        <f>IFERROR(__xludf.DUMMYFUNCTION("""COMPUTED_VALUE"""),"Carl Weiss")</f>
        <v>Carl Weiss</v>
      </c>
      <c r="I207" s="40">
        <f t="shared" si="3"/>
        <v>14</v>
      </c>
    </row>
    <row r="208">
      <c r="A208" s="11">
        <v>207.0</v>
      </c>
      <c r="B208" s="12">
        <f t="shared" si="32"/>
        <v>39841</v>
      </c>
      <c r="C208" s="11" t="s">
        <v>491</v>
      </c>
      <c r="D208" s="11" t="s">
        <v>28</v>
      </c>
      <c r="F208" s="38">
        <f>IFERROR(__xludf.DUMMYFUNCTION("""COMPUTED_VALUE"""),40025.0)</f>
        <v>40025</v>
      </c>
      <c r="G208" s="39">
        <f t="shared" si="2"/>
        <v>8</v>
      </c>
      <c r="H208" s="39" t="str">
        <f>IFERROR(__xludf.DUMMYFUNCTION("""COMPUTED_VALUE"""),"Quincy Jones")</f>
        <v>Quincy Jones</v>
      </c>
      <c r="I208" s="40">
        <f t="shared" si="3"/>
        <v>25</v>
      </c>
    </row>
    <row r="209">
      <c r="A209" s="11">
        <v>208.0</v>
      </c>
      <c r="B209" s="12">
        <f t="shared" si="32"/>
        <v>39841</v>
      </c>
      <c r="C209" s="11" t="s">
        <v>491</v>
      </c>
      <c r="D209" s="11" t="s">
        <v>28</v>
      </c>
      <c r="F209" s="38">
        <f>IFERROR(__xludf.DUMMYFUNCTION("""COMPUTED_VALUE"""),40026.0)</f>
        <v>40026</v>
      </c>
      <c r="G209" s="39">
        <f t="shared" si="2"/>
        <v>5</v>
      </c>
      <c r="H209" s="39" t="str">
        <f>IFERROR(__xludf.DUMMYFUNCTION("""COMPUTED_VALUE"""),"Christina DeMoss")</f>
        <v>Christina DeMoss</v>
      </c>
      <c r="I209" s="40">
        <f t="shared" si="3"/>
        <v>7</v>
      </c>
    </row>
    <row r="210">
      <c r="A210" s="11">
        <v>209.0</v>
      </c>
      <c r="B210" s="12">
        <f t="shared" ref="B210:B212" si="33">DATE(2012,12,31)-1432</f>
        <v>39842</v>
      </c>
      <c r="C210" s="11" t="s">
        <v>494</v>
      </c>
      <c r="D210" s="11" t="s">
        <v>28</v>
      </c>
      <c r="F210" s="38">
        <f>IFERROR(__xludf.DUMMYFUNCTION("""COMPUTED_VALUE"""),40027.0)</f>
        <v>40027</v>
      </c>
      <c r="G210" s="39">
        <f t="shared" si="2"/>
        <v>7</v>
      </c>
      <c r="H210" s="39" t="str">
        <f>IFERROR(__xludf.DUMMYFUNCTION("""COMPUTED_VALUE"""),"Guy Armstrong")</f>
        <v>Guy Armstrong</v>
      </c>
      <c r="I210" s="40">
        <f t="shared" si="3"/>
        <v>15</v>
      </c>
    </row>
    <row r="211">
      <c r="A211" s="11">
        <v>210.0</v>
      </c>
      <c r="B211" s="12">
        <f t="shared" si="33"/>
        <v>39842</v>
      </c>
      <c r="C211" s="11" t="s">
        <v>494</v>
      </c>
      <c r="D211" s="11" t="s">
        <v>49</v>
      </c>
      <c r="F211" s="38">
        <f>IFERROR(__xludf.DUMMYFUNCTION("""COMPUTED_VALUE"""),40028.0)</f>
        <v>40028</v>
      </c>
      <c r="G211" s="39">
        <f t="shared" si="2"/>
        <v>3</v>
      </c>
      <c r="H211" s="39" t="str">
        <f>IFERROR(__xludf.DUMMYFUNCTION("""COMPUTED_VALUE"""),"Trudy Schmidt")</f>
        <v>Trudy Schmidt</v>
      </c>
      <c r="I211" s="40">
        <f t="shared" si="3"/>
        <v>7</v>
      </c>
    </row>
    <row r="212">
      <c r="A212" s="11">
        <v>211.0</v>
      </c>
      <c r="B212" s="12">
        <f t="shared" si="33"/>
        <v>39842</v>
      </c>
      <c r="C212" s="11" t="s">
        <v>499</v>
      </c>
      <c r="D212" s="11" t="s">
        <v>66</v>
      </c>
      <c r="F212" s="38">
        <f>IFERROR(__xludf.DUMMYFUNCTION("""COMPUTED_VALUE"""),40029.0)</f>
        <v>40029</v>
      </c>
      <c r="G212" s="39">
        <f t="shared" si="2"/>
        <v>8</v>
      </c>
      <c r="H212" s="39" t="str">
        <f>IFERROR(__xludf.DUMMYFUNCTION("""COMPUTED_VALUE"""),"Raymond Book")</f>
        <v>Raymond Book</v>
      </c>
      <c r="I212" s="40">
        <f t="shared" si="3"/>
        <v>20</v>
      </c>
    </row>
    <row r="213">
      <c r="A213" s="11">
        <v>212.0</v>
      </c>
      <c r="B213" s="12">
        <f t="shared" ref="B213:B215" si="34">DATE(2012,12,31)-1431</f>
        <v>39843</v>
      </c>
      <c r="C213" s="11" t="s">
        <v>501</v>
      </c>
      <c r="D213" s="11" t="s">
        <v>66</v>
      </c>
      <c r="F213" s="38">
        <f>IFERROR(__xludf.DUMMYFUNCTION("""COMPUTED_VALUE"""),40030.0)</f>
        <v>40030</v>
      </c>
      <c r="G213" s="39">
        <f t="shared" si="2"/>
        <v>9</v>
      </c>
      <c r="H213" s="39" t="str">
        <f>IFERROR(__xludf.DUMMYFUNCTION("""COMPUTED_VALUE"""),"Joy Bell")</f>
        <v>Joy Bell</v>
      </c>
      <c r="I213" s="40">
        <f t="shared" si="3"/>
        <v>11</v>
      </c>
    </row>
    <row r="214">
      <c r="A214" s="11">
        <v>213.0</v>
      </c>
      <c r="B214" s="12">
        <f t="shared" si="34"/>
        <v>39843</v>
      </c>
      <c r="C214" s="11" t="s">
        <v>276</v>
      </c>
      <c r="D214" s="11" t="s">
        <v>66</v>
      </c>
      <c r="F214" s="38">
        <f>IFERROR(__xludf.DUMMYFUNCTION("""COMPUTED_VALUE"""),40031.0)</f>
        <v>40031</v>
      </c>
      <c r="G214" s="39">
        <f t="shared" si="2"/>
        <v>11</v>
      </c>
      <c r="H214" s="39" t="str">
        <f>IFERROR(__xludf.DUMMYFUNCTION("""COMPUTED_VALUE"""),"Dennis Bolton")</f>
        <v>Dennis Bolton</v>
      </c>
      <c r="I214" s="40">
        <f t="shared" si="3"/>
        <v>14</v>
      </c>
    </row>
    <row r="215">
      <c r="A215" s="11">
        <v>214.0</v>
      </c>
      <c r="B215" s="12">
        <f t="shared" si="34"/>
        <v>39843</v>
      </c>
      <c r="C215" s="11" t="s">
        <v>504</v>
      </c>
      <c r="D215" s="11" t="s">
        <v>66</v>
      </c>
      <c r="F215" s="38">
        <f>IFERROR(__xludf.DUMMYFUNCTION("""COMPUTED_VALUE"""),40032.0)</f>
        <v>40032</v>
      </c>
      <c r="G215" s="39">
        <f t="shared" si="2"/>
        <v>5</v>
      </c>
      <c r="H215" s="39" t="str">
        <f>IFERROR(__xludf.DUMMYFUNCTION("""COMPUTED_VALUE"""),"Rose O'Brian")</f>
        <v>Rose O'Brian</v>
      </c>
      <c r="I215" s="40">
        <f t="shared" si="3"/>
        <v>7</v>
      </c>
    </row>
    <row r="216">
      <c r="A216" s="11">
        <v>215.0</v>
      </c>
      <c r="B216" s="12">
        <f t="shared" ref="B216:B224" si="35">DATE(2012,12,31)-1430</f>
        <v>39844</v>
      </c>
      <c r="C216" s="11" t="s">
        <v>507</v>
      </c>
      <c r="D216" s="11" t="s">
        <v>28</v>
      </c>
      <c r="F216" s="38">
        <f>IFERROR(__xludf.DUMMYFUNCTION("""COMPUTED_VALUE"""),40033.0)</f>
        <v>40033</v>
      </c>
      <c r="G216" s="39">
        <f t="shared" si="2"/>
        <v>1</v>
      </c>
      <c r="H216" s="39" t="str">
        <f>IFERROR(__xludf.DUMMYFUNCTION("""COMPUTED_VALUE"""),"John Huston")</f>
        <v>John Huston</v>
      </c>
      <c r="I216" s="40">
        <f t="shared" si="3"/>
        <v>3</v>
      </c>
    </row>
    <row r="217">
      <c r="A217" s="11">
        <v>216.0</v>
      </c>
      <c r="B217" s="12">
        <f t="shared" si="35"/>
        <v>39844</v>
      </c>
      <c r="C217" s="11" t="s">
        <v>510</v>
      </c>
      <c r="D217" s="11" t="s">
        <v>28</v>
      </c>
      <c r="F217" s="38">
        <f>IFERROR(__xludf.DUMMYFUNCTION("""COMPUTED_VALUE"""),40034.0)</f>
        <v>40034</v>
      </c>
      <c r="G217" s="39">
        <f t="shared" si="2"/>
        <v>4</v>
      </c>
      <c r="H217" s="39" t="str">
        <f>IFERROR(__xludf.DUMMYFUNCTION("""COMPUTED_VALUE"""),"Richard Bierner")</f>
        <v>Richard Bierner</v>
      </c>
      <c r="I217" s="40">
        <f t="shared" si="3"/>
        <v>8</v>
      </c>
    </row>
    <row r="218">
      <c r="A218" s="11">
        <v>217.0</v>
      </c>
      <c r="B218" s="12">
        <f t="shared" si="35"/>
        <v>39844</v>
      </c>
      <c r="C218" s="11" t="s">
        <v>510</v>
      </c>
      <c r="D218" s="11" t="s">
        <v>28</v>
      </c>
      <c r="F218" s="38">
        <f>IFERROR(__xludf.DUMMYFUNCTION("""COMPUTED_VALUE"""),40035.0)</f>
        <v>40035</v>
      </c>
      <c r="G218" s="39">
        <f t="shared" si="2"/>
        <v>10</v>
      </c>
      <c r="H218" s="39" t="str">
        <f>IFERROR(__xludf.DUMMYFUNCTION("""COMPUTED_VALUE"""),"Dorothy Badders")</f>
        <v>Dorothy Badders</v>
      </c>
      <c r="I218" s="40">
        <f t="shared" si="3"/>
        <v>8</v>
      </c>
    </row>
    <row r="219">
      <c r="A219" s="11">
        <v>218.0</v>
      </c>
      <c r="B219" s="12">
        <f t="shared" si="35"/>
        <v>39844</v>
      </c>
      <c r="C219" s="11" t="s">
        <v>514</v>
      </c>
      <c r="D219" s="11" t="s">
        <v>49</v>
      </c>
      <c r="F219" s="38">
        <f>IFERROR(__xludf.DUMMYFUNCTION("""COMPUTED_VALUE"""),40036.0)</f>
        <v>40036</v>
      </c>
      <c r="G219" s="39">
        <f t="shared" si="2"/>
        <v>7</v>
      </c>
      <c r="H219" s="39" t="str">
        <f>IFERROR(__xludf.DUMMYFUNCTION("""COMPUTED_VALUE"""),"Maxwell Schwartz")</f>
        <v>Maxwell Schwartz</v>
      </c>
      <c r="I219" s="40">
        <f t="shared" si="3"/>
        <v>16</v>
      </c>
    </row>
    <row r="220">
      <c r="A220" s="11">
        <v>219.0</v>
      </c>
      <c r="B220" s="12">
        <f t="shared" si="35"/>
        <v>39844</v>
      </c>
      <c r="C220" s="11" t="s">
        <v>514</v>
      </c>
      <c r="D220" s="11" t="s">
        <v>28</v>
      </c>
      <c r="F220" s="38">
        <f>IFERROR(__xludf.DUMMYFUNCTION("""COMPUTED_VALUE"""),40037.0)</f>
        <v>40037</v>
      </c>
      <c r="G220" s="39">
        <f t="shared" si="2"/>
        <v>5</v>
      </c>
      <c r="H220" s="39" t="str">
        <f>IFERROR(__xludf.DUMMYFUNCTION("""COMPUTED_VALUE"""),"Karen Bern")</f>
        <v>Karen Bern</v>
      </c>
      <c r="I220" s="40">
        <f t="shared" si="3"/>
        <v>4</v>
      </c>
    </row>
    <row r="221">
      <c r="A221" s="11">
        <v>220.0</v>
      </c>
      <c r="B221" s="12">
        <f t="shared" si="35"/>
        <v>39844</v>
      </c>
      <c r="C221" s="11" t="s">
        <v>514</v>
      </c>
      <c r="D221" s="11" t="s">
        <v>28</v>
      </c>
      <c r="F221" s="38">
        <f>IFERROR(__xludf.DUMMYFUNCTION("""COMPUTED_VALUE"""),40038.0)</f>
        <v>40038</v>
      </c>
      <c r="G221" s="39">
        <f t="shared" si="2"/>
        <v>2</v>
      </c>
      <c r="H221" s="39" t="str">
        <f>IFERROR(__xludf.DUMMYFUNCTION("""COMPUTED_VALUE"""),"Nora Price")</f>
        <v>Nora Price</v>
      </c>
      <c r="I221" s="40">
        <f t="shared" si="3"/>
        <v>28</v>
      </c>
    </row>
    <row r="222">
      <c r="A222" s="11">
        <v>221.0</v>
      </c>
      <c r="B222" s="12">
        <f t="shared" si="35"/>
        <v>39844</v>
      </c>
      <c r="C222" s="11" t="s">
        <v>357</v>
      </c>
      <c r="D222" s="11" t="s">
        <v>66</v>
      </c>
      <c r="F222" s="38">
        <f>IFERROR(__xludf.DUMMYFUNCTION("""COMPUTED_VALUE"""),40039.0)</f>
        <v>40039</v>
      </c>
      <c r="G222" s="39">
        <f t="shared" si="2"/>
        <v>13</v>
      </c>
      <c r="H222" s="39" t="str">
        <f>IFERROR(__xludf.DUMMYFUNCTION("""COMPUTED_VALUE"""),"Thomas Brumley")</f>
        <v>Thomas Brumley</v>
      </c>
      <c r="I222" s="40">
        <f t="shared" si="3"/>
        <v>7</v>
      </c>
    </row>
    <row r="223">
      <c r="A223" s="11">
        <v>222.0</v>
      </c>
      <c r="B223" s="12">
        <f t="shared" si="35"/>
        <v>39844</v>
      </c>
      <c r="C223" s="11" t="s">
        <v>520</v>
      </c>
      <c r="D223" s="11" t="s">
        <v>28</v>
      </c>
      <c r="F223" s="38">
        <f>IFERROR(__xludf.DUMMYFUNCTION("""COMPUTED_VALUE"""),40040.0)</f>
        <v>40040</v>
      </c>
      <c r="G223" s="39">
        <f t="shared" si="2"/>
        <v>15</v>
      </c>
      <c r="H223" s="39" t="str">
        <f>IFERROR(__xludf.DUMMYFUNCTION("""COMPUTED_VALUE"""),"Craig Carroll")</f>
        <v>Craig Carroll</v>
      </c>
      <c r="I223" s="40">
        <f t="shared" si="3"/>
        <v>9</v>
      </c>
    </row>
    <row r="224">
      <c r="A224" s="11">
        <v>223.0</v>
      </c>
      <c r="B224" s="12">
        <f t="shared" si="35"/>
        <v>39844</v>
      </c>
      <c r="C224" s="11" t="s">
        <v>520</v>
      </c>
      <c r="D224" s="11" t="s">
        <v>49</v>
      </c>
      <c r="F224" s="38">
        <f>IFERROR(__xludf.DUMMYFUNCTION("""COMPUTED_VALUE"""),40041.0)</f>
        <v>40041</v>
      </c>
      <c r="G224" s="39">
        <f t="shared" si="2"/>
        <v>6</v>
      </c>
      <c r="H224" s="39" t="str">
        <f>IFERROR(__xludf.DUMMYFUNCTION("""COMPUTED_VALUE"""),"Heather Kirkland")</f>
        <v>Heather Kirkland</v>
      </c>
      <c r="I224" s="40">
        <f t="shared" si="3"/>
        <v>8</v>
      </c>
    </row>
    <row r="225">
      <c r="A225" s="11">
        <v>224.0</v>
      </c>
      <c r="B225" s="12">
        <f t="shared" ref="B225:B227" si="36">DATE(2012,12,31)-1429</f>
        <v>39845</v>
      </c>
      <c r="C225" s="11" t="s">
        <v>373</v>
      </c>
      <c r="D225" s="11" t="s">
        <v>28</v>
      </c>
      <c r="F225" s="38">
        <f>IFERROR(__xludf.DUMMYFUNCTION("""COMPUTED_VALUE"""),40042.0)</f>
        <v>40042</v>
      </c>
      <c r="G225" s="39">
        <f t="shared" si="2"/>
        <v>2</v>
      </c>
      <c r="H225" s="39" t="str">
        <f>IFERROR(__xludf.DUMMYFUNCTION("""COMPUTED_VALUE"""),"Lindsay Castell")</f>
        <v>Lindsay Castell</v>
      </c>
      <c r="I225" s="40">
        <f t="shared" si="3"/>
        <v>10</v>
      </c>
    </row>
    <row r="226">
      <c r="A226" s="11">
        <v>225.0</v>
      </c>
      <c r="B226" s="12">
        <f t="shared" si="36"/>
        <v>39845</v>
      </c>
      <c r="C226" s="11" t="s">
        <v>525</v>
      </c>
      <c r="D226" s="11" t="s">
        <v>66</v>
      </c>
      <c r="F226" s="38">
        <f>IFERROR(__xludf.DUMMYFUNCTION("""COMPUTED_VALUE"""),40043.0)</f>
        <v>40043</v>
      </c>
      <c r="G226" s="39">
        <f t="shared" si="2"/>
        <v>8</v>
      </c>
      <c r="H226" s="39" t="str">
        <f>IFERROR(__xludf.DUMMYFUNCTION("""COMPUTED_VALUE"""),"Resi Polking")</f>
        <v>Resi Polking</v>
      </c>
      <c r="I226" s="40">
        <f t="shared" si="3"/>
        <v>9</v>
      </c>
    </row>
    <row r="227">
      <c r="A227" s="11">
        <v>226.0</v>
      </c>
      <c r="B227" s="12">
        <f t="shared" si="36"/>
        <v>39845</v>
      </c>
      <c r="C227" s="11" t="s">
        <v>528</v>
      </c>
      <c r="D227" s="11" t="s">
        <v>66</v>
      </c>
      <c r="F227" s="38">
        <f>IFERROR(__xludf.DUMMYFUNCTION("""COMPUTED_VALUE"""),40044.0)</f>
        <v>40044</v>
      </c>
      <c r="G227" s="39">
        <f t="shared" si="2"/>
        <v>5</v>
      </c>
      <c r="H227" s="39" t="str">
        <f>IFERROR(__xludf.DUMMYFUNCTION("""COMPUTED_VALUE"""),"Rob Beeghly")</f>
        <v>Rob Beeghly</v>
      </c>
      <c r="I227" s="40">
        <f t="shared" si="3"/>
        <v>8</v>
      </c>
    </row>
    <row r="228">
      <c r="A228" s="11">
        <v>227.0</v>
      </c>
      <c r="B228" s="12">
        <f t="shared" ref="B228:B233" si="37">DATE(2012,12,31)-1428</f>
        <v>39846</v>
      </c>
      <c r="C228" s="11" t="s">
        <v>373</v>
      </c>
      <c r="D228" s="11" t="s">
        <v>66</v>
      </c>
      <c r="F228" s="38">
        <f>IFERROR(__xludf.DUMMYFUNCTION("""COMPUTED_VALUE"""),40045.0)</f>
        <v>40045</v>
      </c>
      <c r="G228" s="39">
        <f t="shared" si="2"/>
        <v>3</v>
      </c>
      <c r="H228" s="39" t="str">
        <f>IFERROR(__xludf.DUMMYFUNCTION("""COMPUTED_VALUE"""),"Dennis Kane")</f>
        <v>Dennis Kane</v>
      </c>
      <c r="I228" s="40">
        <f t="shared" si="3"/>
        <v>20</v>
      </c>
    </row>
    <row r="229">
      <c r="A229" s="11">
        <v>228.0</v>
      </c>
      <c r="B229" s="12">
        <f t="shared" si="37"/>
        <v>39846</v>
      </c>
      <c r="C229" s="11" t="s">
        <v>373</v>
      </c>
      <c r="D229" s="11" t="s">
        <v>49</v>
      </c>
      <c r="F229" s="38">
        <f>IFERROR(__xludf.DUMMYFUNCTION("""COMPUTED_VALUE"""),40046.0)</f>
        <v>40046</v>
      </c>
      <c r="G229" s="39">
        <f t="shared" si="2"/>
        <v>6</v>
      </c>
      <c r="H229" s="39" t="str">
        <f>IFERROR(__xludf.DUMMYFUNCTION("""COMPUTED_VALUE"""),"Laura Armstrong")</f>
        <v>Laura Armstrong</v>
      </c>
      <c r="I229" s="40">
        <f t="shared" si="3"/>
        <v>10</v>
      </c>
    </row>
    <row r="230">
      <c r="A230" s="11">
        <v>229.0</v>
      </c>
      <c r="B230" s="12">
        <f t="shared" si="37"/>
        <v>39846</v>
      </c>
      <c r="C230" s="11" t="s">
        <v>533</v>
      </c>
      <c r="D230" s="11" t="s">
        <v>49</v>
      </c>
      <c r="F230" s="38">
        <f>IFERROR(__xludf.DUMMYFUNCTION("""COMPUTED_VALUE"""),40047.0)</f>
        <v>40047</v>
      </c>
      <c r="G230" s="39">
        <f t="shared" si="2"/>
        <v>8</v>
      </c>
      <c r="H230" s="39" t="str">
        <f>IFERROR(__xludf.DUMMYFUNCTION("""COMPUTED_VALUE"""),"Carol Adams")</f>
        <v>Carol Adams</v>
      </c>
      <c r="I230" s="40">
        <f t="shared" si="3"/>
        <v>4</v>
      </c>
    </row>
    <row r="231">
      <c r="A231" s="11">
        <v>230.0</v>
      </c>
      <c r="B231" s="12">
        <f t="shared" si="37"/>
        <v>39846</v>
      </c>
      <c r="C231" s="11" t="s">
        <v>219</v>
      </c>
      <c r="D231" s="11" t="s">
        <v>28</v>
      </c>
      <c r="F231" s="38">
        <f>IFERROR(__xludf.DUMMYFUNCTION("""COMPUTED_VALUE"""),40048.0)</f>
        <v>40048</v>
      </c>
      <c r="G231" s="39">
        <f t="shared" si="2"/>
        <v>7</v>
      </c>
      <c r="H231" s="39" t="str">
        <f>IFERROR(__xludf.DUMMYFUNCTION("""COMPUTED_VALUE"""),"Denny Blanton")</f>
        <v>Denny Blanton</v>
      </c>
      <c r="I231" s="40">
        <f t="shared" si="3"/>
        <v>7</v>
      </c>
    </row>
    <row r="232">
      <c r="A232" s="11">
        <v>231.0</v>
      </c>
      <c r="B232" s="12">
        <f t="shared" si="37"/>
        <v>39846</v>
      </c>
      <c r="C232" s="11" t="s">
        <v>535</v>
      </c>
      <c r="D232" s="11" t="s">
        <v>49</v>
      </c>
      <c r="F232" s="38">
        <f>IFERROR(__xludf.DUMMYFUNCTION("""COMPUTED_VALUE"""),40049.0)</f>
        <v>40049</v>
      </c>
      <c r="G232" s="39">
        <f t="shared" si="2"/>
        <v>7</v>
      </c>
      <c r="H232" s="39" t="str">
        <f>IFERROR(__xludf.DUMMYFUNCTION("""COMPUTED_VALUE"""),"Carlos Daly")</f>
        <v>Carlos Daly</v>
      </c>
      <c r="I232" s="40">
        <f t="shared" si="3"/>
        <v>12</v>
      </c>
    </row>
    <row r="233">
      <c r="A233" s="11">
        <v>232.0</v>
      </c>
      <c r="B233" s="12">
        <f t="shared" si="37"/>
        <v>39846</v>
      </c>
      <c r="C233" s="11" t="s">
        <v>46</v>
      </c>
      <c r="D233" s="11" t="s">
        <v>49</v>
      </c>
      <c r="F233" s="38">
        <f>IFERROR(__xludf.DUMMYFUNCTION("""COMPUTED_VALUE"""),40050.0)</f>
        <v>40050</v>
      </c>
      <c r="G233" s="39">
        <f t="shared" si="2"/>
        <v>4</v>
      </c>
      <c r="H233" s="39" t="str">
        <f>IFERROR(__xludf.DUMMYFUNCTION("""COMPUTED_VALUE"""),"Beth Fritzler")</f>
        <v>Beth Fritzler</v>
      </c>
      <c r="I233" s="40">
        <f t="shared" si="3"/>
        <v>8</v>
      </c>
    </row>
    <row r="234">
      <c r="A234" s="11">
        <v>233.0</v>
      </c>
      <c r="B234" s="12">
        <f t="shared" ref="B234:B235" si="38">DATE(2012,12,31)-1427</f>
        <v>39847</v>
      </c>
      <c r="C234" s="11" t="s">
        <v>538</v>
      </c>
      <c r="D234" s="11" t="s">
        <v>49</v>
      </c>
      <c r="F234" s="38">
        <f>IFERROR(__xludf.DUMMYFUNCTION("""COMPUTED_VALUE"""),40051.0)</f>
        <v>40051</v>
      </c>
      <c r="G234" s="39">
        <f t="shared" si="2"/>
        <v>4</v>
      </c>
      <c r="H234" s="39" t="str">
        <f>IFERROR(__xludf.DUMMYFUNCTION("""COMPUTED_VALUE"""),"Carol Triggs")</f>
        <v>Carol Triggs</v>
      </c>
      <c r="I234" s="40">
        <f t="shared" si="3"/>
        <v>11</v>
      </c>
    </row>
    <row r="235">
      <c r="A235" s="11">
        <v>234.0</v>
      </c>
      <c r="B235" s="12">
        <f t="shared" si="38"/>
        <v>39847</v>
      </c>
      <c r="C235" s="11" t="s">
        <v>538</v>
      </c>
      <c r="D235" s="11" t="s">
        <v>66</v>
      </c>
      <c r="F235" s="38">
        <f>IFERROR(__xludf.DUMMYFUNCTION("""COMPUTED_VALUE"""),40052.0)</f>
        <v>40052</v>
      </c>
      <c r="G235" s="39">
        <f t="shared" si="2"/>
        <v>9</v>
      </c>
      <c r="H235" s="39" t="str">
        <f>IFERROR(__xludf.DUMMYFUNCTION("""COMPUTED_VALUE"""),"Chuck Sachs")</f>
        <v>Chuck Sachs</v>
      </c>
      <c r="I235" s="40">
        <f t="shared" si="3"/>
        <v>19</v>
      </c>
    </row>
    <row r="236">
      <c r="A236" s="11">
        <v>235.0</v>
      </c>
      <c r="B236" s="12">
        <f t="shared" ref="B236:B251" si="39">DATE(2012,12,31)-1426</f>
        <v>39848</v>
      </c>
      <c r="C236" s="11" t="s">
        <v>541</v>
      </c>
      <c r="D236" s="11" t="s">
        <v>28</v>
      </c>
      <c r="F236" s="38">
        <f>IFERROR(__xludf.DUMMYFUNCTION("""COMPUTED_VALUE"""),40053.0)</f>
        <v>40053</v>
      </c>
      <c r="G236" s="39">
        <f t="shared" si="2"/>
        <v>7</v>
      </c>
      <c r="H236" s="39" t="str">
        <f>IFERROR(__xludf.DUMMYFUNCTION("""COMPUTED_VALUE"""),"Naresj Patel")</f>
        <v>Naresj Patel</v>
      </c>
      <c r="I236" s="40">
        <f t="shared" si="3"/>
        <v>14</v>
      </c>
    </row>
    <row r="237">
      <c r="A237" s="11">
        <v>236.0</v>
      </c>
      <c r="B237" s="12">
        <f t="shared" si="39"/>
        <v>39848</v>
      </c>
      <c r="C237" s="11" t="s">
        <v>541</v>
      </c>
      <c r="D237" s="11" t="s">
        <v>28</v>
      </c>
      <c r="F237" s="38">
        <f>IFERROR(__xludf.DUMMYFUNCTION("""COMPUTED_VALUE"""),40054.0)</f>
        <v>40054</v>
      </c>
      <c r="G237" s="39">
        <f t="shared" si="2"/>
        <v>3</v>
      </c>
      <c r="H237" s="39" t="str">
        <f>IFERROR(__xludf.DUMMYFUNCTION("""COMPUTED_VALUE"""),"Mike Kennedy")</f>
        <v>Mike Kennedy</v>
      </c>
      <c r="I237" s="40">
        <f t="shared" si="3"/>
        <v>14</v>
      </c>
    </row>
    <row r="238">
      <c r="A238" s="11">
        <v>237.0</v>
      </c>
      <c r="B238" s="12">
        <f t="shared" si="39"/>
        <v>39848</v>
      </c>
      <c r="C238" s="11" t="s">
        <v>541</v>
      </c>
      <c r="D238" s="11" t="s">
        <v>49</v>
      </c>
      <c r="F238" s="38">
        <f>IFERROR(__xludf.DUMMYFUNCTION("""COMPUTED_VALUE"""),40055.0)</f>
        <v>40055</v>
      </c>
      <c r="G238" s="39">
        <f t="shared" si="2"/>
        <v>1</v>
      </c>
      <c r="H238" s="39" t="str">
        <f>IFERROR(__xludf.DUMMYFUNCTION("""COMPUTED_VALUE"""),"Daniel Byrd")</f>
        <v>Daniel Byrd</v>
      </c>
      <c r="I238" s="40">
        <f t="shared" si="3"/>
        <v>8</v>
      </c>
    </row>
    <row r="239">
      <c r="A239" s="11">
        <v>238.0</v>
      </c>
      <c r="B239" s="12">
        <f t="shared" si="39"/>
        <v>39848</v>
      </c>
      <c r="C239" s="11" t="s">
        <v>546</v>
      </c>
      <c r="D239" s="11" t="s">
        <v>28</v>
      </c>
      <c r="F239" s="38">
        <f>IFERROR(__xludf.DUMMYFUNCTION("""COMPUTED_VALUE"""),40056.0)</f>
        <v>40056</v>
      </c>
      <c r="G239" s="39">
        <f t="shared" si="2"/>
        <v>8</v>
      </c>
      <c r="H239" s="39" t="str">
        <f>IFERROR(__xludf.DUMMYFUNCTION("""COMPUTED_VALUE"""),"John Dryer")</f>
        <v>John Dryer</v>
      </c>
      <c r="I239" s="40">
        <f t="shared" si="3"/>
        <v>13</v>
      </c>
    </row>
    <row r="240">
      <c r="A240" s="11">
        <v>239.0</v>
      </c>
      <c r="B240" s="12">
        <f t="shared" si="39"/>
        <v>39848</v>
      </c>
      <c r="C240" s="11" t="s">
        <v>548</v>
      </c>
      <c r="D240" s="11" t="s">
        <v>28</v>
      </c>
      <c r="F240" s="38">
        <f>IFERROR(__xludf.DUMMYFUNCTION("""COMPUTED_VALUE"""),40057.0)</f>
        <v>40057</v>
      </c>
      <c r="G240" s="39">
        <f t="shared" si="2"/>
        <v>8</v>
      </c>
      <c r="H240" s="39" t="str">
        <f>IFERROR(__xludf.DUMMYFUNCTION("""COMPUTED_VALUE"""),"Daniel Raglin")</f>
        <v>Daniel Raglin</v>
      </c>
      <c r="I240" s="40">
        <f t="shared" si="3"/>
        <v>4</v>
      </c>
    </row>
    <row r="241">
      <c r="A241" s="11">
        <v>240.0</v>
      </c>
      <c r="B241" s="12">
        <f t="shared" si="39"/>
        <v>39848</v>
      </c>
      <c r="C241" s="11" t="s">
        <v>550</v>
      </c>
      <c r="D241" s="11" t="s">
        <v>28</v>
      </c>
      <c r="F241" s="38">
        <f>IFERROR(__xludf.DUMMYFUNCTION("""COMPUTED_VALUE"""),40058.0)</f>
        <v>40058</v>
      </c>
      <c r="G241" s="39">
        <f t="shared" si="2"/>
        <v>6</v>
      </c>
      <c r="H241" s="39" t="str">
        <f>IFERROR(__xludf.DUMMYFUNCTION("""COMPUTED_VALUE"""),"Michael Stewart")</f>
        <v>Michael Stewart</v>
      </c>
      <c r="I241" s="40">
        <f t="shared" si="3"/>
        <v>9</v>
      </c>
    </row>
    <row r="242">
      <c r="A242" s="11">
        <v>241.0</v>
      </c>
      <c r="B242" s="12">
        <f t="shared" si="39"/>
        <v>39848</v>
      </c>
      <c r="C242" s="11" t="s">
        <v>550</v>
      </c>
      <c r="D242" s="11" t="s">
        <v>28</v>
      </c>
      <c r="F242" s="38">
        <f>IFERROR(__xludf.DUMMYFUNCTION("""COMPUTED_VALUE"""),40059.0)</f>
        <v>40059</v>
      </c>
      <c r="G242" s="39">
        <f t="shared" si="2"/>
        <v>1</v>
      </c>
      <c r="H242" s="39" t="str">
        <f>IFERROR(__xludf.DUMMYFUNCTION("""COMPUTED_VALUE"""),"Julie Prescott")</f>
        <v>Julie Prescott</v>
      </c>
      <c r="I242" s="40">
        <f t="shared" si="3"/>
        <v>9</v>
      </c>
    </row>
    <row r="243">
      <c r="A243" s="11">
        <v>242.0</v>
      </c>
      <c r="B243" s="12">
        <f t="shared" si="39"/>
        <v>39848</v>
      </c>
      <c r="C243" s="11" t="s">
        <v>550</v>
      </c>
      <c r="D243" s="11" t="s">
        <v>28</v>
      </c>
      <c r="F243" s="38">
        <f>IFERROR(__xludf.DUMMYFUNCTION("""COMPUTED_VALUE"""),40060.0)</f>
        <v>40060</v>
      </c>
      <c r="G243" s="39">
        <f t="shared" si="2"/>
        <v>11</v>
      </c>
      <c r="H243" s="39" t="str">
        <f>IFERROR(__xludf.DUMMYFUNCTION("""COMPUTED_VALUE"""),"Sean Christensen")</f>
        <v>Sean Christensen</v>
      </c>
      <c r="I243" s="40">
        <f t="shared" si="3"/>
        <v>8</v>
      </c>
    </row>
    <row r="244">
      <c r="A244" s="11">
        <v>243.0</v>
      </c>
      <c r="B244" s="12">
        <f t="shared" si="39"/>
        <v>39848</v>
      </c>
      <c r="C244" s="11" t="s">
        <v>555</v>
      </c>
      <c r="D244" s="11" t="s">
        <v>28</v>
      </c>
      <c r="F244" s="38">
        <f>IFERROR(__xludf.DUMMYFUNCTION("""COMPUTED_VALUE"""),40061.0)</f>
        <v>40061</v>
      </c>
      <c r="G244" s="39">
        <f t="shared" si="2"/>
        <v>8</v>
      </c>
      <c r="H244" s="39" t="str">
        <f>IFERROR(__xludf.DUMMYFUNCTION("""COMPUTED_VALUE"""),"Eric Barreto")</f>
        <v>Eric Barreto</v>
      </c>
      <c r="I244" s="40">
        <f t="shared" si="3"/>
        <v>27</v>
      </c>
    </row>
    <row r="245">
      <c r="A245" s="11">
        <v>244.0</v>
      </c>
      <c r="B245" s="12">
        <f t="shared" si="39"/>
        <v>39848</v>
      </c>
      <c r="C245" s="11" t="s">
        <v>555</v>
      </c>
      <c r="D245" s="11" t="s">
        <v>28</v>
      </c>
      <c r="F245" s="38">
        <f>IFERROR(__xludf.DUMMYFUNCTION("""COMPUTED_VALUE"""),40062.0)</f>
        <v>40062</v>
      </c>
      <c r="G245" s="39">
        <f t="shared" si="2"/>
        <v>7</v>
      </c>
      <c r="H245" s="39" t="str">
        <f>IFERROR(__xludf.DUMMYFUNCTION("""COMPUTED_VALUE"""),"Thomas Boland")</f>
        <v>Thomas Boland</v>
      </c>
      <c r="I245" s="40">
        <f t="shared" si="3"/>
        <v>11</v>
      </c>
    </row>
    <row r="246">
      <c r="A246" s="11">
        <v>245.0</v>
      </c>
      <c r="B246" s="12">
        <f t="shared" si="39"/>
        <v>39848</v>
      </c>
      <c r="C246" s="11" t="s">
        <v>514</v>
      </c>
      <c r="D246" s="11" t="s">
        <v>66</v>
      </c>
      <c r="F246" s="38">
        <f>IFERROR(__xludf.DUMMYFUNCTION("""COMPUTED_VALUE"""),40063.0)</f>
        <v>40063</v>
      </c>
      <c r="G246" s="39">
        <f t="shared" si="2"/>
        <v>3</v>
      </c>
      <c r="H246" s="39" t="str">
        <f>IFERROR(__xludf.DUMMYFUNCTION("""COMPUTED_VALUE"""),"Brendan Murry")</f>
        <v>Brendan Murry</v>
      </c>
      <c r="I246" s="40">
        <f t="shared" si="3"/>
        <v>12</v>
      </c>
    </row>
    <row r="247">
      <c r="A247" s="11">
        <v>246.0</v>
      </c>
      <c r="B247" s="12">
        <f t="shared" si="39"/>
        <v>39848</v>
      </c>
      <c r="C247" s="11" t="s">
        <v>514</v>
      </c>
      <c r="D247" s="11" t="s">
        <v>49</v>
      </c>
      <c r="F247" s="38">
        <f>IFERROR(__xludf.DUMMYFUNCTION("""COMPUTED_VALUE"""),40064.0)</f>
        <v>40064</v>
      </c>
      <c r="G247" s="39">
        <f t="shared" si="2"/>
        <v>4</v>
      </c>
      <c r="H247" s="39" t="str">
        <f>IFERROR(__xludf.DUMMYFUNCTION("""COMPUTED_VALUE"""),"Kimberly Carter")</f>
        <v>Kimberly Carter</v>
      </c>
      <c r="I247" s="40">
        <f t="shared" si="3"/>
        <v>12</v>
      </c>
    </row>
    <row r="248">
      <c r="A248" s="11">
        <v>247.0</v>
      </c>
      <c r="B248" s="12">
        <f t="shared" si="39"/>
        <v>39848</v>
      </c>
      <c r="C248" s="11" t="s">
        <v>514</v>
      </c>
      <c r="D248" s="11" t="s">
        <v>28</v>
      </c>
      <c r="F248" s="38">
        <f>IFERROR(__xludf.DUMMYFUNCTION("""COMPUTED_VALUE"""),40065.0)</f>
        <v>40065</v>
      </c>
      <c r="G248" s="39">
        <f t="shared" si="2"/>
        <v>1</v>
      </c>
      <c r="H248" s="39" t="str">
        <f>IFERROR(__xludf.DUMMYFUNCTION("""COMPUTED_VALUE"""),"Marc Harrigan")</f>
        <v>Marc Harrigan</v>
      </c>
      <c r="I248" s="40">
        <f t="shared" si="3"/>
        <v>3</v>
      </c>
    </row>
    <row r="249">
      <c r="A249" s="11">
        <v>248.0</v>
      </c>
      <c r="B249" s="12">
        <f t="shared" si="39"/>
        <v>39848</v>
      </c>
      <c r="C249" s="11" t="s">
        <v>373</v>
      </c>
      <c r="D249" s="11" t="s">
        <v>66</v>
      </c>
      <c r="F249" s="38">
        <f>IFERROR(__xludf.DUMMYFUNCTION("""COMPUTED_VALUE"""),40066.0)</f>
        <v>40066</v>
      </c>
      <c r="G249" s="39">
        <f t="shared" si="2"/>
        <v>3</v>
      </c>
      <c r="H249" s="39" t="str">
        <f>IFERROR(__xludf.DUMMYFUNCTION("""COMPUTED_VALUE"""),"Anna Chung")</f>
        <v>Anna Chung</v>
      </c>
      <c r="I249" s="40">
        <f t="shared" si="3"/>
        <v>4</v>
      </c>
    </row>
    <row r="250">
      <c r="A250" s="11">
        <v>249.0</v>
      </c>
      <c r="B250" s="12">
        <f t="shared" si="39"/>
        <v>39848</v>
      </c>
      <c r="C250" s="11" t="s">
        <v>373</v>
      </c>
      <c r="D250" s="11" t="s">
        <v>28</v>
      </c>
      <c r="F250" s="38">
        <f>IFERROR(__xludf.DUMMYFUNCTION("""COMPUTED_VALUE"""),40067.0)</f>
        <v>40067</v>
      </c>
      <c r="G250" s="39">
        <f t="shared" si="2"/>
        <v>10</v>
      </c>
      <c r="H250" s="39" t="str">
        <f>IFERROR(__xludf.DUMMYFUNCTION("""COMPUTED_VALUE"""),"Beth Thompson")</f>
        <v>Beth Thompson</v>
      </c>
      <c r="I250" s="40">
        <f t="shared" si="3"/>
        <v>20</v>
      </c>
    </row>
    <row r="251">
      <c r="A251" s="11">
        <v>250.0</v>
      </c>
      <c r="B251" s="12">
        <f t="shared" si="39"/>
        <v>39848</v>
      </c>
      <c r="C251" s="11" t="s">
        <v>561</v>
      </c>
      <c r="D251" s="11" t="s">
        <v>66</v>
      </c>
      <c r="F251" s="38">
        <f>IFERROR(__xludf.DUMMYFUNCTION("""COMPUTED_VALUE"""),40068.0)</f>
        <v>40068</v>
      </c>
      <c r="G251" s="39">
        <f t="shared" si="2"/>
        <v>8</v>
      </c>
      <c r="H251" s="39" t="str">
        <f>IFERROR(__xludf.DUMMYFUNCTION("""COMPUTED_VALUE"""),"Noah Childs")</f>
        <v>Noah Childs</v>
      </c>
      <c r="I251" s="40">
        <f t="shared" si="3"/>
        <v>6</v>
      </c>
    </row>
    <row r="252">
      <c r="A252" s="11">
        <v>251.0</v>
      </c>
      <c r="B252" s="12">
        <f t="shared" ref="B252:B258" si="40">DATE(2012,12,31)-1425</f>
        <v>39849</v>
      </c>
      <c r="C252" s="11" t="s">
        <v>563</v>
      </c>
      <c r="D252" s="11" t="s">
        <v>66</v>
      </c>
      <c r="F252" s="38">
        <f>IFERROR(__xludf.DUMMYFUNCTION("""COMPUTED_VALUE"""),40069.0)</f>
        <v>40069</v>
      </c>
      <c r="G252" s="39">
        <f t="shared" si="2"/>
        <v>6</v>
      </c>
      <c r="H252" s="39" t="str">
        <f>IFERROR(__xludf.DUMMYFUNCTION("""COMPUTED_VALUE"""),"Barry Weirich")</f>
        <v>Barry Weirich</v>
      </c>
      <c r="I252" s="40">
        <f t="shared" si="3"/>
        <v>9</v>
      </c>
    </row>
    <row r="253">
      <c r="A253" s="11">
        <v>252.0</v>
      </c>
      <c r="B253" s="12">
        <f t="shared" si="40"/>
        <v>39849</v>
      </c>
      <c r="C253" s="11" t="s">
        <v>563</v>
      </c>
      <c r="D253" s="11" t="s">
        <v>28</v>
      </c>
      <c r="F253" s="38">
        <f>IFERROR(__xludf.DUMMYFUNCTION("""COMPUTED_VALUE"""),40070.0)</f>
        <v>40070</v>
      </c>
      <c r="G253" s="39">
        <f t="shared" si="2"/>
        <v>6</v>
      </c>
      <c r="H253" s="39" t="str">
        <f>IFERROR(__xludf.DUMMYFUNCTION("""COMPUTED_VALUE"""),"Victoria Wilson")</f>
        <v>Victoria Wilson</v>
      </c>
      <c r="I253" s="40">
        <f t="shared" si="3"/>
        <v>16</v>
      </c>
    </row>
    <row r="254">
      <c r="A254" s="11">
        <v>253.0</v>
      </c>
      <c r="B254" s="12">
        <f t="shared" si="40"/>
        <v>39849</v>
      </c>
      <c r="C254" s="11" t="s">
        <v>567</v>
      </c>
      <c r="D254" s="11" t="s">
        <v>28</v>
      </c>
      <c r="F254" s="38">
        <f>IFERROR(__xludf.DUMMYFUNCTION("""COMPUTED_VALUE"""),40071.0)</f>
        <v>40071</v>
      </c>
      <c r="G254" s="39">
        <f t="shared" si="2"/>
        <v>5</v>
      </c>
      <c r="H254" s="39" t="str">
        <f>IFERROR(__xludf.DUMMYFUNCTION("""COMPUTED_VALUE"""),"Tony Sayre")</f>
        <v>Tony Sayre</v>
      </c>
      <c r="I254" s="40">
        <f t="shared" si="3"/>
        <v>29</v>
      </c>
    </row>
    <row r="255">
      <c r="A255" s="11">
        <v>254.0</v>
      </c>
      <c r="B255" s="12">
        <f t="shared" si="40"/>
        <v>39849</v>
      </c>
      <c r="C255" s="11" t="s">
        <v>567</v>
      </c>
      <c r="D255" s="11" t="s">
        <v>66</v>
      </c>
      <c r="F255" s="38">
        <f>IFERROR(__xludf.DUMMYFUNCTION("""COMPUTED_VALUE"""),40072.0)</f>
        <v>40072</v>
      </c>
      <c r="G255" s="39">
        <f t="shared" si="2"/>
        <v>10</v>
      </c>
      <c r="H255" s="39" t="str">
        <f>IFERROR(__xludf.DUMMYFUNCTION("""COMPUTED_VALUE"""),"Christopher Conant")</f>
        <v>Christopher Conant</v>
      </c>
      <c r="I255" s="40">
        <f t="shared" si="3"/>
        <v>12</v>
      </c>
    </row>
    <row r="256">
      <c r="A256" s="11">
        <v>255.0</v>
      </c>
      <c r="B256" s="12">
        <f t="shared" si="40"/>
        <v>39849</v>
      </c>
      <c r="C256" s="11" t="s">
        <v>571</v>
      </c>
      <c r="D256" s="11" t="s">
        <v>28</v>
      </c>
      <c r="F256" s="38">
        <f>IFERROR(__xludf.DUMMYFUNCTION("""COMPUTED_VALUE"""),40073.0)</f>
        <v>40073</v>
      </c>
      <c r="G256" s="39">
        <f t="shared" si="2"/>
        <v>7</v>
      </c>
      <c r="H256" s="39" t="str">
        <f>IFERROR(__xludf.DUMMYFUNCTION("""COMPUTED_VALUE"""),"Emily Phan")</f>
        <v>Emily Phan</v>
      </c>
      <c r="I256" s="40">
        <f t="shared" si="3"/>
        <v>10</v>
      </c>
    </row>
    <row r="257">
      <c r="A257" s="11">
        <v>256.0</v>
      </c>
      <c r="B257" s="12">
        <f t="shared" si="40"/>
        <v>39849</v>
      </c>
      <c r="C257" s="11" t="s">
        <v>574</v>
      </c>
      <c r="D257" s="11" t="s">
        <v>49</v>
      </c>
      <c r="F257" s="38">
        <f>IFERROR(__xludf.DUMMYFUNCTION("""COMPUTED_VALUE"""),40074.0)</f>
        <v>40074</v>
      </c>
      <c r="G257" s="39">
        <f t="shared" si="2"/>
        <v>5</v>
      </c>
      <c r="H257" s="39" t="str">
        <f>IFERROR(__xludf.DUMMYFUNCTION("""COMPUTED_VALUE"""),"Tonja Turnell")</f>
        <v>Tonja Turnell</v>
      </c>
      <c r="I257" s="40">
        <f t="shared" si="3"/>
        <v>14</v>
      </c>
    </row>
    <row r="258">
      <c r="A258" s="11">
        <v>257.0</v>
      </c>
      <c r="B258" s="12">
        <f t="shared" si="40"/>
        <v>39849</v>
      </c>
      <c r="C258" s="11" t="s">
        <v>576</v>
      </c>
      <c r="D258" s="11" t="s">
        <v>28</v>
      </c>
      <c r="F258" s="38">
        <f>IFERROR(__xludf.DUMMYFUNCTION("""COMPUTED_VALUE"""),40075.0)</f>
        <v>40075</v>
      </c>
      <c r="G258" s="39">
        <f t="shared" si="2"/>
        <v>11</v>
      </c>
      <c r="H258" s="39" t="str">
        <f>IFERROR(__xludf.DUMMYFUNCTION("""COMPUTED_VALUE"""),"Lena Cacioppo")</f>
        <v>Lena Cacioppo</v>
      </c>
      <c r="I258" s="40">
        <f t="shared" si="3"/>
        <v>6</v>
      </c>
    </row>
    <row r="259">
      <c r="A259" s="11">
        <v>258.0</v>
      </c>
      <c r="B259" s="12">
        <f t="shared" ref="B259:B264" si="41">DATE(2012,12,31)-1424</f>
        <v>39850</v>
      </c>
      <c r="C259" s="11" t="s">
        <v>578</v>
      </c>
      <c r="D259" s="11" t="s">
        <v>49</v>
      </c>
      <c r="F259" s="38">
        <f>IFERROR(__xludf.DUMMYFUNCTION("""COMPUTED_VALUE"""),40076.0)</f>
        <v>40076</v>
      </c>
      <c r="G259" s="39">
        <f t="shared" si="2"/>
        <v>6</v>
      </c>
      <c r="H259" s="39" t="str">
        <f>IFERROR(__xludf.DUMMYFUNCTION("""COMPUTED_VALUE"""),"Pamela Stobb")</f>
        <v>Pamela Stobb</v>
      </c>
      <c r="I259" s="40">
        <f t="shared" si="3"/>
        <v>8</v>
      </c>
    </row>
    <row r="260">
      <c r="A260" s="11">
        <v>259.0</v>
      </c>
      <c r="B260" s="12">
        <f t="shared" si="41"/>
        <v>39850</v>
      </c>
      <c r="C260" s="11" t="s">
        <v>581</v>
      </c>
      <c r="D260" s="11" t="s">
        <v>66</v>
      </c>
      <c r="F260" s="38">
        <f>IFERROR(__xludf.DUMMYFUNCTION("""COMPUTED_VALUE"""),40077.0)</f>
        <v>40077</v>
      </c>
      <c r="G260" s="39">
        <f t="shared" si="2"/>
        <v>2</v>
      </c>
      <c r="H260" s="39" t="str">
        <f>IFERROR(__xludf.DUMMYFUNCTION("""COMPUTED_VALUE"""),"Kelly Williams")</f>
        <v>Kelly Williams</v>
      </c>
      <c r="I260" s="40">
        <f t="shared" si="3"/>
        <v>13</v>
      </c>
    </row>
    <row r="261">
      <c r="A261" s="11">
        <v>260.0</v>
      </c>
      <c r="B261" s="12">
        <f t="shared" si="41"/>
        <v>39850</v>
      </c>
      <c r="C261" s="11" t="s">
        <v>584</v>
      </c>
      <c r="D261" s="11" t="s">
        <v>49</v>
      </c>
      <c r="F261" s="38">
        <f>IFERROR(__xludf.DUMMYFUNCTION("""COMPUTED_VALUE"""),40078.0)</f>
        <v>40078</v>
      </c>
      <c r="G261" s="39">
        <f t="shared" si="2"/>
        <v>2</v>
      </c>
      <c r="H261" s="39" t="str">
        <f>IFERROR(__xludf.DUMMYFUNCTION("""COMPUTED_VALUE"""),"Jack O'Briant")</f>
        <v>Jack O'Briant</v>
      </c>
      <c r="I261" s="40">
        <f t="shared" si="3"/>
        <v>28</v>
      </c>
    </row>
    <row r="262">
      <c r="A262" s="11">
        <v>261.0</v>
      </c>
      <c r="B262" s="12">
        <f t="shared" si="41"/>
        <v>39850</v>
      </c>
      <c r="C262" s="11" t="s">
        <v>584</v>
      </c>
      <c r="D262" s="11" t="s">
        <v>66</v>
      </c>
      <c r="F262" s="38">
        <f>IFERROR(__xludf.DUMMYFUNCTION("""COMPUTED_VALUE"""),40079.0)</f>
        <v>40079</v>
      </c>
      <c r="G262" s="39">
        <f t="shared" si="2"/>
        <v>6</v>
      </c>
      <c r="H262" s="39" t="str">
        <f>IFERROR(__xludf.DUMMYFUNCTION("""COMPUTED_VALUE"""),"Dean Braden")</f>
        <v>Dean Braden</v>
      </c>
      <c r="I262" s="40">
        <f t="shared" si="3"/>
        <v>2</v>
      </c>
    </row>
    <row r="263">
      <c r="A263" s="11">
        <v>262.0</v>
      </c>
      <c r="B263" s="12">
        <f t="shared" si="41"/>
        <v>39850</v>
      </c>
      <c r="C263" s="11" t="s">
        <v>78</v>
      </c>
      <c r="D263" s="11" t="s">
        <v>49</v>
      </c>
      <c r="F263" s="38">
        <f>IFERROR(__xludf.DUMMYFUNCTION("""COMPUTED_VALUE"""),40080.0)</f>
        <v>40080</v>
      </c>
      <c r="G263" s="39">
        <f t="shared" si="2"/>
        <v>8</v>
      </c>
      <c r="H263" s="39" t="str">
        <f>IFERROR(__xludf.DUMMYFUNCTION("""COMPUTED_VALUE"""),"William Brown")</f>
        <v>William Brown</v>
      </c>
      <c r="I263" s="40">
        <f t="shared" si="3"/>
        <v>23</v>
      </c>
    </row>
    <row r="264">
      <c r="A264" s="11">
        <v>263.0</v>
      </c>
      <c r="B264" s="12">
        <f t="shared" si="41"/>
        <v>39850</v>
      </c>
      <c r="C264" s="11" t="s">
        <v>78</v>
      </c>
      <c r="D264" s="11" t="s">
        <v>66</v>
      </c>
      <c r="F264" s="38">
        <f>IFERROR(__xludf.DUMMYFUNCTION("""COMPUTED_VALUE"""),40081.0)</f>
        <v>40081</v>
      </c>
      <c r="G264" s="39">
        <f t="shared" si="2"/>
        <v>11</v>
      </c>
      <c r="H264" s="39" t="str">
        <f>IFERROR(__xludf.DUMMYFUNCTION("""COMPUTED_VALUE"""),"Nat Carroll")</f>
        <v>Nat Carroll</v>
      </c>
      <c r="I264" s="40">
        <f t="shared" si="3"/>
        <v>10</v>
      </c>
    </row>
    <row r="265">
      <c r="A265" s="11">
        <v>264.0</v>
      </c>
      <c r="B265" s="12">
        <f t="shared" ref="B265:B269" si="42">DATE(2012,12,31)-1423</f>
        <v>39851</v>
      </c>
      <c r="C265" s="11" t="s">
        <v>588</v>
      </c>
      <c r="D265" s="11" t="s">
        <v>28</v>
      </c>
      <c r="F265" s="38">
        <f>IFERROR(__xludf.DUMMYFUNCTION("""COMPUTED_VALUE"""),40082.0)</f>
        <v>40082</v>
      </c>
      <c r="G265" s="39">
        <f t="shared" si="2"/>
        <v>4</v>
      </c>
      <c r="H265" s="39" t="str">
        <f>IFERROR(__xludf.DUMMYFUNCTION("""COMPUTED_VALUE"""),"Michael Oakman")</f>
        <v>Michael Oakman</v>
      </c>
      <c r="I265" s="40">
        <f t="shared" si="3"/>
        <v>18</v>
      </c>
    </row>
    <row r="266">
      <c r="A266" s="11">
        <v>265.0</v>
      </c>
      <c r="B266" s="12">
        <f t="shared" si="42"/>
        <v>39851</v>
      </c>
      <c r="C266" s="11" t="s">
        <v>588</v>
      </c>
      <c r="D266" s="11" t="s">
        <v>66</v>
      </c>
      <c r="F266" s="38">
        <f>IFERROR(__xludf.DUMMYFUNCTION("""COMPUTED_VALUE"""),40083.0)</f>
        <v>40083</v>
      </c>
      <c r="G266" s="39">
        <f t="shared" si="2"/>
        <v>4</v>
      </c>
      <c r="H266" s="39" t="str">
        <f>IFERROR(__xludf.DUMMYFUNCTION("""COMPUTED_VALUE"""),"Troy Staebel")</f>
        <v>Troy Staebel</v>
      </c>
      <c r="I266" s="40">
        <f t="shared" si="3"/>
        <v>13</v>
      </c>
    </row>
    <row r="267">
      <c r="A267" s="11">
        <v>266.0</v>
      </c>
      <c r="B267" s="12">
        <f t="shared" si="42"/>
        <v>39851</v>
      </c>
      <c r="C267" s="11" t="s">
        <v>357</v>
      </c>
      <c r="D267" s="11" t="s">
        <v>28</v>
      </c>
      <c r="F267" s="38">
        <f>IFERROR(__xludf.DUMMYFUNCTION("""COMPUTED_VALUE"""),40084.0)</f>
        <v>40084</v>
      </c>
      <c r="G267" s="39">
        <f t="shared" si="2"/>
        <v>5</v>
      </c>
      <c r="H267" s="39" t="str">
        <f>IFERROR(__xludf.DUMMYFUNCTION("""COMPUTED_VALUE"""),"Tamara Chand")</f>
        <v>Tamara Chand</v>
      </c>
      <c r="I267" s="40">
        <f t="shared" si="3"/>
        <v>9</v>
      </c>
    </row>
    <row r="268">
      <c r="A268" s="11">
        <v>267.0</v>
      </c>
      <c r="B268" s="12">
        <f t="shared" si="42"/>
        <v>39851</v>
      </c>
      <c r="C268" s="11" t="s">
        <v>357</v>
      </c>
      <c r="D268" s="11" t="s">
        <v>28</v>
      </c>
      <c r="F268" s="38">
        <f>IFERROR(__xludf.DUMMYFUNCTION("""COMPUTED_VALUE"""),40085.0)</f>
        <v>40085</v>
      </c>
      <c r="G268" s="39">
        <f t="shared" si="2"/>
        <v>7</v>
      </c>
      <c r="H268" s="39" t="str">
        <f>IFERROR(__xludf.DUMMYFUNCTION("""COMPUTED_VALUE"""),"Dionis Lloyd")</f>
        <v>Dionis Lloyd</v>
      </c>
      <c r="I268" s="40">
        <f t="shared" si="3"/>
        <v>11</v>
      </c>
    </row>
    <row r="269">
      <c r="A269" s="11">
        <v>268.0</v>
      </c>
      <c r="B269" s="12">
        <f t="shared" si="42"/>
        <v>39851</v>
      </c>
      <c r="C269" s="11" t="s">
        <v>593</v>
      </c>
      <c r="D269" s="11" t="s">
        <v>28</v>
      </c>
      <c r="F269" s="38">
        <f>IFERROR(__xludf.DUMMYFUNCTION("""COMPUTED_VALUE"""),40086.0)</f>
        <v>40086</v>
      </c>
      <c r="G269" s="39">
        <f t="shared" si="2"/>
        <v>8</v>
      </c>
      <c r="H269" s="39" t="str">
        <f>IFERROR(__xludf.DUMMYFUNCTION("""COMPUTED_VALUE"""),"Dario Medina")</f>
        <v>Dario Medina</v>
      </c>
      <c r="I269" s="40">
        <f t="shared" si="3"/>
        <v>8</v>
      </c>
    </row>
    <row r="270">
      <c r="A270" s="11">
        <v>269.0</v>
      </c>
      <c r="B270" s="12">
        <f t="shared" ref="B270:B273" si="43">DATE(2012,12,31)-1422</f>
        <v>39852</v>
      </c>
      <c r="C270" s="11" t="s">
        <v>595</v>
      </c>
      <c r="D270" s="11" t="s">
        <v>66</v>
      </c>
      <c r="F270" s="38">
        <f>IFERROR(__xludf.DUMMYFUNCTION("""COMPUTED_VALUE"""),40087.0)</f>
        <v>40087</v>
      </c>
      <c r="G270" s="39">
        <f t="shared" si="2"/>
        <v>7</v>
      </c>
      <c r="H270" s="39" t="str">
        <f>IFERROR(__xludf.DUMMYFUNCTION("""COMPUTED_VALUE"""),"Joe Kamberova")</f>
        <v>Joe Kamberova</v>
      </c>
      <c r="I270" s="40">
        <f t="shared" si="3"/>
        <v>3</v>
      </c>
    </row>
    <row r="271">
      <c r="A271" s="11">
        <v>270.0</v>
      </c>
      <c r="B271" s="12">
        <f t="shared" si="43"/>
        <v>39852</v>
      </c>
      <c r="C271" s="11" t="s">
        <v>597</v>
      </c>
      <c r="D271" s="11" t="s">
        <v>28</v>
      </c>
      <c r="F271" s="38">
        <f>IFERROR(__xludf.DUMMYFUNCTION("""COMPUTED_VALUE"""),40088.0)</f>
        <v>40088</v>
      </c>
      <c r="G271" s="39">
        <f t="shared" si="2"/>
        <v>4</v>
      </c>
      <c r="H271" s="39" t="str">
        <f>IFERROR(__xludf.DUMMYFUNCTION("""COMPUTED_VALUE"""),"Christopher Martinez")</f>
        <v>Christopher Martinez</v>
      </c>
      <c r="I271" s="40">
        <f t="shared" si="3"/>
        <v>19</v>
      </c>
    </row>
    <row r="272">
      <c r="A272" s="11">
        <v>271.0</v>
      </c>
      <c r="B272" s="12">
        <f t="shared" si="43"/>
        <v>39852</v>
      </c>
      <c r="C272" s="11" t="s">
        <v>600</v>
      </c>
      <c r="D272" s="11" t="s">
        <v>49</v>
      </c>
      <c r="F272" s="38">
        <f>IFERROR(__xludf.DUMMYFUNCTION("""COMPUTED_VALUE"""),40090.0)</f>
        <v>40090</v>
      </c>
      <c r="G272" s="39">
        <f t="shared" si="2"/>
        <v>14</v>
      </c>
      <c r="H272" s="39" t="str">
        <f>IFERROR(__xludf.DUMMYFUNCTION("""COMPUTED_VALUE"""),"Lynn Smith")</f>
        <v>Lynn Smith</v>
      </c>
      <c r="I272" s="40">
        <f t="shared" si="3"/>
        <v>9</v>
      </c>
    </row>
    <row r="273">
      <c r="A273" s="11">
        <v>272.0</v>
      </c>
      <c r="B273" s="12">
        <f t="shared" si="43"/>
        <v>39852</v>
      </c>
      <c r="C273" s="11" t="s">
        <v>602</v>
      </c>
      <c r="D273" s="11" t="s">
        <v>66</v>
      </c>
      <c r="F273" s="38">
        <f>IFERROR(__xludf.DUMMYFUNCTION("""COMPUTED_VALUE"""),40091.0)</f>
        <v>40091</v>
      </c>
      <c r="G273" s="39">
        <f t="shared" si="2"/>
        <v>5</v>
      </c>
      <c r="H273" s="39" t="str">
        <f>IFERROR(__xludf.DUMMYFUNCTION("""COMPUTED_VALUE"""),"Rick Huthwaite")</f>
        <v>Rick Huthwaite</v>
      </c>
      <c r="I273" s="40">
        <f t="shared" si="3"/>
        <v>3</v>
      </c>
    </row>
    <row r="274">
      <c r="A274" s="11">
        <v>273.0</v>
      </c>
      <c r="B274" s="12">
        <f>DATE(2012,12,31)-1421</f>
        <v>39853</v>
      </c>
      <c r="C274" s="11" t="s">
        <v>603</v>
      </c>
      <c r="D274" s="11" t="s">
        <v>49</v>
      </c>
      <c r="F274" s="38">
        <f>IFERROR(__xludf.DUMMYFUNCTION("""COMPUTED_VALUE"""),40092.0)</f>
        <v>40092</v>
      </c>
      <c r="G274" s="39">
        <f t="shared" si="2"/>
        <v>3</v>
      </c>
      <c r="H274" s="39" t="str">
        <f>IFERROR(__xludf.DUMMYFUNCTION("""COMPUTED_VALUE"""),"Liz Pelletier")</f>
        <v>Liz Pelletier</v>
      </c>
      <c r="I274" s="40">
        <f t="shared" si="3"/>
        <v>15</v>
      </c>
    </row>
    <row r="275">
      <c r="A275" s="11">
        <v>274.0</v>
      </c>
      <c r="B275" s="12">
        <f t="shared" ref="B275:B279" si="44">DATE(2012,12,31)-1420</f>
        <v>39854</v>
      </c>
      <c r="C275" s="11" t="s">
        <v>604</v>
      </c>
      <c r="D275" s="11" t="s">
        <v>28</v>
      </c>
      <c r="F275" s="38">
        <f>IFERROR(__xludf.DUMMYFUNCTION("""COMPUTED_VALUE"""),40093.0)</f>
        <v>40093</v>
      </c>
      <c r="G275" s="39">
        <f t="shared" si="2"/>
        <v>10</v>
      </c>
      <c r="H275" s="39" t="str">
        <f>IFERROR(__xludf.DUMMYFUNCTION("""COMPUTED_VALUE"""),"Jennifer Ferguson")</f>
        <v>Jennifer Ferguson</v>
      </c>
      <c r="I275" s="40">
        <f t="shared" si="3"/>
        <v>11</v>
      </c>
    </row>
    <row r="276">
      <c r="A276" s="11">
        <v>275.0</v>
      </c>
      <c r="B276" s="12">
        <f t="shared" si="44"/>
        <v>39854</v>
      </c>
      <c r="C276" s="11" t="s">
        <v>606</v>
      </c>
      <c r="D276" s="11" t="s">
        <v>66</v>
      </c>
      <c r="F276" s="38">
        <f>IFERROR(__xludf.DUMMYFUNCTION("""COMPUTED_VALUE"""),40094.0)</f>
        <v>40094</v>
      </c>
      <c r="G276" s="39">
        <f t="shared" si="2"/>
        <v>7</v>
      </c>
      <c r="H276" s="39" t="str">
        <f>IFERROR(__xludf.DUMMYFUNCTION("""COMPUTED_VALUE"""),"Dave Kipp")</f>
        <v>Dave Kipp</v>
      </c>
      <c r="I276" s="40">
        <f t="shared" si="3"/>
        <v>14</v>
      </c>
    </row>
    <row r="277">
      <c r="A277" s="11">
        <v>276.0</v>
      </c>
      <c r="B277" s="12">
        <f t="shared" si="44"/>
        <v>39854</v>
      </c>
      <c r="C277" s="11" t="s">
        <v>608</v>
      </c>
      <c r="D277" s="11" t="s">
        <v>28</v>
      </c>
      <c r="F277" s="38">
        <f>IFERROR(__xludf.DUMMYFUNCTION("""COMPUTED_VALUE"""),40095.0)</f>
        <v>40095</v>
      </c>
      <c r="G277" s="39">
        <f t="shared" si="2"/>
        <v>14</v>
      </c>
      <c r="H277" s="39" t="str">
        <f>IFERROR(__xludf.DUMMYFUNCTION("""COMPUTED_VALUE"""),"Christopher Schild")</f>
        <v>Christopher Schild</v>
      </c>
      <c r="I277" s="40">
        <f t="shared" si="3"/>
        <v>11</v>
      </c>
    </row>
    <row r="278">
      <c r="A278" s="11">
        <v>277.0</v>
      </c>
      <c r="B278" s="12">
        <f t="shared" si="44"/>
        <v>39854</v>
      </c>
      <c r="C278" s="11" t="s">
        <v>159</v>
      </c>
      <c r="D278" s="11" t="s">
        <v>49</v>
      </c>
      <c r="F278" s="38">
        <f>IFERROR(__xludf.DUMMYFUNCTION("""COMPUTED_VALUE"""),40096.0)</f>
        <v>40096</v>
      </c>
      <c r="G278" s="39">
        <f t="shared" si="2"/>
        <v>5</v>
      </c>
      <c r="H278" s="39" t="str">
        <f>IFERROR(__xludf.DUMMYFUNCTION("""COMPUTED_VALUE"""),"Don Weiss")</f>
        <v>Don Weiss</v>
      </c>
      <c r="I278" s="40">
        <f t="shared" si="3"/>
        <v>7</v>
      </c>
    </row>
    <row r="279">
      <c r="A279" s="11">
        <v>278.0</v>
      </c>
      <c r="B279" s="12">
        <f t="shared" si="44"/>
        <v>39854</v>
      </c>
      <c r="C279" s="11" t="s">
        <v>611</v>
      </c>
      <c r="D279" s="11" t="s">
        <v>49</v>
      </c>
      <c r="F279" s="38">
        <f>IFERROR(__xludf.DUMMYFUNCTION("""COMPUTED_VALUE"""),40097.0)</f>
        <v>40097</v>
      </c>
      <c r="G279" s="39">
        <f t="shared" si="2"/>
        <v>5</v>
      </c>
      <c r="H279" s="39" t="str">
        <f>IFERROR(__xludf.DUMMYFUNCTION("""COMPUTED_VALUE"""),"Heather Jas")</f>
        <v>Heather Jas</v>
      </c>
      <c r="I279" s="40">
        <f t="shared" si="3"/>
        <v>3</v>
      </c>
    </row>
    <row r="280">
      <c r="A280" s="11">
        <v>279.0</v>
      </c>
      <c r="B280" s="12">
        <f t="shared" ref="B280:B284" si="45">DATE(2012,12,31)-1419</f>
        <v>39855</v>
      </c>
      <c r="C280" s="11" t="s">
        <v>613</v>
      </c>
      <c r="D280" s="11" t="s">
        <v>66</v>
      </c>
      <c r="F280" s="38">
        <f>IFERROR(__xludf.DUMMYFUNCTION("""COMPUTED_VALUE"""),40098.0)</f>
        <v>40098</v>
      </c>
      <c r="G280" s="39">
        <f t="shared" si="2"/>
        <v>2</v>
      </c>
      <c r="H280" s="39" t="str">
        <f>IFERROR(__xludf.DUMMYFUNCTION("""COMPUTED_VALUE"""),"Jonathan Doherty")</f>
        <v>Jonathan Doherty</v>
      </c>
      <c r="I280" s="40">
        <f t="shared" si="3"/>
        <v>22</v>
      </c>
    </row>
    <row r="281">
      <c r="A281" s="11">
        <v>280.0</v>
      </c>
      <c r="B281" s="12">
        <f t="shared" si="45"/>
        <v>39855</v>
      </c>
      <c r="C281" s="11" t="s">
        <v>613</v>
      </c>
      <c r="D281" s="11" t="s">
        <v>66</v>
      </c>
      <c r="F281" s="38">
        <f>IFERROR(__xludf.DUMMYFUNCTION("""COMPUTED_VALUE"""),40099.0)</f>
        <v>40099</v>
      </c>
      <c r="G281" s="39">
        <f t="shared" si="2"/>
        <v>6</v>
      </c>
      <c r="H281" s="39" t="str">
        <f>IFERROR(__xludf.DUMMYFUNCTION("""COMPUTED_VALUE"""),"Ryan Crowe")</f>
        <v>Ryan Crowe</v>
      </c>
      <c r="I281" s="40">
        <f t="shared" si="3"/>
        <v>7</v>
      </c>
    </row>
    <row r="282">
      <c r="A282" s="11">
        <v>281.0</v>
      </c>
      <c r="B282" s="12">
        <f t="shared" si="45"/>
        <v>39855</v>
      </c>
      <c r="C282" s="11" t="s">
        <v>617</v>
      </c>
      <c r="D282" s="11" t="s">
        <v>66</v>
      </c>
      <c r="F282" s="38">
        <f>IFERROR(__xludf.DUMMYFUNCTION("""COMPUTED_VALUE"""),40101.0)</f>
        <v>40101</v>
      </c>
      <c r="G282" s="39">
        <f t="shared" si="2"/>
        <v>9</v>
      </c>
      <c r="H282" s="39" t="str">
        <f>IFERROR(__xludf.DUMMYFUNCTION("""COMPUTED_VALUE"""),"Philip Brown")</f>
        <v>Philip Brown</v>
      </c>
      <c r="I282" s="40">
        <f t="shared" si="3"/>
        <v>19</v>
      </c>
    </row>
    <row r="283">
      <c r="A283" s="11">
        <v>282.0</v>
      </c>
      <c r="B283" s="12">
        <f t="shared" si="45"/>
        <v>39855</v>
      </c>
      <c r="C283" s="11" t="s">
        <v>174</v>
      </c>
      <c r="D283" s="11" t="s">
        <v>28</v>
      </c>
      <c r="F283" s="38">
        <f>IFERROR(__xludf.DUMMYFUNCTION("""COMPUTED_VALUE"""),40103.0)</f>
        <v>40103</v>
      </c>
      <c r="G283" s="39">
        <f t="shared" si="2"/>
        <v>5</v>
      </c>
      <c r="H283" s="39" t="str">
        <f>IFERROR(__xludf.DUMMYFUNCTION("""COMPUTED_VALUE"""),"Eileen Kiefer")</f>
        <v>Eileen Kiefer</v>
      </c>
      <c r="I283" s="40">
        <f t="shared" si="3"/>
        <v>6</v>
      </c>
    </row>
    <row r="284">
      <c r="A284" s="11">
        <v>283.0</v>
      </c>
      <c r="B284" s="12">
        <f t="shared" si="45"/>
        <v>39855</v>
      </c>
      <c r="C284" s="11" t="s">
        <v>622</v>
      </c>
      <c r="D284" s="11" t="s">
        <v>49</v>
      </c>
      <c r="F284" s="38">
        <f>IFERROR(__xludf.DUMMYFUNCTION("""COMPUTED_VALUE"""),40104.0)</f>
        <v>40104</v>
      </c>
      <c r="G284" s="39">
        <f t="shared" si="2"/>
        <v>7</v>
      </c>
      <c r="H284" s="39" t="str">
        <f>IFERROR(__xludf.DUMMYFUNCTION("""COMPUTED_VALUE"""),"Nora Paige")</f>
        <v>Nora Paige</v>
      </c>
      <c r="I284" s="40">
        <f t="shared" si="3"/>
        <v>17</v>
      </c>
    </row>
    <row r="285">
      <c r="A285" s="11">
        <v>284.0</v>
      </c>
      <c r="B285" s="12">
        <f t="shared" ref="B285:B296" si="46">DATE(2012,12,31)-1418</f>
        <v>39856</v>
      </c>
      <c r="C285" s="11" t="s">
        <v>211</v>
      </c>
      <c r="D285" s="11" t="s">
        <v>28</v>
      </c>
      <c r="F285" s="38">
        <f>IFERROR(__xludf.DUMMYFUNCTION("""COMPUTED_VALUE"""),40105.0)</f>
        <v>40105</v>
      </c>
      <c r="G285" s="39">
        <f t="shared" si="2"/>
        <v>6</v>
      </c>
      <c r="H285" s="39" t="str">
        <f>IFERROR(__xludf.DUMMYFUNCTION("""COMPUTED_VALUE"""),"Grant Carroll")</f>
        <v>Grant Carroll</v>
      </c>
      <c r="I285" s="40">
        <f t="shared" si="3"/>
        <v>27</v>
      </c>
    </row>
    <row r="286">
      <c r="A286" s="11">
        <v>285.0</v>
      </c>
      <c r="B286" s="12">
        <f t="shared" si="46"/>
        <v>39856</v>
      </c>
      <c r="C286" s="11" t="s">
        <v>626</v>
      </c>
      <c r="D286" s="11" t="s">
        <v>66</v>
      </c>
      <c r="F286" s="38">
        <f>IFERROR(__xludf.DUMMYFUNCTION("""COMPUTED_VALUE"""),40106.0)</f>
        <v>40106</v>
      </c>
      <c r="G286" s="39">
        <f t="shared" si="2"/>
        <v>10</v>
      </c>
      <c r="H286" s="39" t="str">
        <f>IFERROR(__xludf.DUMMYFUNCTION("""COMPUTED_VALUE"""),"Tim Brockman")</f>
        <v>Tim Brockman</v>
      </c>
      <c r="I286" s="40">
        <f t="shared" si="3"/>
        <v>9</v>
      </c>
    </row>
    <row r="287">
      <c r="A287" s="11">
        <v>286.0</v>
      </c>
      <c r="B287" s="12">
        <f t="shared" si="46"/>
        <v>39856</v>
      </c>
      <c r="C287" s="11" t="s">
        <v>626</v>
      </c>
      <c r="D287" s="11" t="s">
        <v>28</v>
      </c>
      <c r="F287" s="38">
        <f>IFERROR(__xludf.DUMMYFUNCTION("""COMPUTED_VALUE"""),40107.0)</f>
        <v>40107</v>
      </c>
      <c r="G287" s="39">
        <f t="shared" si="2"/>
        <v>5</v>
      </c>
      <c r="H287" s="39" t="str">
        <f>IFERROR(__xludf.DUMMYFUNCTION("""COMPUTED_VALUE"""),"Ashley Jarboe")</f>
        <v>Ashley Jarboe</v>
      </c>
      <c r="I287" s="40">
        <f t="shared" si="3"/>
        <v>19</v>
      </c>
    </row>
    <row r="288">
      <c r="A288" s="11">
        <v>287.0</v>
      </c>
      <c r="B288" s="12">
        <f t="shared" si="46"/>
        <v>39856</v>
      </c>
      <c r="C288" s="11" t="s">
        <v>630</v>
      </c>
      <c r="D288" s="11" t="s">
        <v>28</v>
      </c>
      <c r="F288" s="38">
        <f>IFERROR(__xludf.DUMMYFUNCTION("""COMPUTED_VALUE"""),40108.0)</f>
        <v>40108</v>
      </c>
      <c r="G288" s="39">
        <f t="shared" si="2"/>
        <v>2</v>
      </c>
      <c r="H288" s="39" t="str">
        <f>IFERROR(__xludf.DUMMYFUNCTION("""COMPUTED_VALUE"""),"Fred Harton")</f>
        <v>Fred Harton</v>
      </c>
      <c r="I288" s="40">
        <f t="shared" si="3"/>
        <v>17</v>
      </c>
    </row>
    <row r="289">
      <c r="A289" s="11">
        <v>288.0</v>
      </c>
      <c r="B289" s="12">
        <f t="shared" si="46"/>
        <v>39856</v>
      </c>
      <c r="C289" s="11" t="s">
        <v>630</v>
      </c>
      <c r="D289" s="11" t="s">
        <v>28</v>
      </c>
      <c r="F289" s="38">
        <f>IFERROR(__xludf.DUMMYFUNCTION("""COMPUTED_VALUE"""),40109.0)</f>
        <v>40109</v>
      </c>
      <c r="G289" s="39">
        <f t="shared" si="2"/>
        <v>4</v>
      </c>
      <c r="H289" s="39" t="str">
        <f>IFERROR(__xludf.DUMMYFUNCTION("""COMPUTED_VALUE"""),"Tom Stivers")</f>
        <v>Tom Stivers</v>
      </c>
      <c r="I289" s="40">
        <f t="shared" si="3"/>
        <v>14</v>
      </c>
    </row>
    <row r="290">
      <c r="A290" s="11">
        <v>289.0</v>
      </c>
      <c r="B290" s="12">
        <f t="shared" si="46"/>
        <v>39856</v>
      </c>
      <c r="C290" s="11" t="s">
        <v>634</v>
      </c>
      <c r="D290" s="11" t="s">
        <v>28</v>
      </c>
      <c r="F290" s="38">
        <f>IFERROR(__xludf.DUMMYFUNCTION("""COMPUTED_VALUE"""),40110.0)</f>
        <v>40110</v>
      </c>
      <c r="G290" s="39">
        <f t="shared" si="2"/>
        <v>3</v>
      </c>
      <c r="H290" s="39" t="str">
        <f>IFERROR(__xludf.DUMMYFUNCTION("""COMPUTED_VALUE"""),"Dorothy Wardle")</f>
        <v>Dorothy Wardle</v>
      </c>
      <c r="I290" s="40">
        <f t="shared" si="3"/>
        <v>17</v>
      </c>
    </row>
    <row r="291">
      <c r="A291" s="11">
        <v>290.0</v>
      </c>
      <c r="B291" s="12">
        <f t="shared" si="46"/>
        <v>39856</v>
      </c>
      <c r="C291" s="11" t="s">
        <v>636</v>
      </c>
      <c r="D291" s="11" t="s">
        <v>28</v>
      </c>
      <c r="F291" s="38">
        <f>IFERROR(__xludf.DUMMYFUNCTION("""COMPUTED_VALUE"""),40111.0)</f>
        <v>40111</v>
      </c>
      <c r="G291" s="39">
        <f t="shared" si="2"/>
        <v>5</v>
      </c>
      <c r="H291" s="39" t="str">
        <f>IFERROR(__xludf.DUMMYFUNCTION("""COMPUTED_VALUE"""),"Karen Seio")</f>
        <v>Karen Seio</v>
      </c>
      <c r="I291" s="40">
        <f t="shared" si="3"/>
        <v>12</v>
      </c>
    </row>
    <row r="292">
      <c r="A292" s="11">
        <v>291.0</v>
      </c>
      <c r="B292" s="12">
        <f t="shared" si="46"/>
        <v>39856</v>
      </c>
      <c r="C292" s="11" t="s">
        <v>639</v>
      </c>
      <c r="D292" s="11" t="s">
        <v>28</v>
      </c>
      <c r="F292" s="38">
        <f>IFERROR(__xludf.DUMMYFUNCTION("""COMPUTED_VALUE"""),40112.0)</f>
        <v>40112</v>
      </c>
      <c r="G292" s="39">
        <f t="shared" si="2"/>
        <v>1</v>
      </c>
      <c r="H292" s="39" t="str">
        <f>IFERROR(__xludf.DUMMYFUNCTION("""COMPUTED_VALUE"""),"Anthony Garverick")</f>
        <v>Anthony Garverick</v>
      </c>
      <c r="I292" s="40">
        <f t="shared" si="3"/>
        <v>9</v>
      </c>
    </row>
    <row r="293">
      <c r="A293" s="11">
        <v>292.0</v>
      </c>
      <c r="B293" s="12">
        <f t="shared" si="46"/>
        <v>39856</v>
      </c>
      <c r="C293" s="11" t="s">
        <v>639</v>
      </c>
      <c r="D293" s="11" t="s">
        <v>28</v>
      </c>
      <c r="F293" s="38">
        <f>IFERROR(__xludf.DUMMYFUNCTION("""COMPUTED_VALUE"""),40113.0)</f>
        <v>40113</v>
      </c>
      <c r="G293" s="39">
        <f t="shared" si="2"/>
        <v>3</v>
      </c>
      <c r="H293" s="39" t="str">
        <f>IFERROR(__xludf.DUMMYFUNCTION("""COMPUTED_VALUE"""),"Scot Coram")</f>
        <v>Scot Coram</v>
      </c>
      <c r="I293" s="40">
        <f t="shared" si="3"/>
        <v>8</v>
      </c>
    </row>
    <row r="294">
      <c r="A294" s="11">
        <v>293.0</v>
      </c>
      <c r="B294" s="12">
        <f t="shared" si="46"/>
        <v>39856</v>
      </c>
      <c r="C294" s="11" t="s">
        <v>407</v>
      </c>
      <c r="D294" s="11" t="s">
        <v>28</v>
      </c>
      <c r="F294" s="38">
        <f>IFERROR(__xludf.DUMMYFUNCTION("""COMPUTED_VALUE"""),40114.0)</f>
        <v>40114</v>
      </c>
      <c r="G294" s="39">
        <f t="shared" si="2"/>
        <v>7</v>
      </c>
      <c r="H294" s="39" t="str">
        <f>IFERROR(__xludf.DUMMYFUNCTION("""COMPUTED_VALUE"""),"Odella Nelson")</f>
        <v>Odella Nelson</v>
      </c>
      <c r="I294" s="40">
        <f t="shared" si="3"/>
        <v>16</v>
      </c>
    </row>
    <row r="295">
      <c r="A295" s="11">
        <v>294.0</v>
      </c>
      <c r="B295" s="12">
        <f t="shared" si="46"/>
        <v>39856</v>
      </c>
      <c r="C295" s="11" t="s">
        <v>407</v>
      </c>
      <c r="D295" s="11" t="s">
        <v>28</v>
      </c>
      <c r="F295" s="38">
        <f>IFERROR(__xludf.DUMMYFUNCTION("""COMPUTED_VALUE"""),40115.0)</f>
        <v>40115</v>
      </c>
      <c r="G295" s="39">
        <f t="shared" si="2"/>
        <v>9</v>
      </c>
      <c r="H295" s="39" t="str">
        <f>IFERROR(__xludf.DUMMYFUNCTION("""COMPUTED_VALUE"""),"Scot Wooten")</f>
        <v>Scot Wooten</v>
      </c>
      <c r="I295" s="40">
        <f t="shared" si="3"/>
        <v>3</v>
      </c>
    </row>
    <row r="296">
      <c r="A296" s="11">
        <v>295.0</v>
      </c>
      <c r="B296" s="12">
        <f t="shared" si="46"/>
        <v>39856</v>
      </c>
      <c r="C296" s="11" t="s">
        <v>407</v>
      </c>
      <c r="D296" s="11" t="s">
        <v>66</v>
      </c>
      <c r="F296" s="38">
        <f>IFERROR(__xludf.DUMMYFUNCTION("""COMPUTED_VALUE"""),40116.0)</f>
        <v>40116</v>
      </c>
      <c r="G296" s="39">
        <f t="shared" si="2"/>
        <v>4</v>
      </c>
      <c r="H296" s="39" t="str">
        <f>IFERROR(__xludf.DUMMYFUNCTION("""COMPUTED_VALUE"""),"Eudokia Martin")</f>
        <v>Eudokia Martin</v>
      </c>
      <c r="I296" s="40">
        <f t="shared" si="3"/>
        <v>5</v>
      </c>
    </row>
    <row r="297">
      <c r="A297" s="11">
        <v>296.0</v>
      </c>
      <c r="B297" s="12">
        <f t="shared" ref="B297:B301" si="47">DATE(2012,12,31)-1417</f>
        <v>39857</v>
      </c>
      <c r="C297" s="11" t="s">
        <v>421</v>
      </c>
      <c r="D297" s="11" t="s">
        <v>66</v>
      </c>
      <c r="F297" s="38">
        <f>IFERROR(__xludf.DUMMYFUNCTION("""COMPUTED_VALUE"""),40117.0)</f>
        <v>40117</v>
      </c>
      <c r="G297" s="39">
        <f t="shared" si="2"/>
        <v>5</v>
      </c>
      <c r="H297" s="39" t="str">
        <f>IFERROR(__xludf.DUMMYFUNCTION("""COMPUTED_VALUE"""),"Harold Dahlen")</f>
        <v>Harold Dahlen</v>
      </c>
      <c r="I297" s="40">
        <f t="shared" si="3"/>
        <v>26</v>
      </c>
    </row>
    <row r="298">
      <c r="A298" s="11">
        <v>297.0</v>
      </c>
      <c r="B298" s="12">
        <f t="shared" si="47"/>
        <v>39857</v>
      </c>
      <c r="C298" s="11" t="s">
        <v>421</v>
      </c>
      <c r="D298" s="11" t="s">
        <v>28</v>
      </c>
      <c r="F298" s="38">
        <f>IFERROR(__xludf.DUMMYFUNCTION("""COMPUTED_VALUE"""),40118.0)</f>
        <v>40118</v>
      </c>
      <c r="G298" s="39">
        <f t="shared" si="2"/>
        <v>1</v>
      </c>
      <c r="H298" s="39" t="str">
        <f>IFERROR(__xludf.DUMMYFUNCTION("""COMPUTED_VALUE"""),"Maurice Satty")</f>
        <v>Maurice Satty</v>
      </c>
      <c r="I298" s="40">
        <f t="shared" si="3"/>
        <v>4</v>
      </c>
    </row>
    <row r="299">
      <c r="A299" s="11">
        <v>298.0</v>
      </c>
      <c r="B299" s="12">
        <f t="shared" si="47"/>
        <v>39857</v>
      </c>
      <c r="C299" s="11" t="s">
        <v>647</v>
      </c>
      <c r="D299" s="11" t="s">
        <v>49</v>
      </c>
      <c r="F299" s="38">
        <f>IFERROR(__xludf.DUMMYFUNCTION("""COMPUTED_VALUE"""),40119.0)</f>
        <v>40119</v>
      </c>
      <c r="G299" s="39">
        <f t="shared" si="2"/>
        <v>11</v>
      </c>
      <c r="H299" s="39" t="str">
        <f>IFERROR(__xludf.DUMMYFUNCTION("""COMPUTED_VALUE"""),"Jenna Caffey")</f>
        <v>Jenna Caffey</v>
      </c>
      <c r="I299" s="40">
        <f t="shared" si="3"/>
        <v>13</v>
      </c>
    </row>
    <row r="300">
      <c r="A300" s="11">
        <v>299.0</v>
      </c>
      <c r="B300" s="12">
        <f t="shared" si="47"/>
        <v>39857</v>
      </c>
      <c r="C300" s="11" t="s">
        <v>648</v>
      </c>
      <c r="D300" s="11" t="s">
        <v>49</v>
      </c>
      <c r="F300" s="38">
        <f>IFERROR(__xludf.DUMMYFUNCTION("""COMPUTED_VALUE"""),40120.0)</f>
        <v>40120</v>
      </c>
      <c r="G300" s="39">
        <f t="shared" si="2"/>
        <v>12</v>
      </c>
      <c r="H300" s="39" t="str">
        <f>IFERROR(__xludf.DUMMYFUNCTION("""COMPUTED_VALUE"""),"Dave Poirier")</f>
        <v>Dave Poirier</v>
      </c>
      <c r="I300" s="40">
        <f t="shared" si="3"/>
        <v>18</v>
      </c>
    </row>
    <row r="301">
      <c r="A301" s="11">
        <v>300.0</v>
      </c>
      <c r="B301" s="12">
        <f t="shared" si="47"/>
        <v>39857</v>
      </c>
      <c r="C301" s="11" t="s">
        <v>611</v>
      </c>
      <c r="D301" s="11" t="s">
        <v>28</v>
      </c>
      <c r="F301" s="38">
        <f>IFERROR(__xludf.DUMMYFUNCTION("""COMPUTED_VALUE"""),40121.0)</f>
        <v>40121</v>
      </c>
      <c r="G301" s="39">
        <f t="shared" si="2"/>
        <v>9</v>
      </c>
      <c r="H301" s="39" t="str">
        <f>IFERROR(__xludf.DUMMYFUNCTION("""COMPUTED_VALUE"""),"Tracy Blumstein")</f>
        <v>Tracy Blumstein</v>
      </c>
      <c r="I301" s="40">
        <f t="shared" si="3"/>
        <v>10</v>
      </c>
    </row>
    <row r="302">
      <c r="A302" s="11">
        <v>301.0</v>
      </c>
      <c r="B302" s="12">
        <f t="shared" ref="B302:B305" si="48">DATE(2012,12,31)-1416</f>
        <v>39858</v>
      </c>
      <c r="C302" s="11" t="s">
        <v>202</v>
      </c>
      <c r="D302" s="11" t="s">
        <v>49</v>
      </c>
      <c r="F302" s="38">
        <f>IFERROR(__xludf.DUMMYFUNCTION("""COMPUTED_VALUE"""),40122.0)</f>
        <v>40122</v>
      </c>
      <c r="G302" s="39">
        <f t="shared" si="2"/>
        <v>5</v>
      </c>
      <c r="H302" s="39" t="str">
        <f>IFERROR(__xludf.DUMMYFUNCTION("""COMPUTED_VALUE"""),"Corey Lock")</f>
        <v>Corey Lock</v>
      </c>
      <c r="I302" s="40">
        <f t="shared" si="3"/>
        <v>10</v>
      </c>
    </row>
    <row r="303">
      <c r="A303" s="11">
        <v>302.0</v>
      </c>
      <c r="B303" s="12">
        <f t="shared" si="48"/>
        <v>39858</v>
      </c>
      <c r="C303" s="11" t="s">
        <v>653</v>
      </c>
      <c r="D303" s="11" t="s">
        <v>28</v>
      </c>
      <c r="F303" s="38">
        <f>IFERROR(__xludf.DUMMYFUNCTION("""COMPUTED_VALUE"""),40123.0)</f>
        <v>40123</v>
      </c>
      <c r="G303" s="39">
        <f t="shared" si="2"/>
        <v>2</v>
      </c>
      <c r="H303" s="39" t="str">
        <f>IFERROR(__xludf.DUMMYFUNCTION("""COMPUTED_VALUE"""),"Michelle Ellison")</f>
        <v>Michelle Ellison</v>
      </c>
      <c r="I303" s="40">
        <f t="shared" si="3"/>
        <v>18</v>
      </c>
    </row>
    <row r="304">
      <c r="A304" s="11">
        <v>303.0</v>
      </c>
      <c r="B304" s="12">
        <f t="shared" si="48"/>
        <v>39858</v>
      </c>
      <c r="C304" s="11" t="s">
        <v>617</v>
      </c>
      <c r="D304" s="11" t="s">
        <v>49</v>
      </c>
      <c r="F304" s="38">
        <f>IFERROR(__xludf.DUMMYFUNCTION("""COMPUTED_VALUE"""),40124.0)</f>
        <v>40124</v>
      </c>
      <c r="G304" s="39">
        <f t="shared" si="2"/>
        <v>2</v>
      </c>
      <c r="H304" s="39" t="str">
        <f>IFERROR(__xludf.DUMMYFUNCTION("""COMPUTED_VALUE"""),"Alex Grayson")</f>
        <v>Alex Grayson</v>
      </c>
      <c r="I304" s="40">
        <f t="shared" si="3"/>
        <v>15</v>
      </c>
    </row>
    <row r="305">
      <c r="A305" s="11">
        <v>304.0</v>
      </c>
      <c r="B305" s="12">
        <f t="shared" si="48"/>
        <v>39858</v>
      </c>
      <c r="C305" s="11" t="s">
        <v>657</v>
      </c>
      <c r="D305" s="11" t="s">
        <v>49</v>
      </c>
      <c r="F305" s="38">
        <f>IFERROR(__xludf.DUMMYFUNCTION("""COMPUTED_VALUE"""),40125.0)</f>
        <v>40125</v>
      </c>
      <c r="G305" s="39">
        <f t="shared" si="2"/>
        <v>8</v>
      </c>
      <c r="H305" s="39" t="str">
        <f>IFERROR(__xludf.DUMMYFUNCTION("""COMPUTED_VALUE"""),"Christine Kargatis")</f>
        <v>Christine Kargatis</v>
      </c>
      <c r="I305" s="40">
        <f t="shared" si="3"/>
        <v>2</v>
      </c>
    </row>
    <row r="306">
      <c r="A306" s="11">
        <v>305.0</v>
      </c>
      <c r="B306" s="12">
        <f t="shared" ref="B306:B313" si="49">DATE(2012,12,31)-1415</f>
        <v>39859</v>
      </c>
      <c r="C306" s="11" t="s">
        <v>659</v>
      </c>
      <c r="D306" s="11" t="s">
        <v>28</v>
      </c>
      <c r="F306" s="38">
        <f>IFERROR(__xludf.DUMMYFUNCTION("""COMPUTED_VALUE"""),40126.0)</f>
        <v>40126</v>
      </c>
      <c r="G306" s="39">
        <f t="shared" si="2"/>
        <v>1</v>
      </c>
      <c r="H306" s="39" t="str">
        <f>IFERROR(__xludf.DUMMYFUNCTION("""COMPUTED_VALUE"""),"Grant Thornton")</f>
        <v>Grant Thornton</v>
      </c>
      <c r="I306" s="40">
        <f t="shared" si="3"/>
        <v>17</v>
      </c>
    </row>
    <row r="307">
      <c r="A307" s="11">
        <v>306.0</v>
      </c>
      <c r="B307" s="12">
        <f t="shared" si="49"/>
        <v>39859</v>
      </c>
      <c r="C307" s="11" t="s">
        <v>662</v>
      </c>
      <c r="D307" s="11" t="s">
        <v>66</v>
      </c>
      <c r="F307" s="38">
        <f>IFERROR(__xludf.DUMMYFUNCTION("""COMPUTED_VALUE"""),40127.0)</f>
        <v>40127</v>
      </c>
      <c r="G307" s="39">
        <f t="shared" si="2"/>
        <v>7</v>
      </c>
      <c r="H307" s="39" t="str">
        <f>IFERROR(__xludf.DUMMYFUNCTION("""COMPUTED_VALUE"""),"Nora Pelletier")</f>
        <v>Nora Pelletier</v>
      </c>
      <c r="I307" s="40">
        <f t="shared" si="3"/>
        <v>13</v>
      </c>
    </row>
    <row r="308">
      <c r="A308" s="11">
        <v>307.0</v>
      </c>
      <c r="B308" s="12">
        <f t="shared" si="49"/>
        <v>39859</v>
      </c>
      <c r="C308" s="11" t="s">
        <v>662</v>
      </c>
      <c r="D308" s="11" t="s">
        <v>49</v>
      </c>
      <c r="F308" s="38">
        <f>IFERROR(__xludf.DUMMYFUNCTION("""COMPUTED_VALUE"""),40128.0)</f>
        <v>40128</v>
      </c>
      <c r="G308" s="39">
        <f t="shared" si="2"/>
        <v>4</v>
      </c>
      <c r="H308" s="39" t="str">
        <f>IFERROR(__xludf.DUMMYFUNCTION("""COMPUTED_VALUE"""),"Jay Fine")</f>
        <v>Jay Fine</v>
      </c>
      <c r="I308" s="40">
        <f t="shared" si="3"/>
        <v>12</v>
      </c>
    </row>
    <row r="309">
      <c r="A309" s="11">
        <v>308.0</v>
      </c>
      <c r="B309" s="12">
        <f t="shared" si="49"/>
        <v>39859</v>
      </c>
      <c r="C309" s="11" t="s">
        <v>665</v>
      </c>
      <c r="D309" s="11" t="s">
        <v>28</v>
      </c>
      <c r="F309" s="38">
        <f>IFERROR(__xludf.DUMMYFUNCTION("""COMPUTED_VALUE"""),40129.0)</f>
        <v>40129</v>
      </c>
      <c r="G309" s="39">
        <f t="shared" si="2"/>
        <v>3</v>
      </c>
      <c r="H309" s="39" t="str">
        <f>IFERROR(__xludf.DUMMYFUNCTION("""COMPUTED_VALUE"""),"Kelly Lampkin")</f>
        <v>Kelly Lampkin</v>
      </c>
      <c r="I309" s="40">
        <f t="shared" si="3"/>
        <v>12</v>
      </c>
    </row>
    <row r="310">
      <c r="A310" s="11">
        <v>309.0</v>
      </c>
      <c r="B310" s="12">
        <f t="shared" si="49"/>
        <v>39859</v>
      </c>
      <c r="C310" s="11" t="s">
        <v>665</v>
      </c>
      <c r="D310" s="11" t="s">
        <v>28</v>
      </c>
      <c r="F310" s="38">
        <f>IFERROR(__xludf.DUMMYFUNCTION("""COMPUTED_VALUE"""),40130.0)</f>
        <v>40130</v>
      </c>
      <c r="G310" s="39">
        <f t="shared" si="2"/>
        <v>2</v>
      </c>
      <c r="H310" s="39" t="str">
        <f>IFERROR(__xludf.DUMMYFUNCTION("""COMPUTED_VALUE"""),"Stuart Van")</f>
        <v>Stuart Van</v>
      </c>
      <c r="I310" s="40">
        <f t="shared" si="3"/>
        <v>7</v>
      </c>
    </row>
    <row r="311">
      <c r="A311" s="11">
        <v>310.0</v>
      </c>
      <c r="B311" s="12">
        <f t="shared" si="49"/>
        <v>39859</v>
      </c>
      <c r="C311" s="11" t="s">
        <v>353</v>
      </c>
      <c r="D311" s="11" t="s">
        <v>28</v>
      </c>
      <c r="F311" s="38">
        <f>IFERROR(__xludf.DUMMYFUNCTION("""COMPUTED_VALUE"""),40131.0)</f>
        <v>40131</v>
      </c>
      <c r="G311" s="39">
        <f t="shared" si="2"/>
        <v>5</v>
      </c>
      <c r="H311" s="39" t="str">
        <f>IFERROR(__xludf.DUMMYFUNCTION("""COMPUTED_VALUE"""),"Parhena Norris")</f>
        <v>Parhena Norris</v>
      </c>
      <c r="I311" s="40">
        <f t="shared" si="3"/>
        <v>7</v>
      </c>
    </row>
    <row r="312">
      <c r="A312" s="11">
        <v>311.0</v>
      </c>
      <c r="B312" s="12">
        <f t="shared" si="49"/>
        <v>39859</v>
      </c>
      <c r="C312" s="11" t="s">
        <v>353</v>
      </c>
      <c r="D312" s="11" t="s">
        <v>28</v>
      </c>
      <c r="F312" s="38">
        <f>IFERROR(__xludf.DUMMYFUNCTION("""COMPUTED_VALUE"""),40132.0)</f>
        <v>40132</v>
      </c>
      <c r="G312" s="39">
        <f t="shared" si="2"/>
        <v>2</v>
      </c>
      <c r="H312" s="39" t="str">
        <f>IFERROR(__xludf.DUMMYFUNCTION("""COMPUTED_VALUE"""),"Emily Ducich")</f>
        <v>Emily Ducich</v>
      </c>
      <c r="I312" s="40">
        <f t="shared" si="3"/>
        <v>5</v>
      </c>
    </row>
    <row r="313">
      <c r="A313" s="11">
        <v>312.0</v>
      </c>
      <c r="B313" s="12">
        <f t="shared" si="49"/>
        <v>39859</v>
      </c>
      <c r="C313" s="11" t="s">
        <v>353</v>
      </c>
      <c r="D313" s="11" t="s">
        <v>49</v>
      </c>
      <c r="F313" s="38">
        <f>IFERROR(__xludf.DUMMYFUNCTION("""COMPUTED_VALUE"""),40133.0)</f>
        <v>40133</v>
      </c>
      <c r="G313" s="39">
        <f t="shared" si="2"/>
        <v>10</v>
      </c>
      <c r="H313" s="39" t="str">
        <f>IFERROR(__xludf.DUMMYFUNCTION("""COMPUTED_VALUE"""),"Evan Henry")</f>
        <v>Evan Henry</v>
      </c>
      <c r="I313" s="40">
        <f t="shared" si="3"/>
        <v>11</v>
      </c>
    </row>
    <row r="314">
      <c r="A314" s="11">
        <v>313.0</v>
      </c>
      <c r="B314" s="12">
        <f t="shared" ref="B314:B319" si="50">DATE(2012,12,31)-1414</f>
        <v>39860</v>
      </c>
      <c r="C314" s="11" t="s">
        <v>608</v>
      </c>
      <c r="D314" s="11" t="s">
        <v>28</v>
      </c>
      <c r="F314" s="38">
        <f>IFERROR(__xludf.DUMMYFUNCTION("""COMPUTED_VALUE"""),40134.0)</f>
        <v>40134</v>
      </c>
      <c r="G314" s="39">
        <f t="shared" si="2"/>
        <v>8</v>
      </c>
      <c r="H314" s="39" t="str">
        <f>IFERROR(__xludf.DUMMYFUNCTION("""COMPUTED_VALUE"""),"Roy Collins")</f>
        <v>Roy Collins</v>
      </c>
      <c r="I314" s="40">
        <f t="shared" si="3"/>
        <v>15</v>
      </c>
    </row>
    <row r="315">
      <c r="A315" s="11">
        <v>314.0</v>
      </c>
      <c r="B315" s="12">
        <f t="shared" si="50"/>
        <v>39860</v>
      </c>
      <c r="C315" s="11" t="s">
        <v>608</v>
      </c>
      <c r="D315" s="11" t="s">
        <v>66</v>
      </c>
      <c r="F315" s="38">
        <f>IFERROR(__xludf.DUMMYFUNCTION("""COMPUTED_VALUE"""),40135.0)</f>
        <v>40135</v>
      </c>
      <c r="G315" s="39">
        <f t="shared" si="2"/>
        <v>3</v>
      </c>
      <c r="H315" s="39" t="str">
        <f>IFERROR(__xludf.DUMMYFUNCTION("""COMPUTED_VALUE"""),"Roy French")</f>
        <v>Roy French</v>
      </c>
      <c r="I315" s="40">
        <f t="shared" si="3"/>
        <v>5</v>
      </c>
    </row>
    <row r="316">
      <c r="A316" s="11">
        <v>315.0</v>
      </c>
      <c r="B316" s="12">
        <f t="shared" si="50"/>
        <v>39860</v>
      </c>
      <c r="C316" s="11" t="s">
        <v>673</v>
      </c>
      <c r="D316" s="11" t="s">
        <v>28</v>
      </c>
      <c r="F316" s="38">
        <f>IFERROR(__xludf.DUMMYFUNCTION("""COMPUTED_VALUE"""),40136.0)</f>
        <v>40136</v>
      </c>
      <c r="G316" s="39">
        <f t="shared" si="2"/>
        <v>3</v>
      </c>
      <c r="H316" s="39" t="str">
        <f>IFERROR(__xludf.DUMMYFUNCTION("""COMPUTED_VALUE"""),"Brad Thomas")</f>
        <v>Brad Thomas</v>
      </c>
      <c r="I316" s="40">
        <f t="shared" si="3"/>
        <v>35</v>
      </c>
    </row>
    <row r="317">
      <c r="A317" s="11">
        <v>316.0</v>
      </c>
      <c r="B317" s="12">
        <f t="shared" si="50"/>
        <v>39860</v>
      </c>
      <c r="C317" s="11" t="s">
        <v>674</v>
      </c>
      <c r="D317" s="11" t="s">
        <v>28</v>
      </c>
      <c r="F317" s="38">
        <f>IFERROR(__xludf.DUMMYFUNCTION("""COMPUTED_VALUE"""),40137.0)</f>
        <v>40137</v>
      </c>
      <c r="G317" s="39">
        <f t="shared" si="2"/>
        <v>13</v>
      </c>
      <c r="H317" s="39" t="str">
        <f>IFERROR(__xludf.DUMMYFUNCTION("""COMPUTED_VALUE"""),"Shahid Shariari")</f>
        <v>Shahid Shariari</v>
      </c>
      <c r="I317" s="40">
        <f t="shared" si="3"/>
        <v>23</v>
      </c>
    </row>
    <row r="318">
      <c r="A318" s="11">
        <v>317.0</v>
      </c>
      <c r="B318" s="12">
        <f t="shared" si="50"/>
        <v>39860</v>
      </c>
      <c r="C318" s="11" t="s">
        <v>674</v>
      </c>
      <c r="D318" s="11" t="s">
        <v>66</v>
      </c>
      <c r="F318" s="38">
        <f>IFERROR(__xludf.DUMMYFUNCTION("""COMPUTED_VALUE"""),40138.0)</f>
        <v>40138</v>
      </c>
      <c r="G318" s="39">
        <f t="shared" si="2"/>
        <v>4</v>
      </c>
      <c r="H318" s="39" t="str">
        <f>IFERROR(__xludf.DUMMYFUNCTION("""COMPUTED_VALUE"""),"Duane Benoit")</f>
        <v>Duane Benoit</v>
      </c>
      <c r="I318" s="40">
        <f t="shared" si="3"/>
        <v>11</v>
      </c>
    </row>
    <row r="319">
      <c r="A319" s="11">
        <v>318.0</v>
      </c>
      <c r="B319" s="12">
        <f t="shared" si="50"/>
        <v>39860</v>
      </c>
      <c r="C319" s="11" t="s">
        <v>674</v>
      </c>
      <c r="D319" s="11" t="s">
        <v>28</v>
      </c>
      <c r="F319" s="38">
        <f>IFERROR(__xludf.DUMMYFUNCTION("""COMPUTED_VALUE"""),40139.0)</f>
        <v>40139</v>
      </c>
      <c r="G319" s="39">
        <f t="shared" si="2"/>
        <v>4</v>
      </c>
      <c r="H319" s="39" t="str">
        <f>IFERROR(__xludf.DUMMYFUNCTION("""COMPUTED_VALUE"""),"David Kendrick")</f>
        <v>David Kendrick</v>
      </c>
      <c r="I319" s="40">
        <f t="shared" si="3"/>
        <v>8</v>
      </c>
    </row>
    <row r="320">
      <c r="A320" s="11">
        <v>319.0</v>
      </c>
      <c r="B320" s="12">
        <f t="shared" ref="B320:B324" si="51">DATE(2012,12,31)-1413</f>
        <v>39861</v>
      </c>
      <c r="C320" s="11" t="s">
        <v>679</v>
      </c>
      <c r="D320" s="11" t="s">
        <v>28</v>
      </c>
      <c r="F320" s="38">
        <f>IFERROR(__xludf.DUMMYFUNCTION("""COMPUTED_VALUE"""),40140.0)</f>
        <v>40140</v>
      </c>
      <c r="G320" s="39">
        <f t="shared" si="2"/>
        <v>11</v>
      </c>
      <c r="H320" s="39" t="str">
        <f>IFERROR(__xludf.DUMMYFUNCTION("""COMPUTED_VALUE"""),"Ellis Ballard")</f>
        <v>Ellis Ballard</v>
      </c>
      <c r="I320" s="40">
        <f t="shared" si="3"/>
        <v>9</v>
      </c>
    </row>
    <row r="321">
      <c r="A321" s="11">
        <v>320.0</v>
      </c>
      <c r="B321" s="12">
        <f t="shared" si="51"/>
        <v>39861</v>
      </c>
      <c r="C321" s="11" t="s">
        <v>681</v>
      </c>
      <c r="D321" s="11" t="s">
        <v>28</v>
      </c>
      <c r="F321" s="38">
        <f>IFERROR(__xludf.DUMMYFUNCTION("""COMPUTED_VALUE"""),40141.0)</f>
        <v>40141</v>
      </c>
      <c r="G321" s="39">
        <f t="shared" si="2"/>
        <v>6</v>
      </c>
      <c r="H321" s="39" t="str">
        <f>IFERROR(__xludf.DUMMYFUNCTION("""COMPUTED_VALUE"""),"Brad Eason")</f>
        <v>Brad Eason</v>
      </c>
      <c r="I321" s="40">
        <f t="shared" si="3"/>
        <v>11</v>
      </c>
    </row>
    <row r="322">
      <c r="A322" s="11">
        <v>321.0</v>
      </c>
      <c r="B322" s="12">
        <f t="shared" si="51"/>
        <v>39861</v>
      </c>
      <c r="C322" s="11" t="s">
        <v>681</v>
      </c>
      <c r="D322" s="11" t="s">
        <v>49</v>
      </c>
      <c r="F322" s="38">
        <f>IFERROR(__xludf.DUMMYFUNCTION("""COMPUTED_VALUE"""),40142.0)</f>
        <v>40142</v>
      </c>
      <c r="G322" s="39">
        <f t="shared" si="2"/>
        <v>10</v>
      </c>
      <c r="H322" s="39" t="str">
        <f>IFERROR(__xludf.DUMMYFUNCTION("""COMPUTED_VALUE"""),"Roy Skaria")</f>
        <v>Roy Skaria</v>
      </c>
      <c r="I322" s="40">
        <f t="shared" si="3"/>
        <v>26</v>
      </c>
    </row>
    <row r="323">
      <c r="A323" s="11">
        <v>322.0</v>
      </c>
      <c r="B323" s="12">
        <f t="shared" si="51"/>
        <v>39861</v>
      </c>
      <c r="C323" s="11" t="s">
        <v>681</v>
      </c>
      <c r="D323" s="11" t="s">
        <v>49</v>
      </c>
      <c r="F323" s="38">
        <f>IFERROR(__xludf.DUMMYFUNCTION("""COMPUTED_VALUE"""),40143.0)</f>
        <v>40143</v>
      </c>
      <c r="G323" s="39">
        <f t="shared" si="2"/>
        <v>3</v>
      </c>
      <c r="H323" s="39" t="str">
        <f>IFERROR(__xludf.DUMMYFUNCTION("""COMPUTED_VALUE"""),"Raymond Fair")</f>
        <v>Raymond Fair</v>
      </c>
      <c r="I323" s="40">
        <f t="shared" si="3"/>
        <v>11</v>
      </c>
    </row>
    <row r="324">
      <c r="A324" s="11">
        <v>323.0</v>
      </c>
      <c r="B324" s="12">
        <f t="shared" si="51"/>
        <v>39861</v>
      </c>
      <c r="C324" s="11" t="s">
        <v>681</v>
      </c>
      <c r="D324" s="11" t="s">
        <v>66</v>
      </c>
      <c r="F324" s="38">
        <f>IFERROR(__xludf.DUMMYFUNCTION("""COMPUTED_VALUE"""),40144.0)</f>
        <v>40144</v>
      </c>
      <c r="G324" s="39">
        <f t="shared" si="2"/>
        <v>1</v>
      </c>
      <c r="H324" s="39" t="str">
        <f>IFERROR(__xludf.DUMMYFUNCTION("""COMPUTED_VALUE"""),"Becky Martin")</f>
        <v>Becky Martin</v>
      </c>
      <c r="I324" s="40">
        <f t="shared" si="3"/>
        <v>5</v>
      </c>
    </row>
    <row r="325">
      <c r="A325" s="11">
        <v>324.0</v>
      </c>
      <c r="B325" s="12">
        <f t="shared" ref="B325:B326" si="52">DATE(2012,12,31)-1412</f>
        <v>39862</v>
      </c>
      <c r="C325" s="11" t="s">
        <v>689</v>
      </c>
      <c r="D325" s="11" t="s">
        <v>49</v>
      </c>
      <c r="F325" s="38">
        <f>IFERROR(__xludf.DUMMYFUNCTION("""COMPUTED_VALUE"""),40145.0)</f>
        <v>40145</v>
      </c>
      <c r="G325" s="39">
        <f t="shared" si="2"/>
        <v>4</v>
      </c>
      <c r="H325" s="39" t="str">
        <f>IFERROR(__xludf.DUMMYFUNCTION("""COMPUTED_VALUE"""),"David Flashing")</f>
        <v>David Flashing</v>
      </c>
      <c r="I325" s="40">
        <f t="shared" si="3"/>
        <v>6</v>
      </c>
    </row>
    <row r="326">
      <c r="A326" s="11">
        <v>325.0</v>
      </c>
      <c r="B326" s="12">
        <f t="shared" si="52"/>
        <v>39862</v>
      </c>
      <c r="C326" s="11" t="s">
        <v>689</v>
      </c>
      <c r="D326" s="11" t="s">
        <v>49</v>
      </c>
      <c r="F326" s="38">
        <f>IFERROR(__xludf.DUMMYFUNCTION("""COMPUTED_VALUE"""),40146.0)</f>
        <v>40146</v>
      </c>
      <c r="G326" s="39">
        <f t="shared" si="2"/>
        <v>6</v>
      </c>
      <c r="H326" s="39" t="str">
        <f>IFERROR(__xludf.DUMMYFUNCTION("""COMPUTED_VALUE"""),"James Galang")</f>
        <v>James Galang</v>
      </c>
      <c r="I326" s="40">
        <f t="shared" si="3"/>
        <v>13</v>
      </c>
    </row>
    <row r="327">
      <c r="A327" s="11">
        <v>326.0</v>
      </c>
      <c r="B327" s="12">
        <f t="shared" ref="B327:B332" si="53">DATE(2012,12,31)-1411</f>
        <v>39863</v>
      </c>
      <c r="C327" s="11" t="s">
        <v>690</v>
      </c>
      <c r="D327" s="11" t="s">
        <v>28</v>
      </c>
      <c r="F327" s="38">
        <f>IFERROR(__xludf.DUMMYFUNCTION("""COMPUTED_VALUE"""),40147.0)</f>
        <v>40147</v>
      </c>
      <c r="G327" s="39">
        <f t="shared" si="2"/>
        <v>9</v>
      </c>
      <c r="H327" s="39" t="str">
        <f>IFERROR(__xludf.DUMMYFUNCTION("""COMPUTED_VALUE"""),"Denny Ordway")</f>
        <v>Denny Ordway</v>
      </c>
      <c r="I327" s="40">
        <f t="shared" si="3"/>
        <v>8</v>
      </c>
    </row>
    <row r="328">
      <c r="A328" s="11">
        <v>327.0</v>
      </c>
      <c r="B328" s="12">
        <f t="shared" si="53"/>
        <v>39863</v>
      </c>
      <c r="C328" s="11" t="s">
        <v>690</v>
      </c>
      <c r="D328" s="11" t="s">
        <v>28</v>
      </c>
      <c r="F328" s="38">
        <f>IFERROR(__xludf.DUMMYFUNCTION("""COMPUTED_VALUE"""),40148.0)</f>
        <v>40148</v>
      </c>
      <c r="G328" s="39">
        <f t="shared" si="2"/>
        <v>5</v>
      </c>
      <c r="H328" s="39" t="str">
        <f>IFERROR(__xludf.DUMMYFUNCTION("""COMPUTED_VALUE"""),"Patrick Ryan")</f>
        <v>Patrick Ryan</v>
      </c>
      <c r="I328" s="40">
        <f t="shared" si="3"/>
        <v>15</v>
      </c>
    </row>
    <row r="329">
      <c r="A329" s="11">
        <v>328.0</v>
      </c>
      <c r="B329" s="12">
        <f t="shared" si="53"/>
        <v>39863</v>
      </c>
      <c r="C329" s="11" t="s">
        <v>690</v>
      </c>
      <c r="D329" s="11" t="s">
        <v>28</v>
      </c>
      <c r="F329" s="38">
        <f>IFERROR(__xludf.DUMMYFUNCTION("""COMPUTED_VALUE"""),40149.0)</f>
        <v>40149</v>
      </c>
      <c r="G329" s="39">
        <f t="shared" si="2"/>
        <v>8</v>
      </c>
      <c r="H329" s="39" t="str">
        <f>IFERROR(__xludf.DUMMYFUNCTION("""COMPUTED_VALUE"""),"Peter Fuller")</f>
        <v>Peter Fuller</v>
      </c>
      <c r="I329" s="40">
        <f t="shared" si="3"/>
        <v>20</v>
      </c>
    </row>
    <row r="330">
      <c r="A330" s="11">
        <v>329.0</v>
      </c>
      <c r="B330" s="12">
        <f t="shared" si="53"/>
        <v>39863</v>
      </c>
      <c r="C330" s="11" t="s">
        <v>681</v>
      </c>
      <c r="D330" s="11" t="s">
        <v>66</v>
      </c>
      <c r="F330" s="38">
        <f>IFERROR(__xludf.DUMMYFUNCTION("""COMPUTED_VALUE"""),40150.0)</f>
        <v>40150</v>
      </c>
      <c r="G330" s="39">
        <f t="shared" si="2"/>
        <v>1</v>
      </c>
      <c r="H330" s="39" t="str">
        <f>IFERROR(__xludf.DUMMYFUNCTION("""COMPUTED_VALUE"""),"Matt Connell")</f>
        <v>Matt Connell</v>
      </c>
      <c r="I330" s="40">
        <f t="shared" si="3"/>
        <v>11</v>
      </c>
    </row>
    <row r="331">
      <c r="A331" s="11">
        <v>330.0</v>
      </c>
      <c r="B331" s="12">
        <f t="shared" si="53"/>
        <v>39863</v>
      </c>
      <c r="C331" s="11" t="s">
        <v>697</v>
      </c>
      <c r="D331" s="11" t="s">
        <v>28</v>
      </c>
      <c r="F331" s="38">
        <f>IFERROR(__xludf.DUMMYFUNCTION("""COMPUTED_VALUE"""),40151.0)</f>
        <v>40151</v>
      </c>
      <c r="G331" s="39">
        <f t="shared" si="2"/>
        <v>4</v>
      </c>
      <c r="H331" s="39" t="str">
        <f>IFERROR(__xludf.DUMMYFUNCTION("""COMPUTED_VALUE"""),"Anthony Rawles")</f>
        <v>Anthony Rawles</v>
      </c>
      <c r="I331" s="40">
        <f t="shared" si="3"/>
        <v>12</v>
      </c>
    </row>
    <row r="332">
      <c r="A332" s="11">
        <v>331.0</v>
      </c>
      <c r="B332" s="12">
        <f t="shared" si="53"/>
        <v>39863</v>
      </c>
      <c r="C332" s="11" t="s">
        <v>453</v>
      </c>
      <c r="D332" s="11" t="s">
        <v>28</v>
      </c>
      <c r="F332" s="38">
        <f>IFERROR(__xludf.DUMMYFUNCTION("""COMPUTED_VALUE"""),40152.0)</f>
        <v>40152</v>
      </c>
      <c r="G332" s="39">
        <f t="shared" si="2"/>
        <v>11</v>
      </c>
      <c r="H332" s="39" t="str">
        <f>IFERROR(__xludf.DUMMYFUNCTION("""COMPUTED_VALUE"""),"Eugene Moren")</f>
        <v>Eugene Moren</v>
      </c>
      <c r="I332" s="40">
        <f t="shared" si="3"/>
        <v>11</v>
      </c>
    </row>
    <row r="333">
      <c r="A333" s="11">
        <v>332.0</v>
      </c>
      <c r="B333" s="12">
        <f t="shared" ref="B333:B338" si="54">DATE(2012,12,31)-1410</f>
        <v>39864</v>
      </c>
      <c r="C333" s="11" t="s">
        <v>576</v>
      </c>
      <c r="D333" s="11" t="s">
        <v>28</v>
      </c>
      <c r="F333" s="38">
        <f>IFERROR(__xludf.DUMMYFUNCTION("""COMPUTED_VALUE"""),40153.0)</f>
        <v>40153</v>
      </c>
      <c r="G333" s="39">
        <f t="shared" si="2"/>
        <v>13</v>
      </c>
      <c r="H333" s="39" t="str">
        <f>IFERROR(__xludf.DUMMYFUNCTION("""COMPUTED_VALUE"""),"Scott Cohen")</f>
        <v>Scott Cohen</v>
      </c>
      <c r="I333" s="40">
        <f t="shared" si="3"/>
        <v>12</v>
      </c>
    </row>
    <row r="334">
      <c r="A334" s="11">
        <v>333.0</v>
      </c>
      <c r="B334" s="12">
        <f t="shared" si="54"/>
        <v>39864</v>
      </c>
      <c r="C334" s="11" t="s">
        <v>576</v>
      </c>
      <c r="D334" s="11" t="s">
        <v>49</v>
      </c>
      <c r="F334" s="38">
        <f>IFERROR(__xludf.DUMMYFUNCTION("""COMPUTED_VALUE"""),40154.0)</f>
        <v>40154</v>
      </c>
      <c r="G334" s="39">
        <f t="shared" si="2"/>
        <v>6</v>
      </c>
      <c r="H334" s="39" t="str">
        <f>IFERROR(__xludf.DUMMYFUNCTION("""COMPUTED_VALUE"""),"Rick Duston")</f>
        <v>Rick Duston</v>
      </c>
      <c r="I334" s="40">
        <f t="shared" si="3"/>
        <v>10</v>
      </c>
    </row>
    <row r="335">
      <c r="A335" s="11">
        <v>334.0</v>
      </c>
      <c r="B335" s="12">
        <f t="shared" si="54"/>
        <v>39864</v>
      </c>
      <c r="C335" s="11" t="s">
        <v>703</v>
      </c>
      <c r="D335" s="11" t="s">
        <v>28</v>
      </c>
      <c r="F335" s="38">
        <f>IFERROR(__xludf.DUMMYFUNCTION("""COMPUTED_VALUE"""),40155.0)</f>
        <v>40155</v>
      </c>
      <c r="G335" s="39">
        <f t="shared" si="2"/>
        <v>2</v>
      </c>
      <c r="H335" s="39" t="str">
        <f>IFERROR(__xludf.DUMMYFUNCTION("""COMPUTED_VALUE"""),"Eugene Hildebrand")</f>
        <v>Eugene Hildebrand</v>
      </c>
      <c r="I335" s="40">
        <f t="shared" si="3"/>
        <v>11</v>
      </c>
    </row>
    <row r="336">
      <c r="A336" s="11">
        <v>335.0</v>
      </c>
      <c r="B336" s="12">
        <f t="shared" si="54"/>
        <v>39864</v>
      </c>
      <c r="C336" s="11" t="s">
        <v>703</v>
      </c>
      <c r="D336" s="11" t="s">
        <v>28</v>
      </c>
      <c r="F336" s="38">
        <f>IFERROR(__xludf.DUMMYFUNCTION("""COMPUTED_VALUE"""),40156.0)</f>
        <v>40156</v>
      </c>
      <c r="G336" s="39">
        <f t="shared" si="2"/>
        <v>5</v>
      </c>
      <c r="H336" s="39" t="str">
        <f>IFERROR(__xludf.DUMMYFUNCTION("""COMPUTED_VALUE"""),"Christy Brittain")</f>
        <v>Christy Brittain</v>
      </c>
      <c r="I336" s="40">
        <f t="shared" si="3"/>
        <v>26</v>
      </c>
    </row>
    <row r="337">
      <c r="A337" s="11">
        <v>336.0</v>
      </c>
      <c r="B337" s="12">
        <f t="shared" si="54"/>
        <v>39864</v>
      </c>
      <c r="C337" s="11" t="s">
        <v>703</v>
      </c>
      <c r="D337" s="11" t="s">
        <v>49</v>
      </c>
      <c r="F337" s="38">
        <f>IFERROR(__xludf.DUMMYFUNCTION("""COMPUTED_VALUE"""),40157.0)</f>
        <v>40157</v>
      </c>
      <c r="G337" s="39">
        <f t="shared" si="2"/>
        <v>3</v>
      </c>
      <c r="H337" s="39" t="str">
        <f>IFERROR(__xludf.DUMMYFUNCTION("""COMPUTED_VALUE"""),"Jim Epp")</f>
        <v>Jim Epp</v>
      </c>
      <c r="I337" s="40">
        <f t="shared" si="3"/>
        <v>15</v>
      </c>
    </row>
    <row r="338">
      <c r="A338" s="11">
        <v>337.0</v>
      </c>
      <c r="B338" s="12">
        <f t="shared" si="54"/>
        <v>39864</v>
      </c>
      <c r="C338" s="11" t="s">
        <v>148</v>
      </c>
      <c r="D338" s="11" t="s">
        <v>49</v>
      </c>
      <c r="F338" s="38">
        <f>IFERROR(__xludf.DUMMYFUNCTION("""COMPUTED_VALUE"""),40158.0)</f>
        <v>40158</v>
      </c>
      <c r="G338" s="39">
        <f t="shared" si="2"/>
        <v>7</v>
      </c>
      <c r="H338" s="39" t="str">
        <f>IFERROR(__xludf.DUMMYFUNCTION("""COMPUTED_VALUE"""),"Mike Vittorini")</f>
        <v>Mike Vittorini</v>
      </c>
      <c r="I338" s="40">
        <f t="shared" si="3"/>
        <v>10</v>
      </c>
    </row>
    <row r="339">
      <c r="A339" s="11">
        <v>338.0</v>
      </c>
      <c r="B339" s="12">
        <f t="shared" ref="B339:B341" si="55">DATE(2012,12,31)-1409</f>
        <v>39865</v>
      </c>
      <c r="C339" s="11" t="s">
        <v>711</v>
      </c>
      <c r="D339" s="11" t="s">
        <v>66</v>
      </c>
      <c r="F339" s="38">
        <f>IFERROR(__xludf.DUMMYFUNCTION("""COMPUTED_VALUE"""),40159.0)</f>
        <v>40159</v>
      </c>
      <c r="G339" s="39">
        <f t="shared" si="2"/>
        <v>13</v>
      </c>
      <c r="H339" s="39" t="str">
        <f>IFERROR(__xludf.DUMMYFUNCTION("""COMPUTED_VALUE"""),"Neil Knudson")</f>
        <v>Neil Knudson</v>
      </c>
      <c r="I339" s="40">
        <f t="shared" si="3"/>
        <v>22</v>
      </c>
    </row>
    <row r="340">
      <c r="A340" s="11">
        <v>339.0</v>
      </c>
      <c r="B340" s="12">
        <f t="shared" si="55"/>
        <v>39865</v>
      </c>
      <c r="C340" s="11" t="s">
        <v>713</v>
      </c>
      <c r="D340" s="11" t="s">
        <v>28</v>
      </c>
      <c r="F340" s="38">
        <f>IFERROR(__xludf.DUMMYFUNCTION("""COMPUTED_VALUE"""),40160.0)</f>
        <v>40160</v>
      </c>
      <c r="G340" s="39">
        <f t="shared" si="2"/>
        <v>3</v>
      </c>
      <c r="H340" s="39" t="str">
        <f>IFERROR(__xludf.DUMMYFUNCTION("""COMPUTED_VALUE"""),"Deborah Brumfield")</f>
        <v>Deborah Brumfield</v>
      </c>
      <c r="I340" s="40">
        <f t="shared" si="3"/>
        <v>20</v>
      </c>
    </row>
    <row r="341">
      <c r="A341" s="11">
        <v>340.0</v>
      </c>
      <c r="B341" s="12">
        <f t="shared" si="55"/>
        <v>39865</v>
      </c>
      <c r="C341" s="11" t="s">
        <v>713</v>
      </c>
      <c r="D341" s="11" t="s">
        <v>49</v>
      </c>
      <c r="F341" s="38">
        <f>IFERROR(__xludf.DUMMYFUNCTION("""COMPUTED_VALUE"""),40161.0)</f>
        <v>40161</v>
      </c>
      <c r="G341" s="39">
        <f t="shared" si="2"/>
        <v>9</v>
      </c>
      <c r="H341" s="39" t="str">
        <f>IFERROR(__xludf.DUMMYFUNCTION("""COMPUTED_VALUE"""),"Anna Gayman")</f>
        <v>Anna Gayman</v>
      </c>
      <c r="I341" s="40">
        <f t="shared" si="3"/>
        <v>3</v>
      </c>
    </row>
    <row r="342">
      <c r="A342" s="11">
        <v>341.0</v>
      </c>
      <c r="B342" s="12">
        <f t="shared" ref="B342:B345" si="56">DATE(2012,12,31)-1408</f>
        <v>39866</v>
      </c>
      <c r="C342" s="11" t="s">
        <v>716</v>
      </c>
      <c r="D342" s="11" t="s">
        <v>66</v>
      </c>
      <c r="F342" s="38">
        <f>IFERROR(__xludf.DUMMYFUNCTION("""COMPUTED_VALUE"""),40162.0)</f>
        <v>40162</v>
      </c>
      <c r="G342" s="39">
        <f t="shared" si="2"/>
        <v>2</v>
      </c>
      <c r="H342" s="39" t="str">
        <f>IFERROR(__xludf.DUMMYFUNCTION("""COMPUTED_VALUE"""),"Fred Wasserman")</f>
        <v>Fred Wasserman</v>
      </c>
      <c r="I342" s="40">
        <f t="shared" si="3"/>
        <v>11</v>
      </c>
    </row>
    <row r="343">
      <c r="A343" s="11">
        <v>342.0</v>
      </c>
      <c r="B343" s="12">
        <f t="shared" si="56"/>
        <v>39866</v>
      </c>
      <c r="C343" s="11" t="s">
        <v>719</v>
      </c>
      <c r="D343" s="11" t="s">
        <v>28</v>
      </c>
      <c r="F343" s="38">
        <f>IFERROR(__xludf.DUMMYFUNCTION("""COMPUTED_VALUE"""),40163.0)</f>
        <v>40163</v>
      </c>
      <c r="G343" s="39">
        <f t="shared" si="2"/>
        <v>7</v>
      </c>
      <c r="H343" s="39" t="str">
        <f>IFERROR(__xludf.DUMMYFUNCTION("""COMPUTED_VALUE"""),"Sandra Glassco")</f>
        <v>Sandra Glassco</v>
      </c>
      <c r="I343" s="40">
        <f t="shared" si="3"/>
        <v>18</v>
      </c>
    </row>
    <row r="344">
      <c r="A344" s="11">
        <v>343.0</v>
      </c>
      <c r="B344" s="12">
        <f t="shared" si="56"/>
        <v>39866</v>
      </c>
      <c r="C344" s="11" t="s">
        <v>721</v>
      </c>
      <c r="D344" s="11" t="s">
        <v>66</v>
      </c>
      <c r="F344" s="38">
        <f>IFERROR(__xludf.DUMMYFUNCTION("""COMPUTED_VALUE"""),40164.0)</f>
        <v>40164</v>
      </c>
      <c r="G344" s="39">
        <f t="shared" si="2"/>
        <v>3</v>
      </c>
      <c r="H344" s="39" t="str">
        <f>IFERROR(__xludf.DUMMYFUNCTION("""COMPUTED_VALUE"""),"Erica Hernandez")</f>
        <v>Erica Hernandez</v>
      </c>
      <c r="I344" s="40">
        <f t="shared" si="3"/>
        <v>10</v>
      </c>
    </row>
    <row r="345">
      <c r="A345" s="11">
        <v>344.0</v>
      </c>
      <c r="B345" s="12">
        <f t="shared" si="56"/>
        <v>39866</v>
      </c>
      <c r="C345" s="11" t="s">
        <v>721</v>
      </c>
      <c r="D345" s="11" t="s">
        <v>49</v>
      </c>
      <c r="F345" s="38">
        <f>IFERROR(__xludf.DUMMYFUNCTION("""COMPUTED_VALUE"""),40165.0)</f>
        <v>40165</v>
      </c>
      <c r="G345" s="39">
        <f t="shared" si="2"/>
        <v>7</v>
      </c>
      <c r="H345" s="39" t="str">
        <f>IFERROR(__xludf.DUMMYFUNCTION("""COMPUTED_VALUE"""),"Yoseph Carroll")</f>
        <v>Yoseph Carroll</v>
      </c>
      <c r="I345" s="40">
        <f t="shared" si="3"/>
        <v>9</v>
      </c>
    </row>
    <row r="346">
      <c r="A346" s="11">
        <v>345.0</v>
      </c>
      <c r="B346" s="12">
        <f t="shared" ref="B346:B349" si="57">DATE(2012,12,31)-1407</f>
        <v>39867</v>
      </c>
      <c r="C346" s="11" t="s">
        <v>724</v>
      </c>
      <c r="D346" s="11" t="s">
        <v>28</v>
      </c>
      <c r="F346" s="38">
        <f>IFERROR(__xludf.DUMMYFUNCTION("""COMPUTED_VALUE"""),40166.0)</f>
        <v>40166</v>
      </c>
      <c r="G346" s="39">
        <f t="shared" si="2"/>
        <v>8</v>
      </c>
      <c r="H346" s="39" t="str">
        <f>IFERROR(__xludf.DUMMYFUNCTION("""COMPUTED_VALUE"""),"Sally Knutson")</f>
        <v>Sally Knutson</v>
      </c>
      <c r="I346" s="40">
        <f t="shared" si="3"/>
        <v>27</v>
      </c>
    </row>
    <row r="347">
      <c r="A347" s="11">
        <v>346.0</v>
      </c>
      <c r="B347" s="12">
        <f t="shared" si="57"/>
        <v>39867</v>
      </c>
      <c r="C347" s="11" t="s">
        <v>727</v>
      </c>
      <c r="D347" s="11" t="s">
        <v>49</v>
      </c>
      <c r="F347" s="38">
        <f>IFERROR(__xludf.DUMMYFUNCTION("""COMPUTED_VALUE"""),40167.0)</f>
        <v>40167</v>
      </c>
      <c r="G347" s="39">
        <f t="shared" si="2"/>
        <v>7</v>
      </c>
      <c r="H347" s="39" t="str">
        <f>IFERROR(__xludf.DUMMYFUNCTION("""COMPUTED_VALUE"""),"Janet Martin")</f>
        <v>Janet Martin</v>
      </c>
      <c r="I347" s="40">
        <f t="shared" si="3"/>
        <v>11</v>
      </c>
    </row>
    <row r="348">
      <c r="A348" s="11">
        <v>347.0</v>
      </c>
      <c r="B348" s="12">
        <f t="shared" si="57"/>
        <v>39867</v>
      </c>
      <c r="C348" s="11" t="s">
        <v>727</v>
      </c>
      <c r="D348" s="11" t="s">
        <v>28</v>
      </c>
      <c r="F348" s="38">
        <f>IFERROR(__xludf.DUMMYFUNCTION("""COMPUTED_VALUE"""),40168.0)</f>
        <v>40168</v>
      </c>
      <c r="G348" s="39">
        <f t="shared" si="2"/>
        <v>3</v>
      </c>
      <c r="H348" s="39" t="str">
        <f>IFERROR(__xludf.DUMMYFUNCTION("""COMPUTED_VALUE"""),"Roger Barcio")</f>
        <v>Roger Barcio</v>
      </c>
      <c r="I348" s="40">
        <f t="shared" si="3"/>
        <v>3</v>
      </c>
    </row>
    <row r="349">
      <c r="A349" s="11">
        <v>348.0</v>
      </c>
      <c r="B349" s="12">
        <f t="shared" si="57"/>
        <v>39867</v>
      </c>
      <c r="C349" s="11" t="s">
        <v>732</v>
      </c>
      <c r="D349" s="11" t="s">
        <v>28</v>
      </c>
      <c r="F349" s="38">
        <f>IFERROR(__xludf.DUMMYFUNCTION("""COMPUTED_VALUE"""),40169.0)</f>
        <v>40169</v>
      </c>
      <c r="G349" s="39">
        <f t="shared" si="2"/>
        <v>7</v>
      </c>
      <c r="H349" s="39" t="str">
        <f>IFERROR(__xludf.DUMMYFUNCTION("""COMPUTED_VALUE"""),"Georgia Rosenberg")</f>
        <v>Georgia Rosenberg</v>
      </c>
      <c r="I349" s="40">
        <f t="shared" si="3"/>
        <v>8</v>
      </c>
    </row>
    <row r="350">
      <c r="A350" s="11">
        <v>349.0</v>
      </c>
      <c r="B350" s="12">
        <f t="shared" ref="B350:B353" si="58">DATE(2012,12,31)-1406</f>
        <v>39868</v>
      </c>
      <c r="C350" s="11" t="s">
        <v>735</v>
      </c>
      <c r="D350" s="11" t="s">
        <v>28</v>
      </c>
      <c r="F350" s="38">
        <f>IFERROR(__xludf.DUMMYFUNCTION("""COMPUTED_VALUE"""),40170.0)</f>
        <v>40170</v>
      </c>
      <c r="G350" s="39">
        <f t="shared" si="2"/>
        <v>3</v>
      </c>
      <c r="H350" s="39" t="str">
        <f>IFERROR(__xludf.DUMMYFUNCTION("""COMPUTED_VALUE"""),"Mitch Willingham")</f>
        <v>Mitch Willingham</v>
      </c>
      <c r="I350" s="40">
        <f t="shared" si="3"/>
        <v>12</v>
      </c>
    </row>
    <row r="351">
      <c r="A351" s="11">
        <v>350.0</v>
      </c>
      <c r="B351" s="12">
        <f t="shared" si="58"/>
        <v>39868</v>
      </c>
      <c r="C351" s="11" t="s">
        <v>738</v>
      </c>
      <c r="D351" s="11" t="s">
        <v>28</v>
      </c>
      <c r="F351" s="38">
        <f>IFERROR(__xludf.DUMMYFUNCTION("""COMPUTED_VALUE"""),40171.0)</f>
        <v>40171</v>
      </c>
      <c r="G351" s="39">
        <f t="shared" si="2"/>
        <v>3</v>
      </c>
      <c r="H351" s="39" t="str">
        <f>IFERROR(__xludf.DUMMYFUNCTION("""COMPUTED_VALUE"""),"Stephanie Ulpright")</f>
        <v>Stephanie Ulpright</v>
      </c>
      <c r="I351" s="40">
        <f t="shared" si="3"/>
        <v>11</v>
      </c>
    </row>
    <row r="352">
      <c r="A352" s="11">
        <v>351.0</v>
      </c>
      <c r="B352" s="12">
        <f t="shared" si="58"/>
        <v>39868</v>
      </c>
      <c r="C352" s="11" t="s">
        <v>741</v>
      </c>
      <c r="D352" s="11" t="s">
        <v>49</v>
      </c>
      <c r="F352" s="38">
        <f>IFERROR(__xludf.DUMMYFUNCTION("""COMPUTED_VALUE"""),40172.0)</f>
        <v>40172</v>
      </c>
      <c r="G352" s="39">
        <f t="shared" si="2"/>
        <v>7</v>
      </c>
      <c r="H352" s="39" t="str">
        <f>IFERROR(__xludf.DUMMYFUNCTION("""COMPUTED_VALUE"""),"Alyssa Tate")</f>
        <v>Alyssa Tate</v>
      </c>
      <c r="I352" s="40">
        <f t="shared" si="3"/>
        <v>7</v>
      </c>
    </row>
    <row r="353">
      <c r="A353" s="11">
        <v>352.0</v>
      </c>
      <c r="B353" s="12">
        <f t="shared" si="58"/>
        <v>39868</v>
      </c>
      <c r="C353" s="11" t="s">
        <v>741</v>
      </c>
      <c r="D353" s="11" t="s">
        <v>28</v>
      </c>
      <c r="F353" s="38">
        <f>IFERROR(__xludf.DUMMYFUNCTION("""COMPUTED_VALUE"""),40173.0)</f>
        <v>40173</v>
      </c>
      <c r="G353" s="39">
        <f t="shared" si="2"/>
        <v>4</v>
      </c>
      <c r="H353" s="39" t="str">
        <f>IFERROR(__xludf.DUMMYFUNCTION("""COMPUTED_VALUE"""),"Katharine Harms")</f>
        <v>Katharine Harms</v>
      </c>
      <c r="I353" s="40">
        <f t="shared" si="3"/>
        <v>4</v>
      </c>
    </row>
    <row r="354">
      <c r="A354" s="11">
        <v>353.0</v>
      </c>
      <c r="B354" s="12">
        <f t="shared" ref="B354:B358" si="59">DATE(2012,12,31)-1405</f>
        <v>39869</v>
      </c>
      <c r="C354" s="11" t="s">
        <v>744</v>
      </c>
      <c r="D354" s="11" t="s">
        <v>49</v>
      </c>
      <c r="F354" s="38">
        <f>IFERROR(__xludf.DUMMYFUNCTION("""COMPUTED_VALUE"""),40174.0)</f>
        <v>40174</v>
      </c>
      <c r="G354" s="39">
        <f t="shared" si="2"/>
        <v>5</v>
      </c>
      <c r="H354" s="39" t="str">
        <f>IFERROR(__xludf.DUMMYFUNCTION("""COMPUTED_VALUE"""),"Jim Kriz")</f>
        <v>Jim Kriz</v>
      </c>
      <c r="I354" s="40">
        <f t="shared" si="3"/>
        <v>13</v>
      </c>
    </row>
    <row r="355">
      <c r="A355" s="11">
        <v>354.0</v>
      </c>
      <c r="B355" s="12">
        <f t="shared" si="59"/>
        <v>39869</v>
      </c>
      <c r="C355" s="11" t="s">
        <v>746</v>
      </c>
      <c r="D355" s="11" t="s">
        <v>49</v>
      </c>
      <c r="F355" s="38">
        <f>IFERROR(__xludf.DUMMYFUNCTION("""COMPUTED_VALUE"""),40175.0)</f>
        <v>40175</v>
      </c>
      <c r="G355" s="39">
        <f t="shared" si="2"/>
        <v>9</v>
      </c>
      <c r="H355" s="39" t="str">
        <f>IFERROR(__xludf.DUMMYFUNCTION("""COMPUTED_VALUE"""),"Becky Pak")</f>
        <v>Becky Pak</v>
      </c>
      <c r="I355" s="40">
        <f t="shared" si="3"/>
        <v>13</v>
      </c>
    </row>
    <row r="356">
      <c r="A356" s="11">
        <v>355.0</v>
      </c>
      <c r="B356" s="12">
        <f t="shared" si="59"/>
        <v>39869</v>
      </c>
      <c r="C356" s="11" t="s">
        <v>746</v>
      </c>
      <c r="D356" s="11" t="s">
        <v>28</v>
      </c>
      <c r="F356" s="38">
        <f>IFERROR(__xludf.DUMMYFUNCTION("""COMPUTED_VALUE"""),40176.0)</f>
        <v>40176</v>
      </c>
      <c r="G356" s="39">
        <f t="shared" si="2"/>
        <v>2</v>
      </c>
      <c r="H356" s="39" t="str">
        <f>IFERROR(__xludf.DUMMYFUNCTION("""COMPUTED_VALUE"""),"Bill Tyler")</f>
        <v>Bill Tyler</v>
      </c>
      <c r="I356" s="40">
        <f t="shared" si="3"/>
        <v>5</v>
      </c>
    </row>
    <row r="357">
      <c r="A357" s="11">
        <v>356.0</v>
      </c>
      <c r="B357" s="12">
        <f t="shared" si="59"/>
        <v>39869</v>
      </c>
      <c r="C357" s="11" t="s">
        <v>571</v>
      </c>
      <c r="D357" s="11" t="s">
        <v>28</v>
      </c>
      <c r="F357" s="38">
        <f>IFERROR(__xludf.DUMMYFUNCTION("""COMPUTED_VALUE"""),40177.0)</f>
        <v>40177</v>
      </c>
      <c r="G357" s="39">
        <f t="shared" si="2"/>
        <v>3</v>
      </c>
      <c r="H357" s="39" t="str">
        <f>IFERROR(__xludf.DUMMYFUNCTION("""COMPUTED_VALUE"""),"Noel Staavos")</f>
        <v>Noel Staavos</v>
      </c>
      <c r="I357" s="40">
        <f t="shared" si="3"/>
        <v>21</v>
      </c>
    </row>
    <row r="358">
      <c r="A358" s="11">
        <v>357.0</v>
      </c>
      <c r="B358" s="12">
        <f t="shared" si="59"/>
        <v>39869</v>
      </c>
      <c r="C358" s="11" t="s">
        <v>571</v>
      </c>
      <c r="D358" s="11" t="s">
        <v>66</v>
      </c>
      <c r="F358" s="38">
        <f>IFERROR(__xludf.DUMMYFUNCTION("""COMPUTED_VALUE"""),40178.0)</f>
        <v>40178</v>
      </c>
      <c r="G358" s="39">
        <f t="shared" si="2"/>
        <v>3</v>
      </c>
      <c r="H358" s="39" t="str">
        <f>IFERROR(__xludf.DUMMYFUNCTION("""COMPUTED_VALUE"""),"Melanie Page")</f>
        <v>Melanie Page</v>
      </c>
      <c r="I358" s="40">
        <f t="shared" si="3"/>
        <v>12</v>
      </c>
    </row>
    <row r="359">
      <c r="A359" s="11">
        <v>358.0</v>
      </c>
      <c r="B359" s="12">
        <f t="shared" ref="B359:B367" si="60">DATE(2012,12,31)-1404</f>
        <v>39870</v>
      </c>
      <c r="C359" s="11" t="s">
        <v>479</v>
      </c>
      <c r="D359" s="11" t="s">
        <v>28</v>
      </c>
      <c r="F359" s="38">
        <f>IFERROR(__xludf.DUMMYFUNCTION("""COMPUTED_VALUE"""),40179.0)</f>
        <v>40179</v>
      </c>
      <c r="G359" s="39">
        <f t="shared" si="2"/>
        <v>5</v>
      </c>
      <c r="H359" s="39" t="str">
        <f>IFERROR(__xludf.DUMMYFUNCTION("""COMPUTED_VALUE"""),"Greg Guthrie")</f>
        <v>Greg Guthrie</v>
      </c>
      <c r="I359" s="40">
        <f t="shared" si="3"/>
        <v>21</v>
      </c>
    </row>
    <row r="360">
      <c r="A360" s="11">
        <v>359.0</v>
      </c>
      <c r="B360" s="12">
        <f t="shared" si="60"/>
        <v>39870</v>
      </c>
      <c r="C360" s="11" t="s">
        <v>479</v>
      </c>
      <c r="D360" s="11" t="s">
        <v>28</v>
      </c>
      <c r="F360" s="38">
        <f>IFERROR(__xludf.DUMMYFUNCTION("""COMPUTED_VALUE"""),40180.0)</f>
        <v>40180</v>
      </c>
      <c r="G360" s="39">
        <f t="shared" si="2"/>
        <v>6</v>
      </c>
      <c r="H360" s="39" t="str">
        <f>IFERROR(__xludf.DUMMYFUNCTION("""COMPUTED_VALUE"""),"John Lucas")</f>
        <v>John Lucas</v>
      </c>
      <c r="I360" s="40">
        <f t="shared" si="3"/>
        <v>18</v>
      </c>
    </row>
    <row r="361">
      <c r="A361" s="11">
        <v>360.0</v>
      </c>
      <c r="B361" s="12">
        <f t="shared" si="60"/>
        <v>39870</v>
      </c>
      <c r="C361" s="11" t="s">
        <v>751</v>
      </c>
      <c r="D361" s="11" t="s">
        <v>66</v>
      </c>
      <c r="F361" s="38">
        <f>IFERROR(__xludf.DUMMYFUNCTION("""COMPUTED_VALUE"""),40181.0)</f>
        <v>40181</v>
      </c>
      <c r="G361" s="39">
        <f t="shared" si="2"/>
        <v>9</v>
      </c>
      <c r="H361" s="39" t="str">
        <f>IFERROR(__xludf.DUMMYFUNCTION("""COMPUTED_VALUE"""),"Valerie Takahito")</f>
        <v>Valerie Takahito</v>
      </c>
      <c r="I361" s="40">
        <f t="shared" si="3"/>
        <v>19</v>
      </c>
    </row>
    <row r="362">
      <c r="A362" s="11">
        <v>361.0</v>
      </c>
      <c r="B362" s="12">
        <f t="shared" si="60"/>
        <v>39870</v>
      </c>
      <c r="C362" s="11" t="s">
        <v>751</v>
      </c>
      <c r="D362" s="11" t="s">
        <v>66</v>
      </c>
      <c r="F362" s="38">
        <f>IFERROR(__xludf.DUMMYFUNCTION("""COMPUTED_VALUE"""),40182.0)</f>
        <v>40182</v>
      </c>
      <c r="G362" s="39">
        <f t="shared" si="2"/>
        <v>3</v>
      </c>
      <c r="H362" s="39" t="str">
        <f>IFERROR(__xludf.DUMMYFUNCTION("""COMPUTED_VALUE"""),"Steve Nguyen")</f>
        <v>Steve Nguyen</v>
      </c>
      <c r="I362" s="40">
        <f t="shared" si="3"/>
        <v>20</v>
      </c>
    </row>
    <row r="363">
      <c r="A363" s="11">
        <v>362.0</v>
      </c>
      <c r="B363" s="12">
        <f t="shared" si="60"/>
        <v>39870</v>
      </c>
      <c r="C363" s="11" t="s">
        <v>754</v>
      </c>
      <c r="D363" s="11" t="s">
        <v>66</v>
      </c>
      <c r="F363" s="38">
        <f>IFERROR(__xludf.DUMMYFUNCTION("""COMPUTED_VALUE"""),40183.0)</f>
        <v>40183</v>
      </c>
      <c r="G363" s="39">
        <f t="shared" si="2"/>
        <v>6</v>
      </c>
      <c r="H363" s="39" t="str">
        <f>IFERROR(__xludf.DUMMYFUNCTION("""COMPUTED_VALUE"""),"Mary Zewe")</f>
        <v>Mary Zewe</v>
      </c>
      <c r="I363" s="40">
        <f t="shared" si="3"/>
        <v>5</v>
      </c>
    </row>
    <row r="364">
      <c r="A364" s="11">
        <v>363.0</v>
      </c>
      <c r="B364" s="12">
        <f t="shared" si="60"/>
        <v>39870</v>
      </c>
      <c r="C364" s="11" t="s">
        <v>754</v>
      </c>
      <c r="D364" s="11" t="s">
        <v>28</v>
      </c>
      <c r="F364" s="38">
        <f>IFERROR(__xludf.DUMMYFUNCTION("""COMPUTED_VALUE"""),40184.0)</f>
        <v>40184</v>
      </c>
      <c r="G364" s="39">
        <f t="shared" si="2"/>
        <v>3</v>
      </c>
      <c r="H364" s="39" t="str">
        <f>IFERROR(__xludf.DUMMYFUNCTION("""COMPUTED_VALUE"""),"Sara Luxemburg")</f>
        <v>Sara Luxemburg</v>
      </c>
      <c r="I364" s="40">
        <f t="shared" si="3"/>
        <v>19</v>
      </c>
    </row>
    <row r="365">
      <c r="A365" s="11">
        <v>364.0</v>
      </c>
      <c r="B365" s="12">
        <f t="shared" si="60"/>
        <v>39870</v>
      </c>
      <c r="C365" s="11" t="s">
        <v>756</v>
      </c>
      <c r="D365" s="11" t="s">
        <v>66</v>
      </c>
      <c r="F365" s="38">
        <f>IFERROR(__xludf.DUMMYFUNCTION("""COMPUTED_VALUE"""),40185.0)</f>
        <v>40185</v>
      </c>
      <c r="G365" s="39">
        <f t="shared" si="2"/>
        <v>6</v>
      </c>
      <c r="H365" s="39" t="str">
        <f>IFERROR(__xludf.DUMMYFUNCTION("""COMPUTED_VALUE"""),"Neil French")</f>
        <v>Neil French</v>
      </c>
      <c r="I365" s="40">
        <f t="shared" si="3"/>
        <v>13</v>
      </c>
    </row>
    <row r="366">
      <c r="A366" s="11">
        <v>365.0</v>
      </c>
      <c r="B366" s="12">
        <f t="shared" si="60"/>
        <v>39870</v>
      </c>
      <c r="C366" s="11" t="s">
        <v>759</v>
      </c>
      <c r="D366" s="11" t="s">
        <v>28</v>
      </c>
      <c r="F366" s="38">
        <f>IFERROR(__xludf.DUMMYFUNCTION("""COMPUTED_VALUE"""),40186.0)</f>
        <v>40186</v>
      </c>
      <c r="G366" s="39">
        <f t="shared" si="2"/>
        <v>4</v>
      </c>
      <c r="H366" s="39" t="str">
        <f>IFERROR(__xludf.DUMMYFUNCTION("""COMPUTED_VALUE"""),"Carlos Meador")</f>
        <v>Carlos Meador</v>
      </c>
      <c r="I366" s="40">
        <f t="shared" si="3"/>
        <v>21</v>
      </c>
    </row>
    <row r="367">
      <c r="A367" s="11">
        <v>366.0</v>
      </c>
      <c r="B367" s="12">
        <f t="shared" si="60"/>
        <v>39870</v>
      </c>
      <c r="C367" s="11" t="s">
        <v>288</v>
      </c>
      <c r="D367" s="11" t="s">
        <v>28</v>
      </c>
      <c r="F367" s="38">
        <f>IFERROR(__xludf.DUMMYFUNCTION("""COMPUTED_VALUE"""),40187.0)</f>
        <v>40187</v>
      </c>
      <c r="G367" s="39">
        <f t="shared" si="2"/>
        <v>2</v>
      </c>
      <c r="H367" s="39" t="str">
        <f>IFERROR(__xludf.DUMMYFUNCTION("""COMPUTED_VALUE"""),"Claire Good")</f>
        <v>Claire Good</v>
      </c>
      <c r="I367" s="40">
        <f t="shared" si="3"/>
        <v>8</v>
      </c>
    </row>
    <row r="368">
      <c r="A368" s="11">
        <v>367.0</v>
      </c>
      <c r="B368" s="12">
        <f t="shared" ref="B368:B372" si="61">DATE(2012,12,31)-1403</f>
        <v>39871</v>
      </c>
      <c r="C368" s="11" t="s">
        <v>763</v>
      </c>
      <c r="D368" s="11" t="s">
        <v>66</v>
      </c>
      <c r="F368" s="38">
        <f>IFERROR(__xludf.DUMMYFUNCTION("""COMPUTED_VALUE"""),40188.0)</f>
        <v>40188</v>
      </c>
      <c r="G368" s="39">
        <f t="shared" si="2"/>
        <v>10</v>
      </c>
      <c r="H368" s="39" t="str">
        <f>IFERROR(__xludf.DUMMYFUNCTION("""COMPUTED_VALUE"""),"Benjamin Farhat")</f>
        <v>Benjamin Farhat</v>
      </c>
      <c r="I368" s="40">
        <f t="shared" si="3"/>
        <v>9</v>
      </c>
    </row>
    <row r="369">
      <c r="A369" s="11">
        <v>368.0</v>
      </c>
      <c r="B369" s="12">
        <f t="shared" si="61"/>
        <v>39871</v>
      </c>
      <c r="C369" s="11" t="s">
        <v>488</v>
      </c>
      <c r="D369" s="11" t="s">
        <v>66</v>
      </c>
      <c r="F369" s="38">
        <f>IFERROR(__xludf.DUMMYFUNCTION("""COMPUTED_VALUE"""),40189.0)</f>
        <v>40189</v>
      </c>
      <c r="G369" s="39">
        <f t="shared" si="2"/>
        <v>9</v>
      </c>
      <c r="H369" s="39" t="str">
        <f>IFERROR(__xludf.DUMMYFUNCTION("""COMPUTED_VALUE"""),"Bart Folk")</f>
        <v>Bart Folk</v>
      </c>
      <c r="I369" s="40">
        <f t="shared" si="3"/>
        <v>7</v>
      </c>
    </row>
    <row r="370">
      <c r="A370" s="11">
        <v>369.0</v>
      </c>
      <c r="B370" s="12">
        <f t="shared" si="61"/>
        <v>39871</v>
      </c>
      <c r="C370" s="11" t="s">
        <v>268</v>
      </c>
      <c r="D370" s="11" t="s">
        <v>66</v>
      </c>
      <c r="F370" s="38">
        <f>IFERROR(__xludf.DUMMYFUNCTION("""COMPUTED_VALUE"""),40190.0)</f>
        <v>40190</v>
      </c>
      <c r="G370" s="39">
        <f t="shared" si="2"/>
        <v>5</v>
      </c>
      <c r="H370" s="39" t="str">
        <f>IFERROR(__xludf.DUMMYFUNCTION("""COMPUTED_VALUE"""),"Brendan Sweed")</f>
        <v>Brendan Sweed</v>
      </c>
      <c r="I370" s="40">
        <f t="shared" si="3"/>
        <v>11</v>
      </c>
    </row>
    <row r="371">
      <c r="A371" s="11">
        <v>370.0</v>
      </c>
      <c r="B371" s="12">
        <f t="shared" si="61"/>
        <v>39871</v>
      </c>
      <c r="C371" s="11" t="s">
        <v>268</v>
      </c>
      <c r="D371" s="11" t="s">
        <v>49</v>
      </c>
      <c r="F371" s="38">
        <f>IFERROR(__xludf.DUMMYFUNCTION("""COMPUTED_VALUE"""),40191.0)</f>
        <v>40191</v>
      </c>
      <c r="G371" s="39">
        <f t="shared" si="2"/>
        <v>4</v>
      </c>
      <c r="H371" s="39" t="str">
        <f>IFERROR(__xludf.DUMMYFUNCTION("""COMPUTED_VALUE"""),"Adam Bellavance")</f>
        <v>Adam Bellavance</v>
      </c>
      <c r="I371" s="40">
        <f t="shared" si="3"/>
        <v>12</v>
      </c>
    </row>
    <row r="372">
      <c r="A372" s="11">
        <v>371.0</v>
      </c>
      <c r="B372" s="12">
        <f t="shared" si="61"/>
        <v>39871</v>
      </c>
      <c r="C372" s="11" t="s">
        <v>769</v>
      </c>
      <c r="D372" s="11" t="s">
        <v>28</v>
      </c>
      <c r="F372" s="38">
        <f>IFERROR(__xludf.DUMMYFUNCTION("""COMPUTED_VALUE"""),40192.0)</f>
        <v>40192</v>
      </c>
      <c r="G372" s="39">
        <f t="shared" si="2"/>
        <v>9</v>
      </c>
      <c r="H372" s="39" t="str">
        <f>IFERROR(__xludf.DUMMYFUNCTION("""COMPUTED_VALUE"""),"Paul Lucas")</f>
        <v>Paul Lucas</v>
      </c>
      <c r="I372" s="40">
        <f t="shared" si="3"/>
        <v>6</v>
      </c>
    </row>
    <row r="373">
      <c r="A373" s="11">
        <v>372.0</v>
      </c>
      <c r="B373" s="12">
        <f t="shared" ref="B373:B376" si="62">DATE(2012,12,31)-1402</f>
        <v>39872</v>
      </c>
      <c r="C373" s="11" t="s">
        <v>771</v>
      </c>
      <c r="D373" s="11" t="s">
        <v>28</v>
      </c>
      <c r="F373" s="38">
        <f>IFERROR(__xludf.DUMMYFUNCTION("""COMPUTED_VALUE"""),40193.0)</f>
        <v>40193</v>
      </c>
      <c r="G373" s="39">
        <f t="shared" si="2"/>
        <v>5</v>
      </c>
      <c r="H373" s="39" t="str">
        <f>IFERROR(__xludf.DUMMYFUNCTION("""COMPUTED_VALUE"""),"Aleksandra Gannaway")</f>
        <v>Aleksandra Gannaway</v>
      </c>
      <c r="I373" s="40">
        <f t="shared" si="3"/>
        <v>18</v>
      </c>
    </row>
    <row r="374">
      <c r="A374" s="11">
        <v>373.0</v>
      </c>
      <c r="B374" s="12">
        <f t="shared" si="62"/>
        <v>39872</v>
      </c>
      <c r="C374" s="11" t="s">
        <v>771</v>
      </c>
      <c r="D374" s="11" t="s">
        <v>66</v>
      </c>
      <c r="F374" s="38">
        <f>IFERROR(__xludf.DUMMYFUNCTION("""COMPUTED_VALUE"""),40194.0)</f>
        <v>40194</v>
      </c>
      <c r="G374" s="39">
        <f t="shared" si="2"/>
        <v>7</v>
      </c>
      <c r="H374" s="39" t="str">
        <f>IFERROR(__xludf.DUMMYFUNCTION("""COMPUTED_VALUE"""),"Stefania Perrino")</f>
        <v>Stefania Perrino</v>
      </c>
      <c r="I374" s="40">
        <f t="shared" si="3"/>
        <v>9</v>
      </c>
    </row>
    <row r="375">
      <c r="A375" s="11">
        <v>374.0</v>
      </c>
      <c r="B375" s="12">
        <f t="shared" si="62"/>
        <v>39872</v>
      </c>
      <c r="C375" s="11" t="s">
        <v>771</v>
      </c>
      <c r="D375" s="11" t="s">
        <v>66</v>
      </c>
      <c r="F375" s="38">
        <f>IFERROR(__xludf.DUMMYFUNCTION("""COMPUTED_VALUE"""),40195.0)</f>
        <v>40195</v>
      </c>
      <c r="G375" s="39">
        <f t="shared" si="2"/>
        <v>3</v>
      </c>
      <c r="H375" s="39" t="str">
        <f>IFERROR(__xludf.DUMMYFUNCTION("""COMPUTED_VALUE"""),"Arthur Wiediger")</f>
        <v>Arthur Wiediger</v>
      </c>
      <c r="I375" s="40">
        <f t="shared" si="3"/>
        <v>5</v>
      </c>
    </row>
    <row r="376">
      <c r="A376" s="11">
        <v>375.0</v>
      </c>
      <c r="B376" s="12">
        <f t="shared" si="62"/>
        <v>39872</v>
      </c>
      <c r="C376" s="11" t="s">
        <v>775</v>
      </c>
      <c r="D376" s="11" t="s">
        <v>28</v>
      </c>
      <c r="F376" s="38">
        <f>IFERROR(__xludf.DUMMYFUNCTION("""COMPUTED_VALUE"""),40196.0)</f>
        <v>40196</v>
      </c>
      <c r="G376" s="39">
        <f t="shared" si="2"/>
        <v>10</v>
      </c>
      <c r="H376" s="39" t="str">
        <f>IFERROR(__xludf.DUMMYFUNCTION("""COMPUTED_VALUE"""),"Tony Molinari")</f>
        <v>Tony Molinari</v>
      </c>
      <c r="I376" s="40">
        <f t="shared" si="3"/>
        <v>10</v>
      </c>
    </row>
    <row r="377">
      <c r="A377" s="11">
        <v>376.0</v>
      </c>
      <c r="B377" s="12">
        <f t="shared" ref="B377:B383" si="63">DATE(2012,12,31)-1401</f>
        <v>39873</v>
      </c>
      <c r="C377" s="11" t="s">
        <v>769</v>
      </c>
      <c r="D377" s="11" t="s">
        <v>28</v>
      </c>
      <c r="F377" s="38">
        <f>IFERROR(__xludf.DUMMYFUNCTION("""COMPUTED_VALUE"""),40197.0)</f>
        <v>40197</v>
      </c>
      <c r="G377" s="39">
        <f t="shared" si="2"/>
        <v>1</v>
      </c>
      <c r="H377" s="39" t="str">
        <f>IFERROR(__xludf.DUMMYFUNCTION("""COMPUTED_VALUE"""),"Karen Ferguson")</f>
        <v>Karen Ferguson</v>
      </c>
      <c r="I377" s="40">
        <f t="shared" si="3"/>
        <v>8</v>
      </c>
    </row>
    <row r="378">
      <c r="A378" s="11">
        <v>377.0</v>
      </c>
      <c r="B378" s="12">
        <f t="shared" si="63"/>
        <v>39873</v>
      </c>
      <c r="C378" s="11" t="s">
        <v>778</v>
      </c>
      <c r="D378" s="11" t="s">
        <v>66</v>
      </c>
      <c r="F378" s="38">
        <f>IFERROR(__xludf.DUMMYFUNCTION("""COMPUTED_VALUE"""),40198.0)</f>
        <v>40198</v>
      </c>
      <c r="G378" s="39">
        <f t="shared" si="2"/>
        <v>10</v>
      </c>
      <c r="H378" s="39" t="str">
        <f>IFERROR(__xludf.DUMMYFUNCTION("""COMPUTED_VALUE"""),"Duane Huffman")</f>
        <v>Duane Huffman</v>
      </c>
      <c r="I378" s="40">
        <f t="shared" si="3"/>
        <v>17</v>
      </c>
    </row>
    <row r="379">
      <c r="A379" s="11">
        <v>378.0</v>
      </c>
      <c r="B379" s="12">
        <f t="shared" si="63"/>
        <v>39873</v>
      </c>
      <c r="C379" s="11" t="s">
        <v>780</v>
      </c>
      <c r="D379" s="11" t="s">
        <v>28</v>
      </c>
      <c r="F379" s="38">
        <f>IFERROR(__xludf.DUMMYFUNCTION("""COMPUTED_VALUE"""),40199.0)</f>
        <v>40199</v>
      </c>
      <c r="G379" s="39">
        <f t="shared" si="2"/>
        <v>1</v>
      </c>
      <c r="H379" s="39" t="str">
        <f>IFERROR(__xludf.DUMMYFUNCTION("""COMPUTED_VALUE"""),"Bill Shonely")</f>
        <v>Bill Shonely</v>
      </c>
      <c r="I379" s="40">
        <f t="shared" si="3"/>
        <v>13</v>
      </c>
    </row>
    <row r="380">
      <c r="A380" s="11">
        <v>379.0</v>
      </c>
      <c r="B380" s="12">
        <f t="shared" si="63"/>
        <v>39873</v>
      </c>
      <c r="C380" s="11" t="s">
        <v>781</v>
      </c>
      <c r="D380" s="11" t="s">
        <v>66</v>
      </c>
      <c r="F380" s="38">
        <f>IFERROR(__xludf.DUMMYFUNCTION("""COMPUTED_VALUE"""),40200.0)</f>
        <v>40200</v>
      </c>
      <c r="G380" s="39">
        <f t="shared" si="2"/>
        <v>9</v>
      </c>
      <c r="H380" s="39" t="str">
        <f>IFERROR(__xludf.DUMMYFUNCTION("""COMPUTED_VALUE"""),"Cyma Kinney")</f>
        <v>Cyma Kinney</v>
      </c>
      <c r="I380" s="40">
        <f t="shared" si="3"/>
        <v>6</v>
      </c>
    </row>
    <row r="381">
      <c r="A381" s="11">
        <v>380.0</v>
      </c>
      <c r="B381" s="12">
        <f t="shared" si="63"/>
        <v>39873</v>
      </c>
      <c r="C381" s="11" t="s">
        <v>781</v>
      </c>
      <c r="D381" s="11" t="s">
        <v>49</v>
      </c>
      <c r="F381" s="38">
        <f>IFERROR(__xludf.DUMMYFUNCTION("""COMPUTED_VALUE"""),40201.0)</f>
        <v>40201</v>
      </c>
      <c r="G381" s="39">
        <f t="shared" si="2"/>
        <v>3</v>
      </c>
      <c r="H381" s="39" t="str">
        <f>IFERROR(__xludf.DUMMYFUNCTION("""COMPUTED_VALUE"""),"Lisa Ryan")</f>
        <v>Lisa Ryan</v>
      </c>
      <c r="I381" s="40">
        <f t="shared" si="3"/>
        <v>4</v>
      </c>
    </row>
    <row r="382">
      <c r="A382" s="11">
        <v>381.0</v>
      </c>
      <c r="B382" s="12">
        <f t="shared" si="63"/>
        <v>39873</v>
      </c>
      <c r="C382" s="11" t="s">
        <v>781</v>
      </c>
      <c r="D382" s="11" t="s">
        <v>66</v>
      </c>
      <c r="F382" s="38">
        <f>IFERROR(__xludf.DUMMYFUNCTION("""COMPUTED_VALUE"""),40202.0)</f>
        <v>40202</v>
      </c>
      <c r="G382" s="39">
        <f t="shared" si="2"/>
        <v>4</v>
      </c>
      <c r="H382" s="39" t="str">
        <f>IFERROR(__xludf.DUMMYFUNCTION("""COMPUTED_VALUE"""),"Astrea Jones")</f>
        <v>Astrea Jones</v>
      </c>
      <c r="I382" s="40">
        <f t="shared" si="3"/>
        <v>12</v>
      </c>
    </row>
    <row r="383">
      <c r="A383" s="11">
        <v>382.0</v>
      </c>
      <c r="B383" s="12">
        <f t="shared" si="63"/>
        <v>39873</v>
      </c>
      <c r="C383" s="11" t="s">
        <v>429</v>
      </c>
      <c r="D383" s="11" t="s">
        <v>66</v>
      </c>
      <c r="F383" s="38">
        <f>IFERROR(__xludf.DUMMYFUNCTION("""COMPUTED_VALUE"""),40203.0)</f>
        <v>40203</v>
      </c>
      <c r="G383" s="39">
        <f t="shared" si="2"/>
        <v>7</v>
      </c>
      <c r="H383" s="39" t="str">
        <f>IFERROR(__xludf.DUMMYFUNCTION("""COMPUTED_VALUE"""),"Mitch Gastineau")</f>
        <v>Mitch Gastineau</v>
      </c>
      <c r="I383" s="40">
        <f t="shared" si="3"/>
        <v>13</v>
      </c>
    </row>
    <row r="384">
      <c r="A384" s="11">
        <v>383.0</v>
      </c>
      <c r="B384" s="12">
        <f t="shared" ref="B384:B389" si="64">DATE(2012,12,31)-1400</f>
        <v>39874</v>
      </c>
      <c r="C384" s="11" t="s">
        <v>786</v>
      </c>
      <c r="D384" s="11" t="s">
        <v>28</v>
      </c>
      <c r="F384" s="38">
        <f>IFERROR(__xludf.DUMMYFUNCTION("""COMPUTED_VALUE"""),40204.0)</f>
        <v>40204</v>
      </c>
      <c r="G384" s="39">
        <f t="shared" si="2"/>
        <v>5</v>
      </c>
      <c r="H384" s="39" t="str">
        <f>IFERROR(__xludf.DUMMYFUNCTION("""COMPUTED_VALUE"""),"Mathew Reese")</f>
        <v>Mathew Reese</v>
      </c>
      <c r="I384" s="40">
        <f t="shared" si="3"/>
        <v>17</v>
      </c>
    </row>
    <row r="385">
      <c r="A385" s="11">
        <v>384.0</v>
      </c>
      <c r="B385" s="12">
        <f t="shared" si="64"/>
        <v>39874</v>
      </c>
      <c r="C385" s="11" t="s">
        <v>786</v>
      </c>
      <c r="D385" s="11" t="s">
        <v>49</v>
      </c>
      <c r="F385" s="38">
        <f>IFERROR(__xludf.DUMMYFUNCTION("""COMPUTED_VALUE"""),40205.0)</f>
        <v>40205</v>
      </c>
      <c r="G385" s="39">
        <f t="shared" si="2"/>
        <v>1</v>
      </c>
      <c r="H385" s="39" t="str">
        <f>IFERROR(__xludf.DUMMYFUNCTION("""COMPUTED_VALUE"""),"Emily Grady")</f>
        <v>Emily Grady</v>
      </c>
      <c r="I385" s="40">
        <f t="shared" si="3"/>
        <v>19</v>
      </c>
    </row>
    <row r="386">
      <c r="A386" s="11">
        <v>385.0</v>
      </c>
      <c r="B386" s="12">
        <f t="shared" si="64"/>
        <v>39874</v>
      </c>
      <c r="C386" s="11" t="s">
        <v>786</v>
      </c>
      <c r="D386" s="11" t="s">
        <v>66</v>
      </c>
      <c r="F386" s="38">
        <f>IFERROR(__xludf.DUMMYFUNCTION("""COMPUTED_VALUE"""),40206.0)</f>
        <v>40206</v>
      </c>
      <c r="G386" s="39">
        <f t="shared" si="2"/>
        <v>4</v>
      </c>
      <c r="H386" s="39" t="str">
        <f>IFERROR(__xludf.DUMMYFUNCTION("""COMPUTED_VALUE"""),"Nathan Gelder")</f>
        <v>Nathan Gelder</v>
      </c>
      <c r="I386" s="40">
        <f t="shared" si="3"/>
        <v>8</v>
      </c>
    </row>
    <row r="387">
      <c r="A387" s="11">
        <v>386.0</v>
      </c>
      <c r="B387" s="12">
        <f t="shared" si="64"/>
        <v>39874</v>
      </c>
      <c r="C387" s="11" t="s">
        <v>248</v>
      </c>
      <c r="D387" s="11" t="s">
        <v>66</v>
      </c>
      <c r="F387" s="38">
        <f>IFERROR(__xludf.DUMMYFUNCTION("""COMPUTED_VALUE"""),40207.0)</f>
        <v>40207</v>
      </c>
      <c r="G387" s="39">
        <f t="shared" si="2"/>
        <v>4</v>
      </c>
      <c r="H387" s="39" t="str">
        <f>IFERROR(__xludf.DUMMYFUNCTION("""COMPUTED_VALUE"""),"Justin Ellison")</f>
        <v>Justin Ellison</v>
      </c>
      <c r="I387" s="40">
        <f t="shared" si="3"/>
        <v>9</v>
      </c>
    </row>
    <row r="388">
      <c r="A388" s="11">
        <v>387.0</v>
      </c>
      <c r="B388" s="12">
        <f t="shared" si="64"/>
        <v>39874</v>
      </c>
      <c r="C388" s="11" t="s">
        <v>793</v>
      </c>
      <c r="D388" s="11" t="s">
        <v>49</v>
      </c>
      <c r="F388" s="38">
        <f>IFERROR(__xludf.DUMMYFUNCTION("""COMPUTED_VALUE"""),40208.0)</f>
        <v>40208</v>
      </c>
      <c r="G388" s="39">
        <f t="shared" si="2"/>
        <v>4</v>
      </c>
      <c r="H388" s="39" t="str">
        <f>IFERROR(__xludf.DUMMYFUNCTION("""COMPUTED_VALUE"""),"Nancy Lomonaco")</f>
        <v>Nancy Lomonaco</v>
      </c>
      <c r="I388" s="40">
        <f t="shared" si="3"/>
        <v>8</v>
      </c>
    </row>
    <row r="389">
      <c r="A389" s="11">
        <v>388.0</v>
      </c>
      <c r="B389" s="12">
        <f t="shared" si="64"/>
        <v>39874</v>
      </c>
      <c r="C389" s="11" t="s">
        <v>795</v>
      </c>
      <c r="D389" s="11" t="s">
        <v>66</v>
      </c>
      <c r="F389" s="38">
        <f>IFERROR(__xludf.DUMMYFUNCTION("""COMPUTED_VALUE"""),40209.0)</f>
        <v>40209</v>
      </c>
      <c r="G389" s="39">
        <f t="shared" si="2"/>
        <v>7</v>
      </c>
      <c r="H389" s="39" t="str">
        <f>IFERROR(__xludf.DUMMYFUNCTION("""COMPUTED_VALUE"""),"Denise Leinenbach")</f>
        <v>Denise Leinenbach</v>
      </c>
      <c r="I389" s="40">
        <f t="shared" si="3"/>
        <v>6</v>
      </c>
    </row>
    <row r="390">
      <c r="A390" s="11">
        <v>389.0</v>
      </c>
      <c r="B390" s="12">
        <f>DATE(2012,12,31)-1399</f>
        <v>39875</v>
      </c>
      <c r="C390" s="11" t="s">
        <v>796</v>
      </c>
      <c r="D390" s="11" t="s">
        <v>49</v>
      </c>
      <c r="F390" s="38">
        <f>IFERROR(__xludf.DUMMYFUNCTION("""COMPUTED_VALUE"""),40210.0)</f>
        <v>40210</v>
      </c>
      <c r="G390" s="39">
        <f t="shared" si="2"/>
        <v>7</v>
      </c>
      <c r="H390" s="39" t="str">
        <f>IFERROR(__xludf.DUMMYFUNCTION("""COMPUTED_VALUE"""),"Tracy Hopkins")</f>
        <v>Tracy Hopkins</v>
      </c>
      <c r="I390" s="40">
        <f t="shared" si="3"/>
        <v>6</v>
      </c>
    </row>
    <row r="391">
      <c r="A391" s="11">
        <v>390.0</v>
      </c>
      <c r="B391" s="12">
        <f t="shared" ref="B391:B393" si="65">DATE(2012,12,31)-1398</f>
        <v>39876</v>
      </c>
      <c r="C391" s="11" t="s">
        <v>798</v>
      </c>
      <c r="D391" s="11" t="s">
        <v>28</v>
      </c>
      <c r="F391" s="38">
        <f>IFERROR(__xludf.DUMMYFUNCTION("""COMPUTED_VALUE"""),40211.0)</f>
        <v>40211</v>
      </c>
      <c r="G391" s="39">
        <f t="shared" si="2"/>
        <v>11</v>
      </c>
      <c r="H391" s="39" t="str">
        <f>IFERROR(__xludf.DUMMYFUNCTION("""COMPUTED_VALUE"""),"Bruce Degenhardt")</f>
        <v>Bruce Degenhardt</v>
      </c>
      <c r="I391" s="40">
        <f t="shared" si="3"/>
        <v>10</v>
      </c>
    </row>
    <row r="392">
      <c r="A392" s="11">
        <v>391.0</v>
      </c>
      <c r="B392" s="12">
        <f t="shared" si="65"/>
        <v>39876</v>
      </c>
      <c r="C392" s="11" t="s">
        <v>571</v>
      </c>
      <c r="D392" s="11" t="s">
        <v>66</v>
      </c>
      <c r="F392" s="38">
        <f>IFERROR(__xludf.DUMMYFUNCTION("""COMPUTED_VALUE"""),40212.0)</f>
        <v>40212</v>
      </c>
      <c r="G392" s="39">
        <f t="shared" si="2"/>
        <v>3</v>
      </c>
      <c r="H392" s="39" t="str">
        <f>IFERROR(__xludf.DUMMYFUNCTION("""COMPUTED_VALUE"""),"Mitch Webber")</f>
        <v>Mitch Webber</v>
      </c>
      <c r="I392" s="40">
        <f t="shared" si="3"/>
        <v>8</v>
      </c>
    </row>
    <row r="393">
      <c r="A393" s="11">
        <v>392.0</v>
      </c>
      <c r="B393" s="12">
        <f t="shared" si="65"/>
        <v>39876</v>
      </c>
      <c r="C393" s="11" t="s">
        <v>800</v>
      </c>
      <c r="D393" s="11" t="s">
        <v>49</v>
      </c>
      <c r="F393" s="38">
        <f>IFERROR(__xludf.DUMMYFUNCTION("""COMPUTED_VALUE"""),40213.0)</f>
        <v>40213</v>
      </c>
      <c r="G393" s="39">
        <f t="shared" si="2"/>
        <v>10</v>
      </c>
      <c r="H393" s="39" t="str">
        <f>IFERROR(__xludf.DUMMYFUNCTION("""COMPUTED_VALUE"""),"Dianna Vittorini")</f>
        <v>Dianna Vittorini</v>
      </c>
      <c r="I393" s="40">
        <f t="shared" si="3"/>
        <v>12</v>
      </c>
    </row>
    <row r="394">
      <c r="A394" s="11">
        <v>393.0</v>
      </c>
      <c r="B394" s="12">
        <f t="shared" ref="B394:B402" si="66">DATE(2012,12,31)-1397</f>
        <v>39877</v>
      </c>
      <c r="C394" s="11" t="s">
        <v>803</v>
      </c>
      <c r="D394" s="11" t="s">
        <v>49</v>
      </c>
      <c r="F394" s="38">
        <f>IFERROR(__xludf.DUMMYFUNCTION("""COMPUTED_VALUE"""),40214.0)</f>
        <v>40214</v>
      </c>
      <c r="G394" s="39">
        <f t="shared" si="2"/>
        <v>3</v>
      </c>
      <c r="H394" s="39" t="str">
        <f>IFERROR(__xludf.DUMMYFUNCTION("""COMPUTED_VALUE"""),"Meg O'Connel")</f>
        <v>Meg O'Connel</v>
      </c>
      <c r="I394" s="40">
        <f t="shared" si="3"/>
        <v>17</v>
      </c>
    </row>
    <row r="395">
      <c r="A395" s="11">
        <v>394.0</v>
      </c>
      <c r="B395" s="12">
        <f t="shared" si="66"/>
        <v>39877</v>
      </c>
      <c r="C395" s="11" t="s">
        <v>806</v>
      </c>
      <c r="D395" s="11" t="s">
        <v>49</v>
      </c>
      <c r="F395" s="38">
        <f>IFERROR(__xludf.DUMMYFUNCTION("""COMPUTED_VALUE"""),40215.0)</f>
        <v>40215</v>
      </c>
      <c r="G395" s="39">
        <f t="shared" si="2"/>
        <v>9</v>
      </c>
      <c r="H395" s="39" t="str">
        <f>IFERROR(__xludf.DUMMYFUNCTION("""COMPUTED_VALUE"""),"Berenike Kampe")</f>
        <v>Berenike Kampe</v>
      </c>
      <c r="I395" s="40">
        <f t="shared" si="3"/>
        <v>9</v>
      </c>
    </row>
    <row r="396">
      <c r="A396" s="11">
        <v>395.0</v>
      </c>
      <c r="B396" s="12">
        <f t="shared" si="66"/>
        <v>39877</v>
      </c>
      <c r="C396" s="11" t="s">
        <v>808</v>
      </c>
      <c r="D396" s="11" t="s">
        <v>28</v>
      </c>
      <c r="F396" s="38">
        <f>IFERROR(__xludf.DUMMYFUNCTION("""COMPUTED_VALUE"""),40216.0)</f>
        <v>40216</v>
      </c>
      <c r="G396" s="39">
        <f t="shared" si="2"/>
        <v>6</v>
      </c>
      <c r="H396" s="39" t="str">
        <f>IFERROR(__xludf.DUMMYFUNCTION("""COMPUTED_VALUE"""),"Dan Reichenbach")</f>
        <v>Dan Reichenbach</v>
      </c>
      <c r="I396" s="40">
        <f t="shared" si="3"/>
        <v>6</v>
      </c>
    </row>
    <row r="397">
      <c r="A397" s="11">
        <v>396.0</v>
      </c>
      <c r="B397" s="12">
        <f t="shared" si="66"/>
        <v>39877</v>
      </c>
      <c r="C397" s="11" t="s">
        <v>808</v>
      </c>
      <c r="D397" s="11" t="s">
        <v>28</v>
      </c>
      <c r="F397" s="38">
        <f>IFERROR(__xludf.DUMMYFUNCTION("""COMPUTED_VALUE"""),40217.0)</f>
        <v>40217</v>
      </c>
      <c r="G397" s="39">
        <f t="shared" si="2"/>
        <v>5</v>
      </c>
      <c r="H397" s="39" t="str">
        <f>IFERROR(__xludf.DUMMYFUNCTION("""COMPUTED_VALUE"""),"Ralph Arnett")</f>
        <v>Ralph Arnett</v>
      </c>
      <c r="I397" s="40">
        <f t="shared" si="3"/>
        <v>12</v>
      </c>
    </row>
    <row r="398">
      <c r="A398" s="11">
        <v>397.0</v>
      </c>
      <c r="B398" s="12">
        <f t="shared" si="66"/>
        <v>39877</v>
      </c>
      <c r="C398" s="11" t="s">
        <v>781</v>
      </c>
      <c r="D398" s="11" t="s">
        <v>28</v>
      </c>
      <c r="F398" s="38">
        <f>IFERROR(__xludf.DUMMYFUNCTION("""COMPUTED_VALUE"""),40218.0)</f>
        <v>40218</v>
      </c>
      <c r="G398" s="39">
        <f t="shared" si="2"/>
        <v>4</v>
      </c>
      <c r="H398" s="39" t="str">
        <f>IFERROR(__xludf.DUMMYFUNCTION("""COMPUTED_VALUE"""),"Sheri Gordon")</f>
        <v>Sheri Gordon</v>
      </c>
      <c r="I398" s="40">
        <f t="shared" si="3"/>
        <v>12</v>
      </c>
    </row>
    <row r="399">
      <c r="A399" s="11">
        <v>398.0</v>
      </c>
      <c r="B399" s="12">
        <f t="shared" si="66"/>
        <v>39877</v>
      </c>
      <c r="C399" s="11" t="s">
        <v>659</v>
      </c>
      <c r="D399" s="11" t="s">
        <v>66</v>
      </c>
      <c r="F399" s="38">
        <f>IFERROR(__xludf.DUMMYFUNCTION("""COMPUTED_VALUE"""),40219.0)</f>
        <v>40219</v>
      </c>
      <c r="G399" s="39">
        <f t="shared" si="2"/>
        <v>8</v>
      </c>
      <c r="H399" s="39" t="str">
        <f>IFERROR(__xludf.DUMMYFUNCTION("""COMPUTED_VALUE"""),"Claudia Miner")</f>
        <v>Claudia Miner</v>
      </c>
      <c r="I399" s="40">
        <f t="shared" si="3"/>
        <v>10</v>
      </c>
    </row>
    <row r="400">
      <c r="A400" s="11">
        <v>399.0</v>
      </c>
      <c r="B400" s="12">
        <f t="shared" si="66"/>
        <v>39877</v>
      </c>
      <c r="C400" s="11" t="s">
        <v>659</v>
      </c>
      <c r="D400" s="11" t="s">
        <v>66</v>
      </c>
      <c r="F400" s="38">
        <f>IFERROR(__xludf.DUMMYFUNCTION("""COMPUTED_VALUE"""),40220.0)</f>
        <v>40220</v>
      </c>
      <c r="G400" s="39">
        <f t="shared" si="2"/>
        <v>11</v>
      </c>
      <c r="H400" s="39" t="str">
        <f>IFERROR(__xludf.DUMMYFUNCTION("""COMPUTED_VALUE"""),"Steve Carroll")</f>
        <v>Steve Carroll</v>
      </c>
      <c r="I400" s="40">
        <f t="shared" si="3"/>
        <v>8</v>
      </c>
    </row>
    <row r="401">
      <c r="A401" s="11">
        <v>400.0</v>
      </c>
      <c r="B401" s="12">
        <f t="shared" si="66"/>
        <v>39877</v>
      </c>
      <c r="C401" s="11" t="s">
        <v>659</v>
      </c>
      <c r="D401" s="11" t="s">
        <v>49</v>
      </c>
      <c r="F401" s="38">
        <f>IFERROR(__xludf.DUMMYFUNCTION("""COMPUTED_VALUE"""),40221.0)</f>
        <v>40221</v>
      </c>
      <c r="G401" s="39">
        <f t="shared" si="2"/>
        <v>5</v>
      </c>
      <c r="H401" s="39" t="str">
        <f>IFERROR(__xludf.DUMMYFUNCTION("""COMPUTED_VALUE"""),"Robert Marley")</f>
        <v>Robert Marley</v>
      </c>
      <c r="I401" s="40">
        <f t="shared" si="3"/>
        <v>11</v>
      </c>
    </row>
    <row r="402">
      <c r="A402" s="11">
        <v>401.0</v>
      </c>
      <c r="B402" s="12">
        <f t="shared" si="66"/>
        <v>39877</v>
      </c>
      <c r="C402" s="11" t="s">
        <v>659</v>
      </c>
      <c r="D402" s="11" t="s">
        <v>28</v>
      </c>
      <c r="F402" s="38">
        <f>IFERROR(__xludf.DUMMYFUNCTION("""COMPUTED_VALUE"""),40222.0)</f>
        <v>40222</v>
      </c>
      <c r="G402" s="39">
        <f t="shared" si="2"/>
        <v>2</v>
      </c>
      <c r="H402" s="39" t="str">
        <f>IFERROR(__xludf.DUMMYFUNCTION("""COMPUTED_VALUE"""),"Vivian Mathis")</f>
        <v>Vivian Mathis</v>
      </c>
      <c r="I402" s="40">
        <f t="shared" si="3"/>
        <v>15</v>
      </c>
    </row>
    <row r="403">
      <c r="A403" s="11">
        <v>402.0</v>
      </c>
      <c r="B403" s="12">
        <f t="shared" ref="B403:B406" si="67">DATE(2012,12,31)-1396</f>
        <v>39878</v>
      </c>
      <c r="C403" s="11" t="s">
        <v>815</v>
      </c>
      <c r="D403" s="11" t="s">
        <v>49</v>
      </c>
      <c r="F403" s="38">
        <f>IFERROR(__xludf.DUMMYFUNCTION("""COMPUTED_VALUE"""),40223.0)</f>
        <v>40223</v>
      </c>
      <c r="G403" s="39">
        <f t="shared" si="2"/>
        <v>4</v>
      </c>
      <c r="H403" s="39" t="str">
        <f>IFERROR(__xludf.DUMMYFUNCTION("""COMPUTED_VALUE"""),"Elpida Rittenbach")</f>
        <v>Elpida Rittenbach</v>
      </c>
      <c r="I403" s="40">
        <f t="shared" si="3"/>
        <v>8</v>
      </c>
    </row>
    <row r="404">
      <c r="A404" s="11">
        <v>403.0</v>
      </c>
      <c r="B404" s="12">
        <f t="shared" si="67"/>
        <v>39878</v>
      </c>
      <c r="C404" s="11" t="s">
        <v>815</v>
      </c>
      <c r="D404" s="11" t="s">
        <v>28</v>
      </c>
      <c r="F404" s="38">
        <f>IFERROR(__xludf.DUMMYFUNCTION("""COMPUTED_VALUE"""),40224.0)</f>
        <v>40224</v>
      </c>
      <c r="G404" s="39">
        <f t="shared" si="2"/>
        <v>3</v>
      </c>
      <c r="H404" s="39" t="str">
        <f>IFERROR(__xludf.DUMMYFUNCTION("""COMPUTED_VALUE"""),"Gary Zandusky")</f>
        <v>Gary Zandusky</v>
      </c>
      <c r="I404" s="40">
        <f t="shared" si="3"/>
        <v>9</v>
      </c>
    </row>
    <row r="405">
      <c r="A405" s="11">
        <v>404.0</v>
      </c>
      <c r="B405" s="12">
        <f t="shared" si="67"/>
        <v>39878</v>
      </c>
      <c r="C405" s="11" t="s">
        <v>819</v>
      </c>
      <c r="D405" s="11" t="s">
        <v>49</v>
      </c>
      <c r="F405" s="38">
        <f>IFERROR(__xludf.DUMMYFUNCTION("""COMPUTED_VALUE"""),40225.0)</f>
        <v>40225</v>
      </c>
      <c r="G405" s="39">
        <f t="shared" si="2"/>
        <v>2</v>
      </c>
      <c r="H405" s="39" t="str">
        <f>IFERROR(__xludf.DUMMYFUNCTION("""COMPUTED_VALUE"""),"Meg Tillman")</f>
        <v>Meg Tillman</v>
      </c>
      <c r="I405" s="40">
        <f t="shared" si="3"/>
        <v>12</v>
      </c>
    </row>
    <row r="406">
      <c r="A406" s="11">
        <v>405.0</v>
      </c>
      <c r="B406" s="12">
        <f t="shared" si="67"/>
        <v>39878</v>
      </c>
      <c r="C406" s="11" t="s">
        <v>821</v>
      </c>
      <c r="D406" s="11" t="s">
        <v>28</v>
      </c>
      <c r="F406" s="38">
        <f>IFERROR(__xludf.DUMMYFUNCTION("""COMPUTED_VALUE"""),40226.0)</f>
        <v>40226</v>
      </c>
      <c r="G406" s="39">
        <f t="shared" si="2"/>
        <v>4</v>
      </c>
      <c r="H406" s="39" t="str">
        <f>IFERROR(__xludf.DUMMYFUNCTION("""COMPUTED_VALUE"""),"Tamara Willingham")</f>
        <v>Tamara Willingham</v>
      </c>
      <c r="I406" s="40">
        <f t="shared" si="3"/>
        <v>16</v>
      </c>
    </row>
    <row r="407">
      <c r="A407" s="11">
        <v>406.0</v>
      </c>
      <c r="B407" s="12">
        <f>DATE(2012,12,31)-1395</f>
        <v>39879</v>
      </c>
      <c r="C407" s="11" t="s">
        <v>823</v>
      </c>
      <c r="D407" s="11" t="s">
        <v>66</v>
      </c>
      <c r="F407" s="38">
        <f>IFERROR(__xludf.DUMMYFUNCTION("""COMPUTED_VALUE"""),40227.0)</f>
        <v>40227</v>
      </c>
      <c r="G407" s="39">
        <f t="shared" si="2"/>
        <v>1</v>
      </c>
      <c r="H407" s="39" t="str">
        <f>IFERROR(__xludf.DUMMYFUNCTION("""COMPUTED_VALUE"""),"Grace Kelly")</f>
        <v>Grace Kelly</v>
      </c>
      <c r="I407" s="40">
        <f t="shared" si="3"/>
        <v>8</v>
      </c>
    </row>
    <row r="408">
      <c r="A408" s="11">
        <v>407.0</v>
      </c>
      <c r="B408" s="12">
        <f t="shared" ref="B408:B412" si="68">DATE(2012,12,31)-1394</f>
        <v>39880</v>
      </c>
      <c r="C408" s="11" t="s">
        <v>826</v>
      </c>
      <c r="D408" s="11" t="s">
        <v>66</v>
      </c>
      <c r="F408" s="38">
        <f>IFERROR(__xludf.DUMMYFUNCTION("""COMPUTED_VALUE"""),40228.0)</f>
        <v>40228</v>
      </c>
      <c r="G408" s="39">
        <f t="shared" si="2"/>
        <v>5</v>
      </c>
      <c r="H408" s="39" t="str">
        <f>IFERROR(__xludf.DUMMYFUNCTION("""COMPUTED_VALUE"""),"Alejandro Savely")</f>
        <v>Alejandro Savely</v>
      </c>
      <c r="I408" s="40">
        <f t="shared" si="3"/>
        <v>5</v>
      </c>
    </row>
    <row r="409">
      <c r="A409" s="11">
        <v>408.0</v>
      </c>
      <c r="B409" s="12">
        <f t="shared" si="68"/>
        <v>39880</v>
      </c>
      <c r="C409" s="11" t="s">
        <v>826</v>
      </c>
      <c r="D409" s="11" t="s">
        <v>66</v>
      </c>
      <c r="F409" s="38">
        <f>IFERROR(__xludf.DUMMYFUNCTION("""COMPUTED_VALUE"""),40229.0)</f>
        <v>40229</v>
      </c>
      <c r="G409" s="39">
        <f t="shared" si="2"/>
        <v>9</v>
      </c>
      <c r="H409" s="39" t="str">
        <f>IFERROR(__xludf.DUMMYFUNCTION("""COMPUTED_VALUE"""),"Tom Boeckenhauer")</f>
        <v>Tom Boeckenhauer</v>
      </c>
      <c r="I409" s="40">
        <f t="shared" si="3"/>
        <v>8</v>
      </c>
    </row>
    <row r="410">
      <c r="A410" s="11">
        <v>409.0</v>
      </c>
      <c r="B410" s="12">
        <f t="shared" si="68"/>
        <v>39880</v>
      </c>
      <c r="C410" s="11" t="s">
        <v>828</v>
      </c>
      <c r="D410" s="11" t="s">
        <v>49</v>
      </c>
      <c r="F410" s="38">
        <f>IFERROR(__xludf.DUMMYFUNCTION("""COMPUTED_VALUE"""),40230.0)</f>
        <v>40230</v>
      </c>
      <c r="G410" s="39">
        <f t="shared" si="2"/>
        <v>5</v>
      </c>
      <c r="H410" s="39" t="str">
        <f>IFERROR(__xludf.DUMMYFUNCTION("""COMPUTED_VALUE"""),"Cindy Stewart")</f>
        <v>Cindy Stewart</v>
      </c>
      <c r="I410" s="40">
        <f t="shared" si="3"/>
        <v>10</v>
      </c>
    </row>
    <row r="411">
      <c r="A411" s="11">
        <v>410.0</v>
      </c>
      <c r="B411" s="12">
        <f t="shared" si="68"/>
        <v>39880</v>
      </c>
      <c r="C411" s="11" t="s">
        <v>828</v>
      </c>
      <c r="D411" s="11" t="s">
        <v>28</v>
      </c>
      <c r="F411" s="38">
        <f>IFERROR(__xludf.DUMMYFUNCTION("""COMPUTED_VALUE"""),40231.0)</f>
        <v>40231</v>
      </c>
      <c r="G411" s="39">
        <f t="shared" si="2"/>
        <v>10</v>
      </c>
      <c r="H411" s="39" t="str">
        <f>IFERROR(__xludf.DUMMYFUNCTION("""COMPUTED_VALUE"""),"George Zrebassa")</f>
        <v>George Zrebassa</v>
      </c>
      <c r="I411" s="40">
        <f t="shared" si="3"/>
        <v>11</v>
      </c>
    </row>
    <row r="412">
      <c r="A412" s="11">
        <v>411.0</v>
      </c>
      <c r="B412" s="12">
        <f t="shared" si="68"/>
        <v>39880</v>
      </c>
      <c r="C412" s="11" t="s">
        <v>829</v>
      </c>
      <c r="D412" s="11" t="s">
        <v>28</v>
      </c>
      <c r="F412" s="38">
        <f>IFERROR(__xludf.DUMMYFUNCTION("""COMPUTED_VALUE"""),40232.0)</f>
        <v>40232</v>
      </c>
      <c r="G412" s="39">
        <f t="shared" si="2"/>
        <v>7</v>
      </c>
      <c r="H412" s="39" t="str">
        <f>IFERROR(__xludf.DUMMYFUNCTION("""COMPUTED_VALUE"""),"Pauline Webber")</f>
        <v>Pauline Webber</v>
      </c>
      <c r="I412" s="40">
        <f t="shared" si="3"/>
        <v>13</v>
      </c>
    </row>
    <row r="413">
      <c r="A413" s="11">
        <v>412.0</v>
      </c>
      <c r="B413" s="12">
        <f t="shared" ref="B413:B417" si="69">DATE(2012,12,31)-1393</f>
        <v>39881</v>
      </c>
      <c r="C413" s="11" t="s">
        <v>76</v>
      </c>
      <c r="D413" s="11" t="s">
        <v>28</v>
      </c>
      <c r="F413" s="38">
        <f>IFERROR(__xludf.DUMMYFUNCTION("""COMPUTED_VALUE"""),40233.0)</f>
        <v>40233</v>
      </c>
      <c r="G413" s="39">
        <f t="shared" si="2"/>
        <v>7</v>
      </c>
      <c r="H413" s="39" t="str">
        <f>IFERROR(__xludf.DUMMYFUNCTION("""COMPUTED_VALUE"""),"Ben Wallace")</f>
        <v>Ben Wallace</v>
      </c>
      <c r="I413" s="40">
        <f t="shared" si="3"/>
        <v>8</v>
      </c>
    </row>
    <row r="414">
      <c r="A414" s="11">
        <v>413.0</v>
      </c>
      <c r="B414" s="12">
        <f t="shared" si="69"/>
        <v>39881</v>
      </c>
      <c r="C414" s="11" t="s">
        <v>831</v>
      </c>
      <c r="D414" s="11" t="s">
        <v>49</v>
      </c>
      <c r="F414" s="38">
        <f>IFERROR(__xludf.DUMMYFUNCTION("""COMPUTED_VALUE"""),40234.0)</f>
        <v>40234</v>
      </c>
      <c r="G414" s="39">
        <f t="shared" si="2"/>
        <v>4</v>
      </c>
      <c r="H414" s="39" t="str">
        <f>IFERROR(__xludf.DUMMYFUNCTION("""COMPUTED_VALUE"""),"Nat Gilpin")</f>
        <v>Nat Gilpin</v>
      </c>
      <c r="I414" s="40">
        <f t="shared" si="3"/>
        <v>7</v>
      </c>
    </row>
    <row r="415">
      <c r="A415" s="11">
        <v>414.0</v>
      </c>
      <c r="B415" s="12">
        <f t="shared" si="69"/>
        <v>39881</v>
      </c>
      <c r="C415" s="11" t="s">
        <v>832</v>
      </c>
      <c r="D415" s="11" t="s">
        <v>28</v>
      </c>
      <c r="F415" s="38">
        <f>IFERROR(__xludf.DUMMYFUNCTION("""COMPUTED_VALUE"""),40235.0)</f>
        <v>40235</v>
      </c>
      <c r="G415" s="39">
        <f t="shared" si="2"/>
        <v>14</v>
      </c>
      <c r="H415" s="39" t="str">
        <f>IFERROR(__xludf.DUMMYFUNCTION("""COMPUTED_VALUE"""),"Tom Prescott")</f>
        <v>Tom Prescott</v>
      </c>
      <c r="I415" s="40">
        <f t="shared" si="3"/>
        <v>12</v>
      </c>
    </row>
    <row r="416">
      <c r="A416" s="11">
        <v>415.0</v>
      </c>
      <c r="B416" s="12">
        <f t="shared" si="69"/>
        <v>39881</v>
      </c>
      <c r="C416" s="11" t="s">
        <v>832</v>
      </c>
      <c r="D416" s="11" t="s">
        <v>66</v>
      </c>
      <c r="F416" s="38">
        <f>IFERROR(__xludf.DUMMYFUNCTION("""COMPUTED_VALUE"""),40236.0)</f>
        <v>40236</v>
      </c>
      <c r="G416" s="39">
        <f t="shared" si="2"/>
        <v>17</v>
      </c>
      <c r="H416" s="39" t="str">
        <f>IFERROR(__xludf.DUMMYFUNCTION("""COMPUTED_VALUE"""),"Pete Takahito")</f>
        <v>Pete Takahito</v>
      </c>
      <c r="I416" s="40">
        <f t="shared" si="3"/>
        <v>8</v>
      </c>
    </row>
    <row r="417">
      <c r="A417" s="11">
        <v>416.0</v>
      </c>
      <c r="B417" s="12">
        <f t="shared" si="69"/>
        <v>39881</v>
      </c>
      <c r="C417" s="11" t="s">
        <v>836</v>
      </c>
      <c r="D417" s="11" t="s">
        <v>66</v>
      </c>
      <c r="F417" s="38">
        <f>IFERROR(__xludf.DUMMYFUNCTION("""COMPUTED_VALUE"""),40237.0)</f>
        <v>40237</v>
      </c>
      <c r="G417" s="39">
        <f t="shared" si="2"/>
        <v>2</v>
      </c>
      <c r="H417" s="39" t="str">
        <f>IFERROR(__xludf.DUMMYFUNCTION("""COMPUTED_VALUE"""),"Harold Pawlan")</f>
        <v>Harold Pawlan</v>
      </c>
      <c r="I417" s="40">
        <f t="shared" si="3"/>
        <v>13</v>
      </c>
    </row>
    <row r="418">
      <c r="A418" s="11">
        <v>417.0</v>
      </c>
      <c r="B418" s="12">
        <f t="shared" ref="B418:B421" si="70">DATE(2012,12,31)-1392</f>
        <v>39882</v>
      </c>
      <c r="C418" s="11" t="s">
        <v>839</v>
      </c>
      <c r="D418" s="11" t="s">
        <v>66</v>
      </c>
      <c r="F418" s="38">
        <f>IFERROR(__xludf.DUMMYFUNCTION("""COMPUTED_VALUE"""),40238.0)</f>
        <v>40238</v>
      </c>
      <c r="G418" s="39">
        <f t="shared" si="2"/>
        <v>5</v>
      </c>
      <c r="H418" s="39" t="str">
        <f>IFERROR(__xludf.DUMMYFUNCTION("""COMPUTED_VALUE"""),"Eva Jacobs")</f>
        <v>Eva Jacobs</v>
      </c>
      <c r="I418" s="40">
        <f t="shared" si="3"/>
        <v>16</v>
      </c>
    </row>
    <row r="419">
      <c r="A419" s="11">
        <v>418.0</v>
      </c>
      <c r="B419" s="12">
        <f t="shared" si="70"/>
        <v>39882</v>
      </c>
      <c r="C419" s="11" t="s">
        <v>841</v>
      </c>
      <c r="D419" s="11" t="s">
        <v>28</v>
      </c>
      <c r="F419" s="38">
        <f>IFERROR(__xludf.DUMMYFUNCTION("""COMPUTED_VALUE"""),40239.0)</f>
        <v>40239</v>
      </c>
      <c r="G419" s="39">
        <f t="shared" si="2"/>
        <v>10</v>
      </c>
      <c r="H419" s="39" t="str">
        <f>IFERROR(__xludf.DUMMYFUNCTION("""COMPUTED_VALUE"""),"Theone Pippenger")</f>
        <v>Theone Pippenger</v>
      </c>
      <c r="I419" s="40">
        <f t="shared" si="3"/>
        <v>11</v>
      </c>
    </row>
    <row r="420">
      <c r="A420" s="11">
        <v>419.0</v>
      </c>
      <c r="B420" s="12">
        <f t="shared" si="70"/>
        <v>39882</v>
      </c>
      <c r="C420" s="11" t="s">
        <v>841</v>
      </c>
      <c r="D420" s="11" t="s">
        <v>28</v>
      </c>
      <c r="F420" s="38">
        <f>IFERROR(__xludf.DUMMYFUNCTION("""COMPUTED_VALUE"""),40240.0)</f>
        <v>40240</v>
      </c>
      <c r="G420" s="39">
        <f t="shared" si="2"/>
        <v>8</v>
      </c>
      <c r="H420" s="39" t="str">
        <f>IFERROR(__xludf.DUMMYFUNCTION("""COMPUTED_VALUE"""),"Sam Zeldin")</f>
        <v>Sam Zeldin</v>
      </c>
      <c r="I420" s="40">
        <f t="shared" si="3"/>
        <v>4</v>
      </c>
    </row>
    <row r="421">
      <c r="A421" s="11">
        <v>420.0</v>
      </c>
      <c r="B421" s="12">
        <f t="shared" si="70"/>
        <v>39882</v>
      </c>
      <c r="C421" s="11" t="s">
        <v>403</v>
      </c>
      <c r="D421" s="11" t="s">
        <v>66</v>
      </c>
      <c r="F421" s="38">
        <f>IFERROR(__xludf.DUMMYFUNCTION("""COMPUTED_VALUE"""),40241.0)</f>
        <v>40241</v>
      </c>
      <c r="G421" s="39">
        <f t="shared" si="2"/>
        <v>3</v>
      </c>
      <c r="H421" s="39" t="str">
        <f>IFERROR(__xludf.DUMMYFUNCTION("""COMPUTED_VALUE"""),"Henry MacAllister")</f>
        <v>Henry MacAllister</v>
      </c>
      <c r="I421" s="40">
        <f t="shared" si="3"/>
        <v>3</v>
      </c>
    </row>
    <row r="422">
      <c r="A422" s="11">
        <v>421.0</v>
      </c>
      <c r="B422" s="12">
        <f t="shared" ref="B422:B425" si="71">DATE(2012,12,31)-1391</f>
        <v>39883</v>
      </c>
      <c r="C422" s="11" t="s">
        <v>843</v>
      </c>
      <c r="D422" s="11" t="s">
        <v>28</v>
      </c>
      <c r="F422" s="38">
        <f>IFERROR(__xludf.DUMMYFUNCTION("""COMPUTED_VALUE"""),40242.0)</f>
        <v>40242</v>
      </c>
      <c r="G422" s="39">
        <f t="shared" si="2"/>
        <v>6</v>
      </c>
      <c r="H422" s="39" t="str">
        <f>IFERROR(__xludf.DUMMYFUNCTION("""COMPUTED_VALUE"""),"Maribeth Dona")</f>
        <v>Maribeth Dona</v>
      </c>
      <c r="I422" s="40">
        <f t="shared" si="3"/>
        <v>12</v>
      </c>
    </row>
    <row r="423">
      <c r="A423" s="11">
        <v>422.0</v>
      </c>
      <c r="B423" s="12">
        <f t="shared" si="71"/>
        <v>39883</v>
      </c>
      <c r="C423" s="11" t="s">
        <v>844</v>
      </c>
      <c r="D423" s="11" t="s">
        <v>66</v>
      </c>
      <c r="F423" s="38">
        <f>IFERROR(__xludf.DUMMYFUNCTION("""COMPUTED_VALUE"""),40243.0)</f>
        <v>40243</v>
      </c>
      <c r="G423" s="39">
        <f t="shared" si="2"/>
        <v>1</v>
      </c>
      <c r="H423" s="39" t="str">
        <f>IFERROR(__xludf.DUMMYFUNCTION("""COMPUTED_VALUE"""),"Rick Hansen")</f>
        <v>Rick Hansen</v>
      </c>
      <c r="I423" s="40">
        <f t="shared" si="3"/>
        <v>15</v>
      </c>
    </row>
    <row r="424">
      <c r="A424" s="11">
        <v>423.0</v>
      </c>
      <c r="B424" s="12">
        <f t="shared" si="71"/>
        <v>39883</v>
      </c>
      <c r="C424" s="11" t="s">
        <v>844</v>
      </c>
      <c r="D424" s="11" t="s">
        <v>28</v>
      </c>
      <c r="F424" s="38">
        <f>IFERROR(__xludf.DUMMYFUNCTION("""COMPUTED_VALUE"""),40244.0)</f>
        <v>40244</v>
      </c>
      <c r="G424" s="39">
        <f t="shared" si="2"/>
        <v>14</v>
      </c>
      <c r="H424" s="39" t="str">
        <f>IFERROR(__xludf.DUMMYFUNCTION("""COMPUTED_VALUE"""),"Dianna Arnett")</f>
        <v>Dianna Arnett</v>
      </c>
      <c r="I424" s="40">
        <f t="shared" si="3"/>
        <v>6</v>
      </c>
    </row>
    <row r="425">
      <c r="A425" s="11">
        <v>424.0</v>
      </c>
      <c r="B425" s="12">
        <f t="shared" si="71"/>
        <v>39883</v>
      </c>
      <c r="C425" s="11" t="s">
        <v>844</v>
      </c>
      <c r="D425" s="11" t="s">
        <v>66</v>
      </c>
      <c r="F425" s="38">
        <f>IFERROR(__xludf.DUMMYFUNCTION("""COMPUTED_VALUE"""),40245.0)</f>
        <v>40245</v>
      </c>
      <c r="G425" s="39">
        <f t="shared" si="2"/>
        <v>8</v>
      </c>
      <c r="H425" s="39" t="str">
        <f>IFERROR(__xludf.DUMMYFUNCTION("""COMPUTED_VALUE"""),"Susan Pistek")</f>
        <v>Susan Pistek</v>
      </c>
      <c r="I425" s="40">
        <f t="shared" si="3"/>
        <v>6</v>
      </c>
    </row>
    <row r="426">
      <c r="A426" s="11">
        <v>425.0</v>
      </c>
      <c r="B426" s="12">
        <f t="shared" ref="B426:B432" si="72">DATE(2012,12,31)-1390</f>
        <v>39884</v>
      </c>
      <c r="C426" s="11" t="s">
        <v>849</v>
      </c>
      <c r="D426" s="11" t="s">
        <v>66</v>
      </c>
      <c r="F426" s="38">
        <f>IFERROR(__xludf.DUMMYFUNCTION("""COMPUTED_VALUE"""),40246.0)</f>
        <v>40246</v>
      </c>
      <c r="G426" s="39">
        <f t="shared" si="2"/>
        <v>12</v>
      </c>
      <c r="H426" s="39" t="str">
        <f>IFERROR(__xludf.DUMMYFUNCTION("""COMPUTED_VALUE"""),"Karl Brown")</f>
        <v>Karl Brown</v>
      </c>
      <c r="I426" s="40">
        <f t="shared" si="3"/>
        <v>23</v>
      </c>
    </row>
    <row r="427">
      <c r="A427" s="11">
        <v>426.0</v>
      </c>
      <c r="B427" s="12">
        <f t="shared" si="72"/>
        <v>39884</v>
      </c>
      <c r="C427" s="11" t="s">
        <v>850</v>
      </c>
      <c r="D427" s="11" t="s">
        <v>66</v>
      </c>
      <c r="F427" s="38">
        <f>IFERROR(__xludf.DUMMYFUNCTION("""COMPUTED_VALUE"""),40247.0)</f>
        <v>40247</v>
      </c>
      <c r="G427" s="39">
        <f t="shared" si="2"/>
        <v>2</v>
      </c>
      <c r="H427" s="39" t="str">
        <f>IFERROR(__xludf.DUMMYFUNCTION("""COMPUTED_VALUE"""),"Randy Bradley")</f>
        <v>Randy Bradley</v>
      </c>
      <c r="I427" s="40">
        <f t="shared" si="3"/>
        <v>7</v>
      </c>
    </row>
    <row r="428">
      <c r="A428" s="11">
        <v>427.0</v>
      </c>
      <c r="B428" s="12">
        <f t="shared" si="72"/>
        <v>39884</v>
      </c>
      <c r="C428" s="11" t="s">
        <v>851</v>
      </c>
      <c r="D428" s="11" t="s">
        <v>49</v>
      </c>
      <c r="F428" s="38">
        <f>IFERROR(__xludf.DUMMYFUNCTION("""COMPUTED_VALUE"""),40248.0)</f>
        <v>40248</v>
      </c>
      <c r="G428" s="39">
        <f t="shared" si="2"/>
        <v>1</v>
      </c>
      <c r="H428" s="39" t="str">
        <f>IFERROR(__xludf.DUMMYFUNCTION("""COMPUTED_VALUE"""),"Barbara Fisher")</f>
        <v>Barbara Fisher</v>
      </c>
      <c r="I428" s="40">
        <f t="shared" si="3"/>
        <v>16</v>
      </c>
    </row>
    <row r="429">
      <c r="A429" s="11">
        <v>428.0</v>
      </c>
      <c r="B429" s="12">
        <f t="shared" si="72"/>
        <v>39884</v>
      </c>
      <c r="C429" s="11" t="s">
        <v>851</v>
      </c>
      <c r="D429" s="11" t="s">
        <v>66</v>
      </c>
      <c r="F429" s="38">
        <f>IFERROR(__xludf.DUMMYFUNCTION("""COMPUTED_VALUE"""),40249.0)</f>
        <v>40249</v>
      </c>
      <c r="G429" s="39">
        <f t="shared" si="2"/>
        <v>7</v>
      </c>
      <c r="H429" s="39" t="str">
        <f>IFERROR(__xludf.DUMMYFUNCTION("""COMPUTED_VALUE"""),"Charles Sheldon")</f>
        <v>Charles Sheldon</v>
      </c>
      <c r="I429" s="40">
        <f t="shared" si="3"/>
        <v>7</v>
      </c>
    </row>
    <row r="430">
      <c r="A430" s="11">
        <v>429.0</v>
      </c>
      <c r="B430" s="12">
        <f t="shared" si="72"/>
        <v>39884</v>
      </c>
      <c r="C430" s="11" t="s">
        <v>855</v>
      </c>
      <c r="D430" s="11" t="s">
        <v>66</v>
      </c>
      <c r="F430" s="38">
        <f>IFERROR(__xludf.DUMMYFUNCTION("""COMPUTED_VALUE"""),40250.0)</f>
        <v>40250</v>
      </c>
      <c r="G430" s="39">
        <f t="shared" si="2"/>
        <v>9</v>
      </c>
      <c r="H430" s="39" t="str">
        <f>IFERROR(__xludf.DUMMYFUNCTION("""COMPUTED_VALUE"""),"Lela Donovan")</f>
        <v>Lela Donovan</v>
      </c>
      <c r="I430" s="40">
        <f t="shared" si="3"/>
        <v>16</v>
      </c>
    </row>
    <row r="431">
      <c r="A431" s="11">
        <v>430.0</v>
      </c>
      <c r="B431" s="12">
        <f t="shared" si="72"/>
        <v>39884</v>
      </c>
      <c r="C431" s="11" t="s">
        <v>855</v>
      </c>
      <c r="D431" s="11" t="s">
        <v>66</v>
      </c>
      <c r="F431" s="38">
        <f>IFERROR(__xludf.DUMMYFUNCTION("""COMPUTED_VALUE"""),40251.0)</f>
        <v>40251</v>
      </c>
      <c r="G431" s="39">
        <f t="shared" si="2"/>
        <v>4</v>
      </c>
      <c r="H431" s="39" t="str">
        <f>IFERROR(__xludf.DUMMYFUNCTION("""COMPUTED_VALUE"""),"Jesus Ocampo")</f>
        <v>Jesus Ocampo</v>
      </c>
      <c r="I431" s="40">
        <f t="shared" si="3"/>
        <v>5</v>
      </c>
    </row>
    <row r="432">
      <c r="A432" s="11">
        <v>431.0</v>
      </c>
      <c r="B432" s="12">
        <f t="shared" si="72"/>
        <v>39884</v>
      </c>
      <c r="C432" s="11" t="s">
        <v>857</v>
      </c>
      <c r="D432" s="11" t="s">
        <v>28</v>
      </c>
      <c r="F432" s="38">
        <f>IFERROR(__xludf.DUMMYFUNCTION("""COMPUTED_VALUE"""),40252.0)</f>
        <v>40252</v>
      </c>
      <c r="G432" s="39">
        <f t="shared" si="2"/>
        <v>5</v>
      </c>
      <c r="H432" s="39" t="str">
        <f>IFERROR(__xludf.DUMMYFUNCTION("""COMPUTED_VALUE"""),"Ralph Kennedy")</f>
        <v>Ralph Kennedy</v>
      </c>
      <c r="I432" s="40">
        <f t="shared" si="3"/>
        <v>18</v>
      </c>
    </row>
    <row r="433">
      <c r="A433" s="11">
        <v>432.0</v>
      </c>
      <c r="B433" s="12">
        <f t="shared" ref="B433:B436" si="73">DATE(2012,12,31)-1389</f>
        <v>39885</v>
      </c>
      <c r="C433" s="11" t="s">
        <v>859</v>
      </c>
      <c r="D433" s="11" t="s">
        <v>28</v>
      </c>
      <c r="F433" s="38">
        <f>IFERROR(__xludf.DUMMYFUNCTION("""COMPUTED_VALUE"""),40253.0)</f>
        <v>40253</v>
      </c>
      <c r="G433" s="39">
        <f t="shared" si="2"/>
        <v>3</v>
      </c>
      <c r="H433" s="39" t="str">
        <f>IFERROR(__xludf.DUMMYFUNCTION("""COMPUTED_VALUE"""),"Charlotte Melton")</f>
        <v>Charlotte Melton</v>
      </c>
      <c r="I433" s="40">
        <f t="shared" si="3"/>
        <v>6</v>
      </c>
    </row>
    <row r="434">
      <c r="A434" s="11">
        <v>433.0</v>
      </c>
      <c r="B434" s="12">
        <f t="shared" si="73"/>
        <v>39885</v>
      </c>
      <c r="C434" s="11" t="s">
        <v>861</v>
      </c>
      <c r="D434" s="11" t="s">
        <v>66</v>
      </c>
      <c r="F434" s="38">
        <f>IFERROR(__xludf.DUMMYFUNCTION("""COMPUTED_VALUE"""),40254.0)</f>
        <v>40254</v>
      </c>
      <c r="G434" s="39">
        <f t="shared" si="2"/>
        <v>3</v>
      </c>
      <c r="H434" s="39" t="str">
        <f>IFERROR(__xludf.DUMMYFUNCTION("""COMPUTED_VALUE"""),"Corinna Mitchell")</f>
        <v>Corinna Mitchell</v>
      </c>
      <c r="I434" s="40">
        <f t="shared" si="3"/>
        <v>6</v>
      </c>
    </row>
    <row r="435">
      <c r="A435" s="11">
        <v>434.0</v>
      </c>
      <c r="B435" s="12">
        <f t="shared" si="73"/>
        <v>39885</v>
      </c>
      <c r="C435" s="11" t="s">
        <v>861</v>
      </c>
      <c r="D435" s="11" t="s">
        <v>66</v>
      </c>
      <c r="F435" s="38">
        <f>IFERROR(__xludf.DUMMYFUNCTION("""COMPUTED_VALUE"""),40255.0)</f>
        <v>40255</v>
      </c>
      <c r="G435" s="39">
        <f t="shared" si="2"/>
        <v>1</v>
      </c>
      <c r="H435" s="39" t="str">
        <f>IFERROR(__xludf.DUMMYFUNCTION("""COMPUTED_VALUE"""),"Bobby Trafton")</f>
        <v>Bobby Trafton</v>
      </c>
      <c r="I435" s="40">
        <f t="shared" si="3"/>
        <v>19</v>
      </c>
    </row>
    <row r="436">
      <c r="A436" s="11">
        <v>435.0</v>
      </c>
      <c r="B436" s="12">
        <f t="shared" si="73"/>
        <v>39885</v>
      </c>
      <c r="C436" s="11" t="s">
        <v>863</v>
      </c>
      <c r="D436" s="11" t="s">
        <v>28</v>
      </c>
      <c r="F436" s="38">
        <f>IFERROR(__xludf.DUMMYFUNCTION("""COMPUTED_VALUE"""),40256.0)</f>
        <v>40256</v>
      </c>
      <c r="G436" s="39">
        <f t="shared" si="2"/>
        <v>3</v>
      </c>
      <c r="H436" s="39" t="str">
        <f>IFERROR(__xludf.DUMMYFUNCTION("""COMPUTED_VALUE"""),"Chuck Magee")</f>
        <v>Chuck Magee</v>
      </c>
      <c r="I436" s="40">
        <f t="shared" si="3"/>
        <v>5</v>
      </c>
    </row>
    <row r="437">
      <c r="A437" s="11">
        <v>436.0</v>
      </c>
      <c r="B437" s="12">
        <f t="shared" ref="B437:B443" si="74">DATE(2012,12,31)-1388</f>
        <v>39886</v>
      </c>
      <c r="C437" s="11" t="s">
        <v>222</v>
      </c>
      <c r="D437" s="11" t="s">
        <v>49</v>
      </c>
      <c r="F437" s="38">
        <f>IFERROR(__xludf.DUMMYFUNCTION("""COMPUTED_VALUE"""),40257.0)</f>
        <v>40257</v>
      </c>
      <c r="G437" s="39">
        <f t="shared" si="2"/>
        <v>2</v>
      </c>
      <c r="H437" s="39" t="str">
        <f>IFERROR(__xludf.DUMMYFUNCTION("""COMPUTED_VALUE"""),"Shirley Jackson")</f>
        <v>Shirley Jackson</v>
      </c>
      <c r="I437" s="40">
        <f t="shared" si="3"/>
        <v>8</v>
      </c>
    </row>
    <row r="438">
      <c r="A438" s="11">
        <v>437.0</v>
      </c>
      <c r="B438" s="12">
        <f t="shared" si="74"/>
        <v>39886</v>
      </c>
      <c r="C438" s="11" t="s">
        <v>222</v>
      </c>
      <c r="D438" s="11" t="s">
        <v>49</v>
      </c>
      <c r="F438" s="38">
        <f>IFERROR(__xludf.DUMMYFUNCTION("""COMPUTED_VALUE"""),40258.0)</f>
        <v>40258</v>
      </c>
      <c r="G438" s="39">
        <f t="shared" si="2"/>
        <v>8</v>
      </c>
      <c r="H438" s="39" t="str">
        <f>IFERROR(__xludf.DUMMYFUNCTION("""COMPUTED_VALUE"""),"Lindsay Williams")</f>
        <v>Lindsay Williams</v>
      </c>
      <c r="I438" s="40">
        <f t="shared" si="3"/>
        <v>3</v>
      </c>
    </row>
    <row r="439">
      <c r="A439" s="11">
        <v>438.0</v>
      </c>
      <c r="B439" s="12">
        <f t="shared" si="74"/>
        <v>39886</v>
      </c>
      <c r="C439" s="11" t="s">
        <v>867</v>
      </c>
      <c r="D439" s="11" t="s">
        <v>49</v>
      </c>
      <c r="F439" s="38">
        <f>IFERROR(__xludf.DUMMYFUNCTION("""COMPUTED_VALUE"""),40259.0)</f>
        <v>40259</v>
      </c>
      <c r="G439" s="39">
        <f t="shared" si="2"/>
        <v>3</v>
      </c>
      <c r="H439" s="39" t="str">
        <f>IFERROR(__xludf.DUMMYFUNCTION("""COMPUTED_VALUE"""),"Brad Norvell")</f>
        <v>Brad Norvell</v>
      </c>
      <c r="I439" s="40">
        <f t="shared" si="3"/>
        <v>7</v>
      </c>
    </row>
    <row r="440">
      <c r="A440" s="11">
        <v>439.0</v>
      </c>
      <c r="B440" s="12">
        <f t="shared" si="74"/>
        <v>39886</v>
      </c>
      <c r="C440" s="11" t="s">
        <v>867</v>
      </c>
      <c r="D440" s="11" t="s">
        <v>28</v>
      </c>
      <c r="F440" s="38">
        <f>IFERROR(__xludf.DUMMYFUNCTION("""COMPUTED_VALUE"""),40260.0)</f>
        <v>40260</v>
      </c>
      <c r="G440" s="39">
        <f t="shared" si="2"/>
        <v>1</v>
      </c>
      <c r="H440" s="39" t="str">
        <f>IFERROR(__xludf.DUMMYFUNCTION("""COMPUTED_VALUE"""),"Tony Chapman")</f>
        <v>Tony Chapman</v>
      </c>
      <c r="I440" s="40">
        <f t="shared" si="3"/>
        <v>8</v>
      </c>
    </row>
    <row r="441">
      <c r="A441" s="11">
        <v>440.0</v>
      </c>
      <c r="B441" s="12">
        <f t="shared" si="74"/>
        <v>39886</v>
      </c>
      <c r="C441" s="11" t="s">
        <v>867</v>
      </c>
      <c r="D441" s="11" t="s">
        <v>66</v>
      </c>
      <c r="F441" s="38">
        <f>IFERROR(__xludf.DUMMYFUNCTION("""COMPUTED_VALUE"""),40261.0)</f>
        <v>40261</v>
      </c>
      <c r="G441" s="39">
        <f t="shared" si="2"/>
        <v>5</v>
      </c>
      <c r="H441" s="39" t="str">
        <f>IFERROR(__xludf.DUMMYFUNCTION("""COMPUTED_VALUE"""),"Logan Haushalter")</f>
        <v>Logan Haushalter</v>
      </c>
      <c r="I441" s="40">
        <f t="shared" si="3"/>
        <v>18</v>
      </c>
    </row>
    <row r="442">
      <c r="A442" s="11">
        <v>441.0</v>
      </c>
      <c r="B442" s="12">
        <f t="shared" si="74"/>
        <v>39886</v>
      </c>
      <c r="C442" s="11" t="s">
        <v>871</v>
      </c>
      <c r="D442" s="11" t="s">
        <v>49</v>
      </c>
      <c r="F442" s="38">
        <f>IFERROR(__xludf.DUMMYFUNCTION("""COMPUTED_VALUE"""),40262.0)</f>
        <v>40262</v>
      </c>
      <c r="G442" s="39">
        <f t="shared" si="2"/>
        <v>6</v>
      </c>
      <c r="H442" s="39" t="str">
        <f>IFERROR(__xludf.DUMMYFUNCTION("""COMPUTED_VALUE"""),"Rob Williams")</f>
        <v>Rob Williams</v>
      </c>
      <c r="I442" s="40">
        <f t="shared" si="3"/>
        <v>4</v>
      </c>
    </row>
    <row r="443">
      <c r="A443" s="11">
        <v>442.0</v>
      </c>
      <c r="B443" s="12">
        <f t="shared" si="74"/>
        <v>39886</v>
      </c>
      <c r="C443" s="11" t="s">
        <v>416</v>
      </c>
      <c r="D443" s="11" t="s">
        <v>49</v>
      </c>
      <c r="F443" s="38">
        <f>IFERROR(__xludf.DUMMYFUNCTION("""COMPUTED_VALUE"""),40263.0)</f>
        <v>40263</v>
      </c>
      <c r="G443" s="39">
        <f t="shared" si="2"/>
        <v>3</v>
      </c>
      <c r="H443" s="39" t="str">
        <f>IFERROR(__xludf.DUMMYFUNCTION("""COMPUTED_VALUE"""),"Seth Vernon")</f>
        <v>Seth Vernon</v>
      </c>
      <c r="I443" s="40">
        <f t="shared" si="3"/>
        <v>12</v>
      </c>
    </row>
    <row r="444">
      <c r="A444" s="11">
        <v>443.0</v>
      </c>
      <c r="B444" s="12">
        <f t="shared" ref="B444:B449" si="75">DATE(2012,12,31)-1387</f>
        <v>39887</v>
      </c>
      <c r="C444" s="11" t="s">
        <v>535</v>
      </c>
      <c r="D444" s="11" t="s">
        <v>49</v>
      </c>
      <c r="F444" s="38">
        <f>IFERROR(__xludf.DUMMYFUNCTION("""COMPUTED_VALUE"""),40264.0)</f>
        <v>40264</v>
      </c>
      <c r="G444" s="39">
        <f t="shared" si="2"/>
        <v>3</v>
      </c>
      <c r="H444" s="39" t="str">
        <f>IFERROR(__xludf.DUMMYFUNCTION("""COMPUTED_VALUE"""),"Nathan Cano")</f>
        <v>Nathan Cano</v>
      </c>
      <c r="I444" s="40">
        <f t="shared" si="3"/>
        <v>6</v>
      </c>
    </row>
    <row r="445">
      <c r="A445" s="11">
        <v>444.0</v>
      </c>
      <c r="B445" s="12">
        <f t="shared" si="75"/>
        <v>39887</v>
      </c>
      <c r="C445" s="11" t="s">
        <v>873</v>
      </c>
      <c r="D445" s="11" t="s">
        <v>66</v>
      </c>
      <c r="F445" s="38">
        <f>IFERROR(__xludf.DUMMYFUNCTION("""COMPUTED_VALUE"""),40265.0)</f>
        <v>40265</v>
      </c>
      <c r="G445" s="39">
        <f t="shared" si="2"/>
        <v>6</v>
      </c>
      <c r="H445" s="39" t="str">
        <f>IFERROR(__xludf.DUMMYFUNCTION("""COMPUTED_VALUE"""),"Susan MacKendrick")</f>
        <v>Susan MacKendrick</v>
      </c>
      <c r="I445" s="40">
        <f t="shared" si="3"/>
        <v>9</v>
      </c>
    </row>
    <row r="446">
      <c r="A446" s="11">
        <v>445.0</v>
      </c>
      <c r="B446" s="12">
        <f t="shared" si="75"/>
        <v>39887</v>
      </c>
      <c r="C446" s="11" t="s">
        <v>873</v>
      </c>
      <c r="D446" s="11" t="s">
        <v>66</v>
      </c>
      <c r="F446" s="38">
        <f>IFERROR(__xludf.DUMMYFUNCTION("""COMPUTED_VALUE"""),40266.0)</f>
        <v>40266</v>
      </c>
      <c r="G446" s="39">
        <f t="shared" si="2"/>
        <v>5</v>
      </c>
      <c r="H446" s="39" t="str">
        <f>IFERROR(__xludf.DUMMYFUNCTION("""COMPUTED_VALUE"""),"Frank Olsen")</f>
        <v>Frank Olsen</v>
      </c>
      <c r="I446" s="40">
        <f t="shared" si="3"/>
        <v>4</v>
      </c>
    </row>
    <row r="447">
      <c r="A447" s="11">
        <v>446.0</v>
      </c>
      <c r="B447" s="12">
        <f t="shared" si="75"/>
        <v>39887</v>
      </c>
      <c r="C447" s="11" t="s">
        <v>876</v>
      </c>
      <c r="D447" s="11" t="s">
        <v>49</v>
      </c>
      <c r="F447" s="38">
        <f>IFERROR(__xludf.DUMMYFUNCTION("""COMPUTED_VALUE"""),40267.0)</f>
        <v>40267</v>
      </c>
      <c r="G447" s="39">
        <f t="shared" si="2"/>
        <v>9</v>
      </c>
      <c r="H447" s="39" t="str">
        <f>IFERROR(__xludf.DUMMYFUNCTION("""COMPUTED_VALUE"""),"Kean Takahito")</f>
        <v>Kean Takahito</v>
      </c>
      <c r="I447" s="40">
        <f t="shared" si="3"/>
        <v>3</v>
      </c>
    </row>
    <row r="448">
      <c r="A448" s="11">
        <v>447.0</v>
      </c>
      <c r="B448" s="12">
        <f t="shared" si="75"/>
        <v>39887</v>
      </c>
      <c r="C448" s="11" t="s">
        <v>878</v>
      </c>
      <c r="D448" s="11" t="s">
        <v>28</v>
      </c>
      <c r="F448" s="38">
        <f>IFERROR(__xludf.DUMMYFUNCTION("""COMPUTED_VALUE"""),40268.0)</f>
        <v>40268</v>
      </c>
      <c r="G448" s="39">
        <f t="shared" si="2"/>
        <v>3</v>
      </c>
      <c r="H448" s="39" t="str">
        <f>IFERROR(__xludf.DUMMYFUNCTION("""COMPUTED_VALUE"""),"Aaron Bergman")</f>
        <v>Aaron Bergman</v>
      </c>
      <c r="I448" s="40">
        <f t="shared" si="3"/>
        <v>11</v>
      </c>
    </row>
    <row r="449">
      <c r="A449" s="11">
        <v>448.0</v>
      </c>
      <c r="B449" s="12">
        <f t="shared" si="75"/>
        <v>39887</v>
      </c>
      <c r="C449" s="11" t="s">
        <v>879</v>
      </c>
      <c r="D449" s="11" t="s">
        <v>49</v>
      </c>
      <c r="F449" s="38">
        <f>IFERROR(__xludf.DUMMYFUNCTION("""COMPUTED_VALUE"""),40269.0)</f>
        <v>40269</v>
      </c>
      <c r="G449" s="39">
        <f t="shared" si="2"/>
        <v>5</v>
      </c>
      <c r="H449" s="39" t="str">
        <f>IFERROR(__xludf.DUMMYFUNCTION("""COMPUTED_VALUE"""),"Edward Hooks")</f>
        <v>Edward Hooks</v>
      </c>
      <c r="I449" s="40">
        <f t="shared" si="3"/>
        <v>7</v>
      </c>
    </row>
    <row r="450">
      <c r="A450" s="11">
        <v>449.0</v>
      </c>
      <c r="B450" s="12">
        <f t="shared" ref="B450:B453" si="76">DATE(2012,12,31)-1386</f>
        <v>39888</v>
      </c>
      <c r="C450" s="11" t="s">
        <v>882</v>
      </c>
      <c r="D450" s="11" t="s">
        <v>49</v>
      </c>
      <c r="F450" s="38">
        <f>IFERROR(__xludf.DUMMYFUNCTION("""COMPUTED_VALUE"""),40270.0)</f>
        <v>40270</v>
      </c>
      <c r="G450" s="39">
        <f t="shared" si="2"/>
        <v>2</v>
      </c>
      <c r="H450" s="39" t="str">
        <f>IFERROR(__xludf.DUMMYFUNCTION("""COMPUTED_VALUE"""),"Andrew Roberts")</f>
        <v>Andrew Roberts</v>
      </c>
      <c r="I450" s="40">
        <f t="shared" si="3"/>
        <v>14</v>
      </c>
    </row>
    <row r="451">
      <c r="A451" s="11">
        <v>450.0</v>
      </c>
      <c r="B451" s="12">
        <f t="shared" si="76"/>
        <v>39888</v>
      </c>
      <c r="C451" s="11" t="s">
        <v>884</v>
      </c>
      <c r="D451" s="11" t="s">
        <v>28</v>
      </c>
      <c r="F451" s="38">
        <f>IFERROR(__xludf.DUMMYFUNCTION("""COMPUTED_VALUE"""),40271.0)</f>
        <v>40271</v>
      </c>
      <c r="G451" s="39">
        <f t="shared" si="2"/>
        <v>6</v>
      </c>
      <c r="H451" s="39" t="str">
        <f>IFERROR(__xludf.DUMMYFUNCTION("""COMPUTED_VALUE"""),"Neil Ducich")</f>
        <v>Neil Ducich</v>
      </c>
      <c r="I451" s="40">
        <f t="shared" si="3"/>
        <v>6</v>
      </c>
    </row>
    <row r="452">
      <c r="A452" s="11">
        <v>451.0</v>
      </c>
      <c r="B452" s="12">
        <f t="shared" si="76"/>
        <v>39888</v>
      </c>
      <c r="C452" s="11" t="s">
        <v>887</v>
      </c>
      <c r="D452" s="11" t="s">
        <v>28</v>
      </c>
      <c r="F452" s="38">
        <f>IFERROR(__xludf.DUMMYFUNCTION("""COMPUTED_VALUE"""),40272.0)</f>
        <v>40272</v>
      </c>
      <c r="G452" s="39">
        <f t="shared" si="2"/>
        <v>4</v>
      </c>
      <c r="H452" s="39" t="str">
        <f>IFERROR(__xludf.DUMMYFUNCTION("""COMPUTED_VALUE"""),"Liz Willingham")</f>
        <v>Liz Willingham</v>
      </c>
      <c r="I452" s="40">
        <f t="shared" si="3"/>
        <v>16</v>
      </c>
    </row>
    <row r="453">
      <c r="A453" s="11">
        <v>452.0</v>
      </c>
      <c r="B453" s="12">
        <f t="shared" si="76"/>
        <v>39888</v>
      </c>
      <c r="C453" s="11" t="s">
        <v>887</v>
      </c>
      <c r="D453" s="11" t="s">
        <v>28</v>
      </c>
      <c r="F453" s="38">
        <f>IFERROR(__xludf.DUMMYFUNCTION("""COMPUTED_VALUE"""),40273.0)</f>
        <v>40273</v>
      </c>
      <c r="G453" s="39">
        <f t="shared" si="2"/>
        <v>2</v>
      </c>
      <c r="H453" s="39" t="str">
        <f>IFERROR(__xludf.DUMMYFUNCTION("""COMPUTED_VALUE"""),"Edward Nazzal")</f>
        <v>Edward Nazzal</v>
      </c>
      <c r="I453" s="40">
        <f t="shared" si="3"/>
        <v>24</v>
      </c>
    </row>
    <row r="454">
      <c r="A454" s="11">
        <v>453.0</v>
      </c>
      <c r="B454" s="12">
        <f t="shared" ref="B454:B456" si="77">DATE(2012,12,31)-1385</f>
        <v>39889</v>
      </c>
      <c r="C454" s="11" t="s">
        <v>892</v>
      </c>
      <c r="D454" s="11" t="s">
        <v>66</v>
      </c>
      <c r="F454" s="38">
        <f>IFERROR(__xludf.DUMMYFUNCTION("""COMPUTED_VALUE"""),40274.0)</f>
        <v>40274</v>
      </c>
      <c r="G454" s="39">
        <f t="shared" si="2"/>
        <v>3</v>
      </c>
      <c r="H454" s="39" t="str">
        <f>IFERROR(__xludf.DUMMYFUNCTION("""COMPUTED_VALUE"""),"Michael Granlund")</f>
        <v>Michael Granlund</v>
      </c>
      <c r="I454" s="40">
        <f t="shared" si="3"/>
        <v>13</v>
      </c>
    </row>
    <row r="455">
      <c r="A455" s="11">
        <v>454.0</v>
      </c>
      <c r="B455" s="12">
        <f t="shared" si="77"/>
        <v>39889</v>
      </c>
      <c r="C455" s="11" t="s">
        <v>555</v>
      </c>
      <c r="D455" s="11" t="s">
        <v>28</v>
      </c>
      <c r="F455" s="38">
        <f>IFERROR(__xludf.DUMMYFUNCTION("""COMPUTED_VALUE"""),40275.0)</f>
        <v>40275</v>
      </c>
      <c r="G455" s="39">
        <f t="shared" si="2"/>
        <v>6</v>
      </c>
      <c r="H455" s="39" t="str">
        <f>IFERROR(__xludf.DUMMYFUNCTION("""COMPUTED_VALUE"""),"Anne Pryor")</f>
        <v>Anne Pryor</v>
      </c>
      <c r="I455" s="40">
        <f t="shared" si="3"/>
        <v>19</v>
      </c>
    </row>
    <row r="456">
      <c r="A456" s="11">
        <v>455.0</v>
      </c>
      <c r="B456" s="12">
        <f t="shared" si="77"/>
        <v>39889</v>
      </c>
      <c r="C456" s="11" t="s">
        <v>895</v>
      </c>
      <c r="D456" s="11" t="s">
        <v>28</v>
      </c>
      <c r="F456" s="38">
        <f>IFERROR(__xludf.DUMMYFUNCTION("""COMPUTED_VALUE"""),40276.0)</f>
        <v>40276</v>
      </c>
      <c r="G456" s="39">
        <f t="shared" si="2"/>
        <v>4</v>
      </c>
      <c r="H456" s="39" t="str">
        <f>IFERROR(__xludf.DUMMYFUNCTION("""COMPUTED_VALUE"""),"Ken Dana")</f>
        <v>Ken Dana</v>
      </c>
      <c r="I456" s="40">
        <f t="shared" si="3"/>
        <v>12</v>
      </c>
    </row>
    <row r="457">
      <c r="A457" s="11">
        <v>456.0</v>
      </c>
      <c r="B457" s="12">
        <f t="shared" ref="B457:B464" si="78">DATE(2012,12,31)-1384</f>
        <v>39890</v>
      </c>
      <c r="C457" s="11" t="s">
        <v>897</v>
      </c>
      <c r="D457" s="11" t="s">
        <v>49</v>
      </c>
      <c r="F457" s="38">
        <f>IFERROR(__xludf.DUMMYFUNCTION("""COMPUTED_VALUE"""),40277.0)</f>
        <v>40277</v>
      </c>
      <c r="G457" s="39">
        <f t="shared" si="2"/>
        <v>3</v>
      </c>
      <c r="H457" s="39" t="str">
        <f>IFERROR(__xludf.DUMMYFUNCTION("""COMPUTED_VALUE"""),"Troy Blackwell")</f>
        <v>Troy Blackwell</v>
      </c>
      <c r="I457" s="40">
        <f t="shared" si="3"/>
        <v>15</v>
      </c>
    </row>
    <row r="458">
      <c r="A458" s="11">
        <v>457.0</v>
      </c>
      <c r="B458" s="12">
        <f t="shared" si="78"/>
        <v>39890</v>
      </c>
      <c r="C458" s="11" t="s">
        <v>898</v>
      </c>
      <c r="D458" s="11" t="s">
        <v>66</v>
      </c>
      <c r="F458" s="38">
        <f>IFERROR(__xludf.DUMMYFUNCTION("""COMPUTED_VALUE"""),40278.0)</f>
        <v>40278</v>
      </c>
      <c r="G458" s="39">
        <f t="shared" si="2"/>
        <v>12</v>
      </c>
      <c r="H458" s="39" t="str">
        <f>IFERROR(__xludf.DUMMYFUNCTION("""COMPUTED_VALUE"""),"Craig Rider")</f>
        <v>Craig Rider</v>
      </c>
      <c r="I458" s="40">
        <f t="shared" si="3"/>
        <v>2</v>
      </c>
    </row>
    <row r="459">
      <c r="A459" s="11">
        <v>458.0</v>
      </c>
      <c r="B459" s="12">
        <f t="shared" si="78"/>
        <v>39890</v>
      </c>
      <c r="C459" s="11" t="s">
        <v>900</v>
      </c>
      <c r="D459" s="11" t="s">
        <v>28</v>
      </c>
      <c r="F459" s="38">
        <f>IFERROR(__xludf.DUMMYFUNCTION("""COMPUTED_VALUE"""),40279.0)</f>
        <v>40279</v>
      </c>
      <c r="G459" s="39">
        <f t="shared" si="2"/>
        <v>11</v>
      </c>
      <c r="H459" s="39" t="str">
        <f>IFERROR(__xludf.DUMMYFUNCTION("""COMPUTED_VALUE"""),"Alice McCarthy")</f>
        <v>Alice McCarthy</v>
      </c>
      <c r="I459" s="40">
        <f t="shared" si="3"/>
        <v>10</v>
      </c>
    </row>
    <row r="460">
      <c r="A460" s="11">
        <v>459.0</v>
      </c>
      <c r="B460" s="12">
        <f t="shared" si="78"/>
        <v>39890</v>
      </c>
      <c r="C460" s="11" t="s">
        <v>574</v>
      </c>
      <c r="D460" s="11" t="s">
        <v>49</v>
      </c>
      <c r="F460" s="38">
        <f>IFERROR(__xludf.DUMMYFUNCTION("""COMPUTED_VALUE"""),40280.0)</f>
        <v>40280</v>
      </c>
      <c r="G460" s="39">
        <f t="shared" si="2"/>
        <v>7</v>
      </c>
      <c r="H460" s="39" t="str">
        <f>IFERROR(__xludf.DUMMYFUNCTION("""COMPUTED_VALUE"""),"Darrin Martin")</f>
        <v>Darrin Martin</v>
      </c>
      <c r="I460" s="40">
        <f t="shared" si="3"/>
        <v>6</v>
      </c>
    </row>
    <row r="461">
      <c r="A461" s="11">
        <v>460.0</v>
      </c>
      <c r="B461" s="12">
        <f t="shared" si="78"/>
        <v>39890</v>
      </c>
      <c r="C461" s="11" t="s">
        <v>904</v>
      </c>
      <c r="D461" s="11" t="s">
        <v>28</v>
      </c>
      <c r="F461" s="38">
        <f>IFERROR(__xludf.DUMMYFUNCTION("""COMPUTED_VALUE"""),40283.0)</f>
        <v>40283</v>
      </c>
      <c r="G461" s="39">
        <f t="shared" si="2"/>
        <v>13</v>
      </c>
      <c r="H461" s="39" t="str">
        <f>IFERROR(__xludf.DUMMYFUNCTION("""COMPUTED_VALUE"""),"Bryan Mills")</f>
        <v>Bryan Mills</v>
      </c>
      <c r="I461" s="40">
        <f t="shared" si="3"/>
        <v>8</v>
      </c>
    </row>
    <row r="462">
      <c r="A462" s="11">
        <v>461.0</v>
      </c>
      <c r="B462" s="12">
        <f t="shared" si="78"/>
        <v>39890</v>
      </c>
      <c r="C462" s="11" t="s">
        <v>904</v>
      </c>
      <c r="D462" s="11" t="s">
        <v>28</v>
      </c>
      <c r="F462" s="38">
        <f>IFERROR(__xludf.DUMMYFUNCTION("""COMPUTED_VALUE"""),40284.0)</f>
        <v>40284</v>
      </c>
      <c r="G462" s="39">
        <f t="shared" si="2"/>
        <v>8</v>
      </c>
      <c r="H462" s="39" t="str">
        <f>IFERROR(__xludf.DUMMYFUNCTION("""COMPUTED_VALUE"""),"Rob Dowd")</f>
        <v>Rob Dowd</v>
      </c>
      <c r="I462" s="40">
        <f t="shared" si="3"/>
        <v>11</v>
      </c>
    </row>
    <row r="463">
      <c r="A463" s="11">
        <v>462.0</v>
      </c>
      <c r="B463" s="12">
        <f t="shared" si="78"/>
        <v>39890</v>
      </c>
      <c r="C463" s="11" t="s">
        <v>905</v>
      </c>
      <c r="D463" s="11" t="s">
        <v>28</v>
      </c>
      <c r="F463" s="38">
        <f>IFERROR(__xludf.DUMMYFUNCTION("""COMPUTED_VALUE"""),40285.0)</f>
        <v>40285</v>
      </c>
      <c r="G463" s="39">
        <f t="shared" si="2"/>
        <v>1</v>
      </c>
      <c r="H463" s="39" t="str">
        <f>IFERROR(__xludf.DUMMYFUNCTION("""COMPUTED_VALUE"""),"Bobby Odegard")</f>
        <v>Bobby Odegard</v>
      </c>
      <c r="I463" s="40">
        <f t="shared" si="3"/>
        <v>11</v>
      </c>
    </row>
    <row r="464">
      <c r="A464" s="11">
        <v>463.0</v>
      </c>
      <c r="B464" s="12">
        <f t="shared" si="78"/>
        <v>39890</v>
      </c>
      <c r="C464" s="11" t="s">
        <v>907</v>
      </c>
      <c r="D464" s="11" t="s">
        <v>28</v>
      </c>
      <c r="F464" s="38">
        <f>IFERROR(__xludf.DUMMYFUNCTION("""COMPUTED_VALUE"""),40286.0)</f>
        <v>40286</v>
      </c>
      <c r="G464" s="39">
        <f t="shared" si="2"/>
        <v>1</v>
      </c>
      <c r="H464" s="39" t="str">
        <f>IFERROR(__xludf.DUMMYFUNCTION("""COMPUTED_VALUE"""),"Irene Maddox")</f>
        <v>Irene Maddox</v>
      </c>
      <c r="I464" s="40">
        <f t="shared" si="3"/>
        <v>8</v>
      </c>
    </row>
    <row r="465">
      <c r="A465" s="11">
        <v>464.0</v>
      </c>
      <c r="B465" s="12">
        <f t="shared" ref="B465:B471" si="79">DATE(2012,12,31)-1383</f>
        <v>39891</v>
      </c>
      <c r="C465" s="11" t="s">
        <v>703</v>
      </c>
      <c r="D465" s="11" t="s">
        <v>66</v>
      </c>
      <c r="F465" s="38">
        <f>IFERROR(__xludf.DUMMYFUNCTION("""COMPUTED_VALUE"""),40287.0)</f>
        <v>40287</v>
      </c>
      <c r="G465" s="39">
        <f t="shared" si="2"/>
        <v>6</v>
      </c>
      <c r="H465" s="39" t="str">
        <f>IFERROR(__xludf.DUMMYFUNCTION("""COMPUTED_VALUE"""),"Liz Carlisle")</f>
        <v>Liz Carlisle</v>
      </c>
      <c r="I465" s="40">
        <f t="shared" si="3"/>
        <v>11</v>
      </c>
    </row>
    <row r="466">
      <c r="A466" s="11">
        <v>465.0</v>
      </c>
      <c r="B466" s="12">
        <f t="shared" si="79"/>
        <v>39891</v>
      </c>
      <c r="C466" s="11" t="s">
        <v>910</v>
      </c>
      <c r="D466" s="11" t="s">
        <v>28</v>
      </c>
      <c r="F466" s="38">
        <f>IFERROR(__xludf.DUMMYFUNCTION("""COMPUTED_VALUE"""),40288.0)</f>
        <v>40288</v>
      </c>
      <c r="G466" s="39">
        <f t="shared" si="2"/>
        <v>17</v>
      </c>
      <c r="H466" s="39" t="str">
        <f>IFERROR(__xludf.DUMMYFUNCTION("""COMPUTED_VALUE"""),"John Castell")</f>
        <v>John Castell</v>
      </c>
      <c r="I466" s="40">
        <f t="shared" si="3"/>
        <v>17</v>
      </c>
    </row>
    <row r="467">
      <c r="A467" s="11">
        <v>466.0</v>
      </c>
      <c r="B467" s="12">
        <f t="shared" si="79"/>
        <v>39891</v>
      </c>
      <c r="C467" s="11" t="s">
        <v>910</v>
      </c>
      <c r="D467" s="11" t="s">
        <v>66</v>
      </c>
      <c r="F467" s="38">
        <f>IFERROR(__xludf.DUMMYFUNCTION("""COMPUTED_VALUE"""),40290.0)</f>
        <v>40290</v>
      </c>
      <c r="G467" s="39">
        <f t="shared" si="2"/>
        <v>4</v>
      </c>
      <c r="H467" s="39" t="str">
        <f>IFERROR(__xludf.DUMMYFUNCTION("""COMPUTED_VALUE"""),"Brosina Hoffman")</f>
        <v>Brosina Hoffman</v>
      </c>
      <c r="I467" s="40">
        <f t="shared" si="3"/>
        <v>6</v>
      </c>
    </row>
    <row r="468">
      <c r="A468" s="11">
        <v>467.0</v>
      </c>
      <c r="B468" s="12">
        <f t="shared" si="79"/>
        <v>39891</v>
      </c>
      <c r="C468" s="11" t="s">
        <v>913</v>
      </c>
      <c r="D468" s="11" t="s">
        <v>28</v>
      </c>
      <c r="F468" s="38">
        <f>IFERROR(__xludf.DUMMYFUNCTION("""COMPUTED_VALUE"""),40291.0)</f>
        <v>40291</v>
      </c>
      <c r="G468" s="39">
        <f t="shared" si="2"/>
        <v>1</v>
      </c>
      <c r="H468" s="39" t="str">
        <f>IFERROR(__xludf.DUMMYFUNCTION("""COMPUTED_VALUE"""),"Cari MacIntyre")</f>
        <v>Cari MacIntyre</v>
      </c>
      <c r="I468" s="40">
        <f t="shared" si="3"/>
        <v>16</v>
      </c>
    </row>
    <row r="469">
      <c r="A469" s="11">
        <v>468.0</v>
      </c>
      <c r="B469" s="12">
        <f t="shared" si="79"/>
        <v>39891</v>
      </c>
      <c r="C469" s="11" t="s">
        <v>913</v>
      </c>
      <c r="D469" s="11" t="s">
        <v>28</v>
      </c>
      <c r="F469" s="38">
        <f>IFERROR(__xludf.DUMMYFUNCTION("""COMPUTED_VALUE"""),40292.0)</f>
        <v>40292</v>
      </c>
      <c r="G469" s="39">
        <f t="shared" si="2"/>
        <v>2</v>
      </c>
      <c r="H469" s="39" t="str">
        <f>IFERROR(__xludf.DUMMYFUNCTION("""COMPUTED_VALUE"""),"Todd Boyes")</f>
        <v>Todd Boyes</v>
      </c>
      <c r="I469" s="40">
        <f t="shared" si="3"/>
        <v>17</v>
      </c>
    </row>
    <row r="470">
      <c r="A470" s="11">
        <v>469.0</v>
      </c>
      <c r="B470" s="12">
        <f t="shared" si="79"/>
        <v>39891</v>
      </c>
      <c r="C470" s="11" t="s">
        <v>913</v>
      </c>
      <c r="D470" s="11" t="s">
        <v>66</v>
      </c>
      <c r="F470" s="38">
        <f>IFERROR(__xludf.DUMMYFUNCTION("""COMPUTED_VALUE"""),40293.0)</f>
        <v>40293</v>
      </c>
      <c r="G470" s="39">
        <f t="shared" si="2"/>
        <v>5</v>
      </c>
      <c r="H470" s="39" t="str">
        <f>IFERROR(__xludf.DUMMYFUNCTION("""COMPUTED_VALUE"""),"Julia Dunbar")</f>
        <v>Julia Dunbar</v>
      </c>
      <c r="I470" s="40">
        <f t="shared" si="3"/>
        <v>16</v>
      </c>
    </row>
    <row r="471">
      <c r="A471" s="11">
        <v>470.0</v>
      </c>
      <c r="B471" s="12">
        <f t="shared" si="79"/>
        <v>39891</v>
      </c>
      <c r="C471" s="11" t="s">
        <v>913</v>
      </c>
      <c r="D471" s="11" t="s">
        <v>28</v>
      </c>
      <c r="F471" s="38">
        <f>IFERROR(__xludf.DUMMYFUNCTION("""COMPUTED_VALUE"""),40294.0)</f>
        <v>40294</v>
      </c>
      <c r="G471" s="39">
        <f t="shared" si="2"/>
        <v>4</v>
      </c>
      <c r="H471" s="39" t="str">
        <f>IFERROR(__xludf.DUMMYFUNCTION("""COMPUTED_VALUE"""),"Don Jones")</f>
        <v>Don Jones</v>
      </c>
      <c r="I471" s="40">
        <f t="shared" si="3"/>
        <v>6</v>
      </c>
    </row>
    <row r="472">
      <c r="A472" s="11">
        <v>471.0</v>
      </c>
      <c r="B472" s="12">
        <f t="shared" ref="B472:B477" si="80">DATE(2012,12,31)-1382</f>
        <v>39892</v>
      </c>
      <c r="C472" s="11" t="s">
        <v>239</v>
      </c>
      <c r="D472" s="11" t="s">
        <v>28</v>
      </c>
      <c r="F472" s="38">
        <f>IFERROR(__xludf.DUMMYFUNCTION("""COMPUTED_VALUE"""),40295.0)</f>
        <v>40295</v>
      </c>
      <c r="G472" s="39">
        <f t="shared" si="2"/>
        <v>4</v>
      </c>
      <c r="H472" s="39" t="str">
        <f>IFERROR(__xludf.DUMMYFUNCTION("""COMPUTED_VALUE"""),"Joseph Airdo")</f>
        <v>Joseph Airdo</v>
      </c>
      <c r="I472" s="40">
        <f t="shared" si="3"/>
        <v>15</v>
      </c>
    </row>
    <row r="473">
      <c r="A473" s="11">
        <v>472.0</v>
      </c>
      <c r="B473" s="12">
        <f t="shared" si="80"/>
        <v>39892</v>
      </c>
      <c r="C473" s="11" t="s">
        <v>919</v>
      </c>
      <c r="D473" s="11" t="s">
        <v>66</v>
      </c>
      <c r="F473" s="38">
        <f>IFERROR(__xludf.DUMMYFUNCTION("""COMPUTED_VALUE"""),40296.0)</f>
        <v>40296</v>
      </c>
      <c r="G473" s="39">
        <f t="shared" si="2"/>
        <v>4</v>
      </c>
      <c r="H473" s="39" t="str">
        <f>IFERROR(__xludf.DUMMYFUNCTION("""COMPUTED_VALUE"""),"Jeremy Pistek")</f>
        <v>Jeremy Pistek</v>
      </c>
      <c r="I473" s="40">
        <f t="shared" si="3"/>
        <v>10</v>
      </c>
    </row>
    <row r="474">
      <c r="A474" s="11">
        <v>473.0</v>
      </c>
      <c r="B474" s="12">
        <f t="shared" si="80"/>
        <v>39892</v>
      </c>
      <c r="C474" s="11" t="s">
        <v>919</v>
      </c>
      <c r="D474" s="11" t="s">
        <v>28</v>
      </c>
      <c r="F474" s="38">
        <f>IFERROR(__xludf.DUMMYFUNCTION("""COMPUTED_VALUE"""),40297.0)</f>
        <v>40297</v>
      </c>
      <c r="G474" s="39">
        <f t="shared" si="2"/>
        <v>7</v>
      </c>
      <c r="H474" s="39" t="str">
        <f>IFERROR(__xludf.DUMMYFUNCTION("""COMPUTED_VALUE"""),"Stewart Carmichael")</f>
        <v>Stewart Carmichael</v>
      </c>
      <c r="I474" s="40">
        <f t="shared" si="3"/>
        <v>2</v>
      </c>
    </row>
    <row r="475">
      <c r="A475" s="11">
        <v>474.0</v>
      </c>
      <c r="B475" s="12">
        <f t="shared" si="80"/>
        <v>39892</v>
      </c>
      <c r="C475" s="11" t="s">
        <v>657</v>
      </c>
      <c r="D475" s="11" t="s">
        <v>49</v>
      </c>
      <c r="F475" s="38">
        <f>IFERROR(__xludf.DUMMYFUNCTION("""COMPUTED_VALUE"""),40298.0)</f>
        <v>40298</v>
      </c>
      <c r="G475" s="39">
        <f t="shared" si="2"/>
        <v>7</v>
      </c>
      <c r="H475" s="39" t="str">
        <f>IFERROR(__xludf.DUMMYFUNCTION("""COMPUTED_VALUE"""),"Jim Sink")</f>
        <v>Jim Sink</v>
      </c>
      <c r="I475" s="40">
        <f t="shared" si="3"/>
        <v>11</v>
      </c>
    </row>
    <row r="476">
      <c r="A476" s="11">
        <v>475.0</v>
      </c>
      <c r="B476" s="12">
        <f t="shared" si="80"/>
        <v>39892</v>
      </c>
      <c r="C476" s="11" t="s">
        <v>925</v>
      </c>
      <c r="D476" s="11" t="s">
        <v>28</v>
      </c>
      <c r="F476" s="38">
        <f>IFERROR(__xludf.DUMMYFUNCTION("""COMPUTED_VALUE"""),40299.0)</f>
        <v>40299</v>
      </c>
      <c r="G476" s="39">
        <f t="shared" si="2"/>
        <v>4</v>
      </c>
      <c r="H476" s="39" t="str">
        <f>IFERROR(__xludf.DUMMYFUNCTION("""COMPUTED_VALUE"""),"Max Jones")</f>
        <v>Max Jones</v>
      </c>
      <c r="I476" s="40">
        <f t="shared" si="3"/>
        <v>13</v>
      </c>
    </row>
    <row r="477">
      <c r="A477" s="11">
        <v>476.0</v>
      </c>
      <c r="B477" s="12">
        <f t="shared" si="80"/>
        <v>39892</v>
      </c>
      <c r="C477" s="11" t="s">
        <v>925</v>
      </c>
      <c r="D477" s="11" t="s">
        <v>49</v>
      </c>
      <c r="F477" s="38">
        <f>IFERROR(__xludf.DUMMYFUNCTION("""COMPUTED_VALUE"""),40300.0)</f>
        <v>40300</v>
      </c>
      <c r="G477" s="39">
        <f t="shared" si="2"/>
        <v>4</v>
      </c>
      <c r="H477" s="39" t="str">
        <f>IFERROR(__xludf.DUMMYFUNCTION("""COMPUTED_VALUE"""),"Gary McGarr")</f>
        <v>Gary McGarr</v>
      </c>
      <c r="I477" s="40">
        <f t="shared" si="3"/>
        <v>8</v>
      </c>
    </row>
    <row r="478">
      <c r="A478" s="11">
        <v>477.0</v>
      </c>
      <c r="B478" s="12">
        <f t="shared" ref="B478:B483" si="81">DATE(2012,12,31)-1381</f>
        <v>39893</v>
      </c>
      <c r="C478" s="11" t="s">
        <v>928</v>
      </c>
      <c r="D478" s="11" t="s">
        <v>28</v>
      </c>
      <c r="F478" s="38">
        <f>IFERROR(__xludf.DUMMYFUNCTION("""COMPUTED_VALUE"""),40301.0)</f>
        <v>40301</v>
      </c>
      <c r="G478" s="39">
        <f t="shared" si="2"/>
        <v>5</v>
      </c>
      <c r="H478" s="39" t="str">
        <f>IFERROR(__xludf.DUMMYFUNCTION("""COMPUTED_VALUE"""),"Brendan Dodson")</f>
        <v>Brendan Dodson</v>
      </c>
      <c r="I478" s="40">
        <f t="shared" si="3"/>
        <v>8</v>
      </c>
    </row>
    <row r="479">
      <c r="A479" s="11">
        <v>478.0</v>
      </c>
      <c r="B479" s="12">
        <f t="shared" si="81"/>
        <v>39893</v>
      </c>
      <c r="C479" s="11" t="s">
        <v>930</v>
      </c>
      <c r="D479" s="11" t="s">
        <v>28</v>
      </c>
      <c r="F479" s="38">
        <f>IFERROR(__xludf.DUMMYFUNCTION("""COMPUTED_VALUE"""),40302.0)</f>
        <v>40302</v>
      </c>
      <c r="G479" s="39">
        <f t="shared" si="2"/>
        <v>4</v>
      </c>
      <c r="H479" s="39" t="str">
        <f>IFERROR(__xludf.DUMMYFUNCTION("""COMPUTED_VALUE"""),"Mark Packer")</f>
        <v>Mark Packer</v>
      </c>
      <c r="I479" s="40">
        <f t="shared" si="3"/>
        <v>9</v>
      </c>
    </row>
    <row r="480">
      <c r="A480" s="11">
        <v>479.0</v>
      </c>
      <c r="B480" s="12">
        <f t="shared" si="81"/>
        <v>39893</v>
      </c>
      <c r="C480" s="11" t="s">
        <v>412</v>
      </c>
      <c r="D480" s="11" t="s">
        <v>28</v>
      </c>
      <c r="F480" s="38">
        <f>IFERROR(__xludf.DUMMYFUNCTION("""COMPUTED_VALUE"""),40303.0)</f>
        <v>40303</v>
      </c>
      <c r="G480" s="39">
        <f t="shared" si="2"/>
        <v>7</v>
      </c>
      <c r="H480" s="39" t="str">
        <f>IFERROR(__xludf.DUMMYFUNCTION("""COMPUTED_VALUE"""),"Allen Rosenblatt")</f>
        <v>Allen Rosenblatt</v>
      </c>
      <c r="I480" s="40">
        <f t="shared" si="3"/>
        <v>6</v>
      </c>
    </row>
    <row r="481">
      <c r="A481" s="11">
        <v>480.0</v>
      </c>
      <c r="B481" s="12">
        <f t="shared" si="81"/>
        <v>39893</v>
      </c>
      <c r="C481" s="11" t="s">
        <v>932</v>
      </c>
      <c r="D481" s="11" t="s">
        <v>66</v>
      </c>
      <c r="F481" s="38">
        <f>IFERROR(__xludf.DUMMYFUNCTION("""COMPUTED_VALUE"""),40304.0)</f>
        <v>40304</v>
      </c>
      <c r="G481" s="39">
        <f t="shared" si="2"/>
        <v>9</v>
      </c>
      <c r="H481" s="39" t="str">
        <f>IFERROR(__xludf.DUMMYFUNCTION("""COMPUTED_VALUE"""),"Max Ludwig")</f>
        <v>Max Ludwig</v>
      </c>
      <c r="I481" s="40">
        <f t="shared" si="3"/>
        <v>6</v>
      </c>
    </row>
    <row r="482">
      <c r="A482" s="11">
        <v>481.0</v>
      </c>
      <c r="B482" s="12">
        <f t="shared" si="81"/>
        <v>39893</v>
      </c>
      <c r="C482" s="11" t="s">
        <v>932</v>
      </c>
      <c r="D482" s="11" t="s">
        <v>66</v>
      </c>
      <c r="F482" s="38">
        <f>IFERROR(__xludf.DUMMYFUNCTION("""COMPUTED_VALUE"""),40305.0)</f>
        <v>40305</v>
      </c>
      <c r="G482" s="39">
        <f t="shared" si="2"/>
        <v>9</v>
      </c>
      <c r="H482" s="39" t="str">
        <f>IFERROR(__xludf.DUMMYFUNCTION("""COMPUTED_VALUE"""),"Alan Dominguez")</f>
        <v>Alan Dominguez</v>
      </c>
      <c r="I482" s="40">
        <f t="shared" si="3"/>
        <v>6</v>
      </c>
    </row>
    <row r="483">
      <c r="A483" s="11">
        <v>482.0</v>
      </c>
      <c r="B483" s="12">
        <f t="shared" si="81"/>
        <v>39893</v>
      </c>
      <c r="C483" s="11" t="s">
        <v>934</v>
      </c>
      <c r="D483" s="11" t="s">
        <v>66</v>
      </c>
      <c r="F483" s="38">
        <f>IFERROR(__xludf.DUMMYFUNCTION("""COMPUTED_VALUE"""),40306.0)</f>
        <v>40306</v>
      </c>
      <c r="G483" s="39">
        <f t="shared" si="2"/>
        <v>2</v>
      </c>
      <c r="H483" s="39" t="str">
        <f>IFERROR(__xludf.DUMMYFUNCTION("""COMPUTED_VALUE"""),"Erin Creighton")</f>
        <v>Erin Creighton</v>
      </c>
      <c r="I483" s="40">
        <f t="shared" si="3"/>
        <v>18</v>
      </c>
    </row>
    <row r="484">
      <c r="A484" s="11">
        <v>483.0</v>
      </c>
      <c r="B484" s="12">
        <f t="shared" ref="B484:B495" si="82">DATE(2012,12,31)-1380</f>
        <v>39894</v>
      </c>
      <c r="C484" s="11" t="s">
        <v>936</v>
      </c>
      <c r="D484" s="11" t="s">
        <v>66</v>
      </c>
      <c r="F484" s="38">
        <f>IFERROR(__xludf.DUMMYFUNCTION("""COMPUTED_VALUE"""),40307.0)</f>
        <v>40307</v>
      </c>
      <c r="G484" s="39">
        <f t="shared" si="2"/>
        <v>4</v>
      </c>
      <c r="H484" s="39" t="str">
        <f>IFERROR(__xludf.DUMMYFUNCTION("""COMPUTED_VALUE"""),"Ben Peterman")</f>
        <v>Ben Peterman</v>
      </c>
      <c r="I484" s="40">
        <f t="shared" si="3"/>
        <v>7</v>
      </c>
    </row>
    <row r="485">
      <c r="A485" s="11">
        <v>484.0</v>
      </c>
      <c r="B485" s="12">
        <f t="shared" si="82"/>
        <v>39894</v>
      </c>
      <c r="C485" s="11" t="s">
        <v>936</v>
      </c>
      <c r="D485" s="11" t="s">
        <v>28</v>
      </c>
      <c r="F485" s="38">
        <f>IFERROR(__xludf.DUMMYFUNCTION("""COMPUTED_VALUE"""),40308.0)</f>
        <v>40308</v>
      </c>
      <c r="G485" s="39">
        <f t="shared" si="2"/>
        <v>6</v>
      </c>
      <c r="H485" s="39" t="str">
        <f>IFERROR(__xludf.DUMMYFUNCTION("""COMPUTED_VALUE"""),"Thomas Seio")</f>
        <v>Thomas Seio</v>
      </c>
      <c r="I485" s="40">
        <f t="shared" si="3"/>
        <v>7</v>
      </c>
    </row>
    <row r="486">
      <c r="A486" s="11">
        <v>485.0</v>
      </c>
      <c r="B486" s="12">
        <f t="shared" si="82"/>
        <v>39894</v>
      </c>
      <c r="C486" s="11" t="s">
        <v>40</v>
      </c>
      <c r="D486" s="11" t="s">
        <v>66</v>
      </c>
      <c r="F486" s="38">
        <f>IFERROR(__xludf.DUMMYFUNCTION("""COMPUTED_VALUE"""),40309.0)</f>
        <v>40309</v>
      </c>
      <c r="G486" s="39">
        <f t="shared" si="2"/>
        <v>13</v>
      </c>
      <c r="H486" s="39" t="str">
        <f>IFERROR(__xludf.DUMMYFUNCTION("""COMPUTED_VALUE"""),"Sarah Brown")</f>
        <v>Sarah Brown</v>
      </c>
      <c r="I486" s="40">
        <f t="shared" si="3"/>
        <v>12</v>
      </c>
    </row>
    <row r="487">
      <c r="A487" s="11">
        <v>486.0</v>
      </c>
      <c r="B487" s="12">
        <f t="shared" si="82"/>
        <v>39894</v>
      </c>
      <c r="C487" s="11" t="s">
        <v>40</v>
      </c>
      <c r="D487" s="11" t="s">
        <v>28</v>
      </c>
      <c r="F487" s="38">
        <f>IFERROR(__xludf.DUMMYFUNCTION("""COMPUTED_VALUE"""),40310.0)</f>
        <v>40310</v>
      </c>
      <c r="G487" s="39">
        <f t="shared" si="2"/>
        <v>8</v>
      </c>
      <c r="H487" s="39" t="str">
        <f>IFERROR(__xludf.DUMMYFUNCTION("""COMPUTED_VALUE"""),"Luke Foster")</f>
        <v>Luke Foster</v>
      </c>
      <c r="I487" s="40">
        <f t="shared" si="3"/>
        <v>6</v>
      </c>
    </row>
    <row r="488">
      <c r="A488" s="11">
        <v>487.0</v>
      </c>
      <c r="B488" s="12">
        <f t="shared" si="82"/>
        <v>39894</v>
      </c>
      <c r="C488" s="11" t="s">
        <v>40</v>
      </c>
      <c r="D488" s="11" t="s">
        <v>28</v>
      </c>
      <c r="F488" s="38">
        <f>IFERROR(__xludf.DUMMYFUNCTION("""COMPUTED_VALUE"""),40311.0)</f>
        <v>40311</v>
      </c>
      <c r="G488" s="39">
        <f t="shared" si="2"/>
        <v>6</v>
      </c>
      <c r="H488" s="39" t="str">
        <f>IFERROR(__xludf.DUMMYFUNCTION("""COMPUTED_VALUE"""),"Greg Maxwell")</f>
        <v>Greg Maxwell</v>
      </c>
      <c r="I488" s="40">
        <f t="shared" si="3"/>
        <v>3</v>
      </c>
    </row>
    <row r="489">
      <c r="A489" s="11">
        <v>488.0</v>
      </c>
      <c r="B489" s="12">
        <f t="shared" si="82"/>
        <v>39894</v>
      </c>
      <c r="C489" s="11" t="s">
        <v>940</v>
      </c>
      <c r="D489" s="11" t="s">
        <v>49</v>
      </c>
      <c r="F489" s="38">
        <f>IFERROR(__xludf.DUMMYFUNCTION("""COMPUTED_VALUE"""),40312.0)</f>
        <v>40312</v>
      </c>
      <c r="G489" s="39">
        <f t="shared" si="2"/>
        <v>11</v>
      </c>
      <c r="H489" s="39" t="str">
        <f>IFERROR(__xludf.DUMMYFUNCTION("""COMPUTED_VALUE"""),"Deanra Eno")</f>
        <v>Deanra Eno</v>
      </c>
      <c r="I489" s="40">
        <f t="shared" si="3"/>
        <v>21</v>
      </c>
    </row>
    <row r="490">
      <c r="A490" s="11">
        <v>489.0</v>
      </c>
      <c r="B490" s="12">
        <f t="shared" si="82"/>
        <v>39894</v>
      </c>
      <c r="C490" s="11" t="s">
        <v>940</v>
      </c>
      <c r="D490" s="11" t="s">
        <v>66</v>
      </c>
      <c r="F490" s="38">
        <f>IFERROR(__xludf.DUMMYFUNCTION("""COMPUTED_VALUE"""),40313.0)</f>
        <v>40313</v>
      </c>
      <c r="G490" s="39">
        <f t="shared" si="2"/>
        <v>7</v>
      </c>
      <c r="H490" s="39" t="str">
        <f>IFERROR(__xludf.DUMMYFUNCTION("""COMPUTED_VALUE"""),"Justin Hirsh")</f>
        <v>Justin Hirsh</v>
      </c>
      <c r="I490" s="40">
        <f t="shared" si="3"/>
        <v>17</v>
      </c>
    </row>
    <row r="491">
      <c r="A491" s="11">
        <v>490.0</v>
      </c>
      <c r="B491" s="12">
        <f t="shared" si="82"/>
        <v>39894</v>
      </c>
      <c r="C491" s="11" t="s">
        <v>942</v>
      </c>
      <c r="D491" s="11" t="s">
        <v>28</v>
      </c>
      <c r="F491" s="38">
        <f>IFERROR(__xludf.DUMMYFUNCTION("""COMPUTED_VALUE"""),40314.0)</f>
        <v>40314</v>
      </c>
      <c r="G491" s="39">
        <f t="shared" si="2"/>
        <v>2</v>
      </c>
      <c r="H491" s="39" t="str">
        <f>IFERROR(__xludf.DUMMYFUNCTION("""COMPUTED_VALUE"""),"Ivan Gibson")</f>
        <v>Ivan Gibson</v>
      </c>
      <c r="I491" s="40">
        <f t="shared" si="3"/>
        <v>5</v>
      </c>
    </row>
    <row r="492">
      <c r="A492" s="11">
        <v>491.0</v>
      </c>
      <c r="B492" s="12">
        <f t="shared" si="82"/>
        <v>39894</v>
      </c>
      <c r="C492" s="11" t="s">
        <v>942</v>
      </c>
      <c r="D492" s="11" t="s">
        <v>66</v>
      </c>
      <c r="F492" s="38">
        <f>IFERROR(__xludf.DUMMYFUNCTION("""COMPUTED_VALUE"""),40315.0)</f>
        <v>40315</v>
      </c>
      <c r="G492" s="39">
        <f t="shared" si="2"/>
        <v>7</v>
      </c>
      <c r="H492" s="39" t="str">
        <f>IFERROR(__xludf.DUMMYFUNCTION("""COMPUTED_VALUE"""),"Maria Etezadi")</f>
        <v>Maria Etezadi</v>
      </c>
      <c r="I492" s="40">
        <f t="shared" si="3"/>
        <v>1</v>
      </c>
    </row>
    <row r="493">
      <c r="A493" s="11">
        <v>492.0</v>
      </c>
      <c r="B493" s="12">
        <f t="shared" si="82"/>
        <v>39894</v>
      </c>
      <c r="C493" s="11" t="s">
        <v>945</v>
      </c>
      <c r="D493" s="11" t="s">
        <v>28</v>
      </c>
      <c r="F493" s="38">
        <f>IFERROR(__xludf.DUMMYFUNCTION("""COMPUTED_VALUE"""),40316.0)</f>
        <v>40316</v>
      </c>
      <c r="G493" s="39">
        <f t="shared" si="2"/>
        <v>2</v>
      </c>
      <c r="H493" s="39" t="str">
        <f>IFERROR(__xludf.DUMMYFUNCTION("""COMPUTED_VALUE"""),"Paul Van Hugh")</f>
        <v>Paul Van Hugh</v>
      </c>
      <c r="I493" s="40">
        <f t="shared" si="3"/>
        <v>6</v>
      </c>
    </row>
    <row r="494">
      <c r="A494" s="11">
        <v>493.0</v>
      </c>
      <c r="B494" s="12">
        <f t="shared" si="82"/>
        <v>39894</v>
      </c>
      <c r="C494" s="11" t="s">
        <v>945</v>
      </c>
      <c r="D494" s="11" t="s">
        <v>28</v>
      </c>
      <c r="F494" s="38">
        <f>IFERROR(__xludf.DUMMYFUNCTION("""COMPUTED_VALUE"""),40317.0)</f>
        <v>40317</v>
      </c>
      <c r="G494" s="39">
        <f t="shared" si="2"/>
        <v>7</v>
      </c>
      <c r="H494" s="39" t="str">
        <f>IFERROR(__xludf.DUMMYFUNCTION("""COMPUTED_VALUE"""),"Shaun Chance")</f>
        <v>Shaun Chance</v>
      </c>
      <c r="I494" s="40">
        <f t="shared" si="3"/>
        <v>11</v>
      </c>
    </row>
    <row r="495">
      <c r="A495" s="11">
        <v>494.0</v>
      </c>
      <c r="B495" s="12">
        <f t="shared" si="82"/>
        <v>39894</v>
      </c>
      <c r="C495" s="11" t="s">
        <v>947</v>
      </c>
      <c r="D495" s="11" t="s">
        <v>66</v>
      </c>
      <c r="F495" s="38">
        <f>IFERROR(__xludf.DUMMYFUNCTION("""COMPUTED_VALUE"""),40318.0)</f>
        <v>40318</v>
      </c>
      <c r="G495" s="39">
        <f t="shared" si="2"/>
        <v>9</v>
      </c>
      <c r="H495" s="39" t="str">
        <f>IFERROR(__xludf.DUMMYFUNCTION("""COMPUTED_VALUE"""),"Gary Mitchum")</f>
        <v>Gary Mitchum</v>
      </c>
      <c r="I495" s="40">
        <f t="shared" si="3"/>
        <v>5</v>
      </c>
    </row>
    <row r="496">
      <c r="A496" s="11">
        <v>495.0</v>
      </c>
      <c r="B496" s="12">
        <f t="shared" ref="B496:B502" si="83">DATE(2012,12,31)-1379</f>
        <v>39895</v>
      </c>
      <c r="C496" s="11" t="s">
        <v>366</v>
      </c>
      <c r="D496" s="11" t="s">
        <v>28</v>
      </c>
      <c r="F496" s="38">
        <f>IFERROR(__xludf.DUMMYFUNCTION("""COMPUTED_VALUE"""),40319.0)</f>
        <v>40319</v>
      </c>
      <c r="G496" s="39">
        <f t="shared" si="2"/>
        <v>10</v>
      </c>
      <c r="H496" s="39" t="str">
        <f>IFERROR(__xludf.DUMMYFUNCTION("""COMPUTED_VALUE"""),"Ann Chong")</f>
        <v>Ann Chong</v>
      </c>
      <c r="I496" s="40">
        <f t="shared" si="3"/>
        <v>7</v>
      </c>
    </row>
    <row r="497">
      <c r="A497" s="11">
        <v>496.0</v>
      </c>
      <c r="B497" s="12">
        <f t="shared" si="83"/>
        <v>39895</v>
      </c>
      <c r="C497" s="11" t="s">
        <v>366</v>
      </c>
      <c r="D497" s="11" t="s">
        <v>28</v>
      </c>
      <c r="F497" s="38">
        <f>IFERROR(__xludf.DUMMYFUNCTION("""COMPUTED_VALUE"""),40320.0)</f>
        <v>40320</v>
      </c>
      <c r="G497" s="39">
        <f t="shared" si="2"/>
        <v>2</v>
      </c>
      <c r="H497" s="39" t="str">
        <f>IFERROR(__xludf.DUMMYFUNCTION("""COMPUTED_VALUE"""),"Jonathan Howell")</f>
        <v>Jonathan Howell</v>
      </c>
      <c r="I497" s="40">
        <f t="shared" si="3"/>
        <v>6</v>
      </c>
    </row>
    <row r="498">
      <c r="A498" s="11">
        <v>497.0</v>
      </c>
      <c r="B498" s="12">
        <f t="shared" si="83"/>
        <v>39895</v>
      </c>
      <c r="C498" s="11" t="s">
        <v>953</v>
      </c>
      <c r="D498" s="11" t="s">
        <v>66</v>
      </c>
      <c r="F498" s="38">
        <f>IFERROR(__xludf.DUMMYFUNCTION("""COMPUTED_VALUE"""),40321.0)</f>
        <v>40321</v>
      </c>
      <c r="G498" s="39">
        <f t="shared" si="2"/>
        <v>11</v>
      </c>
      <c r="H498" s="39" t="str">
        <f>IFERROR(__xludf.DUMMYFUNCTION("""COMPUTED_VALUE"""),"Jim Mitchum")</f>
        <v>Jim Mitchum</v>
      </c>
      <c r="I498" s="40">
        <f t="shared" si="3"/>
        <v>10</v>
      </c>
    </row>
    <row r="499">
      <c r="A499" s="11">
        <v>498.0</v>
      </c>
      <c r="B499" s="12">
        <f t="shared" si="83"/>
        <v>39895</v>
      </c>
      <c r="C499" s="11" t="s">
        <v>953</v>
      </c>
      <c r="D499" s="11" t="s">
        <v>28</v>
      </c>
      <c r="F499" s="38">
        <f>IFERROR(__xludf.DUMMYFUNCTION("""COMPUTED_VALUE"""),40322.0)</f>
        <v>40322</v>
      </c>
      <c r="G499" s="39">
        <f t="shared" si="2"/>
        <v>6</v>
      </c>
      <c r="H499" s="39" t="str">
        <f>IFERROR(__xludf.DUMMYFUNCTION("""COMPUTED_VALUE"""),"Barry Gonzalez")</f>
        <v>Barry Gonzalez</v>
      </c>
      <c r="I499" s="40">
        <f t="shared" si="3"/>
        <v>21</v>
      </c>
    </row>
    <row r="500">
      <c r="A500" s="11">
        <v>499.0</v>
      </c>
      <c r="B500" s="12">
        <f t="shared" si="83"/>
        <v>39895</v>
      </c>
      <c r="C500" s="11" t="s">
        <v>271</v>
      </c>
      <c r="D500" s="11" t="s">
        <v>66</v>
      </c>
      <c r="F500" s="38">
        <f>IFERROR(__xludf.DUMMYFUNCTION("""COMPUTED_VALUE"""),40323.0)</f>
        <v>40323</v>
      </c>
      <c r="G500" s="39">
        <f t="shared" si="2"/>
        <v>12</v>
      </c>
      <c r="H500" s="39" t="str">
        <f>IFERROR(__xludf.DUMMYFUNCTION("""COMPUTED_VALUE"""),"MaryBeth Skach")</f>
        <v>MaryBeth Skach</v>
      </c>
      <c r="I500" s="40">
        <f t="shared" si="3"/>
        <v>11</v>
      </c>
    </row>
    <row r="501">
      <c r="A501" s="11">
        <v>500.0</v>
      </c>
      <c r="B501" s="12">
        <f t="shared" si="83"/>
        <v>39895</v>
      </c>
      <c r="C501" s="11" t="s">
        <v>174</v>
      </c>
      <c r="D501" s="11" t="s">
        <v>28</v>
      </c>
      <c r="F501" s="38">
        <f>IFERROR(__xludf.DUMMYFUNCTION("""COMPUTED_VALUE"""),40324.0)</f>
        <v>40324</v>
      </c>
      <c r="G501" s="39">
        <f t="shared" si="2"/>
        <v>7</v>
      </c>
      <c r="H501" s="39" t="str">
        <f>IFERROR(__xludf.DUMMYFUNCTION("""COMPUTED_VALUE"""),"Maya Herman")</f>
        <v>Maya Herman</v>
      </c>
      <c r="I501" s="40">
        <f t="shared" si="3"/>
        <v>11</v>
      </c>
    </row>
    <row r="502">
      <c r="A502" s="11">
        <v>501.0</v>
      </c>
      <c r="B502" s="12">
        <f t="shared" si="83"/>
        <v>39895</v>
      </c>
      <c r="C502" s="11" t="s">
        <v>174</v>
      </c>
      <c r="D502" s="11" t="s">
        <v>28</v>
      </c>
      <c r="F502" s="38">
        <f>IFERROR(__xludf.DUMMYFUNCTION("""COMPUTED_VALUE"""),40325.0)</f>
        <v>40325</v>
      </c>
      <c r="G502" s="39">
        <f t="shared" si="2"/>
        <v>4</v>
      </c>
      <c r="H502" s="39" t="str">
        <f>IFERROR(__xludf.DUMMYFUNCTION("""COMPUTED_VALUE"""),"Aaron Hawkins")</f>
        <v>Aaron Hawkins</v>
      </c>
      <c r="I502" s="40">
        <f t="shared" si="3"/>
        <v>8</v>
      </c>
    </row>
    <row r="503">
      <c r="A503" s="11">
        <v>502.0</v>
      </c>
      <c r="B503" s="12">
        <f t="shared" ref="B503:B509" si="84">DATE(2012,12,31)-1378</f>
        <v>39896</v>
      </c>
      <c r="C503" s="11" t="s">
        <v>958</v>
      </c>
      <c r="D503" s="11" t="s">
        <v>28</v>
      </c>
      <c r="F503" s="38">
        <f>IFERROR(__xludf.DUMMYFUNCTION("""COMPUTED_VALUE"""),40326.0)</f>
        <v>40326</v>
      </c>
      <c r="G503" s="39">
        <f t="shared" si="2"/>
        <v>6</v>
      </c>
      <c r="H503" s="39" t="str">
        <f>IFERROR(__xludf.DUMMYFUNCTION("""COMPUTED_VALUE"""),"Toby Braunhardt")</f>
        <v>Toby Braunhardt</v>
      </c>
      <c r="I503" s="40">
        <f t="shared" si="3"/>
        <v>3</v>
      </c>
    </row>
    <row r="504">
      <c r="A504" s="11">
        <v>503.0</v>
      </c>
      <c r="B504" s="12">
        <f t="shared" si="84"/>
        <v>39896</v>
      </c>
      <c r="C504" s="11" t="s">
        <v>960</v>
      </c>
      <c r="D504" s="11" t="s">
        <v>49</v>
      </c>
      <c r="F504" s="38">
        <f>IFERROR(__xludf.DUMMYFUNCTION("""COMPUTED_VALUE"""),40327.0)</f>
        <v>40327</v>
      </c>
      <c r="G504" s="39">
        <f t="shared" si="2"/>
        <v>5</v>
      </c>
      <c r="H504" s="39" t="str">
        <f>IFERROR(__xludf.DUMMYFUNCTION("""COMPUTED_VALUE"""),"Sarah Foster")</f>
        <v>Sarah Foster</v>
      </c>
      <c r="I504" s="40">
        <f t="shared" si="3"/>
        <v>10</v>
      </c>
    </row>
    <row r="505">
      <c r="A505" s="11">
        <v>504.0</v>
      </c>
      <c r="B505" s="12">
        <f t="shared" si="84"/>
        <v>39896</v>
      </c>
      <c r="C505" s="11" t="s">
        <v>960</v>
      </c>
      <c r="D505" s="11" t="s">
        <v>28</v>
      </c>
      <c r="F505" s="38">
        <f>IFERROR(__xludf.DUMMYFUNCTION("""COMPUTED_VALUE"""),40328.0)</f>
        <v>40328</v>
      </c>
      <c r="G505" s="39">
        <f t="shared" si="2"/>
        <v>5</v>
      </c>
      <c r="H505" s="39" t="str">
        <f>IFERROR(__xludf.DUMMYFUNCTION("""COMPUTED_VALUE"""),"Jas O'Carroll")</f>
        <v>Jas O'Carroll</v>
      </c>
      <c r="I505" s="40">
        <f t="shared" si="3"/>
        <v>16</v>
      </c>
    </row>
    <row r="506">
      <c r="A506" s="11">
        <v>505.0</v>
      </c>
      <c r="B506" s="12">
        <f t="shared" si="84"/>
        <v>39896</v>
      </c>
      <c r="C506" s="11" t="s">
        <v>961</v>
      </c>
      <c r="D506" s="11" t="s">
        <v>49</v>
      </c>
      <c r="F506" s="38">
        <f>IFERROR(__xludf.DUMMYFUNCTION("""COMPUTED_VALUE"""),40329.0)</f>
        <v>40329</v>
      </c>
      <c r="G506" s="39">
        <f t="shared" si="2"/>
        <v>5</v>
      </c>
      <c r="H506" s="39" t="str">
        <f>IFERROR(__xludf.DUMMYFUNCTION("""COMPUTED_VALUE"""),"Tom Zandusky")</f>
        <v>Tom Zandusky</v>
      </c>
      <c r="I506" s="40">
        <f t="shared" si="3"/>
        <v>5</v>
      </c>
    </row>
    <row r="507">
      <c r="A507" s="11">
        <v>506.0</v>
      </c>
      <c r="B507" s="12">
        <f t="shared" si="84"/>
        <v>39896</v>
      </c>
      <c r="C507" s="11" t="s">
        <v>961</v>
      </c>
      <c r="D507" s="11" t="s">
        <v>28</v>
      </c>
      <c r="F507" s="38">
        <f>IFERROR(__xludf.DUMMYFUNCTION("""COMPUTED_VALUE"""),40330.0)</f>
        <v>40330</v>
      </c>
      <c r="G507" s="39">
        <f t="shared" si="2"/>
        <v>5</v>
      </c>
      <c r="H507" s="39" t="str">
        <f>IFERROR(__xludf.DUMMYFUNCTION("""COMPUTED_VALUE"""),"Lisa Hazard")</f>
        <v>Lisa Hazard</v>
      </c>
      <c r="I507" s="40">
        <f t="shared" si="3"/>
        <v>11</v>
      </c>
    </row>
    <row r="508">
      <c r="A508" s="11">
        <v>507.0</v>
      </c>
      <c r="B508" s="12">
        <f t="shared" si="84"/>
        <v>39896</v>
      </c>
      <c r="C508" s="11" t="s">
        <v>963</v>
      </c>
      <c r="D508" s="11" t="s">
        <v>28</v>
      </c>
      <c r="F508" s="38">
        <f>IFERROR(__xludf.DUMMYFUNCTION("""COMPUTED_VALUE"""),40331.0)</f>
        <v>40331</v>
      </c>
      <c r="G508" s="39">
        <f t="shared" si="2"/>
        <v>4</v>
      </c>
      <c r="H508" s="39" t="str">
        <f>IFERROR(__xludf.DUMMYFUNCTION("""COMPUTED_VALUE"""),"Daniel Lacy")</f>
        <v>Daniel Lacy</v>
      </c>
      <c r="I508" s="40">
        <f t="shared" si="3"/>
        <v>9</v>
      </c>
    </row>
    <row r="509">
      <c r="A509" s="11">
        <v>508.0</v>
      </c>
      <c r="B509" s="12">
        <f t="shared" si="84"/>
        <v>39896</v>
      </c>
      <c r="C509" s="11" t="s">
        <v>966</v>
      </c>
      <c r="D509" s="11" t="s">
        <v>49</v>
      </c>
      <c r="F509" s="38">
        <f>IFERROR(__xludf.DUMMYFUNCTION("""COMPUTED_VALUE"""),40332.0)</f>
        <v>40332</v>
      </c>
      <c r="G509" s="39">
        <f t="shared" si="2"/>
        <v>5</v>
      </c>
      <c r="H509" s="39" t="str">
        <f>IFERROR(__xludf.DUMMYFUNCTION("""COMPUTED_VALUE"""),"Matthew Grinstein")</f>
        <v>Matthew Grinstein</v>
      </c>
      <c r="I509" s="40">
        <f t="shared" si="3"/>
        <v>18</v>
      </c>
    </row>
    <row r="510">
      <c r="A510" s="11">
        <v>509.0</v>
      </c>
      <c r="B510" s="12">
        <f t="shared" ref="B510:B519" si="85">DATE(2012,12,31)-1377</f>
        <v>39897</v>
      </c>
      <c r="C510" s="11" t="s">
        <v>968</v>
      </c>
      <c r="D510" s="11" t="s">
        <v>28</v>
      </c>
      <c r="F510" s="38">
        <f>IFERROR(__xludf.DUMMYFUNCTION("""COMPUTED_VALUE"""),40333.0)</f>
        <v>40333</v>
      </c>
      <c r="G510" s="39">
        <f t="shared" si="2"/>
        <v>4</v>
      </c>
      <c r="H510" s="39" t="str">
        <f>IFERROR(__xludf.DUMMYFUNCTION("""COMPUTED_VALUE"""),"Sean Braxton")</f>
        <v>Sean Braxton</v>
      </c>
      <c r="I510" s="40">
        <f t="shared" si="3"/>
        <v>12</v>
      </c>
    </row>
    <row r="511">
      <c r="A511" s="11">
        <v>510.0</v>
      </c>
      <c r="B511" s="12">
        <f t="shared" si="85"/>
        <v>39897</v>
      </c>
      <c r="C511" s="11" t="s">
        <v>968</v>
      </c>
      <c r="D511" s="11" t="s">
        <v>28</v>
      </c>
      <c r="F511" s="38">
        <f>IFERROR(__xludf.DUMMYFUNCTION("""COMPUTED_VALUE"""),40334.0)</f>
        <v>40334</v>
      </c>
      <c r="G511" s="39">
        <f t="shared" si="2"/>
        <v>6</v>
      </c>
      <c r="H511" s="39" t="str">
        <f>IFERROR(__xludf.DUMMYFUNCTION("""COMPUTED_VALUE"""),"Patrick Gardner")</f>
        <v>Patrick Gardner</v>
      </c>
      <c r="I511" s="40">
        <f t="shared" si="3"/>
        <v>5</v>
      </c>
    </row>
    <row r="512">
      <c r="A512" s="11">
        <v>511.0</v>
      </c>
      <c r="B512" s="12">
        <f t="shared" si="85"/>
        <v>39897</v>
      </c>
      <c r="C512" s="11" t="s">
        <v>970</v>
      </c>
      <c r="D512" s="11" t="s">
        <v>28</v>
      </c>
      <c r="F512" s="38">
        <f>IFERROR(__xludf.DUMMYFUNCTION("""COMPUTED_VALUE"""),40335.0)</f>
        <v>40335</v>
      </c>
      <c r="G512" s="39">
        <f t="shared" si="2"/>
        <v>5</v>
      </c>
      <c r="H512" s="39" t="str">
        <f>IFERROR(__xludf.DUMMYFUNCTION("""COMPUTED_VALUE"""),"Arianne Irving")</f>
        <v>Arianne Irving</v>
      </c>
      <c r="I512" s="40">
        <f t="shared" si="3"/>
        <v>9</v>
      </c>
    </row>
    <row r="513">
      <c r="A513" s="11">
        <v>512.0</v>
      </c>
      <c r="B513" s="12">
        <f t="shared" si="85"/>
        <v>39897</v>
      </c>
      <c r="C513" s="11" t="s">
        <v>970</v>
      </c>
      <c r="D513" s="11" t="s">
        <v>28</v>
      </c>
      <c r="F513" s="38">
        <f>IFERROR(__xludf.DUMMYFUNCTION("""COMPUTED_VALUE"""),40336.0)</f>
        <v>40336</v>
      </c>
      <c r="G513" s="39">
        <f t="shared" si="2"/>
        <v>7</v>
      </c>
      <c r="H513" s="39" t="str">
        <f>IFERROR(__xludf.DUMMYFUNCTION("""COMPUTED_VALUE"""),"Ed Ludwig")</f>
        <v>Ed Ludwig</v>
      </c>
      <c r="I513" s="40">
        <f t="shared" si="3"/>
        <v>14</v>
      </c>
    </row>
    <row r="514">
      <c r="A514" s="11">
        <v>513.0</v>
      </c>
      <c r="B514" s="12">
        <f t="shared" si="85"/>
        <v>39897</v>
      </c>
      <c r="C514" s="11" t="s">
        <v>973</v>
      </c>
      <c r="D514" s="11" t="s">
        <v>49</v>
      </c>
      <c r="F514" s="38">
        <f>IFERROR(__xludf.DUMMYFUNCTION("""COMPUTED_VALUE"""),40337.0)</f>
        <v>40337</v>
      </c>
      <c r="G514" s="39">
        <f t="shared" si="2"/>
        <v>9</v>
      </c>
      <c r="H514" s="39" t="str">
        <f>IFERROR(__xludf.DUMMYFUNCTION("""COMPUTED_VALUE"""),"Monica Federle")</f>
        <v>Monica Federle</v>
      </c>
      <c r="I514" s="40">
        <f t="shared" si="3"/>
        <v>11</v>
      </c>
    </row>
    <row r="515">
      <c r="A515" s="11">
        <v>514.0</v>
      </c>
      <c r="B515" s="12">
        <f t="shared" si="85"/>
        <v>39897</v>
      </c>
      <c r="C515" s="11" t="s">
        <v>690</v>
      </c>
      <c r="D515" s="11" t="s">
        <v>49</v>
      </c>
      <c r="F515" s="38">
        <f>IFERROR(__xludf.DUMMYFUNCTION("""COMPUTED_VALUE"""),40338.0)</f>
        <v>40338</v>
      </c>
      <c r="G515" s="39">
        <f t="shared" si="2"/>
        <v>9</v>
      </c>
      <c r="H515" s="39" t="str">
        <f>IFERROR(__xludf.DUMMYFUNCTION("""COMPUTED_VALUE"""),"Joni Wasserman")</f>
        <v>Joni Wasserman</v>
      </c>
      <c r="I515" s="40">
        <f t="shared" si="3"/>
        <v>12</v>
      </c>
    </row>
    <row r="516">
      <c r="A516" s="11">
        <v>515.0</v>
      </c>
      <c r="B516" s="12">
        <f t="shared" si="85"/>
        <v>39897</v>
      </c>
      <c r="C516" s="11" t="s">
        <v>550</v>
      </c>
      <c r="D516" s="11" t="s">
        <v>66</v>
      </c>
      <c r="F516" s="38">
        <f>IFERROR(__xludf.DUMMYFUNCTION("""COMPUTED_VALUE"""),40339.0)</f>
        <v>40339</v>
      </c>
      <c r="G516" s="39">
        <f t="shared" si="2"/>
        <v>7</v>
      </c>
      <c r="H516" s="39" t="str">
        <f>IFERROR(__xludf.DUMMYFUNCTION("""COMPUTED_VALUE"""),"Patrick O'Donnell")</f>
        <v>Patrick O'Donnell</v>
      </c>
      <c r="I516" s="40">
        <f t="shared" si="3"/>
        <v>10</v>
      </c>
    </row>
    <row r="517">
      <c r="A517" s="11">
        <v>516.0</v>
      </c>
      <c r="B517" s="12">
        <f t="shared" si="85"/>
        <v>39897</v>
      </c>
      <c r="C517" s="11" t="s">
        <v>550</v>
      </c>
      <c r="D517" s="11" t="s">
        <v>28</v>
      </c>
      <c r="F517" s="38">
        <f>IFERROR(__xludf.DUMMYFUNCTION("""COMPUTED_VALUE"""),40340.0)</f>
        <v>40340</v>
      </c>
      <c r="G517" s="39">
        <f t="shared" si="2"/>
        <v>1</v>
      </c>
      <c r="H517" s="39" t="str">
        <f>IFERROR(__xludf.DUMMYFUNCTION("""COMPUTED_VALUE"""),"Matthew Clasen")</f>
        <v>Matthew Clasen</v>
      </c>
      <c r="I517" s="40">
        <f t="shared" si="3"/>
        <v>5</v>
      </c>
    </row>
    <row r="518">
      <c r="A518" s="11">
        <v>517.0</v>
      </c>
      <c r="B518" s="12">
        <f t="shared" si="85"/>
        <v>39897</v>
      </c>
      <c r="C518" s="11" t="s">
        <v>550</v>
      </c>
      <c r="D518" s="11" t="s">
        <v>28</v>
      </c>
      <c r="F518" s="38">
        <f>IFERROR(__xludf.DUMMYFUNCTION("""COMPUTED_VALUE"""),40342.0)</f>
        <v>40342</v>
      </c>
      <c r="G518" s="39">
        <f t="shared" si="2"/>
        <v>5</v>
      </c>
      <c r="H518" s="39" t="str">
        <f>IFERROR(__xludf.DUMMYFUNCTION("""COMPUTED_VALUE"""),"Steve Chapman")</f>
        <v>Steve Chapman</v>
      </c>
      <c r="I518" s="40">
        <f t="shared" si="3"/>
        <v>16</v>
      </c>
    </row>
    <row r="519">
      <c r="A519" s="11">
        <v>518.0</v>
      </c>
      <c r="B519" s="12">
        <f t="shared" si="85"/>
        <v>39897</v>
      </c>
      <c r="C519" s="11" t="s">
        <v>550</v>
      </c>
      <c r="D519" s="11" t="s">
        <v>28</v>
      </c>
      <c r="F519" s="38">
        <f>IFERROR(__xludf.DUMMYFUNCTION("""COMPUTED_VALUE"""),40343.0)</f>
        <v>40343</v>
      </c>
      <c r="G519" s="39">
        <f t="shared" si="2"/>
        <v>8</v>
      </c>
      <c r="H519" s="39" t="str">
        <f>IFERROR(__xludf.DUMMYFUNCTION("""COMPUTED_VALUE"""),"Chuck Clark")</f>
        <v>Chuck Clark</v>
      </c>
      <c r="I519" s="40">
        <f t="shared" si="3"/>
        <v>19</v>
      </c>
    </row>
    <row r="520">
      <c r="A520" s="11">
        <v>519.0</v>
      </c>
      <c r="B520" s="12">
        <f t="shared" ref="B520:B525" si="86">DATE(2012,12,31)-1376</f>
        <v>39898</v>
      </c>
      <c r="C520" s="11" t="s">
        <v>977</v>
      </c>
      <c r="D520" s="11" t="s">
        <v>28</v>
      </c>
      <c r="F520" s="38">
        <f>IFERROR(__xludf.DUMMYFUNCTION("""COMPUTED_VALUE"""),40344.0)</f>
        <v>40344</v>
      </c>
      <c r="G520" s="39">
        <f t="shared" si="2"/>
        <v>8</v>
      </c>
      <c r="H520" s="39" t="str">
        <f>IFERROR(__xludf.DUMMYFUNCTION("""COMPUTED_VALUE"""),"Michael Kennedy")</f>
        <v>Michael Kennedy</v>
      </c>
      <c r="I520" s="40">
        <f t="shared" si="3"/>
        <v>7</v>
      </c>
    </row>
    <row r="521">
      <c r="A521" s="11">
        <v>520.0</v>
      </c>
      <c r="B521" s="12">
        <f t="shared" si="86"/>
        <v>39898</v>
      </c>
      <c r="C521" s="11" t="s">
        <v>145</v>
      </c>
      <c r="D521" s="11" t="s">
        <v>28</v>
      </c>
      <c r="F521" s="38">
        <f>IFERROR(__xludf.DUMMYFUNCTION("""COMPUTED_VALUE"""),40345.0)</f>
        <v>40345</v>
      </c>
      <c r="G521" s="39">
        <f t="shared" si="2"/>
        <v>6</v>
      </c>
      <c r="H521" s="39" t="str">
        <f>IFERROR(__xludf.DUMMYFUNCTION("""COMPUTED_VALUE"""),"Katherine Murray")</f>
        <v>Katherine Murray</v>
      </c>
      <c r="I521" s="40">
        <f t="shared" si="3"/>
        <v>8</v>
      </c>
    </row>
    <row r="522">
      <c r="A522" s="11">
        <v>521.0</v>
      </c>
      <c r="B522" s="12">
        <f t="shared" si="86"/>
        <v>39898</v>
      </c>
      <c r="C522" s="11" t="s">
        <v>145</v>
      </c>
      <c r="D522" s="11" t="s">
        <v>28</v>
      </c>
      <c r="F522" s="38">
        <f>IFERROR(__xludf.DUMMYFUNCTION("""COMPUTED_VALUE"""),40346.0)</f>
        <v>40346</v>
      </c>
      <c r="G522" s="39">
        <f t="shared" si="2"/>
        <v>10</v>
      </c>
      <c r="H522" s="39" t="str">
        <f>IFERROR(__xludf.DUMMYFUNCTION("""COMPUTED_VALUE"""),"Ralph Knight")</f>
        <v>Ralph Knight</v>
      </c>
      <c r="I522" s="40">
        <f t="shared" si="3"/>
        <v>7</v>
      </c>
    </row>
    <row r="523">
      <c r="A523" s="11">
        <v>522.0</v>
      </c>
      <c r="B523" s="12">
        <f t="shared" si="86"/>
        <v>39898</v>
      </c>
      <c r="C523" s="11" t="s">
        <v>981</v>
      </c>
      <c r="D523" s="11" t="s">
        <v>28</v>
      </c>
      <c r="F523" s="38">
        <f>IFERROR(__xludf.DUMMYFUNCTION("""COMPUTED_VALUE"""),40347.0)</f>
        <v>40347</v>
      </c>
      <c r="G523" s="39">
        <f t="shared" si="2"/>
        <v>1</v>
      </c>
      <c r="H523" s="39" t="str">
        <f>IFERROR(__xludf.DUMMYFUNCTION("""COMPUTED_VALUE"""),"Sarah Bern")</f>
        <v>Sarah Bern</v>
      </c>
      <c r="I523" s="40">
        <f t="shared" si="3"/>
        <v>5</v>
      </c>
    </row>
    <row r="524">
      <c r="A524" s="11">
        <v>523.0</v>
      </c>
      <c r="B524" s="12">
        <f t="shared" si="86"/>
        <v>39898</v>
      </c>
      <c r="C524" s="11" t="s">
        <v>982</v>
      </c>
      <c r="D524" s="11" t="s">
        <v>28</v>
      </c>
      <c r="F524" s="38">
        <f>IFERROR(__xludf.DUMMYFUNCTION("""COMPUTED_VALUE"""),40348.0)</f>
        <v>40348</v>
      </c>
      <c r="G524" s="39">
        <f t="shared" si="2"/>
        <v>8</v>
      </c>
      <c r="H524" s="39" t="str">
        <f>IFERROR(__xludf.DUMMYFUNCTION("""COMPUTED_VALUE"""),"Mike Pelletier")</f>
        <v>Mike Pelletier</v>
      </c>
      <c r="I524" s="40">
        <f t="shared" si="3"/>
        <v>10</v>
      </c>
    </row>
    <row r="525">
      <c r="A525" s="11">
        <v>524.0</v>
      </c>
      <c r="B525" s="12">
        <f t="shared" si="86"/>
        <v>39898</v>
      </c>
      <c r="C525" s="11" t="s">
        <v>982</v>
      </c>
      <c r="D525" s="11" t="s">
        <v>28</v>
      </c>
      <c r="F525" s="38">
        <f>IFERROR(__xludf.DUMMYFUNCTION("""COMPUTED_VALUE"""),40349.0)</f>
        <v>40349</v>
      </c>
      <c r="G525" s="39">
        <f t="shared" si="2"/>
        <v>2</v>
      </c>
      <c r="H525" s="39" t="str">
        <f>IFERROR(__xludf.DUMMYFUNCTION("""COMPUTED_VALUE"""),"Speros Goranitis")</f>
        <v>Speros Goranitis</v>
      </c>
      <c r="I525" s="40">
        <f t="shared" si="3"/>
        <v>8</v>
      </c>
    </row>
    <row r="526">
      <c r="A526" s="11">
        <v>525.0</v>
      </c>
      <c r="B526" s="12">
        <f t="shared" ref="B526:B540" si="87">DATE(2012,12,31)-1375</f>
        <v>39899</v>
      </c>
      <c r="C526" s="11" t="s">
        <v>763</v>
      </c>
      <c r="D526" s="11" t="s">
        <v>49</v>
      </c>
      <c r="F526" s="38">
        <f>IFERROR(__xludf.DUMMYFUNCTION("""COMPUTED_VALUE"""),40350.0)</f>
        <v>40350</v>
      </c>
      <c r="G526" s="39">
        <f t="shared" si="2"/>
        <v>8</v>
      </c>
      <c r="H526" s="39" t="str">
        <f>IFERROR(__xludf.DUMMYFUNCTION("""COMPUTED_VALUE"""),"Lauren Leatherbury")</f>
        <v>Lauren Leatherbury</v>
      </c>
      <c r="I526" s="40">
        <f t="shared" si="3"/>
        <v>24</v>
      </c>
    </row>
    <row r="527">
      <c r="A527" s="11">
        <v>526.0</v>
      </c>
      <c r="B527" s="12">
        <f t="shared" si="87"/>
        <v>39899</v>
      </c>
      <c r="C527" s="11" t="s">
        <v>988</v>
      </c>
      <c r="D527" s="11" t="s">
        <v>66</v>
      </c>
      <c r="F527" s="38">
        <f>IFERROR(__xludf.DUMMYFUNCTION("""COMPUTED_VALUE"""),40351.0)</f>
        <v>40351</v>
      </c>
      <c r="G527" s="39">
        <f t="shared" si="2"/>
        <v>2</v>
      </c>
      <c r="H527" s="39" t="str">
        <f>IFERROR(__xludf.DUMMYFUNCTION("""COMPUTED_VALUE"""),"Shaun Weien")</f>
        <v>Shaun Weien</v>
      </c>
      <c r="I527" s="40">
        <f t="shared" si="3"/>
        <v>8</v>
      </c>
    </row>
    <row r="528">
      <c r="A528" s="11">
        <v>527.0</v>
      </c>
      <c r="B528" s="12">
        <f t="shared" si="87"/>
        <v>39899</v>
      </c>
      <c r="C528" s="11" t="s">
        <v>988</v>
      </c>
      <c r="D528" s="11" t="s">
        <v>28</v>
      </c>
      <c r="F528" s="38">
        <f>IFERROR(__xludf.DUMMYFUNCTION("""COMPUTED_VALUE"""),40352.0)</f>
        <v>40352</v>
      </c>
      <c r="G528" s="39">
        <f t="shared" si="2"/>
        <v>9</v>
      </c>
      <c r="H528" s="39" t="str">
        <f>IFERROR(__xludf.DUMMYFUNCTION("""COMPUTED_VALUE"""),"Sung Shariari")</f>
        <v>Sung Shariari</v>
      </c>
      <c r="I528" s="40">
        <f t="shared" si="3"/>
        <v>10</v>
      </c>
    </row>
    <row r="529">
      <c r="A529" s="11">
        <v>528.0</v>
      </c>
      <c r="B529" s="12">
        <f t="shared" si="87"/>
        <v>39899</v>
      </c>
      <c r="C529" s="11" t="s">
        <v>988</v>
      </c>
      <c r="D529" s="11" t="s">
        <v>28</v>
      </c>
      <c r="F529" s="38">
        <f>IFERROR(__xludf.DUMMYFUNCTION("""COMPUTED_VALUE"""),40353.0)</f>
        <v>40353</v>
      </c>
      <c r="G529" s="39">
        <f t="shared" si="2"/>
        <v>3</v>
      </c>
      <c r="H529" s="39" t="str">
        <f>IFERROR(__xludf.DUMMYFUNCTION("""COMPUTED_VALUE"""),"Paul MacIntyre")</f>
        <v>Paul MacIntyre</v>
      </c>
      <c r="I529" s="40">
        <f t="shared" si="3"/>
        <v>8</v>
      </c>
    </row>
    <row r="530">
      <c r="A530" s="11">
        <v>529.0</v>
      </c>
      <c r="B530" s="12">
        <f t="shared" si="87"/>
        <v>39899</v>
      </c>
      <c r="C530" s="11" t="s">
        <v>992</v>
      </c>
      <c r="D530" s="11" t="s">
        <v>66</v>
      </c>
      <c r="F530" s="38">
        <f>IFERROR(__xludf.DUMMYFUNCTION("""COMPUTED_VALUE"""),40354.0)</f>
        <v>40354</v>
      </c>
      <c r="G530" s="39">
        <f t="shared" si="2"/>
        <v>13</v>
      </c>
      <c r="H530" s="39" t="str">
        <f>IFERROR(__xludf.DUMMYFUNCTION("""COMPUTED_VALUE"""),"Darrin Sayre")</f>
        <v>Darrin Sayre</v>
      </c>
      <c r="I530" s="40">
        <f t="shared" si="3"/>
        <v>8</v>
      </c>
    </row>
    <row r="531">
      <c r="A531" s="11">
        <v>530.0</v>
      </c>
      <c r="B531" s="12">
        <f t="shared" si="87"/>
        <v>39899</v>
      </c>
      <c r="C531" s="11" t="s">
        <v>993</v>
      </c>
      <c r="D531" s="11" t="s">
        <v>66</v>
      </c>
      <c r="F531" s="38">
        <f>IFERROR(__xludf.DUMMYFUNCTION("""COMPUTED_VALUE"""),40355.0)</f>
        <v>40355</v>
      </c>
      <c r="G531" s="39">
        <f t="shared" si="2"/>
        <v>4</v>
      </c>
      <c r="H531" s="39" t="str">
        <f>IFERROR(__xludf.DUMMYFUNCTION("""COMPUTED_VALUE"""),"Nick Radford")</f>
        <v>Nick Radford</v>
      </c>
      <c r="I531" s="40">
        <f t="shared" si="3"/>
        <v>8</v>
      </c>
    </row>
    <row r="532">
      <c r="A532" s="11">
        <v>531.0</v>
      </c>
      <c r="B532" s="12">
        <f t="shared" si="87"/>
        <v>39899</v>
      </c>
      <c r="C532" s="11" t="s">
        <v>993</v>
      </c>
      <c r="D532" s="11" t="s">
        <v>49</v>
      </c>
      <c r="F532" s="38">
        <f>IFERROR(__xludf.DUMMYFUNCTION("""COMPUTED_VALUE"""),40356.0)</f>
        <v>40356</v>
      </c>
      <c r="G532" s="39">
        <f t="shared" si="2"/>
        <v>7</v>
      </c>
      <c r="H532" s="39" t="str">
        <f>IFERROR(__xludf.DUMMYFUNCTION("""COMPUTED_VALUE"""),"Ed Jacobs")</f>
        <v>Ed Jacobs</v>
      </c>
      <c r="I532" s="40">
        <f t="shared" si="3"/>
        <v>6</v>
      </c>
    </row>
    <row r="533">
      <c r="A533" s="11">
        <v>532.0</v>
      </c>
      <c r="B533" s="12">
        <f t="shared" si="87"/>
        <v>39899</v>
      </c>
      <c r="C533" s="11" t="s">
        <v>993</v>
      </c>
      <c r="D533" s="11" t="s">
        <v>28</v>
      </c>
      <c r="F533" s="38">
        <f>IFERROR(__xludf.DUMMYFUNCTION("""COMPUTED_VALUE"""),40357.0)</f>
        <v>40357</v>
      </c>
      <c r="G533" s="39">
        <f t="shared" si="2"/>
        <v>4</v>
      </c>
      <c r="H533" s="39" t="str">
        <f>IFERROR(__xludf.DUMMYFUNCTION("""COMPUTED_VALUE"""),"Jeremy Farry")</f>
        <v>Jeremy Farry</v>
      </c>
      <c r="I533" s="40">
        <f t="shared" si="3"/>
        <v>2</v>
      </c>
    </row>
    <row r="534">
      <c r="A534" s="11">
        <v>533.0</v>
      </c>
      <c r="B534" s="12">
        <f t="shared" si="87"/>
        <v>39899</v>
      </c>
      <c r="C534" s="11" t="s">
        <v>993</v>
      </c>
      <c r="D534" s="11" t="s">
        <v>66</v>
      </c>
      <c r="F534" s="38">
        <f>IFERROR(__xludf.DUMMYFUNCTION("""COMPUTED_VALUE"""),40358.0)</f>
        <v>40358</v>
      </c>
      <c r="G534" s="39">
        <f t="shared" si="2"/>
        <v>4</v>
      </c>
      <c r="H534" s="39" t="str">
        <f>IFERROR(__xludf.DUMMYFUNCTION("""COMPUTED_VALUE"""),"Eric Hoffmann")</f>
        <v>Eric Hoffmann</v>
      </c>
      <c r="I534" s="40">
        <f t="shared" si="3"/>
        <v>7</v>
      </c>
    </row>
    <row r="535">
      <c r="A535" s="11">
        <v>534.0</v>
      </c>
      <c r="B535" s="12">
        <f t="shared" si="87"/>
        <v>39899</v>
      </c>
      <c r="C535" s="11" t="s">
        <v>998</v>
      </c>
      <c r="D535" s="11" t="s">
        <v>49</v>
      </c>
      <c r="F535" s="38">
        <f>IFERROR(__xludf.DUMMYFUNCTION("""COMPUTED_VALUE"""),40359.0)</f>
        <v>40359</v>
      </c>
      <c r="G535" s="39">
        <f t="shared" si="2"/>
        <v>5</v>
      </c>
      <c r="H535" s="39" t="str">
        <f>IFERROR(__xludf.DUMMYFUNCTION("""COMPUTED_VALUE"""),"Don Miller")</f>
        <v>Don Miller</v>
      </c>
      <c r="I535" s="40">
        <f t="shared" si="3"/>
        <v>9</v>
      </c>
    </row>
    <row r="536">
      <c r="A536" s="11">
        <v>535.0</v>
      </c>
      <c r="B536" s="12">
        <f t="shared" si="87"/>
        <v>39899</v>
      </c>
      <c r="C536" s="11" t="s">
        <v>719</v>
      </c>
      <c r="D536" s="11" t="s">
        <v>66</v>
      </c>
      <c r="F536" s="38">
        <f>IFERROR(__xludf.DUMMYFUNCTION("""COMPUTED_VALUE"""),40362.0)</f>
        <v>40362</v>
      </c>
      <c r="G536" s="39">
        <f t="shared" si="2"/>
        <v>14</v>
      </c>
      <c r="H536" s="39" t="str">
        <f>IFERROR(__xludf.DUMMYFUNCTION("""COMPUTED_VALUE"""),"Erin Mull")</f>
        <v>Erin Mull</v>
      </c>
      <c r="I536" s="40">
        <f t="shared" si="3"/>
        <v>11</v>
      </c>
    </row>
    <row r="537">
      <c r="A537" s="11">
        <v>536.0</v>
      </c>
      <c r="B537" s="12">
        <f t="shared" si="87"/>
        <v>39899</v>
      </c>
      <c r="C537" s="11" t="s">
        <v>576</v>
      </c>
      <c r="D537" s="11" t="s">
        <v>28</v>
      </c>
      <c r="F537" s="38">
        <f>IFERROR(__xludf.DUMMYFUNCTION("""COMPUTED_VALUE"""),40363.0)</f>
        <v>40363</v>
      </c>
      <c r="G537" s="39">
        <f t="shared" si="2"/>
        <v>7</v>
      </c>
      <c r="H537" s="39" t="str">
        <f>IFERROR(__xludf.DUMMYFUNCTION("""COMPUTED_VALUE"""),"Mark Cousins")</f>
        <v>Mark Cousins</v>
      </c>
      <c r="I537" s="40">
        <f t="shared" si="3"/>
        <v>28</v>
      </c>
    </row>
    <row r="538">
      <c r="A538" s="11">
        <v>537.0</v>
      </c>
      <c r="B538" s="12">
        <f t="shared" si="87"/>
        <v>39899</v>
      </c>
      <c r="C538" s="11" t="s">
        <v>576</v>
      </c>
      <c r="D538" s="11" t="s">
        <v>28</v>
      </c>
      <c r="F538" s="38">
        <f>IFERROR(__xludf.DUMMYFUNCTION("""COMPUTED_VALUE"""),40364.0)</f>
        <v>40364</v>
      </c>
      <c r="G538" s="39">
        <f t="shared" si="2"/>
        <v>2</v>
      </c>
      <c r="H538" s="39" t="str">
        <f>IFERROR(__xludf.DUMMYFUNCTION("""COMPUTED_VALUE"""),"Linda Cazamias")</f>
        <v>Linda Cazamias</v>
      </c>
      <c r="I538" s="40">
        <f t="shared" si="3"/>
        <v>4</v>
      </c>
    </row>
    <row r="539">
      <c r="A539" s="11">
        <v>538.0</v>
      </c>
      <c r="B539" s="12">
        <f t="shared" si="87"/>
        <v>39899</v>
      </c>
      <c r="C539" s="11" t="s">
        <v>576</v>
      </c>
      <c r="D539" s="11" t="s">
        <v>66</v>
      </c>
      <c r="F539" s="38">
        <f>IFERROR(__xludf.DUMMYFUNCTION("""COMPUTED_VALUE"""),40366.0)</f>
        <v>40366</v>
      </c>
      <c r="G539" s="39">
        <f t="shared" si="2"/>
        <v>3</v>
      </c>
      <c r="H539" s="39" t="str">
        <f>IFERROR(__xludf.DUMMYFUNCTION("""COMPUTED_VALUE"""),"Pete Kriz")</f>
        <v>Pete Kriz</v>
      </c>
      <c r="I539" s="40">
        <f t="shared" si="3"/>
        <v>3</v>
      </c>
    </row>
    <row r="540">
      <c r="A540" s="11">
        <v>539.0</v>
      </c>
      <c r="B540" s="12">
        <f t="shared" si="87"/>
        <v>39899</v>
      </c>
      <c r="C540" s="11" t="s">
        <v>1006</v>
      </c>
      <c r="D540" s="11" t="s">
        <v>28</v>
      </c>
      <c r="F540" s="38">
        <f>IFERROR(__xludf.DUMMYFUNCTION("""COMPUTED_VALUE"""),40368.0)</f>
        <v>40368</v>
      </c>
      <c r="G540" s="39">
        <f t="shared" si="2"/>
        <v>4</v>
      </c>
      <c r="H540" s="39" t="str">
        <f>IFERROR(__xludf.DUMMYFUNCTION("""COMPUTED_VALUE"""),"Ben Ferrer")</f>
        <v>Ben Ferrer</v>
      </c>
      <c r="I540" s="40">
        <f t="shared" si="3"/>
        <v>6</v>
      </c>
    </row>
    <row r="541">
      <c r="A541" s="11">
        <v>540.0</v>
      </c>
      <c r="B541" s="12">
        <f t="shared" ref="B541:B547" si="88">DATE(2012,12,31)-1374</f>
        <v>39900</v>
      </c>
      <c r="C541" s="11" t="s">
        <v>1008</v>
      </c>
      <c r="D541" s="11" t="s">
        <v>66</v>
      </c>
      <c r="F541" s="38">
        <f>IFERROR(__xludf.DUMMYFUNCTION("""COMPUTED_VALUE"""),40369.0)</f>
        <v>40369</v>
      </c>
      <c r="G541" s="39">
        <f t="shared" si="2"/>
        <v>1</v>
      </c>
      <c r="H541" s="39" t="str">
        <f>IFERROR(__xludf.DUMMYFUNCTION("""COMPUTED_VALUE"""),"Phillina Ober")</f>
        <v>Phillina Ober</v>
      </c>
      <c r="I541" s="40">
        <f t="shared" si="3"/>
        <v>7</v>
      </c>
    </row>
    <row r="542">
      <c r="A542" s="11">
        <v>541.0</v>
      </c>
      <c r="B542" s="12">
        <f t="shared" si="88"/>
        <v>39900</v>
      </c>
      <c r="C542" s="11" t="s">
        <v>1009</v>
      </c>
      <c r="D542" s="11" t="s">
        <v>28</v>
      </c>
      <c r="F542" s="38">
        <f>IFERROR(__xludf.DUMMYFUNCTION("""COMPUTED_VALUE"""),40372.0)</f>
        <v>40372</v>
      </c>
      <c r="G542" s="39">
        <f t="shared" si="2"/>
        <v>1</v>
      </c>
      <c r="H542" s="39" t="str">
        <f>IFERROR(__xludf.DUMMYFUNCTION("""COMPUTED_VALUE"""),"Ross Baird")</f>
        <v>Ross Baird</v>
      </c>
      <c r="I542" s="40">
        <f t="shared" si="3"/>
        <v>6</v>
      </c>
    </row>
    <row r="543">
      <c r="A543" s="11">
        <v>542.0</v>
      </c>
      <c r="B543" s="12">
        <f t="shared" si="88"/>
        <v>39900</v>
      </c>
      <c r="C543" s="11" t="s">
        <v>1010</v>
      </c>
      <c r="D543" s="11" t="s">
        <v>49</v>
      </c>
      <c r="F543" s="38">
        <f>IFERROR(__xludf.DUMMYFUNCTION("""COMPUTED_VALUE"""),40373.0)</f>
        <v>40373</v>
      </c>
      <c r="G543" s="39">
        <f t="shared" si="2"/>
        <v>7</v>
      </c>
      <c r="H543" s="39" t="str">
        <f>IFERROR(__xludf.DUMMYFUNCTION("""COMPUTED_VALUE"""),"Toby Knight")</f>
        <v>Toby Knight</v>
      </c>
      <c r="I543" s="40">
        <f t="shared" si="3"/>
        <v>7</v>
      </c>
    </row>
    <row r="544">
      <c r="A544" s="11">
        <v>543.0</v>
      </c>
      <c r="B544" s="12">
        <f t="shared" si="88"/>
        <v>39900</v>
      </c>
      <c r="C544" s="11" t="s">
        <v>1010</v>
      </c>
      <c r="D544" s="11" t="s">
        <v>28</v>
      </c>
      <c r="F544" s="38">
        <f>IFERROR(__xludf.DUMMYFUNCTION("""COMPUTED_VALUE"""),40374.0)</f>
        <v>40374</v>
      </c>
      <c r="G544" s="39">
        <f t="shared" si="2"/>
        <v>4</v>
      </c>
      <c r="H544" s="39" t="str">
        <f>IFERROR(__xludf.DUMMYFUNCTION("""COMPUTED_VALUE"""),"Sung Chung")</f>
        <v>Sung Chung</v>
      </c>
      <c r="I544" s="40">
        <f t="shared" si="3"/>
        <v>8</v>
      </c>
    </row>
    <row r="545">
      <c r="A545" s="11">
        <v>544.0</v>
      </c>
      <c r="B545" s="12">
        <f t="shared" si="88"/>
        <v>39900</v>
      </c>
      <c r="C545" s="11" t="s">
        <v>1013</v>
      </c>
      <c r="D545" s="11" t="s">
        <v>66</v>
      </c>
      <c r="F545" s="38">
        <f>IFERROR(__xludf.DUMMYFUNCTION("""COMPUTED_VALUE"""),40375.0)</f>
        <v>40375</v>
      </c>
      <c r="G545" s="39">
        <f t="shared" si="2"/>
        <v>11</v>
      </c>
      <c r="H545" s="39" t="str">
        <f>IFERROR(__xludf.DUMMYFUNCTION("""COMPUTED_VALUE"""),"Paul Knutson")</f>
        <v>Paul Knutson</v>
      </c>
      <c r="I545" s="40">
        <f t="shared" si="3"/>
        <v>11</v>
      </c>
    </row>
    <row r="546">
      <c r="A546" s="11">
        <v>545.0</v>
      </c>
      <c r="B546" s="12">
        <f t="shared" si="88"/>
        <v>39900</v>
      </c>
      <c r="C546" s="11" t="s">
        <v>928</v>
      </c>
      <c r="D546" s="11" t="s">
        <v>66</v>
      </c>
      <c r="F546" s="38">
        <f>IFERROR(__xludf.DUMMYFUNCTION("""COMPUTED_VALUE"""),40376.0)</f>
        <v>40376</v>
      </c>
      <c r="G546" s="39">
        <f t="shared" si="2"/>
        <v>7</v>
      </c>
      <c r="H546" s="39" t="str">
        <f>IFERROR(__xludf.DUMMYFUNCTION("""COMPUTED_VALUE"""),"Michelle Arnett")</f>
        <v>Michelle Arnett</v>
      </c>
      <c r="I546" s="40">
        <f t="shared" si="3"/>
        <v>14</v>
      </c>
    </row>
    <row r="547">
      <c r="A547" s="11">
        <v>546.0</v>
      </c>
      <c r="B547" s="12">
        <f t="shared" si="88"/>
        <v>39900</v>
      </c>
      <c r="C547" s="11" t="s">
        <v>584</v>
      </c>
      <c r="D547" s="11" t="s">
        <v>49</v>
      </c>
      <c r="F547" s="38">
        <f>IFERROR(__xludf.DUMMYFUNCTION("""COMPUTED_VALUE"""),40377.0)</f>
        <v>40377</v>
      </c>
      <c r="G547" s="39">
        <f t="shared" si="2"/>
        <v>5</v>
      </c>
      <c r="H547" s="39" t="str">
        <f>IFERROR(__xludf.DUMMYFUNCTION("""COMPUTED_VALUE"""),"Sue Ann Reed")</f>
        <v>Sue Ann Reed</v>
      </c>
      <c r="I547" s="40">
        <f t="shared" si="3"/>
        <v>8</v>
      </c>
    </row>
    <row r="548">
      <c r="A548" s="11">
        <v>547.0</v>
      </c>
      <c r="B548" s="12">
        <f t="shared" ref="B548:B551" si="89">DATE(2012,12,31)-1373</f>
        <v>39901</v>
      </c>
      <c r="C548" s="11" t="s">
        <v>1014</v>
      </c>
      <c r="D548" s="11" t="s">
        <v>66</v>
      </c>
      <c r="F548" s="38">
        <f>IFERROR(__xludf.DUMMYFUNCTION("""COMPUTED_VALUE"""),40378.0)</f>
        <v>40378</v>
      </c>
      <c r="G548" s="39">
        <f t="shared" si="2"/>
        <v>8</v>
      </c>
      <c r="H548" s="39" t="str">
        <f>IFERROR(__xludf.DUMMYFUNCTION("""COMPUTED_VALUE"""),"Roland Black")</f>
        <v>Roland Black</v>
      </c>
      <c r="I548" s="40">
        <f t="shared" si="3"/>
        <v>9</v>
      </c>
    </row>
    <row r="549">
      <c r="A549" s="11">
        <v>548.0</v>
      </c>
      <c r="B549" s="12">
        <f t="shared" si="89"/>
        <v>39901</v>
      </c>
      <c r="C549" s="11" t="s">
        <v>1014</v>
      </c>
      <c r="D549" s="11" t="s">
        <v>66</v>
      </c>
      <c r="F549" s="38">
        <f>IFERROR(__xludf.DUMMYFUNCTION("""COMPUTED_VALUE"""),40379.0)</f>
        <v>40379</v>
      </c>
      <c r="G549" s="39">
        <f t="shared" si="2"/>
        <v>10</v>
      </c>
      <c r="H549" s="39" t="str">
        <f>IFERROR(__xludf.DUMMYFUNCTION("""COMPUTED_VALUE"""),"Barry Blumstein")</f>
        <v>Barry Blumstein</v>
      </c>
      <c r="I549" s="40">
        <f t="shared" si="3"/>
        <v>12</v>
      </c>
    </row>
    <row r="550">
      <c r="A550" s="11">
        <v>549.0</v>
      </c>
      <c r="B550" s="12">
        <f t="shared" si="89"/>
        <v>39901</v>
      </c>
      <c r="C550" s="11" t="s">
        <v>608</v>
      </c>
      <c r="D550" s="11" t="s">
        <v>28</v>
      </c>
      <c r="F550" s="38">
        <f>IFERROR(__xludf.DUMMYFUNCTION("""COMPUTED_VALUE"""),40380.0)</f>
        <v>40380</v>
      </c>
      <c r="G550" s="39">
        <f t="shared" si="2"/>
        <v>10</v>
      </c>
      <c r="H550" s="39" t="str">
        <f>IFERROR(__xludf.DUMMYFUNCTION("""COMPUTED_VALUE"""),"Joseph Holt")</f>
        <v>Joseph Holt</v>
      </c>
      <c r="I550" s="40">
        <f t="shared" si="3"/>
        <v>3</v>
      </c>
    </row>
    <row r="551">
      <c r="A551" s="11">
        <v>550.0</v>
      </c>
      <c r="B551" s="12">
        <f t="shared" si="89"/>
        <v>39901</v>
      </c>
      <c r="C551" s="11" t="s">
        <v>1017</v>
      </c>
      <c r="D551" s="11" t="s">
        <v>28</v>
      </c>
      <c r="F551" s="38">
        <f>IFERROR(__xludf.DUMMYFUNCTION("""COMPUTED_VALUE"""),40381.0)</f>
        <v>40381</v>
      </c>
      <c r="G551" s="39">
        <f t="shared" si="2"/>
        <v>5</v>
      </c>
      <c r="H551" s="39" t="str">
        <f>IFERROR(__xludf.DUMMYFUNCTION("""COMPUTED_VALUE"""),"Jack Garza")</f>
        <v>Jack Garza</v>
      </c>
      <c r="I551" s="40">
        <f t="shared" si="3"/>
        <v>8</v>
      </c>
    </row>
    <row r="552">
      <c r="A552" s="11">
        <v>551.0</v>
      </c>
      <c r="B552" s="12">
        <f t="shared" ref="B552:B558" si="90">DATE(2012,12,31)-1372</f>
        <v>39902</v>
      </c>
      <c r="C552" s="11" t="s">
        <v>1018</v>
      </c>
      <c r="D552" s="11" t="s">
        <v>28</v>
      </c>
      <c r="F552" s="38">
        <f>IFERROR(__xludf.DUMMYFUNCTION("""COMPUTED_VALUE"""),40382.0)</f>
        <v>40382</v>
      </c>
      <c r="G552" s="39">
        <f t="shared" si="2"/>
        <v>9</v>
      </c>
      <c r="H552" s="39" t="str">
        <f>IFERROR(__xludf.DUMMYFUNCTION("""COMPUTED_VALUE"""),"Dan Lawera")</f>
        <v>Dan Lawera</v>
      </c>
      <c r="I552" s="40">
        <f t="shared" si="3"/>
        <v>12</v>
      </c>
    </row>
    <row r="553">
      <c r="A553" s="11">
        <v>552.0</v>
      </c>
      <c r="B553" s="12">
        <f t="shared" si="90"/>
        <v>39902</v>
      </c>
      <c r="C553" s="11" t="s">
        <v>1018</v>
      </c>
      <c r="D553" s="11" t="s">
        <v>66</v>
      </c>
      <c r="F553" s="38">
        <f>IFERROR(__xludf.DUMMYFUNCTION("""COMPUTED_VALUE"""),40383.0)</f>
        <v>40383</v>
      </c>
      <c r="G553" s="39">
        <f t="shared" si="2"/>
        <v>9</v>
      </c>
      <c r="H553" s="39" t="str">
        <f>IFERROR(__xludf.DUMMYFUNCTION("""COMPUTED_VALUE"""),"Karen Carlisle")</f>
        <v>Karen Carlisle</v>
      </c>
      <c r="I553" s="40">
        <f t="shared" si="3"/>
        <v>15</v>
      </c>
    </row>
    <row r="554">
      <c r="A554" s="11">
        <v>553.0</v>
      </c>
      <c r="B554" s="12">
        <f t="shared" si="90"/>
        <v>39902</v>
      </c>
      <c r="C554" s="11" t="s">
        <v>1020</v>
      </c>
      <c r="D554" s="11" t="s">
        <v>66</v>
      </c>
      <c r="F554" s="38">
        <f>IFERROR(__xludf.DUMMYFUNCTION("""COMPUTED_VALUE"""),40384.0)</f>
        <v>40384</v>
      </c>
      <c r="G554" s="39">
        <f t="shared" si="2"/>
        <v>11</v>
      </c>
      <c r="H554" s="39" t="str">
        <f>IFERROR(__xludf.DUMMYFUNCTION("""COMPUTED_VALUE"""),"Michelle Tran")</f>
        <v>Michelle Tran</v>
      </c>
      <c r="I554" s="40">
        <f t="shared" si="3"/>
        <v>13</v>
      </c>
    </row>
    <row r="555">
      <c r="A555" s="11">
        <v>554.0</v>
      </c>
      <c r="B555" s="12">
        <f t="shared" si="90"/>
        <v>39902</v>
      </c>
      <c r="C555" s="11" t="s">
        <v>1021</v>
      </c>
      <c r="D555" s="11" t="s">
        <v>28</v>
      </c>
      <c r="F555" s="38">
        <f>IFERROR(__xludf.DUMMYFUNCTION("""COMPUTED_VALUE"""),40385.0)</f>
        <v>40385</v>
      </c>
      <c r="G555" s="39">
        <f t="shared" si="2"/>
        <v>7</v>
      </c>
      <c r="H555" s="39" t="str">
        <f>IFERROR(__xludf.DUMMYFUNCTION("""COMPUTED_VALUE"""),"Doug Bickford")</f>
        <v>Doug Bickford</v>
      </c>
      <c r="I555" s="40">
        <f t="shared" si="3"/>
        <v>23</v>
      </c>
    </row>
    <row r="556">
      <c r="A556" s="11">
        <v>555.0</v>
      </c>
      <c r="B556" s="12">
        <f t="shared" si="90"/>
        <v>39902</v>
      </c>
      <c r="C556" s="11" t="s">
        <v>1021</v>
      </c>
      <c r="D556" s="11" t="s">
        <v>28</v>
      </c>
      <c r="F556" s="38">
        <f>IFERROR(__xludf.DUMMYFUNCTION("""COMPUTED_VALUE"""),40386.0)</f>
        <v>40386</v>
      </c>
      <c r="G556" s="39">
        <f t="shared" si="2"/>
        <v>9</v>
      </c>
      <c r="H556" s="39" t="str">
        <f>IFERROR(__xludf.DUMMYFUNCTION("""COMPUTED_VALUE"""),"Duane Noonan")</f>
        <v>Duane Noonan</v>
      </c>
      <c r="I556" s="40">
        <f t="shared" si="3"/>
        <v>9</v>
      </c>
    </row>
    <row r="557">
      <c r="A557" s="11">
        <v>556.0</v>
      </c>
      <c r="B557" s="12">
        <f t="shared" si="90"/>
        <v>39902</v>
      </c>
      <c r="C557" s="11" t="s">
        <v>1021</v>
      </c>
      <c r="D557" s="11" t="s">
        <v>66</v>
      </c>
      <c r="F557" s="38">
        <f>IFERROR(__xludf.DUMMYFUNCTION("""COMPUTED_VALUE"""),40387.0)</f>
        <v>40387</v>
      </c>
      <c r="G557" s="39">
        <f t="shared" si="2"/>
        <v>4</v>
      </c>
      <c r="H557" s="39" t="str">
        <f>IFERROR(__xludf.DUMMYFUNCTION("""COMPUTED_VALUE"""),"Anna Andreadi")</f>
        <v>Anna Andreadi</v>
      </c>
      <c r="I557" s="40">
        <f t="shared" si="3"/>
        <v>8</v>
      </c>
    </row>
    <row r="558">
      <c r="A558" s="11">
        <v>557.0</v>
      </c>
      <c r="B558" s="12">
        <f t="shared" si="90"/>
        <v>39902</v>
      </c>
      <c r="C558" s="11" t="s">
        <v>1024</v>
      </c>
      <c r="D558" s="11" t="s">
        <v>28</v>
      </c>
      <c r="F558" s="38">
        <f>IFERROR(__xludf.DUMMYFUNCTION("""COMPUTED_VALUE"""),40388.0)</f>
        <v>40388</v>
      </c>
      <c r="G558" s="39">
        <f t="shared" si="2"/>
        <v>8</v>
      </c>
      <c r="H558" s="39" t="str">
        <f>IFERROR(__xludf.DUMMYFUNCTION("""COMPUTED_VALUE"""),"John Stevenson")</f>
        <v>John Stevenson</v>
      </c>
      <c r="I558" s="40">
        <f t="shared" si="3"/>
        <v>8</v>
      </c>
    </row>
    <row r="559">
      <c r="A559" s="11">
        <v>558.0</v>
      </c>
      <c r="B559" s="12">
        <f t="shared" ref="B559:B561" si="91">DATE(2012,12,31)-1371</f>
        <v>39903</v>
      </c>
      <c r="C559" s="11" t="s">
        <v>416</v>
      </c>
      <c r="D559" s="11" t="s">
        <v>28</v>
      </c>
      <c r="F559" s="38">
        <f>IFERROR(__xludf.DUMMYFUNCTION("""COMPUTED_VALUE"""),40389.0)</f>
        <v>40389</v>
      </c>
      <c r="G559" s="39">
        <f t="shared" si="2"/>
        <v>8</v>
      </c>
      <c r="H559" s="39" t="str">
        <f>IFERROR(__xludf.DUMMYFUNCTION("""COMPUTED_VALUE"""),"Bart Pistole")</f>
        <v>Bart Pistole</v>
      </c>
      <c r="I559" s="40">
        <f t="shared" si="3"/>
        <v>2</v>
      </c>
    </row>
    <row r="560">
      <c r="A560" s="11">
        <v>559.0</v>
      </c>
      <c r="B560" s="12">
        <f t="shared" si="91"/>
        <v>39903</v>
      </c>
      <c r="C560" s="11" t="s">
        <v>1025</v>
      </c>
      <c r="D560" s="11" t="s">
        <v>66</v>
      </c>
      <c r="F560" s="38">
        <f>IFERROR(__xludf.DUMMYFUNCTION("""COMPUTED_VALUE"""),40390.0)</f>
        <v>40390</v>
      </c>
      <c r="G560" s="39">
        <f t="shared" si="2"/>
        <v>6</v>
      </c>
      <c r="H560" s="39" t="str">
        <f>IFERROR(__xludf.DUMMYFUNCTION("""COMPUTED_VALUE"""),"Chad Sievert")</f>
        <v>Chad Sievert</v>
      </c>
      <c r="I560" s="40">
        <f t="shared" si="3"/>
        <v>11</v>
      </c>
    </row>
    <row r="561">
      <c r="A561" s="11">
        <v>560.0</v>
      </c>
      <c r="B561" s="12">
        <f t="shared" si="91"/>
        <v>39903</v>
      </c>
      <c r="C561" s="11" t="s">
        <v>982</v>
      </c>
      <c r="D561" s="11" t="s">
        <v>66</v>
      </c>
      <c r="F561" s="38">
        <f>IFERROR(__xludf.DUMMYFUNCTION("""COMPUTED_VALUE"""),40391.0)</f>
        <v>40391</v>
      </c>
      <c r="G561" s="39">
        <f t="shared" si="2"/>
        <v>1</v>
      </c>
      <c r="H561" s="39" t="str">
        <f>IFERROR(__xludf.DUMMYFUNCTION("""COMPUTED_VALUE"""),"Katherine Nockton")</f>
        <v>Katherine Nockton</v>
      </c>
      <c r="I561" s="40">
        <f t="shared" si="3"/>
        <v>14</v>
      </c>
    </row>
    <row r="562">
      <c r="A562" s="11">
        <v>561.0</v>
      </c>
      <c r="B562" s="12">
        <f t="shared" ref="B562:B568" si="92">DATE(2012,12,31)-1370</f>
        <v>39904</v>
      </c>
      <c r="C562" s="11" t="s">
        <v>1027</v>
      </c>
      <c r="D562" s="11" t="s">
        <v>66</v>
      </c>
      <c r="F562" s="38">
        <f>IFERROR(__xludf.DUMMYFUNCTION("""COMPUTED_VALUE"""),40392.0)</f>
        <v>40392</v>
      </c>
      <c r="G562" s="39">
        <f t="shared" si="2"/>
        <v>6</v>
      </c>
      <c r="H562" s="39" t="str">
        <f>IFERROR(__xludf.DUMMYFUNCTION("""COMPUTED_VALUE"""),"Nick Crebassa")</f>
        <v>Nick Crebassa</v>
      </c>
      <c r="I562" s="40">
        <f t="shared" si="3"/>
        <v>13</v>
      </c>
    </row>
    <row r="563">
      <c r="A563" s="11">
        <v>562.0</v>
      </c>
      <c r="B563" s="12">
        <f t="shared" si="92"/>
        <v>39904</v>
      </c>
      <c r="C563" s="11" t="s">
        <v>1027</v>
      </c>
      <c r="D563" s="11" t="s">
        <v>66</v>
      </c>
      <c r="F563" s="38">
        <f>IFERROR(__xludf.DUMMYFUNCTION("""COMPUTED_VALUE"""),40393.0)</f>
        <v>40393</v>
      </c>
      <c r="G563" s="39">
        <f t="shared" si="2"/>
        <v>9</v>
      </c>
      <c r="H563" s="39" t="str">
        <f>IFERROR(__xludf.DUMMYFUNCTION("""COMPUTED_VALUE"""),"Ken Lonsdale")</f>
        <v>Ken Lonsdale</v>
      </c>
      <c r="I563" s="40">
        <f t="shared" si="3"/>
        <v>14</v>
      </c>
    </row>
    <row r="564">
      <c r="A564" s="11">
        <v>563.0</v>
      </c>
      <c r="B564" s="12">
        <f t="shared" si="92"/>
        <v>39904</v>
      </c>
      <c r="C564" s="11" t="s">
        <v>293</v>
      </c>
      <c r="D564" s="11" t="s">
        <v>49</v>
      </c>
      <c r="F564" s="38">
        <f>IFERROR(__xludf.DUMMYFUNCTION("""COMPUTED_VALUE"""),40394.0)</f>
        <v>40394</v>
      </c>
      <c r="G564" s="39">
        <f t="shared" si="2"/>
        <v>17</v>
      </c>
      <c r="H564" s="39" t="str">
        <f>IFERROR(__xludf.DUMMYFUNCTION("""COMPUTED_VALUE"""),"John Murray")</f>
        <v>John Murray</v>
      </c>
      <c r="I564" s="40">
        <f t="shared" si="3"/>
        <v>13</v>
      </c>
    </row>
    <row r="565">
      <c r="A565" s="11">
        <v>564.0</v>
      </c>
      <c r="B565" s="12">
        <f t="shared" si="92"/>
        <v>39904</v>
      </c>
      <c r="C565" s="11" t="s">
        <v>961</v>
      </c>
      <c r="D565" s="11" t="s">
        <v>28</v>
      </c>
      <c r="F565" s="38">
        <f>IFERROR(__xludf.DUMMYFUNCTION("""COMPUTED_VALUE"""),40395.0)</f>
        <v>40395</v>
      </c>
      <c r="G565" s="39">
        <f t="shared" si="2"/>
        <v>5</v>
      </c>
      <c r="H565" s="39" t="str">
        <f>IFERROR(__xludf.DUMMYFUNCTION("""COMPUTED_VALUE"""),"Allen Armold")</f>
        <v>Allen Armold</v>
      </c>
      <c r="I565" s="40">
        <f t="shared" si="3"/>
        <v>7</v>
      </c>
    </row>
    <row r="566">
      <c r="A566" s="11">
        <v>565.0</v>
      </c>
      <c r="B566" s="12">
        <f t="shared" si="92"/>
        <v>39904</v>
      </c>
      <c r="C566" s="11" t="s">
        <v>898</v>
      </c>
      <c r="D566" s="11" t="s">
        <v>28</v>
      </c>
      <c r="F566" s="38">
        <f>IFERROR(__xludf.DUMMYFUNCTION("""COMPUTED_VALUE"""),40396.0)</f>
        <v>40396</v>
      </c>
      <c r="G566" s="39">
        <f t="shared" si="2"/>
        <v>5</v>
      </c>
      <c r="H566" s="39" t="str">
        <f>IFERROR(__xludf.DUMMYFUNCTION("""COMPUTED_VALUE"""),"Erin Ashbrook")</f>
        <v>Erin Ashbrook</v>
      </c>
      <c r="I566" s="40">
        <f t="shared" si="3"/>
        <v>10</v>
      </c>
    </row>
    <row r="567">
      <c r="A567" s="11">
        <v>566.0</v>
      </c>
      <c r="B567" s="12">
        <f t="shared" si="92"/>
        <v>39904</v>
      </c>
      <c r="C567" s="11" t="s">
        <v>898</v>
      </c>
      <c r="D567" s="11" t="s">
        <v>66</v>
      </c>
      <c r="F567" s="38">
        <f>IFERROR(__xludf.DUMMYFUNCTION("""COMPUTED_VALUE"""),40397.0)</f>
        <v>40397</v>
      </c>
      <c r="G567" s="39">
        <f t="shared" si="2"/>
        <v>5</v>
      </c>
      <c r="H567" s="39" t="str">
        <f>IFERROR(__xludf.DUMMYFUNCTION("""COMPUTED_VALUE"""),"Mick Hernandez")</f>
        <v>Mick Hernandez</v>
      </c>
      <c r="I567" s="40">
        <f t="shared" si="3"/>
        <v>3</v>
      </c>
    </row>
    <row r="568">
      <c r="A568" s="11">
        <v>567.0</v>
      </c>
      <c r="B568" s="12">
        <f t="shared" si="92"/>
        <v>39904</v>
      </c>
      <c r="C568" s="11" t="s">
        <v>898</v>
      </c>
      <c r="D568" s="11" t="s">
        <v>66</v>
      </c>
      <c r="F568" s="38">
        <f>IFERROR(__xludf.DUMMYFUNCTION("""COMPUTED_VALUE"""),40398.0)</f>
        <v>40398</v>
      </c>
      <c r="G568" s="39">
        <f t="shared" si="2"/>
        <v>1</v>
      </c>
      <c r="H568" s="39" t="str">
        <f>IFERROR(__xludf.DUMMYFUNCTION("""COMPUTED_VALUE"""),"Damala Kotsonis")</f>
        <v>Damala Kotsonis</v>
      </c>
      <c r="I568" s="40">
        <f t="shared" si="3"/>
        <v>13</v>
      </c>
    </row>
    <row r="569">
      <c r="A569" s="11">
        <v>568.0</v>
      </c>
      <c r="B569" s="12">
        <f t="shared" ref="B569:B573" si="93">DATE(2012,12,31)-1369</f>
        <v>39905</v>
      </c>
      <c r="C569" s="11" t="s">
        <v>1010</v>
      </c>
      <c r="D569" s="11" t="s">
        <v>28</v>
      </c>
      <c r="F569" s="38">
        <f>IFERROR(__xludf.DUMMYFUNCTION("""COMPUTED_VALUE"""),40399.0)</f>
        <v>40399</v>
      </c>
      <c r="G569" s="39">
        <f t="shared" si="2"/>
        <v>7</v>
      </c>
      <c r="H569" s="39" t="str">
        <f>IFERROR(__xludf.DUMMYFUNCTION("""COMPUTED_VALUE"""),"Beth Paige")</f>
        <v>Beth Paige</v>
      </c>
      <c r="I569" s="40">
        <f t="shared" si="3"/>
        <v>8</v>
      </c>
    </row>
    <row r="570">
      <c r="A570" s="11">
        <v>569.0</v>
      </c>
      <c r="B570" s="12">
        <f t="shared" si="93"/>
        <v>39905</v>
      </c>
      <c r="C570" s="11" t="s">
        <v>1010</v>
      </c>
      <c r="D570" s="11" t="s">
        <v>28</v>
      </c>
      <c r="F570" s="38">
        <f>IFERROR(__xludf.DUMMYFUNCTION("""COMPUTED_VALUE"""),40400.0)</f>
        <v>40400</v>
      </c>
      <c r="G570" s="39">
        <f t="shared" si="2"/>
        <v>3</v>
      </c>
      <c r="H570" s="39" t="str">
        <f>IFERROR(__xludf.DUMMYFUNCTION("""COMPUTED_VALUE"""),"Laurel Workman")</f>
        <v>Laurel Workman</v>
      </c>
      <c r="I570" s="40">
        <f t="shared" si="3"/>
        <v>7</v>
      </c>
    </row>
    <row r="571">
      <c r="A571" s="11">
        <v>570.0</v>
      </c>
      <c r="B571" s="12">
        <f t="shared" si="93"/>
        <v>39905</v>
      </c>
      <c r="C571" s="11" t="s">
        <v>1036</v>
      </c>
      <c r="D571" s="11" t="s">
        <v>49</v>
      </c>
      <c r="F571" s="38">
        <f>IFERROR(__xludf.DUMMYFUNCTION("""COMPUTED_VALUE"""),40401.0)</f>
        <v>40401</v>
      </c>
      <c r="G571" s="39">
        <f t="shared" si="2"/>
        <v>2</v>
      </c>
      <c r="H571" s="39" t="str">
        <f>IFERROR(__xludf.DUMMYFUNCTION("""COMPUTED_VALUE"""),"Steven Roelle")</f>
        <v>Steven Roelle</v>
      </c>
      <c r="I571" s="40">
        <f t="shared" si="3"/>
        <v>12</v>
      </c>
    </row>
    <row r="572">
      <c r="A572" s="11">
        <v>571.0</v>
      </c>
      <c r="B572" s="12">
        <f t="shared" si="93"/>
        <v>39905</v>
      </c>
      <c r="C572" s="11" t="s">
        <v>1039</v>
      </c>
      <c r="D572" s="11" t="s">
        <v>28</v>
      </c>
      <c r="F572" s="38">
        <f>IFERROR(__xludf.DUMMYFUNCTION("""COMPUTED_VALUE"""),40402.0)</f>
        <v>40402</v>
      </c>
      <c r="G572" s="39">
        <f t="shared" si="2"/>
        <v>4</v>
      </c>
      <c r="H572" s="39" t="str">
        <f>IFERROR(__xludf.DUMMYFUNCTION("""COMPUTED_VALUE"""),"Magdelene Morse")</f>
        <v>Magdelene Morse</v>
      </c>
      <c r="I572" s="40">
        <f t="shared" si="3"/>
        <v>13</v>
      </c>
    </row>
    <row r="573">
      <c r="A573" s="11">
        <v>572.0</v>
      </c>
      <c r="B573" s="12">
        <f t="shared" si="93"/>
        <v>39905</v>
      </c>
      <c r="C573" s="11" t="s">
        <v>1010</v>
      </c>
      <c r="D573" s="11" t="s">
        <v>49</v>
      </c>
      <c r="F573" s="38">
        <f>IFERROR(__xludf.DUMMYFUNCTION("""COMPUTED_VALUE"""),40403.0)</f>
        <v>40403</v>
      </c>
      <c r="G573" s="39">
        <f t="shared" si="2"/>
        <v>7</v>
      </c>
      <c r="H573" s="39" t="str">
        <f>IFERROR(__xludf.DUMMYFUNCTION("""COMPUTED_VALUE"""),"Alan Haines")</f>
        <v>Alan Haines</v>
      </c>
      <c r="I573" s="40">
        <f t="shared" si="3"/>
        <v>13</v>
      </c>
    </row>
    <row r="574">
      <c r="A574" s="11">
        <v>573.0</v>
      </c>
      <c r="B574" s="12">
        <f>DATE(2012,12,31)-1368</f>
        <v>39906</v>
      </c>
      <c r="C574" s="11" t="s">
        <v>839</v>
      </c>
      <c r="D574" s="11" t="s">
        <v>49</v>
      </c>
      <c r="F574" s="38">
        <f>IFERROR(__xludf.DUMMYFUNCTION("""COMPUTED_VALUE"""),40404.0)</f>
        <v>40404</v>
      </c>
      <c r="G574" s="39">
        <f t="shared" si="2"/>
        <v>4</v>
      </c>
      <c r="H574" s="39" t="str">
        <f>IFERROR(__xludf.DUMMYFUNCTION("""COMPUTED_VALUE"""),"Dean Percer")</f>
        <v>Dean Percer</v>
      </c>
      <c r="I574" s="40">
        <f t="shared" si="3"/>
        <v>11</v>
      </c>
    </row>
    <row r="575">
      <c r="A575" s="11">
        <v>574.0</v>
      </c>
      <c r="B575" s="12">
        <f t="shared" ref="B575:B580" si="94">DATE(2012,12,31)-1367</f>
        <v>39907</v>
      </c>
      <c r="C575" s="11" t="s">
        <v>60</v>
      </c>
      <c r="D575" s="11" t="s">
        <v>28</v>
      </c>
      <c r="F575" s="38">
        <f>IFERROR(__xludf.DUMMYFUNCTION("""COMPUTED_VALUE"""),40405.0)</f>
        <v>40405</v>
      </c>
      <c r="G575" s="39">
        <f t="shared" si="2"/>
        <v>5</v>
      </c>
      <c r="H575" s="39" t="str">
        <f>IFERROR(__xludf.DUMMYFUNCTION("""COMPUTED_VALUE"""),"Cathy Prescott")</f>
        <v>Cathy Prescott</v>
      </c>
      <c r="I575" s="40">
        <f t="shared" si="3"/>
        <v>4</v>
      </c>
    </row>
    <row r="576">
      <c r="A576" s="11">
        <v>575.0</v>
      </c>
      <c r="B576" s="12">
        <f t="shared" si="94"/>
        <v>39907</v>
      </c>
      <c r="C576" s="11" t="s">
        <v>60</v>
      </c>
      <c r="D576" s="11" t="s">
        <v>28</v>
      </c>
      <c r="F576" s="38">
        <f>IFERROR(__xludf.DUMMYFUNCTION("""COMPUTED_VALUE"""),40406.0)</f>
        <v>40406</v>
      </c>
      <c r="G576" s="39">
        <f t="shared" si="2"/>
        <v>6</v>
      </c>
      <c r="H576" s="39" t="str">
        <f>IFERROR(__xludf.DUMMYFUNCTION("""COMPUTED_VALUE"""),"Bruce Stewart")</f>
        <v>Bruce Stewart</v>
      </c>
      <c r="I576" s="40">
        <f t="shared" si="3"/>
        <v>10</v>
      </c>
    </row>
    <row r="577">
      <c r="A577" s="11">
        <v>576.0</v>
      </c>
      <c r="B577" s="12">
        <f t="shared" si="94"/>
        <v>39907</v>
      </c>
      <c r="C577" s="11" t="s">
        <v>665</v>
      </c>
      <c r="D577" s="11" t="s">
        <v>28</v>
      </c>
      <c r="F577" s="38">
        <f>IFERROR(__xludf.DUMMYFUNCTION("""COMPUTED_VALUE"""),40407.0)</f>
        <v>40407</v>
      </c>
      <c r="G577" s="39">
        <f t="shared" si="2"/>
        <v>8</v>
      </c>
      <c r="H577" s="39" t="str">
        <f>IFERROR(__xludf.DUMMYFUNCTION("""COMPUTED_VALUE"""),"Patrick Bzostek")</f>
        <v>Patrick Bzostek</v>
      </c>
      <c r="I577" s="40">
        <f t="shared" si="3"/>
        <v>13</v>
      </c>
    </row>
    <row r="578">
      <c r="A578" s="11">
        <v>577.0</v>
      </c>
      <c r="B578" s="12">
        <f t="shared" si="94"/>
        <v>39907</v>
      </c>
      <c r="C578" s="11" t="s">
        <v>936</v>
      </c>
      <c r="D578" s="11" t="s">
        <v>28</v>
      </c>
      <c r="F578" s="38">
        <f>IFERROR(__xludf.DUMMYFUNCTION("""COMPUTED_VALUE"""),40408.0)</f>
        <v>40408</v>
      </c>
      <c r="G578" s="39">
        <f t="shared" si="2"/>
        <v>7</v>
      </c>
      <c r="H578" s="39" t="str">
        <f>IFERROR(__xludf.DUMMYFUNCTION("""COMPUTED_VALUE"""),"Trudy Brown")</f>
        <v>Trudy Brown</v>
      </c>
      <c r="I578" s="40">
        <f t="shared" si="3"/>
        <v>10</v>
      </c>
    </row>
    <row r="579">
      <c r="A579" s="11">
        <v>578.0</v>
      </c>
      <c r="B579" s="12">
        <f t="shared" si="94"/>
        <v>39907</v>
      </c>
      <c r="C579" s="11" t="s">
        <v>520</v>
      </c>
      <c r="D579" s="11" t="s">
        <v>28</v>
      </c>
      <c r="F579" s="38">
        <f>IFERROR(__xludf.DUMMYFUNCTION("""COMPUTED_VALUE"""),40409.0)</f>
        <v>40409</v>
      </c>
      <c r="G579" s="39">
        <f t="shared" si="2"/>
        <v>2</v>
      </c>
      <c r="H579" s="39" t="str">
        <f>IFERROR(__xludf.DUMMYFUNCTION("""COMPUTED_VALUE"""),"Clay Cheatham")</f>
        <v>Clay Cheatham</v>
      </c>
      <c r="I579" s="40">
        <f t="shared" si="3"/>
        <v>5</v>
      </c>
    </row>
    <row r="580">
      <c r="A580" s="11">
        <v>579.0</v>
      </c>
      <c r="B580" s="12">
        <f t="shared" si="94"/>
        <v>39907</v>
      </c>
      <c r="C580" s="11" t="s">
        <v>1045</v>
      </c>
      <c r="D580" s="11" t="s">
        <v>66</v>
      </c>
      <c r="F580" s="38">
        <f>IFERROR(__xludf.DUMMYFUNCTION("""COMPUTED_VALUE"""),40410.0)</f>
        <v>40410</v>
      </c>
      <c r="G580" s="39">
        <f t="shared" si="2"/>
        <v>6</v>
      </c>
      <c r="H580" s="39" t="str">
        <f>IFERROR(__xludf.DUMMYFUNCTION("""COMPUTED_VALUE"""),"Craig Molinari")</f>
        <v>Craig Molinari</v>
      </c>
      <c r="I580" s="40">
        <f t="shared" si="3"/>
        <v>9</v>
      </c>
    </row>
    <row r="581">
      <c r="A581" s="11">
        <v>580.0</v>
      </c>
      <c r="B581" s="12">
        <f t="shared" ref="B581:B584" si="95">DATE(2012,12,31)-1366</f>
        <v>39908</v>
      </c>
      <c r="C581" s="11" t="s">
        <v>1048</v>
      </c>
      <c r="D581" s="11" t="s">
        <v>28</v>
      </c>
      <c r="F581" s="38">
        <f>IFERROR(__xludf.DUMMYFUNCTION("""COMPUTED_VALUE"""),40411.0)</f>
        <v>40411</v>
      </c>
      <c r="G581" s="39">
        <f t="shared" si="2"/>
        <v>7</v>
      </c>
      <c r="H581" s="39" t="str">
        <f>IFERROR(__xludf.DUMMYFUNCTION("""COMPUTED_VALUE"""),"Gary Hwang")</f>
        <v>Gary Hwang</v>
      </c>
      <c r="I581" s="40">
        <f t="shared" si="3"/>
        <v>13</v>
      </c>
    </row>
    <row r="582">
      <c r="A582" s="11">
        <v>581.0</v>
      </c>
      <c r="B582" s="12">
        <f t="shared" si="95"/>
        <v>39908</v>
      </c>
      <c r="C582" s="11" t="s">
        <v>1051</v>
      </c>
      <c r="D582" s="11" t="s">
        <v>28</v>
      </c>
      <c r="F582" s="38">
        <f>IFERROR(__xludf.DUMMYFUNCTION("""COMPUTED_VALUE"""),40412.0)</f>
        <v>40412</v>
      </c>
      <c r="G582" s="39">
        <f t="shared" si="2"/>
        <v>3</v>
      </c>
      <c r="H582" s="39" t="str">
        <f>IFERROR(__xludf.DUMMYFUNCTION("""COMPUTED_VALUE"""),"Rachel Payne")</f>
        <v>Rachel Payne</v>
      </c>
      <c r="I582" s="40">
        <f t="shared" si="3"/>
        <v>10</v>
      </c>
    </row>
    <row r="583">
      <c r="A583" s="11">
        <v>582.0</v>
      </c>
      <c r="B583" s="12">
        <f t="shared" si="95"/>
        <v>39908</v>
      </c>
      <c r="C583" s="11" t="s">
        <v>1051</v>
      </c>
      <c r="D583" s="11" t="s">
        <v>49</v>
      </c>
      <c r="F583" s="38">
        <f>IFERROR(__xludf.DUMMYFUNCTION("""COMPUTED_VALUE"""),40413.0)</f>
        <v>40413</v>
      </c>
      <c r="G583" s="39">
        <f t="shared" si="2"/>
        <v>6</v>
      </c>
      <c r="H583" s="39" t="str">
        <f>IFERROR(__xludf.DUMMYFUNCTION("""COMPUTED_VALUE"""),"Bill Stewart")</f>
        <v>Bill Stewart</v>
      </c>
      <c r="I583" s="40">
        <f t="shared" si="3"/>
        <v>6</v>
      </c>
    </row>
    <row r="584">
      <c r="A584" s="11">
        <v>583.0</v>
      </c>
      <c r="B584" s="12">
        <f t="shared" si="95"/>
        <v>39908</v>
      </c>
      <c r="C584" s="11" t="s">
        <v>1054</v>
      </c>
      <c r="D584" s="11" t="s">
        <v>66</v>
      </c>
      <c r="F584" s="38">
        <f>IFERROR(__xludf.DUMMYFUNCTION("""COMPUTED_VALUE"""),40414.0)</f>
        <v>40414</v>
      </c>
      <c r="G584" s="39">
        <f t="shared" si="2"/>
        <v>9</v>
      </c>
      <c r="H584" s="39" t="str">
        <f>IFERROR(__xludf.DUMMYFUNCTION("""COMPUTED_VALUE"""),"Alex Avila")</f>
        <v>Alex Avila</v>
      </c>
      <c r="I584" s="40">
        <f t="shared" si="3"/>
        <v>14</v>
      </c>
    </row>
    <row r="585">
      <c r="A585" s="11">
        <v>584.0</v>
      </c>
      <c r="B585" s="12">
        <f t="shared" ref="B585:B598" si="96">DATE(2012,12,31)-1365</f>
        <v>39909</v>
      </c>
      <c r="C585" s="11" t="s">
        <v>1056</v>
      </c>
      <c r="D585" s="11" t="s">
        <v>28</v>
      </c>
      <c r="F585" s="38">
        <f>IFERROR(__xludf.DUMMYFUNCTION("""COMPUTED_VALUE"""),40415.0)</f>
        <v>40415</v>
      </c>
      <c r="G585" s="39">
        <f t="shared" si="2"/>
        <v>1</v>
      </c>
      <c r="H585" s="39" t="str">
        <f>IFERROR(__xludf.DUMMYFUNCTION("""COMPUTED_VALUE"""),"Pierre Wener")</f>
        <v>Pierre Wener</v>
      </c>
      <c r="I585" s="40">
        <f t="shared" si="3"/>
        <v>9</v>
      </c>
    </row>
    <row r="586">
      <c r="A586" s="11">
        <v>585.0</v>
      </c>
      <c r="B586" s="12">
        <f t="shared" si="96"/>
        <v>39909</v>
      </c>
      <c r="C586" s="11" t="s">
        <v>1058</v>
      </c>
      <c r="D586" s="11" t="s">
        <v>28</v>
      </c>
      <c r="F586" s="38">
        <f>IFERROR(__xludf.DUMMYFUNCTION("""COMPUTED_VALUE"""),40416.0)</f>
        <v>40416</v>
      </c>
      <c r="G586" s="39">
        <f t="shared" si="2"/>
        <v>14</v>
      </c>
      <c r="H586" s="39" t="str">
        <f>IFERROR(__xludf.DUMMYFUNCTION("""COMPUTED_VALUE"""),"Art Miller")</f>
        <v>Art Miller</v>
      </c>
      <c r="I586" s="40">
        <f t="shared" si="3"/>
        <v>13</v>
      </c>
    </row>
    <row r="587">
      <c r="A587" s="11">
        <v>586.0</v>
      </c>
      <c r="B587" s="12">
        <f t="shared" si="96"/>
        <v>39909</v>
      </c>
      <c r="C587" s="11" t="s">
        <v>1058</v>
      </c>
      <c r="D587" s="11" t="s">
        <v>66</v>
      </c>
      <c r="F587" s="38">
        <f>IFERROR(__xludf.DUMMYFUNCTION("""COMPUTED_VALUE"""),40417.0)</f>
        <v>40417</v>
      </c>
      <c r="G587" s="39">
        <f t="shared" si="2"/>
        <v>4</v>
      </c>
      <c r="H587" s="39" t="str">
        <f>IFERROR(__xludf.DUMMYFUNCTION("""COMPUTED_VALUE"""),"Doug O'Connell")</f>
        <v>Doug O'Connell</v>
      </c>
      <c r="I587" s="40">
        <f t="shared" si="3"/>
        <v>5</v>
      </c>
    </row>
    <row r="588">
      <c r="A588" s="11">
        <v>587.0</v>
      </c>
      <c r="B588" s="12">
        <f t="shared" si="96"/>
        <v>39909</v>
      </c>
      <c r="C588" s="11" t="s">
        <v>1061</v>
      </c>
      <c r="D588" s="11" t="s">
        <v>28</v>
      </c>
      <c r="F588" s="38">
        <f>IFERROR(__xludf.DUMMYFUNCTION("""COMPUTED_VALUE"""),40418.0)</f>
        <v>40418</v>
      </c>
      <c r="G588" s="39">
        <f t="shared" si="2"/>
        <v>8</v>
      </c>
      <c r="H588" s="39" t="str">
        <f>IFERROR(__xludf.DUMMYFUNCTION("""COMPUTED_VALUE"""),"Larry Hughes")</f>
        <v>Larry Hughes</v>
      </c>
      <c r="I588" s="40">
        <f t="shared" si="3"/>
        <v>4</v>
      </c>
    </row>
    <row r="589">
      <c r="A589" s="11">
        <v>588.0</v>
      </c>
      <c r="B589" s="12">
        <f t="shared" si="96"/>
        <v>39909</v>
      </c>
      <c r="C589" s="11" t="s">
        <v>1061</v>
      </c>
      <c r="D589" s="11" t="s">
        <v>49</v>
      </c>
      <c r="F589" s="38">
        <f>IFERROR(__xludf.DUMMYFUNCTION("""COMPUTED_VALUE"""),40419.0)</f>
        <v>40419</v>
      </c>
      <c r="G589" s="39">
        <f t="shared" si="2"/>
        <v>3</v>
      </c>
      <c r="H589" s="39" t="str">
        <f>IFERROR(__xludf.DUMMYFUNCTION("""COMPUTED_VALUE"""),"Henry Goldwyn")</f>
        <v>Henry Goldwyn</v>
      </c>
      <c r="I589" s="40">
        <f t="shared" si="3"/>
        <v>10</v>
      </c>
    </row>
    <row r="590">
      <c r="A590" s="11">
        <v>589.0</v>
      </c>
      <c r="B590" s="12">
        <f t="shared" si="96"/>
        <v>39909</v>
      </c>
      <c r="C590" s="11" t="s">
        <v>1061</v>
      </c>
      <c r="D590" s="11" t="s">
        <v>49</v>
      </c>
      <c r="F590" s="38">
        <f>IFERROR(__xludf.DUMMYFUNCTION("""COMPUTED_VALUE"""),40420.0)</f>
        <v>40420</v>
      </c>
      <c r="G590" s="39">
        <f t="shared" si="2"/>
        <v>13</v>
      </c>
      <c r="H590" s="39" t="str">
        <f>IFERROR(__xludf.DUMMYFUNCTION("""COMPUTED_VALUE"""),"Shahid Collister")</f>
        <v>Shahid Collister</v>
      </c>
      <c r="I590" s="40">
        <f t="shared" si="3"/>
        <v>6</v>
      </c>
    </row>
    <row r="591">
      <c r="A591" s="11">
        <v>590.0</v>
      </c>
      <c r="B591" s="12">
        <f t="shared" si="96"/>
        <v>39909</v>
      </c>
      <c r="C591" s="11" t="s">
        <v>1065</v>
      </c>
      <c r="D591" s="11" t="s">
        <v>28</v>
      </c>
      <c r="F591" s="38">
        <f>IFERROR(__xludf.DUMMYFUNCTION("""COMPUTED_VALUE"""),40421.0)</f>
        <v>40421</v>
      </c>
      <c r="G591" s="39">
        <f t="shared" si="2"/>
        <v>3</v>
      </c>
      <c r="H591" s="39" t="str">
        <f>IFERROR(__xludf.DUMMYFUNCTION("""COMPUTED_VALUE"""),"Adrian Shami")</f>
        <v>Adrian Shami</v>
      </c>
      <c r="I591" s="40">
        <f t="shared" si="3"/>
        <v>6</v>
      </c>
    </row>
    <row r="592">
      <c r="A592" s="11">
        <v>591.0</v>
      </c>
      <c r="B592" s="12">
        <f t="shared" si="96"/>
        <v>39909</v>
      </c>
      <c r="C592" s="11" t="s">
        <v>1065</v>
      </c>
      <c r="D592" s="11" t="s">
        <v>28</v>
      </c>
      <c r="F592" s="38">
        <f>IFERROR(__xludf.DUMMYFUNCTION("""COMPUTED_VALUE"""),40422.0)</f>
        <v>40422</v>
      </c>
      <c r="G592" s="39">
        <f t="shared" si="2"/>
        <v>5</v>
      </c>
      <c r="H592" s="39" t="str">
        <f>IFERROR(__xludf.DUMMYFUNCTION("""COMPUTED_VALUE"""),"Jason Fortune")</f>
        <v>Jason Fortune</v>
      </c>
      <c r="I592" s="40">
        <f t="shared" si="3"/>
        <v>9</v>
      </c>
    </row>
    <row r="593">
      <c r="A593" s="11">
        <v>592.0</v>
      </c>
      <c r="B593" s="12">
        <f t="shared" si="96"/>
        <v>39909</v>
      </c>
      <c r="C593" s="11" t="s">
        <v>1065</v>
      </c>
      <c r="D593" s="11" t="s">
        <v>66</v>
      </c>
      <c r="F593" s="38">
        <f>IFERROR(__xludf.DUMMYFUNCTION("""COMPUTED_VALUE"""),40423.0)</f>
        <v>40423</v>
      </c>
      <c r="G593" s="39">
        <f t="shared" si="2"/>
        <v>2</v>
      </c>
      <c r="H593" s="39" t="str">
        <f>IFERROR(__xludf.DUMMYFUNCTION("""COMPUTED_VALUE"""),"Jamie Frazer")</f>
        <v>Jamie Frazer</v>
      </c>
      <c r="I593" s="40">
        <f t="shared" si="3"/>
        <v>4</v>
      </c>
    </row>
    <row r="594">
      <c r="A594" s="11">
        <v>593.0</v>
      </c>
      <c r="B594" s="12">
        <f t="shared" si="96"/>
        <v>39909</v>
      </c>
      <c r="C594" s="11" t="s">
        <v>436</v>
      </c>
      <c r="D594" s="11" t="s">
        <v>28</v>
      </c>
      <c r="F594" s="38">
        <f>IFERROR(__xludf.DUMMYFUNCTION("""COMPUTED_VALUE"""),40424.0)</f>
        <v>40424</v>
      </c>
      <c r="G594" s="39">
        <f t="shared" si="2"/>
        <v>5</v>
      </c>
      <c r="H594" s="39" t="str">
        <f>IFERROR(__xludf.DUMMYFUNCTION("""COMPUTED_VALUE"""),"Brian Dahlen")</f>
        <v>Brian Dahlen</v>
      </c>
      <c r="I594" s="40">
        <f t="shared" si="3"/>
        <v>6</v>
      </c>
    </row>
    <row r="595">
      <c r="A595" s="11">
        <v>594.0</v>
      </c>
      <c r="B595" s="12">
        <f t="shared" si="96"/>
        <v>39909</v>
      </c>
      <c r="C595" s="11" t="s">
        <v>1067</v>
      </c>
      <c r="D595" s="11" t="s">
        <v>28</v>
      </c>
      <c r="F595" s="38">
        <f>IFERROR(__xludf.DUMMYFUNCTION("""COMPUTED_VALUE"""),40425.0)</f>
        <v>40425</v>
      </c>
      <c r="G595" s="39">
        <f t="shared" si="2"/>
        <v>5</v>
      </c>
      <c r="H595" s="39" t="str">
        <f>IFERROR(__xludf.DUMMYFUNCTION("""COMPUTED_VALUE"""),"Larry Blacks")</f>
        <v>Larry Blacks</v>
      </c>
      <c r="I595" s="40">
        <f t="shared" si="3"/>
        <v>5</v>
      </c>
    </row>
    <row r="596">
      <c r="A596" s="11">
        <v>595.0</v>
      </c>
      <c r="B596" s="12">
        <f t="shared" si="96"/>
        <v>39909</v>
      </c>
      <c r="C596" s="11" t="s">
        <v>1067</v>
      </c>
      <c r="D596" s="11" t="s">
        <v>28</v>
      </c>
      <c r="F596" s="38">
        <f>IFERROR(__xludf.DUMMYFUNCTION("""COMPUTED_VALUE"""),40426.0)</f>
        <v>40426</v>
      </c>
      <c r="G596" s="39">
        <f t="shared" si="2"/>
        <v>7</v>
      </c>
      <c r="H596" s="39" t="str">
        <f>IFERROR(__xludf.DUMMYFUNCTION("""COMPUTED_VALUE"""),"Kean Nguyen")</f>
        <v>Kean Nguyen</v>
      </c>
      <c r="I596" s="40">
        <f t="shared" si="3"/>
        <v>9</v>
      </c>
    </row>
    <row r="597">
      <c r="A597" s="11">
        <v>596.0</v>
      </c>
      <c r="B597" s="12">
        <f t="shared" si="96"/>
        <v>39909</v>
      </c>
      <c r="C597" s="11" t="s">
        <v>1068</v>
      </c>
      <c r="D597" s="11" t="s">
        <v>49</v>
      </c>
      <c r="F597" s="38">
        <f>IFERROR(__xludf.DUMMYFUNCTION("""COMPUTED_VALUE"""),40427.0)</f>
        <v>40427</v>
      </c>
      <c r="G597" s="39">
        <f t="shared" si="2"/>
        <v>6</v>
      </c>
      <c r="H597" s="39" t="str">
        <f>IFERROR(__xludf.DUMMYFUNCTION("""COMPUTED_VALUE"""),"Linda Southworth")</f>
        <v>Linda Southworth</v>
      </c>
      <c r="I597" s="40">
        <f t="shared" si="3"/>
        <v>18</v>
      </c>
    </row>
    <row r="598">
      <c r="A598" s="11">
        <v>597.0</v>
      </c>
      <c r="B598" s="12">
        <f t="shared" si="96"/>
        <v>39909</v>
      </c>
      <c r="C598" s="11" t="s">
        <v>1069</v>
      </c>
      <c r="D598" s="11" t="s">
        <v>49</v>
      </c>
      <c r="F598" s="38">
        <f>IFERROR(__xludf.DUMMYFUNCTION("""COMPUTED_VALUE"""),40428.0)</f>
        <v>40428</v>
      </c>
      <c r="G598" s="39">
        <f t="shared" si="2"/>
        <v>7</v>
      </c>
      <c r="H598" s="39" t="str">
        <f>IFERROR(__xludf.DUMMYFUNCTION("""COMPUTED_VALUE"""),"Roger Demir")</f>
        <v>Roger Demir</v>
      </c>
      <c r="I598" s="40">
        <f t="shared" si="3"/>
        <v>9</v>
      </c>
    </row>
    <row r="599">
      <c r="A599" s="11">
        <v>598.0</v>
      </c>
      <c r="B599" s="12">
        <f t="shared" ref="B599:B605" si="97">DATE(2012,12,31)-1364</f>
        <v>39910</v>
      </c>
      <c r="C599" s="11" t="s">
        <v>1072</v>
      </c>
      <c r="D599" s="11" t="s">
        <v>49</v>
      </c>
      <c r="F599" s="38">
        <f>IFERROR(__xludf.DUMMYFUNCTION("""COMPUTED_VALUE"""),40429.0)</f>
        <v>40429</v>
      </c>
      <c r="G599" s="39">
        <f t="shared" si="2"/>
        <v>3</v>
      </c>
      <c r="H599" s="39" t="str">
        <f>IFERROR(__xludf.DUMMYFUNCTION("""COMPUTED_VALUE"""),"Sean Miller")</f>
        <v>Sean Miller</v>
      </c>
      <c r="I599" s="40">
        <f t="shared" si="3"/>
        <v>10</v>
      </c>
    </row>
    <row r="600">
      <c r="A600" s="11">
        <v>599.0</v>
      </c>
      <c r="B600" s="12">
        <f t="shared" si="97"/>
        <v>39910</v>
      </c>
      <c r="C600" s="11" t="s">
        <v>1020</v>
      </c>
      <c r="D600" s="11" t="s">
        <v>28</v>
      </c>
      <c r="F600" s="38">
        <f>IFERROR(__xludf.DUMMYFUNCTION("""COMPUTED_VALUE"""),40430.0)</f>
        <v>40430</v>
      </c>
      <c r="G600" s="39">
        <f t="shared" si="2"/>
        <v>7</v>
      </c>
      <c r="H600" s="39" t="str">
        <f>IFERROR(__xludf.DUMMYFUNCTION("""COMPUTED_VALUE"""),"Nona Balk")</f>
        <v>Nona Balk</v>
      </c>
      <c r="I600" s="40">
        <f t="shared" si="3"/>
        <v>12</v>
      </c>
    </row>
    <row r="601">
      <c r="A601" s="11">
        <v>600.0</v>
      </c>
      <c r="B601" s="12">
        <f t="shared" si="97"/>
        <v>39910</v>
      </c>
      <c r="C601" s="11" t="s">
        <v>1020</v>
      </c>
      <c r="D601" s="11" t="s">
        <v>49</v>
      </c>
      <c r="F601" s="38">
        <f>IFERROR(__xludf.DUMMYFUNCTION("""COMPUTED_VALUE"""),40431.0)</f>
        <v>40431</v>
      </c>
      <c r="G601" s="39">
        <f t="shared" si="2"/>
        <v>8</v>
      </c>
      <c r="H601" s="39" t="str">
        <f>IFERROR(__xludf.DUMMYFUNCTION("""COMPUTED_VALUE"""),"Jennifer Braxton")</f>
        <v>Jennifer Braxton</v>
      </c>
      <c r="I601" s="40">
        <f t="shared" si="3"/>
        <v>10</v>
      </c>
    </row>
    <row r="602">
      <c r="A602" s="11">
        <v>601.0</v>
      </c>
      <c r="B602" s="12">
        <f t="shared" si="97"/>
        <v>39910</v>
      </c>
      <c r="C602" s="11" t="s">
        <v>993</v>
      </c>
      <c r="D602" s="11" t="s">
        <v>66</v>
      </c>
      <c r="F602" s="38">
        <f>IFERROR(__xludf.DUMMYFUNCTION("""COMPUTED_VALUE"""),40432.0)</f>
        <v>40432</v>
      </c>
      <c r="G602" s="39">
        <f t="shared" si="2"/>
        <v>3</v>
      </c>
      <c r="H602" s="39" t="str">
        <f>IFERROR(__xludf.DUMMYFUNCTION("""COMPUTED_VALUE"""),"Saphhira Shifley")</f>
        <v>Saphhira Shifley</v>
      </c>
      <c r="I602" s="40">
        <f t="shared" si="3"/>
        <v>16</v>
      </c>
    </row>
    <row r="603">
      <c r="A603" s="11">
        <v>602.0</v>
      </c>
      <c r="B603" s="12">
        <f t="shared" si="97"/>
        <v>39910</v>
      </c>
      <c r="C603" s="11" t="s">
        <v>1080</v>
      </c>
      <c r="D603" s="11" t="s">
        <v>66</v>
      </c>
      <c r="F603" s="38">
        <f>IFERROR(__xludf.DUMMYFUNCTION("""COMPUTED_VALUE"""),40433.0)</f>
        <v>40433</v>
      </c>
      <c r="G603" s="39">
        <f t="shared" si="2"/>
        <v>6</v>
      </c>
      <c r="H603" s="39" t="str">
        <f>IFERROR(__xludf.DUMMYFUNCTION("""COMPUTED_VALUE"""),"Art Ferguson")</f>
        <v>Art Ferguson</v>
      </c>
      <c r="I603" s="40">
        <f t="shared" si="3"/>
        <v>12</v>
      </c>
    </row>
    <row r="604">
      <c r="A604" s="11">
        <v>603.0</v>
      </c>
      <c r="B604" s="12">
        <f t="shared" si="97"/>
        <v>39910</v>
      </c>
      <c r="C604" s="11" t="s">
        <v>1082</v>
      </c>
      <c r="D604" s="11" t="s">
        <v>28</v>
      </c>
      <c r="F604" s="38">
        <f>IFERROR(__xludf.DUMMYFUNCTION("""COMPUTED_VALUE"""),40434.0)</f>
        <v>40434</v>
      </c>
      <c r="G604" s="39">
        <f t="shared" si="2"/>
        <v>6</v>
      </c>
      <c r="H604" s="39" t="str">
        <f>IFERROR(__xludf.DUMMYFUNCTION("""COMPUTED_VALUE"""),"Philip Fox")</f>
        <v>Philip Fox</v>
      </c>
      <c r="I604" s="40">
        <f t="shared" si="3"/>
        <v>10</v>
      </c>
    </row>
    <row r="605">
      <c r="A605" s="11">
        <v>604.0</v>
      </c>
      <c r="B605" s="12">
        <f t="shared" si="97"/>
        <v>39910</v>
      </c>
      <c r="C605" s="11" t="s">
        <v>1082</v>
      </c>
      <c r="D605" s="11" t="s">
        <v>28</v>
      </c>
      <c r="F605" s="38">
        <f>IFERROR(__xludf.DUMMYFUNCTION("""COMPUTED_VALUE"""),40435.0)</f>
        <v>40435</v>
      </c>
      <c r="G605" s="39">
        <f t="shared" si="2"/>
        <v>11</v>
      </c>
      <c r="H605" s="39" t="str">
        <f>IFERROR(__xludf.DUMMYFUNCTION("""COMPUTED_VALUE"""),"Chris Selesnick")</f>
        <v>Chris Selesnick</v>
      </c>
      <c r="I605" s="40">
        <f t="shared" si="3"/>
        <v>6</v>
      </c>
    </row>
    <row r="606">
      <c r="A606" s="11">
        <v>605.0</v>
      </c>
      <c r="B606" s="12">
        <f t="shared" ref="B606:B611" si="98">DATE(2012,12,31)-1363</f>
        <v>39911</v>
      </c>
      <c r="C606" s="11" t="s">
        <v>407</v>
      </c>
      <c r="D606" s="11" t="s">
        <v>28</v>
      </c>
      <c r="F606" s="38">
        <f>IFERROR(__xludf.DUMMYFUNCTION("""COMPUTED_VALUE"""),40436.0)</f>
        <v>40436</v>
      </c>
      <c r="G606" s="39">
        <f t="shared" si="2"/>
        <v>6</v>
      </c>
      <c r="H606" s="39" t="str">
        <f>IFERROR(__xludf.DUMMYFUNCTION("""COMPUTED_VALUE"""),"Harold Engle")</f>
        <v>Harold Engle</v>
      </c>
      <c r="I606" s="40">
        <f t="shared" si="3"/>
        <v>18</v>
      </c>
    </row>
    <row r="607">
      <c r="A607" s="11">
        <v>606.0</v>
      </c>
      <c r="B607" s="12">
        <f t="shared" si="98"/>
        <v>39911</v>
      </c>
      <c r="C607" s="11" t="s">
        <v>1086</v>
      </c>
      <c r="D607" s="11" t="s">
        <v>66</v>
      </c>
      <c r="F607" s="38">
        <f>IFERROR(__xludf.DUMMYFUNCTION("""COMPUTED_VALUE"""),40438.0)</f>
        <v>40438</v>
      </c>
      <c r="G607" s="39">
        <f t="shared" si="2"/>
        <v>12</v>
      </c>
      <c r="H607" s="39" t="str">
        <f>IFERROR(__xludf.DUMMYFUNCTION("""COMPUTED_VALUE"""),"Laurel Elliston")</f>
        <v>Laurel Elliston</v>
      </c>
      <c r="I607" s="40">
        <f t="shared" si="3"/>
        <v>19</v>
      </c>
    </row>
    <row r="608">
      <c r="A608" s="11">
        <v>607.0</v>
      </c>
      <c r="B608" s="12">
        <f t="shared" si="98"/>
        <v>39911</v>
      </c>
      <c r="C608" s="11" t="s">
        <v>1089</v>
      </c>
      <c r="D608" s="11" t="s">
        <v>28</v>
      </c>
      <c r="F608" s="38">
        <f>IFERROR(__xludf.DUMMYFUNCTION("""COMPUTED_VALUE"""),40439.0)</f>
        <v>40439</v>
      </c>
      <c r="G608" s="39">
        <f t="shared" si="2"/>
        <v>4</v>
      </c>
      <c r="H608" s="39" t="str">
        <f>IFERROR(__xludf.DUMMYFUNCTION("""COMPUTED_VALUE"""),"Brian Thompson")</f>
        <v>Brian Thompson</v>
      </c>
      <c r="I608" s="40">
        <f t="shared" si="3"/>
        <v>5</v>
      </c>
    </row>
    <row r="609">
      <c r="A609" s="11">
        <v>608.0</v>
      </c>
      <c r="B609" s="12">
        <f t="shared" si="98"/>
        <v>39911</v>
      </c>
      <c r="C609" s="11" t="s">
        <v>1092</v>
      </c>
      <c r="D609" s="11" t="s">
        <v>28</v>
      </c>
      <c r="F609" s="38">
        <f>IFERROR(__xludf.DUMMYFUNCTION("""COMPUTED_VALUE"""),40440.0)</f>
        <v>40440</v>
      </c>
      <c r="G609" s="39">
        <f t="shared" si="2"/>
        <v>12</v>
      </c>
      <c r="H609" s="39" t="str">
        <f>IFERROR(__xludf.DUMMYFUNCTION("""COMPUTED_VALUE"""),"Lycoris Saunders")</f>
        <v>Lycoris Saunders</v>
      </c>
      <c r="I609" s="40">
        <f t="shared" si="3"/>
        <v>22</v>
      </c>
    </row>
    <row r="610">
      <c r="A610" s="11">
        <v>609.0</v>
      </c>
      <c r="B610" s="12">
        <f t="shared" si="98"/>
        <v>39911</v>
      </c>
      <c r="C610" s="11" t="s">
        <v>1094</v>
      </c>
      <c r="D610" s="11" t="s">
        <v>28</v>
      </c>
      <c r="F610" s="38">
        <f>IFERROR(__xludf.DUMMYFUNCTION("""COMPUTED_VALUE"""),40441.0)</f>
        <v>40441</v>
      </c>
      <c r="G610" s="39">
        <f t="shared" si="2"/>
        <v>7</v>
      </c>
      <c r="H610" s="39" t="str">
        <f>IFERROR(__xludf.DUMMYFUNCTION("""COMPUTED_VALUE"""),"Patrick O'Brill")</f>
        <v>Patrick O'Brill</v>
      </c>
      <c r="I610" s="40">
        <f t="shared" si="3"/>
        <v>10</v>
      </c>
    </row>
    <row r="611">
      <c r="A611" s="11">
        <v>610.0</v>
      </c>
      <c r="B611" s="12">
        <f t="shared" si="98"/>
        <v>39911</v>
      </c>
      <c r="C611" s="11" t="s">
        <v>525</v>
      </c>
      <c r="D611" s="11" t="s">
        <v>28</v>
      </c>
      <c r="F611" s="38">
        <f>IFERROR(__xludf.DUMMYFUNCTION("""COMPUTED_VALUE"""),40442.0)</f>
        <v>40442</v>
      </c>
      <c r="G611" s="39">
        <f t="shared" si="2"/>
        <v>7</v>
      </c>
      <c r="H611" s="39" t="str">
        <f>IFERROR(__xludf.DUMMYFUNCTION("""COMPUTED_VALUE"""),"Sanjit Engle")</f>
        <v>Sanjit Engle</v>
      </c>
      <c r="I611" s="40">
        <f t="shared" si="3"/>
        <v>3</v>
      </c>
    </row>
    <row r="612">
      <c r="A612" s="11">
        <v>611.0</v>
      </c>
      <c r="B612" s="12">
        <f t="shared" ref="B612:B625" si="99">DATE(2012,12,31)-1362</f>
        <v>39912</v>
      </c>
      <c r="C612" s="11" t="s">
        <v>1095</v>
      </c>
      <c r="D612" s="11" t="s">
        <v>28</v>
      </c>
      <c r="F612" s="38">
        <f>IFERROR(__xludf.DUMMYFUNCTION("""COMPUTED_VALUE"""),40443.0)</f>
        <v>40443</v>
      </c>
      <c r="G612" s="39">
        <f t="shared" si="2"/>
        <v>3</v>
      </c>
      <c r="H612" s="39" t="str">
        <f>IFERROR(__xludf.DUMMYFUNCTION("""COMPUTED_VALUE"""),"Becky Castell")</f>
        <v>Becky Castell</v>
      </c>
      <c r="I612" s="40">
        <f t="shared" si="3"/>
        <v>7</v>
      </c>
    </row>
    <row r="613">
      <c r="A613" s="11">
        <v>612.0</v>
      </c>
      <c r="B613" s="12">
        <f t="shared" si="99"/>
        <v>39912</v>
      </c>
      <c r="C613" s="11" t="s">
        <v>1095</v>
      </c>
      <c r="D613" s="11" t="s">
        <v>49</v>
      </c>
      <c r="F613" s="38">
        <f>IFERROR(__xludf.DUMMYFUNCTION("""COMPUTED_VALUE"""),40444.0)</f>
        <v>40444</v>
      </c>
      <c r="G613" s="39">
        <f t="shared" si="2"/>
        <v>7</v>
      </c>
      <c r="H613" s="39" t="str">
        <f>IFERROR(__xludf.DUMMYFUNCTION("""COMPUTED_VALUE"""),"Eleni McCrary")</f>
        <v>Eleni McCrary</v>
      </c>
      <c r="I613" s="40">
        <f t="shared" si="3"/>
        <v>8</v>
      </c>
    </row>
    <row r="614">
      <c r="A614" s="11">
        <v>613.0</v>
      </c>
      <c r="B614" s="12">
        <f t="shared" si="99"/>
        <v>39912</v>
      </c>
      <c r="C614" s="11" t="s">
        <v>1095</v>
      </c>
      <c r="D614" s="11" t="s">
        <v>66</v>
      </c>
      <c r="F614" s="38">
        <f>IFERROR(__xludf.DUMMYFUNCTION("""COMPUTED_VALUE"""),40445.0)</f>
        <v>40445</v>
      </c>
      <c r="G614" s="39">
        <f t="shared" si="2"/>
        <v>10</v>
      </c>
      <c r="H614" s="39" t="str">
        <f>IFERROR(__xludf.DUMMYFUNCTION("""COMPUTED_VALUE"""),"Annie Thurman")</f>
        <v>Annie Thurman</v>
      </c>
      <c r="I614" s="40">
        <f t="shared" si="3"/>
        <v>19</v>
      </c>
    </row>
    <row r="615">
      <c r="A615" s="11">
        <v>614.0</v>
      </c>
      <c r="B615" s="12">
        <f t="shared" si="99"/>
        <v>39912</v>
      </c>
      <c r="C615" s="11" t="s">
        <v>1095</v>
      </c>
      <c r="D615" s="11" t="s">
        <v>49</v>
      </c>
      <c r="F615" s="38">
        <f>IFERROR(__xludf.DUMMYFUNCTION("""COMPUTED_VALUE"""),40446.0)</f>
        <v>40446</v>
      </c>
      <c r="G615" s="39">
        <f t="shared" si="2"/>
        <v>9</v>
      </c>
      <c r="H615" s="39" t="str">
        <f>IFERROR(__xludf.DUMMYFUNCTION("""COMPUTED_VALUE"""),"Angele Hood")</f>
        <v>Angele Hood</v>
      </c>
      <c r="I615" s="40">
        <f t="shared" si="3"/>
        <v>3</v>
      </c>
    </row>
    <row r="616">
      <c r="A616" s="11">
        <v>615.0</v>
      </c>
      <c r="B616" s="12">
        <f t="shared" si="99"/>
        <v>39912</v>
      </c>
      <c r="C616" s="11" t="s">
        <v>1099</v>
      </c>
      <c r="D616" s="11" t="s">
        <v>66</v>
      </c>
      <c r="F616" s="38">
        <f>IFERROR(__xludf.DUMMYFUNCTION("""COMPUTED_VALUE"""),40447.0)</f>
        <v>40447</v>
      </c>
      <c r="G616" s="39">
        <f t="shared" si="2"/>
        <v>12</v>
      </c>
      <c r="H616" s="39" t="str">
        <f>IFERROR(__xludf.DUMMYFUNCTION("""COMPUTED_VALUE"""),"Lisa DeCherney")</f>
        <v>Lisa DeCherney</v>
      </c>
      <c r="I616" s="40">
        <f t="shared" si="3"/>
        <v>22</v>
      </c>
    </row>
    <row r="617">
      <c r="A617" s="11">
        <v>616.0</v>
      </c>
      <c r="B617" s="12">
        <f t="shared" si="99"/>
        <v>39912</v>
      </c>
      <c r="C617" s="11" t="s">
        <v>1101</v>
      </c>
      <c r="D617" s="11" t="s">
        <v>28</v>
      </c>
      <c r="F617" s="38">
        <f>IFERROR(__xludf.DUMMYFUNCTION("""COMPUTED_VALUE"""),40448.0)</f>
        <v>40448</v>
      </c>
      <c r="G617" s="39">
        <f t="shared" si="2"/>
        <v>2</v>
      </c>
      <c r="H617" s="39" t="str">
        <f>IFERROR(__xludf.DUMMYFUNCTION("""COMPUTED_VALUE"""),"Jeremy Ellison")</f>
        <v>Jeremy Ellison</v>
      </c>
      <c r="I617" s="40">
        <f t="shared" si="3"/>
        <v>3</v>
      </c>
    </row>
    <row r="618">
      <c r="A618" s="11">
        <v>617.0</v>
      </c>
      <c r="B618" s="12">
        <f t="shared" si="99"/>
        <v>39912</v>
      </c>
      <c r="C618" s="11" t="s">
        <v>1101</v>
      </c>
      <c r="D618" s="11" t="s">
        <v>49</v>
      </c>
      <c r="F618" s="38">
        <f>IFERROR(__xludf.DUMMYFUNCTION("""COMPUTED_VALUE"""),40449.0)</f>
        <v>40449</v>
      </c>
      <c r="G618" s="39">
        <f t="shared" si="2"/>
        <v>4</v>
      </c>
      <c r="H618" s="39" t="str">
        <f>IFERROR(__xludf.DUMMYFUNCTION("""COMPUTED_VALUE"""),"Candace McMahon")</f>
        <v>Candace McMahon</v>
      </c>
      <c r="I618" s="40">
        <f t="shared" si="3"/>
        <v>9</v>
      </c>
    </row>
    <row r="619">
      <c r="A619" s="11">
        <v>618.0</v>
      </c>
      <c r="B619" s="12">
        <f t="shared" si="99"/>
        <v>39912</v>
      </c>
      <c r="C619" s="11" t="s">
        <v>1101</v>
      </c>
      <c r="D619" s="11" t="s">
        <v>28</v>
      </c>
      <c r="F619" s="38">
        <f>IFERROR(__xludf.DUMMYFUNCTION("""COMPUTED_VALUE"""),40450.0)</f>
        <v>40450</v>
      </c>
      <c r="G619" s="39">
        <f t="shared" si="2"/>
        <v>10</v>
      </c>
      <c r="H619" s="39" t="str">
        <f>IFERROR(__xludf.DUMMYFUNCTION("""COMPUTED_VALUE"""),"Hunter Lopez")</f>
        <v>Hunter Lopez</v>
      </c>
      <c r="I619" s="40">
        <f t="shared" si="3"/>
        <v>8</v>
      </c>
    </row>
    <row r="620">
      <c r="A620" s="11">
        <v>619.0</v>
      </c>
      <c r="B620" s="12">
        <f t="shared" si="99"/>
        <v>39912</v>
      </c>
      <c r="C620" s="11" t="s">
        <v>1103</v>
      </c>
      <c r="D620" s="11" t="s">
        <v>66</v>
      </c>
      <c r="F620" s="38">
        <f>IFERROR(__xludf.DUMMYFUNCTION("""COMPUTED_VALUE"""),40451.0)</f>
        <v>40451</v>
      </c>
      <c r="G620" s="39">
        <f t="shared" si="2"/>
        <v>7</v>
      </c>
      <c r="H620" s="39" t="str">
        <f>IFERROR(__xludf.DUMMYFUNCTION("""COMPUTED_VALUE"""),"Mark Van Huff")</f>
        <v>Mark Van Huff</v>
      </c>
      <c r="I620" s="40">
        <f t="shared" si="3"/>
        <v>4</v>
      </c>
    </row>
    <row r="621">
      <c r="A621" s="11">
        <v>620.0</v>
      </c>
      <c r="B621" s="12">
        <f t="shared" si="99"/>
        <v>39912</v>
      </c>
      <c r="C621" s="11" t="s">
        <v>1068</v>
      </c>
      <c r="D621" s="11" t="s">
        <v>28</v>
      </c>
      <c r="F621" s="38">
        <f>IFERROR(__xludf.DUMMYFUNCTION("""COMPUTED_VALUE"""),40452.0)</f>
        <v>40452</v>
      </c>
      <c r="G621" s="39">
        <f t="shared" si="2"/>
        <v>2</v>
      </c>
      <c r="H621" s="39" t="str">
        <f>IFERROR(__xludf.DUMMYFUNCTION("""COMPUTED_VALUE"""),"Helen Andreada")</f>
        <v>Helen Andreada</v>
      </c>
      <c r="I621" s="40">
        <f t="shared" si="3"/>
        <v>14</v>
      </c>
    </row>
    <row r="622">
      <c r="A622" s="11">
        <v>621.0</v>
      </c>
      <c r="B622" s="12">
        <f t="shared" si="99"/>
        <v>39912</v>
      </c>
      <c r="C622" s="11" t="s">
        <v>1068</v>
      </c>
      <c r="D622" s="11" t="s">
        <v>28</v>
      </c>
      <c r="F622" s="38">
        <f>IFERROR(__xludf.DUMMYFUNCTION("""COMPUTED_VALUE"""),40453.0)</f>
        <v>40453</v>
      </c>
      <c r="G622" s="39">
        <f t="shared" si="2"/>
        <v>5</v>
      </c>
      <c r="H622" s="39" t="str">
        <f>IFERROR(__xludf.DUMMYFUNCTION("""COMPUTED_VALUE"""),"Denny Joy")</f>
        <v>Denny Joy</v>
      </c>
      <c r="I622" s="40">
        <f t="shared" si="3"/>
        <v>8</v>
      </c>
    </row>
    <row r="623">
      <c r="A623" s="11">
        <v>622.0</v>
      </c>
      <c r="B623" s="12">
        <f t="shared" si="99"/>
        <v>39912</v>
      </c>
      <c r="C623" s="11" t="s">
        <v>932</v>
      </c>
      <c r="D623" s="11" t="s">
        <v>66</v>
      </c>
      <c r="F623" s="38">
        <f>IFERROR(__xludf.DUMMYFUNCTION("""COMPUTED_VALUE"""),40454.0)</f>
        <v>40454</v>
      </c>
      <c r="G623" s="39">
        <f t="shared" si="2"/>
        <v>5</v>
      </c>
      <c r="H623" s="39" t="str">
        <f>IFERROR(__xludf.DUMMYFUNCTION("""COMPUTED_VALUE"""),"Muhammed MacIntyre")</f>
        <v>Muhammed MacIntyre</v>
      </c>
      <c r="I623" s="40">
        <f t="shared" si="3"/>
        <v>13</v>
      </c>
    </row>
    <row r="624">
      <c r="A624" s="11">
        <v>623.0</v>
      </c>
      <c r="B624" s="12">
        <f t="shared" si="99"/>
        <v>39912</v>
      </c>
      <c r="C624" s="11" t="s">
        <v>60</v>
      </c>
      <c r="D624" s="11" t="s">
        <v>66</v>
      </c>
      <c r="F624" s="38">
        <f>IFERROR(__xludf.DUMMYFUNCTION("""COMPUTED_VALUE"""),40455.0)</f>
        <v>40455</v>
      </c>
      <c r="G624" s="39">
        <f t="shared" si="2"/>
        <v>8</v>
      </c>
      <c r="H624" s="39" t="str">
        <f>IFERROR(__xludf.DUMMYFUNCTION("""COMPUTED_VALUE"""),"Juliana Krohn")</f>
        <v>Juliana Krohn</v>
      </c>
      <c r="I624" s="40">
        <f t="shared" si="3"/>
        <v>15</v>
      </c>
    </row>
    <row r="625">
      <c r="A625" s="11">
        <v>624.0</v>
      </c>
      <c r="B625" s="12">
        <f t="shared" si="99"/>
        <v>39912</v>
      </c>
      <c r="C625" s="11" t="s">
        <v>60</v>
      </c>
      <c r="D625" s="11" t="s">
        <v>28</v>
      </c>
      <c r="F625" s="38">
        <f>IFERROR(__xludf.DUMMYFUNCTION("""COMPUTED_VALUE"""),40456.0)</f>
        <v>40456</v>
      </c>
      <c r="G625" s="39">
        <f t="shared" si="2"/>
        <v>2</v>
      </c>
      <c r="H625" s="39" t="str">
        <f>IFERROR(__xludf.DUMMYFUNCTION("""COMPUTED_VALUE"""),"Sarah Jordon")</f>
        <v>Sarah Jordon</v>
      </c>
      <c r="I625" s="40">
        <f t="shared" si="3"/>
        <v>8</v>
      </c>
    </row>
    <row r="626">
      <c r="A626" s="11">
        <v>625.0</v>
      </c>
      <c r="B626" s="12">
        <f t="shared" ref="B626:B636" si="100">DATE(2012,12,31)-1361</f>
        <v>39913</v>
      </c>
      <c r="C626" s="11" t="s">
        <v>932</v>
      </c>
      <c r="D626" s="11" t="s">
        <v>28</v>
      </c>
      <c r="F626" s="38">
        <f>IFERROR(__xludf.DUMMYFUNCTION("""COMPUTED_VALUE"""),40457.0)</f>
        <v>40457</v>
      </c>
      <c r="G626" s="39">
        <f t="shared" si="2"/>
        <v>8</v>
      </c>
      <c r="H626" s="39" t="str">
        <f>IFERROR(__xludf.DUMMYFUNCTION("""COMPUTED_VALUE"""),"Barry Franz")</f>
        <v>Barry Franz</v>
      </c>
      <c r="I626" s="40">
        <f t="shared" si="3"/>
        <v>9</v>
      </c>
    </row>
    <row r="627">
      <c r="A627" s="11">
        <v>626.0</v>
      </c>
      <c r="B627" s="12">
        <f t="shared" si="100"/>
        <v>39913</v>
      </c>
      <c r="C627" s="11" t="s">
        <v>1108</v>
      </c>
      <c r="D627" s="11" t="s">
        <v>66</v>
      </c>
      <c r="F627" s="38">
        <f>IFERROR(__xludf.DUMMYFUNCTION("""COMPUTED_VALUE"""),40458.0)</f>
        <v>40458</v>
      </c>
      <c r="G627" s="39">
        <f t="shared" si="2"/>
        <v>9</v>
      </c>
      <c r="H627" s="39" t="str">
        <f>IFERROR(__xludf.DUMMYFUNCTION("""COMPUTED_VALUE"""),"Michael Nguyen")</f>
        <v>Michael Nguyen</v>
      </c>
      <c r="I627" s="40">
        <f t="shared" si="3"/>
        <v>3</v>
      </c>
    </row>
    <row r="628">
      <c r="A628" s="11">
        <v>627.0</v>
      </c>
      <c r="B628" s="12">
        <f t="shared" si="100"/>
        <v>39913</v>
      </c>
      <c r="C628" s="11" t="s">
        <v>1110</v>
      </c>
      <c r="D628" s="11" t="s">
        <v>28</v>
      </c>
      <c r="F628" s="38">
        <f>IFERROR(__xludf.DUMMYFUNCTION("""COMPUTED_VALUE"""),40459.0)</f>
        <v>40459</v>
      </c>
      <c r="G628" s="39">
        <f t="shared" si="2"/>
        <v>5</v>
      </c>
      <c r="H628" s="39" t="str">
        <f>IFERROR(__xludf.DUMMYFUNCTION("""COMPUTED_VALUE"""),"Lena Radford")</f>
        <v>Lena Radford</v>
      </c>
      <c r="I628" s="40">
        <f t="shared" si="3"/>
        <v>11</v>
      </c>
    </row>
    <row r="629">
      <c r="A629" s="11">
        <v>628.0</v>
      </c>
      <c r="B629" s="12">
        <f t="shared" si="100"/>
        <v>39913</v>
      </c>
      <c r="C629" s="11" t="s">
        <v>1110</v>
      </c>
      <c r="D629" s="11" t="s">
        <v>28</v>
      </c>
      <c r="F629" s="38">
        <f>IFERROR(__xludf.DUMMYFUNCTION("""COMPUTED_VALUE"""),40460.0)</f>
        <v>40460</v>
      </c>
      <c r="G629" s="39">
        <f t="shared" si="2"/>
        <v>15</v>
      </c>
      <c r="H629" s="39" t="str">
        <f>IFERROR(__xludf.DUMMYFUNCTION("""COMPUTED_VALUE"""),"Brooke Gillingham")</f>
        <v>Brooke Gillingham</v>
      </c>
      <c r="I629" s="40">
        <f t="shared" si="3"/>
        <v>9</v>
      </c>
    </row>
    <row r="630">
      <c r="A630" s="11">
        <v>629.0</v>
      </c>
      <c r="B630" s="12">
        <f t="shared" si="100"/>
        <v>39913</v>
      </c>
      <c r="C630" s="11" t="s">
        <v>1112</v>
      </c>
      <c r="D630" s="11" t="s">
        <v>28</v>
      </c>
      <c r="F630" s="38">
        <f>IFERROR(__xludf.DUMMYFUNCTION("""COMPUTED_VALUE"""),40461.0)</f>
        <v>40461</v>
      </c>
      <c r="G630" s="39">
        <f t="shared" si="2"/>
        <v>7</v>
      </c>
      <c r="H630" s="39" t="str">
        <f>IFERROR(__xludf.DUMMYFUNCTION("""COMPUTED_VALUE"""),"Hilary Holden")</f>
        <v>Hilary Holden</v>
      </c>
      <c r="I630" s="40">
        <f t="shared" si="3"/>
        <v>15</v>
      </c>
    </row>
    <row r="631">
      <c r="A631" s="11">
        <v>630.0</v>
      </c>
      <c r="B631" s="12">
        <f t="shared" si="100"/>
        <v>39913</v>
      </c>
      <c r="C631" s="11" t="s">
        <v>958</v>
      </c>
      <c r="D631" s="11" t="s">
        <v>28</v>
      </c>
      <c r="F631" s="38">
        <f>IFERROR(__xludf.DUMMYFUNCTION("""COMPUTED_VALUE"""),40462.0)</f>
        <v>40462</v>
      </c>
      <c r="G631" s="39">
        <f t="shared" si="2"/>
        <v>5</v>
      </c>
      <c r="H631" s="39" t="str">
        <f>IFERROR(__xludf.DUMMYFUNCTION("""COMPUTED_VALUE"""),"Jack Lebron")</f>
        <v>Jack Lebron</v>
      </c>
      <c r="I631" s="40">
        <f t="shared" si="3"/>
        <v>22</v>
      </c>
    </row>
    <row r="632">
      <c r="A632" s="11">
        <v>631.0</v>
      </c>
      <c r="B632" s="12">
        <f t="shared" si="100"/>
        <v>39913</v>
      </c>
      <c r="C632" s="11" t="s">
        <v>1114</v>
      </c>
      <c r="D632" s="11" t="s">
        <v>49</v>
      </c>
      <c r="F632" s="38">
        <f>IFERROR(__xludf.DUMMYFUNCTION("""COMPUTED_VALUE"""),40463.0)</f>
        <v>40463</v>
      </c>
      <c r="G632" s="39">
        <f t="shared" si="2"/>
        <v>11</v>
      </c>
      <c r="H632" s="39" t="str">
        <f>IFERROR(__xludf.DUMMYFUNCTION("""COMPUTED_VALUE"""),"Suzanne McNair")</f>
        <v>Suzanne McNair</v>
      </c>
      <c r="I632" s="40">
        <f t="shared" si="3"/>
        <v>11</v>
      </c>
    </row>
    <row r="633">
      <c r="A633" s="11">
        <v>632.0</v>
      </c>
      <c r="B633" s="12">
        <f t="shared" si="100"/>
        <v>39913</v>
      </c>
      <c r="C633" s="11" t="s">
        <v>769</v>
      </c>
      <c r="D633" s="11" t="s">
        <v>28</v>
      </c>
      <c r="F633" s="38">
        <f>IFERROR(__xludf.DUMMYFUNCTION("""COMPUTED_VALUE"""),40464.0)</f>
        <v>40464</v>
      </c>
      <c r="G633" s="39">
        <f t="shared" si="2"/>
        <v>4</v>
      </c>
      <c r="H633" s="39" t="str">
        <f>IFERROR(__xludf.DUMMYFUNCTION("""COMPUTED_VALUE"""),"Tim Taslimi")</f>
        <v>Tim Taslimi</v>
      </c>
      <c r="I633" s="40">
        <f t="shared" si="3"/>
        <v>7</v>
      </c>
    </row>
    <row r="634">
      <c r="A634" s="11">
        <v>633.0</v>
      </c>
      <c r="B634" s="12">
        <f t="shared" si="100"/>
        <v>39913</v>
      </c>
      <c r="C634" s="11" t="s">
        <v>769</v>
      </c>
      <c r="D634" s="11" t="s">
        <v>28</v>
      </c>
      <c r="F634" s="38">
        <f>IFERROR(__xludf.DUMMYFUNCTION("""COMPUTED_VALUE"""),40465.0)</f>
        <v>40465</v>
      </c>
      <c r="G634" s="39">
        <f t="shared" si="2"/>
        <v>5</v>
      </c>
      <c r="H634" s="39" t="str">
        <f>IFERROR(__xludf.DUMMYFUNCTION("""COMPUTED_VALUE"""),"Sibella Parks")</f>
        <v>Sibella Parks</v>
      </c>
      <c r="I634" s="40">
        <f t="shared" si="3"/>
        <v>14</v>
      </c>
    </row>
    <row r="635">
      <c r="A635" s="11">
        <v>634.0</v>
      </c>
      <c r="B635" s="12">
        <f t="shared" si="100"/>
        <v>39913</v>
      </c>
      <c r="C635" s="11" t="s">
        <v>1118</v>
      </c>
      <c r="D635" s="11" t="s">
        <v>49</v>
      </c>
      <c r="F635" s="38">
        <f>IFERROR(__xludf.DUMMYFUNCTION("""COMPUTED_VALUE"""),40466.0)</f>
        <v>40466</v>
      </c>
      <c r="G635" s="39">
        <f t="shared" si="2"/>
        <v>9</v>
      </c>
      <c r="H635" s="39" t="str">
        <f>IFERROR(__xludf.DUMMYFUNCTION("""COMPUTED_VALUE"""),"Michael Chen")</f>
        <v>Michael Chen</v>
      </c>
      <c r="I635" s="40">
        <f t="shared" si="3"/>
        <v>8</v>
      </c>
    </row>
    <row r="636">
      <c r="A636" s="11">
        <v>635.0</v>
      </c>
      <c r="B636" s="12">
        <f t="shared" si="100"/>
        <v>39913</v>
      </c>
      <c r="C636" s="11" t="s">
        <v>1118</v>
      </c>
      <c r="D636" s="11" t="s">
        <v>49</v>
      </c>
      <c r="F636" s="38">
        <f>IFERROR(__xludf.DUMMYFUNCTION("""COMPUTED_VALUE"""),40467.0)</f>
        <v>40467</v>
      </c>
      <c r="G636" s="39">
        <f t="shared" si="2"/>
        <v>7</v>
      </c>
      <c r="H636" s="39" t="str">
        <f>IFERROR(__xludf.DUMMYFUNCTION("""COMPUTED_VALUE"""),"Dennis Pardue")</f>
        <v>Dennis Pardue</v>
      </c>
      <c r="I636" s="40">
        <f t="shared" si="3"/>
        <v>20</v>
      </c>
    </row>
    <row r="637">
      <c r="A637" s="11">
        <v>636.0</v>
      </c>
      <c r="B637" s="12">
        <f t="shared" ref="B637:B640" si="101">DATE(2012,12,31)-1360</f>
        <v>39914</v>
      </c>
      <c r="C637" s="11" t="s">
        <v>1120</v>
      </c>
      <c r="D637" s="11" t="s">
        <v>28</v>
      </c>
      <c r="F637" s="38">
        <f>IFERROR(__xludf.DUMMYFUNCTION("""COMPUTED_VALUE"""),40468.0)</f>
        <v>40468</v>
      </c>
      <c r="G637" s="39">
        <f t="shared" si="2"/>
        <v>1</v>
      </c>
      <c r="H637" s="39" t="str">
        <f>IFERROR(__xludf.DUMMYFUNCTION("""COMPUTED_VALUE"""),"Pamela Coakley")</f>
        <v>Pamela Coakley</v>
      </c>
      <c r="I637" s="40">
        <f t="shared" si="3"/>
        <v>2</v>
      </c>
    </row>
    <row r="638">
      <c r="A638" s="11">
        <v>637.0</v>
      </c>
      <c r="B638" s="12">
        <f t="shared" si="101"/>
        <v>39914</v>
      </c>
      <c r="C638" s="11" t="s">
        <v>1120</v>
      </c>
      <c r="D638" s="11" t="s">
        <v>28</v>
      </c>
      <c r="F638" s="38">
        <f>IFERROR(__xludf.DUMMYFUNCTION("""COMPUTED_VALUE"""),40469.0)</f>
        <v>40469</v>
      </c>
      <c r="G638" s="39">
        <f t="shared" si="2"/>
        <v>6</v>
      </c>
      <c r="H638" s="39" t="str">
        <f>IFERROR(__xludf.DUMMYFUNCTION("""COMPUTED_VALUE"""),"Susan Gilcrest")</f>
        <v>Susan Gilcrest</v>
      </c>
      <c r="I638" s="40">
        <f t="shared" si="3"/>
        <v>4</v>
      </c>
    </row>
    <row r="639">
      <c r="A639" s="11">
        <v>638.0</v>
      </c>
      <c r="B639" s="12">
        <f t="shared" si="101"/>
        <v>39914</v>
      </c>
      <c r="C639" s="11" t="s">
        <v>1123</v>
      </c>
      <c r="D639" s="11" t="s">
        <v>49</v>
      </c>
      <c r="F639" s="38">
        <f>IFERROR(__xludf.DUMMYFUNCTION("""COMPUTED_VALUE"""),40470.0)</f>
        <v>40470</v>
      </c>
      <c r="G639" s="39">
        <f t="shared" si="2"/>
        <v>3</v>
      </c>
      <c r="H639" s="39" t="str">
        <f>IFERROR(__xludf.DUMMYFUNCTION("""COMPUTED_VALUE"""),"Justin MacKendrick")</f>
        <v>Justin MacKendrick</v>
      </c>
      <c r="I639" s="40">
        <f t="shared" si="3"/>
        <v>6</v>
      </c>
    </row>
    <row r="640">
      <c r="A640" s="11">
        <v>639.0</v>
      </c>
      <c r="B640" s="12">
        <f t="shared" si="101"/>
        <v>39914</v>
      </c>
      <c r="C640" s="11" t="s">
        <v>932</v>
      </c>
      <c r="D640" s="11" t="s">
        <v>28</v>
      </c>
      <c r="F640" s="38">
        <f>IFERROR(__xludf.DUMMYFUNCTION("""COMPUTED_VALUE"""),40471.0)</f>
        <v>40471</v>
      </c>
      <c r="G640" s="39">
        <f t="shared" si="2"/>
        <v>8</v>
      </c>
      <c r="H640" s="39" t="str">
        <f>IFERROR(__xludf.DUMMYFUNCTION("""COMPUTED_VALUE"""),"Catherine Glotzbach")</f>
        <v>Catherine Glotzbach</v>
      </c>
      <c r="I640" s="40">
        <f t="shared" si="3"/>
        <v>8</v>
      </c>
    </row>
    <row r="641">
      <c r="A641" s="11">
        <v>640.0</v>
      </c>
      <c r="B641" s="12">
        <f t="shared" ref="B641:B644" si="102">DATE(2012,12,31)-1359</f>
        <v>39915</v>
      </c>
      <c r="C641" s="11" t="s">
        <v>992</v>
      </c>
      <c r="D641" s="11" t="s">
        <v>28</v>
      </c>
      <c r="F641" s="38">
        <f>IFERROR(__xludf.DUMMYFUNCTION("""COMPUTED_VALUE"""),40472.0)</f>
        <v>40472</v>
      </c>
      <c r="G641" s="39">
        <f t="shared" si="2"/>
        <v>3</v>
      </c>
      <c r="H641" s="39" t="str">
        <f>IFERROR(__xludf.DUMMYFUNCTION("""COMPUTED_VALUE"""),"Carl Ludwig")</f>
        <v>Carl Ludwig</v>
      </c>
      <c r="I641" s="40">
        <f t="shared" si="3"/>
        <v>8</v>
      </c>
    </row>
    <row r="642">
      <c r="A642" s="11">
        <v>641.0</v>
      </c>
      <c r="B642" s="12">
        <f t="shared" si="102"/>
        <v>39915</v>
      </c>
      <c r="C642" s="11" t="s">
        <v>992</v>
      </c>
      <c r="D642" s="11" t="s">
        <v>28</v>
      </c>
      <c r="F642" s="38">
        <f>IFERROR(__xludf.DUMMYFUNCTION("""COMPUTED_VALUE"""),40473.0)</f>
        <v>40473</v>
      </c>
      <c r="G642" s="39">
        <f t="shared" si="2"/>
        <v>8</v>
      </c>
      <c r="H642" s="39" t="str">
        <f>IFERROR(__xludf.DUMMYFUNCTION("""COMPUTED_VALUE"""),"Dianna Wilson")</f>
        <v>Dianna Wilson</v>
      </c>
      <c r="I642" s="40">
        <f t="shared" si="3"/>
        <v>4</v>
      </c>
    </row>
    <row r="643">
      <c r="A643" s="11">
        <v>642.0</v>
      </c>
      <c r="B643" s="12">
        <f t="shared" si="102"/>
        <v>39915</v>
      </c>
      <c r="C643" s="11" t="s">
        <v>992</v>
      </c>
      <c r="D643" s="11" t="s">
        <v>28</v>
      </c>
      <c r="F643" s="38">
        <f>IFERROR(__xludf.DUMMYFUNCTION("""COMPUTED_VALUE"""),40474.0)</f>
        <v>40474</v>
      </c>
      <c r="G643" s="39">
        <f t="shared" si="2"/>
        <v>9</v>
      </c>
      <c r="H643" s="39" t="str">
        <f>IFERROR(__xludf.DUMMYFUNCTION("""COMPUTED_VALUE"""),"Erica Hackney")</f>
        <v>Erica Hackney</v>
      </c>
      <c r="I643" s="40">
        <f t="shared" si="3"/>
        <v>6</v>
      </c>
    </row>
    <row r="644">
      <c r="A644" s="11">
        <v>643.0</v>
      </c>
      <c r="B644" s="12">
        <f t="shared" si="102"/>
        <v>39915</v>
      </c>
      <c r="C644" s="11" t="s">
        <v>992</v>
      </c>
      <c r="D644" s="11" t="s">
        <v>66</v>
      </c>
      <c r="F644" s="38">
        <f>IFERROR(__xludf.DUMMYFUNCTION("""COMPUTED_VALUE"""),40475.0)</f>
        <v>40475</v>
      </c>
      <c r="G644" s="39">
        <f t="shared" si="2"/>
        <v>6</v>
      </c>
      <c r="H644" s="39" t="str">
        <f>IFERROR(__xludf.DUMMYFUNCTION("""COMPUTED_VALUE"""),"Chad McGuire")</f>
        <v>Chad McGuire</v>
      </c>
      <c r="I644" s="40">
        <f t="shared" si="3"/>
        <v>6</v>
      </c>
    </row>
    <row r="645">
      <c r="A645" s="11">
        <v>644.0</v>
      </c>
      <c r="B645" s="12">
        <f t="shared" ref="B645:B647" si="103">DATE(2012,12,31)-1358</f>
        <v>39916</v>
      </c>
      <c r="C645" s="11" t="s">
        <v>64</v>
      </c>
      <c r="D645" s="11" t="s">
        <v>28</v>
      </c>
      <c r="F645" s="38">
        <f>IFERROR(__xludf.DUMMYFUNCTION("""COMPUTED_VALUE"""),40476.0)</f>
        <v>40476</v>
      </c>
      <c r="G645" s="39">
        <f t="shared" si="2"/>
        <v>3</v>
      </c>
      <c r="H645" s="39" t="str">
        <f>IFERROR(__xludf.DUMMYFUNCTION("""COMPUTED_VALUE"""),"Sam Craven")</f>
        <v>Sam Craven</v>
      </c>
      <c r="I645" s="40">
        <f t="shared" si="3"/>
        <v>10</v>
      </c>
    </row>
    <row r="646">
      <c r="A646" s="11">
        <v>645.0</v>
      </c>
      <c r="B646" s="12">
        <f t="shared" si="103"/>
        <v>39916</v>
      </c>
      <c r="C646" s="11" t="s">
        <v>1130</v>
      </c>
      <c r="D646" s="11" t="s">
        <v>66</v>
      </c>
      <c r="F646" s="38">
        <f>IFERROR(__xludf.DUMMYFUNCTION("""COMPUTED_VALUE"""),40477.0)</f>
        <v>40477</v>
      </c>
      <c r="G646" s="39">
        <f t="shared" si="2"/>
        <v>11</v>
      </c>
      <c r="H646" s="39" t="str">
        <f>IFERROR(__xludf.DUMMYFUNCTION("""COMPUTED_VALUE"""),"Ted Butterfield")</f>
        <v>Ted Butterfield</v>
      </c>
      <c r="I646" s="40">
        <f t="shared" si="3"/>
        <v>2</v>
      </c>
    </row>
    <row r="647">
      <c r="A647" s="11">
        <v>646.0</v>
      </c>
      <c r="B647" s="12">
        <f t="shared" si="103"/>
        <v>39916</v>
      </c>
      <c r="C647" s="11" t="s">
        <v>611</v>
      </c>
      <c r="D647" s="11" t="s">
        <v>28</v>
      </c>
      <c r="F647" s="38">
        <f>IFERROR(__xludf.DUMMYFUNCTION("""COMPUTED_VALUE"""),40478.0)</f>
        <v>40478</v>
      </c>
      <c r="G647" s="39">
        <f t="shared" si="2"/>
        <v>3</v>
      </c>
      <c r="H647" s="39" t="str">
        <f>IFERROR(__xludf.DUMMYFUNCTION("""COMPUTED_VALUE"""),"Penelope Sewall")</f>
        <v>Penelope Sewall</v>
      </c>
      <c r="I647" s="40">
        <f t="shared" si="3"/>
        <v>11</v>
      </c>
    </row>
    <row r="648">
      <c r="A648" s="11">
        <v>647.0</v>
      </c>
      <c r="B648" s="12">
        <f t="shared" ref="B648:B650" si="104">DATE(2012,12,31)-1357</f>
        <v>39917</v>
      </c>
      <c r="C648" s="11" t="s">
        <v>1131</v>
      </c>
      <c r="D648" s="11" t="s">
        <v>66</v>
      </c>
      <c r="F648" s="38">
        <f>IFERROR(__xludf.DUMMYFUNCTION("""COMPUTED_VALUE"""),40479.0)</f>
        <v>40479</v>
      </c>
      <c r="G648" s="39">
        <f t="shared" si="2"/>
        <v>1</v>
      </c>
      <c r="H648" s="39" t="str">
        <f>IFERROR(__xludf.DUMMYFUNCTION("""COMPUTED_VALUE"""),"Carl Jackson")</f>
        <v>Carl Jackson</v>
      </c>
      <c r="I648" s="40">
        <f t="shared" si="3"/>
        <v>8</v>
      </c>
    </row>
    <row r="649">
      <c r="A649" s="11">
        <v>648.0</v>
      </c>
      <c r="B649" s="12">
        <f t="shared" si="104"/>
        <v>39917</v>
      </c>
      <c r="C649" s="11" t="s">
        <v>1131</v>
      </c>
      <c r="D649" s="11" t="s">
        <v>49</v>
      </c>
      <c r="F649" s="38">
        <f>IFERROR(__xludf.DUMMYFUNCTION("""COMPUTED_VALUE"""),40480.0)</f>
        <v>40480</v>
      </c>
      <c r="G649" s="39">
        <f t="shared" si="2"/>
        <v>8</v>
      </c>
      <c r="H649" s="39" t="str">
        <f>IFERROR(__xludf.DUMMYFUNCTION("""COMPUTED_VALUE"""),"Ken Black")</f>
        <v>Ken Black</v>
      </c>
      <c r="I649" s="40">
        <f t="shared" si="3"/>
        <v>4</v>
      </c>
    </row>
    <row r="650">
      <c r="A650" s="11">
        <v>649.0</v>
      </c>
      <c r="B650" s="12">
        <f t="shared" si="104"/>
        <v>39917</v>
      </c>
      <c r="C650" s="11" t="s">
        <v>1133</v>
      </c>
      <c r="D650" s="11" t="s">
        <v>49</v>
      </c>
      <c r="F650" s="38">
        <f>IFERROR(__xludf.DUMMYFUNCTION("""COMPUTED_VALUE"""),40481.0)</f>
        <v>40481</v>
      </c>
      <c r="G650" s="39">
        <f t="shared" si="2"/>
        <v>10</v>
      </c>
      <c r="H650" s="39" t="str">
        <f>IFERROR(__xludf.DUMMYFUNCTION("""COMPUTED_VALUE"""),"John Grady")</f>
        <v>John Grady</v>
      </c>
      <c r="I650" s="40">
        <f t="shared" si="3"/>
        <v>3</v>
      </c>
    </row>
    <row r="651">
      <c r="A651" s="11">
        <v>650.0</v>
      </c>
      <c r="B651" s="12">
        <f t="shared" ref="B651:B655" si="105">DATE(2012,12,31)-1356</f>
        <v>39918</v>
      </c>
      <c r="C651" s="11" t="s">
        <v>800</v>
      </c>
      <c r="D651" s="11" t="s">
        <v>28</v>
      </c>
      <c r="F651" s="38">
        <f>IFERROR(__xludf.DUMMYFUNCTION("""COMPUTED_VALUE"""),40482.0)</f>
        <v>40482</v>
      </c>
      <c r="G651" s="39">
        <f t="shared" si="2"/>
        <v>9</v>
      </c>
      <c r="H651" s="39" t="str">
        <f>IFERROR(__xludf.DUMMYFUNCTION("""COMPUTED_VALUE"""),"Craig Yedwab")</f>
        <v>Craig Yedwab</v>
      </c>
      <c r="I651" s="40">
        <f t="shared" si="3"/>
        <v>8</v>
      </c>
    </row>
    <row r="652">
      <c r="A652" s="11">
        <v>651.0</v>
      </c>
      <c r="B652" s="12">
        <f t="shared" si="105"/>
        <v>39918</v>
      </c>
      <c r="C652" s="11" t="s">
        <v>800</v>
      </c>
      <c r="D652" s="11" t="s">
        <v>49</v>
      </c>
      <c r="F652" s="38">
        <f>IFERROR(__xludf.DUMMYFUNCTION("""COMPUTED_VALUE"""),40483.0)</f>
        <v>40483</v>
      </c>
      <c r="G652" s="39">
        <f t="shared" si="2"/>
        <v>11</v>
      </c>
      <c r="H652" s="39" t="str">
        <f>IFERROR(__xludf.DUMMYFUNCTION("""COMPUTED_VALUE"""),"Katrina Willman")</f>
        <v>Katrina Willman</v>
      </c>
      <c r="I652" s="40">
        <f t="shared" si="3"/>
        <v>12</v>
      </c>
    </row>
    <row r="653">
      <c r="A653" s="11">
        <v>652.0</v>
      </c>
      <c r="B653" s="12">
        <f t="shared" si="105"/>
        <v>39918</v>
      </c>
      <c r="C653" s="11" t="s">
        <v>167</v>
      </c>
      <c r="D653" s="11" t="s">
        <v>28</v>
      </c>
      <c r="F653" s="38">
        <f>IFERROR(__xludf.DUMMYFUNCTION("""COMPUTED_VALUE"""),40485.0)</f>
        <v>40485</v>
      </c>
      <c r="G653" s="39">
        <f t="shared" si="2"/>
        <v>3</v>
      </c>
      <c r="H653" s="39" t="str">
        <f>IFERROR(__xludf.DUMMYFUNCTION("""COMPUTED_VALUE"""),"Karen Daniels")</f>
        <v>Karen Daniels</v>
      </c>
      <c r="I653" s="40">
        <f t="shared" si="3"/>
        <v>8</v>
      </c>
    </row>
    <row r="654">
      <c r="A654" s="11">
        <v>653.0</v>
      </c>
      <c r="B654" s="12">
        <f t="shared" si="105"/>
        <v>39918</v>
      </c>
      <c r="C654" s="11" t="s">
        <v>1137</v>
      </c>
      <c r="D654" s="11" t="s">
        <v>66</v>
      </c>
      <c r="F654" s="38">
        <f>IFERROR(__xludf.DUMMYFUNCTION("""COMPUTED_VALUE"""),40486.0)</f>
        <v>40486</v>
      </c>
      <c r="G654" s="39">
        <f t="shared" si="2"/>
        <v>7</v>
      </c>
      <c r="H654" s="39" t="str">
        <f>IFERROR(__xludf.DUMMYFUNCTION("""COMPUTED_VALUE"""),"Caroline Jumper")</f>
        <v>Caroline Jumper</v>
      </c>
      <c r="I654" s="40">
        <f t="shared" si="3"/>
        <v>12</v>
      </c>
    </row>
    <row r="655">
      <c r="A655" s="11">
        <v>654.0</v>
      </c>
      <c r="B655" s="12">
        <f t="shared" si="105"/>
        <v>39918</v>
      </c>
      <c r="C655" s="11" t="s">
        <v>1137</v>
      </c>
      <c r="D655" s="11" t="s">
        <v>49</v>
      </c>
      <c r="F655" s="38">
        <f>IFERROR(__xludf.DUMMYFUNCTION("""COMPUTED_VALUE"""),40487.0)</f>
        <v>40487</v>
      </c>
      <c r="G655" s="39">
        <f t="shared" si="2"/>
        <v>4</v>
      </c>
      <c r="H655" s="39" t="str">
        <f>IFERROR(__xludf.DUMMYFUNCTION("""COMPUTED_VALUE"""),"Pauline Johnson")</f>
        <v>Pauline Johnson</v>
      </c>
      <c r="I655" s="40">
        <f t="shared" si="3"/>
        <v>5</v>
      </c>
    </row>
    <row r="656">
      <c r="A656" s="11">
        <v>655.0</v>
      </c>
      <c r="B656" s="12">
        <f t="shared" ref="B656:B659" si="106">DATE(2012,12,31)-1355</f>
        <v>39919</v>
      </c>
      <c r="C656" s="11" t="s">
        <v>763</v>
      </c>
      <c r="D656" s="11" t="s">
        <v>66</v>
      </c>
      <c r="F656" s="38">
        <f>IFERROR(__xludf.DUMMYFUNCTION("""COMPUTED_VALUE"""),40488.0)</f>
        <v>40488</v>
      </c>
      <c r="G656" s="39">
        <f t="shared" si="2"/>
        <v>6</v>
      </c>
      <c r="H656" s="39" t="str">
        <f>IFERROR(__xludf.DUMMYFUNCTION("""COMPUTED_VALUE"""),"Alejandro Ballentine")</f>
        <v>Alejandro Ballentine</v>
      </c>
      <c r="I656" s="40">
        <f t="shared" si="3"/>
        <v>9</v>
      </c>
    </row>
    <row r="657">
      <c r="A657" s="11">
        <v>656.0</v>
      </c>
      <c r="B657" s="12">
        <f t="shared" si="106"/>
        <v>39919</v>
      </c>
      <c r="C657" s="11" t="s">
        <v>507</v>
      </c>
      <c r="D657" s="11" t="s">
        <v>66</v>
      </c>
      <c r="F657" s="38">
        <f>IFERROR(__xludf.DUMMYFUNCTION("""COMPUTED_VALUE"""),40489.0)</f>
        <v>40489</v>
      </c>
      <c r="G657" s="39">
        <f t="shared" si="2"/>
        <v>3</v>
      </c>
      <c r="H657" s="39" t="str">
        <f>IFERROR(__xludf.DUMMYFUNCTION("""COMPUTED_VALUE"""),"Chad Cunningham")</f>
        <v>Chad Cunningham</v>
      </c>
      <c r="I657" s="40">
        <f t="shared" si="3"/>
        <v>5</v>
      </c>
    </row>
    <row r="658">
      <c r="A658" s="11">
        <v>657.0</v>
      </c>
      <c r="B658" s="12">
        <f t="shared" si="106"/>
        <v>39919</v>
      </c>
      <c r="C658" s="11" t="s">
        <v>387</v>
      </c>
      <c r="D658" s="11" t="s">
        <v>28</v>
      </c>
      <c r="F658" s="38">
        <f>IFERROR(__xludf.DUMMYFUNCTION("""COMPUTED_VALUE"""),40490.0)</f>
        <v>40490</v>
      </c>
      <c r="G658" s="39">
        <f t="shared" si="2"/>
        <v>7</v>
      </c>
      <c r="H658" s="39" t="str">
        <f>IFERROR(__xludf.DUMMYFUNCTION("""COMPUTED_VALUE"""),"Brenda Bowman")</f>
        <v>Brenda Bowman</v>
      </c>
      <c r="I658" s="40">
        <f t="shared" si="3"/>
        <v>10</v>
      </c>
    </row>
    <row r="659">
      <c r="A659" s="11">
        <v>658.0</v>
      </c>
      <c r="B659" s="12">
        <f t="shared" si="106"/>
        <v>39919</v>
      </c>
      <c r="C659" s="11" t="s">
        <v>387</v>
      </c>
      <c r="D659" s="11" t="s">
        <v>66</v>
      </c>
      <c r="F659" s="38">
        <f>IFERROR(__xludf.DUMMYFUNCTION("""COMPUTED_VALUE"""),40491.0)</f>
        <v>40491</v>
      </c>
      <c r="G659" s="39">
        <f t="shared" si="2"/>
        <v>9</v>
      </c>
      <c r="H659" s="39" t="str">
        <f>IFERROR(__xludf.DUMMYFUNCTION("""COMPUTED_VALUE"""),"Michael Paige")</f>
        <v>Michael Paige</v>
      </c>
      <c r="I659" s="40">
        <f t="shared" si="3"/>
        <v>6</v>
      </c>
    </row>
    <row r="660">
      <c r="A660" s="11">
        <v>659.0</v>
      </c>
      <c r="B660" s="12">
        <f t="shared" ref="B660:B663" si="107">DATE(2012,12,31)-1354</f>
        <v>39920</v>
      </c>
      <c r="C660" s="11" t="s">
        <v>1142</v>
      </c>
      <c r="D660" s="11" t="s">
        <v>66</v>
      </c>
      <c r="F660" s="38">
        <f>IFERROR(__xludf.DUMMYFUNCTION("""COMPUTED_VALUE"""),40492.0)</f>
        <v>40492</v>
      </c>
      <c r="G660" s="39">
        <f t="shared" si="2"/>
        <v>2</v>
      </c>
      <c r="H660" s="39" t="str">
        <f>IFERROR(__xludf.DUMMYFUNCTION("""COMPUTED_VALUE"""),"Joni Sundaresam")</f>
        <v>Joni Sundaresam</v>
      </c>
      <c r="I660" s="40">
        <f t="shared" si="3"/>
        <v>4</v>
      </c>
    </row>
    <row r="661">
      <c r="A661" s="11">
        <v>660.0</v>
      </c>
      <c r="B661" s="12">
        <f t="shared" si="107"/>
        <v>39920</v>
      </c>
      <c r="C661" s="11" t="s">
        <v>1142</v>
      </c>
      <c r="D661" s="11" t="s">
        <v>28</v>
      </c>
      <c r="F661" s="38">
        <f>IFERROR(__xludf.DUMMYFUNCTION("""COMPUTED_VALUE"""),40493.0)</f>
        <v>40493</v>
      </c>
      <c r="G661" s="39">
        <f t="shared" si="2"/>
        <v>2</v>
      </c>
      <c r="H661" s="39" t="str">
        <f>IFERROR(__xludf.DUMMYFUNCTION("""COMPUTED_VALUE"""),"Ted Trevino")</f>
        <v>Ted Trevino</v>
      </c>
      <c r="I661" s="40">
        <f t="shared" si="3"/>
        <v>6</v>
      </c>
    </row>
    <row r="662">
      <c r="A662" s="11">
        <v>661.0</v>
      </c>
      <c r="B662" s="12">
        <f t="shared" si="107"/>
        <v>39920</v>
      </c>
      <c r="C662" s="11" t="s">
        <v>193</v>
      </c>
      <c r="D662" s="11" t="s">
        <v>66</v>
      </c>
      <c r="F662" s="38">
        <f>IFERROR(__xludf.DUMMYFUNCTION("""COMPUTED_VALUE"""),40494.0)</f>
        <v>40494</v>
      </c>
      <c r="G662" s="39">
        <f t="shared" si="2"/>
        <v>5</v>
      </c>
      <c r="H662" s="39" t="str">
        <f>IFERROR(__xludf.DUMMYFUNCTION("""COMPUTED_VALUE"""),"Maureen Gastineau")</f>
        <v>Maureen Gastineau</v>
      </c>
      <c r="I662" s="40">
        <f t="shared" si="3"/>
        <v>14</v>
      </c>
    </row>
    <row r="663">
      <c r="A663" s="11">
        <v>662.0</v>
      </c>
      <c r="B663" s="12">
        <f t="shared" si="107"/>
        <v>39920</v>
      </c>
      <c r="C663" s="11" t="s">
        <v>1145</v>
      </c>
      <c r="D663" s="11" t="s">
        <v>28</v>
      </c>
      <c r="F663" s="38">
        <f>IFERROR(__xludf.DUMMYFUNCTION("""COMPUTED_VALUE"""),40495.0)</f>
        <v>40495</v>
      </c>
      <c r="G663" s="39">
        <f t="shared" si="2"/>
        <v>10</v>
      </c>
      <c r="H663" s="39" t="str">
        <f>IFERROR(__xludf.DUMMYFUNCTION("""COMPUTED_VALUE"""),"Roland Murray")</f>
        <v>Roland Murray</v>
      </c>
      <c r="I663" s="40">
        <f t="shared" si="3"/>
        <v>4</v>
      </c>
    </row>
    <row r="664">
      <c r="A664" s="11">
        <v>663.0</v>
      </c>
      <c r="B664" s="12">
        <f t="shared" ref="B664:B671" si="108">DATE(2012,12,31)-1353</f>
        <v>39921</v>
      </c>
      <c r="C664" s="11" t="s">
        <v>196</v>
      </c>
      <c r="D664" s="11" t="s">
        <v>66</v>
      </c>
      <c r="F664" s="38">
        <f>IFERROR(__xludf.DUMMYFUNCTION("""COMPUTED_VALUE"""),40496.0)</f>
        <v>40496</v>
      </c>
      <c r="G664" s="39">
        <f t="shared" si="2"/>
        <v>6</v>
      </c>
      <c r="H664" s="39" t="str">
        <f>IFERROR(__xludf.DUMMYFUNCTION("""COMPUTED_VALUE"""),"Liz Thompson")</f>
        <v>Liz Thompson</v>
      </c>
      <c r="I664" s="40">
        <f t="shared" si="3"/>
        <v>4</v>
      </c>
    </row>
    <row r="665">
      <c r="A665" s="11">
        <v>664.0</v>
      </c>
      <c r="B665" s="12">
        <f t="shared" si="108"/>
        <v>39921</v>
      </c>
      <c r="C665" s="11" t="s">
        <v>196</v>
      </c>
      <c r="D665" s="11" t="s">
        <v>49</v>
      </c>
      <c r="F665" s="38">
        <f>IFERROR(__xludf.DUMMYFUNCTION("""COMPUTED_VALUE"""),40498.0)</f>
        <v>40498</v>
      </c>
      <c r="G665" s="39">
        <f t="shared" si="2"/>
        <v>4</v>
      </c>
      <c r="H665" s="39" t="str">
        <f>IFERROR(__xludf.DUMMYFUNCTION("""COMPUTED_VALUE"""),"Scott Williamson")</f>
        <v>Scott Williamson</v>
      </c>
      <c r="I665" s="40">
        <f t="shared" si="3"/>
        <v>3</v>
      </c>
    </row>
    <row r="666">
      <c r="A666" s="11">
        <v>665.0</v>
      </c>
      <c r="B666" s="12">
        <f t="shared" si="108"/>
        <v>39921</v>
      </c>
      <c r="C666" s="11" t="s">
        <v>332</v>
      </c>
      <c r="D666" s="11" t="s">
        <v>49</v>
      </c>
      <c r="F666" s="38">
        <f>IFERROR(__xludf.DUMMYFUNCTION("""COMPUTED_VALUE"""),40499.0)</f>
        <v>40499</v>
      </c>
      <c r="G666" s="39">
        <f t="shared" si="2"/>
        <v>9</v>
      </c>
      <c r="H666" s="39" t="str">
        <f>IFERROR(__xludf.DUMMYFUNCTION("""COMPUTED_VALUE"""),"David Wiener")</f>
        <v>David Wiener</v>
      </c>
      <c r="I666" s="40">
        <f t="shared" si="3"/>
        <v>8</v>
      </c>
    </row>
    <row r="667">
      <c r="A667" s="11">
        <v>666.0</v>
      </c>
      <c r="B667" s="12">
        <f t="shared" si="108"/>
        <v>39921</v>
      </c>
      <c r="C667" s="11" t="s">
        <v>1152</v>
      </c>
      <c r="D667" s="11" t="s">
        <v>49</v>
      </c>
      <c r="F667" s="38">
        <f>IFERROR(__xludf.DUMMYFUNCTION("""COMPUTED_VALUE"""),40500.0)</f>
        <v>40500</v>
      </c>
      <c r="G667" s="39">
        <f t="shared" si="2"/>
        <v>11</v>
      </c>
      <c r="H667" s="39" t="str">
        <f>IFERROR(__xludf.DUMMYFUNCTION("""COMPUTED_VALUE"""),"Anemone Ratner")</f>
        <v>Anemone Ratner</v>
      </c>
      <c r="I667" s="40">
        <f t="shared" si="3"/>
        <v>12</v>
      </c>
    </row>
    <row r="668">
      <c r="A668" s="11">
        <v>667.0</v>
      </c>
      <c r="B668" s="12">
        <f t="shared" si="108"/>
        <v>39921</v>
      </c>
      <c r="C668" s="11" t="s">
        <v>690</v>
      </c>
      <c r="D668" s="11" t="s">
        <v>28</v>
      </c>
      <c r="F668" s="38">
        <f>IFERROR(__xludf.DUMMYFUNCTION("""COMPUTED_VALUE"""),40501.0)</f>
        <v>40501</v>
      </c>
      <c r="G668" s="39">
        <f t="shared" si="2"/>
        <v>5</v>
      </c>
      <c r="H668" s="39" t="str">
        <f>IFERROR(__xludf.DUMMYFUNCTION("""COMPUTED_VALUE"""),"Herbert Flentye")</f>
        <v>Herbert Flentye</v>
      </c>
      <c r="I668" s="40">
        <f t="shared" si="3"/>
        <v>5</v>
      </c>
    </row>
    <row r="669">
      <c r="A669" s="11">
        <v>668.0</v>
      </c>
      <c r="B669" s="12">
        <f t="shared" si="108"/>
        <v>39921</v>
      </c>
      <c r="C669" s="11" t="s">
        <v>690</v>
      </c>
      <c r="D669" s="11" t="s">
        <v>49</v>
      </c>
      <c r="F669" s="38">
        <f>IFERROR(__xludf.DUMMYFUNCTION("""COMPUTED_VALUE"""),40502.0)</f>
        <v>40502</v>
      </c>
      <c r="G669" s="39">
        <f t="shared" si="2"/>
        <v>3</v>
      </c>
      <c r="H669" s="39" t="str">
        <f>IFERROR(__xludf.DUMMYFUNCTION("""COMPUTED_VALUE"""),"Patricia Hirasaki")</f>
        <v>Patricia Hirasaki</v>
      </c>
      <c r="I669" s="40">
        <f t="shared" si="3"/>
        <v>4</v>
      </c>
    </row>
    <row r="670">
      <c r="A670" s="11">
        <v>669.0</v>
      </c>
      <c r="B670" s="12">
        <f t="shared" si="108"/>
        <v>39921</v>
      </c>
      <c r="C670" s="11" t="s">
        <v>690</v>
      </c>
      <c r="D670" s="11" t="s">
        <v>66</v>
      </c>
      <c r="F670" s="38">
        <f>IFERROR(__xludf.DUMMYFUNCTION("""COMPUTED_VALUE"""),40503.0)</f>
        <v>40503</v>
      </c>
      <c r="G670" s="39">
        <f t="shared" si="2"/>
        <v>6</v>
      </c>
      <c r="H670" s="39" t="str">
        <f>IFERROR(__xludf.DUMMYFUNCTION("""COMPUTED_VALUE"""),"Doug Jacobs")</f>
        <v>Doug Jacobs</v>
      </c>
      <c r="I670" s="40">
        <f t="shared" si="3"/>
        <v>5</v>
      </c>
    </row>
    <row r="671">
      <c r="A671" s="11">
        <v>670.0</v>
      </c>
      <c r="B671" s="12">
        <f t="shared" si="108"/>
        <v>39921</v>
      </c>
      <c r="C671" s="11" t="s">
        <v>993</v>
      </c>
      <c r="D671" s="11" t="s">
        <v>66</v>
      </c>
      <c r="F671" s="38">
        <f>IFERROR(__xludf.DUMMYFUNCTION("""COMPUTED_VALUE"""),40504.0)</f>
        <v>40504</v>
      </c>
      <c r="G671" s="39">
        <f t="shared" si="2"/>
        <v>7</v>
      </c>
      <c r="H671" s="39" t="str">
        <f>IFERROR(__xludf.DUMMYFUNCTION("""COMPUTED_VALUE"""),"Tom Ashbrook")</f>
        <v>Tom Ashbrook</v>
      </c>
      <c r="I671" s="40">
        <f t="shared" si="3"/>
        <v>9</v>
      </c>
    </row>
    <row r="672">
      <c r="A672" s="11">
        <v>671.0</v>
      </c>
      <c r="B672" s="12">
        <f t="shared" ref="B672:B678" si="109">DATE(2012,12,31)-1352</f>
        <v>39922</v>
      </c>
      <c r="C672" s="11" t="s">
        <v>1089</v>
      </c>
      <c r="D672" s="11" t="s">
        <v>28</v>
      </c>
      <c r="F672" s="38">
        <f>IFERROR(__xludf.DUMMYFUNCTION("""COMPUTED_VALUE"""),40505.0)</f>
        <v>40505</v>
      </c>
      <c r="G672" s="39">
        <f t="shared" si="2"/>
        <v>11</v>
      </c>
      <c r="H672" s="39" t="str">
        <f>IFERROR(__xludf.DUMMYFUNCTION("""COMPUTED_VALUE"""),"Theresa Coyne")</f>
        <v>Theresa Coyne</v>
      </c>
      <c r="I672" s="40">
        <f t="shared" si="3"/>
        <v>5</v>
      </c>
    </row>
    <row r="673">
      <c r="A673" s="11">
        <v>672.0</v>
      </c>
      <c r="B673" s="12">
        <f t="shared" si="109"/>
        <v>39922</v>
      </c>
      <c r="C673" s="11" t="s">
        <v>320</v>
      </c>
      <c r="D673" s="11" t="s">
        <v>49</v>
      </c>
      <c r="F673" s="38">
        <f>IFERROR(__xludf.DUMMYFUNCTION("""COMPUTED_VALUE"""),40506.0)</f>
        <v>40506</v>
      </c>
      <c r="G673" s="39">
        <f t="shared" si="2"/>
        <v>13</v>
      </c>
      <c r="H673" s="39" t="str">
        <f>IFERROR(__xludf.DUMMYFUNCTION("""COMPUTED_VALUE"""),"Jennifer Halladay")</f>
        <v>Jennifer Halladay</v>
      </c>
      <c r="I673" s="40">
        <f t="shared" si="3"/>
        <v>6</v>
      </c>
    </row>
    <row r="674">
      <c r="A674" s="11">
        <v>673.0</v>
      </c>
      <c r="B674" s="12">
        <f t="shared" si="109"/>
        <v>39922</v>
      </c>
      <c r="C674" s="11" t="s">
        <v>25</v>
      </c>
      <c r="D674" s="11" t="s">
        <v>66</v>
      </c>
      <c r="F674" s="38">
        <f>IFERROR(__xludf.DUMMYFUNCTION("""COMPUTED_VALUE"""),40507.0)</f>
        <v>40507</v>
      </c>
      <c r="G674" s="39">
        <f t="shared" si="2"/>
        <v>8</v>
      </c>
      <c r="H674" s="39" t="str">
        <f>IFERROR(__xludf.DUMMYFUNCTION("""COMPUTED_VALUE"""),"Kelly Collister")</f>
        <v>Kelly Collister</v>
      </c>
      <c r="I674" s="40">
        <f t="shared" si="3"/>
        <v>3</v>
      </c>
    </row>
    <row r="675">
      <c r="A675" s="11">
        <v>674.0</v>
      </c>
      <c r="B675" s="12">
        <f t="shared" si="109"/>
        <v>39922</v>
      </c>
      <c r="C675" s="11" t="s">
        <v>25</v>
      </c>
      <c r="D675" s="11" t="s">
        <v>49</v>
      </c>
      <c r="F675" s="38">
        <f>IFERROR(__xludf.DUMMYFUNCTION("""COMPUTED_VALUE"""),40508.0)</f>
        <v>40508</v>
      </c>
      <c r="G675" s="39">
        <f t="shared" si="2"/>
        <v>2</v>
      </c>
      <c r="H675" s="39" t="str">
        <f>IFERROR(__xludf.DUMMYFUNCTION("""COMPUTED_VALUE"""),"Lori Olson")</f>
        <v>Lori Olson</v>
      </c>
      <c r="I675" s="40">
        <f t="shared" si="3"/>
        <v>5</v>
      </c>
    </row>
    <row r="676">
      <c r="A676" s="11">
        <v>675.0</v>
      </c>
      <c r="B676" s="12">
        <f t="shared" si="109"/>
        <v>39922</v>
      </c>
      <c r="C676" s="11" t="s">
        <v>942</v>
      </c>
      <c r="D676" s="11" t="s">
        <v>28</v>
      </c>
      <c r="F676" s="38">
        <f>IFERROR(__xludf.DUMMYFUNCTION("""COMPUTED_VALUE"""),40509.0)</f>
        <v>40509</v>
      </c>
      <c r="G676" s="39">
        <f t="shared" si="2"/>
        <v>7</v>
      </c>
      <c r="H676" s="39" t="str">
        <f>IFERROR(__xludf.DUMMYFUNCTION("""COMPUTED_VALUE"""),"Barry French")</f>
        <v>Barry French</v>
      </c>
      <c r="I676" s="40">
        <f t="shared" si="3"/>
        <v>4</v>
      </c>
    </row>
    <row r="677">
      <c r="A677" s="11">
        <v>676.0</v>
      </c>
      <c r="B677" s="12">
        <f t="shared" si="109"/>
        <v>39922</v>
      </c>
      <c r="C677" s="11" t="s">
        <v>942</v>
      </c>
      <c r="D677" s="11" t="s">
        <v>49</v>
      </c>
      <c r="F677" s="38">
        <f>IFERROR(__xludf.DUMMYFUNCTION("""COMPUTED_VALUE"""),40511.0)</f>
        <v>40511</v>
      </c>
      <c r="G677" s="39">
        <f t="shared" si="2"/>
        <v>11</v>
      </c>
      <c r="H677" s="39" t="str">
        <f>IFERROR(__xludf.DUMMYFUNCTION("""COMPUTED_VALUE"""),"Alyssa Crouse")</f>
        <v>Alyssa Crouse</v>
      </c>
      <c r="I677" s="40">
        <f t="shared" si="3"/>
        <v>8</v>
      </c>
    </row>
    <row r="678">
      <c r="A678" s="11">
        <v>677.0</v>
      </c>
      <c r="B678" s="12">
        <f t="shared" si="109"/>
        <v>39922</v>
      </c>
      <c r="C678" s="11" t="s">
        <v>535</v>
      </c>
      <c r="D678" s="11" t="s">
        <v>28</v>
      </c>
      <c r="F678" s="38">
        <f>IFERROR(__xludf.DUMMYFUNCTION("""COMPUTED_VALUE"""),40512.0)</f>
        <v>40512</v>
      </c>
      <c r="G678" s="39">
        <f t="shared" si="2"/>
        <v>4</v>
      </c>
      <c r="H678" s="39" t="str">
        <f>IFERROR(__xludf.DUMMYFUNCTION("""COMPUTED_VALUE"""),"Frank Carlisle")</f>
        <v>Frank Carlisle</v>
      </c>
      <c r="I678" s="40">
        <f t="shared" si="3"/>
        <v>3</v>
      </c>
    </row>
    <row r="679">
      <c r="A679" s="11">
        <v>678.0</v>
      </c>
      <c r="B679" s="12">
        <f t="shared" ref="B679:B684" si="110">DATE(2012,12,31)-1351</f>
        <v>39923</v>
      </c>
      <c r="C679" s="11" t="s">
        <v>320</v>
      </c>
      <c r="D679" s="11" t="s">
        <v>28</v>
      </c>
      <c r="F679" s="38">
        <f>IFERROR(__xludf.DUMMYFUNCTION("""COMPUTED_VALUE"""),40513.0)</f>
        <v>40513</v>
      </c>
      <c r="G679" s="39">
        <f t="shared" si="2"/>
        <v>7</v>
      </c>
      <c r="H679" s="39" t="str">
        <f>IFERROR(__xludf.DUMMYFUNCTION("""COMPUTED_VALUE"""),"Cari Schnelling")</f>
        <v>Cari Schnelling</v>
      </c>
      <c r="I679" s="40">
        <f t="shared" si="3"/>
        <v>7</v>
      </c>
    </row>
    <row r="680">
      <c r="A680" s="11">
        <v>679.0</v>
      </c>
      <c r="B680" s="12">
        <f t="shared" si="110"/>
        <v>39923</v>
      </c>
      <c r="C680" s="11" t="s">
        <v>1165</v>
      </c>
      <c r="D680" s="11" t="s">
        <v>49</v>
      </c>
      <c r="F680" s="38">
        <f>IFERROR(__xludf.DUMMYFUNCTION("""COMPUTED_VALUE"""),40514.0)</f>
        <v>40514</v>
      </c>
      <c r="G680" s="39">
        <f t="shared" si="2"/>
        <v>7</v>
      </c>
      <c r="H680" s="39" t="str">
        <f>IFERROR(__xludf.DUMMYFUNCTION("""COMPUTED_VALUE"""),"Julie Creighton")</f>
        <v>Julie Creighton</v>
      </c>
      <c r="I680" s="40">
        <f t="shared" si="3"/>
        <v>7</v>
      </c>
    </row>
    <row r="681">
      <c r="A681" s="11">
        <v>680.0</v>
      </c>
      <c r="B681" s="12">
        <f t="shared" si="110"/>
        <v>39923</v>
      </c>
      <c r="C681" s="11" t="s">
        <v>1165</v>
      </c>
      <c r="D681" s="11" t="s">
        <v>66</v>
      </c>
      <c r="F681" s="38">
        <f>IFERROR(__xludf.DUMMYFUNCTION("""COMPUTED_VALUE"""),40515.0)</f>
        <v>40515</v>
      </c>
      <c r="G681" s="39">
        <f t="shared" si="2"/>
        <v>6</v>
      </c>
      <c r="H681" s="39" t="str">
        <f>IFERROR(__xludf.DUMMYFUNCTION("""COMPUTED_VALUE"""),"George Bell")</f>
        <v>George Bell</v>
      </c>
      <c r="I681" s="40">
        <f t="shared" si="3"/>
        <v>9</v>
      </c>
    </row>
    <row r="682">
      <c r="A682" s="11">
        <v>681.0</v>
      </c>
      <c r="B682" s="12">
        <f t="shared" si="110"/>
        <v>39923</v>
      </c>
      <c r="C682" s="11" t="s">
        <v>1168</v>
      </c>
      <c r="D682" s="11" t="s">
        <v>28</v>
      </c>
      <c r="F682" s="38">
        <f>IFERROR(__xludf.DUMMYFUNCTION("""COMPUTED_VALUE"""),40516.0)</f>
        <v>40516</v>
      </c>
      <c r="G682" s="39">
        <f t="shared" si="2"/>
        <v>10</v>
      </c>
      <c r="H682" s="39" t="str">
        <f>IFERROR(__xludf.DUMMYFUNCTION("""COMPUTED_VALUE"""),"Vivek Sundaresam")</f>
        <v>Vivek Sundaresam</v>
      </c>
      <c r="I682" s="40">
        <f t="shared" si="3"/>
        <v>8</v>
      </c>
    </row>
    <row r="683">
      <c r="A683" s="11">
        <v>682.0</v>
      </c>
      <c r="B683" s="12">
        <f t="shared" si="110"/>
        <v>39923</v>
      </c>
      <c r="C683" s="11" t="s">
        <v>1168</v>
      </c>
      <c r="D683" s="11" t="s">
        <v>49</v>
      </c>
      <c r="F683" s="38">
        <f>IFERROR(__xludf.DUMMYFUNCTION("""COMPUTED_VALUE"""),40517.0)</f>
        <v>40517</v>
      </c>
      <c r="G683" s="39">
        <f t="shared" si="2"/>
        <v>15</v>
      </c>
      <c r="H683" s="39" t="str">
        <f>IFERROR(__xludf.DUMMYFUNCTION("""COMPUTED_VALUE"""),"Ross DeVincentis")</f>
        <v>Ross DeVincentis</v>
      </c>
      <c r="I683" s="40">
        <f t="shared" si="3"/>
        <v>3</v>
      </c>
    </row>
    <row r="684">
      <c r="A684" s="11">
        <v>683.0</v>
      </c>
      <c r="B684" s="12">
        <f t="shared" si="110"/>
        <v>39923</v>
      </c>
      <c r="C684" s="11" t="s">
        <v>1170</v>
      </c>
      <c r="D684" s="11" t="s">
        <v>28</v>
      </c>
      <c r="F684" s="38">
        <f>IFERROR(__xludf.DUMMYFUNCTION("""COMPUTED_VALUE"""),40518.0)</f>
        <v>40518</v>
      </c>
      <c r="G684" s="39">
        <f t="shared" si="2"/>
        <v>3</v>
      </c>
      <c r="H684" s="39" t="str">
        <f>IFERROR(__xludf.DUMMYFUNCTION("""COMPUTED_VALUE"""),"Paul Stevenson")</f>
        <v>Paul Stevenson</v>
      </c>
      <c r="I684" s="40">
        <f t="shared" si="3"/>
        <v>7</v>
      </c>
    </row>
    <row r="685">
      <c r="A685" s="11">
        <v>684.0</v>
      </c>
      <c r="B685" s="12">
        <f t="shared" ref="B685:B692" si="111">DATE(2012,12,31)-1350</f>
        <v>39924</v>
      </c>
      <c r="C685" s="11" t="s">
        <v>849</v>
      </c>
      <c r="D685" s="11" t="s">
        <v>28</v>
      </c>
      <c r="F685" s="38">
        <f>IFERROR(__xludf.DUMMYFUNCTION("""COMPUTED_VALUE"""),40519.0)</f>
        <v>40519</v>
      </c>
      <c r="G685" s="39">
        <f t="shared" si="2"/>
        <v>9</v>
      </c>
      <c r="H685" s="39" t="str">
        <f>IFERROR(__xludf.DUMMYFUNCTION("""COMPUTED_VALUE"""),"Ritsa Hightower")</f>
        <v>Ritsa Hightower</v>
      </c>
      <c r="I685" s="40">
        <f t="shared" si="3"/>
        <v>16</v>
      </c>
    </row>
    <row r="686">
      <c r="A686" s="11">
        <v>685.0</v>
      </c>
      <c r="B686" s="12">
        <f t="shared" si="111"/>
        <v>39924</v>
      </c>
      <c r="C686" s="11" t="s">
        <v>148</v>
      </c>
      <c r="D686" s="11" t="s">
        <v>28</v>
      </c>
      <c r="F686" s="38">
        <f>IFERROR(__xludf.DUMMYFUNCTION("""COMPUTED_VALUE"""),40520.0)</f>
        <v>40520</v>
      </c>
      <c r="G686" s="39">
        <f t="shared" si="2"/>
        <v>2</v>
      </c>
      <c r="H686" s="39" t="str">
        <f>IFERROR(__xludf.DUMMYFUNCTION("""COMPUTED_VALUE"""),"Hallie Redmond")</f>
        <v>Hallie Redmond</v>
      </c>
      <c r="I686" s="40">
        <f t="shared" si="3"/>
        <v>11</v>
      </c>
    </row>
    <row r="687">
      <c r="A687" s="11">
        <v>686.0</v>
      </c>
      <c r="B687" s="12">
        <f t="shared" si="111"/>
        <v>39924</v>
      </c>
      <c r="C687" s="11" t="s">
        <v>148</v>
      </c>
      <c r="D687" s="11" t="s">
        <v>49</v>
      </c>
      <c r="F687" s="38">
        <f>IFERROR(__xludf.DUMMYFUNCTION("""COMPUTED_VALUE"""),40521.0)</f>
        <v>40521</v>
      </c>
      <c r="G687" s="39">
        <f t="shared" si="2"/>
        <v>4</v>
      </c>
      <c r="H687" s="39" t="str">
        <f>IFERROR(__xludf.DUMMYFUNCTION("""COMPUTED_VALUE"""),"Eric Murdock")</f>
        <v>Eric Murdock</v>
      </c>
      <c r="I687" s="40">
        <f t="shared" si="3"/>
        <v>4</v>
      </c>
    </row>
    <row r="688">
      <c r="A688" s="11">
        <v>687.0</v>
      </c>
      <c r="B688" s="12">
        <f t="shared" si="111"/>
        <v>39924</v>
      </c>
      <c r="C688" s="11" t="s">
        <v>1045</v>
      </c>
      <c r="D688" s="11" t="s">
        <v>28</v>
      </c>
      <c r="F688" s="38">
        <f>IFERROR(__xludf.DUMMYFUNCTION("""COMPUTED_VALUE"""),40522.0)</f>
        <v>40522</v>
      </c>
      <c r="G688" s="39">
        <f t="shared" si="2"/>
        <v>2</v>
      </c>
      <c r="H688" s="39" t="str">
        <f>IFERROR(__xludf.DUMMYFUNCTION("""COMPUTED_VALUE"""),"Russell D'Ascenzo")</f>
        <v>Russell D'Ascenzo</v>
      </c>
      <c r="I688" s="40">
        <f t="shared" si="3"/>
        <v>4</v>
      </c>
    </row>
    <row r="689">
      <c r="A689" s="11">
        <v>688.0</v>
      </c>
      <c r="B689" s="12">
        <f t="shared" si="111"/>
        <v>39924</v>
      </c>
      <c r="C689" s="11" t="s">
        <v>1045</v>
      </c>
      <c r="D689" s="11" t="s">
        <v>28</v>
      </c>
      <c r="F689" s="38">
        <f>IFERROR(__xludf.DUMMYFUNCTION("""COMPUTED_VALUE"""),40523.0)</f>
        <v>40523</v>
      </c>
      <c r="G689" s="39">
        <f t="shared" si="2"/>
        <v>4</v>
      </c>
      <c r="H689" s="39" t="str">
        <f>IFERROR(__xludf.DUMMYFUNCTION("""COMPUTED_VALUE"""),"Richard Eichhorn")</f>
        <v>Richard Eichhorn</v>
      </c>
      <c r="I689" s="40">
        <f t="shared" si="3"/>
        <v>6</v>
      </c>
    </row>
    <row r="690">
      <c r="A690" s="11">
        <v>689.0</v>
      </c>
      <c r="B690" s="12">
        <f t="shared" si="111"/>
        <v>39924</v>
      </c>
      <c r="C690" s="11" t="s">
        <v>1045</v>
      </c>
      <c r="D690" s="11" t="s">
        <v>28</v>
      </c>
      <c r="F690" s="38">
        <f>IFERROR(__xludf.DUMMYFUNCTION("""COMPUTED_VALUE"""),40524.0)</f>
        <v>40524</v>
      </c>
      <c r="G690" s="39">
        <f t="shared" si="2"/>
        <v>18</v>
      </c>
      <c r="H690" s="39" t="str">
        <f>IFERROR(__xludf.DUMMYFUNCTION("""COMPUTED_VALUE"""),"Tracy Zic")</f>
        <v>Tracy Zic</v>
      </c>
      <c r="I690" s="40">
        <f t="shared" si="3"/>
        <v>8</v>
      </c>
    </row>
    <row r="691">
      <c r="A691" s="11">
        <v>690.0</v>
      </c>
      <c r="B691" s="12">
        <f t="shared" si="111"/>
        <v>39924</v>
      </c>
      <c r="C691" s="11" t="s">
        <v>1045</v>
      </c>
      <c r="D691" s="11" t="s">
        <v>49</v>
      </c>
      <c r="F691" s="38">
        <f>IFERROR(__xludf.DUMMYFUNCTION("""COMPUTED_VALUE"""),40525.0)</f>
        <v>40525</v>
      </c>
      <c r="G691" s="39">
        <f t="shared" si="2"/>
        <v>5</v>
      </c>
      <c r="H691" s="39" t="str">
        <f>IFERROR(__xludf.DUMMYFUNCTION("""COMPUTED_VALUE"""),"Andy Yotov")</f>
        <v>Andy Yotov</v>
      </c>
      <c r="I691" s="40">
        <f t="shared" si="3"/>
        <v>4</v>
      </c>
    </row>
    <row r="692">
      <c r="A692" s="11">
        <v>691.0</v>
      </c>
      <c r="B692" s="12">
        <f t="shared" si="111"/>
        <v>39924</v>
      </c>
      <c r="C692" s="11" t="s">
        <v>1179</v>
      </c>
      <c r="D692" s="11" t="s">
        <v>28</v>
      </c>
      <c r="F692" s="38">
        <f>IFERROR(__xludf.DUMMYFUNCTION("""COMPUTED_VALUE"""),40526.0)</f>
        <v>40526</v>
      </c>
      <c r="G692" s="39">
        <f t="shared" si="2"/>
        <v>13</v>
      </c>
      <c r="H692" s="39" t="str">
        <f>IFERROR(__xludf.DUMMYFUNCTION("""COMPUTED_VALUE"""),"Maribeth Yedwab")</f>
        <v>Maribeth Yedwab</v>
      </c>
      <c r="I692" s="40">
        <f t="shared" si="3"/>
        <v>10</v>
      </c>
    </row>
    <row r="693">
      <c r="A693" s="11">
        <v>692.0</v>
      </c>
      <c r="B693" s="12">
        <f t="shared" ref="B693:B698" si="112">DATE(2012,12,31)-1349</f>
        <v>39925</v>
      </c>
      <c r="C693" s="11" t="s">
        <v>603</v>
      </c>
      <c r="D693" s="11" t="s">
        <v>28</v>
      </c>
      <c r="F693" s="38">
        <f>IFERROR(__xludf.DUMMYFUNCTION("""COMPUTED_VALUE"""),40527.0)</f>
        <v>40527</v>
      </c>
      <c r="G693" s="39">
        <f t="shared" si="2"/>
        <v>3</v>
      </c>
      <c r="H693" s="39" t="str">
        <f>IFERROR(__xludf.DUMMYFUNCTION("""COMPUTED_VALUE"""),"Joel Jenkins")</f>
        <v>Joel Jenkins</v>
      </c>
      <c r="I693" s="40">
        <f t="shared" si="3"/>
        <v>4</v>
      </c>
    </row>
    <row r="694">
      <c r="A694" s="11">
        <v>693.0</v>
      </c>
      <c r="B694" s="12">
        <f t="shared" si="112"/>
        <v>39925</v>
      </c>
      <c r="C694" s="11" t="s">
        <v>1130</v>
      </c>
      <c r="D694" s="11" t="s">
        <v>66</v>
      </c>
      <c r="F694" s="38">
        <f>IFERROR(__xludf.DUMMYFUNCTION("""COMPUTED_VALUE"""),40528.0)</f>
        <v>40528</v>
      </c>
      <c r="G694" s="39">
        <f t="shared" si="2"/>
        <v>2</v>
      </c>
      <c r="H694" s="39" t="str">
        <f>IFERROR(__xludf.DUMMYFUNCTION("""COMPUTED_VALUE"""),"Vivek Gonzalez")</f>
        <v>Vivek Gonzalez</v>
      </c>
      <c r="I694" s="40">
        <f t="shared" si="3"/>
        <v>6</v>
      </c>
    </row>
    <row r="695">
      <c r="A695" s="11">
        <v>694.0</v>
      </c>
      <c r="B695" s="12">
        <f t="shared" si="112"/>
        <v>39925</v>
      </c>
      <c r="C695" s="11" t="s">
        <v>528</v>
      </c>
      <c r="D695" s="11" t="s">
        <v>28</v>
      </c>
      <c r="F695" s="38">
        <f>IFERROR(__xludf.DUMMYFUNCTION("""COMPUTED_VALUE"""),40529.0)</f>
        <v>40529</v>
      </c>
      <c r="G695" s="39">
        <f t="shared" si="2"/>
        <v>7</v>
      </c>
      <c r="H695" s="39" t="str">
        <f>IFERROR(__xludf.DUMMYFUNCTION("""COMPUTED_VALUE"""),"Thomas Thornton")</f>
        <v>Thomas Thornton</v>
      </c>
      <c r="I695" s="40">
        <f t="shared" si="3"/>
        <v>10</v>
      </c>
    </row>
    <row r="696">
      <c r="A696" s="11">
        <v>695.0</v>
      </c>
      <c r="B696" s="12">
        <f t="shared" si="112"/>
        <v>39925</v>
      </c>
      <c r="C696" s="11" t="s">
        <v>1185</v>
      </c>
      <c r="D696" s="11" t="s">
        <v>28</v>
      </c>
      <c r="F696" s="38">
        <f>IFERROR(__xludf.DUMMYFUNCTION("""COMPUTED_VALUE"""),40530.0)</f>
        <v>40530</v>
      </c>
      <c r="G696" s="39">
        <f t="shared" si="2"/>
        <v>1</v>
      </c>
      <c r="H696" s="39" t="str">
        <f>IFERROR(__xludf.DUMMYFUNCTION("""COMPUTED_VALUE"""),"Frank Price")</f>
        <v>Frank Price</v>
      </c>
      <c r="I696" s="40">
        <f t="shared" si="3"/>
        <v>6</v>
      </c>
    </row>
    <row r="697">
      <c r="A697" s="11">
        <v>696.0</v>
      </c>
      <c r="B697" s="12">
        <f t="shared" si="112"/>
        <v>39925</v>
      </c>
      <c r="C697" s="11" t="s">
        <v>1185</v>
      </c>
      <c r="D697" s="11" t="s">
        <v>28</v>
      </c>
      <c r="F697" s="38">
        <f>IFERROR(__xludf.DUMMYFUNCTION("""COMPUTED_VALUE"""),40531.0)</f>
        <v>40531</v>
      </c>
      <c r="G697" s="39">
        <f t="shared" si="2"/>
        <v>8</v>
      </c>
      <c r="H697" s="39" t="str">
        <f>IFERROR(__xludf.DUMMYFUNCTION("""COMPUTED_VALUE"""),"Helen Abelman")</f>
        <v>Helen Abelman</v>
      </c>
      <c r="I697" s="40">
        <f t="shared" si="3"/>
        <v>6</v>
      </c>
    </row>
    <row r="698">
      <c r="A698" s="11">
        <v>697.0</v>
      </c>
      <c r="B698" s="12">
        <f t="shared" si="112"/>
        <v>39925</v>
      </c>
      <c r="C698" s="11" t="s">
        <v>332</v>
      </c>
      <c r="D698" s="11" t="s">
        <v>28</v>
      </c>
      <c r="F698" s="38">
        <f>IFERROR(__xludf.DUMMYFUNCTION("""COMPUTED_VALUE"""),40532.0)</f>
        <v>40532</v>
      </c>
      <c r="G698" s="39">
        <f t="shared" si="2"/>
        <v>7</v>
      </c>
      <c r="H698" s="39" t="str">
        <f>IFERROR(__xludf.DUMMYFUNCTION("""COMPUTED_VALUE"""),"Emily Burns")</f>
        <v>Emily Burns</v>
      </c>
      <c r="I698" s="40">
        <f t="shared" si="3"/>
        <v>3</v>
      </c>
    </row>
    <row r="699">
      <c r="A699" s="11">
        <v>698.0</v>
      </c>
      <c r="B699" s="12">
        <f t="shared" ref="B699:B704" si="113">DATE(2012,12,31)-1348</f>
        <v>39926</v>
      </c>
      <c r="C699" s="11" t="s">
        <v>977</v>
      </c>
      <c r="D699" s="11" t="s">
        <v>28</v>
      </c>
      <c r="F699" s="38">
        <f>IFERROR(__xludf.DUMMYFUNCTION("""COMPUTED_VALUE"""),40533.0)</f>
        <v>40533</v>
      </c>
      <c r="G699" s="39">
        <f t="shared" si="2"/>
        <v>8</v>
      </c>
      <c r="H699" s="39" t="str">
        <f>IFERROR(__xludf.DUMMYFUNCTION("""COMPUTED_VALUE"""),"Fred Chung")</f>
        <v>Fred Chung</v>
      </c>
      <c r="I699" s="40">
        <f t="shared" si="3"/>
        <v>7</v>
      </c>
    </row>
    <row r="700">
      <c r="A700" s="11">
        <v>699.0</v>
      </c>
      <c r="B700" s="12">
        <f t="shared" si="113"/>
        <v>39926</v>
      </c>
      <c r="C700" s="11" t="s">
        <v>1192</v>
      </c>
      <c r="D700" s="11" t="s">
        <v>28</v>
      </c>
      <c r="F700" s="38">
        <f>IFERROR(__xludf.DUMMYFUNCTION("""COMPUTED_VALUE"""),40534.0)</f>
        <v>40534</v>
      </c>
      <c r="G700" s="39">
        <f t="shared" si="2"/>
        <v>6</v>
      </c>
      <c r="H700" s="39" t="str">
        <f>IFERROR(__xludf.DUMMYFUNCTION("""COMPUTED_VALUE"""),"Dorothy Dickinson")</f>
        <v>Dorothy Dickinson</v>
      </c>
      <c r="I700" s="40">
        <f t="shared" si="3"/>
        <v>1</v>
      </c>
    </row>
    <row r="701">
      <c r="A701" s="11">
        <v>700.0</v>
      </c>
      <c r="B701" s="12">
        <f t="shared" si="113"/>
        <v>39926</v>
      </c>
      <c r="C701" s="11" t="s">
        <v>1192</v>
      </c>
      <c r="D701" s="11" t="s">
        <v>49</v>
      </c>
      <c r="F701" s="38">
        <f>IFERROR(__xludf.DUMMYFUNCTION("""COMPUTED_VALUE"""),40535.0)</f>
        <v>40535</v>
      </c>
      <c r="G701" s="39">
        <f t="shared" si="2"/>
        <v>1</v>
      </c>
      <c r="H701" s="39" t="str">
        <f>IFERROR(__xludf.DUMMYFUNCTION("""COMPUTED_VALUE"""),"Bryan Spruell")</f>
        <v>Bryan Spruell</v>
      </c>
      <c r="I701" s="40">
        <f t="shared" si="3"/>
        <v>12</v>
      </c>
    </row>
    <row r="702">
      <c r="A702" s="11">
        <v>701.0</v>
      </c>
      <c r="B702" s="12">
        <f t="shared" si="113"/>
        <v>39926</v>
      </c>
      <c r="C702" s="11" t="s">
        <v>1192</v>
      </c>
      <c r="D702" s="11" t="s">
        <v>49</v>
      </c>
      <c r="F702" s="38">
        <f>IFERROR(__xludf.DUMMYFUNCTION("""COMPUTED_VALUE"""),40536.0)</f>
        <v>40536</v>
      </c>
      <c r="G702" s="39">
        <f t="shared" si="2"/>
        <v>8</v>
      </c>
      <c r="H702" s="39" t="str">
        <f>IFERROR(__xludf.DUMMYFUNCTION("""COMPUTED_VALUE"""),"Barry Pond")</f>
        <v>Barry Pond</v>
      </c>
      <c r="I702" s="40">
        <f t="shared" si="3"/>
        <v>7</v>
      </c>
    </row>
    <row r="703">
      <c r="A703" s="11">
        <v>702.0</v>
      </c>
      <c r="B703" s="12">
        <f t="shared" si="113"/>
        <v>39926</v>
      </c>
      <c r="C703" s="11" t="s">
        <v>1196</v>
      </c>
      <c r="D703" s="11" t="s">
        <v>28</v>
      </c>
      <c r="F703" s="38">
        <f>IFERROR(__xludf.DUMMYFUNCTION("""COMPUTED_VALUE"""),40537.0)</f>
        <v>40537</v>
      </c>
      <c r="G703" s="39">
        <f t="shared" si="2"/>
        <v>6</v>
      </c>
      <c r="H703" s="39" t="str">
        <f>IFERROR(__xludf.DUMMYFUNCTION("""COMPUTED_VALUE"""),"Fred McMath")</f>
        <v>Fred McMath</v>
      </c>
      <c r="I703" s="40">
        <f t="shared" si="3"/>
        <v>16</v>
      </c>
    </row>
    <row r="704">
      <c r="A704" s="11">
        <v>703.0</v>
      </c>
      <c r="B704" s="12">
        <f t="shared" si="113"/>
        <v>39926</v>
      </c>
      <c r="C704" s="11" t="s">
        <v>681</v>
      </c>
      <c r="D704" s="11" t="s">
        <v>28</v>
      </c>
      <c r="F704" s="38">
        <f>IFERROR(__xludf.DUMMYFUNCTION("""COMPUTED_VALUE"""),40538.0)</f>
        <v>40538</v>
      </c>
      <c r="G704" s="39">
        <f t="shared" si="2"/>
        <v>14</v>
      </c>
      <c r="H704" s="39" t="str">
        <f>IFERROR(__xludf.DUMMYFUNCTION("""COMPUTED_VALUE"""),"Erin Smith")</f>
        <v>Erin Smith</v>
      </c>
      <c r="I704" s="40">
        <f t="shared" si="3"/>
        <v>5</v>
      </c>
    </row>
    <row r="705">
      <c r="A705" s="11">
        <v>704.0</v>
      </c>
      <c r="B705" s="12">
        <f t="shared" ref="B705:B710" si="114">DATE(2012,12,31)-1347</f>
        <v>39927</v>
      </c>
      <c r="C705" s="11" t="s">
        <v>232</v>
      </c>
      <c r="D705" s="11" t="s">
        <v>28</v>
      </c>
      <c r="F705" s="38">
        <f>IFERROR(__xludf.DUMMYFUNCTION("""COMPUTED_VALUE"""),40539.0)</f>
        <v>40539</v>
      </c>
      <c r="G705" s="39">
        <f t="shared" si="2"/>
        <v>2</v>
      </c>
      <c r="H705" s="39" t="str">
        <f>IFERROR(__xludf.DUMMYFUNCTION("""COMPUTED_VALUE"""),"Luke Weiss")</f>
        <v>Luke Weiss</v>
      </c>
      <c r="I705" s="40">
        <f t="shared" si="3"/>
        <v>11</v>
      </c>
    </row>
    <row r="706">
      <c r="A706" s="11">
        <v>705.0</v>
      </c>
      <c r="B706" s="12">
        <f t="shared" si="114"/>
        <v>39927</v>
      </c>
      <c r="C706" s="11" t="s">
        <v>1199</v>
      </c>
      <c r="D706" s="11" t="s">
        <v>66</v>
      </c>
      <c r="F706" s="38">
        <f>IFERROR(__xludf.DUMMYFUNCTION("""COMPUTED_VALUE"""),40540.0)</f>
        <v>40540</v>
      </c>
      <c r="G706" s="39">
        <f t="shared" si="2"/>
        <v>8</v>
      </c>
      <c r="H706" s="39" t="str">
        <f>IFERROR(__xludf.DUMMYFUNCTION("""COMPUTED_VALUE"""),"Anna Haberlin")</f>
        <v>Anna Haberlin</v>
      </c>
      <c r="I706" s="40">
        <f t="shared" si="3"/>
        <v>7</v>
      </c>
    </row>
    <row r="707">
      <c r="A707" s="11">
        <v>706.0</v>
      </c>
      <c r="B707" s="12">
        <f t="shared" si="114"/>
        <v>39927</v>
      </c>
      <c r="C707" s="11" t="s">
        <v>1199</v>
      </c>
      <c r="D707" s="11" t="s">
        <v>28</v>
      </c>
      <c r="F707" s="38">
        <f>IFERROR(__xludf.DUMMYFUNCTION("""COMPUTED_VALUE"""),40541.0)</f>
        <v>40541</v>
      </c>
      <c r="G707" s="39">
        <f t="shared" si="2"/>
        <v>8</v>
      </c>
      <c r="H707" s="39" t="str">
        <f>IFERROR(__xludf.DUMMYFUNCTION("""COMPUTED_VALUE"""),"Shui Tom")</f>
        <v>Shui Tom</v>
      </c>
      <c r="I707" s="40">
        <f t="shared" si="3"/>
        <v>9</v>
      </c>
    </row>
    <row r="708">
      <c r="A708" s="11">
        <v>707.0</v>
      </c>
      <c r="B708" s="12">
        <f t="shared" si="114"/>
        <v>39927</v>
      </c>
      <c r="C708" s="11" t="s">
        <v>94</v>
      </c>
      <c r="D708" s="11" t="s">
        <v>28</v>
      </c>
      <c r="F708" s="38">
        <f>IFERROR(__xludf.DUMMYFUNCTION("""COMPUTED_VALUE"""),40542.0)</f>
        <v>40542</v>
      </c>
      <c r="G708" s="39">
        <f t="shared" si="2"/>
        <v>8</v>
      </c>
      <c r="H708" s="39" t="str">
        <f>IFERROR(__xludf.DUMMYFUNCTION("""COMPUTED_VALUE"""),"Lindsay Shagiari")</f>
        <v>Lindsay Shagiari</v>
      </c>
      <c r="I708" s="40">
        <f t="shared" si="3"/>
        <v>6</v>
      </c>
    </row>
    <row r="709">
      <c r="A709" s="11">
        <v>708.0</v>
      </c>
      <c r="B709" s="12">
        <f t="shared" si="114"/>
        <v>39927</v>
      </c>
      <c r="C709" s="11" t="s">
        <v>94</v>
      </c>
      <c r="D709" s="11" t="s">
        <v>28</v>
      </c>
      <c r="F709" s="38">
        <f>IFERROR(__xludf.DUMMYFUNCTION("""COMPUTED_VALUE"""),40543.0)</f>
        <v>40543</v>
      </c>
      <c r="G709" s="39">
        <f t="shared" si="2"/>
        <v>4</v>
      </c>
      <c r="H709" s="39" t="str">
        <f>IFERROR(__xludf.DUMMYFUNCTION("""COMPUTED_VALUE"""),"Deirdre Greer")</f>
        <v>Deirdre Greer</v>
      </c>
      <c r="I709" s="40">
        <f t="shared" si="3"/>
        <v>5</v>
      </c>
    </row>
    <row r="710">
      <c r="A710" s="11">
        <v>709.0</v>
      </c>
      <c r="B710" s="12">
        <f t="shared" si="114"/>
        <v>39927</v>
      </c>
      <c r="C710" s="11" t="s">
        <v>94</v>
      </c>
      <c r="D710" s="11" t="s">
        <v>28</v>
      </c>
      <c r="F710" s="38">
        <f>IFERROR(__xludf.DUMMYFUNCTION("""COMPUTED_VALUE"""),40544.0)</f>
        <v>40544</v>
      </c>
      <c r="G710" s="39">
        <f t="shared" si="2"/>
        <v>5</v>
      </c>
      <c r="H710" s="39" t="str">
        <f>IFERROR(__xludf.DUMMYFUNCTION("""COMPUTED_VALUE"""),"Maureen Grace")</f>
        <v>Maureen Grace</v>
      </c>
      <c r="I710" s="40">
        <f t="shared" si="3"/>
        <v>1</v>
      </c>
    </row>
    <row r="711">
      <c r="A711" s="11">
        <v>710.0</v>
      </c>
      <c r="B711" s="12">
        <f>DATE(2012,12,31)-1346</f>
        <v>39928</v>
      </c>
      <c r="C711" s="11" t="s">
        <v>72</v>
      </c>
      <c r="D711" s="11" t="s">
        <v>28</v>
      </c>
      <c r="F711" s="38">
        <f>IFERROR(__xludf.DUMMYFUNCTION("""COMPUTED_VALUE"""),40545.0)</f>
        <v>40545</v>
      </c>
      <c r="G711" s="39">
        <f t="shared" si="2"/>
        <v>5</v>
      </c>
      <c r="H711" s="39" t="str">
        <f>IFERROR(__xludf.DUMMYFUNCTION("""COMPUTED_VALUE"""),"Bradley Talbott")</f>
        <v>Bradley Talbott</v>
      </c>
      <c r="I711" s="40">
        <f t="shared" si="3"/>
        <v>4</v>
      </c>
    </row>
    <row r="712">
      <c r="A712" s="11">
        <v>711.0</v>
      </c>
      <c r="B712" s="12">
        <f t="shared" ref="B712:B715" si="115">DATE(2012,12,31)-1345</f>
        <v>39929</v>
      </c>
      <c r="C712" s="11" t="s">
        <v>617</v>
      </c>
      <c r="D712" s="11" t="s">
        <v>28</v>
      </c>
      <c r="F712" s="38">
        <f>IFERROR(__xludf.DUMMYFUNCTION("""COMPUTED_VALUE"""),40546.0)</f>
        <v>40546</v>
      </c>
      <c r="G712" s="39">
        <f t="shared" si="2"/>
        <v>4</v>
      </c>
      <c r="H712" s="39" t="str">
        <f>IFERROR(__xludf.DUMMYFUNCTION("""COMPUTED_VALUE"""),"Andrew Gjertsen")</f>
        <v>Andrew Gjertsen</v>
      </c>
      <c r="I712" s="40">
        <f t="shared" si="3"/>
        <v>4</v>
      </c>
    </row>
    <row r="713">
      <c r="A713" s="11">
        <v>712.0</v>
      </c>
      <c r="B713" s="12">
        <f t="shared" si="115"/>
        <v>39929</v>
      </c>
      <c r="C713" s="11" t="s">
        <v>1205</v>
      </c>
      <c r="D713" s="11" t="s">
        <v>28</v>
      </c>
      <c r="F713" s="38">
        <f>IFERROR(__xludf.DUMMYFUNCTION("""COMPUTED_VALUE"""),40547.0)</f>
        <v>40547</v>
      </c>
      <c r="G713" s="39">
        <f t="shared" si="2"/>
        <v>11</v>
      </c>
      <c r="H713" s="39" t="str">
        <f>IFERROR(__xludf.DUMMYFUNCTION("""COMPUTED_VALUE"""),"Bruce Money")</f>
        <v>Bruce Money</v>
      </c>
      <c r="I713" s="40">
        <f t="shared" si="3"/>
        <v>3</v>
      </c>
    </row>
    <row r="714">
      <c r="A714" s="11">
        <v>713.0</v>
      </c>
      <c r="B714" s="12">
        <f t="shared" si="115"/>
        <v>39929</v>
      </c>
      <c r="C714" s="11" t="s">
        <v>617</v>
      </c>
      <c r="D714" s="11" t="s">
        <v>28</v>
      </c>
      <c r="F714" s="38">
        <f>IFERROR(__xludf.DUMMYFUNCTION("""COMPUTED_VALUE"""),40548.0)</f>
        <v>40548</v>
      </c>
      <c r="G714" s="39">
        <f t="shared" si="2"/>
        <v>2</v>
      </c>
      <c r="H714" s="39" t="str">
        <f>IFERROR(__xludf.DUMMYFUNCTION("""COMPUTED_VALUE"""),"Christine Phan")</f>
        <v>Christine Phan</v>
      </c>
      <c r="I714" s="40">
        <f t="shared" si="3"/>
        <v>7</v>
      </c>
    </row>
    <row r="715">
      <c r="A715" s="11">
        <v>714.0</v>
      </c>
      <c r="B715" s="12">
        <f t="shared" si="115"/>
        <v>39929</v>
      </c>
      <c r="C715" s="11" t="s">
        <v>741</v>
      </c>
      <c r="D715" s="11" t="s">
        <v>49</v>
      </c>
      <c r="F715" s="38">
        <f>IFERROR(__xludf.DUMMYFUNCTION("""COMPUTED_VALUE"""),40549.0)</f>
        <v>40549</v>
      </c>
      <c r="G715" s="39">
        <f t="shared" si="2"/>
        <v>7</v>
      </c>
      <c r="H715" s="39" t="str">
        <f>IFERROR(__xludf.DUMMYFUNCTION("""COMPUTED_VALUE"""),"Sung Pak")</f>
        <v>Sung Pak</v>
      </c>
      <c r="I715" s="40">
        <f t="shared" si="3"/>
        <v>8</v>
      </c>
    </row>
    <row r="716">
      <c r="A716" s="11">
        <v>715.0</v>
      </c>
      <c r="B716" s="12">
        <f t="shared" ref="B716:B720" si="116">DATE(2012,12,31)-1344</f>
        <v>39930</v>
      </c>
      <c r="C716" s="11" t="s">
        <v>1209</v>
      </c>
      <c r="D716" s="11" t="s">
        <v>28</v>
      </c>
      <c r="F716" s="38">
        <f>IFERROR(__xludf.DUMMYFUNCTION("""COMPUTED_VALUE"""),40550.0)</f>
        <v>40550</v>
      </c>
      <c r="G716" s="39">
        <f t="shared" si="2"/>
        <v>3</v>
      </c>
      <c r="H716" s="39" t="str">
        <f>IFERROR(__xludf.DUMMYFUNCTION("""COMPUTED_VALUE"""),"Justin Deggeller")</f>
        <v>Justin Deggeller</v>
      </c>
      <c r="I716" s="40">
        <f t="shared" si="3"/>
        <v>5</v>
      </c>
    </row>
    <row r="717">
      <c r="A717" s="11">
        <v>716.0</v>
      </c>
      <c r="B717" s="12">
        <f t="shared" si="116"/>
        <v>39930</v>
      </c>
      <c r="C717" s="11" t="s">
        <v>1209</v>
      </c>
      <c r="D717" s="11" t="s">
        <v>66</v>
      </c>
      <c r="F717" s="38">
        <f>IFERROR(__xludf.DUMMYFUNCTION("""COMPUTED_VALUE"""),40551.0)</f>
        <v>40551</v>
      </c>
      <c r="G717" s="39">
        <f t="shared" si="2"/>
        <v>6</v>
      </c>
      <c r="H717" s="39" t="str">
        <f>IFERROR(__xludf.DUMMYFUNCTION("""COMPUTED_VALUE"""),"Chris McAfee")</f>
        <v>Chris McAfee</v>
      </c>
      <c r="I717" s="40">
        <f t="shared" si="3"/>
        <v>2</v>
      </c>
    </row>
    <row r="718">
      <c r="A718" s="11">
        <v>717.0</v>
      </c>
      <c r="B718" s="12">
        <f t="shared" si="116"/>
        <v>39930</v>
      </c>
      <c r="C718" s="11" t="s">
        <v>1210</v>
      </c>
      <c r="D718" s="11" t="s">
        <v>66</v>
      </c>
      <c r="F718" s="38">
        <f>IFERROR(__xludf.DUMMYFUNCTION("""COMPUTED_VALUE"""),40552.0)</f>
        <v>40552</v>
      </c>
      <c r="G718" s="39">
        <f t="shared" si="2"/>
        <v>10</v>
      </c>
      <c r="H718" s="39" t="str">
        <f>IFERROR(__xludf.DUMMYFUNCTION("""COMPUTED_VALUE"""),"Natalie DeCherney")</f>
        <v>Natalie DeCherney</v>
      </c>
      <c r="I718" s="40">
        <f t="shared" si="3"/>
        <v>1</v>
      </c>
    </row>
    <row r="719">
      <c r="A719" s="11">
        <v>718.0</v>
      </c>
      <c r="B719" s="12">
        <f t="shared" si="116"/>
        <v>39930</v>
      </c>
      <c r="C719" s="11" t="s">
        <v>1211</v>
      </c>
      <c r="D719" s="11" t="s">
        <v>28</v>
      </c>
      <c r="F719" s="38">
        <f>IFERROR(__xludf.DUMMYFUNCTION("""COMPUTED_VALUE"""),40553.0)</f>
        <v>40553</v>
      </c>
      <c r="G719" s="39">
        <f t="shared" si="2"/>
        <v>14</v>
      </c>
      <c r="H719" s="39" t="str">
        <f>IFERROR(__xludf.DUMMYFUNCTION("""COMPUTED_VALUE"""),"Maureen Fritzler")</f>
        <v>Maureen Fritzler</v>
      </c>
      <c r="I719" s="40">
        <f t="shared" si="3"/>
        <v>8</v>
      </c>
    </row>
    <row r="720">
      <c r="A720" s="11">
        <v>719.0</v>
      </c>
      <c r="B720" s="12">
        <f t="shared" si="116"/>
        <v>39930</v>
      </c>
      <c r="C720" s="11" t="s">
        <v>1212</v>
      </c>
      <c r="D720" s="11" t="s">
        <v>66</v>
      </c>
      <c r="F720" s="38">
        <f>IFERROR(__xludf.DUMMYFUNCTION("""COMPUTED_VALUE"""),40554.0)</f>
        <v>40554</v>
      </c>
      <c r="G720" s="39">
        <f t="shared" si="2"/>
        <v>10</v>
      </c>
      <c r="H720" s="39" t="str">
        <f>IFERROR(__xludf.DUMMYFUNCTION("""COMPUTED_VALUE"""),"Harry Marie")</f>
        <v>Harry Marie</v>
      </c>
      <c r="I720" s="40">
        <f t="shared" si="3"/>
        <v>9</v>
      </c>
    </row>
    <row r="721">
      <c r="A721" s="11">
        <v>720.0</v>
      </c>
      <c r="B721" s="12">
        <f t="shared" ref="B721:B726" si="117">DATE(2012,12,31)-1343</f>
        <v>39931</v>
      </c>
      <c r="C721" s="11" t="s">
        <v>1214</v>
      </c>
      <c r="D721" s="11" t="s">
        <v>28</v>
      </c>
      <c r="F721" s="38">
        <f>IFERROR(__xludf.DUMMYFUNCTION("""COMPUTED_VALUE"""),40556.0)</f>
        <v>40556</v>
      </c>
      <c r="G721" s="39">
        <f t="shared" si="2"/>
        <v>3</v>
      </c>
      <c r="H721" s="39" t="str">
        <f>IFERROR(__xludf.DUMMYFUNCTION("""COMPUTED_VALUE"""),"Keith Herrera")</f>
        <v>Keith Herrera</v>
      </c>
      <c r="I721" s="40">
        <f t="shared" si="3"/>
        <v>6</v>
      </c>
    </row>
    <row r="722">
      <c r="A722" s="11">
        <v>721.0</v>
      </c>
      <c r="B722" s="12">
        <f t="shared" si="117"/>
        <v>39931</v>
      </c>
      <c r="C722" s="11" t="s">
        <v>1214</v>
      </c>
      <c r="D722" s="11" t="s">
        <v>28</v>
      </c>
      <c r="F722" s="38">
        <f>IFERROR(__xludf.DUMMYFUNCTION("""COMPUTED_VALUE"""),40557.0)</f>
        <v>40557</v>
      </c>
      <c r="G722" s="39">
        <f t="shared" si="2"/>
        <v>1</v>
      </c>
      <c r="H722" s="39" t="str">
        <f>IFERROR(__xludf.DUMMYFUNCTION("""COMPUTED_VALUE"""),"Jamie Kunitz")</f>
        <v>Jamie Kunitz</v>
      </c>
      <c r="I722" s="40">
        <f t="shared" si="3"/>
        <v>8</v>
      </c>
    </row>
    <row r="723">
      <c r="A723" s="11">
        <v>722.0</v>
      </c>
      <c r="B723" s="12">
        <f t="shared" si="117"/>
        <v>39931</v>
      </c>
      <c r="C723" s="11" t="s">
        <v>576</v>
      </c>
      <c r="D723" s="11" t="s">
        <v>28</v>
      </c>
      <c r="F723" s="38">
        <f>IFERROR(__xludf.DUMMYFUNCTION("""COMPUTED_VALUE"""),40558.0)</f>
        <v>40558</v>
      </c>
      <c r="G723" s="39">
        <f t="shared" si="2"/>
        <v>4</v>
      </c>
      <c r="H723" s="39" t="str">
        <f>IFERROR(__xludf.DUMMYFUNCTION("""COMPUTED_VALUE"""),"Annie Cyprus")</f>
        <v>Annie Cyprus</v>
      </c>
      <c r="I723" s="40">
        <f t="shared" si="3"/>
        <v>8</v>
      </c>
    </row>
    <row r="724">
      <c r="A724" s="11">
        <v>723.0</v>
      </c>
      <c r="B724" s="12">
        <f t="shared" si="117"/>
        <v>39931</v>
      </c>
      <c r="C724" s="11" t="s">
        <v>423</v>
      </c>
      <c r="D724" s="11" t="s">
        <v>28</v>
      </c>
      <c r="F724" s="38">
        <f>IFERROR(__xludf.DUMMYFUNCTION("""COMPUTED_VALUE"""),40559.0)</f>
        <v>40559</v>
      </c>
      <c r="G724" s="39">
        <f t="shared" si="2"/>
        <v>2</v>
      </c>
      <c r="H724" s="39" t="str">
        <f>IFERROR(__xludf.DUMMYFUNCTION("""COMPUTED_VALUE"""),"Frank Atkinson")</f>
        <v>Frank Atkinson</v>
      </c>
      <c r="I724" s="40">
        <f t="shared" si="3"/>
        <v>9</v>
      </c>
    </row>
    <row r="725">
      <c r="A725" s="11">
        <v>724.0</v>
      </c>
      <c r="B725" s="12">
        <f t="shared" si="117"/>
        <v>39931</v>
      </c>
      <c r="C725" s="11" t="s">
        <v>1217</v>
      </c>
      <c r="D725" s="11" t="s">
        <v>28</v>
      </c>
      <c r="F725" s="38">
        <f>IFERROR(__xludf.DUMMYFUNCTION("""COMPUTED_VALUE"""),40560.0)</f>
        <v>40560</v>
      </c>
      <c r="G725" s="39">
        <f t="shared" si="2"/>
        <v>4</v>
      </c>
      <c r="H725" s="39" t="str">
        <f>IFERROR(__xludf.DUMMYFUNCTION("""COMPUTED_VALUE"""),"Sonia Cooley")</f>
        <v>Sonia Cooley</v>
      </c>
      <c r="I725" s="40">
        <f t="shared" si="3"/>
        <v>5</v>
      </c>
    </row>
    <row r="726">
      <c r="A726" s="11">
        <v>725.0</v>
      </c>
      <c r="B726" s="12">
        <f t="shared" si="117"/>
        <v>39931</v>
      </c>
      <c r="C726" s="11" t="s">
        <v>1217</v>
      </c>
      <c r="D726" s="11" t="s">
        <v>49</v>
      </c>
      <c r="F726" s="38">
        <f>IFERROR(__xludf.DUMMYFUNCTION("""COMPUTED_VALUE"""),40561.0)</f>
        <v>40561</v>
      </c>
      <c r="G726" s="39">
        <f t="shared" si="2"/>
        <v>3</v>
      </c>
      <c r="H726" s="39" t="str">
        <f>IFERROR(__xludf.DUMMYFUNCTION("""COMPUTED_VALUE"""),"Adrian Hane")</f>
        <v>Adrian Hane</v>
      </c>
      <c r="I726" s="40">
        <f t="shared" si="3"/>
        <v>4</v>
      </c>
    </row>
    <row r="727">
      <c r="A727" s="11">
        <v>726.0</v>
      </c>
      <c r="B727" s="12">
        <f t="shared" ref="B727:B730" si="118">DATE(2012,12,31)-1342</f>
        <v>39932</v>
      </c>
      <c r="C727" s="11" t="s">
        <v>1218</v>
      </c>
      <c r="D727" s="11" t="s">
        <v>66</v>
      </c>
      <c r="F727" s="38">
        <f>IFERROR(__xludf.DUMMYFUNCTION("""COMPUTED_VALUE"""),40562.0)</f>
        <v>40562</v>
      </c>
      <c r="G727" s="39">
        <f t="shared" si="2"/>
        <v>6</v>
      </c>
      <c r="H727" s="39" t="str">
        <f>IFERROR(__xludf.DUMMYFUNCTION("""COMPUTED_VALUE"""),"Charles McCrossin")</f>
        <v>Charles McCrossin</v>
      </c>
      <c r="I727" s="40">
        <f t="shared" si="3"/>
        <v>7</v>
      </c>
    </row>
    <row r="728">
      <c r="A728" s="11">
        <v>727.0</v>
      </c>
      <c r="B728" s="12">
        <f t="shared" si="118"/>
        <v>39932</v>
      </c>
      <c r="C728" s="11" t="s">
        <v>164</v>
      </c>
      <c r="D728" s="11" t="s">
        <v>28</v>
      </c>
      <c r="F728" s="38">
        <f>IFERROR(__xludf.DUMMYFUNCTION("""COMPUTED_VALUE"""),40563.0)</f>
        <v>40563</v>
      </c>
      <c r="G728" s="39">
        <f t="shared" si="2"/>
        <v>3</v>
      </c>
      <c r="H728" s="39" t="str">
        <f>IFERROR(__xludf.DUMMYFUNCTION("""COMPUTED_VALUE"""),"Sanjit Chand")</f>
        <v>Sanjit Chand</v>
      </c>
      <c r="I728" s="40">
        <f t="shared" si="3"/>
        <v>12</v>
      </c>
    </row>
    <row r="729">
      <c r="A729" s="11">
        <v>728.0</v>
      </c>
      <c r="B729" s="12">
        <f t="shared" si="118"/>
        <v>39932</v>
      </c>
      <c r="C729" s="11" t="s">
        <v>1221</v>
      </c>
      <c r="D729" s="11" t="s">
        <v>49</v>
      </c>
      <c r="F729" s="38">
        <f>IFERROR(__xludf.DUMMYFUNCTION("""COMPUTED_VALUE"""),40564.0)</f>
        <v>40564</v>
      </c>
      <c r="G729" s="39">
        <f t="shared" si="2"/>
        <v>4</v>
      </c>
      <c r="H729" s="39" t="str">
        <f>IFERROR(__xludf.DUMMYFUNCTION("""COMPUTED_VALUE"""),"Joy Daniels")</f>
        <v>Joy Daniels</v>
      </c>
      <c r="I729" s="40">
        <f t="shared" si="3"/>
        <v>5</v>
      </c>
    </row>
    <row r="730">
      <c r="A730" s="11">
        <v>729.0</v>
      </c>
      <c r="B730" s="12">
        <f t="shared" si="118"/>
        <v>39932</v>
      </c>
      <c r="C730" s="11" t="s">
        <v>1222</v>
      </c>
      <c r="D730" s="11" t="s">
        <v>66</v>
      </c>
      <c r="F730" s="38">
        <f>IFERROR(__xludf.DUMMYFUNCTION("""COMPUTED_VALUE"""),40565.0)</f>
        <v>40565</v>
      </c>
      <c r="G730" s="39">
        <f t="shared" si="2"/>
        <v>7</v>
      </c>
      <c r="H730" s="39" t="str">
        <f>IFERROR(__xludf.DUMMYFUNCTION("""COMPUTED_VALUE"""),"Jill Fjeld")</f>
        <v>Jill Fjeld</v>
      </c>
      <c r="I730" s="40">
        <f t="shared" si="3"/>
        <v>6</v>
      </c>
    </row>
    <row r="731">
      <c r="A731" s="11">
        <v>730.0</v>
      </c>
      <c r="B731" s="12">
        <f t="shared" ref="B731:B733" si="119">DATE(2012,12,31)-1341</f>
        <v>39933</v>
      </c>
      <c r="C731" s="11" t="s">
        <v>1224</v>
      </c>
      <c r="D731" s="11" t="s">
        <v>28</v>
      </c>
      <c r="F731" s="38">
        <f>IFERROR(__xludf.DUMMYFUNCTION("""COMPUTED_VALUE"""),40566.0)</f>
        <v>40566</v>
      </c>
      <c r="G731" s="39">
        <f t="shared" si="2"/>
        <v>1</v>
      </c>
      <c r="H731" s="39" t="str">
        <f>IFERROR(__xludf.DUMMYFUNCTION("""COMPUTED_VALUE"""),"Kean Thornton")</f>
        <v>Kean Thornton</v>
      </c>
      <c r="I731" s="40">
        <f t="shared" si="3"/>
        <v>9</v>
      </c>
    </row>
    <row r="732">
      <c r="A732" s="11">
        <v>731.0</v>
      </c>
      <c r="B732" s="12">
        <f t="shared" si="119"/>
        <v>39933</v>
      </c>
      <c r="C732" s="11" t="s">
        <v>657</v>
      </c>
      <c r="D732" s="11" t="s">
        <v>66</v>
      </c>
      <c r="F732" s="38">
        <f>IFERROR(__xludf.DUMMYFUNCTION("""COMPUTED_VALUE"""),40567.0)</f>
        <v>40567</v>
      </c>
      <c r="G732" s="39">
        <f t="shared" si="2"/>
        <v>6</v>
      </c>
      <c r="H732" s="39" t="str">
        <f>IFERROR(__xludf.DUMMYFUNCTION("""COMPUTED_VALUE"""),"Stewart Visinsky")</f>
        <v>Stewart Visinsky</v>
      </c>
      <c r="I732" s="40">
        <f t="shared" si="3"/>
        <v>7</v>
      </c>
    </row>
    <row r="733">
      <c r="A733" s="11">
        <v>732.0</v>
      </c>
      <c r="B733" s="12">
        <f t="shared" si="119"/>
        <v>39933</v>
      </c>
      <c r="C733" s="11" t="s">
        <v>657</v>
      </c>
      <c r="D733" s="11" t="s">
        <v>66</v>
      </c>
      <c r="F733" s="38">
        <f>IFERROR(__xludf.DUMMYFUNCTION("""COMPUTED_VALUE"""),40568.0)</f>
        <v>40568</v>
      </c>
      <c r="G733" s="39">
        <f t="shared" si="2"/>
        <v>3</v>
      </c>
      <c r="H733" s="39" t="str">
        <f>IFERROR(__xludf.DUMMYFUNCTION("""COMPUTED_VALUE"""),"Tiffany House")</f>
        <v>Tiffany House</v>
      </c>
      <c r="I733" s="40">
        <f t="shared" si="3"/>
        <v>2</v>
      </c>
    </row>
    <row r="734">
      <c r="A734" s="11">
        <v>733.0</v>
      </c>
      <c r="B734" s="12">
        <f t="shared" ref="B734:B740" si="120">DATE(2012,12,31)-1340</f>
        <v>39934</v>
      </c>
      <c r="C734" s="11" t="s">
        <v>1228</v>
      </c>
      <c r="D734" s="11" t="s">
        <v>49</v>
      </c>
      <c r="F734" s="38">
        <f>IFERROR(__xludf.DUMMYFUNCTION("""COMPUTED_VALUE"""),40569.0)</f>
        <v>40569</v>
      </c>
      <c r="G734" s="39">
        <f t="shared" si="2"/>
        <v>5</v>
      </c>
      <c r="H734" s="39" t="str">
        <f>IFERROR(__xludf.DUMMYFUNCTION("""COMPUTED_VALUE"""),"Gary Hansen")</f>
        <v>Gary Hansen</v>
      </c>
      <c r="I734" s="40">
        <f t="shared" si="3"/>
        <v>4</v>
      </c>
    </row>
    <row r="735">
      <c r="A735" s="11">
        <v>734.0</v>
      </c>
      <c r="B735" s="12">
        <f t="shared" si="120"/>
        <v>39934</v>
      </c>
      <c r="C735" s="11" t="s">
        <v>1099</v>
      </c>
      <c r="D735" s="11" t="s">
        <v>49</v>
      </c>
      <c r="F735" s="38">
        <f>IFERROR(__xludf.DUMMYFUNCTION("""COMPUTED_VALUE"""),40570.0)</f>
        <v>40570</v>
      </c>
      <c r="G735" s="39">
        <f t="shared" si="2"/>
        <v>8</v>
      </c>
      <c r="H735" s="39" t="str">
        <f>IFERROR(__xludf.DUMMYFUNCTION("""COMPUTED_VALUE"""),"Nicole Fjeld")</f>
        <v>Nicole Fjeld</v>
      </c>
      <c r="I735" s="40">
        <f t="shared" si="3"/>
        <v>2</v>
      </c>
    </row>
    <row r="736">
      <c r="A736" s="11">
        <v>735.0</v>
      </c>
      <c r="B736" s="12">
        <f t="shared" si="120"/>
        <v>39934</v>
      </c>
      <c r="C736" s="11" t="s">
        <v>360</v>
      </c>
      <c r="D736" s="11" t="s">
        <v>28</v>
      </c>
      <c r="F736" s="38">
        <f>IFERROR(__xludf.DUMMYFUNCTION("""COMPUTED_VALUE"""),40571.0)</f>
        <v>40571</v>
      </c>
      <c r="G736" s="39">
        <f t="shared" si="2"/>
        <v>4</v>
      </c>
      <c r="H736" s="39" t="str">
        <f>IFERROR(__xludf.DUMMYFUNCTION("""COMPUTED_VALUE"""),"Cyra Reiten")</f>
        <v>Cyra Reiten</v>
      </c>
      <c r="I736" s="40">
        <f t="shared" si="3"/>
        <v>6</v>
      </c>
    </row>
    <row r="737">
      <c r="A737" s="11">
        <v>736.0</v>
      </c>
      <c r="B737" s="12">
        <f t="shared" si="120"/>
        <v>39934</v>
      </c>
      <c r="C737" s="11" t="s">
        <v>360</v>
      </c>
      <c r="D737" s="11" t="s">
        <v>28</v>
      </c>
      <c r="F737" s="38">
        <f>IFERROR(__xludf.DUMMYFUNCTION("""COMPUTED_VALUE"""),40572.0)</f>
        <v>40572</v>
      </c>
      <c r="G737" s="39">
        <f t="shared" si="2"/>
        <v>6</v>
      </c>
      <c r="H737" s="39" t="str">
        <f>IFERROR(__xludf.DUMMYFUNCTION("""COMPUTED_VALUE"""),"Bart Watters")</f>
        <v>Bart Watters</v>
      </c>
      <c r="I737" s="40">
        <f t="shared" si="3"/>
        <v>5</v>
      </c>
    </row>
    <row r="738">
      <c r="A738" s="11">
        <v>737.0</v>
      </c>
      <c r="B738" s="12">
        <f t="shared" si="120"/>
        <v>39934</v>
      </c>
      <c r="C738" s="11" t="s">
        <v>1231</v>
      </c>
      <c r="D738" s="11" t="s">
        <v>28</v>
      </c>
      <c r="F738" s="38">
        <f>IFERROR(__xludf.DUMMYFUNCTION("""COMPUTED_VALUE"""),40573.0)</f>
        <v>40573</v>
      </c>
      <c r="G738" s="39">
        <f t="shared" si="2"/>
        <v>1</v>
      </c>
      <c r="H738" s="39" t="str">
        <f>IFERROR(__xludf.DUMMYFUNCTION("""COMPUTED_VALUE"""),"Corey Catlett")</f>
        <v>Corey Catlett</v>
      </c>
      <c r="I738" s="40">
        <f t="shared" si="3"/>
        <v>11</v>
      </c>
    </row>
    <row r="739">
      <c r="A739" s="11">
        <v>738.0</v>
      </c>
      <c r="B739" s="12">
        <f t="shared" si="120"/>
        <v>39934</v>
      </c>
      <c r="C739" s="11" t="s">
        <v>1231</v>
      </c>
      <c r="D739" s="11" t="s">
        <v>28</v>
      </c>
      <c r="F739" s="38">
        <f>IFERROR(__xludf.DUMMYFUNCTION("""COMPUTED_VALUE"""),40574.0)</f>
        <v>40574</v>
      </c>
      <c r="G739" s="39">
        <f t="shared" si="2"/>
        <v>6</v>
      </c>
      <c r="H739" s="39" t="str">
        <f>IFERROR(__xludf.DUMMYFUNCTION("""COMPUTED_VALUE"""),"Steven Cartwright")</f>
        <v>Steven Cartwright</v>
      </c>
      <c r="I739" s="40">
        <f t="shared" si="3"/>
        <v>5</v>
      </c>
    </row>
    <row r="740">
      <c r="A740" s="11">
        <v>739.0</v>
      </c>
      <c r="B740" s="12">
        <f t="shared" si="120"/>
        <v>39934</v>
      </c>
      <c r="C740" s="11" t="s">
        <v>910</v>
      </c>
      <c r="D740" s="11" t="s">
        <v>28</v>
      </c>
      <c r="F740" s="38">
        <f>IFERROR(__xludf.DUMMYFUNCTION("""COMPUTED_VALUE"""),40575.0)</f>
        <v>40575</v>
      </c>
      <c r="G740" s="39">
        <f t="shared" si="2"/>
        <v>5</v>
      </c>
      <c r="H740" s="39" t="str">
        <f>IFERROR(__xludf.DUMMYFUNCTION("""COMPUTED_VALUE"""),"Logan Currie")</f>
        <v>Logan Currie</v>
      </c>
      <c r="I740" s="40">
        <f t="shared" si="3"/>
        <v>4</v>
      </c>
    </row>
    <row r="741">
      <c r="A741" s="11">
        <v>740.0</v>
      </c>
      <c r="B741" s="12">
        <f t="shared" ref="B741:B745" si="121">DATE(2012,12,31)-1339</f>
        <v>39935</v>
      </c>
      <c r="C741" s="11" t="s">
        <v>1235</v>
      </c>
      <c r="D741" s="11" t="s">
        <v>28</v>
      </c>
      <c r="F741" s="38">
        <f>IFERROR(__xludf.DUMMYFUNCTION("""COMPUTED_VALUE"""),40576.0)</f>
        <v>40576</v>
      </c>
      <c r="G741" s="39">
        <f t="shared" si="2"/>
        <v>8</v>
      </c>
      <c r="H741" s="39" t="str">
        <f>IFERROR(__xludf.DUMMYFUNCTION("""COMPUTED_VALUE"""),"Giulietta Baptist")</f>
        <v>Giulietta Baptist</v>
      </c>
      <c r="I741" s="40">
        <f t="shared" si="3"/>
        <v>7</v>
      </c>
    </row>
    <row r="742">
      <c r="A742" s="11">
        <v>741.0</v>
      </c>
      <c r="B742" s="12">
        <f t="shared" si="121"/>
        <v>39935</v>
      </c>
      <c r="C742" s="11" t="s">
        <v>1235</v>
      </c>
      <c r="D742" s="11" t="s">
        <v>66</v>
      </c>
      <c r="F742" s="38">
        <f>IFERROR(__xludf.DUMMYFUNCTION("""COMPUTED_VALUE"""),40577.0)</f>
        <v>40577</v>
      </c>
      <c r="G742" s="39">
        <f t="shared" si="2"/>
        <v>6</v>
      </c>
      <c r="H742" s="39" t="str">
        <f>IFERROR(__xludf.DUMMYFUNCTION("""COMPUTED_VALUE"""),"Paul Gonzalez")</f>
        <v>Paul Gonzalez</v>
      </c>
      <c r="I742" s="40">
        <f t="shared" si="3"/>
        <v>2</v>
      </c>
    </row>
    <row r="743">
      <c r="A743" s="11">
        <v>742.0</v>
      </c>
      <c r="B743" s="12">
        <f t="shared" si="121"/>
        <v>39935</v>
      </c>
      <c r="C743" s="11" t="s">
        <v>1014</v>
      </c>
      <c r="D743" s="11" t="s">
        <v>66</v>
      </c>
      <c r="F743" s="38">
        <f>IFERROR(__xludf.DUMMYFUNCTION("""COMPUTED_VALUE"""),40578.0)</f>
        <v>40578</v>
      </c>
      <c r="G743" s="39">
        <f t="shared" si="2"/>
        <v>4</v>
      </c>
      <c r="H743" s="39" t="str">
        <f>IFERROR(__xludf.DUMMYFUNCTION("""COMPUTED_VALUE"""),"Neoma Murray")</f>
        <v>Neoma Murray</v>
      </c>
      <c r="I743" s="40">
        <f t="shared" si="3"/>
        <v>8</v>
      </c>
    </row>
    <row r="744">
      <c r="A744" s="11">
        <v>743.0</v>
      </c>
      <c r="B744" s="12">
        <f t="shared" si="121"/>
        <v>39935</v>
      </c>
      <c r="C744" s="11" t="s">
        <v>1014</v>
      </c>
      <c r="D744" s="11" t="s">
        <v>28</v>
      </c>
      <c r="F744" s="38">
        <f>IFERROR(__xludf.DUMMYFUNCTION("""COMPUTED_VALUE"""),40579.0)</f>
        <v>40579</v>
      </c>
      <c r="G744" s="39">
        <f t="shared" si="2"/>
        <v>10</v>
      </c>
      <c r="H744" s="39" t="str">
        <f>IFERROR(__xludf.DUMMYFUNCTION("""COMPUTED_VALUE"""),"Allen Golden")</f>
        <v>Allen Golden</v>
      </c>
      <c r="I744" s="40">
        <f t="shared" si="3"/>
        <v>7</v>
      </c>
    </row>
    <row r="745">
      <c r="A745" s="11">
        <v>744.0</v>
      </c>
      <c r="B745" s="12">
        <f t="shared" si="121"/>
        <v>39935</v>
      </c>
      <c r="C745" s="11" t="s">
        <v>1236</v>
      </c>
      <c r="D745" s="11" t="s">
        <v>28</v>
      </c>
      <c r="F745" s="38">
        <f>IFERROR(__xludf.DUMMYFUNCTION("""COMPUTED_VALUE"""),40580.0)</f>
        <v>40580</v>
      </c>
      <c r="G745" s="39">
        <f t="shared" si="2"/>
        <v>15</v>
      </c>
      <c r="H745" s="39" t="str">
        <f>IFERROR(__xludf.DUMMYFUNCTION("""COMPUTED_VALUE"""),"Greg Hansen")</f>
        <v>Greg Hansen</v>
      </c>
      <c r="I745" s="40">
        <f t="shared" si="3"/>
        <v>9</v>
      </c>
    </row>
    <row r="746">
      <c r="A746" s="11">
        <v>745.0</v>
      </c>
      <c r="B746" s="12">
        <f t="shared" ref="B746:B749" si="122">DATE(2012,12,31)-1338</f>
        <v>39936</v>
      </c>
      <c r="C746" s="11" t="s">
        <v>1238</v>
      </c>
      <c r="D746" s="11" t="s">
        <v>49</v>
      </c>
      <c r="F746" s="38">
        <f>IFERROR(__xludf.DUMMYFUNCTION("""COMPUTED_VALUE"""),40581.0)</f>
        <v>40581</v>
      </c>
      <c r="G746" s="39">
        <f t="shared" si="2"/>
        <v>8</v>
      </c>
      <c r="H746" s="39" t="str">
        <f>IFERROR(__xludf.DUMMYFUNCTION("""COMPUTED_VALUE"""),"Shirley Schmidt")</f>
        <v>Shirley Schmidt</v>
      </c>
      <c r="I746" s="40">
        <f t="shared" si="3"/>
        <v>5</v>
      </c>
    </row>
    <row r="747">
      <c r="A747" s="11">
        <v>746.0</v>
      </c>
      <c r="B747" s="12">
        <f t="shared" si="122"/>
        <v>39936</v>
      </c>
      <c r="C747" s="11" t="s">
        <v>593</v>
      </c>
      <c r="D747" s="11" t="s">
        <v>28</v>
      </c>
      <c r="F747" s="38">
        <f>IFERROR(__xludf.DUMMYFUNCTION("""COMPUTED_VALUE"""),40582.0)</f>
        <v>40582</v>
      </c>
      <c r="G747" s="39">
        <f t="shared" si="2"/>
        <v>3</v>
      </c>
      <c r="H747" s="39" t="str">
        <f>IFERROR(__xludf.DUMMYFUNCTION("""COMPUTED_VALUE"""),"Toby Carlisle")</f>
        <v>Toby Carlisle</v>
      </c>
      <c r="I747" s="40">
        <f t="shared" si="3"/>
        <v>8</v>
      </c>
    </row>
    <row r="748">
      <c r="A748" s="11">
        <v>747.0</v>
      </c>
      <c r="B748" s="12">
        <f t="shared" si="122"/>
        <v>39936</v>
      </c>
      <c r="C748" s="11" t="s">
        <v>1240</v>
      </c>
      <c r="D748" s="11" t="s">
        <v>28</v>
      </c>
      <c r="F748" s="38">
        <f>IFERROR(__xludf.DUMMYFUNCTION("""COMPUTED_VALUE"""),40583.0)</f>
        <v>40583</v>
      </c>
      <c r="G748" s="39">
        <f t="shared" si="2"/>
        <v>2</v>
      </c>
      <c r="H748" s="39" t="str">
        <f>IFERROR(__xludf.DUMMYFUNCTION("""COMPUTED_VALUE"""),"Lena Hernandez")</f>
        <v>Lena Hernandez</v>
      </c>
      <c r="I748" s="40">
        <f t="shared" si="3"/>
        <v>5</v>
      </c>
    </row>
    <row r="749">
      <c r="A749" s="11">
        <v>748.0</v>
      </c>
      <c r="B749" s="12">
        <f t="shared" si="122"/>
        <v>39936</v>
      </c>
      <c r="C749" s="11" t="s">
        <v>1240</v>
      </c>
      <c r="D749" s="11" t="s">
        <v>49</v>
      </c>
      <c r="F749" s="38">
        <f>IFERROR(__xludf.DUMMYFUNCTION("""COMPUTED_VALUE"""),40584.0)</f>
        <v>40584</v>
      </c>
      <c r="G749" s="39">
        <f t="shared" si="2"/>
        <v>8</v>
      </c>
      <c r="H749" s="39" t="str">
        <f>IFERROR(__xludf.DUMMYFUNCTION("""COMPUTED_VALUE"""),"Phillip Breyer")</f>
        <v>Phillip Breyer</v>
      </c>
      <c r="I749" s="40">
        <f t="shared" si="3"/>
        <v>4</v>
      </c>
    </row>
    <row r="750">
      <c r="A750" s="11">
        <v>749.0</v>
      </c>
      <c r="B750" s="12">
        <f t="shared" ref="B750:B756" si="123">DATE(2012,12,31)-1337</f>
        <v>39937</v>
      </c>
      <c r="C750" s="11" t="s">
        <v>1245</v>
      </c>
      <c r="D750" s="11" t="s">
        <v>49</v>
      </c>
      <c r="F750" s="38">
        <f>IFERROR(__xludf.DUMMYFUNCTION("""COMPUTED_VALUE"""),40585.0)</f>
        <v>40585</v>
      </c>
      <c r="G750" s="39">
        <f t="shared" si="2"/>
        <v>5</v>
      </c>
      <c r="H750" s="39" t="str">
        <f>IFERROR(__xludf.DUMMYFUNCTION("""COMPUTED_VALUE"""),"Pete Armstrong")</f>
        <v>Pete Armstrong</v>
      </c>
      <c r="I750" s="40">
        <f t="shared" si="3"/>
        <v>10</v>
      </c>
    </row>
    <row r="751">
      <c r="A751" s="11">
        <v>750.0</v>
      </c>
      <c r="B751" s="12">
        <f t="shared" si="123"/>
        <v>39937</v>
      </c>
      <c r="C751" s="11" t="s">
        <v>1245</v>
      </c>
      <c r="D751" s="11" t="s">
        <v>49</v>
      </c>
      <c r="F751" s="38">
        <f>IFERROR(__xludf.DUMMYFUNCTION("""COMPUTED_VALUE"""),40586.0)</f>
        <v>40586</v>
      </c>
      <c r="G751" s="39">
        <f t="shared" si="2"/>
        <v>4</v>
      </c>
      <c r="H751" s="39" t="str">
        <f>IFERROR(__xludf.DUMMYFUNCTION("""COMPUTED_VALUE"""),"Tracy Poddar")</f>
        <v>Tracy Poddar</v>
      </c>
      <c r="I751" s="40">
        <f t="shared" si="3"/>
        <v>12</v>
      </c>
    </row>
    <row r="752">
      <c r="A752" s="11">
        <v>751.0</v>
      </c>
      <c r="B752" s="12">
        <f t="shared" si="123"/>
        <v>39937</v>
      </c>
      <c r="C752" s="11" t="s">
        <v>1249</v>
      </c>
      <c r="D752" s="11" t="s">
        <v>28</v>
      </c>
      <c r="F752" s="38">
        <f>IFERROR(__xludf.DUMMYFUNCTION("""COMPUTED_VALUE"""),40587.0)</f>
        <v>40587</v>
      </c>
      <c r="G752" s="39">
        <f t="shared" si="2"/>
        <v>11</v>
      </c>
      <c r="H752" s="39" t="str">
        <f>IFERROR(__xludf.DUMMYFUNCTION("""COMPUTED_VALUE"""),"Fred Hopkins")</f>
        <v>Fred Hopkins</v>
      </c>
      <c r="I752" s="40">
        <f t="shared" si="3"/>
        <v>3</v>
      </c>
    </row>
    <row r="753">
      <c r="A753" s="11">
        <v>752.0</v>
      </c>
      <c r="B753" s="12">
        <f t="shared" si="123"/>
        <v>39937</v>
      </c>
      <c r="C753" s="11" t="s">
        <v>771</v>
      </c>
      <c r="D753" s="11" t="s">
        <v>28</v>
      </c>
      <c r="F753" s="38">
        <f>IFERROR(__xludf.DUMMYFUNCTION("""COMPUTED_VALUE"""),40588.0)</f>
        <v>40588</v>
      </c>
      <c r="G753" s="39">
        <f t="shared" si="2"/>
        <v>11</v>
      </c>
      <c r="H753" s="39" t="str">
        <f>IFERROR(__xludf.DUMMYFUNCTION("""COMPUTED_VALUE"""),"Jane Waco")</f>
        <v>Jane Waco</v>
      </c>
      <c r="I753" s="40">
        <f t="shared" si="3"/>
        <v>7</v>
      </c>
    </row>
    <row r="754">
      <c r="A754" s="11">
        <v>753.0</v>
      </c>
      <c r="B754" s="12">
        <f t="shared" si="123"/>
        <v>39937</v>
      </c>
      <c r="C754" s="11" t="s">
        <v>771</v>
      </c>
      <c r="D754" s="11" t="s">
        <v>49</v>
      </c>
      <c r="F754" s="38">
        <f>IFERROR(__xludf.DUMMYFUNCTION("""COMPUTED_VALUE"""),40589.0)</f>
        <v>40589</v>
      </c>
      <c r="G754" s="39">
        <f t="shared" si="2"/>
        <v>6</v>
      </c>
      <c r="H754" s="39" t="str">
        <f>IFERROR(__xludf.DUMMYFUNCTION("""COMPUTED_VALUE"""),"Jill Stevenson")</f>
        <v>Jill Stevenson</v>
      </c>
      <c r="I754" s="40">
        <f t="shared" si="3"/>
        <v>7</v>
      </c>
    </row>
    <row r="755">
      <c r="A755" s="11">
        <v>754.0</v>
      </c>
      <c r="B755" s="12">
        <f t="shared" si="123"/>
        <v>39937</v>
      </c>
      <c r="C755" s="11" t="s">
        <v>771</v>
      </c>
      <c r="D755" s="11" t="s">
        <v>66</v>
      </c>
      <c r="F755" s="38">
        <f>IFERROR(__xludf.DUMMYFUNCTION("""COMPUTED_VALUE"""),40590.0)</f>
        <v>40590</v>
      </c>
      <c r="G755" s="39">
        <f t="shared" si="2"/>
        <v>5</v>
      </c>
      <c r="H755" s="39" t="str">
        <f>IFERROR(__xludf.DUMMYFUNCTION("""COMPUTED_VALUE"""),"Rob Lucas")</f>
        <v>Rob Lucas</v>
      </c>
      <c r="I755" s="40">
        <f t="shared" si="3"/>
        <v>2</v>
      </c>
    </row>
    <row r="756">
      <c r="A756" s="11">
        <v>755.0</v>
      </c>
      <c r="B756" s="12">
        <f t="shared" si="123"/>
        <v>39937</v>
      </c>
      <c r="C756" s="11" t="s">
        <v>1228</v>
      </c>
      <c r="D756" s="11" t="s">
        <v>66</v>
      </c>
      <c r="F756" s="38">
        <f>IFERROR(__xludf.DUMMYFUNCTION("""COMPUTED_VALUE"""),40591.0)</f>
        <v>40591</v>
      </c>
      <c r="G756" s="39">
        <f t="shared" si="2"/>
        <v>3</v>
      </c>
      <c r="H756" s="39" t="str">
        <f>IFERROR(__xludf.DUMMYFUNCTION("""COMPUTED_VALUE"""),"Ivan Liston")</f>
        <v>Ivan Liston</v>
      </c>
      <c r="I756" s="40">
        <f t="shared" si="3"/>
        <v>13</v>
      </c>
    </row>
    <row r="757">
      <c r="A757" s="11">
        <v>756.0</v>
      </c>
      <c r="B757" s="12">
        <f t="shared" ref="B757:B762" si="124">DATE(2012,12,31)-1336</f>
        <v>39938</v>
      </c>
      <c r="C757" s="11" t="s">
        <v>1205</v>
      </c>
      <c r="D757" s="11" t="s">
        <v>28</v>
      </c>
      <c r="F757" s="38">
        <f>IFERROR(__xludf.DUMMYFUNCTION("""COMPUTED_VALUE"""),40592.0)</f>
        <v>40592</v>
      </c>
      <c r="G757" s="39">
        <f t="shared" si="2"/>
        <v>4</v>
      </c>
      <c r="H757" s="39" t="str">
        <f>IFERROR(__xludf.DUMMYFUNCTION("""COMPUTED_VALUE"""),"Harry Greene")</f>
        <v>Harry Greene</v>
      </c>
      <c r="I757" s="40">
        <f t="shared" si="3"/>
        <v>3</v>
      </c>
    </row>
    <row r="758">
      <c r="A758" s="11">
        <v>757.0</v>
      </c>
      <c r="B758" s="12">
        <f t="shared" si="124"/>
        <v>39938</v>
      </c>
      <c r="C758" s="11" t="s">
        <v>1205</v>
      </c>
      <c r="D758" s="11" t="s">
        <v>28</v>
      </c>
      <c r="F758" s="38">
        <f>IFERROR(__xludf.DUMMYFUNCTION("""COMPUTED_VALUE"""),40593.0)</f>
        <v>40593</v>
      </c>
      <c r="G758" s="39">
        <f t="shared" si="2"/>
        <v>4</v>
      </c>
      <c r="H758" s="39" t="str">
        <f>IFERROR(__xludf.DUMMYFUNCTION("""COMPUTED_VALUE"""),"Rick Bensley")</f>
        <v>Rick Bensley</v>
      </c>
      <c r="I758" s="40">
        <f t="shared" si="3"/>
        <v>9</v>
      </c>
    </row>
    <row r="759">
      <c r="A759" s="11">
        <v>758.0</v>
      </c>
      <c r="B759" s="12">
        <f t="shared" si="124"/>
        <v>39938</v>
      </c>
      <c r="C759" s="11" t="s">
        <v>1252</v>
      </c>
      <c r="D759" s="11" t="s">
        <v>28</v>
      </c>
      <c r="F759" s="38">
        <f>IFERROR(__xludf.DUMMYFUNCTION("""COMPUTED_VALUE"""),40594.0)</f>
        <v>40594</v>
      </c>
      <c r="G759" s="39">
        <f t="shared" si="2"/>
        <v>8</v>
      </c>
      <c r="H759" s="39" t="str">
        <f>IFERROR(__xludf.DUMMYFUNCTION("""COMPUTED_VALUE"""),"Kalyca Meade")</f>
        <v>Kalyca Meade</v>
      </c>
      <c r="I759" s="40">
        <f t="shared" si="3"/>
        <v>4</v>
      </c>
    </row>
    <row r="760">
      <c r="A760" s="11">
        <v>759.0</v>
      </c>
      <c r="B760" s="12">
        <f t="shared" si="124"/>
        <v>39938</v>
      </c>
      <c r="C760" s="11" t="s">
        <v>1253</v>
      </c>
      <c r="D760" s="11" t="s">
        <v>28</v>
      </c>
      <c r="F760" s="38">
        <f>IFERROR(__xludf.DUMMYFUNCTION("""COMPUTED_VALUE"""),40595.0)</f>
        <v>40595</v>
      </c>
      <c r="G760" s="39">
        <f t="shared" si="2"/>
        <v>6</v>
      </c>
      <c r="H760" s="39" t="str">
        <f>IFERROR(__xludf.DUMMYFUNCTION("""COMPUTED_VALUE"""),"Frank Gastineau")</f>
        <v>Frank Gastineau</v>
      </c>
      <c r="I760" s="40">
        <f t="shared" si="3"/>
        <v>5</v>
      </c>
    </row>
    <row r="761">
      <c r="A761" s="11">
        <v>760.0</v>
      </c>
      <c r="B761" s="12">
        <f t="shared" si="124"/>
        <v>39938</v>
      </c>
      <c r="C761" s="11" t="s">
        <v>1253</v>
      </c>
      <c r="D761" s="11" t="s">
        <v>66</v>
      </c>
      <c r="F761" s="38">
        <f>IFERROR(__xludf.DUMMYFUNCTION("""COMPUTED_VALUE"""),40596.0)</f>
        <v>40596</v>
      </c>
      <c r="G761" s="39">
        <f t="shared" si="2"/>
        <v>5</v>
      </c>
      <c r="H761" s="39" t="str">
        <f>IFERROR(__xludf.DUMMYFUNCTION("""COMPUTED_VALUE"""),"Greg Tran")</f>
        <v>Greg Tran</v>
      </c>
      <c r="I761" s="40">
        <f t="shared" si="3"/>
        <v>7</v>
      </c>
    </row>
    <row r="762">
      <c r="A762" s="11">
        <v>761.0</v>
      </c>
      <c r="B762" s="12">
        <f t="shared" si="124"/>
        <v>39938</v>
      </c>
      <c r="C762" s="11" t="s">
        <v>1253</v>
      </c>
      <c r="D762" s="11" t="s">
        <v>49</v>
      </c>
      <c r="F762" s="38">
        <f>IFERROR(__xludf.DUMMYFUNCTION("""COMPUTED_VALUE"""),40597.0)</f>
        <v>40597</v>
      </c>
      <c r="G762" s="39">
        <f t="shared" si="2"/>
        <v>1</v>
      </c>
      <c r="H762" s="39" t="str">
        <f>IFERROR(__xludf.DUMMYFUNCTION("""COMPUTED_VALUE"""),"Jason Gross")</f>
        <v>Jason Gross</v>
      </c>
      <c r="I762" s="40">
        <f t="shared" si="3"/>
        <v>3</v>
      </c>
    </row>
    <row r="763">
      <c r="A763" s="11">
        <v>762.0</v>
      </c>
      <c r="B763" s="12">
        <f t="shared" ref="B763:B765" si="125">DATE(2012,12,31)-1335</f>
        <v>39939</v>
      </c>
      <c r="C763" s="11" t="s">
        <v>1256</v>
      </c>
      <c r="D763" s="11" t="s">
        <v>28</v>
      </c>
      <c r="F763" s="38">
        <f>IFERROR(__xludf.DUMMYFUNCTION("""COMPUTED_VALUE"""),40598.0)</f>
        <v>40598</v>
      </c>
      <c r="G763" s="39">
        <f t="shared" si="2"/>
        <v>10</v>
      </c>
      <c r="H763" s="39" t="str">
        <f>IFERROR(__xludf.DUMMYFUNCTION("""COMPUTED_VALUE"""),"Muhammed Lee")</f>
        <v>Muhammed Lee</v>
      </c>
      <c r="I763" s="40">
        <f t="shared" si="3"/>
        <v>12</v>
      </c>
    </row>
    <row r="764">
      <c r="A764" s="11">
        <v>763.0</v>
      </c>
      <c r="B764" s="12">
        <f t="shared" si="125"/>
        <v>39939</v>
      </c>
      <c r="C764" s="11" t="s">
        <v>1256</v>
      </c>
      <c r="D764" s="11" t="s">
        <v>49</v>
      </c>
      <c r="F764" s="38">
        <f>IFERROR(__xludf.DUMMYFUNCTION("""COMPUTED_VALUE"""),40599.0)</f>
        <v>40599</v>
      </c>
      <c r="G764" s="39">
        <f t="shared" si="2"/>
        <v>3</v>
      </c>
      <c r="H764" s="39" t="str">
        <f>IFERROR(__xludf.DUMMYFUNCTION("""COMPUTED_VALUE"""),"Maris LaWare")</f>
        <v>Maris LaWare</v>
      </c>
      <c r="I764" s="40">
        <f t="shared" si="3"/>
        <v>3</v>
      </c>
    </row>
    <row r="765">
      <c r="A765" s="11">
        <v>764.0</v>
      </c>
      <c r="B765" s="12">
        <f t="shared" si="125"/>
        <v>39939</v>
      </c>
      <c r="C765" s="11" t="s">
        <v>145</v>
      </c>
      <c r="D765" s="11" t="s">
        <v>28</v>
      </c>
      <c r="F765" s="38">
        <f>IFERROR(__xludf.DUMMYFUNCTION("""COMPUTED_VALUE"""),40600.0)</f>
        <v>40600</v>
      </c>
      <c r="G765" s="39">
        <f t="shared" si="2"/>
        <v>10</v>
      </c>
      <c r="H765" s="39" t="str">
        <f>IFERROR(__xludf.DUMMYFUNCTION("""COMPUTED_VALUE"""),"Valerie Mitchum")</f>
        <v>Valerie Mitchum</v>
      </c>
      <c r="I765" s="40">
        <f t="shared" si="3"/>
        <v>6</v>
      </c>
    </row>
    <row r="766">
      <c r="A766" s="11">
        <v>765.0</v>
      </c>
      <c r="B766" s="12">
        <f t="shared" ref="B766:B773" si="126">DATE(2012,12,31)-1334</f>
        <v>39940</v>
      </c>
      <c r="C766" s="11" t="s">
        <v>1257</v>
      </c>
      <c r="D766" s="11" t="s">
        <v>66</v>
      </c>
      <c r="F766" s="38">
        <f>IFERROR(__xludf.DUMMYFUNCTION("""COMPUTED_VALUE"""),40601.0)</f>
        <v>40601</v>
      </c>
      <c r="G766" s="39">
        <f t="shared" si="2"/>
        <v>1</v>
      </c>
      <c r="H766" s="39" t="str">
        <f>IFERROR(__xludf.DUMMYFUNCTION("""COMPUTED_VALUE"""),"Anthony Jacobs")</f>
        <v>Anthony Jacobs</v>
      </c>
      <c r="I766" s="40">
        <f t="shared" si="3"/>
        <v>2</v>
      </c>
    </row>
    <row r="767">
      <c r="A767" s="11">
        <v>766.0</v>
      </c>
      <c r="B767" s="12">
        <f t="shared" si="126"/>
        <v>39940</v>
      </c>
      <c r="C767" s="11" t="s">
        <v>1024</v>
      </c>
      <c r="D767" s="11" t="s">
        <v>28</v>
      </c>
      <c r="F767" s="38">
        <f>IFERROR(__xludf.DUMMYFUNCTION("""COMPUTED_VALUE"""),40602.0)</f>
        <v>40602</v>
      </c>
      <c r="G767" s="39">
        <f t="shared" si="2"/>
        <v>4</v>
      </c>
      <c r="H767" s="39" t="str">
        <f>IFERROR(__xludf.DUMMYFUNCTION("""COMPUTED_VALUE"""),"Anne McFarland")</f>
        <v>Anne McFarland</v>
      </c>
      <c r="I767" s="40">
        <f t="shared" si="3"/>
        <v>2</v>
      </c>
    </row>
    <row r="768">
      <c r="A768" s="11">
        <v>767.0</v>
      </c>
      <c r="B768" s="12">
        <f t="shared" si="126"/>
        <v>39940</v>
      </c>
      <c r="C768" s="11" t="s">
        <v>459</v>
      </c>
      <c r="D768" s="11" t="s">
        <v>66</v>
      </c>
      <c r="F768" s="38">
        <f>IFERROR(__xludf.DUMMYFUNCTION("""COMPUTED_VALUE"""),40603.0)</f>
        <v>40603</v>
      </c>
      <c r="G768" s="39">
        <f t="shared" si="2"/>
        <v>6</v>
      </c>
      <c r="H768" s="39" t="str">
        <f>IFERROR(__xludf.DUMMYFUNCTION("""COMPUTED_VALUE"""),"Ken Heidel")</f>
        <v>Ken Heidel</v>
      </c>
      <c r="I768" s="40">
        <f t="shared" si="3"/>
        <v>11</v>
      </c>
    </row>
    <row r="769">
      <c r="A769" s="11">
        <v>768.0</v>
      </c>
      <c r="B769" s="12">
        <f t="shared" si="126"/>
        <v>39940</v>
      </c>
      <c r="C769" s="11" t="s">
        <v>1179</v>
      </c>
      <c r="D769" s="11" t="s">
        <v>28</v>
      </c>
      <c r="F769" s="38">
        <f>IFERROR(__xludf.DUMMYFUNCTION("""COMPUTED_VALUE"""),40604.0)</f>
        <v>40604</v>
      </c>
      <c r="G769" s="39">
        <f t="shared" si="2"/>
        <v>5</v>
      </c>
      <c r="H769" s="39" t="str">
        <f>IFERROR(__xludf.DUMMYFUNCTION("""COMPUTED_VALUE"""),"Aimee Bixby")</f>
        <v>Aimee Bixby</v>
      </c>
      <c r="I769" s="40">
        <f t="shared" si="3"/>
        <v>4</v>
      </c>
    </row>
    <row r="770">
      <c r="A770" s="11">
        <v>769.0</v>
      </c>
      <c r="B770" s="12">
        <f t="shared" si="126"/>
        <v>39940</v>
      </c>
      <c r="C770" s="11" t="s">
        <v>1259</v>
      </c>
      <c r="D770" s="11" t="s">
        <v>28</v>
      </c>
      <c r="F770" s="38">
        <f>IFERROR(__xludf.DUMMYFUNCTION("""COMPUTED_VALUE"""),40605.0)</f>
        <v>40605</v>
      </c>
      <c r="G770" s="39">
        <f t="shared" si="2"/>
        <v>4</v>
      </c>
      <c r="H770" s="39" t="str">
        <f>IFERROR(__xludf.DUMMYFUNCTION("""COMPUTED_VALUE"""),"Cassandra Brandow")</f>
        <v>Cassandra Brandow</v>
      </c>
      <c r="I770" s="40">
        <f t="shared" si="3"/>
        <v>4</v>
      </c>
    </row>
    <row r="771">
      <c r="A771" s="11">
        <v>770.0</v>
      </c>
      <c r="B771" s="12">
        <f t="shared" si="126"/>
        <v>39940</v>
      </c>
      <c r="C771" s="11" t="s">
        <v>253</v>
      </c>
      <c r="D771" s="11" t="s">
        <v>66</v>
      </c>
      <c r="F771" s="38">
        <f>IFERROR(__xludf.DUMMYFUNCTION("""COMPUTED_VALUE"""),40606.0)</f>
        <v>40606</v>
      </c>
      <c r="G771" s="39">
        <f t="shared" si="2"/>
        <v>9</v>
      </c>
      <c r="H771" s="39" t="str">
        <f>IFERROR(__xludf.DUMMYFUNCTION("""COMPUTED_VALUE"""),"Matt Hagelstein")</f>
        <v>Matt Hagelstein</v>
      </c>
      <c r="I771" s="40">
        <f t="shared" si="3"/>
        <v>3</v>
      </c>
    </row>
    <row r="772">
      <c r="A772" s="11">
        <v>771.0</v>
      </c>
      <c r="B772" s="12">
        <f t="shared" si="126"/>
        <v>39940</v>
      </c>
      <c r="C772" s="11" t="s">
        <v>213</v>
      </c>
      <c r="D772" s="11" t="s">
        <v>66</v>
      </c>
      <c r="F772" s="38">
        <f>IFERROR(__xludf.DUMMYFUNCTION("""COMPUTED_VALUE"""),40607.0)</f>
        <v>40607</v>
      </c>
      <c r="G772" s="39">
        <f t="shared" si="2"/>
        <v>7</v>
      </c>
      <c r="H772" s="39" t="str">
        <f>IFERROR(__xludf.DUMMYFUNCTION("""COMPUTED_VALUE"""),"Katrina Edelman")</f>
        <v>Katrina Edelman</v>
      </c>
      <c r="I772" s="40">
        <f t="shared" si="3"/>
        <v>2</v>
      </c>
    </row>
    <row r="773">
      <c r="A773" s="11">
        <v>772.0</v>
      </c>
      <c r="B773" s="12">
        <f t="shared" si="126"/>
        <v>39940</v>
      </c>
      <c r="C773" s="11" t="s">
        <v>1264</v>
      </c>
      <c r="D773" s="11" t="s">
        <v>66</v>
      </c>
      <c r="F773" s="38">
        <f>IFERROR(__xludf.DUMMYFUNCTION("""COMPUTED_VALUE"""),40609.0)</f>
        <v>40609</v>
      </c>
      <c r="G773" s="39">
        <f t="shared" si="2"/>
        <v>6</v>
      </c>
      <c r="H773" s="39" t="str">
        <f>IFERROR(__xludf.DUMMYFUNCTION("""COMPUTED_VALUE"""),"Michelle Lonsdale")</f>
        <v>Michelle Lonsdale</v>
      </c>
      <c r="I773" s="40">
        <f t="shared" si="3"/>
        <v>14</v>
      </c>
    </row>
    <row r="774">
      <c r="A774" s="11">
        <v>773.0</v>
      </c>
      <c r="B774" s="12">
        <f t="shared" ref="B774:B776" si="127">DATE(2012,12,31)-1333</f>
        <v>39941</v>
      </c>
      <c r="C774" s="11" t="s">
        <v>1266</v>
      </c>
      <c r="D774" s="11" t="s">
        <v>28</v>
      </c>
      <c r="F774" s="38">
        <f>IFERROR(__xludf.DUMMYFUNCTION("""COMPUTED_VALUE"""),40610.0)</f>
        <v>40610</v>
      </c>
      <c r="G774" s="39">
        <f t="shared" si="2"/>
        <v>8</v>
      </c>
      <c r="H774" s="39" t="str">
        <f>IFERROR(__xludf.DUMMYFUNCTION("""COMPUTED_VALUE"""),"Jim Karlsson")</f>
        <v>Jim Karlsson</v>
      </c>
      <c r="I774" s="40">
        <f t="shared" si="3"/>
        <v>12</v>
      </c>
    </row>
    <row r="775">
      <c r="A775" s="11">
        <v>774.0</v>
      </c>
      <c r="B775" s="12">
        <f t="shared" si="127"/>
        <v>39941</v>
      </c>
      <c r="C775" s="11" t="s">
        <v>1108</v>
      </c>
      <c r="D775" s="11" t="s">
        <v>49</v>
      </c>
      <c r="F775" s="38">
        <f>IFERROR(__xludf.DUMMYFUNCTION("""COMPUTED_VALUE"""),40611.0)</f>
        <v>40611</v>
      </c>
      <c r="G775" s="39">
        <f t="shared" si="2"/>
        <v>2</v>
      </c>
      <c r="H775" s="39" t="str">
        <f>IFERROR(__xludf.DUMMYFUNCTION("""COMPUTED_VALUE"""),"Brian DeCherney")</f>
        <v>Brian DeCherney</v>
      </c>
      <c r="I775" s="40">
        <f t="shared" si="3"/>
        <v>8</v>
      </c>
    </row>
    <row r="776">
      <c r="A776" s="11">
        <v>775.0</v>
      </c>
      <c r="B776" s="12">
        <f t="shared" si="127"/>
        <v>39941</v>
      </c>
      <c r="C776" s="11" t="s">
        <v>494</v>
      </c>
      <c r="D776" s="11" t="s">
        <v>66</v>
      </c>
      <c r="F776" s="38">
        <f>IFERROR(__xludf.DUMMYFUNCTION("""COMPUTED_VALUE"""),40612.0)</f>
        <v>40612</v>
      </c>
      <c r="G776" s="39">
        <f t="shared" si="2"/>
        <v>11</v>
      </c>
      <c r="H776" s="39" t="str">
        <f>IFERROR(__xludf.DUMMYFUNCTION("""COMPUTED_VALUE"""),"Alan Shonely")</f>
        <v>Alan Shonely</v>
      </c>
      <c r="I776" s="40">
        <f t="shared" si="3"/>
        <v>7</v>
      </c>
    </row>
    <row r="777">
      <c r="A777" s="11">
        <v>776.0</v>
      </c>
      <c r="B777" s="12">
        <f t="shared" ref="B777:B781" si="128">DATE(2012,12,31)-1332</f>
        <v>39942</v>
      </c>
      <c r="C777" s="11" t="s">
        <v>703</v>
      </c>
      <c r="D777" s="11" t="s">
        <v>28</v>
      </c>
      <c r="F777" s="38">
        <f>IFERROR(__xludf.DUMMYFUNCTION("""COMPUTED_VALUE"""),40613.0)</f>
        <v>40613</v>
      </c>
      <c r="G777" s="39">
        <f t="shared" si="2"/>
        <v>3</v>
      </c>
      <c r="H777" s="39" t="str">
        <f>IFERROR(__xludf.DUMMYFUNCTION("""COMPUTED_VALUE"""),"Mike Caudle")</f>
        <v>Mike Caudle</v>
      </c>
      <c r="I777" s="40">
        <f t="shared" si="3"/>
        <v>7</v>
      </c>
    </row>
    <row r="778">
      <c r="A778" s="11">
        <v>777.0</v>
      </c>
      <c r="B778" s="12">
        <f t="shared" si="128"/>
        <v>39942</v>
      </c>
      <c r="C778" s="11" t="s">
        <v>738</v>
      </c>
      <c r="D778" s="11" t="s">
        <v>66</v>
      </c>
      <c r="F778" s="38">
        <f>IFERROR(__xludf.DUMMYFUNCTION("""COMPUTED_VALUE"""),40614.0)</f>
        <v>40614</v>
      </c>
      <c r="G778" s="39">
        <f t="shared" si="2"/>
        <v>7</v>
      </c>
      <c r="H778" s="39" t="str">
        <f>IFERROR(__xludf.DUMMYFUNCTION("""COMPUTED_VALUE"""),"Janet Molinari")</f>
        <v>Janet Molinari</v>
      </c>
      <c r="I778" s="40">
        <f t="shared" si="3"/>
        <v>4</v>
      </c>
    </row>
    <row r="779">
      <c r="A779" s="11">
        <v>778.0</v>
      </c>
      <c r="B779" s="12">
        <f t="shared" si="128"/>
        <v>39942</v>
      </c>
      <c r="C779" s="11" t="s">
        <v>738</v>
      </c>
      <c r="D779" s="11" t="s">
        <v>28</v>
      </c>
      <c r="F779" s="38">
        <f>IFERROR(__xludf.DUMMYFUNCTION("""COMPUTED_VALUE"""),40615.0)</f>
        <v>40615</v>
      </c>
      <c r="G779" s="39">
        <f t="shared" si="2"/>
        <v>5</v>
      </c>
      <c r="H779" s="39" t="str">
        <f>IFERROR(__xludf.DUMMYFUNCTION("""COMPUTED_VALUE"""),"Jay Kimmel")</f>
        <v>Jay Kimmel</v>
      </c>
      <c r="I779" s="40">
        <f t="shared" si="3"/>
        <v>4</v>
      </c>
    </row>
    <row r="780">
      <c r="A780" s="11">
        <v>779.0</v>
      </c>
      <c r="B780" s="12">
        <f t="shared" si="128"/>
        <v>39942</v>
      </c>
      <c r="C780" s="11" t="s">
        <v>738</v>
      </c>
      <c r="D780" s="11" t="s">
        <v>28</v>
      </c>
      <c r="F780" s="38">
        <f>IFERROR(__xludf.DUMMYFUNCTION("""COMPUTED_VALUE"""),40616.0)</f>
        <v>40616</v>
      </c>
      <c r="G780" s="39">
        <f t="shared" si="2"/>
        <v>1</v>
      </c>
      <c r="H780" s="39" t="str">
        <f>IFERROR(__xludf.DUMMYFUNCTION("""COMPUTED_VALUE"""),"Darren Koutras")</f>
        <v>Darren Koutras</v>
      </c>
      <c r="I780" s="40">
        <f t="shared" si="3"/>
        <v>4</v>
      </c>
    </row>
    <row r="781">
      <c r="A781" s="11">
        <v>780.0</v>
      </c>
      <c r="B781" s="12">
        <f t="shared" si="128"/>
        <v>39942</v>
      </c>
      <c r="C781" s="11" t="s">
        <v>738</v>
      </c>
      <c r="D781" s="11" t="s">
        <v>66</v>
      </c>
      <c r="F781" s="38">
        <f>IFERROR(__xludf.DUMMYFUNCTION("""COMPUTED_VALUE"""),40617.0)</f>
        <v>40617</v>
      </c>
      <c r="G781" s="39">
        <f t="shared" si="2"/>
        <v>12</v>
      </c>
      <c r="H781" s="39" t="str">
        <f>IFERROR(__xludf.DUMMYFUNCTION("""COMPUTED_VALUE"""),"Thea Hendricks")</f>
        <v>Thea Hendricks</v>
      </c>
      <c r="I781" s="40">
        <f t="shared" si="3"/>
        <v>8</v>
      </c>
    </row>
    <row r="782">
      <c r="A782" s="11">
        <v>781.0</v>
      </c>
      <c r="B782" s="12">
        <f t="shared" ref="B782:B783" si="129">DATE(2012,12,31)-1331</f>
        <v>39943</v>
      </c>
      <c r="C782" s="11" t="s">
        <v>1209</v>
      </c>
      <c r="D782" s="11" t="s">
        <v>28</v>
      </c>
      <c r="F782" s="38">
        <f>IFERROR(__xludf.DUMMYFUNCTION("""COMPUTED_VALUE"""),40618.0)</f>
        <v>40618</v>
      </c>
      <c r="G782" s="39">
        <f t="shared" si="2"/>
        <v>5</v>
      </c>
      <c r="H782" s="39" t="str">
        <f>IFERROR(__xludf.DUMMYFUNCTION("""COMPUTED_VALUE"""),"Shahid Hopkins")</f>
        <v>Shahid Hopkins</v>
      </c>
      <c r="I782" s="40">
        <f t="shared" si="3"/>
        <v>9</v>
      </c>
    </row>
    <row r="783">
      <c r="A783" s="11">
        <v>782.0</v>
      </c>
      <c r="B783" s="12">
        <f t="shared" si="129"/>
        <v>39943</v>
      </c>
      <c r="C783" s="11" t="s">
        <v>131</v>
      </c>
      <c r="D783" s="11" t="s">
        <v>66</v>
      </c>
      <c r="F783" s="38">
        <f>IFERROR(__xludf.DUMMYFUNCTION("""COMPUTED_VALUE"""),40619.0)</f>
        <v>40619</v>
      </c>
      <c r="G783" s="39">
        <f t="shared" si="2"/>
        <v>7</v>
      </c>
      <c r="H783" s="39" t="str">
        <f>IFERROR(__xludf.DUMMYFUNCTION("""COMPUTED_VALUE"""),"Todd Sumrall")</f>
        <v>Todd Sumrall</v>
      </c>
      <c r="I783" s="40">
        <f t="shared" si="3"/>
        <v>4</v>
      </c>
    </row>
    <row r="784">
      <c r="A784" s="11">
        <v>783.0</v>
      </c>
      <c r="B784" s="12">
        <f t="shared" ref="B784:B792" si="130">DATE(2012,12,31)-1330</f>
        <v>39944</v>
      </c>
      <c r="C784" s="11" t="s">
        <v>441</v>
      </c>
      <c r="D784" s="11" t="s">
        <v>28</v>
      </c>
      <c r="F784" s="38">
        <f>IFERROR(__xludf.DUMMYFUNCTION("""COMPUTED_VALUE"""),40620.0)</f>
        <v>40620</v>
      </c>
      <c r="G784" s="39">
        <f t="shared" si="2"/>
        <v>9</v>
      </c>
      <c r="H784" s="39" t="str">
        <f>IFERROR(__xludf.DUMMYFUNCTION("""COMPUTED_VALUE"""),"Toby Grace")</f>
        <v>Toby Grace</v>
      </c>
      <c r="I784" s="40">
        <f t="shared" si="3"/>
        <v>6</v>
      </c>
    </row>
    <row r="785">
      <c r="A785" s="11">
        <v>784.0</v>
      </c>
      <c r="B785" s="12">
        <f t="shared" si="130"/>
        <v>39944</v>
      </c>
      <c r="C785" s="11" t="s">
        <v>1086</v>
      </c>
      <c r="D785" s="11" t="s">
        <v>28</v>
      </c>
      <c r="F785" s="38">
        <f>IFERROR(__xludf.DUMMYFUNCTION("""COMPUTED_VALUE"""),40621.0)</f>
        <v>40621</v>
      </c>
      <c r="G785" s="39">
        <f t="shared" si="2"/>
        <v>3</v>
      </c>
      <c r="H785" s="39" t="str">
        <f>IFERROR(__xludf.DUMMYFUNCTION("""COMPUTED_VALUE"""),"Philisse Overcash")</f>
        <v>Philisse Overcash</v>
      </c>
      <c r="I785" s="40">
        <f t="shared" si="3"/>
        <v>3</v>
      </c>
    </row>
    <row r="786">
      <c r="A786" s="11">
        <v>785.0</v>
      </c>
      <c r="B786" s="12">
        <f t="shared" si="130"/>
        <v>39944</v>
      </c>
      <c r="C786" s="11" t="s">
        <v>1086</v>
      </c>
      <c r="D786" s="11" t="s">
        <v>28</v>
      </c>
      <c r="F786" s="38">
        <f>IFERROR(__xludf.DUMMYFUNCTION("""COMPUTED_VALUE"""),40622.0)</f>
        <v>40622</v>
      </c>
      <c r="G786" s="39">
        <f t="shared" si="2"/>
        <v>5</v>
      </c>
      <c r="H786" s="39" t="str">
        <f>IFERROR(__xludf.DUMMYFUNCTION("""COMPUTED_VALUE"""),"Ricardo Emerson")</f>
        <v>Ricardo Emerson</v>
      </c>
      <c r="I786" s="40">
        <f t="shared" si="3"/>
        <v>7</v>
      </c>
    </row>
    <row r="787">
      <c r="A787" s="11">
        <v>786.0</v>
      </c>
      <c r="B787" s="12">
        <f t="shared" si="130"/>
        <v>39944</v>
      </c>
      <c r="C787" s="11" t="s">
        <v>1086</v>
      </c>
      <c r="D787" s="11" t="s">
        <v>28</v>
      </c>
      <c r="F787" s="38">
        <f>IFERROR(__xludf.DUMMYFUNCTION("""COMPUTED_VALUE"""),40623.0)</f>
        <v>40623</v>
      </c>
      <c r="G787" s="39">
        <f t="shared" si="2"/>
        <v>4</v>
      </c>
      <c r="H787" s="39" t="str">
        <f>IFERROR(__xludf.DUMMYFUNCTION("""COMPUTED_VALUE"""),"Bryan Davis")</f>
        <v>Bryan Davis</v>
      </c>
      <c r="I787" s="40">
        <f t="shared" si="3"/>
        <v>3</v>
      </c>
    </row>
    <row r="788">
      <c r="A788" s="11">
        <v>787.0</v>
      </c>
      <c r="B788" s="12">
        <f t="shared" si="130"/>
        <v>39944</v>
      </c>
      <c r="C788" s="11" t="s">
        <v>1086</v>
      </c>
      <c r="D788" s="11" t="s">
        <v>66</v>
      </c>
      <c r="F788" s="38">
        <f>IFERROR(__xludf.DUMMYFUNCTION("""COMPUTED_VALUE"""),40624.0)</f>
        <v>40624</v>
      </c>
      <c r="G788" s="39">
        <f t="shared" si="2"/>
        <v>4</v>
      </c>
      <c r="H788" s="39" t="str">
        <f>IFERROR(__xludf.DUMMYFUNCTION("""COMPUTED_VALUE"""),"Brian Derr")</f>
        <v>Brian Derr</v>
      </c>
      <c r="I788" s="40">
        <f t="shared" si="3"/>
        <v>5</v>
      </c>
    </row>
    <row r="789">
      <c r="A789" s="11">
        <v>788.0</v>
      </c>
      <c r="B789" s="12">
        <f t="shared" si="130"/>
        <v>39944</v>
      </c>
      <c r="C789" s="11" t="s">
        <v>1276</v>
      </c>
      <c r="D789" s="11" t="s">
        <v>28</v>
      </c>
      <c r="F789" s="38">
        <f>IFERROR(__xludf.DUMMYFUNCTION("""COMPUTED_VALUE"""),40625.0)</f>
        <v>40625</v>
      </c>
      <c r="G789" s="39">
        <f t="shared" si="2"/>
        <v>4</v>
      </c>
      <c r="H789" s="39" t="str">
        <f>IFERROR(__xludf.DUMMYFUNCTION("""COMPUTED_VALUE"""),"Sample Company A")</f>
        <v>Sample Company A</v>
      </c>
      <c r="I789" s="40">
        <f t="shared" si="3"/>
        <v>1</v>
      </c>
    </row>
    <row r="790">
      <c r="A790" s="11">
        <v>789.0</v>
      </c>
      <c r="B790" s="12">
        <f t="shared" si="130"/>
        <v>39944</v>
      </c>
      <c r="C790" s="11" t="s">
        <v>1276</v>
      </c>
      <c r="D790" s="11" t="s">
        <v>28</v>
      </c>
      <c r="F790" s="38">
        <f>IFERROR(__xludf.DUMMYFUNCTION("""COMPUTED_VALUE"""),40626.0)</f>
        <v>40626</v>
      </c>
      <c r="G790" s="39">
        <f t="shared" si="2"/>
        <v>5</v>
      </c>
      <c r="H790" s="39" t="str">
        <f>IFERROR(__xludf.DUMMYFUNCTION("""COMPUTED_VALUE"""),"Adrian Barton")</f>
        <v>Adrian Barton</v>
      </c>
      <c r="I790" s="40">
        <f t="shared" si="3"/>
        <v>5</v>
      </c>
    </row>
    <row r="791">
      <c r="A791" s="11">
        <v>790.0</v>
      </c>
      <c r="B791" s="12">
        <f t="shared" si="130"/>
        <v>39944</v>
      </c>
      <c r="C791" s="11" t="s">
        <v>1277</v>
      </c>
      <c r="D791" s="11" t="s">
        <v>49</v>
      </c>
      <c r="F791" s="38">
        <f>IFERROR(__xludf.DUMMYFUNCTION("""COMPUTED_VALUE"""),40627.0)</f>
        <v>40627</v>
      </c>
      <c r="G791" s="39">
        <f t="shared" si="2"/>
        <v>3</v>
      </c>
      <c r="H791" s="39" t="str">
        <f>IFERROR(__xludf.DUMMYFUNCTION("""COMPUTED_VALUE"""),"Mark Hamilton")</f>
        <v>Mark Hamilton</v>
      </c>
      <c r="I791" s="40">
        <f t="shared" si="3"/>
        <v>2</v>
      </c>
    </row>
    <row r="792">
      <c r="A792" s="11">
        <v>791.0</v>
      </c>
      <c r="B792" s="12">
        <f t="shared" si="130"/>
        <v>39944</v>
      </c>
      <c r="C792" s="11" t="s">
        <v>1277</v>
      </c>
      <c r="D792" s="11" t="s">
        <v>49</v>
      </c>
      <c r="F792" s="38">
        <f>IFERROR(__xludf.DUMMYFUNCTION("""COMPUTED_VALUE"""),40628.0)</f>
        <v>40628</v>
      </c>
      <c r="G792" s="39">
        <f t="shared" si="2"/>
        <v>9</v>
      </c>
      <c r="H792" s="39" t="str">
        <f>IFERROR(__xludf.DUMMYFUNCTION("""COMPUTED_VALUE"""),"Shirley Daniels")</f>
        <v>Shirley Daniels</v>
      </c>
      <c r="I792" s="40">
        <f t="shared" si="3"/>
        <v>5</v>
      </c>
    </row>
    <row r="793">
      <c r="A793" s="11">
        <v>792.0</v>
      </c>
      <c r="B793" s="12">
        <f t="shared" ref="B793:B800" si="131">DATE(2012,12,31)-1329</f>
        <v>39945</v>
      </c>
      <c r="C793" s="11" t="s">
        <v>690</v>
      </c>
      <c r="D793" s="11" t="s">
        <v>28</v>
      </c>
      <c r="F793" s="38">
        <f>IFERROR(__xludf.DUMMYFUNCTION("""COMPUTED_VALUE"""),40629.0)</f>
        <v>40629</v>
      </c>
      <c r="G793" s="39">
        <f t="shared" si="2"/>
        <v>2</v>
      </c>
      <c r="H793" s="39" t="str">
        <f>IFERROR(__xludf.DUMMYFUNCTION("""COMPUTED_VALUE"""),"Anthony Witt")</f>
        <v>Anthony Witt</v>
      </c>
      <c r="I793" s="40">
        <f t="shared" si="3"/>
        <v>5</v>
      </c>
    </row>
    <row r="794">
      <c r="A794" s="11">
        <v>793.0</v>
      </c>
      <c r="B794" s="12">
        <f t="shared" si="131"/>
        <v>39945</v>
      </c>
      <c r="C794" s="11" t="s">
        <v>606</v>
      </c>
      <c r="D794" s="11" t="s">
        <v>49</v>
      </c>
      <c r="F794" s="38">
        <f>IFERROR(__xludf.DUMMYFUNCTION("""COMPUTED_VALUE"""),40630.0)</f>
        <v>40630</v>
      </c>
      <c r="G794" s="39">
        <f t="shared" si="2"/>
        <v>3</v>
      </c>
      <c r="H794" s="39" t="str">
        <f>IFERROR(__xludf.DUMMYFUNCTION("""COMPUTED_VALUE"""),"Hunter Glantz")</f>
        <v>Hunter Glantz</v>
      </c>
      <c r="I794" s="40">
        <f t="shared" si="3"/>
        <v>4</v>
      </c>
    </row>
    <row r="795">
      <c r="A795" s="11">
        <v>794.0</v>
      </c>
      <c r="B795" s="12">
        <f t="shared" si="131"/>
        <v>39945</v>
      </c>
      <c r="C795" s="11" t="s">
        <v>606</v>
      </c>
      <c r="D795" s="11" t="s">
        <v>66</v>
      </c>
      <c r="F795" s="38">
        <f>IFERROR(__xludf.DUMMYFUNCTION("""COMPUTED_VALUE"""),40631.0)</f>
        <v>40631</v>
      </c>
      <c r="G795" s="39">
        <f t="shared" si="2"/>
        <v>2</v>
      </c>
      <c r="H795" s="39" t="str">
        <f>IFERROR(__xludf.DUMMYFUNCTION("""COMPUTED_VALUE"""),"Clay Ludtke")</f>
        <v>Clay Ludtke</v>
      </c>
      <c r="I795" s="40">
        <f t="shared" si="3"/>
        <v>6</v>
      </c>
    </row>
    <row r="796">
      <c r="A796" s="11">
        <v>795.0</v>
      </c>
      <c r="B796" s="12">
        <f t="shared" si="131"/>
        <v>39945</v>
      </c>
      <c r="C796" s="11" t="s">
        <v>407</v>
      </c>
      <c r="D796" s="11" t="s">
        <v>49</v>
      </c>
      <c r="F796" s="38">
        <f>IFERROR(__xludf.DUMMYFUNCTION("""COMPUTED_VALUE"""),40632.0)</f>
        <v>40632</v>
      </c>
      <c r="G796" s="39">
        <f t="shared" si="2"/>
        <v>3</v>
      </c>
      <c r="H796" s="39" t="str">
        <f>IFERROR(__xludf.DUMMYFUNCTION("""COMPUTED_VALUE"""),"Craig Carreira")</f>
        <v>Craig Carreira</v>
      </c>
      <c r="I796" s="40">
        <f t="shared" si="3"/>
        <v>1</v>
      </c>
    </row>
    <row r="797">
      <c r="A797" s="11">
        <v>796.0</v>
      </c>
      <c r="B797" s="12">
        <f t="shared" si="131"/>
        <v>39945</v>
      </c>
      <c r="C797" s="11" t="s">
        <v>407</v>
      </c>
      <c r="D797" s="11" t="s">
        <v>28</v>
      </c>
      <c r="F797" s="38">
        <f>IFERROR(__xludf.DUMMYFUNCTION("""COMPUTED_VALUE"""),40633.0)</f>
        <v>40633</v>
      </c>
      <c r="G797" s="39">
        <f t="shared" si="2"/>
        <v>2</v>
      </c>
    </row>
    <row r="798">
      <c r="A798" s="11">
        <v>797.0</v>
      </c>
      <c r="B798" s="12">
        <f t="shared" si="131"/>
        <v>39945</v>
      </c>
      <c r="C798" s="11" t="s">
        <v>407</v>
      </c>
      <c r="D798" s="11" t="s">
        <v>28</v>
      </c>
      <c r="F798" s="38">
        <f>IFERROR(__xludf.DUMMYFUNCTION("""COMPUTED_VALUE"""),40634.0)</f>
        <v>40634</v>
      </c>
      <c r="G798" s="39">
        <f t="shared" si="2"/>
        <v>4</v>
      </c>
    </row>
    <row r="799">
      <c r="A799" s="11">
        <v>798.0</v>
      </c>
      <c r="B799" s="12">
        <f t="shared" si="131"/>
        <v>39945</v>
      </c>
      <c r="C799" s="11" t="s">
        <v>407</v>
      </c>
      <c r="D799" s="11" t="s">
        <v>28</v>
      </c>
      <c r="F799" s="38">
        <f>IFERROR(__xludf.DUMMYFUNCTION("""COMPUTED_VALUE"""),40635.0)</f>
        <v>40635</v>
      </c>
      <c r="G799" s="39">
        <f t="shared" si="2"/>
        <v>8</v>
      </c>
    </row>
    <row r="800">
      <c r="A800" s="11">
        <v>799.0</v>
      </c>
      <c r="B800" s="12">
        <f t="shared" si="131"/>
        <v>39945</v>
      </c>
      <c r="C800" s="11" t="s">
        <v>407</v>
      </c>
      <c r="D800" s="11" t="s">
        <v>28</v>
      </c>
      <c r="F800" s="38">
        <f>IFERROR(__xludf.DUMMYFUNCTION("""COMPUTED_VALUE"""),40636.0)</f>
        <v>40636</v>
      </c>
      <c r="G800" s="39">
        <f t="shared" si="2"/>
        <v>6</v>
      </c>
    </row>
    <row r="801">
      <c r="A801" s="11">
        <v>800.0</v>
      </c>
      <c r="B801" s="12">
        <f t="shared" ref="B801:B808" si="132">DATE(2012,12,31)-1328</f>
        <v>39946</v>
      </c>
      <c r="C801" s="11" t="s">
        <v>1288</v>
      </c>
      <c r="D801" s="11" t="s">
        <v>66</v>
      </c>
      <c r="F801" s="38">
        <f>IFERROR(__xludf.DUMMYFUNCTION("""COMPUTED_VALUE"""),40637.0)</f>
        <v>40637</v>
      </c>
      <c r="G801" s="39">
        <f t="shared" si="2"/>
        <v>3</v>
      </c>
    </row>
    <row r="802">
      <c r="A802" s="11">
        <v>801.0</v>
      </c>
      <c r="B802" s="12">
        <f t="shared" si="132"/>
        <v>39946</v>
      </c>
      <c r="C802" s="11" t="s">
        <v>1288</v>
      </c>
      <c r="D802" s="11" t="s">
        <v>28</v>
      </c>
      <c r="F802" s="38">
        <f>IFERROR(__xludf.DUMMYFUNCTION("""COMPUTED_VALUE"""),40638.0)</f>
        <v>40638</v>
      </c>
      <c r="G802" s="39">
        <f t="shared" si="2"/>
        <v>6</v>
      </c>
    </row>
    <row r="803">
      <c r="A803" s="11">
        <v>802.0</v>
      </c>
      <c r="B803" s="12">
        <f t="shared" si="132"/>
        <v>39946</v>
      </c>
      <c r="C803" s="11" t="s">
        <v>1288</v>
      </c>
      <c r="D803" s="11" t="s">
        <v>28</v>
      </c>
      <c r="F803" s="38">
        <f>IFERROR(__xludf.DUMMYFUNCTION("""COMPUTED_VALUE"""),40639.0)</f>
        <v>40639</v>
      </c>
      <c r="G803" s="39">
        <f t="shared" si="2"/>
        <v>3</v>
      </c>
    </row>
    <row r="804">
      <c r="A804" s="11">
        <v>803.0</v>
      </c>
      <c r="B804" s="12">
        <f t="shared" si="132"/>
        <v>39946</v>
      </c>
      <c r="C804" s="11" t="s">
        <v>1288</v>
      </c>
      <c r="D804" s="11" t="s">
        <v>28</v>
      </c>
      <c r="F804" s="38">
        <f>IFERROR(__xludf.DUMMYFUNCTION("""COMPUTED_VALUE"""),40640.0)</f>
        <v>40640</v>
      </c>
      <c r="G804" s="39">
        <f t="shared" si="2"/>
        <v>2</v>
      </c>
    </row>
    <row r="805">
      <c r="A805" s="11">
        <v>804.0</v>
      </c>
      <c r="B805" s="12">
        <f t="shared" si="132"/>
        <v>39946</v>
      </c>
      <c r="C805" s="11" t="s">
        <v>232</v>
      </c>
      <c r="D805" s="11" t="s">
        <v>28</v>
      </c>
      <c r="F805" s="38">
        <f>IFERROR(__xludf.DUMMYFUNCTION("""COMPUTED_VALUE"""),40641.0)</f>
        <v>40641</v>
      </c>
      <c r="G805" s="39">
        <f t="shared" si="2"/>
        <v>12</v>
      </c>
    </row>
    <row r="806">
      <c r="A806" s="11">
        <v>805.0</v>
      </c>
      <c r="B806" s="12">
        <f t="shared" si="132"/>
        <v>39946</v>
      </c>
      <c r="C806" s="11" t="s">
        <v>1292</v>
      </c>
      <c r="D806" s="11" t="s">
        <v>49</v>
      </c>
      <c r="F806" s="38">
        <f>IFERROR(__xludf.DUMMYFUNCTION("""COMPUTED_VALUE"""),40642.0)</f>
        <v>40642</v>
      </c>
      <c r="G806" s="39">
        <f t="shared" si="2"/>
        <v>10</v>
      </c>
    </row>
    <row r="807">
      <c r="A807" s="11">
        <v>806.0</v>
      </c>
      <c r="B807" s="12">
        <f t="shared" si="132"/>
        <v>39946</v>
      </c>
      <c r="C807" s="11" t="s">
        <v>94</v>
      </c>
      <c r="D807" s="11" t="s">
        <v>66</v>
      </c>
      <c r="F807" s="38">
        <f>IFERROR(__xludf.DUMMYFUNCTION("""COMPUTED_VALUE"""),40643.0)</f>
        <v>40643</v>
      </c>
      <c r="G807" s="39">
        <f t="shared" si="2"/>
        <v>8</v>
      </c>
    </row>
    <row r="808">
      <c r="A808" s="11">
        <v>807.0</v>
      </c>
      <c r="B808" s="12">
        <f t="shared" si="132"/>
        <v>39946</v>
      </c>
      <c r="C808" s="11" t="s">
        <v>94</v>
      </c>
      <c r="D808" s="11" t="s">
        <v>28</v>
      </c>
      <c r="F808" s="38">
        <f>IFERROR(__xludf.DUMMYFUNCTION("""COMPUTED_VALUE"""),40644.0)</f>
        <v>40644</v>
      </c>
      <c r="G808" s="39">
        <f t="shared" si="2"/>
        <v>13</v>
      </c>
    </row>
    <row r="809">
      <c r="A809" s="11">
        <v>808.0</v>
      </c>
      <c r="B809" s="12">
        <f t="shared" ref="B809:B814" si="133">DATE(2012,12,31)-1327</f>
        <v>39947</v>
      </c>
      <c r="C809" s="11" t="s">
        <v>1294</v>
      </c>
      <c r="D809" s="11" t="s">
        <v>66</v>
      </c>
      <c r="F809" s="38">
        <f>IFERROR(__xludf.DUMMYFUNCTION("""COMPUTED_VALUE"""),40645.0)</f>
        <v>40645</v>
      </c>
      <c r="G809" s="39">
        <f t="shared" si="2"/>
        <v>3</v>
      </c>
    </row>
    <row r="810">
      <c r="A810" s="11">
        <v>809.0</v>
      </c>
      <c r="B810" s="12">
        <f t="shared" si="133"/>
        <v>39947</v>
      </c>
      <c r="C810" s="11" t="s">
        <v>1294</v>
      </c>
      <c r="D810" s="11" t="s">
        <v>28</v>
      </c>
      <c r="F810" s="38">
        <f>IFERROR(__xludf.DUMMYFUNCTION("""COMPUTED_VALUE"""),40646.0)</f>
        <v>40646</v>
      </c>
      <c r="G810" s="39">
        <f t="shared" si="2"/>
        <v>5</v>
      </c>
    </row>
    <row r="811">
      <c r="A811" s="11">
        <v>810.0</v>
      </c>
      <c r="B811" s="12">
        <f t="shared" si="133"/>
        <v>39947</v>
      </c>
      <c r="C811" s="11" t="s">
        <v>520</v>
      </c>
      <c r="D811" s="11" t="s">
        <v>28</v>
      </c>
      <c r="F811" s="38">
        <f>IFERROR(__xludf.DUMMYFUNCTION("""COMPUTED_VALUE"""),40647.0)</f>
        <v>40647</v>
      </c>
      <c r="G811" s="39">
        <f t="shared" si="2"/>
        <v>1</v>
      </c>
    </row>
    <row r="812">
      <c r="A812" s="11">
        <v>811.0</v>
      </c>
      <c r="B812" s="12">
        <f t="shared" si="133"/>
        <v>39947</v>
      </c>
      <c r="C812" s="11" t="s">
        <v>418</v>
      </c>
      <c r="D812" s="11" t="s">
        <v>66</v>
      </c>
      <c r="F812" s="38">
        <f>IFERROR(__xludf.DUMMYFUNCTION("""COMPUTED_VALUE"""),40648.0)</f>
        <v>40648</v>
      </c>
      <c r="G812" s="39">
        <f t="shared" si="2"/>
        <v>7</v>
      </c>
    </row>
    <row r="813">
      <c r="A813" s="11">
        <v>812.0</v>
      </c>
      <c r="B813" s="12">
        <f t="shared" si="133"/>
        <v>39947</v>
      </c>
      <c r="C813" s="11" t="s">
        <v>1108</v>
      </c>
      <c r="D813" s="11" t="s">
        <v>28</v>
      </c>
      <c r="F813" s="38">
        <f>IFERROR(__xludf.DUMMYFUNCTION("""COMPUTED_VALUE"""),40649.0)</f>
        <v>40649</v>
      </c>
      <c r="G813" s="39">
        <f t="shared" si="2"/>
        <v>6</v>
      </c>
    </row>
    <row r="814">
      <c r="A814" s="11">
        <v>813.0</v>
      </c>
      <c r="B814" s="12">
        <f t="shared" si="133"/>
        <v>39947</v>
      </c>
      <c r="C814" s="11" t="s">
        <v>1298</v>
      </c>
      <c r="D814" s="11" t="s">
        <v>28</v>
      </c>
      <c r="F814" s="38">
        <f>IFERROR(__xludf.DUMMYFUNCTION("""COMPUTED_VALUE"""),40650.0)</f>
        <v>40650</v>
      </c>
      <c r="G814" s="39">
        <f t="shared" si="2"/>
        <v>7</v>
      </c>
    </row>
    <row r="815">
      <c r="A815" s="11">
        <v>814.0</v>
      </c>
      <c r="B815" s="12">
        <f t="shared" ref="B815:B823" si="134">DATE(2012,12,31)-1326</f>
        <v>39948</v>
      </c>
      <c r="C815" s="11" t="s">
        <v>823</v>
      </c>
      <c r="D815" s="11" t="s">
        <v>28</v>
      </c>
      <c r="F815" s="38">
        <f>IFERROR(__xludf.DUMMYFUNCTION("""COMPUTED_VALUE"""),40651.0)</f>
        <v>40651</v>
      </c>
      <c r="G815" s="39">
        <f t="shared" si="2"/>
        <v>6</v>
      </c>
    </row>
    <row r="816">
      <c r="A816" s="11">
        <v>815.0</v>
      </c>
      <c r="B816" s="12">
        <f t="shared" si="134"/>
        <v>39948</v>
      </c>
      <c r="C816" s="11" t="s">
        <v>823</v>
      </c>
      <c r="D816" s="11" t="s">
        <v>28</v>
      </c>
      <c r="F816" s="38">
        <f>IFERROR(__xludf.DUMMYFUNCTION("""COMPUTED_VALUE"""),40652.0)</f>
        <v>40652</v>
      </c>
      <c r="G816" s="39">
        <f t="shared" si="2"/>
        <v>3</v>
      </c>
    </row>
    <row r="817">
      <c r="A817" s="11">
        <v>816.0</v>
      </c>
      <c r="B817" s="12">
        <f t="shared" si="134"/>
        <v>39948</v>
      </c>
      <c r="C817" s="11" t="s">
        <v>1303</v>
      </c>
      <c r="D817" s="11" t="s">
        <v>66</v>
      </c>
      <c r="F817" s="38">
        <f>IFERROR(__xludf.DUMMYFUNCTION("""COMPUTED_VALUE"""),40653.0)</f>
        <v>40653</v>
      </c>
      <c r="G817" s="39">
        <f t="shared" si="2"/>
        <v>10</v>
      </c>
    </row>
    <row r="818">
      <c r="A818" s="11">
        <v>817.0</v>
      </c>
      <c r="B818" s="12">
        <f t="shared" si="134"/>
        <v>39948</v>
      </c>
      <c r="C818" s="11" t="s">
        <v>1303</v>
      </c>
      <c r="D818" s="11" t="s">
        <v>28</v>
      </c>
      <c r="F818" s="38">
        <f>IFERROR(__xludf.DUMMYFUNCTION("""COMPUTED_VALUE"""),40654.0)</f>
        <v>40654</v>
      </c>
      <c r="G818" s="39">
        <f t="shared" si="2"/>
        <v>4</v>
      </c>
    </row>
    <row r="819">
      <c r="A819" s="11">
        <v>818.0</v>
      </c>
      <c r="B819" s="12">
        <f t="shared" si="134"/>
        <v>39948</v>
      </c>
      <c r="C819" s="11" t="s">
        <v>546</v>
      </c>
      <c r="D819" s="11" t="s">
        <v>66</v>
      </c>
      <c r="F819" s="38">
        <f>IFERROR(__xludf.DUMMYFUNCTION("""COMPUTED_VALUE"""),40655.0)</f>
        <v>40655</v>
      </c>
      <c r="G819" s="39">
        <f t="shared" si="2"/>
        <v>8</v>
      </c>
    </row>
    <row r="820">
      <c r="A820" s="11">
        <v>819.0</v>
      </c>
      <c r="B820" s="12">
        <f t="shared" si="134"/>
        <v>39948</v>
      </c>
      <c r="C820" s="11" t="s">
        <v>546</v>
      </c>
      <c r="D820" s="11" t="s">
        <v>28</v>
      </c>
      <c r="F820" s="38">
        <f>IFERROR(__xludf.DUMMYFUNCTION("""COMPUTED_VALUE"""),40656.0)</f>
        <v>40656</v>
      </c>
      <c r="G820" s="39">
        <f t="shared" si="2"/>
        <v>4</v>
      </c>
    </row>
    <row r="821">
      <c r="A821" s="11">
        <v>820.0</v>
      </c>
      <c r="B821" s="12">
        <f t="shared" si="134"/>
        <v>39948</v>
      </c>
      <c r="C821" s="11" t="s">
        <v>72</v>
      </c>
      <c r="D821" s="11" t="s">
        <v>66</v>
      </c>
      <c r="F821" s="38">
        <f>IFERROR(__xludf.DUMMYFUNCTION("""COMPUTED_VALUE"""),40657.0)</f>
        <v>40657</v>
      </c>
      <c r="G821" s="39">
        <f t="shared" si="2"/>
        <v>2</v>
      </c>
    </row>
    <row r="822">
      <c r="A822" s="11">
        <v>821.0</v>
      </c>
      <c r="B822" s="12">
        <f t="shared" si="134"/>
        <v>39948</v>
      </c>
      <c r="C822" s="11" t="s">
        <v>72</v>
      </c>
      <c r="D822" s="11" t="s">
        <v>28</v>
      </c>
      <c r="F822" s="38">
        <f>IFERROR(__xludf.DUMMYFUNCTION("""COMPUTED_VALUE"""),40658.0)</f>
        <v>40658</v>
      </c>
      <c r="G822" s="39">
        <f t="shared" si="2"/>
        <v>6</v>
      </c>
    </row>
    <row r="823">
      <c r="A823" s="11">
        <v>822.0</v>
      </c>
      <c r="B823" s="12">
        <f t="shared" si="134"/>
        <v>39948</v>
      </c>
      <c r="C823" s="11" t="s">
        <v>1308</v>
      </c>
      <c r="D823" s="11" t="s">
        <v>49</v>
      </c>
      <c r="F823" s="38">
        <f>IFERROR(__xludf.DUMMYFUNCTION("""COMPUTED_VALUE"""),40659.0)</f>
        <v>40659</v>
      </c>
      <c r="G823" s="39">
        <f t="shared" si="2"/>
        <v>1</v>
      </c>
    </row>
    <row r="824">
      <c r="A824" s="11">
        <v>823.0</v>
      </c>
      <c r="B824" s="12">
        <f t="shared" ref="B824:B828" si="135">DATE(2012,12,31)-1325</f>
        <v>39949</v>
      </c>
      <c r="C824" s="11" t="s">
        <v>1310</v>
      </c>
      <c r="D824" s="11" t="s">
        <v>28</v>
      </c>
      <c r="F824" s="38">
        <f>IFERROR(__xludf.DUMMYFUNCTION("""COMPUTED_VALUE"""),40661.0)</f>
        <v>40661</v>
      </c>
      <c r="G824" s="39">
        <f t="shared" si="2"/>
        <v>6</v>
      </c>
    </row>
    <row r="825">
      <c r="A825" s="11">
        <v>824.0</v>
      </c>
      <c r="B825" s="12">
        <f t="shared" si="135"/>
        <v>39949</v>
      </c>
      <c r="C825" s="11" t="s">
        <v>771</v>
      </c>
      <c r="D825" s="11" t="s">
        <v>28</v>
      </c>
      <c r="F825" s="38">
        <f>IFERROR(__xludf.DUMMYFUNCTION("""COMPUTED_VALUE"""),40662.0)</f>
        <v>40662</v>
      </c>
      <c r="G825" s="39">
        <f t="shared" si="2"/>
        <v>8</v>
      </c>
    </row>
    <row r="826">
      <c r="A826" s="11">
        <v>825.0</v>
      </c>
      <c r="B826" s="12">
        <f t="shared" si="135"/>
        <v>39949</v>
      </c>
      <c r="C826" s="11" t="s">
        <v>771</v>
      </c>
      <c r="D826" s="11" t="s">
        <v>28</v>
      </c>
      <c r="F826" s="38">
        <f>IFERROR(__xludf.DUMMYFUNCTION("""COMPUTED_VALUE"""),40663.0)</f>
        <v>40663</v>
      </c>
      <c r="G826" s="39">
        <f t="shared" si="2"/>
        <v>7</v>
      </c>
    </row>
    <row r="827">
      <c r="A827" s="11">
        <v>826.0</v>
      </c>
      <c r="B827" s="12">
        <f t="shared" si="135"/>
        <v>39949</v>
      </c>
      <c r="C827" s="11" t="s">
        <v>1142</v>
      </c>
      <c r="D827" s="11" t="s">
        <v>28</v>
      </c>
      <c r="F827" s="38">
        <f>IFERROR(__xludf.DUMMYFUNCTION("""COMPUTED_VALUE"""),40664.0)</f>
        <v>40664</v>
      </c>
      <c r="G827" s="39">
        <f t="shared" si="2"/>
        <v>9</v>
      </c>
    </row>
    <row r="828">
      <c r="A828" s="11">
        <v>827.0</v>
      </c>
      <c r="B828" s="12">
        <f t="shared" si="135"/>
        <v>39949</v>
      </c>
      <c r="C828" s="11" t="s">
        <v>561</v>
      </c>
      <c r="D828" s="11" t="s">
        <v>28</v>
      </c>
      <c r="F828" s="38">
        <f>IFERROR(__xludf.DUMMYFUNCTION("""COMPUTED_VALUE"""),40665.0)</f>
        <v>40665</v>
      </c>
      <c r="G828" s="39">
        <f t="shared" si="2"/>
        <v>7</v>
      </c>
    </row>
    <row r="829">
      <c r="A829" s="11">
        <v>828.0</v>
      </c>
      <c r="B829" s="12">
        <f t="shared" ref="B829:B833" si="136">DATE(2012,12,31)-1324</f>
        <v>39950</v>
      </c>
      <c r="C829" s="11" t="s">
        <v>1123</v>
      </c>
      <c r="D829" s="11" t="s">
        <v>28</v>
      </c>
      <c r="F829" s="38">
        <f>IFERROR(__xludf.DUMMYFUNCTION("""COMPUTED_VALUE"""),40666.0)</f>
        <v>40666</v>
      </c>
      <c r="G829" s="39">
        <f t="shared" si="2"/>
        <v>11</v>
      </c>
    </row>
    <row r="830">
      <c r="A830" s="11">
        <v>829.0</v>
      </c>
      <c r="B830" s="12">
        <f t="shared" si="136"/>
        <v>39950</v>
      </c>
      <c r="C830" s="11" t="s">
        <v>1314</v>
      </c>
      <c r="D830" s="11" t="s">
        <v>28</v>
      </c>
      <c r="F830" s="38">
        <f>IFERROR(__xludf.DUMMYFUNCTION("""COMPUTED_VALUE"""),40667.0)</f>
        <v>40667</v>
      </c>
      <c r="G830" s="39">
        <f t="shared" si="2"/>
        <v>9</v>
      </c>
    </row>
    <row r="831">
      <c r="A831" s="11">
        <v>830.0</v>
      </c>
      <c r="B831" s="12">
        <f t="shared" si="136"/>
        <v>39950</v>
      </c>
      <c r="C831" s="11" t="s">
        <v>1314</v>
      </c>
      <c r="D831" s="11" t="s">
        <v>28</v>
      </c>
      <c r="F831" s="38">
        <f>IFERROR(__xludf.DUMMYFUNCTION("""COMPUTED_VALUE"""),40668.0)</f>
        <v>40668</v>
      </c>
      <c r="G831" s="39">
        <f t="shared" si="2"/>
        <v>6</v>
      </c>
    </row>
    <row r="832">
      <c r="A832" s="11">
        <v>831.0</v>
      </c>
      <c r="B832" s="12">
        <f t="shared" si="136"/>
        <v>39950</v>
      </c>
      <c r="C832" s="11" t="s">
        <v>1314</v>
      </c>
      <c r="D832" s="11" t="s">
        <v>28</v>
      </c>
      <c r="F832" s="38">
        <f>IFERROR(__xludf.DUMMYFUNCTION("""COMPUTED_VALUE"""),40669.0)</f>
        <v>40669</v>
      </c>
      <c r="G832" s="39">
        <f t="shared" si="2"/>
        <v>5</v>
      </c>
    </row>
    <row r="833">
      <c r="A833" s="11">
        <v>832.0</v>
      </c>
      <c r="B833" s="12">
        <f t="shared" si="136"/>
        <v>39950</v>
      </c>
      <c r="C833" s="11" t="s">
        <v>1319</v>
      </c>
      <c r="D833" s="11" t="s">
        <v>49</v>
      </c>
      <c r="F833" s="38">
        <f>IFERROR(__xludf.DUMMYFUNCTION("""COMPUTED_VALUE"""),40670.0)</f>
        <v>40670</v>
      </c>
      <c r="G833" s="39">
        <f t="shared" si="2"/>
        <v>6</v>
      </c>
    </row>
    <row r="834">
      <c r="A834" s="11">
        <v>833.0</v>
      </c>
      <c r="B834" s="12">
        <f t="shared" ref="B834:B840" si="137">DATE(2012,12,31)-1323</f>
        <v>39951</v>
      </c>
      <c r="C834" s="11" t="s">
        <v>1320</v>
      </c>
      <c r="D834" s="11" t="s">
        <v>66</v>
      </c>
      <c r="F834" s="38">
        <f>IFERROR(__xludf.DUMMYFUNCTION("""COMPUTED_VALUE"""),40671.0)</f>
        <v>40671</v>
      </c>
      <c r="G834" s="39">
        <f t="shared" si="2"/>
        <v>7</v>
      </c>
    </row>
    <row r="835">
      <c r="A835" s="11">
        <v>834.0</v>
      </c>
      <c r="B835" s="12">
        <f t="shared" si="137"/>
        <v>39951</v>
      </c>
      <c r="C835" s="11" t="s">
        <v>900</v>
      </c>
      <c r="D835" s="11" t="s">
        <v>66</v>
      </c>
      <c r="F835" s="38">
        <f>IFERROR(__xludf.DUMMYFUNCTION("""COMPUTED_VALUE"""),40672.0)</f>
        <v>40672</v>
      </c>
      <c r="G835" s="39">
        <f t="shared" si="2"/>
        <v>4</v>
      </c>
    </row>
    <row r="836">
      <c r="A836" s="11">
        <v>835.0</v>
      </c>
      <c r="B836" s="12">
        <f t="shared" si="137"/>
        <v>39951</v>
      </c>
      <c r="C836" s="11" t="s">
        <v>900</v>
      </c>
      <c r="D836" s="11" t="s">
        <v>28</v>
      </c>
      <c r="F836" s="38">
        <f>IFERROR(__xludf.DUMMYFUNCTION("""COMPUTED_VALUE"""),40673.0)</f>
        <v>40673</v>
      </c>
      <c r="G836" s="39">
        <f t="shared" si="2"/>
        <v>2</v>
      </c>
    </row>
    <row r="837">
      <c r="A837" s="11">
        <v>836.0</v>
      </c>
      <c r="B837" s="12">
        <f t="shared" si="137"/>
        <v>39951</v>
      </c>
      <c r="C837" s="11" t="s">
        <v>900</v>
      </c>
      <c r="D837" s="11" t="s">
        <v>28</v>
      </c>
      <c r="F837" s="38">
        <f>IFERROR(__xludf.DUMMYFUNCTION("""COMPUTED_VALUE"""),40674.0)</f>
        <v>40674</v>
      </c>
      <c r="G837" s="39">
        <f t="shared" si="2"/>
        <v>3</v>
      </c>
    </row>
    <row r="838">
      <c r="A838" s="11">
        <v>837.0</v>
      </c>
      <c r="B838" s="12">
        <f t="shared" si="137"/>
        <v>39951</v>
      </c>
      <c r="C838" s="11" t="s">
        <v>945</v>
      </c>
      <c r="D838" s="11" t="s">
        <v>28</v>
      </c>
      <c r="F838" s="38">
        <f>IFERROR(__xludf.DUMMYFUNCTION("""COMPUTED_VALUE"""),40675.0)</f>
        <v>40675</v>
      </c>
      <c r="G838" s="39">
        <f t="shared" si="2"/>
        <v>6</v>
      </c>
    </row>
    <row r="839">
      <c r="A839" s="11">
        <v>838.0</v>
      </c>
      <c r="B839" s="12">
        <f t="shared" si="137"/>
        <v>39951</v>
      </c>
      <c r="C839" s="11" t="s">
        <v>1101</v>
      </c>
      <c r="D839" s="11" t="s">
        <v>28</v>
      </c>
      <c r="F839" s="38">
        <f>IFERROR(__xludf.DUMMYFUNCTION("""COMPUTED_VALUE"""),40676.0)</f>
        <v>40676</v>
      </c>
      <c r="G839" s="39">
        <f t="shared" si="2"/>
        <v>2</v>
      </c>
    </row>
    <row r="840">
      <c r="A840" s="11">
        <v>839.0</v>
      </c>
      <c r="B840" s="12">
        <f t="shared" si="137"/>
        <v>39951</v>
      </c>
      <c r="C840" s="11" t="s">
        <v>337</v>
      </c>
      <c r="D840" s="11" t="s">
        <v>49</v>
      </c>
      <c r="F840" s="38">
        <f>IFERROR(__xludf.DUMMYFUNCTION("""COMPUTED_VALUE"""),40677.0)</f>
        <v>40677</v>
      </c>
      <c r="G840" s="39">
        <f t="shared" si="2"/>
        <v>5</v>
      </c>
    </row>
    <row r="841">
      <c r="A841" s="11">
        <v>840.0</v>
      </c>
      <c r="B841" s="12">
        <f t="shared" ref="B841:B843" si="138">DATE(2012,12,31)-1322</f>
        <v>39952</v>
      </c>
      <c r="C841" s="11" t="s">
        <v>1324</v>
      </c>
      <c r="D841" s="11" t="s">
        <v>28</v>
      </c>
      <c r="F841" s="38">
        <f>IFERROR(__xludf.DUMMYFUNCTION("""COMPUTED_VALUE"""),40678.0)</f>
        <v>40678</v>
      </c>
      <c r="G841" s="39">
        <f t="shared" si="2"/>
        <v>3</v>
      </c>
    </row>
    <row r="842">
      <c r="A842" s="11">
        <v>841.0</v>
      </c>
      <c r="B842" s="12">
        <f t="shared" si="138"/>
        <v>39952</v>
      </c>
      <c r="C842" s="11" t="s">
        <v>1326</v>
      </c>
      <c r="D842" s="11" t="s">
        <v>28</v>
      </c>
      <c r="F842" s="38">
        <f>IFERROR(__xludf.DUMMYFUNCTION("""COMPUTED_VALUE"""),40679.0)</f>
        <v>40679</v>
      </c>
      <c r="G842" s="39">
        <f t="shared" si="2"/>
        <v>2</v>
      </c>
    </row>
    <row r="843">
      <c r="A843" s="11">
        <v>842.0</v>
      </c>
      <c r="B843" s="12">
        <f t="shared" si="138"/>
        <v>39952</v>
      </c>
      <c r="C843" s="11" t="s">
        <v>1326</v>
      </c>
      <c r="D843" s="11" t="s">
        <v>28</v>
      </c>
      <c r="F843" s="38">
        <f>IFERROR(__xludf.DUMMYFUNCTION("""COMPUTED_VALUE"""),40680.0)</f>
        <v>40680</v>
      </c>
      <c r="G843" s="39">
        <f t="shared" si="2"/>
        <v>8</v>
      </c>
    </row>
    <row r="844">
      <c r="A844" s="11">
        <v>843.0</v>
      </c>
      <c r="B844" s="12">
        <f t="shared" ref="B844:B852" si="139">DATE(2012,12,31)-1321</f>
        <v>39953</v>
      </c>
      <c r="C844" s="11" t="s">
        <v>1061</v>
      </c>
      <c r="D844" s="11" t="s">
        <v>66</v>
      </c>
      <c r="F844" s="38">
        <f>IFERROR(__xludf.DUMMYFUNCTION("""COMPUTED_VALUE"""),40681.0)</f>
        <v>40681</v>
      </c>
      <c r="G844" s="39">
        <f t="shared" si="2"/>
        <v>3</v>
      </c>
    </row>
    <row r="845">
      <c r="A845" s="11">
        <v>844.0</v>
      </c>
      <c r="B845" s="12">
        <f t="shared" si="139"/>
        <v>39953</v>
      </c>
      <c r="C845" s="11" t="s">
        <v>243</v>
      </c>
      <c r="D845" s="11" t="s">
        <v>28</v>
      </c>
      <c r="F845" s="38">
        <f>IFERROR(__xludf.DUMMYFUNCTION("""COMPUTED_VALUE"""),40682.0)</f>
        <v>40682</v>
      </c>
      <c r="G845" s="39">
        <f t="shared" si="2"/>
        <v>7</v>
      </c>
    </row>
    <row r="846">
      <c r="A846" s="11">
        <v>845.0</v>
      </c>
      <c r="B846" s="12">
        <f t="shared" si="139"/>
        <v>39953</v>
      </c>
      <c r="C846" s="11" t="s">
        <v>243</v>
      </c>
      <c r="D846" s="11" t="s">
        <v>28</v>
      </c>
      <c r="F846" s="38">
        <f>IFERROR(__xludf.DUMMYFUNCTION("""COMPUTED_VALUE"""),40683.0)</f>
        <v>40683</v>
      </c>
      <c r="G846" s="39">
        <f t="shared" si="2"/>
        <v>13</v>
      </c>
    </row>
    <row r="847">
      <c r="A847" s="11">
        <v>846.0</v>
      </c>
      <c r="B847" s="12">
        <f t="shared" si="139"/>
        <v>39953</v>
      </c>
      <c r="C847" s="11" t="s">
        <v>1332</v>
      </c>
      <c r="D847" s="11" t="s">
        <v>28</v>
      </c>
      <c r="F847" s="38">
        <f>IFERROR(__xludf.DUMMYFUNCTION("""COMPUTED_VALUE"""),40684.0)</f>
        <v>40684</v>
      </c>
      <c r="G847" s="39">
        <f t="shared" si="2"/>
        <v>10</v>
      </c>
    </row>
    <row r="848">
      <c r="A848" s="11">
        <v>847.0</v>
      </c>
      <c r="B848" s="12">
        <f t="shared" si="139"/>
        <v>39953</v>
      </c>
      <c r="C848" s="11" t="s">
        <v>1332</v>
      </c>
      <c r="D848" s="11" t="s">
        <v>28</v>
      </c>
      <c r="F848" s="38">
        <f>IFERROR(__xludf.DUMMYFUNCTION("""COMPUTED_VALUE"""),40685.0)</f>
        <v>40685</v>
      </c>
      <c r="G848" s="39">
        <f t="shared" si="2"/>
        <v>8</v>
      </c>
    </row>
    <row r="849">
      <c r="A849" s="11">
        <v>848.0</v>
      </c>
      <c r="B849" s="12">
        <f t="shared" si="139"/>
        <v>39953</v>
      </c>
      <c r="C849" s="11" t="s">
        <v>1332</v>
      </c>
      <c r="D849" s="11" t="s">
        <v>66</v>
      </c>
      <c r="F849" s="38">
        <f>IFERROR(__xludf.DUMMYFUNCTION("""COMPUTED_VALUE"""),40686.0)</f>
        <v>40686</v>
      </c>
      <c r="G849" s="39">
        <f t="shared" si="2"/>
        <v>5</v>
      </c>
    </row>
    <row r="850">
      <c r="A850" s="11">
        <v>849.0</v>
      </c>
      <c r="B850" s="12">
        <f t="shared" si="139"/>
        <v>39953</v>
      </c>
      <c r="C850" s="11" t="s">
        <v>55</v>
      </c>
      <c r="D850" s="11" t="s">
        <v>49</v>
      </c>
      <c r="F850" s="38">
        <f>IFERROR(__xludf.DUMMYFUNCTION("""COMPUTED_VALUE"""),40687.0)</f>
        <v>40687</v>
      </c>
      <c r="G850" s="39">
        <f t="shared" si="2"/>
        <v>5</v>
      </c>
    </row>
    <row r="851">
      <c r="A851" s="11">
        <v>850.0</v>
      </c>
      <c r="B851" s="12">
        <f t="shared" si="139"/>
        <v>39953</v>
      </c>
      <c r="C851" s="11" t="s">
        <v>879</v>
      </c>
      <c r="D851" s="11" t="s">
        <v>28</v>
      </c>
      <c r="F851" s="38">
        <f>IFERROR(__xludf.DUMMYFUNCTION("""COMPUTED_VALUE"""),40688.0)</f>
        <v>40688</v>
      </c>
      <c r="G851" s="39">
        <f t="shared" si="2"/>
        <v>7</v>
      </c>
    </row>
    <row r="852">
      <c r="A852" s="11">
        <v>851.0</v>
      </c>
      <c r="B852" s="12">
        <f t="shared" si="139"/>
        <v>39953</v>
      </c>
      <c r="C852" s="11" t="s">
        <v>879</v>
      </c>
      <c r="D852" s="11" t="s">
        <v>28</v>
      </c>
      <c r="F852" s="38">
        <f>IFERROR(__xludf.DUMMYFUNCTION("""COMPUTED_VALUE"""),40689.0)</f>
        <v>40689</v>
      </c>
      <c r="G852" s="39">
        <f t="shared" si="2"/>
        <v>4</v>
      </c>
    </row>
    <row r="853">
      <c r="A853" s="11">
        <v>852.0</v>
      </c>
      <c r="B853" s="12">
        <f t="shared" ref="B853:B863" si="140">DATE(2012,12,31)-1320</f>
        <v>39954</v>
      </c>
      <c r="C853" s="11" t="s">
        <v>608</v>
      </c>
      <c r="D853" s="11" t="s">
        <v>28</v>
      </c>
      <c r="F853" s="38">
        <f>IFERROR(__xludf.DUMMYFUNCTION("""COMPUTED_VALUE"""),40690.0)</f>
        <v>40690</v>
      </c>
      <c r="G853" s="39">
        <f t="shared" si="2"/>
        <v>8</v>
      </c>
    </row>
    <row r="854">
      <c r="A854" s="11">
        <v>853.0</v>
      </c>
      <c r="B854" s="12">
        <f t="shared" si="140"/>
        <v>39954</v>
      </c>
      <c r="C854" s="11" t="s">
        <v>1018</v>
      </c>
      <c r="D854" s="11" t="s">
        <v>49</v>
      </c>
      <c r="F854" s="38">
        <f>IFERROR(__xludf.DUMMYFUNCTION("""COMPUTED_VALUE"""),40691.0)</f>
        <v>40691</v>
      </c>
      <c r="G854" s="39">
        <f t="shared" si="2"/>
        <v>7</v>
      </c>
    </row>
    <row r="855">
      <c r="A855" s="11">
        <v>854.0</v>
      </c>
      <c r="B855" s="12">
        <f t="shared" si="140"/>
        <v>39954</v>
      </c>
      <c r="C855" s="11" t="s">
        <v>1338</v>
      </c>
      <c r="D855" s="11" t="s">
        <v>28</v>
      </c>
      <c r="F855" s="38">
        <f>IFERROR(__xludf.DUMMYFUNCTION("""COMPUTED_VALUE"""),40693.0)</f>
        <v>40693</v>
      </c>
      <c r="G855" s="39">
        <f t="shared" si="2"/>
        <v>3</v>
      </c>
    </row>
    <row r="856">
      <c r="A856" s="11">
        <v>855.0</v>
      </c>
      <c r="B856" s="12">
        <f t="shared" si="140"/>
        <v>39954</v>
      </c>
      <c r="C856" s="11" t="s">
        <v>1339</v>
      </c>
      <c r="D856" s="11" t="s">
        <v>28</v>
      </c>
      <c r="F856" s="38">
        <f>IFERROR(__xludf.DUMMYFUNCTION("""COMPUTED_VALUE"""),40694.0)</f>
        <v>40694</v>
      </c>
      <c r="G856" s="39">
        <f t="shared" si="2"/>
        <v>9</v>
      </c>
    </row>
    <row r="857">
      <c r="A857" s="11">
        <v>856.0</v>
      </c>
      <c r="B857" s="12">
        <f t="shared" si="140"/>
        <v>39954</v>
      </c>
      <c r="C857" s="11" t="s">
        <v>1339</v>
      </c>
      <c r="D857" s="11" t="s">
        <v>28</v>
      </c>
      <c r="F857" s="38">
        <f>IFERROR(__xludf.DUMMYFUNCTION("""COMPUTED_VALUE"""),40695.0)</f>
        <v>40695</v>
      </c>
      <c r="G857" s="39">
        <f t="shared" si="2"/>
        <v>7</v>
      </c>
    </row>
    <row r="858">
      <c r="A858" s="11">
        <v>857.0</v>
      </c>
      <c r="B858" s="12">
        <f t="shared" si="140"/>
        <v>39954</v>
      </c>
      <c r="C858" s="11" t="s">
        <v>1342</v>
      </c>
      <c r="D858" s="11" t="s">
        <v>49</v>
      </c>
      <c r="F858" s="38">
        <f>IFERROR(__xludf.DUMMYFUNCTION("""COMPUTED_VALUE"""),40696.0)</f>
        <v>40696</v>
      </c>
      <c r="G858" s="39">
        <f t="shared" si="2"/>
        <v>4</v>
      </c>
    </row>
    <row r="859">
      <c r="A859" s="11">
        <v>858.0</v>
      </c>
      <c r="B859" s="12">
        <f t="shared" si="140"/>
        <v>39954</v>
      </c>
      <c r="C859" s="11" t="s">
        <v>1192</v>
      </c>
      <c r="D859" s="11" t="s">
        <v>28</v>
      </c>
      <c r="F859" s="38">
        <f>IFERROR(__xludf.DUMMYFUNCTION("""COMPUTED_VALUE"""),40697.0)</f>
        <v>40697</v>
      </c>
      <c r="G859" s="39">
        <f t="shared" si="2"/>
        <v>8</v>
      </c>
    </row>
    <row r="860">
      <c r="A860" s="11">
        <v>859.0</v>
      </c>
      <c r="B860" s="12">
        <f t="shared" si="140"/>
        <v>39954</v>
      </c>
      <c r="C860" s="11" t="s">
        <v>1345</v>
      </c>
      <c r="D860" s="11" t="s">
        <v>66</v>
      </c>
      <c r="F860" s="38">
        <f>IFERROR(__xludf.DUMMYFUNCTION("""COMPUTED_VALUE"""),40698.0)</f>
        <v>40698</v>
      </c>
      <c r="G860" s="39">
        <f t="shared" si="2"/>
        <v>1</v>
      </c>
    </row>
    <row r="861">
      <c r="A861" s="11">
        <v>860.0</v>
      </c>
      <c r="B861" s="12">
        <f t="shared" si="140"/>
        <v>39954</v>
      </c>
      <c r="C861" s="11" t="s">
        <v>1345</v>
      </c>
      <c r="D861" s="11" t="s">
        <v>28</v>
      </c>
      <c r="F861" s="38">
        <f>IFERROR(__xludf.DUMMYFUNCTION("""COMPUTED_VALUE"""),40699.0)</f>
        <v>40699</v>
      </c>
      <c r="G861" s="39">
        <f t="shared" si="2"/>
        <v>5</v>
      </c>
    </row>
    <row r="862">
      <c r="A862" s="11">
        <v>861.0</v>
      </c>
      <c r="B862" s="12">
        <f t="shared" si="140"/>
        <v>39954</v>
      </c>
      <c r="C862" s="11" t="s">
        <v>1308</v>
      </c>
      <c r="D862" s="11" t="s">
        <v>28</v>
      </c>
      <c r="F862" s="38">
        <f>IFERROR(__xludf.DUMMYFUNCTION("""COMPUTED_VALUE"""),40700.0)</f>
        <v>40700</v>
      </c>
      <c r="G862" s="39">
        <f t="shared" si="2"/>
        <v>4</v>
      </c>
    </row>
    <row r="863">
      <c r="A863" s="11">
        <v>862.0</v>
      </c>
      <c r="B863" s="12">
        <f t="shared" si="140"/>
        <v>39954</v>
      </c>
      <c r="C863" s="11" t="s">
        <v>1308</v>
      </c>
      <c r="D863" s="11" t="s">
        <v>66</v>
      </c>
      <c r="F863" s="38">
        <f>IFERROR(__xludf.DUMMYFUNCTION("""COMPUTED_VALUE"""),40701.0)</f>
        <v>40701</v>
      </c>
      <c r="G863" s="39">
        <f t="shared" si="2"/>
        <v>8</v>
      </c>
    </row>
    <row r="864">
      <c r="A864" s="11">
        <v>863.0</v>
      </c>
      <c r="B864" s="12">
        <f t="shared" ref="B864:B870" si="141">DATE(2012,12,31)-1319</f>
        <v>39955</v>
      </c>
      <c r="C864" s="11" t="s">
        <v>1170</v>
      </c>
      <c r="D864" s="11" t="s">
        <v>66</v>
      </c>
      <c r="F864" s="38">
        <f>IFERROR(__xludf.DUMMYFUNCTION("""COMPUTED_VALUE"""),40702.0)</f>
        <v>40702</v>
      </c>
      <c r="G864" s="39">
        <f t="shared" si="2"/>
        <v>6</v>
      </c>
    </row>
    <row r="865">
      <c r="A865" s="11">
        <v>864.0</v>
      </c>
      <c r="B865" s="12">
        <f t="shared" si="141"/>
        <v>39955</v>
      </c>
      <c r="C865" s="11" t="s">
        <v>1349</v>
      </c>
      <c r="D865" s="11" t="s">
        <v>49</v>
      </c>
      <c r="F865" s="38">
        <f>IFERROR(__xludf.DUMMYFUNCTION("""COMPUTED_VALUE"""),40703.0)</f>
        <v>40703</v>
      </c>
      <c r="G865" s="39">
        <f t="shared" si="2"/>
        <v>6</v>
      </c>
    </row>
    <row r="866">
      <c r="A866" s="11">
        <v>865.0</v>
      </c>
      <c r="B866" s="12">
        <f t="shared" si="141"/>
        <v>39955</v>
      </c>
      <c r="C866" s="11" t="s">
        <v>1349</v>
      </c>
      <c r="D866" s="11" t="s">
        <v>66</v>
      </c>
      <c r="F866" s="38">
        <f>IFERROR(__xludf.DUMMYFUNCTION("""COMPUTED_VALUE"""),40704.0)</f>
        <v>40704</v>
      </c>
      <c r="G866" s="39">
        <f t="shared" si="2"/>
        <v>10</v>
      </c>
    </row>
    <row r="867">
      <c r="A867" s="11">
        <v>866.0</v>
      </c>
      <c r="B867" s="12">
        <f t="shared" si="141"/>
        <v>39955</v>
      </c>
      <c r="C867" s="11" t="s">
        <v>803</v>
      </c>
      <c r="D867" s="11" t="s">
        <v>28</v>
      </c>
      <c r="F867" s="38">
        <f>IFERROR(__xludf.DUMMYFUNCTION("""COMPUTED_VALUE"""),40705.0)</f>
        <v>40705</v>
      </c>
      <c r="G867" s="39">
        <f t="shared" si="2"/>
        <v>6</v>
      </c>
    </row>
    <row r="868">
      <c r="A868" s="11">
        <v>867.0</v>
      </c>
      <c r="B868" s="12">
        <f t="shared" si="141"/>
        <v>39955</v>
      </c>
      <c r="C868" s="11" t="s">
        <v>1051</v>
      </c>
      <c r="D868" s="11" t="s">
        <v>66</v>
      </c>
      <c r="F868" s="38">
        <f>IFERROR(__xludf.DUMMYFUNCTION("""COMPUTED_VALUE"""),40706.0)</f>
        <v>40706</v>
      </c>
      <c r="G868" s="39">
        <f t="shared" si="2"/>
        <v>4</v>
      </c>
    </row>
    <row r="869">
      <c r="A869" s="11">
        <v>868.0</v>
      </c>
      <c r="B869" s="12">
        <f t="shared" si="141"/>
        <v>39955</v>
      </c>
      <c r="C869" s="11" t="s">
        <v>1353</v>
      </c>
      <c r="D869" s="11" t="s">
        <v>28</v>
      </c>
      <c r="F869" s="38">
        <f>IFERROR(__xludf.DUMMYFUNCTION("""COMPUTED_VALUE"""),40707.0)</f>
        <v>40707</v>
      </c>
      <c r="G869" s="39">
        <f t="shared" si="2"/>
        <v>3</v>
      </c>
    </row>
    <row r="870">
      <c r="A870" s="11">
        <v>869.0</v>
      </c>
      <c r="B870" s="12">
        <f t="shared" si="141"/>
        <v>39955</v>
      </c>
      <c r="C870" s="11" t="s">
        <v>1353</v>
      </c>
      <c r="D870" s="11" t="s">
        <v>28</v>
      </c>
      <c r="F870" s="38">
        <f>IFERROR(__xludf.DUMMYFUNCTION("""COMPUTED_VALUE"""),40708.0)</f>
        <v>40708</v>
      </c>
      <c r="G870" s="39">
        <f t="shared" si="2"/>
        <v>8</v>
      </c>
    </row>
    <row r="871">
      <c r="A871" s="11">
        <v>870.0</v>
      </c>
      <c r="B871" s="12">
        <f t="shared" ref="B871:B875" si="142">DATE(2012,12,31)-1318</f>
        <v>39956</v>
      </c>
      <c r="C871" s="11" t="s">
        <v>1355</v>
      </c>
      <c r="D871" s="11" t="s">
        <v>28</v>
      </c>
      <c r="F871" s="38">
        <f>IFERROR(__xludf.DUMMYFUNCTION("""COMPUTED_VALUE"""),40709.0)</f>
        <v>40709</v>
      </c>
      <c r="G871" s="39">
        <f t="shared" si="2"/>
        <v>2</v>
      </c>
    </row>
    <row r="872">
      <c r="A872" s="11">
        <v>871.0</v>
      </c>
      <c r="B872" s="12">
        <f t="shared" si="142"/>
        <v>39956</v>
      </c>
      <c r="C872" s="11" t="s">
        <v>1357</v>
      </c>
      <c r="D872" s="11" t="s">
        <v>28</v>
      </c>
      <c r="F872" s="38">
        <f>IFERROR(__xludf.DUMMYFUNCTION("""COMPUTED_VALUE"""),40710.0)</f>
        <v>40710</v>
      </c>
      <c r="G872" s="39">
        <f t="shared" si="2"/>
        <v>7</v>
      </c>
    </row>
    <row r="873">
      <c r="A873" s="11">
        <v>872.0</v>
      </c>
      <c r="B873" s="12">
        <f t="shared" si="142"/>
        <v>39956</v>
      </c>
      <c r="C873" s="11" t="s">
        <v>1360</v>
      </c>
      <c r="D873" s="11" t="s">
        <v>66</v>
      </c>
      <c r="F873" s="38">
        <f>IFERROR(__xludf.DUMMYFUNCTION("""COMPUTED_VALUE"""),40711.0)</f>
        <v>40711</v>
      </c>
      <c r="G873" s="39">
        <f t="shared" si="2"/>
        <v>7</v>
      </c>
    </row>
    <row r="874">
      <c r="A874" s="11">
        <v>873.0</v>
      </c>
      <c r="B874" s="12">
        <f t="shared" si="142"/>
        <v>39956</v>
      </c>
      <c r="C874" s="11" t="s">
        <v>1360</v>
      </c>
      <c r="D874" s="11" t="s">
        <v>28</v>
      </c>
      <c r="F874" s="38">
        <f>IFERROR(__xludf.DUMMYFUNCTION("""COMPUTED_VALUE"""),40712.0)</f>
        <v>40712</v>
      </c>
      <c r="G874" s="39">
        <f t="shared" si="2"/>
        <v>4</v>
      </c>
    </row>
    <row r="875">
      <c r="A875" s="11">
        <v>874.0</v>
      </c>
      <c r="B875" s="12">
        <f t="shared" si="142"/>
        <v>39956</v>
      </c>
      <c r="C875" s="11" t="s">
        <v>1024</v>
      </c>
      <c r="D875" s="11" t="s">
        <v>28</v>
      </c>
      <c r="F875" s="38">
        <f>IFERROR(__xludf.DUMMYFUNCTION("""COMPUTED_VALUE"""),40713.0)</f>
        <v>40713</v>
      </c>
      <c r="G875" s="39">
        <f t="shared" si="2"/>
        <v>4</v>
      </c>
    </row>
    <row r="876">
      <c r="A876" s="11">
        <v>875.0</v>
      </c>
      <c r="B876" s="12">
        <f t="shared" ref="B876:B882" si="143">DATE(2012,12,31)-1317</f>
        <v>39957</v>
      </c>
      <c r="C876" s="11" t="s">
        <v>1364</v>
      </c>
      <c r="D876" s="11" t="s">
        <v>49</v>
      </c>
      <c r="F876" s="38">
        <f>IFERROR(__xludf.DUMMYFUNCTION("""COMPUTED_VALUE"""),40714.0)</f>
        <v>40714</v>
      </c>
      <c r="G876" s="39">
        <f t="shared" si="2"/>
        <v>5</v>
      </c>
    </row>
    <row r="877">
      <c r="A877" s="11">
        <v>876.0</v>
      </c>
      <c r="B877" s="12">
        <f t="shared" si="143"/>
        <v>39957</v>
      </c>
      <c r="C877" s="11" t="s">
        <v>639</v>
      </c>
      <c r="D877" s="11" t="s">
        <v>66</v>
      </c>
      <c r="F877" s="38">
        <f>IFERROR(__xludf.DUMMYFUNCTION("""COMPUTED_VALUE"""),40715.0)</f>
        <v>40715</v>
      </c>
      <c r="G877" s="39">
        <f t="shared" si="2"/>
        <v>4</v>
      </c>
    </row>
    <row r="878">
      <c r="A878" s="11">
        <v>877.0</v>
      </c>
      <c r="B878" s="12">
        <f t="shared" si="143"/>
        <v>39957</v>
      </c>
      <c r="C878" s="11" t="s">
        <v>639</v>
      </c>
      <c r="D878" s="11" t="s">
        <v>28</v>
      </c>
      <c r="F878" s="38">
        <f>IFERROR(__xludf.DUMMYFUNCTION("""COMPUTED_VALUE"""),40716.0)</f>
        <v>40716</v>
      </c>
      <c r="G878" s="39">
        <f t="shared" si="2"/>
        <v>14</v>
      </c>
    </row>
    <row r="879">
      <c r="A879" s="11">
        <v>878.0</v>
      </c>
      <c r="B879" s="12">
        <f t="shared" si="143"/>
        <v>39957</v>
      </c>
      <c r="C879" s="11" t="s">
        <v>385</v>
      </c>
      <c r="D879" s="11" t="s">
        <v>28</v>
      </c>
      <c r="F879" s="38">
        <f>IFERROR(__xludf.DUMMYFUNCTION("""COMPUTED_VALUE"""),40717.0)</f>
        <v>40717</v>
      </c>
      <c r="G879" s="39">
        <f t="shared" si="2"/>
        <v>5</v>
      </c>
    </row>
    <row r="880">
      <c r="A880" s="11">
        <v>879.0</v>
      </c>
      <c r="B880" s="12">
        <f t="shared" si="143"/>
        <v>39957</v>
      </c>
      <c r="C880" s="11" t="s">
        <v>385</v>
      </c>
      <c r="D880" s="11" t="s">
        <v>66</v>
      </c>
      <c r="F880" s="38">
        <f>IFERROR(__xludf.DUMMYFUNCTION("""COMPUTED_VALUE"""),40718.0)</f>
        <v>40718</v>
      </c>
      <c r="G880" s="39">
        <f t="shared" si="2"/>
        <v>4</v>
      </c>
    </row>
    <row r="881">
      <c r="A881" s="11">
        <v>880.0</v>
      </c>
      <c r="B881" s="12">
        <f t="shared" si="143"/>
        <v>39957</v>
      </c>
      <c r="C881" s="11" t="s">
        <v>385</v>
      </c>
      <c r="D881" s="11" t="s">
        <v>49</v>
      </c>
      <c r="F881" s="38">
        <f>IFERROR(__xludf.DUMMYFUNCTION("""COMPUTED_VALUE"""),40719.0)</f>
        <v>40719</v>
      </c>
      <c r="G881" s="39">
        <f t="shared" si="2"/>
        <v>5</v>
      </c>
    </row>
    <row r="882">
      <c r="A882" s="11">
        <v>881.0</v>
      </c>
      <c r="B882" s="12">
        <f t="shared" si="143"/>
        <v>39957</v>
      </c>
      <c r="C882" s="11" t="s">
        <v>1054</v>
      </c>
      <c r="D882" s="11" t="s">
        <v>49</v>
      </c>
      <c r="F882" s="38">
        <f>IFERROR(__xludf.DUMMYFUNCTION("""COMPUTED_VALUE"""),40720.0)</f>
        <v>40720</v>
      </c>
      <c r="G882" s="39">
        <f t="shared" si="2"/>
        <v>2</v>
      </c>
    </row>
    <row r="883">
      <c r="A883" s="11">
        <v>882.0</v>
      </c>
      <c r="B883" s="12">
        <f t="shared" ref="B883:B893" si="144">DATE(2012,12,31)-1316</f>
        <v>39958</v>
      </c>
      <c r="C883" s="11" t="s">
        <v>1370</v>
      </c>
      <c r="D883" s="11" t="s">
        <v>28</v>
      </c>
      <c r="F883" s="38">
        <f>IFERROR(__xludf.DUMMYFUNCTION("""COMPUTED_VALUE"""),40721.0)</f>
        <v>40721</v>
      </c>
      <c r="G883" s="39">
        <f t="shared" si="2"/>
        <v>3</v>
      </c>
    </row>
    <row r="884">
      <c r="A884" s="11">
        <v>883.0</v>
      </c>
      <c r="B884" s="12">
        <f t="shared" si="144"/>
        <v>39958</v>
      </c>
      <c r="C884" s="11" t="s">
        <v>721</v>
      </c>
      <c r="D884" s="11" t="s">
        <v>28</v>
      </c>
      <c r="F884" s="38">
        <f>IFERROR(__xludf.DUMMYFUNCTION("""COMPUTED_VALUE"""),40722.0)</f>
        <v>40722</v>
      </c>
      <c r="G884" s="39">
        <f t="shared" si="2"/>
        <v>6</v>
      </c>
    </row>
    <row r="885">
      <c r="A885" s="11">
        <v>884.0</v>
      </c>
      <c r="B885" s="12">
        <f t="shared" si="144"/>
        <v>39958</v>
      </c>
      <c r="C885" s="11" t="s">
        <v>193</v>
      </c>
      <c r="D885" s="11" t="s">
        <v>28</v>
      </c>
      <c r="F885" s="38">
        <f>IFERROR(__xludf.DUMMYFUNCTION("""COMPUTED_VALUE"""),40723.0)</f>
        <v>40723</v>
      </c>
      <c r="G885" s="39">
        <f t="shared" si="2"/>
        <v>6</v>
      </c>
    </row>
    <row r="886">
      <c r="A886" s="11">
        <v>885.0</v>
      </c>
      <c r="B886" s="12">
        <f t="shared" si="144"/>
        <v>39958</v>
      </c>
      <c r="C886" s="11" t="s">
        <v>1372</v>
      </c>
      <c r="D886" s="11" t="s">
        <v>28</v>
      </c>
      <c r="F886" s="38">
        <f>IFERROR(__xludf.DUMMYFUNCTION("""COMPUTED_VALUE"""),40724.0)</f>
        <v>40724</v>
      </c>
      <c r="G886" s="39">
        <f t="shared" si="2"/>
        <v>6</v>
      </c>
    </row>
    <row r="887">
      <c r="A887" s="11">
        <v>886.0</v>
      </c>
      <c r="B887" s="12">
        <f t="shared" si="144"/>
        <v>39958</v>
      </c>
      <c r="C887" s="11" t="s">
        <v>1373</v>
      </c>
      <c r="D887" s="11" t="s">
        <v>66</v>
      </c>
      <c r="F887" s="38">
        <f>IFERROR(__xludf.DUMMYFUNCTION("""COMPUTED_VALUE"""),40725.0)</f>
        <v>40725</v>
      </c>
      <c r="G887" s="39">
        <f t="shared" si="2"/>
        <v>5</v>
      </c>
    </row>
    <row r="888">
      <c r="A888" s="11">
        <v>887.0</v>
      </c>
      <c r="B888" s="12">
        <f t="shared" si="144"/>
        <v>39958</v>
      </c>
      <c r="C888" s="11" t="s">
        <v>1374</v>
      </c>
      <c r="D888" s="11" t="s">
        <v>66</v>
      </c>
      <c r="F888" s="38">
        <f>IFERROR(__xludf.DUMMYFUNCTION("""COMPUTED_VALUE"""),40726.0)</f>
        <v>40726</v>
      </c>
      <c r="G888" s="39">
        <f t="shared" si="2"/>
        <v>7</v>
      </c>
    </row>
    <row r="889">
      <c r="A889" s="11">
        <v>888.0</v>
      </c>
      <c r="B889" s="12">
        <f t="shared" si="144"/>
        <v>39958</v>
      </c>
      <c r="C889" s="11" t="s">
        <v>1374</v>
      </c>
      <c r="D889" s="11" t="s">
        <v>28</v>
      </c>
      <c r="F889" s="38">
        <f>IFERROR(__xludf.DUMMYFUNCTION("""COMPUTED_VALUE"""),40727.0)</f>
        <v>40727</v>
      </c>
      <c r="G889" s="39">
        <f t="shared" si="2"/>
        <v>10</v>
      </c>
    </row>
    <row r="890">
      <c r="A890" s="11">
        <v>889.0</v>
      </c>
      <c r="B890" s="12">
        <f t="shared" si="144"/>
        <v>39958</v>
      </c>
      <c r="C890" s="11" t="s">
        <v>1377</v>
      </c>
      <c r="D890" s="11" t="s">
        <v>28</v>
      </c>
      <c r="F890" s="38">
        <f>IFERROR(__xludf.DUMMYFUNCTION("""COMPUTED_VALUE"""),40728.0)</f>
        <v>40728</v>
      </c>
      <c r="G890" s="39">
        <f t="shared" si="2"/>
        <v>8</v>
      </c>
    </row>
    <row r="891">
      <c r="A891" s="11">
        <v>890.0</v>
      </c>
      <c r="B891" s="12">
        <f t="shared" si="144"/>
        <v>39958</v>
      </c>
      <c r="C891" s="11" t="s">
        <v>1377</v>
      </c>
      <c r="D891" s="11" t="s">
        <v>28</v>
      </c>
      <c r="F891" s="38">
        <f>IFERROR(__xludf.DUMMYFUNCTION("""COMPUTED_VALUE"""),40729.0)</f>
        <v>40729</v>
      </c>
      <c r="G891" s="39">
        <f t="shared" si="2"/>
        <v>7</v>
      </c>
    </row>
    <row r="892">
      <c r="A892" s="11">
        <v>891.0</v>
      </c>
      <c r="B892" s="12">
        <f t="shared" si="144"/>
        <v>39958</v>
      </c>
      <c r="C892" s="11" t="s">
        <v>1377</v>
      </c>
      <c r="D892" s="11" t="s">
        <v>66</v>
      </c>
      <c r="F892" s="38">
        <f>IFERROR(__xludf.DUMMYFUNCTION("""COMPUTED_VALUE"""),40730.0)</f>
        <v>40730</v>
      </c>
      <c r="G892" s="39">
        <f t="shared" si="2"/>
        <v>5</v>
      </c>
    </row>
    <row r="893">
      <c r="A893" s="11">
        <v>892.0</v>
      </c>
      <c r="B893" s="12">
        <f t="shared" si="144"/>
        <v>39958</v>
      </c>
      <c r="C893" s="11" t="s">
        <v>1377</v>
      </c>
      <c r="D893" s="11" t="s">
        <v>66</v>
      </c>
      <c r="F893" s="38">
        <f>IFERROR(__xludf.DUMMYFUNCTION("""COMPUTED_VALUE"""),40731.0)</f>
        <v>40731</v>
      </c>
      <c r="G893" s="39">
        <f t="shared" si="2"/>
        <v>5</v>
      </c>
    </row>
    <row r="894">
      <c r="A894" s="11">
        <v>893.0</v>
      </c>
      <c r="B894" s="12">
        <f t="shared" ref="B894:B899" si="145">DATE(2012,12,31)-1315</f>
        <v>39959</v>
      </c>
      <c r="C894" s="11" t="s">
        <v>934</v>
      </c>
      <c r="D894" s="11" t="s">
        <v>49</v>
      </c>
      <c r="F894" s="38">
        <f>IFERROR(__xludf.DUMMYFUNCTION("""COMPUTED_VALUE"""),40732.0)</f>
        <v>40732</v>
      </c>
      <c r="G894" s="39">
        <f t="shared" si="2"/>
        <v>2</v>
      </c>
    </row>
    <row r="895">
      <c r="A895" s="11">
        <v>894.0</v>
      </c>
      <c r="B895" s="12">
        <f t="shared" si="145"/>
        <v>39959</v>
      </c>
      <c r="C895" s="11" t="s">
        <v>1276</v>
      </c>
      <c r="D895" s="11" t="s">
        <v>28</v>
      </c>
      <c r="F895" s="38">
        <f>IFERROR(__xludf.DUMMYFUNCTION("""COMPUTED_VALUE"""),40734.0)</f>
        <v>40734</v>
      </c>
      <c r="G895" s="39">
        <f t="shared" si="2"/>
        <v>8</v>
      </c>
    </row>
    <row r="896">
      <c r="A896" s="11">
        <v>895.0</v>
      </c>
      <c r="B896" s="12">
        <f t="shared" si="145"/>
        <v>39959</v>
      </c>
      <c r="C896" s="11" t="s">
        <v>1168</v>
      </c>
      <c r="D896" s="11" t="s">
        <v>28</v>
      </c>
      <c r="F896" s="38">
        <f>IFERROR(__xludf.DUMMYFUNCTION("""COMPUTED_VALUE"""),40735.0)</f>
        <v>40735</v>
      </c>
      <c r="G896" s="39">
        <f t="shared" si="2"/>
        <v>1</v>
      </c>
    </row>
    <row r="897">
      <c r="A897" s="11">
        <v>896.0</v>
      </c>
      <c r="B897" s="12">
        <f t="shared" si="145"/>
        <v>39959</v>
      </c>
      <c r="C897" s="11" t="s">
        <v>1168</v>
      </c>
      <c r="D897" s="11" t="s">
        <v>66</v>
      </c>
      <c r="F897" s="38">
        <f>IFERROR(__xludf.DUMMYFUNCTION("""COMPUTED_VALUE"""),40736.0)</f>
        <v>40736</v>
      </c>
      <c r="G897" s="39">
        <f t="shared" si="2"/>
        <v>10</v>
      </c>
    </row>
    <row r="898">
      <c r="A898" s="11">
        <v>897.0</v>
      </c>
      <c r="B898" s="12">
        <f t="shared" si="145"/>
        <v>39959</v>
      </c>
      <c r="C898" s="11" t="s">
        <v>1384</v>
      </c>
      <c r="D898" s="11" t="s">
        <v>28</v>
      </c>
      <c r="F898" s="38">
        <f>IFERROR(__xludf.DUMMYFUNCTION("""COMPUTED_VALUE"""),40737.0)</f>
        <v>40737</v>
      </c>
      <c r="G898" s="39">
        <f t="shared" si="2"/>
        <v>5</v>
      </c>
    </row>
    <row r="899">
      <c r="A899" s="11">
        <v>898.0</v>
      </c>
      <c r="B899" s="12">
        <f t="shared" si="145"/>
        <v>39959</v>
      </c>
      <c r="C899" s="11" t="s">
        <v>1384</v>
      </c>
      <c r="D899" s="11" t="s">
        <v>28</v>
      </c>
      <c r="F899" s="38">
        <f>IFERROR(__xludf.DUMMYFUNCTION("""COMPUTED_VALUE"""),40738.0)</f>
        <v>40738</v>
      </c>
      <c r="G899" s="39">
        <f t="shared" si="2"/>
        <v>6</v>
      </c>
    </row>
    <row r="900">
      <c r="A900" s="11">
        <v>899.0</v>
      </c>
      <c r="B900" s="12">
        <f t="shared" ref="B900:B904" si="146">DATE(2012,12,31)-1314</f>
        <v>39960</v>
      </c>
      <c r="C900" s="11" t="s">
        <v>1385</v>
      </c>
      <c r="D900" s="11" t="s">
        <v>28</v>
      </c>
      <c r="F900" s="38">
        <f>IFERROR(__xludf.DUMMYFUNCTION("""COMPUTED_VALUE"""),40739.0)</f>
        <v>40739</v>
      </c>
      <c r="G900" s="39">
        <f t="shared" si="2"/>
        <v>9</v>
      </c>
    </row>
    <row r="901">
      <c r="A901" s="11">
        <v>900.0</v>
      </c>
      <c r="B901" s="12">
        <f t="shared" si="146"/>
        <v>39960</v>
      </c>
      <c r="C901" s="11" t="s">
        <v>1385</v>
      </c>
      <c r="D901" s="11" t="s">
        <v>66</v>
      </c>
      <c r="F901" s="38">
        <f>IFERROR(__xludf.DUMMYFUNCTION("""COMPUTED_VALUE"""),40740.0)</f>
        <v>40740</v>
      </c>
      <c r="G901" s="39">
        <f t="shared" si="2"/>
        <v>5</v>
      </c>
    </row>
    <row r="902">
      <c r="A902" s="11">
        <v>901.0</v>
      </c>
      <c r="B902" s="12">
        <f t="shared" si="146"/>
        <v>39960</v>
      </c>
      <c r="C902" s="11" t="s">
        <v>1108</v>
      </c>
      <c r="D902" s="11" t="s">
        <v>28</v>
      </c>
      <c r="F902" s="38">
        <f>IFERROR(__xludf.DUMMYFUNCTION("""COMPUTED_VALUE"""),40741.0)</f>
        <v>40741</v>
      </c>
      <c r="G902" s="39">
        <f t="shared" si="2"/>
        <v>1</v>
      </c>
    </row>
    <row r="903">
      <c r="A903" s="11">
        <v>902.0</v>
      </c>
      <c r="B903" s="12">
        <f t="shared" si="146"/>
        <v>39960</v>
      </c>
      <c r="C903" s="11" t="s">
        <v>1108</v>
      </c>
      <c r="D903" s="11" t="s">
        <v>66</v>
      </c>
      <c r="F903" s="38">
        <f>IFERROR(__xludf.DUMMYFUNCTION("""COMPUTED_VALUE"""),40742.0)</f>
        <v>40742</v>
      </c>
      <c r="G903" s="39">
        <f t="shared" si="2"/>
        <v>8</v>
      </c>
    </row>
    <row r="904">
      <c r="A904" s="11">
        <v>903.0</v>
      </c>
      <c r="B904" s="12">
        <f t="shared" si="146"/>
        <v>39960</v>
      </c>
      <c r="C904" s="11" t="s">
        <v>1386</v>
      </c>
      <c r="D904" s="11" t="s">
        <v>49</v>
      </c>
      <c r="F904" s="38">
        <f>IFERROR(__xludf.DUMMYFUNCTION("""COMPUTED_VALUE"""),40743.0)</f>
        <v>40743</v>
      </c>
      <c r="G904" s="39">
        <f t="shared" si="2"/>
        <v>4</v>
      </c>
    </row>
    <row r="905">
      <c r="A905" s="11">
        <v>904.0</v>
      </c>
      <c r="B905" s="12">
        <f t="shared" ref="B905:B910" si="147">DATE(2012,12,31)-1313</f>
        <v>39961</v>
      </c>
      <c r="C905" s="11" t="s">
        <v>1387</v>
      </c>
      <c r="D905" s="11" t="s">
        <v>28</v>
      </c>
      <c r="F905" s="38">
        <f>IFERROR(__xludf.DUMMYFUNCTION("""COMPUTED_VALUE"""),40744.0)</f>
        <v>40744</v>
      </c>
      <c r="G905" s="39">
        <f t="shared" si="2"/>
        <v>1</v>
      </c>
    </row>
    <row r="906">
      <c r="A906" s="11">
        <v>905.0</v>
      </c>
      <c r="B906" s="12">
        <f t="shared" si="147"/>
        <v>39961</v>
      </c>
      <c r="C906" s="11" t="s">
        <v>1387</v>
      </c>
      <c r="D906" s="11" t="s">
        <v>49</v>
      </c>
      <c r="F906" s="38">
        <f>IFERROR(__xludf.DUMMYFUNCTION("""COMPUTED_VALUE"""),40745.0)</f>
        <v>40745</v>
      </c>
      <c r="G906" s="39">
        <f t="shared" si="2"/>
        <v>6</v>
      </c>
    </row>
    <row r="907">
      <c r="A907" s="11">
        <v>906.0</v>
      </c>
      <c r="B907" s="12">
        <f t="shared" si="147"/>
        <v>39961</v>
      </c>
      <c r="C907" s="11" t="s">
        <v>392</v>
      </c>
      <c r="D907" s="11" t="s">
        <v>28</v>
      </c>
      <c r="F907" s="38">
        <f>IFERROR(__xludf.DUMMYFUNCTION("""COMPUTED_VALUE"""),40746.0)</f>
        <v>40746</v>
      </c>
      <c r="G907" s="39">
        <f t="shared" si="2"/>
        <v>6</v>
      </c>
    </row>
    <row r="908">
      <c r="A908" s="11">
        <v>907.0</v>
      </c>
      <c r="B908" s="12">
        <f t="shared" si="147"/>
        <v>39961</v>
      </c>
      <c r="C908" s="11" t="s">
        <v>407</v>
      </c>
      <c r="D908" s="11" t="s">
        <v>28</v>
      </c>
      <c r="F908" s="38">
        <f>IFERROR(__xludf.DUMMYFUNCTION("""COMPUTED_VALUE"""),40747.0)</f>
        <v>40747</v>
      </c>
      <c r="G908" s="39">
        <f t="shared" si="2"/>
        <v>8</v>
      </c>
    </row>
    <row r="909">
      <c r="A909" s="11">
        <v>908.0</v>
      </c>
      <c r="B909" s="12">
        <f t="shared" si="147"/>
        <v>39961</v>
      </c>
      <c r="C909" s="11" t="s">
        <v>1390</v>
      </c>
      <c r="D909" s="11" t="s">
        <v>28</v>
      </c>
      <c r="F909" s="38">
        <f>IFERROR(__xludf.DUMMYFUNCTION("""COMPUTED_VALUE"""),40748.0)</f>
        <v>40748</v>
      </c>
      <c r="G909" s="39">
        <f t="shared" si="2"/>
        <v>5</v>
      </c>
    </row>
    <row r="910">
      <c r="A910" s="11">
        <v>909.0</v>
      </c>
      <c r="B910" s="12">
        <f t="shared" si="147"/>
        <v>39961</v>
      </c>
      <c r="C910" s="11" t="s">
        <v>1185</v>
      </c>
      <c r="D910" s="11" t="s">
        <v>28</v>
      </c>
      <c r="F910" s="38">
        <f>IFERROR(__xludf.DUMMYFUNCTION("""COMPUTED_VALUE"""),40749.0)</f>
        <v>40749</v>
      </c>
      <c r="G910" s="39">
        <f t="shared" si="2"/>
        <v>10</v>
      </c>
    </row>
    <row r="911">
      <c r="A911" s="11">
        <v>910.0</v>
      </c>
      <c r="B911" s="12">
        <f t="shared" ref="B911:B913" si="148">DATE(2012,12,31)-1312</f>
        <v>39962</v>
      </c>
      <c r="C911" s="11" t="s">
        <v>1231</v>
      </c>
      <c r="D911" s="11" t="s">
        <v>28</v>
      </c>
      <c r="F911" s="38">
        <f>IFERROR(__xludf.DUMMYFUNCTION("""COMPUTED_VALUE"""),40750.0)</f>
        <v>40750</v>
      </c>
      <c r="G911" s="39">
        <f t="shared" si="2"/>
        <v>3</v>
      </c>
    </row>
    <row r="912">
      <c r="A912" s="11">
        <v>911.0</v>
      </c>
      <c r="B912" s="12">
        <f t="shared" si="148"/>
        <v>39962</v>
      </c>
      <c r="C912" s="11" t="s">
        <v>1393</v>
      </c>
      <c r="D912" s="11" t="s">
        <v>66</v>
      </c>
      <c r="F912" s="38">
        <f>IFERROR(__xludf.DUMMYFUNCTION("""COMPUTED_VALUE"""),40751.0)</f>
        <v>40751</v>
      </c>
      <c r="G912" s="39">
        <f t="shared" si="2"/>
        <v>10</v>
      </c>
    </row>
    <row r="913">
      <c r="A913" s="11">
        <v>912.0</v>
      </c>
      <c r="B913" s="12">
        <f t="shared" si="148"/>
        <v>39962</v>
      </c>
      <c r="C913" s="11" t="s">
        <v>882</v>
      </c>
      <c r="D913" s="11" t="s">
        <v>66</v>
      </c>
      <c r="F913" s="38">
        <f>IFERROR(__xludf.DUMMYFUNCTION("""COMPUTED_VALUE"""),40752.0)</f>
        <v>40752</v>
      </c>
      <c r="G913" s="39">
        <f t="shared" si="2"/>
        <v>4</v>
      </c>
    </row>
    <row r="914">
      <c r="A914" s="11">
        <v>913.0</v>
      </c>
      <c r="B914" s="12">
        <f t="shared" ref="B914:B915" si="149">DATE(2012,12,31)-1311</f>
        <v>39963</v>
      </c>
      <c r="C914" s="11" t="s">
        <v>116</v>
      </c>
      <c r="D914" s="11" t="s">
        <v>28</v>
      </c>
      <c r="F914" s="38">
        <f>IFERROR(__xludf.DUMMYFUNCTION("""COMPUTED_VALUE"""),40753.0)</f>
        <v>40753</v>
      </c>
      <c r="G914" s="39">
        <f t="shared" si="2"/>
        <v>3</v>
      </c>
    </row>
    <row r="915">
      <c r="A915" s="11">
        <v>914.0</v>
      </c>
      <c r="B915" s="12">
        <f t="shared" si="149"/>
        <v>39963</v>
      </c>
      <c r="C915" s="11" t="s">
        <v>116</v>
      </c>
      <c r="D915" s="11" t="s">
        <v>28</v>
      </c>
      <c r="F915" s="38">
        <f>IFERROR(__xludf.DUMMYFUNCTION("""COMPUTED_VALUE"""),40754.0)</f>
        <v>40754</v>
      </c>
      <c r="G915" s="39">
        <f t="shared" si="2"/>
        <v>5</v>
      </c>
    </row>
    <row r="916">
      <c r="A916" s="11">
        <v>915.0</v>
      </c>
      <c r="B916" s="12">
        <f t="shared" ref="B916:B927" si="150">DATE(2012,12,31)-1309</f>
        <v>39965</v>
      </c>
      <c r="C916" s="11" t="s">
        <v>1137</v>
      </c>
      <c r="D916" s="11" t="s">
        <v>28</v>
      </c>
      <c r="F916" s="38">
        <f>IFERROR(__xludf.DUMMYFUNCTION("""COMPUTED_VALUE"""),40755.0)</f>
        <v>40755</v>
      </c>
      <c r="G916" s="39">
        <f t="shared" si="2"/>
        <v>4</v>
      </c>
    </row>
    <row r="917">
      <c r="A917" s="11">
        <v>916.0</v>
      </c>
      <c r="B917" s="12">
        <f t="shared" si="150"/>
        <v>39965</v>
      </c>
      <c r="C917" s="11" t="s">
        <v>1137</v>
      </c>
      <c r="D917" s="11" t="s">
        <v>28</v>
      </c>
      <c r="F917" s="38">
        <f>IFERROR(__xludf.DUMMYFUNCTION("""COMPUTED_VALUE"""),40756.0)</f>
        <v>40756</v>
      </c>
      <c r="G917" s="39">
        <f t="shared" si="2"/>
        <v>2</v>
      </c>
    </row>
    <row r="918">
      <c r="A918" s="11">
        <v>917.0</v>
      </c>
      <c r="B918" s="12">
        <f t="shared" si="150"/>
        <v>39965</v>
      </c>
      <c r="C918" s="11" t="s">
        <v>1130</v>
      </c>
      <c r="D918" s="11" t="s">
        <v>28</v>
      </c>
      <c r="F918" s="38">
        <f>IFERROR(__xludf.DUMMYFUNCTION("""COMPUTED_VALUE"""),40757.0)</f>
        <v>40757</v>
      </c>
      <c r="G918" s="39">
        <f t="shared" si="2"/>
        <v>4</v>
      </c>
    </row>
    <row r="919">
      <c r="A919" s="11">
        <v>918.0</v>
      </c>
      <c r="B919" s="12">
        <f t="shared" si="150"/>
        <v>39965</v>
      </c>
      <c r="C919" s="11" t="s">
        <v>843</v>
      </c>
      <c r="D919" s="11" t="s">
        <v>28</v>
      </c>
      <c r="F919" s="38">
        <f>IFERROR(__xludf.DUMMYFUNCTION("""COMPUTED_VALUE"""),40758.0)</f>
        <v>40758</v>
      </c>
      <c r="G919" s="39">
        <f t="shared" si="2"/>
        <v>5</v>
      </c>
    </row>
    <row r="920">
      <c r="A920" s="11">
        <v>919.0</v>
      </c>
      <c r="B920" s="12">
        <f t="shared" si="150"/>
        <v>39965</v>
      </c>
      <c r="C920" s="11" t="s">
        <v>843</v>
      </c>
      <c r="D920" s="11" t="s">
        <v>28</v>
      </c>
      <c r="F920" s="38">
        <f>IFERROR(__xludf.DUMMYFUNCTION("""COMPUTED_VALUE"""),40759.0)</f>
        <v>40759</v>
      </c>
      <c r="G920" s="39">
        <f t="shared" si="2"/>
        <v>4</v>
      </c>
    </row>
    <row r="921">
      <c r="A921" s="11">
        <v>920.0</v>
      </c>
      <c r="B921" s="12">
        <f t="shared" si="150"/>
        <v>39965</v>
      </c>
      <c r="C921" s="11" t="s">
        <v>1401</v>
      </c>
      <c r="D921" s="11" t="s">
        <v>49</v>
      </c>
      <c r="F921" s="38">
        <f>IFERROR(__xludf.DUMMYFUNCTION("""COMPUTED_VALUE"""),40760.0)</f>
        <v>40760</v>
      </c>
      <c r="G921" s="39">
        <f t="shared" si="2"/>
        <v>3</v>
      </c>
    </row>
    <row r="922">
      <c r="A922" s="11">
        <v>921.0</v>
      </c>
      <c r="B922" s="12">
        <f t="shared" si="150"/>
        <v>39965</v>
      </c>
      <c r="C922" s="11" t="s">
        <v>1401</v>
      </c>
      <c r="D922" s="11" t="s">
        <v>49</v>
      </c>
      <c r="F922" s="38">
        <f>IFERROR(__xludf.DUMMYFUNCTION("""COMPUTED_VALUE"""),40761.0)</f>
        <v>40761</v>
      </c>
      <c r="G922" s="39">
        <f t="shared" si="2"/>
        <v>3</v>
      </c>
    </row>
    <row r="923">
      <c r="A923" s="11">
        <v>922.0</v>
      </c>
      <c r="B923" s="12">
        <f t="shared" si="150"/>
        <v>39965</v>
      </c>
      <c r="C923" s="11" t="s">
        <v>181</v>
      </c>
      <c r="D923" s="11" t="s">
        <v>28</v>
      </c>
      <c r="F923" s="38">
        <f>IFERROR(__xludf.DUMMYFUNCTION("""COMPUTED_VALUE"""),40762.0)</f>
        <v>40762</v>
      </c>
      <c r="G923" s="39">
        <f t="shared" si="2"/>
        <v>6</v>
      </c>
    </row>
    <row r="924">
      <c r="A924" s="11">
        <v>923.0</v>
      </c>
      <c r="B924" s="12">
        <f t="shared" si="150"/>
        <v>39965</v>
      </c>
      <c r="C924" s="11" t="s">
        <v>181</v>
      </c>
      <c r="D924" s="11" t="s">
        <v>28</v>
      </c>
      <c r="F924" s="38">
        <f>IFERROR(__xludf.DUMMYFUNCTION("""COMPUTED_VALUE"""),40763.0)</f>
        <v>40763</v>
      </c>
      <c r="G924" s="39">
        <f t="shared" si="2"/>
        <v>7</v>
      </c>
    </row>
    <row r="925">
      <c r="A925" s="11">
        <v>924.0</v>
      </c>
      <c r="B925" s="12">
        <f t="shared" si="150"/>
        <v>39965</v>
      </c>
      <c r="C925" s="11" t="s">
        <v>1405</v>
      </c>
      <c r="D925" s="11" t="s">
        <v>28</v>
      </c>
      <c r="F925" s="38">
        <f>IFERROR(__xludf.DUMMYFUNCTION("""COMPUTED_VALUE"""),40764.0)</f>
        <v>40764</v>
      </c>
      <c r="G925" s="39">
        <f t="shared" si="2"/>
        <v>6</v>
      </c>
    </row>
    <row r="926">
      <c r="A926" s="11">
        <v>925.0</v>
      </c>
      <c r="B926" s="12">
        <f t="shared" si="150"/>
        <v>39965</v>
      </c>
      <c r="C926" s="11" t="s">
        <v>1405</v>
      </c>
      <c r="D926" s="11" t="s">
        <v>66</v>
      </c>
      <c r="F926" s="38">
        <f>IFERROR(__xludf.DUMMYFUNCTION("""COMPUTED_VALUE"""),40765.0)</f>
        <v>40765</v>
      </c>
      <c r="G926" s="39">
        <f t="shared" si="2"/>
        <v>7</v>
      </c>
    </row>
    <row r="927">
      <c r="A927" s="11">
        <v>926.0</v>
      </c>
      <c r="B927" s="12">
        <f t="shared" si="150"/>
        <v>39965</v>
      </c>
      <c r="C927" s="11" t="s">
        <v>429</v>
      </c>
      <c r="D927" s="11" t="s">
        <v>28</v>
      </c>
      <c r="F927" s="38">
        <f>IFERROR(__xludf.DUMMYFUNCTION("""COMPUTED_VALUE"""),40766.0)</f>
        <v>40766</v>
      </c>
      <c r="G927" s="39">
        <f t="shared" si="2"/>
        <v>6</v>
      </c>
    </row>
    <row r="928">
      <c r="A928" s="11">
        <v>927.0</v>
      </c>
      <c r="B928" s="12">
        <f t="shared" ref="B928:B933" si="151">DATE(2012,12,31)-1308</f>
        <v>39966</v>
      </c>
      <c r="C928" s="11" t="s">
        <v>1409</v>
      </c>
      <c r="D928" s="11" t="s">
        <v>49</v>
      </c>
      <c r="F928" s="38">
        <f>IFERROR(__xludf.DUMMYFUNCTION("""COMPUTED_VALUE"""),40767.0)</f>
        <v>40767</v>
      </c>
      <c r="G928" s="39">
        <f t="shared" si="2"/>
        <v>3</v>
      </c>
    </row>
    <row r="929">
      <c r="A929" s="11">
        <v>928.0</v>
      </c>
      <c r="B929" s="12">
        <f t="shared" si="151"/>
        <v>39966</v>
      </c>
      <c r="C929" s="11" t="s">
        <v>1410</v>
      </c>
      <c r="D929" s="11" t="s">
        <v>28</v>
      </c>
      <c r="F929" s="38">
        <f>IFERROR(__xludf.DUMMYFUNCTION("""COMPUTED_VALUE"""),40768.0)</f>
        <v>40768</v>
      </c>
      <c r="G929" s="39">
        <f t="shared" si="2"/>
        <v>3</v>
      </c>
    </row>
    <row r="930">
      <c r="A930" s="11">
        <v>929.0</v>
      </c>
      <c r="B930" s="12">
        <f t="shared" si="151"/>
        <v>39966</v>
      </c>
      <c r="C930" s="11" t="s">
        <v>1410</v>
      </c>
      <c r="D930" s="11" t="s">
        <v>66</v>
      </c>
      <c r="F930" s="38">
        <f>IFERROR(__xludf.DUMMYFUNCTION("""COMPUTED_VALUE"""),40769.0)</f>
        <v>40769</v>
      </c>
      <c r="G930" s="39">
        <f t="shared" si="2"/>
        <v>5</v>
      </c>
    </row>
    <row r="931">
      <c r="A931" s="11">
        <v>930.0</v>
      </c>
      <c r="B931" s="12">
        <f t="shared" si="151"/>
        <v>39966</v>
      </c>
      <c r="C931" s="11" t="s">
        <v>326</v>
      </c>
      <c r="D931" s="11" t="s">
        <v>28</v>
      </c>
      <c r="F931" s="38">
        <f>IFERROR(__xludf.DUMMYFUNCTION("""COMPUTED_VALUE"""),40770.0)</f>
        <v>40770</v>
      </c>
      <c r="G931" s="39">
        <f t="shared" si="2"/>
        <v>3</v>
      </c>
    </row>
    <row r="932">
      <c r="A932" s="11">
        <v>931.0</v>
      </c>
      <c r="B932" s="12">
        <f t="shared" si="151"/>
        <v>39966</v>
      </c>
      <c r="C932" s="11" t="s">
        <v>326</v>
      </c>
      <c r="D932" s="11" t="s">
        <v>66</v>
      </c>
      <c r="F932" s="38">
        <f>IFERROR(__xludf.DUMMYFUNCTION("""COMPUTED_VALUE"""),40771.0)</f>
        <v>40771</v>
      </c>
      <c r="G932" s="39">
        <f t="shared" si="2"/>
        <v>5</v>
      </c>
    </row>
    <row r="933">
      <c r="A933" s="11">
        <v>932.0</v>
      </c>
      <c r="B933" s="12">
        <f t="shared" si="151"/>
        <v>39966</v>
      </c>
      <c r="C933" s="11" t="s">
        <v>326</v>
      </c>
      <c r="D933" s="11" t="s">
        <v>28</v>
      </c>
      <c r="F933" s="38">
        <f>IFERROR(__xludf.DUMMYFUNCTION("""COMPUTED_VALUE"""),40772.0)</f>
        <v>40772</v>
      </c>
      <c r="G933" s="39">
        <f t="shared" si="2"/>
        <v>7</v>
      </c>
    </row>
    <row r="934">
      <c r="A934" s="11">
        <v>933.0</v>
      </c>
      <c r="B934" s="12">
        <f t="shared" ref="B934:B943" si="152">DATE(2012,12,31)-1307</f>
        <v>39967</v>
      </c>
      <c r="C934" s="11" t="s">
        <v>1008</v>
      </c>
      <c r="D934" s="11" t="s">
        <v>49</v>
      </c>
      <c r="F934" s="38">
        <f>IFERROR(__xludf.DUMMYFUNCTION("""COMPUTED_VALUE"""),40773.0)</f>
        <v>40773</v>
      </c>
      <c r="G934" s="39">
        <f t="shared" si="2"/>
        <v>3</v>
      </c>
    </row>
    <row r="935">
      <c r="A935" s="11">
        <v>934.0</v>
      </c>
      <c r="B935" s="12">
        <f t="shared" si="152"/>
        <v>39967</v>
      </c>
      <c r="C935" s="11" t="s">
        <v>1008</v>
      </c>
      <c r="D935" s="11" t="s">
        <v>28</v>
      </c>
      <c r="F935" s="38">
        <f>IFERROR(__xludf.DUMMYFUNCTION("""COMPUTED_VALUE"""),40774.0)</f>
        <v>40774</v>
      </c>
      <c r="G935" s="39">
        <f t="shared" si="2"/>
        <v>4</v>
      </c>
    </row>
    <row r="936">
      <c r="A936" s="11">
        <v>935.0</v>
      </c>
      <c r="B936" s="12">
        <f t="shared" si="152"/>
        <v>39967</v>
      </c>
      <c r="C936" s="11" t="s">
        <v>1414</v>
      </c>
      <c r="D936" s="11" t="s">
        <v>66</v>
      </c>
      <c r="F936" s="38">
        <f>IFERROR(__xludf.DUMMYFUNCTION("""COMPUTED_VALUE"""),40775.0)</f>
        <v>40775</v>
      </c>
      <c r="G936" s="39">
        <f t="shared" si="2"/>
        <v>9</v>
      </c>
    </row>
    <row r="937">
      <c r="A937" s="11">
        <v>936.0</v>
      </c>
      <c r="B937" s="12">
        <f t="shared" si="152"/>
        <v>39967</v>
      </c>
      <c r="C937" s="11" t="s">
        <v>1415</v>
      </c>
      <c r="D937" s="11" t="s">
        <v>49</v>
      </c>
      <c r="F937" s="38">
        <f>IFERROR(__xludf.DUMMYFUNCTION("""COMPUTED_VALUE"""),40776.0)</f>
        <v>40776</v>
      </c>
      <c r="G937" s="39">
        <f t="shared" si="2"/>
        <v>11</v>
      </c>
    </row>
    <row r="938">
      <c r="A938" s="11">
        <v>937.0</v>
      </c>
      <c r="B938" s="12">
        <f t="shared" si="152"/>
        <v>39967</v>
      </c>
      <c r="C938" s="11" t="s">
        <v>232</v>
      </c>
      <c r="D938" s="11" t="s">
        <v>28</v>
      </c>
      <c r="F938" s="38">
        <f>IFERROR(__xludf.DUMMYFUNCTION("""COMPUTED_VALUE"""),40777.0)</f>
        <v>40777</v>
      </c>
      <c r="G938" s="39">
        <f t="shared" si="2"/>
        <v>2</v>
      </c>
    </row>
    <row r="939">
      <c r="A939" s="11">
        <v>938.0</v>
      </c>
      <c r="B939" s="12">
        <f t="shared" si="152"/>
        <v>39967</v>
      </c>
      <c r="C939" s="11" t="s">
        <v>1417</v>
      </c>
      <c r="D939" s="11" t="s">
        <v>49</v>
      </c>
      <c r="F939" s="38">
        <f>IFERROR(__xludf.DUMMYFUNCTION("""COMPUTED_VALUE"""),40778.0)</f>
        <v>40778</v>
      </c>
      <c r="G939" s="39">
        <f t="shared" si="2"/>
        <v>7</v>
      </c>
    </row>
    <row r="940">
      <c r="A940" s="11">
        <v>939.0</v>
      </c>
      <c r="B940" s="12">
        <f t="shared" si="152"/>
        <v>39967</v>
      </c>
      <c r="C940" s="11" t="s">
        <v>1419</v>
      </c>
      <c r="D940" s="11" t="s">
        <v>28</v>
      </c>
      <c r="F940" s="38">
        <f>IFERROR(__xludf.DUMMYFUNCTION("""COMPUTED_VALUE"""),40779.0)</f>
        <v>40779</v>
      </c>
      <c r="G940" s="39">
        <f t="shared" si="2"/>
        <v>3</v>
      </c>
    </row>
    <row r="941">
      <c r="A941" s="11">
        <v>940.0</v>
      </c>
      <c r="B941" s="12">
        <f t="shared" si="152"/>
        <v>39967</v>
      </c>
      <c r="C941" s="11" t="s">
        <v>1419</v>
      </c>
      <c r="D941" s="11" t="s">
        <v>28</v>
      </c>
      <c r="F941" s="38">
        <f>IFERROR(__xludf.DUMMYFUNCTION("""COMPUTED_VALUE"""),40780.0)</f>
        <v>40780</v>
      </c>
      <c r="G941" s="39">
        <f t="shared" si="2"/>
        <v>10</v>
      </c>
    </row>
    <row r="942">
      <c r="A942" s="11">
        <v>941.0</v>
      </c>
      <c r="B942" s="12">
        <f t="shared" si="152"/>
        <v>39967</v>
      </c>
      <c r="C942" s="11" t="s">
        <v>1419</v>
      </c>
      <c r="D942" s="11" t="s">
        <v>66</v>
      </c>
      <c r="F942" s="38">
        <f>IFERROR(__xludf.DUMMYFUNCTION("""COMPUTED_VALUE"""),40781.0)</f>
        <v>40781</v>
      </c>
      <c r="G942" s="39">
        <f t="shared" si="2"/>
        <v>5</v>
      </c>
    </row>
    <row r="943">
      <c r="A943" s="11">
        <v>942.0</v>
      </c>
      <c r="B943" s="12">
        <f t="shared" si="152"/>
        <v>39967</v>
      </c>
      <c r="C943" s="11" t="s">
        <v>1422</v>
      </c>
      <c r="D943" s="11" t="s">
        <v>28</v>
      </c>
      <c r="F943" s="38">
        <f>IFERROR(__xludf.DUMMYFUNCTION("""COMPUTED_VALUE"""),40783.0)</f>
        <v>40783</v>
      </c>
      <c r="G943" s="39">
        <f t="shared" si="2"/>
        <v>5</v>
      </c>
    </row>
    <row r="944">
      <c r="A944" s="11">
        <v>943.0</v>
      </c>
      <c r="B944" s="12">
        <f t="shared" ref="B944:B948" si="153">DATE(2012,12,31)-1306</f>
        <v>39968</v>
      </c>
      <c r="C944" s="11" t="s">
        <v>1423</v>
      </c>
      <c r="D944" s="11" t="s">
        <v>66</v>
      </c>
      <c r="F944" s="38">
        <f>IFERROR(__xludf.DUMMYFUNCTION("""COMPUTED_VALUE"""),40785.0)</f>
        <v>40785</v>
      </c>
      <c r="G944" s="39">
        <f t="shared" si="2"/>
        <v>4</v>
      </c>
    </row>
    <row r="945">
      <c r="A945" s="11">
        <v>944.0</v>
      </c>
      <c r="B945" s="12">
        <f t="shared" si="153"/>
        <v>39968</v>
      </c>
      <c r="C945" s="11" t="s">
        <v>1374</v>
      </c>
      <c r="D945" s="11" t="s">
        <v>66</v>
      </c>
      <c r="F945" s="38">
        <f>IFERROR(__xludf.DUMMYFUNCTION("""COMPUTED_VALUE"""),40786.0)</f>
        <v>40786</v>
      </c>
      <c r="G945" s="39">
        <f t="shared" si="2"/>
        <v>8</v>
      </c>
    </row>
    <row r="946">
      <c r="A946" s="11">
        <v>945.0</v>
      </c>
      <c r="B946" s="12">
        <f t="shared" si="153"/>
        <v>39968</v>
      </c>
      <c r="C946" s="11" t="s">
        <v>1374</v>
      </c>
      <c r="D946" s="11" t="s">
        <v>28</v>
      </c>
      <c r="F946" s="38">
        <f>IFERROR(__xludf.DUMMYFUNCTION("""COMPUTED_VALUE"""),40787.0)</f>
        <v>40787</v>
      </c>
      <c r="G946" s="39">
        <f t="shared" si="2"/>
        <v>2</v>
      </c>
    </row>
    <row r="947">
      <c r="A947" s="11">
        <v>946.0</v>
      </c>
      <c r="B947" s="12">
        <f t="shared" si="153"/>
        <v>39968</v>
      </c>
      <c r="C947" s="11" t="s">
        <v>300</v>
      </c>
      <c r="D947" s="11" t="s">
        <v>66</v>
      </c>
      <c r="F947" s="38">
        <f>IFERROR(__xludf.DUMMYFUNCTION("""COMPUTED_VALUE"""),40788.0)</f>
        <v>40788</v>
      </c>
      <c r="G947" s="39">
        <f t="shared" si="2"/>
        <v>6</v>
      </c>
    </row>
    <row r="948">
      <c r="A948" s="11">
        <v>947.0</v>
      </c>
      <c r="B948" s="12">
        <f t="shared" si="153"/>
        <v>39968</v>
      </c>
      <c r="C948" s="11" t="s">
        <v>1425</v>
      </c>
      <c r="D948" s="11" t="s">
        <v>49</v>
      </c>
      <c r="F948" s="38">
        <f>IFERROR(__xludf.DUMMYFUNCTION("""COMPUTED_VALUE"""),40789.0)</f>
        <v>40789</v>
      </c>
      <c r="G948" s="39">
        <f t="shared" si="2"/>
        <v>9</v>
      </c>
    </row>
    <row r="949">
      <c r="A949" s="11">
        <v>948.0</v>
      </c>
      <c r="B949" s="12">
        <f>DATE(2012,12,31)-1305</f>
        <v>39969</v>
      </c>
      <c r="C949" s="11" t="s">
        <v>703</v>
      </c>
      <c r="D949" s="11" t="s">
        <v>28</v>
      </c>
      <c r="F949" s="38">
        <f>IFERROR(__xludf.DUMMYFUNCTION("""COMPUTED_VALUE"""),40790.0)</f>
        <v>40790</v>
      </c>
      <c r="G949" s="39">
        <f t="shared" si="2"/>
        <v>8</v>
      </c>
    </row>
    <row r="950">
      <c r="A950" s="11">
        <v>949.0</v>
      </c>
      <c r="B950" s="12">
        <f t="shared" ref="B950:B951" si="154">DATE(2012,12,31)-1304</f>
        <v>39970</v>
      </c>
      <c r="C950" s="11" t="s">
        <v>1196</v>
      </c>
      <c r="D950" s="11" t="s">
        <v>28</v>
      </c>
      <c r="F950" s="38">
        <f>IFERROR(__xludf.DUMMYFUNCTION("""COMPUTED_VALUE"""),40791.0)</f>
        <v>40791</v>
      </c>
      <c r="G950" s="39">
        <f t="shared" si="2"/>
        <v>4</v>
      </c>
    </row>
    <row r="951">
      <c r="A951" s="11">
        <v>950.0</v>
      </c>
      <c r="B951" s="12">
        <f t="shared" si="154"/>
        <v>39970</v>
      </c>
      <c r="C951" s="11" t="s">
        <v>1196</v>
      </c>
      <c r="D951" s="11" t="s">
        <v>28</v>
      </c>
      <c r="F951" s="38">
        <f>IFERROR(__xludf.DUMMYFUNCTION("""COMPUTED_VALUE"""),40792.0)</f>
        <v>40792</v>
      </c>
      <c r="G951" s="39">
        <f t="shared" si="2"/>
        <v>4</v>
      </c>
    </row>
    <row r="952">
      <c r="A952" s="11">
        <v>951.0</v>
      </c>
      <c r="B952" s="12">
        <f t="shared" ref="B952:B960" si="155">DATE(2012,12,31)-1303</f>
        <v>39971</v>
      </c>
      <c r="C952" s="11" t="s">
        <v>239</v>
      </c>
      <c r="D952" s="11" t="s">
        <v>28</v>
      </c>
      <c r="F952" s="38">
        <f>IFERROR(__xludf.DUMMYFUNCTION("""COMPUTED_VALUE"""),40793.0)</f>
        <v>40793</v>
      </c>
      <c r="G952" s="39">
        <f t="shared" si="2"/>
        <v>6</v>
      </c>
    </row>
    <row r="953">
      <c r="A953" s="11">
        <v>952.0</v>
      </c>
      <c r="B953" s="12">
        <f t="shared" si="155"/>
        <v>39971</v>
      </c>
      <c r="C953" s="11" t="s">
        <v>1017</v>
      </c>
      <c r="D953" s="11" t="s">
        <v>28</v>
      </c>
      <c r="F953" s="38">
        <f>IFERROR(__xludf.DUMMYFUNCTION("""COMPUTED_VALUE"""),40794.0)</f>
        <v>40794</v>
      </c>
      <c r="G953" s="39">
        <f t="shared" si="2"/>
        <v>7</v>
      </c>
    </row>
    <row r="954">
      <c r="A954" s="11">
        <v>953.0</v>
      </c>
      <c r="B954" s="12">
        <f t="shared" si="155"/>
        <v>39971</v>
      </c>
      <c r="C954" s="11" t="s">
        <v>873</v>
      </c>
      <c r="D954" s="11" t="s">
        <v>28</v>
      </c>
      <c r="F954" s="38">
        <f>IFERROR(__xludf.DUMMYFUNCTION("""COMPUTED_VALUE"""),40795.0)</f>
        <v>40795</v>
      </c>
      <c r="G954" s="39">
        <f t="shared" si="2"/>
        <v>3</v>
      </c>
    </row>
    <row r="955">
      <c r="A955" s="11">
        <v>954.0</v>
      </c>
      <c r="B955" s="12">
        <f t="shared" si="155"/>
        <v>39971</v>
      </c>
      <c r="C955" s="11" t="s">
        <v>873</v>
      </c>
      <c r="D955" s="11" t="s">
        <v>49</v>
      </c>
      <c r="F955" s="38">
        <f>IFERROR(__xludf.DUMMYFUNCTION("""COMPUTED_VALUE"""),40796.0)</f>
        <v>40796</v>
      </c>
      <c r="G955" s="39">
        <f t="shared" si="2"/>
        <v>7</v>
      </c>
    </row>
    <row r="956">
      <c r="A956" s="11">
        <v>955.0</v>
      </c>
      <c r="B956" s="12">
        <f t="shared" si="155"/>
        <v>39971</v>
      </c>
      <c r="C956" s="11" t="s">
        <v>1433</v>
      </c>
      <c r="D956" s="11" t="s">
        <v>28</v>
      </c>
      <c r="F956" s="38">
        <f>IFERROR(__xludf.DUMMYFUNCTION("""COMPUTED_VALUE"""),40797.0)</f>
        <v>40797</v>
      </c>
      <c r="G956" s="39">
        <f t="shared" si="2"/>
        <v>6</v>
      </c>
    </row>
    <row r="957">
      <c r="A957" s="11">
        <v>956.0</v>
      </c>
      <c r="B957" s="12">
        <f t="shared" si="155"/>
        <v>39971</v>
      </c>
      <c r="C957" s="11" t="s">
        <v>1433</v>
      </c>
      <c r="D957" s="11" t="s">
        <v>28</v>
      </c>
      <c r="F957" s="38">
        <f>IFERROR(__xludf.DUMMYFUNCTION("""COMPUTED_VALUE"""),40798.0)</f>
        <v>40798</v>
      </c>
      <c r="G957" s="39">
        <f t="shared" si="2"/>
        <v>10</v>
      </c>
    </row>
    <row r="958">
      <c r="A958" s="11">
        <v>957.0</v>
      </c>
      <c r="B958" s="12">
        <f t="shared" si="155"/>
        <v>39971</v>
      </c>
      <c r="C958" s="11" t="s">
        <v>1433</v>
      </c>
      <c r="D958" s="11" t="s">
        <v>28</v>
      </c>
      <c r="F958" s="38">
        <f>IFERROR(__xludf.DUMMYFUNCTION("""COMPUTED_VALUE"""),40799.0)</f>
        <v>40799</v>
      </c>
      <c r="G958" s="39">
        <f t="shared" si="2"/>
        <v>4</v>
      </c>
    </row>
    <row r="959">
      <c r="A959" s="11">
        <v>958.0</v>
      </c>
      <c r="B959" s="12">
        <f t="shared" si="155"/>
        <v>39971</v>
      </c>
      <c r="C959" s="11" t="s">
        <v>1199</v>
      </c>
      <c r="D959" s="11" t="s">
        <v>49</v>
      </c>
      <c r="F959" s="38">
        <f>IFERROR(__xludf.DUMMYFUNCTION("""COMPUTED_VALUE"""),40800.0)</f>
        <v>40800</v>
      </c>
      <c r="G959" s="39">
        <f t="shared" si="2"/>
        <v>2</v>
      </c>
    </row>
    <row r="960">
      <c r="A960" s="11">
        <v>959.0</v>
      </c>
      <c r="B960" s="12">
        <f t="shared" si="155"/>
        <v>39971</v>
      </c>
      <c r="C960" s="11" t="s">
        <v>1199</v>
      </c>
      <c r="D960" s="11" t="s">
        <v>28</v>
      </c>
      <c r="F960" s="38">
        <f>IFERROR(__xludf.DUMMYFUNCTION("""COMPUTED_VALUE"""),40801.0)</f>
        <v>40801</v>
      </c>
      <c r="G960" s="39">
        <f t="shared" si="2"/>
        <v>20</v>
      </c>
    </row>
    <row r="961">
      <c r="A961" s="11">
        <v>960.0</v>
      </c>
      <c r="B961" s="12">
        <f t="shared" ref="B961:B962" si="156">DATE(2012,12,31)-1302</f>
        <v>39972</v>
      </c>
      <c r="C961" s="11" t="s">
        <v>1439</v>
      </c>
      <c r="D961" s="11" t="s">
        <v>66</v>
      </c>
      <c r="F961" s="38">
        <f>IFERROR(__xludf.DUMMYFUNCTION("""COMPUTED_VALUE"""),40802.0)</f>
        <v>40802</v>
      </c>
      <c r="G961" s="39">
        <f t="shared" si="2"/>
        <v>1</v>
      </c>
    </row>
    <row r="962">
      <c r="A962" s="11">
        <v>961.0</v>
      </c>
      <c r="B962" s="12">
        <f t="shared" si="156"/>
        <v>39972</v>
      </c>
      <c r="C962" s="11" t="s">
        <v>1439</v>
      </c>
      <c r="D962" s="11" t="s">
        <v>28</v>
      </c>
      <c r="F962" s="38">
        <f>IFERROR(__xludf.DUMMYFUNCTION("""COMPUTED_VALUE"""),40803.0)</f>
        <v>40803</v>
      </c>
      <c r="G962" s="39">
        <f t="shared" si="2"/>
        <v>1</v>
      </c>
    </row>
    <row r="963">
      <c r="A963" s="11">
        <v>962.0</v>
      </c>
      <c r="B963" s="12">
        <f>DATE(2012,12,31)-1301</f>
        <v>39973</v>
      </c>
      <c r="C963" s="11" t="s">
        <v>1440</v>
      </c>
      <c r="D963" s="11" t="s">
        <v>28</v>
      </c>
      <c r="F963" s="38">
        <f>IFERROR(__xludf.DUMMYFUNCTION("""COMPUTED_VALUE"""),40804.0)</f>
        <v>40804</v>
      </c>
      <c r="G963" s="39">
        <f t="shared" si="2"/>
        <v>1</v>
      </c>
    </row>
    <row r="964">
      <c r="A964" s="11">
        <v>963.0</v>
      </c>
      <c r="B964" s="12">
        <f t="shared" ref="B964:B965" si="157">DATE(2012,12,31)-1300</f>
        <v>39974</v>
      </c>
      <c r="C964" s="11" t="s">
        <v>1442</v>
      </c>
      <c r="D964" s="11" t="s">
        <v>28</v>
      </c>
      <c r="F964" s="38">
        <f>IFERROR(__xludf.DUMMYFUNCTION("""COMPUTED_VALUE"""),40805.0)</f>
        <v>40805</v>
      </c>
      <c r="G964" s="39">
        <f t="shared" si="2"/>
        <v>8</v>
      </c>
    </row>
    <row r="965">
      <c r="A965" s="11">
        <v>964.0</v>
      </c>
      <c r="B965" s="12">
        <f t="shared" si="157"/>
        <v>39974</v>
      </c>
      <c r="C965" s="11" t="s">
        <v>1444</v>
      </c>
      <c r="D965" s="11" t="s">
        <v>66</v>
      </c>
      <c r="F965" s="38">
        <f>IFERROR(__xludf.DUMMYFUNCTION("""COMPUTED_VALUE"""),40806.0)</f>
        <v>40806</v>
      </c>
      <c r="G965" s="39">
        <f t="shared" si="2"/>
        <v>1</v>
      </c>
    </row>
    <row r="966">
      <c r="A966" s="11">
        <v>965.0</v>
      </c>
      <c r="B966" s="12">
        <f t="shared" ref="B966:B975" si="158">DATE(2012,12,31)-1299</f>
        <v>39975</v>
      </c>
      <c r="C966" s="11" t="s">
        <v>1446</v>
      </c>
      <c r="D966" s="11" t="s">
        <v>66</v>
      </c>
      <c r="F966" s="38">
        <f>IFERROR(__xludf.DUMMYFUNCTION("""COMPUTED_VALUE"""),40807.0)</f>
        <v>40807</v>
      </c>
      <c r="G966" s="39">
        <f t="shared" si="2"/>
        <v>1</v>
      </c>
    </row>
    <row r="967">
      <c r="A967" s="11">
        <v>966.0</v>
      </c>
      <c r="B967" s="12">
        <f t="shared" si="158"/>
        <v>39975</v>
      </c>
      <c r="C967" s="11" t="s">
        <v>613</v>
      </c>
      <c r="D967" s="11" t="s">
        <v>66</v>
      </c>
      <c r="F967" s="38">
        <f>IFERROR(__xludf.DUMMYFUNCTION("""COMPUTED_VALUE"""),40808.0)</f>
        <v>40808</v>
      </c>
      <c r="G967" s="39">
        <f t="shared" si="2"/>
        <v>10</v>
      </c>
    </row>
    <row r="968">
      <c r="A968" s="11">
        <v>967.0</v>
      </c>
      <c r="B968" s="12">
        <f t="shared" si="158"/>
        <v>39975</v>
      </c>
      <c r="C968" s="11" t="s">
        <v>1447</v>
      </c>
      <c r="D968" s="11" t="s">
        <v>66</v>
      </c>
      <c r="F968" s="38">
        <f>IFERROR(__xludf.DUMMYFUNCTION("""COMPUTED_VALUE"""),40809.0)</f>
        <v>40809</v>
      </c>
      <c r="G968" s="39">
        <f t="shared" si="2"/>
        <v>7</v>
      </c>
    </row>
    <row r="969">
      <c r="A969" s="11">
        <v>968.0</v>
      </c>
      <c r="B969" s="12">
        <f t="shared" si="158"/>
        <v>39975</v>
      </c>
      <c r="C969" s="11" t="s">
        <v>1448</v>
      </c>
      <c r="D969" s="11" t="s">
        <v>28</v>
      </c>
      <c r="F969" s="38">
        <f>IFERROR(__xludf.DUMMYFUNCTION("""COMPUTED_VALUE"""),40810.0)</f>
        <v>40810</v>
      </c>
      <c r="G969" s="39">
        <f t="shared" si="2"/>
        <v>8</v>
      </c>
    </row>
    <row r="970">
      <c r="A970" s="11">
        <v>969.0</v>
      </c>
      <c r="B970" s="12">
        <f t="shared" si="158"/>
        <v>39975</v>
      </c>
      <c r="C970" s="11" t="s">
        <v>1448</v>
      </c>
      <c r="D970" s="11" t="s">
        <v>66</v>
      </c>
      <c r="F970" s="38">
        <f>IFERROR(__xludf.DUMMYFUNCTION("""COMPUTED_VALUE"""),40811.0)</f>
        <v>40811</v>
      </c>
      <c r="G970" s="39">
        <f t="shared" si="2"/>
        <v>4</v>
      </c>
    </row>
    <row r="971">
      <c r="A971" s="11">
        <v>970.0</v>
      </c>
      <c r="B971" s="12">
        <f t="shared" si="158"/>
        <v>39975</v>
      </c>
      <c r="C971" s="11" t="s">
        <v>1264</v>
      </c>
      <c r="D971" s="11" t="s">
        <v>28</v>
      </c>
      <c r="F971" s="38">
        <f>IFERROR(__xludf.DUMMYFUNCTION("""COMPUTED_VALUE"""),40812.0)</f>
        <v>40812</v>
      </c>
      <c r="G971" s="39">
        <f t="shared" si="2"/>
        <v>4</v>
      </c>
    </row>
    <row r="972">
      <c r="A972" s="11">
        <v>971.0</v>
      </c>
      <c r="B972" s="12">
        <f t="shared" si="158"/>
        <v>39975</v>
      </c>
      <c r="C972" s="11" t="s">
        <v>1264</v>
      </c>
      <c r="D972" s="11" t="s">
        <v>28</v>
      </c>
      <c r="F972" s="38">
        <f>IFERROR(__xludf.DUMMYFUNCTION("""COMPUTED_VALUE"""),40813.0)</f>
        <v>40813</v>
      </c>
      <c r="G972" s="39">
        <f t="shared" si="2"/>
        <v>3</v>
      </c>
    </row>
    <row r="973">
      <c r="A973" s="11">
        <v>972.0</v>
      </c>
      <c r="B973" s="12">
        <f t="shared" si="158"/>
        <v>39975</v>
      </c>
      <c r="C973" s="11" t="s">
        <v>1264</v>
      </c>
      <c r="D973" s="11" t="s">
        <v>28</v>
      </c>
      <c r="F973" s="38">
        <f>IFERROR(__xludf.DUMMYFUNCTION("""COMPUTED_VALUE"""),40814.0)</f>
        <v>40814</v>
      </c>
      <c r="G973" s="39">
        <f t="shared" si="2"/>
        <v>5</v>
      </c>
    </row>
    <row r="974">
      <c r="A974" s="11">
        <v>973.0</v>
      </c>
      <c r="B974" s="12">
        <f t="shared" si="158"/>
        <v>39975</v>
      </c>
      <c r="C974" s="11" t="s">
        <v>1264</v>
      </c>
      <c r="D974" s="11" t="s">
        <v>28</v>
      </c>
      <c r="F974" s="38">
        <f>IFERROR(__xludf.DUMMYFUNCTION("""COMPUTED_VALUE"""),40815.0)</f>
        <v>40815</v>
      </c>
      <c r="G974" s="39">
        <f t="shared" si="2"/>
        <v>7</v>
      </c>
    </row>
    <row r="975">
      <c r="A975" s="11">
        <v>974.0</v>
      </c>
      <c r="B975" s="12">
        <f t="shared" si="158"/>
        <v>39975</v>
      </c>
      <c r="C975" s="11" t="s">
        <v>232</v>
      </c>
      <c r="D975" s="11" t="s">
        <v>28</v>
      </c>
      <c r="F975" s="38">
        <f>IFERROR(__xludf.DUMMYFUNCTION("""COMPUTED_VALUE"""),40816.0)</f>
        <v>40816</v>
      </c>
      <c r="G975" s="39">
        <f t="shared" si="2"/>
        <v>3</v>
      </c>
    </row>
    <row r="976">
      <c r="A976" s="11">
        <v>975.0</v>
      </c>
      <c r="B976" s="12">
        <f t="shared" ref="B976:B986" si="159">DATE(2012,12,31)-1298</f>
        <v>39976</v>
      </c>
      <c r="C976" s="11" t="s">
        <v>152</v>
      </c>
      <c r="D976" s="11" t="s">
        <v>28</v>
      </c>
      <c r="F976" s="38">
        <f>IFERROR(__xludf.DUMMYFUNCTION("""COMPUTED_VALUE"""),40817.0)</f>
        <v>40817</v>
      </c>
      <c r="G976" s="39">
        <f t="shared" si="2"/>
        <v>6</v>
      </c>
    </row>
    <row r="977">
      <c r="A977" s="11">
        <v>976.0</v>
      </c>
      <c r="B977" s="12">
        <f t="shared" si="159"/>
        <v>39976</v>
      </c>
      <c r="C977" s="11" t="s">
        <v>1450</v>
      </c>
      <c r="D977" s="11" t="s">
        <v>28</v>
      </c>
      <c r="F977" s="38">
        <f>IFERROR(__xludf.DUMMYFUNCTION("""COMPUTED_VALUE"""),40818.0)</f>
        <v>40818</v>
      </c>
      <c r="G977" s="39">
        <f t="shared" si="2"/>
        <v>8</v>
      </c>
    </row>
    <row r="978">
      <c r="A978" s="11">
        <v>977.0</v>
      </c>
      <c r="B978" s="12">
        <f t="shared" si="159"/>
        <v>39976</v>
      </c>
      <c r="C978" s="11" t="s">
        <v>719</v>
      </c>
      <c r="D978" s="11" t="s">
        <v>66</v>
      </c>
      <c r="F978" s="38">
        <f>IFERROR(__xludf.DUMMYFUNCTION("""COMPUTED_VALUE"""),40819.0)</f>
        <v>40819</v>
      </c>
      <c r="G978" s="39">
        <f t="shared" si="2"/>
        <v>12</v>
      </c>
    </row>
    <row r="979">
      <c r="A979" s="11">
        <v>978.0</v>
      </c>
      <c r="B979" s="12">
        <f t="shared" si="159"/>
        <v>39976</v>
      </c>
      <c r="C979" s="11" t="s">
        <v>1454</v>
      </c>
      <c r="D979" s="11" t="s">
        <v>49</v>
      </c>
      <c r="F979" s="38">
        <f>IFERROR(__xludf.DUMMYFUNCTION("""COMPUTED_VALUE"""),40820.0)</f>
        <v>40820</v>
      </c>
      <c r="G979" s="39">
        <f t="shared" si="2"/>
        <v>5</v>
      </c>
    </row>
    <row r="980">
      <c r="A980" s="11">
        <v>979.0</v>
      </c>
      <c r="B980" s="12">
        <f t="shared" si="159"/>
        <v>39976</v>
      </c>
      <c r="C980" s="11" t="s">
        <v>1108</v>
      </c>
      <c r="D980" s="11" t="s">
        <v>28</v>
      </c>
      <c r="F980" s="38">
        <f>IFERROR(__xludf.DUMMYFUNCTION("""COMPUTED_VALUE"""),40821.0)</f>
        <v>40821</v>
      </c>
      <c r="G980" s="39">
        <f t="shared" si="2"/>
        <v>4</v>
      </c>
    </row>
    <row r="981">
      <c r="A981" s="11">
        <v>980.0</v>
      </c>
      <c r="B981" s="12">
        <f t="shared" si="159"/>
        <v>39976</v>
      </c>
      <c r="C981" s="11" t="s">
        <v>1108</v>
      </c>
      <c r="D981" s="11" t="s">
        <v>49</v>
      </c>
      <c r="F981" s="38">
        <f>IFERROR(__xludf.DUMMYFUNCTION("""COMPUTED_VALUE"""),40822.0)</f>
        <v>40822</v>
      </c>
      <c r="G981" s="39">
        <f t="shared" si="2"/>
        <v>5</v>
      </c>
    </row>
    <row r="982">
      <c r="A982" s="11">
        <v>981.0</v>
      </c>
      <c r="B982" s="12">
        <f t="shared" si="159"/>
        <v>39976</v>
      </c>
      <c r="C982" s="11" t="s">
        <v>781</v>
      </c>
      <c r="D982" s="11" t="s">
        <v>28</v>
      </c>
      <c r="F982" s="38">
        <f>IFERROR(__xludf.DUMMYFUNCTION("""COMPUTED_VALUE"""),40823.0)</f>
        <v>40823</v>
      </c>
      <c r="G982" s="39">
        <f t="shared" si="2"/>
        <v>5</v>
      </c>
    </row>
    <row r="983">
      <c r="A983" s="11">
        <v>982.0</v>
      </c>
      <c r="B983" s="12">
        <f t="shared" si="159"/>
        <v>39976</v>
      </c>
      <c r="C983" s="11" t="s">
        <v>781</v>
      </c>
      <c r="D983" s="11" t="s">
        <v>28</v>
      </c>
      <c r="F983" s="38">
        <f>IFERROR(__xludf.DUMMYFUNCTION("""COMPUTED_VALUE"""),40824.0)</f>
        <v>40824</v>
      </c>
      <c r="G983" s="39">
        <f t="shared" si="2"/>
        <v>4</v>
      </c>
    </row>
    <row r="984">
      <c r="A984" s="11">
        <v>983.0</v>
      </c>
      <c r="B984" s="12">
        <f t="shared" si="159"/>
        <v>39976</v>
      </c>
      <c r="C984" s="11" t="s">
        <v>1447</v>
      </c>
      <c r="D984" s="11" t="s">
        <v>49</v>
      </c>
      <c r="F984" s="38">
        <f>IFERROR(__xludf.DUMMYFUNCTION("""COMPUTED_VALUE"""),40825.0)</f>
        <v>40825</v>
      </c>
      <c r="G984" s="39">
        <f t="shared" si="2"/>
        <v>12</v>
      </c>
    </row>
    <row r="985">
      <c r="A985" s="11">
        <v>984.0</v>
      </c>
      <c r="B985" s="12">
        <f t="shared" si="159"/>
        <v>39976</v>
      </c>
      <c r="C985" s="11" t="s">
        <v>1447</v>
      </c>
      <c r="D985" s="11" t="s">
        <v>49</v>
      </c>
      <c r="F985" s="38">
        <f>IFERROR(__xludf.DUMMYFUNCTION("""COMPUTED_VALUE"""),40826.0)</f>
        <v>40826</v>
      </c>
      <c r="G985" s="39">
        <f t="shared" si="2"/>
        <v>7</v>
      </c>
    </row>
    <row r="986">
      <c r="A986" s="11">
        <v>985.0</v>
      </c>
      <c r="B986" s="12">
        <f t="shared" si="159"/>
        <v>39976</v>
      </c>
      <c r="C986" s="11" t="s">
        <v>1447</v>
      </c>
      <c r="D986" s="11" t="s">
        <v>49</v>
      </c>
      <c r="F986" s="38">
        <f>IFERROR(__xludf.DUMMYFUNCTION("""COMPUTED_VALUE"""),40827.0)</f>
        <v>40827</v>
      </c>
      <c r="G986" s="39">
        <f t="shared" si="2"/>
        <v>3</v>
      </c>
    </row>
    <row r="987">
      <c r="A987" s="11">
        <v>986.0</v>
      </c>
      <c r="B987" s="12">
        <f t="shared" ref="B987:B991" si="160">DATE(2012,12,31)-1297</f>
        <v>39977</v>
      </c>
      <c r="C987" s="11" t="s">
        <v>1460</v>
      </c>
      <c r="D987" s="11" t="s">
        <v>66</v>
      </c>
      <c r="F987" s="38">
        <f>IFERROR(__xludf.DUMMYFUNCTION("""COMPUTED_VALUE"""),40828.0)</f>
        <v>40828</v>
      </c>
      <c r="G987" s="39">
        <f t="shared" si="2"/>
        <v>5</v>
      </c>
    </row>
    <row r="988">
      <c r="A988" s="11">
        <v>987.0</v>
      </c>
      <c r="B988" s="12">
        <f t="shared" si="160"/>
        <v>39977</v>
      </c>
      <c r="C988" s="11" t="s">
        <v>1462</v>
      </c>
      <c r="D988" s="11" t="s">
        <v>28</v>
      </c>
      <c r="F988" s="38">
        <f>IFERROR(__xludf.DUMMYFUNCTION("""COMPUTED_VALUE"""),40829.0)</f>
        <v>40829</v>
      </c>
      <c r="G988" s="39">
        <f t="shared" si="2"/>
        <v>2</v>
      </c>
    </row>
    <row r="989">
      <c r="A989" s="11">
        <v>988.0</v>
      </c>
      <c r="B989" s="12">
        <f t="shared" si="160"/>
        <v>39977</v>
      </c>
      <c r="C989" s="11" t="s">
        <v>608</v>
      </c>
      <c r="D989" s="11" t="s">
        <v>66</v>
      </c>
      <c r="F989" s="38">
        <f>IFERROR(__xludf.DUMMYFUNCTION("""COMPUTED_VALUE"""),40830.0)</f>
        <v>40830</v>
      </c>
      <c r="G989" s="39">
        <f t="shared" si="2"/>
        <v>2</v>
      </c>
    </row>
    <row r="990">
      <c r="A990" s="11">
        <v>989.0</v>
      </c>
      <c r="B990" s="12">
        <f t="shared" si="160"/>
        <v>39977</v>
      </c>
      <c r="C990" s="11" t="s">
        <v>1466</v>
      </c>
      <c r="D990" s="11" t="s">
        <v>28</v>
      </c>
      <c r="F990" s="38">
        <f>IFERROR(__xludf.DUMMYFUNCTION("""COMPUTED_VALUE"""),40831.0)</f>
        <v>40831</v>
      </c>
      <c r="G990" s="39">
        <f t="shared" si="2"/>
        <v>3</v>
      </c>
    </row>
    <row r="991">
      <c r="A991" s="11">
        <v>990.0</v>
      </c>
      <c r="B991" s="12">
        <f t="shared" si="160"/>
        <v>39977</v>
      </c>
      <c r="C991" s="11" t="s">
        <v>1466</v>
      </c>
      <c r="D991" s="11" t="s">
        <v>28</v>
      </c>
      <c r="F991" s="38">
        <f>IFERROR(__xludf.DUMMYFUNCTION("""COMPUTED_VALUE"""),40832.0)</f>
        <v>40832</v>
      </c>
      <c r="G991" s="39">
        <f t="shared" si="2"/>
        <v>4</v>
      </c>
    </row>
    <row r="992">
      <c r="A992" s="11">
        <v>991.0</v>
      </c>
      <c r="B992" s="12">
        <f t="shared" ref="B992:B995" si="161">DATE(2012,12,31)-1296</f>
        <v>39978</v>
      </c>
      <c r="C992" s="11" t="s">
        <v>479</v>
      </c>
      <c r="D992" s="11" t="s">
        <v>28</v>
      </c>
      <c r="F992" s="38">
        <f>IFERROR(__xludf.DUMMYFUNCTION("""COMPUTED_VALUE"""),40833.0)</f>
        <v>40833</v>
      </c>
      <c r="G992" s="39">
        <f t="shared" si="2"/>
        <v>3</v>
      </c>
    </row>
    <row r="993">
      <c r="A993" s="11">
        <v>992.0</v>
      </c>
      <c r="B993" s="12">
        <f t="shared" si="161"/>
        <v>39978</v>
      </c>
      <c r="C993" s="11" t="s">
        <v>1468</v>
      </c>
      <c r="D993" s="11" t="s">
        <v>49</v>
      </c>
      <c r="F993" s="38">
        <f>IFERROR(__xludf.DUMMYFUNCTION("""COMPUTED_VALUE"""),40834.0)</f>
        <v>40834</v>
      </c>
      <c r="G993" s="39">
        <f t="shared" si="2"/>
        <v>5</v>
      </c>
    </row>
    <row r="994">
      <c r="A994" s="11">
        <v>993.0</v>
      </c>
      <c r="B994" s="12">
        <f t="shared" si="161"/>
        <v>39978</v>
      </c>
      <c r="C994" s="11" t="s">
        <v>1468</v>
      </c>
      <c r="D994" s="11" t="s">
        <v>49</v>
      </c>
      <c r="F994" s="38">
        <f>IFERROR(__xludf.DUMMYFUNCTION("""COMPUTED_VALUE"""),40835.0)</f>
        <v>40835</v>
      </c>
      <c r="G994" s="39">
        <f t="shared" si="2"/>
        <v>5</v>
      </c>
    </row>
    <row r="995">
      <c r="A995" s="11">
        <v>994.0</v>
      </c>
      <c r="B995" s="12">
        <f t="shared" si="161"/>
        <v>39978</v>
      </c>
      <c r="C995" s="11" t="s">
        <v>1470</v>
      </c>
      <c r="D995" s="11" t="s">
        <v>28</v>
      </c>
      <c r="F995" s="38">
        <f>IFERROR(__xludf.DUMMYFUNCTION("""COMPUTED_VALUE"""),40836.0)</f>
        <v>40836</v>
      </c>
      <c r="G995" s="39">
        <f t="shared" si="2"/>
        <v>13</v>
      </c>
    </row>
    <row r="996">
      <c r="A996" s="11">
        <v>995.0</v>
      </c>
      <c r="B996" s="12">
        <f t="shared" ref="B996:B1002" si="162">DATE(2012,12,31)-1295</f>
        <v>39979</v>
      </c>
      <c r="C996" s="11" t="s">
        <v>1472</v>
      </c>
      <c r="D996" s="11" t="s">
        <v>28</v>
      </c>
      <c r="F996" s="38">
        <f>IFERROR(__xludf.DUMMYFUNCTION("""COMPUTED_VALUE"""),40837.0)</f>
        <v>40837</v>
      </c>
      <c r="G996" s="39">
        <f t="shared" si="2"/>
        <v>4</v>
      </c>
    </row>
    <row r="997">
      <c r="A997" s="11">
        <v>996.0</v>
      </c>
      <c r="B997" s="12">
        <f t="shared" si="162"/>
        <v>39979</v>
      </c>
      <c r="C997" s="11" t="s">
        <v>1252</v>
      </c>
      <c r="D997" s="11" t="s">
        <v>28</v>
      </c>
      <c r="F997" s="38">
        <f>IFERROR(__xludf.DUMMYFUNCTION("""COMPUTED_VALUE"""),40838.0)</f>
        <v>40838</v>
      </c>
      <c r="G997" s="39">
        <f t="shared" si="2"/>
        <v>6</v>
      </c>
    </row>
    <row r="998">
      <c r="A998" s="11">
        <v>997.0</v>
      </c>
      <c r="B998" s="12">
        <f t="shared" si="162"/>
        <v>39979</v>
      </c>
      <c r="C998" s="11" t="s">
        <v>873</v>
      </c>
      <c r="D998" s="11" t="s">
        <v>49</v>
      </c>
      <c r="F998" s="38">
        <f>IFERROR(__xludf.DUMMYFUNCTION("""COMPUTED_VALUE"""),40839.0)</f>
        <v>40839</v>
      </c>
      <c r="G998" s="39">
        <f t="shared" si="2"/>
        <v>1</v>
      </c>
    </row>
    <row r="999">
      <c r="A999" s="11">
        <v>998.0</v>
      </c>
      <c r="B999" s="12">
        <f t="shared" si="162"/>
        <v>39979</v>
      </c>
      <c r="C999" s="11" t="s">
        <v>873</v>
      </c>
      <c r="D999" s="11" t="s">
        <v>49</v>
      </c>
      <c r="F999" s="38">
        <f>IFERROR(__xludf.DUMMYFUNCTION("""COMPUTED_VALUE"""),40840.0)</f>
        <v>40840</v>
      </c>
      <c r="G999" s="39">
        <f t="shared" si="2"/>
        <v>2</v>
      </c>
    </row>
    <row r="1000">
      <c r="A1000" s="11">
        <v>999.0</v>
      </c>
      <c r="B1000" s="12">
        <f t="shared" si="162"/>
        <v>39979</v>
      </c>
      <c r="C1000" s="11" t="s">
        <v>873</v>
      </c>
      <c r="D1000" s="11" t="s">
        <v>66</v>
      </c>
      <c r="F1000" s="38">
        <f>IFERROR(__xludf.DUMMYFUNCTION("""COMPUTED_VALUE"""),40841.0)</f>
        <v>40841</v>
      </c>
      <c r="G1000" s="39">
        <f t="shared" si="2"/>
        <v>6</v>
      </c>
    </row>
    <row r="1001">
      <c r="A1001" s="11">
        <v>1000.0</v>
      </c>
      <c r="B1001" s="12">
        <f t="shared" si="162"/>
        <v>39979</v>
      </c>
      <c r="C1001" s="11" t="s">
        <v>719</v>
      </c>
      <c r="D1001" s="11" t="s">
        <v>28</v>
      </c>
      <c r="F1001" s="38">
        <f>IFERROR(__xludf.DUMMYFUNCTION("""COMPUTED_VALUE"""),40842.0)</f>
        <v>40842</v>
      </c>
      <c r="G1001" s="39">
        <f t="shared" si="2"/>
        <v>6</v>
      </c>
    </row>
    <row r="1002">
      <c r="A1002" s="11">
        <v>1001.0</v>
      </c>
      <c r="B1002" s="12">
        <f t="shared" si="162"/>
        <v>39979</v>
      </c>
      <c r="C1002" s="11" t="s">
        <v>719</v>
      </c>
      <c r="D1002" s="11" t="s">
        <v>28</v>
      </c>
      <c r="F1002" s="38">
        <f>IFERROR(__xludf.DUMMYFUNCTION("""COMPUTED_VALUE"""),40843.0)</f>
        <v>40843</v>
      </c>
      <c r="G1002" s="39">
        <f t="shared" si="2"/>
        <v>1</v>
      </c>
    </row>
    <row r="1003">
      <c r="A1003" s="11">
        <v>1002.0</v>
      </c>
      <c r="B1003" s="12">
        <f>DATE(2012,12,31)-1294</f>
        <v>39980</v>
      </c>
      <c r="C1003" s="11" t="s">
        <v>1476</v>
      </c>
      <c r="D1003" s="11" t="s">
        <v>66</v>
      </c>
      <c r="F1003" s="38">
        <f>IFERROR(__xludf.DUMMYFUNCTION("""COMPUTED_VALUE"""),40844.0)</f>
        <v>40844</v>
      </c>
      <c r="G1003" s="39">
        <f t="shared" si="2"/>
        <v>9</v>
      </c>
    </row>
    <row r="1004">
      <c r="A1004" s="11">
        <v>1003.0</v>
      </c>
      <c r="B1004" s="12">
        <f t="shared" ref="B1004:B1017" si="163">DATE(2012,12,31)-1293</f>
        <v>39981</v>
      </c>
      <c r="C1004" s="11" t="s">
        <v>1298</v>
      </c>
      <c r="D1004" s="11" t="s">
        <v>49</v>
      </c>
      <c r="F1004" s="38">
        <f>IFERROR(__xludf.DUMMYFUNCTION("""COMPUTED_VALUE"""),40845.0)</f>
        <v>40845</v>
      </c>
      <c r="G1004" s="39">
        <f t="shared" si="2"/>
        <v>6</v>
      </c>
    </row>
    <row r="1005">
      <c r="A1005" s="11">
        <v>1004.0</v>
      </c>
      <c r="B1005" s="12">
        <f t="shared" si="163"/>
        <v>39981</v>
      </c>
      <c r="C1005" s="11" t="s">
        <v>1298</v>
      </c>
      <c r="D1005" s="11" t="s">
        <v>28</v>
      </c>
      <c r="F1005" s="38">
        <f>IFERROR(__xludf.DUMMYFUNCTION("""COMPUTED_VALUE"""),40846.0)</f>
        <v>40846</v>
      </c>
      <c r="G1005" s="39">
        <f t="shared" si="2"/>
        <v>6</v>
      </c>
    </row>
    <row r="1006">
      <c r="A1006" s="11">
        <v>1005.0</v>
      </c>
      <c r="B1006" s="12">
        <f t="shared" si="163"/>
        <v>39981</v>
      </c>
      <c r="C1006" s="11" t="s">
        <v>1298</v>
      </c>
      <c r="D1006" s="11" t="s">
        <v>28</v>
      </c>
      <c r="F1006" s="38">
        <f>IFERROR(__xludf.DUMMYFUNCTION("""COMPUTED_VALUE"""),40847.0)</f>
        <v>40847</v>
      </c>
      <c r="G1006" s="39">
        <f t="shared" si="2"/>
        <v>8</v>
      </c>
    </row>
    <row r="1007">
      <c r="A1007" s="11">
        <v>1006.0</v>
      </c>
      <c r="B1007" s="12">
        <f t="shared" si="163"/>
        <v>39981</v>
      </c>
      <c r="C1007" s="11" t="s">
        <v>897</v>
      </c>
      <c r="D1007" s="11" t="s">
        <v>28</v>
      </c>
      <c r="F1007" s="38">
        <f>IFERROR(__xludf.DUMMYFUNCTION("""COMPUTED_VALUE"""),40848.0)</f>
        <v>40848</v>
      </c>
      <c r="G1007" s="39">
        <f t="shared" si="2"/>
        <v>10</v>
      </c>
    </row>
    <row r="1008">
      <c r="A1008" s="11">
        <v>1007.0</v>
      </c>
      <c r="B1008" s="12">
        <f t="shared" si="163"/>
        <v>39981</v>
      </c>
      <c r="C1008" s="11" t="s">
        <v>897</v>
      </c>
      <c r="D1008" s="11" t="s">
        <v>49</v>
      </c>
      <c r="F1008" s="38">
        <f>IFERROR(__xludf.DUMMYFUNCTION("""COMPUTED_VALUE"""),40849.0)</f>
        <v>40849</v>
      </c>
      <c r="G1008" s="39">
        <f t="shared" si="2"/>
        <v>5</v>
      </c>
    </row>
    <row r="1009">
      <c r="A1009" s="11">
        <v>1008.0</v>
      </c>
      <c r="B1009" s="12">
        <f t="shared" si="163"/>
        <v>39981</v>
      </c>
      <c r="C1009" s="11" t="s">
        <v>897</v>
      </c>
      <c r="D1009" s="11" t="s">
        <v>49</v>
      </c>
      <c r="F1009" s="38">
        <f>IFERROR(__xludf.DUMMYFUNCTION("""COMPUTED_VALUE"""),40850.0)</f>
        <v>40850</v>
      </c>
      <c r="G1009" s="39">
        <f t="shared" si="2"/>
        <v>3</v>
      </c>
    </row>
    <row r="1010">
      <c r="A1010" s="11">
        <v>1009.0</v>
      </c>
      <c r="B1010" s="12">
        <f t="shared" si="163"/>
        <v>39981</v>
      </c>
      <c r="C1010" s="11" t="s">
        <v>1482</v>
      </c>
      <c r="D1010" s="11" t="s">
        <v>28</v>
      </c>
      <c r="F1010" s="38">
        <f>IFERROR(__xludf.DUMMYFUNCTION("""COMPUTED_VALUE"""),40852.0)</f>
        <v>40852</v>
      </c>
      <c r="G1010" s="39">
        <f t="shared" si="2"/>
        <v>5</v>
      </c>
    </row>
    <row r="1011">
      <c r="A1011" s="11">
        <v>1010.0</v>
      </c>
      <c r="B1011" s="12">
        <f t="shared" si="163"/>
        <v>39981</v>
      </c>
      <c r="C1011" s="11" t="s">
        <v>1482</v>
      </c>
      <c r="D1011" s="11" t="s">
        <v>49</v>
      </c>
      <c r="F1011" s="38">
        <f>IFERROR(__xludf.DUMMYFUNCTION("""COMPUTED_VALUE"""),40853.0)</f>
        <v>40853</v>
      </c>
      <c r="G1011" s="39">
        <f t="shared" si="2"/>
        <v>3</v>
      </c>
    </row>
    <row r="1012">
      <c r="A1012" s="11">
        <v>1011.0</v>
      </c>
      <c r="B1012" s="12">
        <f t="shared" si="163"/>
        <v>39981</v>
      </c>
      <c r="C1012" s="11" t="s">
        <v>1092</v>
      </c>
      <c r="D1012" s="11" t="s">
        <v>28</v>
      </c>
      <c r="F1012" s="38">
        <f>IFERROR(__xludf.DUMMYFUNCTION("""COMPUTED_VALUE"""),40854.0)</f>
        <v>40854</v>
      </c>
      <c r="G1012" s="39">
        <f t="shared" si="2"/>
        <v>6</v>
      </c>
    </row>
    <row r="1013">
      <c r="A1013" s="11">
        <v>1012.0</v>
      </c>
      <c r="B1013" s="12">
        <f t="shared" si="163"/>
        <v>39981</v>
      </c>
      <c r="C1013" s="11" t="s">
        <v>1484</v>
      </c>
      <c r="D1013" s="11" t="s">
        <v>66</v>
      </c>
      <c r="F1013" s="38">
        <f>IFERROR(__xludf.DUMMYFUNCTION("""COMPUTED_VALUE"""),40855.0)</f>
        <v>40855</v>
      </c>
      <c r="G1013" s="39">
        <f t="shared" si="2"/>
        <v>6</v>
      </c>
    </row>
    <row r="1014">
      <c r="A1014" s="11">
        <v>1013.0</v>
      </c>
      <c r="B1014" s="12">
        <f t="shared" si="163"/>
        <v>39981</v>
      </c>
      <c r="C1014" s="11" t="s">
        <v>1484</v>
      </c>
      <c r="D1014" s="11" t="s">
        <v>66</v>
      </c>
      <c r="F1014" s="38">
        <f>IFERROR(__xludf.DUMMYFUNCTION("""COMPUTED_VALUE"""),40856.0)</f>
        <v>40856</v>
      </c>
      <c r="G1014" s="39">
        <f t="shared" si="2"/>
        <v>4</v>
      </c>
    </row>
    <row r="1015">
      <c r="A1015" s="11">
        <v>1014.0</v>
      </c>
      <c r="B1015" s="12">
        <f t="shared" si="163"/>
        <v>39981</v>
      </c>
      <c r="C1015" s="11" t="s">
        <v>1484</v>
      </c>
      <c r="D1015" s="11" t="s">
        <v>49</v>
      </c>
      <c r="F1015" s="38">
        <f>IFERROR(__xludf.DUMMYFUNCTION("""COMPUTED_VALUE"""),40857.0)</f>
        <v>40857</v>
      </c>
      <c r="G1015" s="39">
        <f t="shared" si="2"/>
        <v>12</v>
      </c>
    </row>
    <row r="1016">
      <c r="A1016" s="11">
        <v>1015.0</v>
      </c>
      <c r="B1016" s="12">
        <f t="shared" si="163"/>
        <v>39981</v>
      </c>
      <c r="C1016" s="11" t="s">
        <v>385</v>
      </c>
      <c r="D1016" s="11" t="s">
        <v>28</v>
      </c>
      <c r="F1016" s="38">
        <f>IFERROR(__xludf.DUMMYFUNCTION("""COMPUTED_VALUE"""),40858.0)</f>
        <v>40858</v>
      </c>
      <c r="G1016" s="39">
        <f t="shared" si="2"/>
        <v>3</v>
      </c>
    </row>
    <row r="1017">
      <c r="A1017" s="11">
        <v>1016.0</v>
      </c>
      <c r="B1017" s="12">
        <f t="shared" si="163"/>
        <v>39981</v>
      </c>
      <c r="C1017" s="11" t="s">
        <v>385</v>
      </c>
      <c r="D1017" s="11" t="s">
        <v>28</v>
      </c>
      <c r="F1017" s="38">
        <f>IFERROR(__xludf.DUMMYFUNCTION("""COMPUTED_VALUE"""),40859.0)</f>
        <v>40859</v>
      </c>
      <c r="G1017" s="39">
        <f t="shared" si="2"/>
        <v>8</v>
      </c>
    </row>
    <row r="1018">
      <c r="A1018" s="11">
        <v>1017.0</v>
      </c>
      <c r="B1018" s="12">
        <f t="shared" ref="B1018:B1019" si="164">DATE(2012,12,31)-1292</f>
        <v>39982</v>
      </c>
      <c r="C1018" s="11" t="s">
        <v>1490</v>
      </c>
      <c r="D1018" s="11" t="s">
        <v>28</v>
      </c>
      <c r="F1018" s="38">
        <f>IFERROR(__xludf.DUMMYFUNCTION("""COMPUTED_VALUE"""),40860.0)</f>
        <v>40860</v>
      </c>
      <c r="G1018" s="39">
        <f t="shared" si="2"/>
        <v>3</v>
      </c>
    </row>
    <row r="1019">
      <c r="A1019" s="11">
        <v>1018.0</v>
      </c>
      <c r="B1019" s="12">
        <f t="shared" si="164"/>
        <v>39982</v>
      </c>
      <c r="C1019" s="11" t="s">
        <v>1492</v>
      </c>
      <c r="D1019" s="11" t="s">
        <v>66</v>
      </c>
      <c r="F1019" s="38">
        <f>IFERROR(__xludf.DUMMYFUNCTION("""COMPUTED_VALUE"""),40861.0)</f>
        <v>40861</v>
      </c>
      <c r="G1019" s="39">
        <f t="shared" si="2"/>
        <v>2</v>
      </c>
    </row>
    <row r="1020">
      <c r="A1020" s="11">
        <v>1019.0</v>
      </c>
      <c r="B1020" s="12">
        <f t="shared" ref="B1020:B1023" si="165">DATE(2012,12,31)-1291</f>
        <v>39983</v>
      </c>
      <c r="C1020" s="11" t="s">
        <v>843</v>
      </c>
      <c r="D1020" s="11" t="s">
        <v>28</v>
      </c>
      <c r="F1020" s="38">
        <f>IFERROR(__xludf.DUMMYFUNCTION("""COMPUTED_VALUE"""),40862.0)</f>
        <v>40862</v>
      </c>
      <c r="G1020" s="39">
        <f t="shared" si="2"/>
        <v>4</v>
      </c>
    </row>
    <row r="1021">
      <c r="A1021" s="11">
        <v>1020.0</v>
      </c>
      <c r="B1021" s="12">
        <f t="shared" si="165"/>
        <v>39983</v>
      </c>
      <c r="C1021" s="11" t="s">
        <v>611</v>
      </c>
      <c r="D1021" s="11" t="s">
        <v>49</v>
      </c>
      <c r="F1021" s="38">
        <f>IFERROR(__xludf.DUMMYFUNCTION("""COMPUTED_VALUE"""),40863.0)</f>
        <v>40863</v>
      </c>
      <c r="G1021" s="39">
        <f t="shared" si="2"/>
        <v>12</v>
      </c>
    </row>
    <row r="1022">
      <c r="A1022" s="11">
        <v>1021.0</v>
      </c>
      <c r="B1022" s="12">
        <f t="shared" si="165"/>
        <v>39983</v>
      </c>
      <c r="C1022" s="11" t="s">
        <v>611</v>
      </c>
      <c r="D1022" s="11" t="s">
        <v>28</v>
      </c>
      <c r="F1022" s="38">
        <f>IFERROR(__xludf.DUMMYFUNCTION("""COMPUTED_VALUE"""),40864.0)</f>
        <v>40864</v>
      </c>
      <c r="G1022" s="39">
        <f t="shared" si="2"/>
        <v>4</v>
      </c>
    </row>
    <row r="1023">
      <c r="A1023" s="11">
        <v>1022.0</v>
      </c>
      <c r="B1023" s="12">
        <f t="shared" si="165"/>
        <v>39983</v>
      </c>
      <c r="C1023" s="11" t="s">
        <v>611</v>
      </c>
      <c r="D1023" s="11" t="s">
        <v>28</v>
      </c>
      <c r="F1023" s="38">
        <f>IFERROR(__xludf.DUMMYFUNCTION("""COMPUTED_VALUE"""),40865.0)</f>
        <v>40865</v>
      </c>
      <c r="G1023" s="39">
        <f t="shared" si="2"/>
        <v>12</v>
      </c>
    </row>
    <row r="1024">
      <c r="A1024" s="11">
        <v>1023.0</v>
      </c>
      <c r="B1024" s="12">
        <f t="shared" ref="B1024:B1028" si="166">DATE(2012,12,31)-1290</f>
        <v>39984</v>
      </c>
      <c r="C1024" s="11" t="s">
        <v>808</v>
      </c>
      <c r="D1024" s="11" t="s">
        <v>28</v>
      </c>
      <c r="F1024" s="38">
        <f>IFERROR(__xludf.DUMMYFUNCTION("""COMPUTED_VALUE"""),40866.0)</f>
        <v>40866</v>
      </c>
      <c r="G1024" s="39">
        <f t="shared" si="2"/>
        <v>17</v>
      </c>
    </row>
    <row r="1025">
      <c r="A1025" s="11">
        <v>1024.0</v>
      </c>
      <c r="B1025" s="12">
        <f t="shared" si="166"/>
        <v>39984</v>
      </c>
      <c r="C1025" s="11" t="s">
        <v>1387</v>
      </c>
      <c r="D1025" s="11" t="s">
        <v>28</v>
      </c>
      <c r="F1025" s="38">
        <f>IFERROR(__xludf.DUMMYFUNCTION("""COMPUTED_VALUE"""),40867.0)</f>
        <v>40867</v>
      </c>
      <c r="G1025" s="39">
        <f t="shared" si="2"/>
        <v>2</v>
      </c>
    </row>
    <row r="1026">
      <c r="A1026" s="11">
        <v>1025.0</v>
      </c>
      <c r="B1026" s="12">
        <f t="shared" si="166"/>
        <v>39984</v>
      </c>
      <c r="C1026" s="11" t="s">
        <v>262</v>
      </c>
      <c r="D1026" s="11" t="s">
        <v>28</v>
      </c>
      <c r="F1026" s="38">
        <f>IFERROR(__xludf.DUMMYFUNCTION("""COMPUTED_VALUE"""),40868.0)</f>
        <v>40868</v>
      </c>
      <c r="G1026" s="39">
        <f t="shared" si="2"/>
        <v>4</v>
      </c>
    </row>
    <row r="1027">
      <c r="A1027" s="11">
        <v>1026.0</v>
      </c>
      <c r="B1027" s="12">
        <f t="shared" si="166"/>
        <v>39984</v>
      </c>
      <c r="C1027" s="11" t="s">
        <v>584</v>
      </c>
      <c r="D1027" s="11" t="s">
        <v>28</v>
      </c>
      <c r="F1027" s="38">
        <f>IFERROR(__xludf.DUMMYFUNCTION("""COMPUTED_VALUE"""),40869.0)</f>
        <v>40869</v>
      </c>
      <c r="G1027" s="39">
        <f t="shared" si="2"/>
        <v>8</v>
      </c>
    </row>
    <row r="1028">
      <c r="A1028" s="11">
        <v>1027.0</v>
      </c>
      <c r="B1028" s="12">
        <f t="shared" si="166"/>
        <v>39984</v>
      </c>
      <c r="C1028" s="11" t="s">
        <v>584</v>
      </c>
      <c r="D1028" s="11" t="s">
        <v>28</v>
      </c>
      <c r="F1028" s="38">
        <f>IFERROR(__xludf.DUMMYFUNCTION("""COMPUTED_VALUE"""),40870.0)</f>
        <v>40870</v>
      </c>
      <c r="G1028" s="39">
        <f t="shared" si="2"/>
        <v>1</v>
      </c>
    </row>
    <row r="1029">
      <c r="A1029" s="11">
        <v>1028.0</v>
      </c>
      <c r="B1029" s="12">
        <f t="shared" ref="B1029:B1033" si="167">DATE(2012,12,31)-1289</f>
        <v>39985</v>
      </c>
      <c r="C1029" s="11" t="s">
        <v>1496</v>
      </c>
      <c r="D1029" s="11" t="s">
        <v>28</v>
      </c>
      <c r="F1029" s="38">
        <f>IFERROR(__xludf.DUMMYFUNCTION("""COMPUTED_VALUE"""),40871.0)</f>
        <v>40871</v>
      </c>
      <c r="G1029" s="39">
        <f t="shared" si="2"/>
        <v>2</v>
      </c>
    </row>
    <row r="1030">
      <c r="A1030" s="11">
        <v>1029.0</v>
      </c>
      <c r="B1030" s="12">
        <f t="shared" si="167"/>
        <v>39985</v>
      </c>
      <c r="C1030" s="11" t="s">
        <v>1496</v>
      </c>
      <c r="D1030" s="11" t="s">
        <v>49</v>
      </c>
      <c r="F1030" s="38">
        <f>IFERROR(__xludf.DUMMYFUNCTION("""COMPUTED_VALUE"""),40872.0)</f>
        <v>40872</v>
      </c>
      <c r="G1030" s="39">
        <f t="shared" si="2"/>
        <v>4</v>
      </c>
    </row>
    <row r="1031">
      <c r="A1031" s="11">
        <v>1030.0</v>
      </c>
      <c r="B1031" s="12">
        <f t="shared" si="167"/>
        <v>39985</v>
      </c>
      <c r="C1031" s="11" t="s">
        <v>1499</v>
      </c>
      <c r="D1031" s="11" t="s">
        <v>49</v>
      </c>
      <c r="F1031" s="38">
        <f>IFERROR(__xludf.DUMMYFUNCTION("""COMPUTED_VALUE"""),40873.0)</f>
        <v>40873</v>
      </c>
      <c r="G1031" s="39">
        <f t="shared" si="2"/>
        <v>8</v>
      </c>
    </row>
    <row r="1032">
      <c r="A1032" s="11">
        <v>1031.0</v>
      </c>
      <c r="B1032" s="12">
        <f t="shared" si="167"/>
        <v>39985</v>
      </c>
      <c r="C1032" s="11" t="s">
        <v>1501</v>
      </c>
      <c r="D1032" s="11" t="s">
        <v>66</v>
      </c>
      <c r="F1032" s="38">
        <f>IFERROR(__xludf.DUMMYFUNCTION("""COMPUTED_VALUE"""),40874.0)</f>
        <v>40874</v>
      </c>
      <c r="G1032" s="39">
        <f t="shared" si="2"/>
        <v>6</v>
      </c>
    </row>
    <row r="1033">
      <c r="A1033" s="11">
        <v>1032.0</v>
      </c>
      <c r="B1033" s="12">
        <f t="shared" si="167"/>
        <v>39985</v>
      </c>
      <c r="C1033" s="11" t="s">
        <v>1501</v>
      </c>
      <c r="D1033" s="11" t="s">
        <v>28</v>
      </c>
      <c r="F1033" s="38">
        <f>IFERROR(__xludf.DUMMYFUNCTION("""COMPUTED_VALUE"""),40875.0)</f>
        <v>40875</v>
      </c>
      <c r="G1033" s="39">
        <f t="shared" si="2"/>
        <v>5</v>
      </c>
    </row>
    <row r="1034">
      <c r="A1034" s="11">
        <v>1033.0</v>
      </c>
      <c r="B1034" s="12">
        <f t="shared" ref="B1034:B1041" si="168">DATE(2012,12,31)-1288</f>
        <v>39986</v>
      </c>
      <c r="C1034" s="11" t="s">
        <v>1069</v>
      </c>
      <c r="D1034" s="11" t="s">
        <v>66</v>
      </c>
      <c r="F1034" s="38">
        <f>IFERROR(__xludf.DUMMYFUNCTION("""COMPUTED_VALUE"""),40876.0)</f>
        <v>40876</v>
      </c>
      <c r="G1034" s="39">
        <f t="shared" si="2"/>
        <v>5</v>
      </c>
    </row>
    <row r="1035">
      <c r="A1035" s="11">
        <v>1034.0</v>
      </c>
      <c r="B1035" s="12">
        <f t="shared" si="168"/>
        <v>39986</v>
      </c>
      <c r="C1035" s="11" t="s">
        <v>1069</v>
      </c>
      <c r="D1035" s="11" t="s">
        <v>28</v>
      </c>
      <c r="F1035" s="38">
        <f>IFERROR(__xludf.DUMMYFUNCTION("""COMPUTED_VALUE"""),40877.0)</f>
        <v>40877</v>
      </c>
      <c r="G1035" s="39">
        <f t="shared" si="2"/>
        <v>4</v>
      </c>
    </row>
    <row r="1036">
      <c r="A1036" s="11">
        <v>1035.0</v>
      </c>
      <c r="B1036" s="12">
        <f t="shared" si="168"/>
        <v>39986</v>
      </c>
      <c r="C1036" s="11" t="s">
        <v>436</v>
      </c>
      <c r="D1036" s="11" t="s">
        <v>28</v>
      </c>
      <c r="F1036" s="38">
        <f>IFERROR(__xludf.DUMMYFUNCTION("""COMPUTED_VALUE"""),40878.0)</f>
        <v>40878</v>
      </c>
      <c r="G1036" s="39">
        <f t="shared" si="2"/>
        <v>7</v>
      </c>
    </row>
    <row r="1037">
      <c r="A1037" s="11">
        <v>1036.0</v>
      </c>
      <c r="B1037" s="12">
        <f t="shared" si="168"/>
        <v>39986</v>
      </c>
      <c r="C1037" s="11" t="s">
        <v>436</v>
      </c>
      <c r="D1037" s="11" t="s">
        <v>66</v>
      </c>
      <c r="F1037" s="38">
        <f>IFERROR(__xludf.DUMMYFUNCTION("""COMPUTED_VALUE"""),40879.0)</f>
        <v>40879</v>
      </c>
      <c r="G1037" s="39">
        <f t="shared" si="2"/>
        <v>6</v>
      </c>
    </row>
    <row r="1038">
      <c r="A1038" s="11">
        <v>1037.0</v>
      </c>
      <c r="B1038" s="12">
        <f t="shared" si="168"/>
        <v>39986</v>
      </c>
      <c r="C1038" s="11" t="s">
        <v>1507</v>
      </c>
      <c r="D1038" s="11" t="s">
        <v>66</v>
      </c>
      <c r="F1038" s="38">
        <f>IFERROR(__xludf.DUMMYFUNCTION("""COMPUTED_VALUE"""),40880.0)</f>
        <v>40880</v>
      </c>
      <c r="G1038" s="39">
        <f t="shared" si="2"/>
        <v>5</v>
      </c>
    </row>
    <row r="1039">
      <c r="A1039" s="11">
        <v>1038.0</v>
      </c>
      <c r="B1039" s="12">
        <f t="shared" si="168"/>
        <v>39986</v>
      </c>
      <c r="C1039" s="11" t="s">
        <v>337</v>
      </c>
      <c r="D1039" s="11" t="s">
        <v>49</v>
      </c>
      <c r="F1039" s="38">
        <f>IFERROR(__xludf.DUMMYFUNCTION("""COMPUTED_VALUE"""),40881.0)</f>
        <v>40881</v>
      </c>
      <c r="G1039" s="39">
        <f t="shared" si="2"/>
        <v>5</v>
      </c>
    </row>
    <row r="1040">
      <c r="A1040" s="11">
        <v>1039.0</v>
      </c>
      <c r="B1040" s="12">
        <f t="shared" si="168"/>
        <v>39986</v>
      </c>
      <c r="C1040" s="11" t="s">
        <v>1179</v>
      </c>
      <c r="D1040" s="11" t="s">
        <v>28</v>
      </c>
      <c r="F1040" s="38">
        <f>IFERROR(__xludf.DUMMYFUNCTION("""COMPUTED_VALUE"""),40882.0)</f>
        <v>40882</v>
      </c>
      <c r="G1040" s="39">
        <f t="shared" si="2"/>
        <v>5</v>
      </c>
    </row>
    <row r="1041">
      <c r="A1041" s="11">
        <v>1040.0</v>
      </c>
      <c r="B1041" s="12">
        <f t="shared" si="168"/>
        <v>39986</v>
      </c>
      <c r="C1041" s="11" t="s">
        <v>456</v>
      </c>
      <c r="D1041" s="11" t="s">
        <v>28</v>
      </c>
      <c r="F1041" s="38">
        <f>IFERROR(__xludf.DUMMYFUNCTION("""COMPUTED_VALUE"""),40883.0)</f>
        <v>40883</v>
      </c>
      <c r="G1041" s="39">
        <f t="shared" si="2"/>
        <v>4</v>
      </c>
    </row>
    <row r="1042">
      <c r="A1042" s="11">
        <v>1041.0</v>
      </c>
      <c r="B1042" s="12">
        <f t="shared" ref="B1042:B1047" si="169">DATE(2012,12,31)-1287</f>
        <v>39987</v>
      </c>
      <c r="C1042" s="11" t="s">
        <v>1165</v>
      </c>
      <c r="D1042" s="11" t="s">
        <v>28</v>
      </c>
      <c r="F1042" s="38">
        <f>IFERROR(__xludf.DUMMYFUNCTION("""COMPUTED_VALUE"""),40884.0)</f>
        <v>40884</v>
      </c>
      <c r="G1042" s="39">
        <f t="shared" si="2"/>
        <v>13</v>
      </c>
    </row>
    <row r="1043">
      <c r="A1043" s="11">
        <v>1042.0</v>
      </c>
      <c r="B1043" s="12">
        <f t="shared" si="169"/>
        <v>39987</v>
      </c>
      <c r="C1043" s="11" t="s">
        <v>1165</v>
      </c>
      <c r="D1043" s="11" t="s">
        <v>66</v>
      </c>
      <c r="F1043" s="38">
        <f>IFERROR(__xludf.DUMMYFUNCTION("""COMPUTED_VALUE"""),40885.0)</f>
        <v>40885</v>
      </c>
      <c r="G1043" s="39">
        <f t="shared" si="2"/>
        <v>6</v>
      </c>
    </row>
    <row r="1044">
      <c r="A1044" s="11">
        <v>1043.0</v>
      </c>
      <c r="B1044" s="12">
        <f t="shared" si="169"/>
        <v>39987</v>
      </c>
      <c r="C1044" s="11" t="s">
        <v>1165</v>
      </c>
      <c r="D1044" s="11" t="s">
        <v>28</v>
      </c>
      <c r="F1044" s="38">
        <f>IFERROR(__xludf.DUMMYFUNCTION("""COMPUTED_VALUE"""),40886.0)</f>
        <v>40886</v>
      </c>
      <c r="G1044" s="39">
        <f t="shared" si="2"/>
        <v>6</v>
      </c>
    </row>
    <row r="1045">
      <c r="A1045" s="11">
        <v>1044.0</v>
      </c>
      <c r="B1045" s="12">
        <f t="shared" si="169"/>
        <v>39987</v>
      </c>
      <c r="C1045" s="11" t="s">
        <v>1120</v>
      </c>
      <c r="D1045" s="11" t="s">
        <v>49</v>
      </c>
      <c r="F1045" s="38">
        <f>IFERROR(__xludf.DUMMYFUNCTION("""COMPUTED_VALUE"""),40887.0)</f>
        <v>40887</v>
      </c>
      <c r="G1045" s="39">
        <f t="shared" si="2"/>
        <v>10</v>
      </c>
    </row>
    <row r="1046">
      <c r="A1046" s="11">
        <v>1045.0</v>
      </c>
      <c r="B1046" s="12">
        <f t="shared" si="169"/>
        <v>39987</v>
      </c>
      <c r="C1046" s="11" t="s">
        <v>1120</v>
      </c>
      <c r="D1046" s="11" t="s">
        <v>28</v>
      </c>
      <c r="F1046" s="38">
        <f>IFERROR(__xludf.DUMMYFUNCTION("""COMPUTED_VALUE"""),40888.0)</f>
        <v>40888</v>
      </c>
      <c r="G1046" s="39">
        <f t="shared" si="2"/>
        <v>7</v>
      </c>
    </row>
    <row r="1047">
      <c r="A1047" s="11">
        <v>1046.0</v>
      </c>
      <c r="B1047" s="12">
        <f t="shared" si="169"/>
        <v>39987</v>
      </c>
      <c r="C1047" s="11" t="s">
        <v>1008</v>
      </c>
      <c r="D1047" s="11" t="s">
        <v>66</v>
      </c>
      <c r="F1047" s="38">
        <f>IFERROR(__xludf.DUMMYFUNCTION("""COMPUTED_VALUE"""),40889.0)</f>
        <v>40889</v>
      </c>
      <c r="G1047" s="39">
        <f t="shared" si="2"/>
        <v>2</v>
      </c>
    </row>
    <row r="1048">
      <c r="A1048" s="11">
        <v>1047.0</v>
      </c>
      <c r="B1048" s="12">
        <f t="shared" ref="B1048:B1054" si="170">DATE(2012,12,31)-1286</f>
        <v>39988</v>
      </c>
      <c r="C1048" s="11" t="s">
        <v>636</v>
      </c>
      <c r="D1048" s="11" t="s">
        <v>28</v>
      </c>
      <c r="F1048" s="38">
        <f>IFERROR(__xludf.DUMMYFUNCTION("""COMPUTED_VALUE"""),40890.0)</f>
        <v>40890</v>
      </c>
      <c r="G1048" s="39">
        <f t="shared" si="2"/>
        <v>3</v>
      </c>
    </row>
    <row r="1049">
      <c r="A1049" s="11">
        <v>1048.0</v>
      </c>
      <c r="B1049" s="12">
        <f t="shared" si="170"/>
        <v>39988</v>
      </c>
      <c r="C1049" s="11" t="s">
        <v>1513</v>
      </c>
      <c r="D1049" s="11" t="s">
        <v>49</v>
      </c>
      <c r="F1049" s="38">
        <f>IFERROR(__xludf.DUMMYFUNCTION("""COMPUTED_VALUE"""),40891.0)</f>
        <v>40891</v>
      </c>
      <c r="G1049" s="39">
        <f t="shared" si="2"/>
        <v>3</v>
      </c>
    </row>
    <row r="1050">
      <c r="A1050" s="11">
        <v>1049.0</v>
      </c>
      <c r="B1050" s="12">
        <f t="shared" si="170"/>
        <v>39988</v>
      </c>
      <c r="C1050" s="11" t="s">
        <v>1513</v>
      </c>
      <c r="D1050" s="11" t="s">
        <v>28</v>
      </c>
      <c r="F1050" s="38">
        <f>IFERROR(__xludf.DUMMYFUNCTION("""COMPUTED_VALUE"""),40892.0)</f>
        <v>40892</v>
      </c>
      <c r="G1050" s="39">
        <f t="shared" si="2"/>
        <v>2</v>
      </c>
    </row>
    <row r="1051">
      <c r="A1051" s="11">
        <v>1050.0</v>
      </c>
      <c r="B1051" s="12">
        <f t="shared" si="170"/>
        <v>39988</v>
      </c>
      <c r="C1051" s="11" t="s">
        <v>1515</v>
      </c>
      <c r="D1051" s="11" t="s">
        <v>66</v>
      </c>
      <c r="F1051" s="38">
        <f>IFERROR(__xludf.DUMMYFUNCTION("""COMPUTED_VALUE"""),40893.0)</f>
        <v>40893</v>
      </c>
      <c r="G1051" s="39">
        <f t="shared" si="2"/>
        <v>8</v>
      </c>
    </row>
    <row r="1052">
      <c r="A1052" s="11">
        <v>1051.0</v>
      </c>
      <c r="B1052" s="12">
        <f t="shared" si="170"/>
        <v>39988</v>
      </c>
      <c r="C1052" s="11" t="s">
        <v>1516</v>
      </c>
      <c r="D1052" s="11" t="s">
        <v>66</v>
      </c>
      <c r="F1052" s="38">
        <f>IFERROR(__xludf.DUMMYFUNCTION("""COMPUTED_VALUE"""),40894.0)</f>
        <v>40894</v>
      </c>
      <c r="G1052" s="39">
        <f t="shared" si="2"/>
        <v>13</v>
      </c>
    </row>
    <row r="1053">
      <c r="A1053" s="11">
        <v>1052.0</v>
      </c>
      <c r="B1053" s="12">
        <f t="shared" si="170"/>
        <v>39988</v>
      </c>
      <c r="C1053" s="11" t="s">
        <v>1288</v>
      </c>
      <c r="D1053" s="11" t="s">
        <v>28</v>
      </c>
      <c r="F1053" s="38">
        <f>IFERROR(__xludf.DUMMYFUNCTION("""COMPUTED_VALUE"""),40895.0)</f>
        <v>40895</v>
      </c>
      <c r="G1053" s="39">
        <f t="shared" si="2"/>
        <v>14</v>
      </c>
    </row>
    <row r="1054">
      <c r="A1054" s="11">
        <v>1053.0</v>
      </c>
      <c r="B1054" s="12">
        <f t="shared" si="170"/>
        <v>39988</v>
      </c>
      <c r="C1054" s="11" t="s">
        <v>1288</v>
      </c>
      <c r="D1054" s="11" t="s">
        <v>49</v>
      </c>
      <c r="F1054" s="38">
        <f>IFERROR(__xludf.DUMMYFUNCTION("""COMPUTED_VALUE"""),40896.0)</f>
        <v>40896</v>
      </c>
      <c r="G1054" s="39">
        <f t="shared" si="2"/>
        <v>4</v>
      </c>
    </row>
    <row r="1055">
      <c r="A1055" s="11">
        <v>1054.0</v>
      </c>
      <c r="B1055" s="12">
        <f t="shared" ref="B1055:B1059" si="171">DATE(2012,12,31)-1285</f>
        <v>39989</v>
      </c>
      <c r="C1055" s="11" t="s">
        <v>1518</v>
      </c>
      <c r="D1055" s="11" t="s">
        <v>49</v>
      </c>
      <c r="F1055" s="38">
        <f>IFERROR(__xludf.DUMMYFUNCTION("""COMPUTED_VALUE"""),40897.0)</f>
        <v>40897</v>
      </c>
      <c r="G1055" s="39">
        <f t="shared" si="2"/>
        <v>9</v>
      </c>
    </row>
    <row r="1056">
      <c r="A1056" s="11">
        <v>1055.0</v>
      </c>
      <c r="B1056" s="12">
        <f t="shared" si="171"/>
        <v>39989</v>
      </c>
      <c r="C1056" s="11" t="s">
        <v>1518</v>
      </c>
      <c r="D1056" s="11" t="s">
        <v>66</v>
      </c>
      <c r="F1056" s="38">
        <f>IFERROR(__xludf.DUMMYFUNCTION("""COMPUTED_VALUE"""),40898.0)</f>
        <v>40898</v>
      </c>
      <c r="G1056" s="39">
        <f t="shared" si="2"/>
        <v>6</v>
      </c>
    </row>
    <row r="1057">
      <c r="A1057" s="11">
        <v>1056.0</v>
      </c>
      <c r="B1057" s="12">
        <f t="shared" si="171"/>
        <v>39989</v>
      </c>
      <c r="C1057" s="11" t="s">
        <v>1520</v>
      </c>
      <c r="D1057" s="11" t="s">
        <v>49</v>
      </c>
      <c r="F1057" s="38">
        <f>IFERROR(__xludf.DUMMYFUNCTION("""COMPUTED_VALUE"""),40899.0)</f>
        <v>40899</v>
      </c>
      <c r="G1057" s="39">
        <f t="shared" si="2"/>
        <v>5</v>
      </c>
    </row>
    <row r="1058">
      <c r="A1058" s="11">
        <v>1057.0</v>
      </c>
      <c r="B1058" s="12">
        <f t="shared" si="171"/>
        <v>39989</v>
      </c>
      <c r="C1058" s="11" t="s">
        <v>274</v>
      </c>
      <c r="D1058" s="11" t="s">
        <v>28</v>
      </c>
      <c r="F1058" s="38">
        <f>IFERROR(__xludf.DUMMYFUNCTION("""COMPUTED_VALUE"""),40901.0)</f>
        <v>40901</v>
      </c>
      <c r="G1058" s="39">
        <f t="shared" si="2"/>
        <v>7</v>
      </c>
    </row>
    <row r="1059">
      <c r="A1059" s="11">
        <v>1058.0</v>
      </c>
      <c r="B1059" s="12">
        <f t="shared" si="171"/>
        <v>39989</v>
      </c>
      <c r="C1059" s="11" t="s">
        <v>1454</v>
      </c>
      <c r="D1059" s="11" t="s">
        <v>49</v>
      </c>
      <c r="F1059" s="38">
        <f>IFERROR(__xludf.DUMMYFUNCTION("""COMPUTED_VALUE"""),40902.0)</f>
        <v>40902</v>
      </c>
      <c r="G1059" s="39">
        <f t="shared" si="2"/>
        <v>7</v>
      </c>
    </row>
    <row r="1060">
      <c r="A1060" s="11">
        <v>1059.0</v>
      </c>
      <c r="B1060" s="12">
        <f>DATE(2012,12,31)-1284</f>
        <v>39990</v>
      </c>
      <c r="C1060" s="11" t="s">
        <v>1524</v>
      </c>
      <c r="D1060" s="11" t="s">
        <v>28</v>
      </c>
      <c r="F1060" s="38">
        <f>IFERROR(__xludf.DUMMYFUNCTION("""COMPUTED_VALUE"""),40903.0)</f>
        <v>40903</v>
      </c>
      <c r="G1060" s="39">
        <f t="shared" si="2"/>
        <v>2</v>
      </c>
    </row>
    <row r="1061">
      <c r="A1061" s="11">
        <v>1060.0</v>
      </c>
      <c r="B1061" s="12">
        <f t="shared" ref="B1061:B1064" si="172">DATE(2012,12,31)-1282</f>
        <v>39992</v>
      </c>
      <c r="C1061" s="11" t="s">
        <v>1527</v>
      </c>
      <c r="D1061" s="11" t="s">
        <v>28</v>
      </c>
      <c r="F1061" s="38">
        <f>IFERROR(__xludf.DUMMYFUNCTION("""COMPUTED_VALUE"""),40904.0)</f>
        <v>40904</v>
      </c>
      <c r="G1061" s="39">
        <f t="shared" si="2"/>
        <v>2</v>
      </c>
    </row>
    <row r="1062">
      <c r="A1062" s="11">
        <v>1061.0</v>
      </c>
      <c r="B1062" s="12">
        <f t="shared" si="172"/>
        <v>39992</v>
      </c>
      <c r="C1062" s="11" t="s">
        <v>1529</v>
      </c>
      <c r="D1062" s="11" t="s">
        <v>28</v>
      </c>
      <c r="F1062" s="38">
        <f>IFERROR(__xludf.DUMMYFUNCTION("""COMPUTED_VALUE"""),40905.0)</f>
        <v>40905</v>
      </c>
      <c r="G1062" s="39">
        <f t="shared" si="2"/>
        <v>1</v>
      </c>
    </row>
    <row r="1063">
      <c r="A1063" s="11">
        <v>1062.0</v>
      </c>
      <c r="B1063" s="12">
        <f t="shared" si="172"/>
        <v>39992</v>
      </c>
      <c r="C1063" s="11" t="s">
        <v>1529</v>
      </c>
      <c r="D1063" s="11" t="s">
        <v>49</v>
      </c>
      <c r="F1063" s="38">
        <f>IFERROR(__xludf.DUMMYFUNCTION("""COMPUTED_VALUE"""),40906.0)</f>
        <v>40906</v>
      </c>
      <c r="G1063" s="39">
        <f t="shared" si="2"/>
        <v>7</v>
      </c>
    </row>
    <row r="1064">
      <c r="A1064" s="11">
        <v>1063.0</v>
      </c>
      <c r="B1064" s="12">
        <f t="shared" si="172"/>
        <v>39992</v>
      </c>
      <c r="C1064" s="11" t="s">
        <v>1529</v>
      </c>
      <c r="D1064" s="11" t="s">
        <v>28</v>
      </c>
      <c r="F1064" s="38">
        <f>IFERROR(__xludf.DUMMYFUNCTION("""COMPUTED_VALUE"""),40907.0)</f>
        <v>40907</v>
      </c>
      <c r="G1064" s="39">
        <f t="shared" si="2"/>
        <v>11</v>
      </c>
    </row>
    <row r="1065">
      <c r="A1065" s="11">
        <v>1064.0</v>
      </c>
      <c r="B1065" s="12">
        <f t="shared" ref="B1065:B1070" si="173">DATE(2012,12,31)-1281</f>
        <v>39993</v>
      </c>
      <c r="C1065" s="11" t="s">
        <v>1409</v>
      </c>
      <c r="D1065" s="11" t="s">
        <v>66</v>
      </c>
      <c r="F1065" s="38">
        <f>IFERROR(__xludf.DUMMYFUNCTION("""COMPUTED_VALUE"""),40908.0)</f>
        <v>40908</v>
      </c>
      <c r="G1065" s="39">
        <f t="shared" si="2"/>
        <v>6</v>
      </c>
    </row>
    <row r="1066">
      <c r="A1066" s="11">
        <v>1065.0</v>
      </c>
      <c r="B1066" s="12">
        <f t="shared" si="173"/>
        <v>39993</v>
      </c>
      <c r="C1066" s="11" t="s">
        <v>1409</v>
      </c>
      <c r="D1066" s="11" t="s">
        <v>28</v>
      </c>
      <c r="F1066" s="38">
        <f>IFERROR(__xludf.DUMMYFUNCTION("""COMPUTED_VALUE"""),40909.0)</f>
        <v>40909</v>
      </c>
      <c r="G1066" s="39">
        <f t="shared" si="2"/>
        <v>2</v>
      </c>
    </row>
    <row r="1067">
      <c r="A1067" s="11">
        <v>1066.0</v>
      </c>
      <c r="B1067" s="12">
        <f t="shared" si="173"/>
        <v>39993</v>
      </c>
      <c r="C1067" s="11" t="s">
        <v>1409</v>
      </c>
      <c r="D1067" s="11" t="s">
        <v>28</v>
      </c>
      <c r="F1067" s="38">
        <f>IFERROR(__xludf.DUMMYFUNCTION("""COMPUTED_VALUE"""),40910.0)</f>
        <v>40910</v>
      </c>
      <c r="G1067" s="39">
        <f t="shared" si="2"/>
        <v>3</v>
      </c>
    </row>
    <row r="1068">
      <c r="A1068" s="11">
        <v>1067.0</v>
      </c>
      <c r="B1068" s="12">
        <f t="shared" si="173"/>
        <v>39993</v>
      </c>
      <c r="C1068" s="11" t="s">
        <v>1355</v>
      </c>
      <c r="D1068" s="11" t="s">
        <v>66</v>
      </c>
      <c r="F1068" s="38">
        <f>IFERROR(__xludf.DUMMYFUNCTION("""COMPUTED_VALUE"""),40911.0)</f>
        <v>40911</v>
      </c>
      <c r="G1068" s="39">
        <f t="shared" si="2"/>
        <v>8</v>
      </c>
    </row>
    <row r="1069">
      <c r="A1069" s="11">
        <v>1068.0</v>
      </c>
      <c r="B1069" s="12">
        <f t="shared" si="173"/>
        <v>39993</v>
      </c>
      <c r="C1069" s="11" t="s">
        <v>1332</v>
      </c>
      <c r="D1069" s="11" t="s">
        <v>49</v>
      </c>
      <c r="F1069" s="38">
        <f>IFERROR(__xludf.DUMMYFUNCTION("""COMPUTED_VALUE"""),40912.0)</f>
        <v>40912</v>
      </c>
      <c r="G1069" s="39">
        <f t="shared" si="2"/>
        <v>9</v>
      </c>
    </row>
    <row r="1070">
      <c r="A1070" s="11">
        <v>1069.0</v>
      </c>
      <c r="B1070" s="12">
        <f t="shared" si="173"/>
        <v>39993</v>
      </c>
      <c r="C1070" s="11" t="s">
        <v>1533</v>
      </c>
      <c r="D1070" s="11" t="s">
        <v>28</v>
      </c>
      <c r="F1070" s="38">
        <f>IFERROR(__xludf.DUMMYFUNCTION("""COMPUTED_VALUE"""),40913.0)</f>
        <v>40913</v>
      </c>
      <c r="G1070" s="39">
        <f t="shared" si="2"/>
        <v>14</v>
      </c>
    </row>
    <row r="1071">
      <c r="A1071" s="11">
        <v>1070.0</v>
      </c>
      <c r="B1071" s="12">
        <f t="shared" ref="B1071:B1079" si="174">DATE(2012,12,31)-1280</f>
        <v>39994</v>
      </c>
      <c r="C1071" s="11" t="s">
        <v>1535</v>
      </c>
      <c r="D1071" s="11" t="s">
        <v>28</v>
      </c>
      <c r="F1071" s="38">
        <f>IFERROR(__xludf.DUMMYFUNCTION("""COMPUTED_VALUE"""),40914.0)</f>
        <v>40914</v>
      </c>
      <c r="G1071" s="39">
        <f t="shared" si="2"/>
        <v>4</v>
      </c>
    </row>
    <row r="1072">
      <c r="A1072" s="11">
        <v>1071.0</v>
      </c>
      <c r="B1072" s="12">
        <f t="shared" si="174"/>
        <v>39994</v>
      </c>
      <c r="C1072" s="11" t="s">
        <v>1535</v>
      </c>
      <c r="D1072" s="11" t="s">
        <v>49</v>
      </c>
      <c r="F1072" s="38">
        <f>IFERROR(__xludf.DUMMYFUNCTION("""COMPUTED_VALUE"""),40915.0)</f>
        <v>40915</v>
      </c>
      <c r="G1072" s="39">
        <f t="shared" si="2"/>
        <v>3</v>
      </c>
    </row>
    <row r="1073">
      <c r="A1073" s="11">
        <v>1072.0</v>
      </c>
      <c r="B1073" s="12">
        <f t="shared" si="174"/>
        <v>39994</v>
      </c>
      <c r="C1073" s="11" t="s">
        <v>1536</v>
      </c>
      <c r="D1073" s="11" t="s">
        <v>66</v>
      </c>
      <c r="F1073" s="38">
        <f>IFERROR(__xludf.DUMMYFUNCTION("""COMPUTED_VALUE"""),40916.0)</f>
        <v>40916</v>
      </c>
      <c r="G1073" s="39">
        <f t="shared" si="2"/>
        <v>11</v>
      </c>
    </row>
    <row r="1074">
      <c r="A1074" s="11">
        <v>1073.0</v>
      </c>
      <c r="B1074" s="12">
        <f t="shared" si="174"/>
        <v>39994</v>
      </c>
      <c r="C1074" s="11" t="s">
        <v>1196</v>
      </c>
      <c r="D1074" s="11" t="s">
        <v>28</v>
      </c>
      <c r="F1074" s="38">
        <f>IFERROR(__xludf.DUMMYFUNCTION("""COMPUTED_VALUE"""),40917.0)</f>
        <v>40917</v>
      </c>
      <c r="G1074" s="39">
        <f t="shared" si="2"/>
        <v>4</v>
      </c>
    </row>
    <row r="1075">
      <c r="A1075" s="11">
        <v>1074.0</v>
      </c>
      <c r="B1075" s="12">
        <f t="shared" si="174"/>
        <v>39994</v>
      </c>
      <c r="C1075" s="11" t="s">
        <v>1196</v>
      </c>
      <c r="D1075" s="11" t="s">
        <v>28</v>
      </c>
      <c r="F1075" s="38">
        <f>IFERROR(__xludf.DUMMYFUNCTION("""COMPUTED_VALUE"""),40918.0)</f>
        <v>40918</v>
      </c>
      <c r="G1075" s="39">
        <f t="shared" si="2"/>
        <v>5</v>
      </c>
    </row>
    <row r="1076">
      <c r="A1076" s="11">
        <v>1075.0</v>
      </c>
      <c r="B1076" s="12">
        <f t="shared" si="174"/>
        <v>39994</v>
      </c>
      <c r="C1076" s="11" t="s">
        <v>1196</v>
      </c>
      <c r="D1076" s="11" t="s">
        <v>28</v>
      </c>
      <c r="F1076" s="38">
        <f>IFERROR(__xludf.DUMMYFUNCTION("""COMPUTED_VALUE"""),40919.0)</f>
        <v>40919</v>
      </c>
      <c r="G1076" s="39">
        <f t="shared" si="2"/>
        <v>8</v>
      </c>
    </row>
    <row r="1077">
      <c r="A1077" s="11">
        <v>1076.0</v>
      </c>
      <c r="B1077" s="12">
        <f t="shared" si="174"/>
        <v>39994</v>
      </c>
      <c r="C1077" s="11" t="s">
        <v>703</v>
      </c>
      <c r="D1077" s="11" t="s">
        <v>49</v>
      </c>
      <c r="F1077" s="38">
        <f>IFERROR(__xludf.DUMMYFUNCTION("""COMPUTED_VALUE"""),40920.0)</f>
        <v>40920</v>
      </c>
      <c r="G1077" s="39">
        <f t="shared" si="2"/>
        <v>9</v>
      </c>
    </row>
    <row r="1078">
      <c r="A1078" s="11">
        <v>1077.0</v>
      </c>
      <c r="B1078" s="12">
        <f t="shared" si="174"/>
        <v>39994</v>
      </c>
      <c r="C1078" s="11" t="s">
        <v>412</v>
      </c>
      <c r="D1078" s="11" t="s">
        <v>66</v>
      </c>
      <c r="F1078" s="38">
        <f>IFERROR(__xludf.DUMMYFUNCTION("""COMPUTED_VALUE"""),40921.0)</f>
        <v>40921</v>
      </c>
      <c r="G1078" s="39">
        <f t="shared" si="2"/>
        <v>7</v>
      </c>
    </row>
    <row r="1079">
      <c r="A1079" s="11">
        <v>1078.0</v>
      </c>
      <c r="B1079" s="12">
        <f t="shared" si="174"/>
        <v>39994</v>
      </c>
      <c r="C1079" s="11" t="s">
        <v>1228</v>
      </c>
      <c r="D1079" s="11" t="s">
        <v>28</v>
      </c>
      <c r="F1079" s="38">
        <f>IFERROR(__xludf.DUMMYFUNCTION("""COMPUTED_VALUE"""),40922.0)</f>
        <v>40922</v>
      </c>
      <c r="G1079" s="39">
        <f t="shared" si="2"/>
        <v>1</v>
      </c>
    </row>
    <row r="1080">
      <c r="A1080" s="11">
        <v>1079.0</v>
      </c>
      <c r="B1080" s="12">
        <f t="shared" ref="B1080:B1089" si="175">DATE(2012,12,31)-1279</f>
        <v>39995</v>
      </c>
      <c r="C1080" s="11" t="s">
        <v>928</v>
      </c>
      <c r="D1080" s="11" t="s">
        <v>66</v>
      </c>
      <c r="F1080" s="38">
        <f>IFERROR(__xludf.DUMMYFUNCTION("""COMPUTED_VALUE"""),40923.0)</f>
        <v>40923</v>
      </c>
      <c r="G1080" s="39">
        <f t="shared" si="2"/>
        <v>3</v>
      </c>
    </row>
    <row r="1081">
      <c r="A1081" s="11">
        <v>1080.0</v>
      </c>
      <c r="B1081" s="12">
        <f t="shared" si="175"/>
        <v>39995</v>
      </c>
      <c r="C1081" s="11" t="s">
        <v>928</v>
      </c>
      <c r="D1081" s="11" t="s">
        <v>28</v>
      </c>
      <c r="F1081" s="38">
        <f>IFERROR(__xludf.DUMMYFUNCTION("""COMPUTED_VALUE"""),40924.0)</f>
        <v>40924</v>
      </c>
      <c r="G1081" s="39">
        <f t="shared" si="2"/>
        <v>7</v>
      </c>
    </row>
    <row r="1082">
      <c r="A1082" s="11">
        <v>1081.0</v>
      </c>
      <c r="B1082" s="12">
        <f t="shared" si="175"/>
        <v>39995</v>
      </c>
      <c r="C1082" s="11" t="s">
        <v>945</v>
      </c>
      <c r="D1082" s="11" t="s">
        <v>49</v>
      </c>
      <c r="F1082" s="38">
        <f>IFERROR(__xludf.DUMMYFUNCTION("""COMPUTED_VALUE"""),40926.0)</f>
        <v>40926</v>
      </c>
      <c r="G1082" s="39">
        <f t="shared" si="2"/>
        <v>6</v>
      </c>
    </row>
    <row r="1083">
      <c r="A1083" s="11">
        <v>1082.0</v>
      </c>
      <c r="B1083" s="12">
        <f t="shared" si="175"/>
        <v>39995</v>
      </c>
      <c r="C1083" s="11" t="s">
        <v>1256</v>
      </c>
      <c r="D1083" s="11" t="s">
        <v>28</v>
      </c>
      <c r="F1083" s="38">
        <f>IFERROR(__xludf.DUMMYFUNCTION("""COMPUTED_VALUE"""),40927.0)</f>
        <v>40927</v>
      </c>
      <c r="G1083" s="39">
        <f t="shared" si="2"/>
        <v>10</v>
      </c>
    </row>
    <row r="1084">
      <c r="A1084" s="11">
        <v>1083.0</v>
      </c>
      <c r="B1084" s="12">
        <f t="shared" si="175"/>
        <v>39995</v>
      </c>
      <c r="C1084" s="11" t="s">
        <v>262</v>
      </c>
      <c r="D1084" s="11" t="s">
        <v>66</v>
      </c>
      <c r="F1084" s="38">
        <f>IFERROR(__xludf.DUMMYFUNCTION("""COMPUTED_VALUE"""),40928.0)</f>
        <v>40928</v>
      </c>
      <c r="G1084" s="39">
        <f t="shared" si="2"/>
        <v>5</v>
      </c>
    </row>
    <row r="1085">
      <c r="A1085" s="11">
        <v>1084.0</v>
      </c>
      <c r="B1085" s="12">
        <f t="shared" si="175"/>
        <v>39995</v>
      </c>
      <c r="C1085" s="11" t="s">
        <v>1541</v>
      </c>
      <c r="D1085" s="11" t="s">
        <v>28</v>
      </c>
      <c r="F1085" s="38">
        <f>IFERROR(__xludf.DUMMYFUNCTION("""COMPUTED_VALUE"""),40929.0)</f>
        <v>40929</v>
      </c>
      <c r="G1085" s="39">
        <f t="shared" si="2"/>
        <v>3</v>
      </c>
    </row>
    <row r="1086">
      <c r="A1086" s="11">
        <v>1085.0</v>
      </c>
      <c r="B1086" s="12">
        <f t="shared" si="175"/>
        <v>39995</v>
      </c>
      <c r="C1086" s="11" t="s">
        <v>1541</v>
      </c>
      <c r="D1086" s="11" t="s">
        <v>49</v>
      </c>
      <c r="F1086" s="38">
        <f>IFERROR(__xludf.DUMMYFUNCTION("""COMPUTED_VALUE"""),40930.0)</f>
        <v>40930</v>
      </c>
      <c r="G1086" s="39">
        <f t="shared" si="2"/>
        <v>5</v>
      </c>
    </row>
    <row r="1087">
      <c r="A1087" s="11">
        <v>1086.0</v>
      </c>
      <c r="B1087" s="12">
        <f t="shared" si="175"/>
        <v>39995</v>
      </c>
      <c r="C1087" s="11" t="s">
        <v>525</v>
      </c>
      <c r="D1087" s="11" t="s">
        <v>66</v>
      </c>
      <c r="F1087" s="38">
        <f>IFERROR(__xludf.DUMMYFUNCTION("""COMPUTED_VALUE"""),40931.0)</f>
        <v>40931</v>
      </c>
      <c r="G1087" s="39">
        <f t="shared" si="2"/>
        <v>5</v>
      </c>
    </row>
    <row r="1088">
      <c r="A1088" s="11">
        <v>1087.0</v>
      </c>
      <c r="B1088" s="12">
        <f t="shared" si="175"/>
        <v>39995</v>
      </c>
      <c r="C1088" s="11" t="s">
        <v>525</v>
      </c>
      <c r="D1088" s="11" t="s">
        <v>28</v>
      </c>
      <c r="F1088" s="38">
        <f>IFERROR(__xludf.DUMMYFUNCTION("""COMPUTED_VALUE"""),40932.0)</f>
        <v>40932</v>
      </c>
      <c r="G1088" s="39">
        <f t="shared" si="2"/>
        <v>6</v>
      </c>
    </row>
    <row r="1089">
      <c r="A1089" s="11">
        <v>1088.0</v>
      </c>
      <c r="B1089" s="12">
        <f t="shared" si="175"/>
        <v>39995</v>
      </c>
      <c r="C1089" s="11" t="s">
        <v>1543</v>
      </c>
      <c r="D1089" s="11" t="s">
        <v>66</v>
      </c>
      <c r="F1089" s="38">
        <f>IFERROR(__xludf.DUMMYFUNCTION("""COMPUTED_VALUE"""),40933.0)</f>
        <v>40933</v>
      </c>
      <c r="G1089" s="39">
        <f t="shared" si="2"/>
        <v>3</v>
      </c>
    </row>
    <row r="1090">
      <c r="A1090" s="11">
        <v>1089.0</v>
      </c>
      <c r="B1090" s="12">
        <f t="shared" ref="B1090:B1098" si="176">DATE(2012,12,31)-1278</f>
        <v>39996</v>
      </c>
      <c r="C1090" s="11" t="s">
        <v>832</v>
      </c>
      <c r="D1090" s="11" t="s">
        <v>28</v>
      </c>
      <c r="F1090" s="38">
        <f>IFERROR(__xludf.DUMMYFUNCTION("""COMPUTED_VALUE"""),40934.0)</f>
        <v>40934</v>
      </c>
      <c r="G1090" s="39">
        <f t="shared" si="2"/>
        <v>5</v>
      </c>
    </row>
    <row r="1091">
      <c r="A1091" s="11">
        <v>1090.0</v>
      </c>
      <c r="B1091" s="12">
        <f t="shared" si="176"/>
        <v>39996</v>
      </c>
      <c r="C1091" s="11" t="s">
        <v>1440</v>
      </c>
      <c r="D1091" s="11" t="s">
        <v>49</v>
      </c>
      <c r="F1091" s="38">
        <f>IFERROR(__xludf.DUMMYFUNCTION("""COMPUTED_VALUE"""),40935.0)</f>
        <v>40935</v>
      </c>
      <c r="G1091" s="39">
        <f t="shared" si="2"/>
        <v>8</v>
      </c>
    </row>
    <row r="1092">
      <c r="A1092" s="11">
        <v>1091.0</v>
      </c>
      <c r="B1092" s="12">
        <f t="shared" si="176"/>
        <v>39996</v>
      </c>
      <c r="C1092" s="11" t="s">
        <v>1546</v>
      </c>
      <c r="D1092" s="11" t="s">
        <v>28</v>
      </c>
      <c r="F1092" s="38">
        <f>IFERROR(__xludf.DUMMYFUNCTION("""COMPUTED_VALUE"""),40936.0)</f>
        <v>40936</v>
      </c>
      <c r="G1092" s="39">
        <f t="shared" si="2"/>
        <v>4</v>
      </c>
    </row>
    <row r="1093">
      <c r="A1093" s="11">
        <v>1092.0</v>
      </c>
      <c r="B1093" s="12">
        <f t="shared" si="176"/>
        <v>39996</v>
      </c>
      <c r="C1093" s="11" t="s">
        <v>1546</v>
      </c>
      <c r="D1093" s="11" t="s">
        <v>66</v>
      </c>
      <c r="F1093" s="38">
        <f>IFERROR(__xludf.DUMMYFUNCTION("""COMPUTED_VALUE"""),40937.0)</f>
        <v>40937</v>
      </c>
      <c r="G1093" s="39">
        <f t="shared" si="2"/>
        <v>1</v>
      </c>
    </row>
    <row r="1094">
      <c r="A1094" s="11">
        <v>1093.0</v>
      </c>
      <c r="B1094" s="12">
        <f t="shared" si="176"/>
        <v>39996</v>
      </c>
      <c r="C1094" s="11" t="s">
        <v>382</v>
      </c>
      <c r="D1094" s="11" t="s">
        <v>49</v>
      </c>
      <c r="F1094" s="38">
        <f>IFERROR(__xludf.DUMMYFUNCTION("""COMPUTED_VALUE"""),40938.0)</f>
        <v>40938</v>
      </c>
      <c r="G1094" s="39">
        <f t="shared" si="2"/>
        <v>9</v>
      </c>
    </row>
    <row r="1095">
      <c r="A1095" s="11">
        <v>1094.0</v>
      </c>
      <c r="B1095" s="12">
        <f t="shared" si="176"/>
        <v>39996</v>
      </c>
      <c r="C1095" s="11" t="s">
        <v>382</v>
      </c>
      <c r="D1095" s="11" t="s">
        <v>66</v>
      </c>
      <c r="F1095" s="38">
        <f>IFERROR(__xludf.DUMMYFUNCTION("""COMPUTED_VALUE"""),40939.0)</f>
        <v>40939</v>
      </c>
      <c r="G1095" s="39">
        <f t="shared" si="2"/>
        <v>5</v>
      </c>
    </row>
    <row r="1096">
      <c r="A1096" s="11">
        <v>1095.0</v>
      </c>
      <c r="B1096" s="12">
        <f t="shared" si="176"/>
        <v>39996</v>
      </c>
      <c r="C1096" s="11" t="s">
        <v>567</v>
      </c>
      <c r="D1096" s="11" t="s">
        <v>28</v>
      </c>
      <c r="F1096" s="38">
        <f>IFERROR(__xludf.DUMMYFUNCTION("""COMPUTED_VALUE"""),40940.0)</f>
        <v>40940</v>
      </c>
      <c r="G1096" s="39">
        <f t="shared" si="2"/>
        <v>6</v>
      </c>
    </row>
    <row r="1097">
      <c r="A1097" s="11">
        <v>1096.0</v>
      </c>
      <c r="B1097" s="12">
        <f t="shared" si="176"/>
        <v>39996</v>
      </c>
      <c r="C1097" s="11" t="s">
        <v>1550</v>
      </c>
      <c r="D1097" s="11" t="s">
        <v>49</v>
      </c>
      <c r="F1097" s="38">
        <f>IFERROR(__xludf.DUMMYFUNCTION("""COMPUTED_VALUE"""),40941.0)</f>
        <v>40941</v>
      </c>
      <c r="G1097" s="39">
        <f t="shared" si="2"/>
        <v>6</v>
      </c>
    </row>
    <row r="1098">
      <c r="A1098" s="11">
        <v>1097.0</v>
      </c>
      <c r="B1098" s="12">
        <f t="shared" si="176"/>
        <v>39996</v>
      </c>
      <c r="C1098" s="11" t="s">
        <v>1550</v>
      </c>
      <c r="D1098" s="11" t="s">
        <v>28</v>
      </c>
      <c r="F1098" s="38">
        <f>IFERROR(__xludf.DUMMYFUNCTION("""COMPUTED_VALUE"""),40943.0)</f>
        <v>40943</v>
      </c>
      <c r="G1098" s="39">
        <f t="shared" si="2"/>
        <v>2</v>
      </c>
    </row>
    <row r="1099">
      <c r="A1099" s="11">
        <v>1098.0</v>
      </c>
      <c r="B1099" s="12">
        <f t="shared" ref="B1099:B1106" si="177">DATE(2012,12,31)-1277</f>
        <v>39997</v>
      </c>
      <c r="C1099" s="11" t="s">
        <v>528</v>
      </c>
      <c r="D1099" s="11" t="s">
        <v>28</v>
      </c>
      <c r="F1099" s="38">
        <f>IFERROR(__xludf.DUMMYFUNCTION("""COMPUTED_VALUE"""),40944.0)</f>
        <v>40944</v>
      </c>
      <c r="G1099" s="39">
        <f t="shared" si="2"/>
        <v>6</v>
      </c>
    </row>
    <row r="1100">
      <c r="A1100" s="11">
        <v>1099.0</v>
      </c>
      <c r="B1100" s="12">
        <f t="shared" si="177"/>
        <v>39997</v>
      </c>
      <c r="C1100" s="11" t="s">
        <v>227</v>
      </c>
      <c r="D1100" s="11" t="s">
        <v>49</v>
      </c>
      <c r="F1100" s="38">
        <f>IFERROR(__xludf.DUMMYFUNCTION("""COMPUTED_VALUE"""),40945.0)</f>
        <v>40945</v>
      </c>
      <c r="G1100" s="39">
        <f t="shared" si="2"/>
        <v>5</v>
      </c>
    </row>
    <row r="1101">
      <c r="A1101" s="11">
        <v>1100.0</v>
      </c>
      <c r="B1101" s="12">
        <f t="shared" si="177"/>
        <v>39997</v>
      </c>
      <c r="C1101" s="11" t="s">
        <v>1554</v>
      </c>
      <c r="D1101" s="11" t="s">
        <v>28</v>
      </c>
      <c r="F1101" s="38">
        <f>IFERROR(__xludf.DUMMYFUNCTION("""COMPUTED_VALUE"""),40946.0)</f>
        <v>40946</v>
      </c>
      <c r="G1101" s="39">
        <f t="shared" si="2"/>
        <v>8</v>
      </c>
    </row>
    <row r="1102">
      <c r="A1102" s="11">
        <v>1101.0</v>
      </c>
      <c r="B1102" s="12">
        <f t="shared" si="177"/>
        <v>39997</v>
      </c>
      <c r="C1102" s="11" t="s">
        <v>1554</v>
      </c>
      <c r="D1102" s="11" t="s">
        <v>28</v>
      </c>
      <c r="F1102" s="38">
        <f>IFERROR(__xludf.DUMMYFUNCTION("""COMPUTED_VALUE"""),40947.0)</f>
        <v>40947</v>
      </c>
      <c r="G1102" s="39">
        <f t="shared" si="2"/>
        <v>8</v>
      </c>
    </row>
    <row r="1103">
      <c r="A1103" s="11">
        <v>1102.0</v>
      </c>
      <c r="B1103" s="12">
        <f t="shared" si="177"/>
        <v>39997</v>
      </c>
      <c r="C1103" s="11" t="s">
        <v>622</v>
      </c>
      <c r="D1103" s="11" t="s">
        <v>28</v>
      </c>
      <c r="F1103" s="38">
        <f>IFERROR(__xludf.DUMMYFUNCTION("""COMPUTED_VALUE"""),40948.0)</f>
        <v>40948</v>
      </c>
      <c r="G1103" s="39">
        <f t="shared" si="2"/>
        <v>5</v>
      </c>
    </row>
    <row r="1104">
      <c r="A1104" s="11">
        <v>1103.0</v>
      </c>
      <c r="B1104" s="12">
        <f t="shared" si="177"/>
        <v>39997</v>
      </c>
      <c r="C1104" s="11" t="s">
        <v>622</v>
      </c>
      <c r="D1104" s="11" t="s">
        <v>49</v>
      </c>
      <c r="F1104" s="38">
        <f>IFERROR(__xludf.DUMMYFUNCTION("""COMPUTED_VALUE"""),40949.0)</f>
        <v>40949</v>
      </c>
      <c r="G1104" s="39">
        <f t="shared" si="2"/>
        <v>5</v>
      </c>
    </row>
    <row r="1105">
      <c r="A1105" s="11">
        <v>1104.0</v>
      </c>
      <c r="B1105" s="12">
        <f t="shared" si="177"/>
        <v>39997</v>
      </c>
      <c r="C1105" s="11" t="s">
        <v>1560</v>
      </c>
      <c r="D1105" s="11" t="s">
        <v>28</v>
      </c>
      <c r="F1105" s="38">
        <f>IFERROR(__xludf.DUMMYFUNCTION("""COMPUTED_VALUE"""),40950.0)</f>
        <v>40950</v>
      </c>
      <c r="G1105" s="39">
        <f t="shared" si="2"/>
        <v>10</v>
      </c>
    </row>
    <row r="1106">
      <c r="A1106" s="11">
        <v>1105.0</v>
      </c>
      <c r="B1106" s="12">
        <f t="shared" si="177"/>
        <v>39997</v>
      </c>
      <c r="C1106" s="11" t="s">
        <v>905</v>
      </c>
      <c r="D1106" s="11" t="s">
        <v>66</v>
      </c>
      <c r="F1106" s="38">
        <f>IFERROR(__xludf.DUMMYFUNCTION("""COMPUTED_VALUE"""),40951.0)</f>
        <v>40951</v>
      </c>
      <c r="G1106" s="39">
        <f t="shared" si="2"/>
        <v>6</v>
      </c>
    </row>
    <row r="1107">
      <c r="A1107" s="11">
        <v>1106.0</v>
      </c>
      <c r="B1107" s="12">
        <f t="shared" ref="B1107:B1116" si="178">DATE(2012,12,31)-1276</f>
        <v>39998</v>
      </c>
      <c r="C1107" s="11" t="s">
        <v>1231</v>
      </c>
      <c r="D1107" s="11" t="s">
        <v>49</v>
      </c>
      <c r="F1107" s="38">
        <f>IFERROR(__xludf.DUMMYFUNCTION("""COMPUTED_VALUE"""),40952.0)</f>
        <v>40952</v>
      </c>
      <c r="G1107" s="39">
        <f t="shared" si="2"/>
        <v>4</v>
      </c>
    </row>
    <row r="1108">
      <c r="A1108" s="11">
        <v>1107.0</v>
      </c>
      <c r="B1108" s="12">
        <f t="shared" si="178"/>
        <v>39998</v>
      </c>
      <c r="C1108" s="11" t="s">
        <v>514</v>
      </c>
      <c r="D1108" s="11" t="s">
        <v>66</v>
      </c>
      <c r="F1108" s="38">
        <f>IFERROR(__xludf.DUMMYFUNCTION("""COMPUTED_VALUE"""),40953.0)</f>
        <v>40953</v>
      </c>
      <c r="G1108" s="39">
        <f t="shared" si="2"/>
        <v>8</v>
      </c>
    </row>
    <row r="1109">
      <c r="A1109" s="11">
        <v>1108.0</v>
      </c>
      <c r="B1109" s="12">
        <f t="shared" si="178"/>
        <v>39998</v>
      </c>
      <c r="C1109" s="11" t="s">
        <v>1061</v>
      </c>
      <c r="D1109" s="11" t="s">
        <v>28</v>
      </c>
      <c r="F1109" s="38">
        <f>IFERROR(__xludf.DUMMYFUNCTION("""COMPUTED_VALUE"""),40954.0)</f>
        <v>40954</v>
      </c>
      <c r="G1109" s="39">
        <f t="shared" si="2"/>
        <v>7</v>
      </c>
    </row>
    <row r="1110">
      <c r="A1110" s="11">
        <v>1109.0</v>
      </c>
      <c r="B1110" s="12">
        <f t="shared" si="178"/>
        <v>39998</v>
      </c>
      <c r="C1110" s="11" t="s">
        <v>1013</v>
      </c>
      <c r="D1110" s="11" t="s">
        <v>28</v>
      </c>
      <c r="F1110" s="38">
        <f>IFERROR(__xludf.DUMMYFUNCTION("""COMPUTED_VALUE"""),40955.0)</f>
        <v>40955</v>
      </c>
      <c r="G1110" s="39">
        <f t="shared" si="2"/>
        <v>6</v>
      </c>
    </row>
    <row r="1111">
      <c r="A1111" s="11">
        <v>1110.0</v>
      </c>
      <c r="B1111" s="12">
        <f t="shared" si="178"/>
        <v>39998</v>
      </c>
      <c r="C1111" s="11" t="s">
        <v>1564</v>
      </c>
      <c r="D1111" s="11" t="s">
        <v>28</v>
      </c>
      <c r="F1111" s="38">
        <f>IFERROR(__xludf.DUMMYFUNCTION("""COMPUTED_VALUE"""),40956.0)</f>
        <v>40956</v>
      </c>
      <c r="G1111" s="39">
        <f t="shared" si="2"/>
        <v>10</v>
      </c>
    </row>
    <row r="1112">
      <c r="A1112" s="11">
        <v>1111.0</v>
      </c>
      <c r="B1112" s="12">
        <f t="shared" si="178"/>
        <v>39998</v>
      </c>
      <c r="C1112" s="11" t="s">
        <v>1564</v>
      </c>
      <c r="D1112" s="11" t="s">
        <v>28</v>
      </c>
      <c r="F1112" s="38">
        <f>IFERROR(__xludf.DUMMYFUNCTION("""COMPUTED_VALUE"""),40957.0)</f>
        <v>40957</v>
      </c>
      <c r="G1112" s="39">
        <f t="shared" si="2"/>
        <v>8</v>
      </c>
    </row>
    <row r="1113">
      <c r="A1113" s="11">
        <v>1112.0</v>
      </c>
      <c r="B1113" s="12">
        <f t="shared" si="178"/>
        <v>39998</v>
      </c>
      <c r="C1113" s="11" t="s">
        <v>91</v>
      </c>
      <c r="D1113" s="11" t="s">
        <v>28</v>
      </c>
      <c r="F1113" s="38">
        <f>IFERROR(__xludf.DUMMYFUNCTION("""COMPUTED_VALUE"""),40958.0)</f>
        <v>40958</v>
      </c>
      <c r="G1113" s="39">
        <f t="shared" si="2"/>
        <v>7</v>
      </c>
    </row>
    <row r="1114">
      <c r="A1114" s="11">
        <v>1113.0</v>
      </c>
      <c r="B1114" s="12">
        <f t="shared" si="178"/>
        <v>39998</v>
      </c>
      <c r="C1114" s="11" t="s">
        <v>91</v>
      </c>
      <c r="D1114" s="11" t="s">
        <v>28</v>
      </c>
      <c r="F1114" s="38">
        <f>IFERROR(__xludf.DUMMYFUNCTION("""COMPUTED_VALUE"""),40959.0)</f>
        <v>40959</v>
      </c>
      <c r="G1114" s="39">
        <f t="shared" si="2"/>
        <v>1</v>
      </c>
    </row>
    <row r="1115">
      <c r="A1115" s="11">
        <v>1114.0</v>
      </c>
      <c r="B1115" s="12">
        <f t="shared" si="178"/>
        <v>39998</v>
      </c>
      <c r="C1115" s="11" t="s">
        <v>91</v>
      </c>
      <c r="D1115" s="11" t="s">
        <v>28</v>
      </c>
      <c r="F1115" s="38">
        <f>IFERROR(__xludf.DUMMYFUNCTION("""COMPUTED_VALUE"""),40960.0)</f>
        <v>40960</v>
      </c>
      <c r="G1115" s="39">
        <f t="shared" si="2"/>
        <v>1</v>
      </c>
    </row>
    <row r="1116">
      <c r="A1116" s="11">
        <v>1115.0</v>
      </c>
      <c r="B1116" s="12">
        <f t="shared" si="178"/>
        <v>39998</v>
      </c>
      <c r="C1116" s="11" t="s">
        <v>91</v>
      </c>
      <c r="D1116" s="11" t="s">
        <v>49</v>
      </c>
      <c r="F1116" s="38">
        <f>IFERROR(__xludf.DUMMYFUNCTION("""COMPUTED_VALUE"""),40962.0)</f>
        <v>40962</v>
      </c>
      <c r="G1116" s="39">
        <f t="shared" si="2"/>
        <v>12</v>
      </c>
    </row>
    <row r="1117">
      <c r="A1117" s="11">
        <v>1116.0</v>
      </c>
      <c r="B1117" s="12">
        <f t="shared" ref="B1117:B1120" si="179">DATE(2012,12,31)-1275</f>
        <v>39999</v>
      </c>
      <c r="C1117" s="11" t="s">
        <v>1108</v>
      </c>
      <c r="D1117" s="11" t="s">
        <v>28</v>
      </c>
      <c r="F1117" s="38">
        <f>IFERROR(__xludf.DUMMYFUNCTION("""COMPUTED_VALUE"""),40963.0)</f>
        <v>40963</v>
      </c>
      <c r="G1117" s="39">
        <f t="shared" si="2"/>
        <v>3</v>
      </c>
    </row>
    <row r="1118">
      <c r="A1118" s="11">
        <v>1117.0</v>
      </c>
      <c r="B1118" s="12">
        <f t="shared" si="179"/>
        <v>39999</v>
      </c>
      <c r="C1118" s="11" t="s">
        <v>1108</v>
      </c>
      <c r="D1118" s="11" t="s">
        <v>28</v>
      </c>
      <c r="F1118" s="38">
        <f>IFERROR(__xludf.DUMMYFUNCTION("""COMPUTED_VALUE"""),40964.0)</f>
        <v>40964</v>
      </c>
      <c r="G1118" s="39">
        <f t="shared" si="2"/>
        <v>1</v>
      </c>
    </row>
    <row r="1119">
      <c r="A1119" s="11">
        <v>1118.0</v>
      </c>
      <c r="B1119" s="12">
        <f t="shared" si="179"/>
        <v>39999</v>
      </c>
      <c r="C1119" s="11" t="s">
        <v>1021</v>
      </c>
      <c r="D1119" s="11" t="s">
        <v>28</v>
      </c>
      <c r="F1119" s="38">
        <f>IFERROR(__xludf.DUMMYFUNCTION("""COMPUTED_VALUE"""),40965.0)</f>
        <v>40965</v>
      </c>
      <c r="G1119" s="39">
        <f t="shared" si="2"/>
        <v>5</v>
      </c>
    </row>
    <row r="1120">
      <c r="A1120" s="11">
        <v>1119.0</v>
      </c>
      <c r="B1120" s="12">
        <f t="shared" si="179"/>
        <v>39999</v>
      </c>
      <c r="C1120" s="11" t="s">
        <v>1021</v>
      </c>
      <c r="D1120" s="11" t="s">
        <v>28</v>
      </c>
      <c r="F1120" s="38">
        <f>IFERROR(__xludf.DUMMYFUNCTION("""COMPUTED_VALUE"""),40966.0)</f>
        <v>40966</v>
      </c>
      <c r="G1120" s="39">
        <f t="shared" si="2"/>
        <v>9</v>
      </c>
    </row>
    <row r="1121">
      <c r="A1121" s="11">
        <v>1120.0</v>
      </c>
      <c r="B1121" s="12">
        <f t="shared" ref="B1121:B1134" si="180">DATE(2012,12,31)-1274</f>
        <v>40000</v>
      </c>
      <c r="C1121" s="11" t="s">
        <v>1572</v>
      </c>
      <c r="D1121" s="11" t="s">
        <v>28</v>
      </c>
      <c r="F1121" s="38">
        <f>IFERROR(__xludf.DUMMYFUNCTION("""COMPUTED_VALUE"""),40968.0)</f>
        <v>40968</v>
      </c>
      <c r="G1121" s="39">
        <f t="shared" si="2"/>
        <v>3</v>
      </c>
    </row>
    <row r="1122">
      <c r="A1122" s="11">
        <v>1121.0</v>
      </c>
      <c r="B1122" s="12">
        <f t="shared" si="180"/>
        <v>40000</v>
      </c>
      <c r="C1122" s="11" t="s">
        <v>1572</v>
      </c>
      <c r="D1122" s="11" t="s">
        <v>28</v>
      </c>
      <c r="F1122" s="38">
        <f>IFERROR(__xludf.DUMMYFUNCTION("""COMPUTED_VALUE"""),40969.0)</f>
        <v>40969</v>
      </c>
      <c r="G1122" s="39">
        <f t="shared" si="2"/>
        <v>5</v>
      </c>
    </row>
    <row r="1123">
      <c r="A1123" s="11">
        <v>1122.0</v>
      </c>
      <c r="B1123" s="12">
        <f t="shared" si="180"/>
        <v>40000</v>
      </c>
      <c r="C1123" s="11" t="s">
        <v>1572</v>
      </c>
      <c r="D1123" s="11" t="s">
        <v>28</v>
      </c>
      <c r="F1123" s="38">
        <f>IFERROR(__xludf.DUMMYFUNCTION("""COMPUTED_VALUE"""),40970.0)</f>
        <v>40970</v>
      </c>
      <c r="G1123" s="39">
        <f t="shared" si="2"/>
        <v>9</v>
      </c>
    </row>
    <row r="1124">
      <c r="A1124" s="11">
        <v>1123.0</v>
      </c>
      <c r="B1124" s="12">
        <f t="shared" si="180"/>
        <v>40000</v>
      </c>
      <c r="C1124" s="11" t="s">
        <v>690</v>
      </c>
      <c r="D1124" s="11" t="s">
        <v>28</v>
      </c>
      <c r="F1124" s="38">
        <f>IFERROR(__xludf.DUMMYFUNCTION("""COMPUTED_VALUE"""),40971.0)</f>
        <v>40971</v>
      </c>
      <c r="G1124" s="39">
        <f t="shared" si="2"/>
        <v>13</v>
      </c>
    </row>
    <row r="1125">
      <c r="A1125" s="11">
        <v>1124.0</v>
      </c>
      <c r="B1125" s="12">
        <f t="shared" si="180"/>
        <v>40000</v>
      </c>
      <c r="C1125" s="11" t="s">
        <v>690</v>
      </c>
      <c r="D1125" s="11" t="s">
        <v>28</v>
      </c>
      <c r="F1125" s="38">
        <f>IFERROR(__xludf.DUMMYFUNCTION("""COMPUTED_VALUE"""),40972.0)</f>
        <v>40972</v>
      </c>
      <c r="G1125" s="39">
        <f t="shared" si="2"/>
        <v>7</v>
      </c>
    </row>
    <row r="1126">
      <c r="A1126" s="11">
        <v>1125.0</v>
      </c>
      <c r="B1126" s="12">
        <f t="shared" si="180"/>
        <v>40000</v>
      </c>
      <c r="C1126" s="11" t="s">
        <v>690</v>
      </c>
      <c r="D1126" s="11" t="s">
        <v>66</v>
      </c>
      <c r="F1126" s="38">
        <f>IFERROR(__xludf.DUMMYFUNCTION("""COMPUTED_VALUE"""),40973.0)</f>
        <v>40973</v>
      </c>
      <c r="G1126" s="39">
        <f t="shared" si="2"/>
        <v>5</v>
      </c>
    </row>
    <row r="1127">
      <c r="A1127" s="11">
        <v>1126.0</v>
      </c>
      <c r="B1127" s="12">
        <f t="shared" si="180"/>
        <v>40000</v>
      </c>
      <c r="C1127" s="11" t="s">
        <v>690</v>
      </c>
      <c r="D1127" s="11" t="s">
        <v>28</v>
      </c>
      <c r="F1127" s="38">
        <f>IFERROR(__xludf.DUMMYFUNCTION("""COMPUTED_VALUE"""),40974.0)</f>
        <v>40974</v>
      </c>
      <c r="G1127" s="39">
        <f t="shared" si="2"/>
        <v>4</v>
      </c>
    </row>
    <row r="1128">
      <c r="A1128" s="11">
        <v>1127.0</v>
      </c>
      <c r="B1128" s="12">
        <f t="shared" si="180"/>
        <v>40000</v>
      </c>
      <c r="C1128" s="11" t="s">
        <v>690</v>
      </c>
      <c r="D1128" s="11" t="s">
        <v>28</v>
      </c>
      <c r="F1128" s="38">
        <f>IFERROR(__xludf.DUMMYFUNCTION("""COMPUTED_VALUE"""),40975.0)</f>
        <v>40975</v>
      </c>
      <c r="G1128" s="39">
        <f t="shared" si="2"/>
        <v>6</v>
      </c>
    </row>
    <row r="1129">
      <c r="A1129" s="11">
        <v>1128.0</v>
      </c>
      <c r="B1129" s="12">
        <f t="shared" si="180"/>
        <v>40000</v>
      </c>
      <c r="C1129" s="11" t="s">
        <v>690</v>
      </c>
      <c r="D1129" s="11" t="s">
        <v>28</v>
      </c>
      <c r="F1129" s="38">
        <f>IFERROR(__xludf.DUMMYFUNCTION("""COMPUTED_VALUE"""),40976.0)</f>
        <v>40976</v>
      </c>
      <c r="G1129" s="39">
        <f t="shared" si="2"/>
        <v>4</v>
      </c>
    </row>
    <row r="1130">
      <c r="A1130" s="11">
        <v>1129.0</v>
      </c>
      <c r="B1130" s="12">
        <f t="shared" si="180"/>
        <v>40000</v>
      </c>
      <c r="C1130" s="11" t="s">
        <v>1578</v>
      </c>
      <c r="D1130" s="11" t="s">
        <v>28</v>
      </c>
      <c r="F1130" s="38">
        <f>IFERROR(__xludf.DUMMYFUNCTION("""COMPUTED_VALUE"""),40977.0)</f>
        <v>40977</v>
      </c>
      <c r="G1130" s="39">
        <f t="shared" si="2"/>
        <v>5</v>
      </c>
    </row>
    <row r="1131">
      <c r="A1131" s="11">
        <v>1130.0</v>
      </c>
      <c r="B1131" s="12">
        <f t="shared" si="180"/>
        <v>40000</v>
      </c>
      <c r="C1131" s="11" t="s">
        <v>1578</v>
      </c>
      <c r="D1131" s="11" t="s">
        <v>66</v>
      </c>
      <c r="F1131" s="38">
        <f>IFERROR(__xludf.DUMMYFUNCTION("""COMPUTED_VALUE"""),40978.0)</f>
        <v>40978</v>
      </c>
      <c r="G1131" s="39">
        <f t="shared" si="2"/>
        <v>8</v>
      </c>
    </row>
    <row r="1132">
      <c r="A1132" s="11">
        <v>1131.0</v>
      </c>
      <c r="B1132" s="12">
        <f t="shared" si="180"/>
        <v>40000</v>
      </c>
      <c r="C1132" s="11" t="s">
        <v>1578</v>
      </c>
      <c r="D1132" s="11" t="s">
        <v>66</v>
      </c>
      <c r="F1132" s="38">
        <f>IFERROR(__xludf.DUMMYFUNCTION("""COMPUTED_VALUE"""),40979.0)</f>
        <v>40979</v>
      </c>
      <c r="G1132" s="39">
        <f t="shared" si="2"/>
        <v>5</v>
      </c>
    </row>
    <row r="1133">
      <c r="A1133" s="11">
        <v>1132.0</v>
      </c>
      <c r="B1133" s="12">
        <f t="shared" si="180"/>
        <v>40000</v>
      </c>
      <c r="C1133" s="11" t="s">
        <v>1581</v>
      </c>
      <c r="D1133" s="11" t="s">
        <v>28</v>
      </c>
      <c r="F1133" s="38">
        <f>IFERROR(__xludf.DUMMYFUNCTION("""COMPUTED_VALUE"""),40980.0)</f>
        <v>40980</v>
      </c>
      <c r="G1133" s="39">
        <f t="shared" si="2"/>
        <v>5</v>
      </c>
    </row>
    <row r="1134">
      <c r="A1134" s="11">
        <v>1133.0</v>
      </c>
      <c r="B1134" s="12">
        <f t="shared" si="180"/>
        <v>40000</v>
      </c>
      <c r="C1134" s="11" t="s">
        <v>1409</v>
      </c>
      <c r="D1134" s="11" t="s">
        <v>49</v>
      </c>
      <c r="F1134" s="38">
        <f>IFERROR(__xludf.DUMMYFUNCTION("""COMPUTED_VALUE"""),40981.0)</f>
        <v>40981</v>
      </c>
      <c r="G1134" s="39">
        <f t="shared" si="2"/>
        <v>4</v>
      </c>
    </row>
    <row r="1135">
      <c r="A1135" s="11">
        <v>1134.0</v>
      </c>
      <c r="B1135" s="12">
        <f t="shared" ref="B1135:B1142" si="181">DATE(2012,12,31)-1273</f>
        <v>40001</v>
      </c>
      <c r="C1135" s="11" t="s">
        <v>152</v>
      </c>
      <c r="D1135" s="11" t="s">
        <v>49</v>
      </c>
      <c r="F1135" s="38">
        <f>IFERROR(__xludf.DUMMYFUNCTION("""COMPUTED_VALUE"""),40982.0)</f>
        <v>40982</v>
      </c>
      <c r="G1135" s="39">
        <f t="shared" si="2"/>
        <v>5</v>
      </c>
    </row>
    <row r="1136">
      <c r="A1136" s="11">
        <v>1135.0</v>
      </c>
      <c r="B1136" s="12">
        <f t="shared" si="181"/>
        <v>40001</v>
      </c>
      <c r="C1136" s="11" t="s">
        <v>1264</v>
      </c>
      <c r="D1136" s="11" t="s">
        <v>49</v>
      </c>
      <c r="F1136" s="38">
        <f>IFERROR(__xludf.DUMMYFUNCTION("""COMPUTED_VALUE"""),40983.0)</f>
        <v>40983</v>
      </c>
      <c r="G1136" s="39">
        <f t="shared" si="2"/>
        <v>9</v>
      </c>
    </row>
    <row r="1137">
      <c r="A1137" s="11">
        <v>1136.0</v>
      </c>
      <c r="B1137" s="12">
        <f t="shared" si="181"/>
        <v>40001</v>
      </c>
      <c r="C1137" s="11" t="s">
        <v>1543</v>
      </c>
      <c r="D1137" s="11" t="s">
        <v>28</v>
      </c>
      <c r="F1137" s="38">
        <f>IFERROR(__xludf.DUMMYFUNCTION("""COMPUTED_VALUE"""),40984.0)</f>
        <v>40984</v>
      </c>
      <c r="G1137" s="39">
        <f t="shared" si="2"/>
        <v>4</v>
      </c>
    </row>
    <row r="1138">
      <c r="A1138" s="11">
        <v>1137.0</v>
      </c>
      <c r="B1138" s="12">
        <f t="shared" si="181"/>
        <v>40001</v>
      </c>
      <c r="C1138" s="11" t="s">
        <v>1586</v>
      </c>
      <c r="D1138" s="11" t="s">
        <v>28</v>
      </c>
      <c r="F1138" s="38">
        <f>IFERROR(__xludf.DUMMYFUNCTION("""COMPUTED_VALUE"""),40985.0)</f>
        <v>40985</v>
      </c>
      <c r="G1138" s="39">
        <f t="shared" si="2"/>
        <v>7</v>
      </c>
    </row>
    <row r="1139">
      <c r="A1139" s="11">
        <v>1138.0</v>
      </c>
      <c r="B1139" s="12">
        <f t="shared" si="181"/>
        <v>40001</v>
      </c>
      <c r="C1139" s="11" t="s">
        <v>116</v>
      </c>
      <c r="D1139" s="11" t="s">
        <v>28</v>
      </c>
      <c r="F1139" s="38">
        <f>IFERROR(__xludf.DUMMYFUNCTION("""COMPUTED_VALUE"""),40986.0)</f>
        <v>40986</v>
      </c>
      <c r="G1139" s="39">
        <f t="shared" si="2"/>
        <v>3</v>
      </c>
    </row>
    <row r="1140">
      <c r="A1140" s="11">
        <v>1139.0</v>
      </c>
      <c r="B1140" s="12">
        <f t="shared" si="181"/>
        <v>40001</v>
      </c>
      <c r="C1140" s="11" t="s">
        <v>634</v>
      </c>
      <c r="D1140" s="11" t="s">
        <v>49</v>
      </c>
      <c r="F1140" s="38">
        <f>IFERROR(__xludf.DUMMYFUNCTION("""COMPUTED_VALUE"""),40987.0)</f>
        <v>40987</v>
      </c>
      <c r="G1140" s="39">
        <f t="shared" si="2"/>
        <v>6</v>
      </c>
    </row>
    <row r="1141">
      <c r="A1141" s="11">
        <v>1140.0</v>
      </c>
      <c r="B1141" s="12">
        <f t="shared" si="181"/>
        <v>40001</v>
      </c>
      <c r="C1141" s="11" t="s">
        <v>634</v>
      </c>
      <c r="D1141" s="11" t="s">
        <v>49</v>
      </c>
      <c r="F1141" s="38">
        <f>IFERROR(__xludf.DUMMYFUNCTION("""COMPUTED_VALUE"""),40988.0)</f>
        <v>40988</v>
      </c>
      <c r="G1141" s="39">
        <f t="shared" si="2"/>
        <v>5</v>
      </c>
    </row>
    <row r="1142">
      <c r="A1142" s="11">
        <v>1141.0</v>
      </c>
      <c r="B1142" s="12">
        <f t="shared" si="181"/>
        <v>40001</v>
      </c>
      <c r="C1142" s="11" t="s">
        <v>634</v>
      </c>
      <c r="D1142" s="11" t="s">
        <v>66</v>
      </c>
      <c r="F1142" s="38">
        <f>IFERROR(__xludf.DUMMYFUNCTION("""COMPUTED_VALUE"""),40989.0)</f>
        <v>40989</v>
      </c>
      <c r="G1142" s="39">
        <f t="shared" si="2"/>
        <v>3</v>
      </c>
    </row>
    <row r="1143">
      <c r="A1143" s="11">
        <v>1142.0</v>
      </c>
      <c r="B1143" s="12">
        <f>DATE(2012,12,31)-1272</f>
        <v>40002</v>
      </c>
      <c r="C1143" s="11" t="s">
        <v>1252</v>
      </c>
      <c r="D1143" s="11" t="s">
        <v>28</v>
      </c>
      <c r="F1143" s="38">
        <f>IFERROR(__xludf.DUMMYFUNCTION("""COMPUTED_VALUE"""),40990.0)</f>
        <v>40990</v>
      </c>
      <c r="G1143" s="39">
        <f t="shared" si="2"/>
        <v>3</v>
      </c>
    </row>
    <row r="1144">
      <c r="A1144" s="11">
        <v>1143.0</v>
      </c>
      <c r="B1144" s="12">
        <f t="shared" ref="B1144:B1150" si="182">DATE(2012,12,31)-1271</f>
        <v>40003</v>
      </c>
      <c r="C1144" s="11" t="s">
        <v>1515</v>
      </c>
      <c r="D1144" s="11" t="s">
        <v>28</v>
      </c>
      <c r="F1144" s="38">
        <f>IFERROR(__xludf.DUMMYFUNCTION("""COMPUTED_VALUE"""),40991.0)</f>
        <v>40991</v>
      </c>
      <c r="G1144" s="39">
        <f t="shared" si="2"/>
        <v>15</v>
      </c>
    </row>
    <row r="1145">
      <c r="A1145" s="11">
        <v>1144.0</v>
      </c>
      <c r="B1145" s="12">
        <f t="shared" si="182"/>
        <v>40003</v>
      </c>
      <c r="C1145" s="11" t="s">
        <v>1515</v>
      </c>
      <c r="D1145" s="11" t="s">
        <v>28</v>
      </c>
      <c r="F1145" s="38">
        <f>IFERROR(__xludf.DUMMYFUNCTION("""COMPUTED_VALUE"""),40992.0)</f>
        <v>40992</v>
      </c>
      <c r="G1145" s="39">
        <f t="shared" si="2"/>
        <v>9</v>
      </c>
    </row>
    <row r="1146">
      <c r="A1146" s="11">
        <v>1145.0</v>
      </c>
      <c r="B1146" s="12">
        <f t="shared" si="182"/>
        <v>40003</v>
      </c>
      <c r="C1146" s="11" t="s">
        <v>104</v>
      </c>
      <c r="D1146" s="11" t="s">
        <v>28</v>
      </c>
      <c r="F1146" s="38">
        <f>IFERROR(__xludf.DUMMYFUNCTION("""COMPUTED_VALUE"""),40993.0)</f>
        <v>40993</v>
      </c>
      <c r="G1146" s="39">
        <f t="shared" si="2"/>
        <v>1</v>
      </c>
    </row>
    <row r="1147">
      <c r="A1147" s="11">
        <v>1146.0</v>
      </c>
      <c r="B1147" s="12">
        <f t="shared" si="182"/>
        <v>40003</v>
      </c>
      <c r="C1147" s="11" t="s">
        <v>104</v>
      </c>
      <c r="D1147" s="11" t="s">
        <v>28</v>
      </c>
      <c r="F1147" s="38">
        <f>IFERROR(__xludf.DUMMYFUNCTION("""COMPUTED_VALUE"""),40994.0)</f>
        <v>40994</v>
      </c>
      <c r="G1147" s="39">
        <f t="shared" si="2"/>
        <v>5</v>
      </c>
    </row>
    <row r="1148">
      <c r="A1148" s="11">
        <v>1147.0</v>
      </c>
      <c r="B1148" s="12">
        <f t="shared" si="182"/>
        <v>40003</v>
      </c>
      <c r="C1148" s="11" t="s">
        <v>1588</v>
      </c>
      <c r="D1148" s="11" t="s">
        <v>66</v>
      </c>
      <c r="F1148" s="38">
        <f>IFERROR(__xludf.DUMMYFUNCTION("""COMPUTED_VALUE"""),40995.0)</f>
        <v>40995</v>
      </c>
      <c r="G1148" s="39">
        <f t="shared" si="2"/>
        <v>5</v>
      </c>
    </row>
    <row r="1149">
      <c r="A1149" s="11">
        <v>1148.0</v>
      </c>
      <c r="B1149" s="12">
        <f t="shared" si="182"/>
        <v>40003</v>
      </c>
      <c r="C1149" s="11" t="s">
        <v>604</v>
      </c>
      <c r="D1149" s="11" t="s">
        <v>28</v>
      </c>
      <c r="F1149" s="38">
        <f>IFERROR(__xludf.DUMMYFUNCTION("""COMPUTED_VALUE"""),40996.0)</f>
        <v>40996</v>
      </c>
      <c r="G1149" s="39">
        <f t="shared" si="2"/>
        <v>20</v>
      </c>
    </row>
    <row r="1150">
      <c r="A1150" s="11">
        <v>1149.0</v>
      </c>
      <c r="B1150" s="12">
        <f t="shared" si="182"/>
        <v>40003</v>
      </c>
      <c r="C1150" s="11" t="s">
        <v>604</v>
      </c>
      <c r="D1150" s="11" t="s">
        <v>28</v>
      </c>
      <c r="F1150" s="38">
        <f>IFERROR(__xludf.DUMMYFUNCTION("""COMPUTED_VALUE"""),40997.0)</f>
        <v>40997</v>
      </c>
      <c r="G1150" s="39">
        <f t="shared" si="2"/>
        <v>6</v>
      </c>
    </row>
    <row r="1151">
      <c r="A1151" s="11">
        <v>1150.0</v>
      </c>
      <c r="B1151" s="12">
        <f t="shared" ref="B1151:B1152" si="183">DATE(2012,12,31)-1270</f>
        <v>40004</v>
      </c>
      <c r="C1151" s="11" t="s">
        <v>145</v>
      </c>
      <c r="D1151" s="11" t="s">
        <v>66</v>
      </c>
      <c r="F1151" s="38">
        <f>IFERROR(__xludf.DUMMYFUNCTION("""COMPUTED_VALUE"""),40998.0)</f>
        <v>40998</v>
      </c>
      <c r="G1151" s="39">
        <f t="shared" si="2"/>
        <v>7</v>
      </c>
    </row>
    <row r="1152">
      <c r="A1152" s="11">
        <v>1151.0</v>
      </c>
      <c r="B1152" s="12">
        <f t="shared" si="183"/>
        <v>40004</v>
      </c>
      <c r="C1152" s="11" t="s">
        <v>145</v>
      </c>
      <c r="D1152" s="11" t="s">
        <v>28</v>
      </c>
      <c r="F1152" s="38">
        <f>IFERROR(__xludf.DUMMYFUNCTION("""COMPUTED_VALUE"""),40999.0)</f>
        <v>40999</v>
      </c>
      <c r="G1152" s="39">
        <f t="shared" si="2"/>
        <v>4</v>
      </c>
    </row>
    <row r="1153">
      <c r="A1153" s="11">
        <v>1152.0</v>
      </c>
      <c r="B1153" s="12">
        <f>DATE(2012,12,31)-1269</f>
        <v>40005</v>
      </c>
      <c r="C1153" s="11" t="s">
        <v>1114</v>
      </c>
      <c r="D1153" s="11" t="s">
        <v>49</v>
      </c>
      <c r="F1153" s="38">
        <f>IFERROR(__xludf.DUMMYFUNCTION("""COMPUTED_VALUE"""),41000.0)</f>
        <v>41000</v>
      </c>
      <c r="G1153" s="39">
        <f t="shared" si="2"/>
        <v>5</v>
      </c>
    </row>
    <row r="1154">
      <c r="A1154" s="11">
        <v>1153.0</v>
      </c>
      <c r="B1154" s="12">
        <f t="shared" ref="B1154:B1164" si="184">DATE(2012,12,31)-1268</f>
        <v>40006</v>
      </c>
      <c r="C1154" s="11" t="s">
        <v>395</v>
      </c>
      <c r="D1154" s="11" t="s">
        <v>49</v>
      </c>
      <c r="F1154" s="38">
        <f>IFERROR(__xludf.DUMMYFUNCTION("""COMPUTED_VALUE"""),41001.0)</f>
        <v>41001</v>
      </c>
      <c r="G1154" s="39">
        <f t="shared" si="2"/>
        <v>1</v>
      </c>
    </row>
    <row r="1155">
      <c r="A1155" s="11">
        <v>1154.0</v>
      </c>
      <c r="B1155" s="12">
        <f t="shared" si="184"/>
        <v>40006</v>
      </c>
      <c r="C1155" s="11" t="s">
        <v>395</v>
      </c>
      <c r="D1155" s="11" t="s">
        <v>28</v>
      </c>
      <c r="F1155" s="38">
        <f>IFERROR(__xludf.DUMMYFUNCTION("""COMPUTED_VALUE"""),41002.0)</f>
        <v>41002</v>
      </c>
      <c r="G1155" s="39">
        <f t="shared" si="2"/>
        <v>5</v>
      </c>
    </row>
    <row r="1156">
      <c r="A1156" s="11">
        <v>1155.0</v>
      </c>
      <c r="B1156" s="12">
        <f t="shared" si="184"/>
        <v>40006</v>
      </c>
      <c r="C1156" s="11" t="s">
        <v>395</v>
      </c>
      <c r="D1156" s="11" t="s">
        <v>49</v>
      </c>
      <c r="F1156" s="38">
        <f>IFERROR(__xludf.DUMMYFUNCTION("""COMPUTED_VALUE"""),41003.0)</f>
        <v>41003</v>
      </c>
      <c r="G1156" s="39">
        <f t="shared" si="2"/>
        <v>6</v>
      </c>
    </row>
    <row r="1157">
      <c r="A1157" s="11">
        <v>1156.0</v>
      </c>
      <c r="B1157" s="12">
        <f t="shared" si="184"/>
        <v>40006</v>
      </c>
      <c r="C1157" s="11" t="s">
        <v>1594</v>
      </c>
      <c r="D1157" s="11" t="s">
        <v>28</v>
      </c>
      <c r="F1157" s="38">
        <f>IFERROR(__xludf.DUMMYFUNCTION("""COMPUTED_VALUE"""),41004.0)</f>
        <v>41004</v>
      </c>
      <c r="G1157" s="39">
        <f t="shared" si="2"/>
        <v>5</v>
      </c>
    </row>
    <row r="1158">
      <c r="A1158" s="11">
        <v>1157.0</v>
      </c>
      <c r="B1158" s="12">
        <f t="shared" si="184"/>
        <v>40006</v>
      </c>
      <c r="C1158" s="11" t="s">
        <v>1594</v>
      </c>
      <c r="D1158" s="11" t="s">
        <v>66</v>
      </c>
      <c r="F1158" s="38">
        <f>IFERROR(__xludf.DUMMYFUNCTION("""COMPUTED_VALUE"""),41005.0)</f>
        <v>41005</v>
      </c>
      <c r="G1158" s="39">
        <f t="shared" si="2"/>
        <v>5</v>
      </c>
    </row>
    <row r="1159">
      <c r="A1159" s="11">
        <v>1158.0</v>
      </c>
      <c r="B1159" s="12">
        <f t="shared" si="184"/>
        <v>40006</v>
      </c>
      <c r="C1159" s="11" t="s">
        <v>288</v>
      </c>
      <c r="D1159" s="11" t="s">
        <v>49</v>
      </c>
      <c r="F1159" s="38">
        <f>IFERROR(__xludf.DUMMYFUNCTION("""COMPUTED_VALUE"""),41006.0)</f>
        <v>41006</v>
      </c>
      <c r="G1159" s="39">
        <f t="shared" si="2"/>
        <v>4</v>
      </c>
    </row>
    <row r="1160">
      <c r="A1160" s="11">
        <v>1159.0</v>
      </c>
      <c r="B1160" s="12">
        <f t="shared" si="184"/>
        <v>40006</v>
      </c>
      <c r="C1160" s="11" t="s">
        <v>617</v>
      </c>
      <c r="D1160" s="11" t="s">
        <v>66</v>
      </c>
      <c r="F1160" s="38">
        <f>IFERROR(__xludf.DUMMYFUNCTION("""COMPUTED_VALUE"""),41007.0)</f>
        <v>41007</v>
      </c>
      <c r="G1160" s="39">
        <f t="shared" si="2"/>
        <v>3</v>
      </c>
    </row>
    <row r="1161">
      <c r="A1161" s="11">
        <v>1160.0</v>
      </c>
      <c r="B1161" s="12">
        <f t="shared" si="184"/>
        <v>40006</v>
      </c>
      <c r="C1161" s="11" t="s">
        <v>617</v>
      </c>
      <c r="D1161" s="11" t="s">
        <v>66</v>
      </c>
      <c r="F1161" s="38">
        <f>IFERROR(__xludf.DUMMYFUNCTION("""COMPUTED_VALUE"""),41008.0)</f>
        <v>41008</v>
      </c>
      <c r="G1161" s="39">
        <f t="shared" si="2"/>
        <v>11</v>
      </c>
    </row>
    <row r="1162">
      <c r="A1162" s="11">
        <v>1161.0</v>
      </c>
      <c r="B1162" s="12">
        <f t="shared" si="184"/>
        <v>40006</v>
      </c>
      <c r="C1162" s="11" t="s">
        <v>1496</v>
      </c>
      <c r="D1162" s="11" t="s">
        <v>66</v>
      </c>
      <c r="F1162" s="38">
        <f>IFERROR(__xludf.DUMMYFUNCTION("""COMPUTED_VALUE"""),41009.0)</f>
        <v>41009</v>
      </c>
      <c r="G1162" s="39">
        <f t="shared" si="2"/>
        <v>5</v>
      </c>
    </row>
    <row r="1163">
      <c r="A1163" s="11">
        <v>1162.0</v>
      </c>
      <c r="B1163" s="12">
        <f t="shared" si="184"/>
        <v>40006</v>
      </c>
      <c r="C1163" s="11" t="s">
        <v>1599</v>
      </c>
      <c r="D1163" s="11" t="s">
        <v>66</v>
      </c>
      <c r="F1163" s="38">
        <f>IFERROR(__xludf.DUMMYFUNCTION("""COMPUTED_VALUE"""),41010.0)</f>
        <v>41010</v>
      </c>
      <c r="G1163" s="39">
        <f t="shared" si="2"/>
        <v>7</v>
      </c>
    </row>
    <row r="1164">
      <c r="A1164" s="11">
        <v>1163.0</v>
      </c>
      <c r="B1164" s="12">
        <f t="shared" si="184"/>
        <v>40006</v>
      </c>
      <c r="C1164" s="11" t="s">
        <v>1599</v>
      </c>
      <c r="D1164" s="11" t="s">
        <v>28</v>
      </c>
      <c r="F1164" s="38">
        <f>IFERROR(__xludf.DUMMYFUNCTION("""COMPUTED_VALUE"""),41011.0)</f>
        <v>41011</v>
      </c>
      <c r="G1164" s="39">
        <f t="shared" si="2"/>
        <v>6</v>
      </c>
    </row>
    <row r="1165">
      <c r="A1165" s="11">
        <v>1164.0</v>
      </c>
      <c r="B1165" s="12">
        <f t="shared" ref="B1165:B1168" si="185">DATE(2012,12,31)-1267</f>
        <v>40007</v>
      </c>
      <c r="C1165" s="11" t="s">
        <v>1288</v>
      </c>
      <c r="D1165" s="11" t="s">
        <v>28</v>
      </c>
      <c r="F1165" s="38">
        <f>IFERROR(__xludf.DUMMYFUNCTION("""COMPUTED_VALUE"""),41012.0)</f>
        <v>41012</v>
      </c>
      <c r="G1165" s="39">
        <f t="shared" si="2"/>
        <v>14</v>
      </c>
    </row>
    <row r="1166">
      <c r="A1166" s="11">
        <v>1165.0</v>
      </c>
      <c r="B1166" s="12">
        <f t="shared" si="185"/>
        <v>40007</v>
      </c>
      <c r="C1166" s="11" t="s">
        <v>1259</v>
      </c>
      <c r="D1166" s="11" t="s">
        <v>66</v>
      </c>
      <c r="F1166" s="38">
        <f>IFERROR(__xludf.DUMMYFUNCTION("""COMPUTED_VALUE"""),41013.0)</f>
        <v>41013</v>
      </c>
      <c r="G1166" s="39">
        <f t="shared" si="2"/>
        <v>9</v>
      </c>
    </row>
    <row r="1167">
      <c r="A1167" s="11">
        <v>1166.0</v>
      </c>
      <c r="B1167" s="12">
        <f t="shared" si="185"/>
        <v>40007</v>
      </c>
      <c r="C1167" s="11" t="s">
        <v>1602</v>
      </c>
      <c r="D1167" s="11" t="s">
        <v>28</v>
      </c>
      <c r="F1167" s="38">
        <f>IFERROR(__xludf.DUMMYFUNCTION("""COMPUTED_VALUE"""),41014.0)</f>
        <v>41014</v>
      </c>
      <c r="G1167" s="39">
        <f t="shared" si="2"/>
        <v>9</v>
      </c>
    </row>
    <row r="1168">
      <c r="A1168" s="11">
        <v>1167.0</v>
      </c>
      <c r="B1168" s="12">
        <f t="shared" si="185"/>
        <v>40007</v>
      </c>
      <c r="C1168" s="11" t="s">
        <v>800</v>
      </c>
      <c r="D1168" s="11" t="s">
        <v>66</v>
      </c>
      <c r="F1168" s="38">
        <f>IFERROR(__xludf.DUMMYFUNCTION("""COMPUTED_VALUE"""),41015.0)</f>
        <v>41015</v>
      </c>
      <c r="G1168" s="39">
        <f t="shared" si="2"/>
        <v>3</v>
      </c>
    </row>
    <row r="1169">
      <c r="A1169" s="11">
        <v>1168.0</v>
      </c>
      <c r="B1169" s="12">
        <f t="shared" ref="B1169:B1172" si="186">DATE(2012,12,31)-1266</f>
        <v>40008</v>
      </c>
      <c r="C1169" s="11" t="s">
        <v>253</v>
      </c>
      <c r="D1169" s="11" t="s">
        <v>28</v>
      </c>
      <c r="F1169" s="38">
        <f>IFERROR(__xludf.DUMMYFUNCTION("""COMPUTED_VALUE"""),41016.0)</f>
        <v>41016</v>
      </c>
      <c r="G1169" s="39">
        <f t="shared" si="2"/>
        <v>7</v>
      </c>
    </row>
    <row r="1170">
      <c r="A1170" s="11">
        <v>1169.0</v>
      </c>
      <c r="B1170" s="12">
        <f t="shared" si="186"/>
        <v>40008</v>
      </c>
      <c r="C1170" s="11" t="s">
        <v>751</v>
      </c>
      <c r="D1170" s="11" t="s">
        <v>28</v>
      </c>
      <c r="F1170" s="38">
        <f>IFERROR(__xludf.DUMMYFUNCTION("""COMPUTED_VALUE"""),41017.0)</f>
        <v>41017</v>
      </c>
      <c r="G1170" s="39">
        <f t="shared" si="2"/>
        <v>7</v>
      </c>
    </row>
    <row r="1171">
      <c r="A1171" s="11">
        <v>1170.0</v>
      </c>
      <c r="B1171" s="12">
        <f t="shared" si="186"/>
        <v>40008</v>
      </c>
      <c r="C1171" s="11" t="s">
        <v>131</v>
      </c>
      <c r="D1171" s="11" t="s">
        <v>28</v>
      </c>
      <c r="F1171" s="38">
        <f>IFERROR(__xludf.DUMMYFUNCTION("""COMPUTED_VALUE"""),41019.0)</f>
        <v>41019</v>
      </c>
      <c r="G1171" s="39">
        <f t="shared" si="2"/>
        <v>1</v>
      </c>
    </row>
    <row r="1172">
      <c r="A1172" s="11">
        <v>1171.0</v>
      </c>
      <c r="B1172" s="12">
        <f t="shared" si="186"/>
        <v>40008</v>
      </c>
      <c r="C1172" s="11" t="s">
        <v>131</v>
      </c>
      <c r="D1172" s="11" t="s">
        <v>49</v>
      </c>
      <c r="F1172" s="38">
        <f>IFERROR(__xludf.DUMMYFUNCTION("""COMPUTED_VALUE"""),41020.0)</f>
        <v>41020</v>
      </c>
      <c r="G1172" s="39">
        <f t="shared" si="2"/>
        <v>5</v>
      </c>
    </row>
    <row r="1173">
      <c r="A1173" s="11">
        <v>1172.0</v>
      </c>
      <c r="B1173" s="12">
        <f t="shared" ref="B1173:B1178" si="187">DATE(2012,12,31)-1265</f>
        <v>40009</v>
      </c>
      <c r="C1173" s="11" t="s">
        <v>1605</v>
      </c>
      <c r="D1173" s="11" t="s">
        <v>28</v>
      </c>
      <c r="F1173" s="38">
        <f>IFERROR(__xludf.DUMMYFUNCTION("""COMPUTED_VALUE"""),41021.0)</f>
        <v>41021</v>
      </c>
      <c r="G1173" s="39">
        <f t="shared" si="2"/>
        <v>7</v>
      </c>
    </row>
    <row r="1174">
      <c r="A1174" s="11">
        <v>1173.0</v>
      </c>
      <c r="B1174" s="12">
        <f t="shared" si="187"/>
        <v>40009</v>
      </c>
      <c r="C1174" s="11" t="s">
        <v>1607</v>
      </c>
      <c r="D1174" s="11" t="s">
        <v>66</v>
      </c>
      <c r="F1174" s="38">
        <f>IFERROR(__xludf.DUMMYFUNCTION("""COMPUTED_VALUE"""),41022.0)</f>
        <v>41022</v>
      </c>
      <c r="G1174" s="39">
        <f t="shared" si="2"/>
        <v>6</v>
      </c>
    </row>
    <row r="1175">
      <c r="A1175" s="11">
        <v>1174.0</v>
      </c>
      <c r="B1175" s="12">
        <f t="shared" si="187"/>
        <v>40009</v>
      </c>
      <c r="C1175" s="11" t="s">
        <v>1607</v>
      </c>
      <c r="D1175" s="11" t="s">
        <v>66</v>
      </c>
      <c r="F1175" s="38">
        <f>IFERROR(__xludf.DUMMYFUNCTION("""COMPUTED_VALUE"""),41023.0)</f>
        <v>41023</v>
      </c>
      <c r="G1175" s="39">
        <f t="shared" si="2"/>
        <v>7</v>
      </c>
    </row>
    <row r="1176">
      <c r="A1176" s="11">
        <v>1175.0</v>
      </c>
      <c r="B1176" s="12">
        <f t="shared" si="187"/>
        <v>40009</v>
      </c>
      <c r="C1176" s="11" t="s">
        <v>373</v>
      </c>
      <c r="D1176" s="11" t="s">
        <v>28</v>
      </c>
      <c r="F1176" s="38">
        <f>IFERROR(__xludf.DUMMYFUNCTION("""COMPUTED_VALUE"""),41024.0)</f>
        <v>41024</v>
      </c>
      <c r="G1176" s="39">
        <f t="shared" si="2"/>
        <v>12</v>
      </c>
    </row>
    <row r="1177">
      <c r="A1177" s="11">
        <v>1176.0</v>
      </c>
      <c r="B1177" s="12">
        <f t="shared" si="187"/>
        <v>40009</v>
      </c>
      <c r="C1177" s="11" t="s">
        <v>373</v>
      </c>
      <c r="D1177" s="11" t="s">
        <v>66</v>
      </c>
      <c r="F1177" s="38">
        <f>IFERROR(__xludf.DUMMYFUNCTION("""COMPUTED_VALUE"""),41025.0)</f>
        <v>41025</v>
      </c>
      <c r="G1177" s="39">
        <f t="shared" si="2"/>
        <v>4</v>
      </c>
    </row>
    <row r="1178">
      <c r="A1178" s="11">
        <v>1177.0</v>
      </c>
      <c r="B1178" s="12">
        <f t="shared" si="187"/>
        <v>40009</v>
      </c>
      <c r="C1178" s="11" t="s">
        <v>373</v>
      </c>
      <c r="D1178" s="11" t="s">
        <v>28</v>
      </c>
      <c r="F1178" s="38">
        <f>IFERROR(__xludf.DUMMYFUNCTION("""COMPUTED_VALUE"""),41026.0)</f>
        <v>41026</v>
      </c>
      <c r="G1178" s="39">
        <f t="shared" si="2"/>
        <v>11</v>
      </c>
    </row>
    <row r="1179">
      <c r="A1179" s="11">
        <v>1178.0</v>
      </c>
      <c r="B1179" s="12">
        <f t="shared" ref="B1179:B1186" si="188">DATE(2012,12,31)-1264</f>
        <v>40010</v>
      </c>
      <c r="C1179" s="11" t="s">
        <v>1211</v>
      </c>
      <c r="D1179" s="11" t="s">
        <v>66</v>
      </c>
      <c r="F1179" s="38">
        <f>IFERROR(__xludf.DUMMYFUNCTION("""COMPUTED_VALUE"""),41027.0)</f>
        <v>41027</v>
      </c>
      <c r="G1179" s="39">
        <f t="shared" si="2"/>
        <v>6</v>
      </c>
    </row>
    <row r="1180">
      <c r="A1180" s="11">
        <v>1179.0</v>
      </c>
      <c r="B1180" s="12">
        <f t="shared" si="188"/>
        <v>40010</v>
      </c>
      <c r="C1180" s="11" t="s">
        <v>312</v>
      </c>
      <c r="D1180" s="11" t="s">
        <v>28</v>
      </c>
      <c r="F1180" s="38">
        <f>IFERROR(__xludf.DUMMYFUNCTION("""COMPUTED_VALUE"""),41028.0)</f>
        <v>41028</v>
      </c>
      <c r="G1180" s="39">
        <f t="shared" si="2"/>
        <v>9</v>
      </c>
    </row>
    <row r="1181">
      <c r="A1181" s="11">
        <v>1180.0</v>
      </c>
      <c r="B1181" s="12">
        <f t="shared" si="188"/>
        <v>40010</v>
      </c>
      <c r="C1181" s="11" t="s">
        <v>312</v>
      </c>
      <c r="D1181" s="11" t="s">
        <v>49</v>
      </c>
      <c r="F1181" s="38">
        <f>IFERROR(__xludf.DUMMYFUNCTION("""COMPUTED_VALUE"""),41029.0)</f>
        <v>41029</v>
      </c>
      <c r="G1181" s="39">
        <f t="shared" si="2"/>
        <v>2</v>
      </c>
    </row>
    <row r="1182">
      <c r="A1182" s="11">
        <v>1181.0</v>
      </c>
      <c r="B1182" s="12">
        <f t="shared" si="188"/>
        <v>40010</v>
      </c>
      <c r="C1182" s="11" t="s">
        <v>312</v>
      </c>
      <c r="D1182" s="11" t="s">
        <v>28</v>
      </c>
      <c r="F1182" s="38">
        <f>IFERROR(__xludf.DUMMYFUNCTION("""COMPUTED_VALUE"""),41030.0)</f>
        <v>41030</v>
      </c>
      <c r="G1182" s="39">
        <f t="shared" si="2"/>
        <v>2</v>
      </c>
    </row>
    <row r="1183">
      <c r="A1183" s="11">
        <v>1182.0</v>
      </c>
      <c r="B1183" s="12">
        <f t="shared" si="188"/>
        <v>40010</v>
      </c>
      <c r="C1183" s="11" t="s">
        <v>312</v>
      </c>
      <c r="D1183" s="11" t="s">
        <v>28</v>
      </c>
      <c r="F1183" s="38">
        <f>IFERROR(__xludf.DUMMYFUNCTION("""COMPUTED_VALUE"""),41031.0)</f>
        <v>41031</v>
      </c>
      <c r="G1183" s="39">
        <f t="shared" si="2"/>
        <v>6</v>
      </c>
    </row>
    <row r="1184">
      <c r="A1184" s="11">
        <v>1183.0</v>
      </c>
      <c r="B1184" s="12">
        <f t="shared" si="188"/>
        <v>40010</v>
      </c>
      <c r="C1184" s="11" t="s">
        <v>1082</v>
      </c>
      <c r="D1184" s="11" t="s">
        <v>28</v>
      </c>
      <c r="F1184" s="38">
        <f>IFERROR(__xludf.DUMMYFUNCTION("""COMPUTED_VALUE"""),41032.0)</f>
        <v>41032</v>
      </c>
      <c r="G1184" s="39">
        <f t="shared" si="2"/>
        <v>6</v>
      </c>
    </row>
    <row r="1185">
      <c r="A1185" s="11">
        <v>1184.0</v>
      </c>
      <c r="B1185" s="12">
        <f t="shared" si="188"/>
        <v>40010</v>
      </c>
      <c r="C1185" s="11" t="s">
        <v>1482</v>
      </c>
      <c r="D1185" s="11" t="s">
        <v>66</v>
      </c>
      <c r="F1185" s="38">
        <f>IFERROR(__xludf.DUMMYFUNCTION("""COMPUTED_VALUE"""),41033.0)</f>
        <v>41033</v>
      </c>
      <c r="G1185" s="39">
        <f t="shared" si="2"/>
        <v>8</v>
      </c>
    </row>
    <row r="1186">
      <c r="A1186" s="11">
        <v>1185.0</v>
      </c>
      <c r="B1186" s="12">
        <f t="shared" si="188"/>
        <v>40010</v>
      </c>
      <c r="C1186" s="11" t="s">
        <v>1482</v>
      </c>
      <c r="D1186" s="11" t="s">
        <v>66</v>
      </c>
      <c r="F1186" s="38">
        <f>IFERROR(__xludf.DUMMYFUNCTION("""COMPUTED_VALUE"""),41034.0)</f>
        <v>41034</v>
      </c>
      <c r="G1186" s="39">
        <f t="shared" si="2"/>
        <v>9</v>
      </c>
    </row>
    <row r="1187">
      <c r="A1187" s="11">
        <v>1186.0</v>
      </c>
      <c r="B1187" s="12">
        <f t="shared" ref="B1187:B1196" si="189">DATE(2012,12,31)-1263</f>
        <v>40011</v>
      </c>
      <c r="C1187" s="11" t="s">
        <v>106</v>
      </c>
      <c r="D1187" s="11" t="s">
        <v>28</v>
      </c>
      <c r="F1187" s="38">
        <f>IFERROR(__xludf.DUMMYFUNCTION("""COMPUTED_VALUE"""),41035.0)</f>
        <v>41035</v>
      </c>
      <c r="G1187" s="39">
        <f t="shared" si="2"/>
        <v>11</v>
      </c>
    </row>
    <row r="1188">
      <c r="A1188" s="11">
        <v>1187.0</v>
      </c>
      <c r="B1188" s="12">
        <f t="shared" si="189"/>
        <v>40011</v>
      </c>
      <c r="C1188" s="11" t="s">
        <v>485</v>
      </c>
      <c r="D1188" s="11" t="s">
        <v>66</v>
      </c>
      <c r="F1188" s="38">
        <f>IFERROR(__xludf.DUMMYFUNCTION("""COMPUTED_VALUE"""),41036.0)</f>
        <v>41036</v>
      </c>
      <c r="G1188" s="39">
        <f t="shared" si="2"/>
        <v>10</v>
      </c>
    </row>
    <row r="1189">
      <c r="A1189" s="11">
        <v>1188.0</v>
      </c>
      <c r="B1189" s="12">
        <f t="shared" si="189"/>
        <v>40011</v>
      </c>
      <c r="C1189" s="11" t="s">
        <v>485</v>
      </c>
      <c r="D1189" s="11" t="s">
        <v>66</v>
      </c>
      <c r="F1189" s="38">
        <f>IFERROR(__xludf.DUMMYFUNCTION("""COMPUTED_VALUE"""),41037.0)</f>
        <v>41037</v>
      </c>
      <c r="G1189" s="39">
        <f t="shared" si="2"/>
        <v>5</v>
      </c>
    </row>
    <row r="1190">
      <c r="A1190" s="11">
        <v>1189.0</v>
      </c>
      <c r="B1190" s="12">
        <f t="shared" si="189"/>
        <v>40011</v>
      </c>
      <c r="C1190" s="11" t="s">
        <v>1373</v>
      </c>
      <c r="D1190" s="11" t="s">
        <v>28</v>
      </c>
      <c r="F1190" s="38">
        <f>IFERROR(__xludf.DUMMYFUNCTION("""COMPUTED_VALUE"""),41038.0)</f>
        <v>41038</v>
      </c>
      <c r="G1190" s="39">
        <f t="shared" si="2"/>
        <v>6</v>
      </c>
    </row>
    <row r="1191">
      <c r="A1191" s="11">
        <v>1190.0</v>
      </c>
      <c r="B1191" s="12">
        <f t="shared" si="189"/>
        <v>40011</v>
      </c>
      <c r="C1191" s="11" t="s">
        <v>1373</v>
      </c>
      <c r="D1191" s="11" t="s">
        <v>28</v>
      </c>
      <c r="F1191" s="38">
        <f>IFERROR(__xludf.DUMMYFUNCTION("""COMPUTED_VALUE"""),41039.0)</f>
        <v>41039</v>
      </c>
      <c r="G1191" s="39">
        <f t="shared" si="2"/>
        <v>10</v>
      </c>
    </row>
    <row r="1192">
      <c r="A1192" s="11">
        <v>1191.0</v>
      </c>
      <c r="B1192" s="12">
        <f t="shared" si="189"/>
        <v>40011</v>
      </c>
      <c r="C1192" s="11" t="s">
        <v>1618</v>
      </c>
      <c r="D1192" s="11" t="s">
        <v>28</v>
      </c>
      <c r="F1192" s="38">
        <f>IFERROR(__xludf.DUMMYFUNCTION("""COMPUTED_VALUE"""),41040.0)</f>
        <v>41040</v>
      </c>
      <c r="G1192" s="39">
        <f t="shared" si="2"/>
        <v>6</v>
      </c>
    </row>
    <row r="1193">
      <c r="A1193" s="11">
        <v>1192.0</v>
      </c>
      <c r="B1193" s="12">
        <f t="shared" si="189"/>
        <v>40011</v>
      </c>
      <c r="C1193" s="11" t="s">
        <v>1578</v>
      </c>
      <c r="D1193" s="11" t="s">
        <v>28</v>
      </c>
      <c r="F1193" s="38">
        <f>IFERROR(__xludf.DUMMYFUNCTION("""COMPUTED_VALUE"""),41041.0)</f>
        <v>41041</v>
      </c>
      <c r="G1193" s="39">
        <f t="shared" si="2"/>
        <v>14</v>
      </c>
    </row>
    <row r="1194">
      <c r="A1194" s="11">
        <v>1193.0</v>
      </c>
      <c r="B1194" s="12">
        <f t="shared" si="189"/>
        <v>40011</v>
      </c>
      <c r="C1194" s="11" t="s">
        <v>82</v>
      </c>
      <c r="D1194" s="11" t="s">
        <v>49</v>
      </c>
      <c r="F1194" s="38">
        <f>IFERROR(__xludf.DUMMYFUNCTION("""COMPUTED_VALUE"""),41042.0)</f>
        <v>41042</v>
      </c>
      <c r="G1194" s="39">
        <f t="shared" si="2"/>
        <v>13</v>
      </c>
    </row>
    <row r="1195">
      <c r="A1195" s="11">
        <v>1194.0</v>
      </c>
      <c r="B1195" s="12">
        <f t="shared" si="189"/>
        <v>40011</v>
      </c>
      <c r="C1195" s="11" t="s">
        <v>1620</v>
      </c>
      <c r="D1195" s="11" t="s">
        <v>66</v>
      </c>
      <c r="F1195" s="38">
        <f>IFERROR(__xludf.DUMMYFUNCTION("""COMPUTED_VALUE"""),41043.0)</f>
        <v>41043</v>
      </c>
      <c r="G1195" s="39">
        <f t="shared" si="2"/>
        <v>3</v>
      </c>
    </row>
    <row r="1196">
      <c r="A1196" s="11">
        <v>1195.0</v>
      </c>
      <c r="B1196" s="12">
        <f t="shared" si="189"/>
        <v>40011</v>
      </c>
      <c r="C1196" s="11" t="s">
        <v>1621</v>
      </c>
      <c r="D1196" s="11" t="s">
        <v>28</v>
      </c>
      <c r="F1196" s="38">
        <f>IFERROR(__xludf.DUMMYFUNCTION("""COMPUTED_VALUE"""),41045.0)</f>
        <v>41045</v>
      </c>
      <c r="G1196" s="39">
        <f t="shared" si="2"/>
        <v>2</v>
      </c>
    </row>
    <row r="1197">
      <c r="A1197" s="11">
        <v>1196.0</v>
      </c>
      <c r="B1197" s="12">
        <f t="shared" ref="B1197:B1204" si="190">DATE(2012,12,31)-1260</f>
        <v>40014</v>
      </c>
      <c r="C1197" s="11" t="s">
        <v>1303</v>
      </c>
      <c r="D1197" s="11" t="s">
        <v>28</v>
      </c>
      <c r="F1197" s="38">
        <f>IFERROR(__xludf.DUMMYFUNCTION("""COMPUTED_VALUE"""),41046.0)</f>
        <v>41046</v>
      </c>
      <c r="G1197" s="39">
        <f t="shared" si="2"/>
        <v>10</v>
      </c>
    </row>
    <row r="1198">
      <c r="A1198" s="11">
        <v>1197.0</v>
      </c>
      <c r="B1198" s="12">
        <f t="shared" si="190"/>
        <v>40014</v>
      </c>
      <c r="C1198" s="11" t="s">
        <v>1303</v>
      </c>
      <c r="D1198" s="11" t="s">
        <v>28</v>
      </c>
      <c r="F1198" s="38">
        <f>IFERROR(__xludf.DUMMYFUNCTION("""COMPUTED_VALUE"""),41047.0)</f>
        <v>41047</v>
      </c>
      <c r="G1198" s="39">
        <f t="shared" si="2"/>
        <v>5</v>
      </c>
    </row>
    <row r="1199">
      <c r="A1199" s="11">
        <v>1198.0</v>
      </c>
      <c r="B1199" s="12">
        <f t="shared" si="190"/>
        <v>40014</v>
      </c>
      <c r="C1199" s="11" t="s">
        <v>1622</v>
      </c>
      <c r="D1199" s="11" t="s">
        <v>28</v>
      </c>
      <c r="F1199" s="38">
        <f>IFERROR(__xludf.DUMMYFUNCTION("""COMPUTED_VALUE"""),41048.0)</f>
        <v>41048</v>
      </c>
      <c r="G1199" s="39">
        <f t="shared" si="2"/>
        <v>3</v>
      </c>
    </row>
    <row r="1200">
      <c r="A1200" s="11">
        <v>1199.0</v>
      </c>
      <c r="B1200" s="12">
        <f t="shared" si="190"/>
        <v>40014</v>
      </c>
      <c r="C1200" s="11" t="s">
        <v>1622</v>
      </c>
      <c r="D1200" s="11" t="s">
        <v>66</v>
      </c>
      <c r="F1200" s="38">
        <f>IFERROR(__xludf.DUMMYFUNCTION("""COMPUTED_VALUE"""),41049.0)</f>
        <v>41049</v>
      </c>
      <c r="G1200" s="39">
        <f t="shared" si="2"/>
        <v>8</v>
      </c>
    </row>
    <row r="1201">
      <c r="A1201" s="11">
        <v>1200.0</v>
      </c>
      <c r="B1201" s="12">
        <f t="shared" si="190"/>
        <v>40014</v>
      </c>
      <c r="C1201" s="11" t="s">
        <v>719</v>
      </c>
      <c r="D1201" s="11" t="s">
        <v>66</v>
      </c>
      <c r="F1201" s="38">
        <f>IFERROR(__xludf.DUMMYFUNCTION("""COMPUTED_VALUE"""),41050.0)</f>
        <v>41050</v>
      </c>
      <c r="G1201" s="39">
        <f t="shared" si="2"/>
        <v>9</v>
      </c>
    </row>
    <row r="1202">
      <c r="A1202" s="11">
        <v>1201.0</v>
      </c>
      <c r="B1202" s="12">
        <f t="shared" si="190"/>
        <v>40014</v>
      </c>
      <c r="C1202" s="11" t="s">
        <v>1623</v>
      </c>
      <c r="D1202" s="11" t="s">
        <v>28</v>
      </c>
      <c r="F1202" s="38">
        <f>IFERROR(__xludf.DUMMYFUNCTION("""COMPUTED_VALUE"""),41051.0)</f>
        <v>41051</v>
      </c>
      <c r="G1202" s="39">
        <f t="shared" si="2"/>
        <v>6</v>
      </c>
    </row>
    <row r="1203">
      <c r="A1203" s="11">
        <v>1202.0</v>
      </c>
      <c r="B1203" s="12">
        <f t="shared" si="190"/>
        <v>40014</v>
      </c>
      <c r="C1203" s="11" t="s">
        <v>1277</v>
      </c>
      <c r="D1203" s="11" t="s">
        <v>28</v>
      </c>
      <c r="F1203" s="38">
        <f>IFERROR(__xludf.DUMMYFUNCTION("""COMPUTED_VALUE"""),41052.0)</f>
        <v>41052</v>
      </c>
      <c r="G1203" s="39">
        <f t="shared" si="2"/>
        <v>5</v>
      </c>
    </row>
    <row r="1204">
      <c r="A1204" s="11">
        <v>1203.0</v>
      </c>
      <c r="B1204" s="12">
        <f t="shared" si="190"/>
        <v>40014</v>
      </c>
      <c r="C1204" s="11" t="s">
        <v>1277</v>
      </c>
      <c r="D1204" s="11" t="s">
        <v>28</v>
      </c>
      <c r="F1204" s="38">
        <f>IFERROR(__xludf.DUMMYFUNCTION("""COMPUTED_VALUE"""),41053.0)</f>
        <v>41053</v>
      </c>
      <c r="G1204" s="39">
        <f t="shared" si="2"/>
        <v>3</v>
      </c>
    </row>
    <row r="1205">
      <c r="A1205" s="11">
        <v>1204.0</v>
      </c>
      <c r="B1205" s="12">
        <f t="shared" ref="B1205:B1216" si="191">DATE(2012,12,31)-1259</f>
        <v>40015</v>
      </c>
      <c r="C1205" s="11" t="s">
        <v>1625</v>
      </c>
      <c r="D1205" s="11" t="s">
        <v>28</v>
      </c>
      <c r="F1205" s="38">
        <f>IFERROR(__xludf.DUMMYFUNCTION("""COMPUTED_VALUE"""),41054.0)</f>
        <v>41054</v>
      </c>
      <c r="G1205" s="39">
        <f t="shared" si="2"/>
        <v>11</v>
      </c>
    </row>
    <row r="1206">
      <c r="A1206" s="11">
        <v>1205.0</v>
      </c>
      <c r="B1206" s="12">
        <f t="shared" si="191"/>
        <v>40015</v>
      </c>
      <c r="C1206" s="11" t="s">
        <v>1625</v>
      </c>
      <c r="D1206" s="11" t="s">
        <v>66</v>
      </c>
      <c r="F1206" s="38">
        <f>IFERROR(__xludf.DUMMYFUNCTION("""COMPUTED_VALUE"""),41055.0)</f>
        <v>41055</v>
      </c>
      <c r="G1206" s="39">
        <f t="shared" si="2"/>
        <v>11</v>
      </c>
    </row>
    <row r="1207">
      <c r="A1207" s="11">
        <v>1206.0</v>
      </c>
      <c r="B1207" s="12">
        <f t="shared" si="191"/>
        <v>40015</v>
      </c>
      <c r="C1207" s="11" t="s">
        <v>578</v>
      </c>
      <c r="D1207" s="11" t="s">
        <v>28</v>
      </c>
      <c r="F1207" s="38">
        <f>IFERROR(__xludf.DUMMYFUNCTION("""COMPUTED_VALUE"""),41056.0)</f>
        <v>41056</v>
      </c>
      <c r="G1207" s="39">
        <f t="shared" si="2"/>
        <v>4</v>
      </c>
    </row>
    <row r="1208">
      <c r="A1208" s="11">
        <v>1207.0</v>
      </c>
      <c r="B1208" s="12">
        <f t="shared" si="191"/>
        <v>40015</v>
      </c>
      <c r="C1208" s="11" t="s">
        <v>1621</v>
      </c>
      <c r="D1208" s="11" t="s">
        <v>28</v>
      </c>
      <c r="F1208" s="38">
        <f>IFERROR(__xludf.DUMMYFUNCTION("""COMPUTED_VALUE"""),41057.0)</f>
        <v>41057</v>
      </c>
      <c r="G1208" s="39">
        <f t="shared" si="2"/>
        <v>6</v>
      </c>
    </row>
    <row r="1209">
      <c r="A1209" s="11">
        <v>1208.0</v>
      </c>
      <c r="B1209" s="12">
        <f t="shared" si="191"/>
        <v>40015</v>
      </c>
      <c r="C1209" s="11" t="s">
        <v>1621</v>
      </c>
      <c r="D1209" s="11" t="s">
        <v>66</v>
      </c>
      <c r="F1209" s="38">
        <f>IFERROR(__xludf.DUMMYFUNCTION("""COMPUTED_VALUE"""),41058.0)</f>
        <v>41058</v>
      </c>
      <c r="G1209" s="39">
        <f t="shared" si="2"/>
        <v>8</v>
      </c>
    </row>
    <row r="1210">
      <c r="A1210" s="11">
        <v>1209.0</v>
      </c>
      <c r="B1210" s="12">
        <f t="shared" si="191"/>
        <v>40015</v>
      </c>
      <c r="C1210" s="11" t="s">
        <v>1629</v>
      </c>
      <c r="D1210" s="11" t="s">
        <v>66</v>
      </c>
      <c r="F1210" s="38">
        <f>IFERROR(__xludf.DUMMYFUNCTION("""COMPUTED_VALUE"""),41059.0)</f>
        <v>41059</v>
      </c>
      <c r="G1210" s="39">
        <f t="shared" si="2"/>
        <v>6</v>
      </c>
    </row>
    <row r="1211">
      <c r="A1211" s="11">
        <v>1210.0</v>
      </c>
      <c r="B1211" s="12">
        <f t="shared" si="191"/>
        <v>40015</v>
      </c>
      <c r="C1211" s="11" t="s">
        <v>323</v>
      </c>
      <c r="D1211" s="11" t="s">
        <v>66</v>
      </c>
      <c r="F1211" s="38">
        <f>IFERROR(__xludf.DUMMYFUNCTION("""COMPUTED_VALUE"""),41060.0)</f>
        <v>41060</v>
      </c>
      <c r="G1211" s="39">
        <f t="shared" si="2"/>
        <v>7</v>
      </c>
    </row>
    <row r="1212">
      <c r="A1212" s="11">
        <v>1211.0</v>
      </c>
      <c r="B1212" s="12">
        <f t="shared" si="191"/>
        <v>40015</v>
      </c>
      <c r="C1212" s="11" t="s">
        <v>1288</v>
      </c>
      <c r="D1212" s="11" t="s">
        <v>28</v>
      </c>
      <c r="F1212" s="38">
        <f>IFERROR(__xludf.DUMMYFUNCTION("""COMPUTED_VALUE"""),41061.0)</f>
        <v>41061</v>
      </c>
      <c r="G1212" s="39">
        <f t="shared" si="2"/>
        <v>7</v>
      </c>
    </row>
    <row r="1213">
      <c r="A1213" s="11">
        <v>1212.0</v>
      </c>
      <c r="B1213" s="12">
        <f t="shared" si="191"/>
        <v>40015</v>
      </c>
      <c r="C1213" s="11" t="s">
        <v>1257</v>
      </c>
      <c r="D1213" s="11" t="s">
        <v>28</v>
      </c>
      <c r="F1213" s="38">
        <f>IFERROR(__xludf.DUMMYFUNCTION("""COMPUTED_VALUE"""),41062.0)</f>
        <v>41062</v>
      </c>
      <c r="G1213" s="39">
        <f t="shared" si="2"/>
        <v>12</v>
      </c>
    </row>
    <row r="1214">
      <c r="A1214" s="11">
        <v>1213.0</v>
      </c>
      <c r="B1214" s="12">
        <f t="shared" si="191"/>
        <v>40015</v>
      </c>
      <c r="C1214" s="11" t="s">
        <v>1257</v>
      </c>
      <c r="D1214" s="11" t="s">
        <v>28</v>
      </c>
      <c r="F1214" s="38">
        <f>IFERROR(__xludf.DUMMYFUNCTION("""COMPUTED_VALUE"""),41063.0)</f>
        <v>41063</v>
      </c>
      <c r="G1214" s="39">
        <f t="shared" si="2"/>
        <v>2</v>
      </c>
    </row>
    <row r="1215">
      <c r="A1215" s="11">
        <v>1214.0</v>
      </c>
      <c r="B1215" s="12">
        <f t="shared" si="191"/>
        <v>40015</v>
      </c>
      <c r="C1215" s="11" t="s">
        <v>1364</v>
      </c>
      <c r="D1215" s="11" t="s">
        <v>66</v>
      </c>
      <c r="F1215" s="38">
        <f>IFERROR(__xludf.DUMMYFUNCTION("""COMPUTED_VALUE"""),41064.0)</f>
        <v>41064</v>
      </c>
      <c r="G1215" s="39">
        <f t="shared" si="2"/>
        <v>2</v>
      </c>
    </row>
    <row r="1216">
      <c r="A1216" s="11">
        <v>1215.0</v>
      </c>
      <c r="B1216" s="12">
        <f t="shared" si="191"/>
        <v>40015</v>
      </c>
      <c r="C1216" s="11" t="s">
        <v>703</v>
      </c>
      <c r="D1216" s="11" t="s">
        <v>66</v>
      </c>
      <c r="F1216" s="38">
        <f>IFERROR(__xludf.DUMMYFUNCTION("""COMPUTED_VALUE"""),41065.0)</f>
        <v>41065</v>
      </c>
      <c r="G1216" s="39">
        <f t="shared" si="2"/>
        <v>4</v>
      </c>
    </row>
    <row r="1217">
      <c r="A1217" s="11">
        <v>1216.0</v>
      </c>
      <c r="B1217" s="12">
        <f t="shared" ref="B1217:B1221" si="192">DATE(2012,12,31)-1258</f>
        <v>40016</v>
      </c>
      <c r="C1217" s="11" t="s">
        <v>1364</v>
      </c>
      <c r="D1217" s="11" t="s">
        <v>28</v>
      </c>
      <c r="F1217" s="38">
        <f>IFERROR(__xludf.DUMMYFUNCTION("""COMPUTED_VALUE"""),41066.0)</f>
        <v>41066</v>
      </c>
      <c r="G1217" s="39">
        <f t="shared" si="2"/>
        <v>3</v>
      </c>
    </row>
    <row r="1218">
      <c r="A1218" s="11">
        <v>1217.0</v>
      </c>
      <c r="B1218" s="12">
        <f t="shared" si="192"/>
        <v>40016</v>
      </c>
      <c r="C1218" s="11" t="s">
        <v>1633</v>
      </c>
      <c r="D1218" s="11" t="s">
        <v>28</v>
      </c>
      <c r="F1218" s="38">
        <f>IFERROR(__xludf.DUMMYFUNCTION("""COMPUTED_VALUE"""),41067.0)</f>
        <v>41067</v>
      </c>
      <c r="G1218" s="39">
        <f t="shared" si="2"/>
        <v>8</v>
      </c>
    </row>
    <row r="1219">
      <c r="A1219" s="11">
        <v>1218.0</v>
      </c>
      <c r="B1219" s="12">
        <f t="shared" si="192"/>
        <v>40016</v>
      </c>
      <c r="C1219" s="11" t="s">
        <v>25</v>
      </c>
      <c r="D1219" s="11" t="s">
        <v>28</v>
      </c>
      <c r="F1219" s="38">
        <f>IFERROR(__xludf.DUMMYFUNCTION("""COMPUTED_VALUE"""),41068.0)</f>
        <v>41068</v>
      </c>
      <c r="G1219" s="39">
        <f t="shared" si="2"/>
        <v>10</v>
      </c>
    </row>
    <row r="1220">
      <c r="A1220" s="11">
        <v>1219.0</v>
      </c>
      <c r="B1220" s="12">
        <f t="shared" si="192"/>
        <v>40016</v>
      </c>
      <c r="C1220" s="11" t="s">
        <v>25</v>
      </c>
      <c r="D1220" s="11" t="s">
        <v>28</v>
      </c>
      <c r="F1220" s="38">
        <f>IFERROR(__xludf.DUMMYFUNCTION("""COMPUTED_VALUE"""),41069.0)</f>
        <v>41069</v>
      </c>
      <c r="G1220" s="39">
        <f t="shared" si="2"/>
        <v>1</v>
      </c>
    </row>
    <row r="1221">
      <c r="A1221" s="11">
        <v>1220.0</v>
      </c>
      <c r="B1221" s="12">
        <f t="shared" si="192"/>
        <v>40016</v>
      </c>
      <c r="C1221" s="11" t="s">
        <v>1634</v>
      </c>
      <c r="D1221" s="11" t="s">
        <v>66</v>
      </c>
      <c r="F1221" s="38">
        <f>IFERROR(__xludf.DUMMYFUNCTION("""COMPUTED_VALUE"""),41070.0)</f>
        <v>41070</v>
      </c>
      <c r="G1221" s="39">
        <f t="shared" si="2"/>
        <v>6</v>
      </c>
    </row>
    <row r="1222">
      <c r="A1222" s="11">
        <v>1221.0</v>
      </c>
      <c r="B1222" s="12">
        <f t="shared" ref="B1222:B1228" si="193">DATE(2012,12,31)-1256</f>
        <v>40018</v>
      </c>
      <c r="C1222" s="11" t="s">
        <v>1636</v>
      </c>
      <c r="D1222" s="11" t="s">
        <v>28</v>
      </c>
      <c r="F1222" s="38">
        <f>IFERROR(__xludf.DUMMYFUNCTION("""COMPUTED_VALUE"""),41071.0)</f>
        <v>41071</v>
      </c>
      <c r="G1222" s="39">
        <f t="shared" si="2"/>
        <v>8</v>
      </c>
    </row>
    <row r="1223">
      <c r="A1223" s="11">
        <v>1222.0</v>
      </c>
      <c r="B1223" s="12">
        <f t="shared" si="193"/>
        <v>40018</v>
      </c>
      <c r="C1223" s="11" t="s">
        <v>1636</v>
      </c>
      <c r="D1223" s="11" t="s">
        <v>66</v>
      </c>
      <c r="F1223" s="38">
        <f>IFERROR(__xludf.DUMMYFUNCTION("""COMPUTED_VALUE"""),41072.0)</f>
        <v>41072</v>
      </c>
      <c r="G1223" s="39">
        <f t="shared" si="2"/>
        <v>6</v>
      </c>
    </row>
    <row r="1224">
      <c r="A1224" s="11">
        <v>1223.0</v>
      </c>
      <c r="B1224" s="12">
        <f t="shared" si="193"/>
        <v>40018</v>
      </c>
      <c r="C1224" s="11" t="s">
        <v>1310</v>
      </c>
      <c r="D1224" s="11" t="s">
        <v>28</v>
      </c>
      <c r="F1224" s="38">
        <f>IFERROR(__xludf.DUMMYFUNCTION("""COMPUTED_VALUE"""),41073.0)</f>
        <v>41073</v>
      </c>
      <c r="G1224" s="39">
        <f t="shared" si="2"/>
        <v>7</v>
      </c>
    </row>
    <row r="1225">
      <c r="A1225" s="11">
        <v>1224.0</v>
      </c>
      <c r="B1225" s="12">
        <f t="shared" si="193"/>
        <v>40018</v>
      </c>
      <c r="C1225" s="11" t="s">
        <v>1640</v>
      </c>
      <c r="D1225" s="11" t="s">
        <v>28</v>
      </c>
      <c r="F1225" s="38">
        <f>IFERROR(__xludf.DUMMYFUNCTION("""COMPUTED_VALUE"""),41074.0)</f>
        <v>41074</v>
      </c>
      <c r="G1225" s="39">
        <f t="shared" si="2"/>
        <v>4</v>
      </c>
    </row>
    <row r="1226">
      <c r="A1226" s="11">
        <v>1225.0</v>
      </c>
      <c r="B1226" s="12">
        <f t="shared" si="193"/>
        <v>40018</v>
      </c>
      <c r="C1226" s="11" t="s">
        <v>1345</v>
      </c>
      <c r="D1226" s="11" t="s">
        <v>28</v>
      </c>
      <c r="F1226" s="38">
        <f>IFERROR(__xludf.DUMMYFUNCTION("""COMPUTED_VALUE"""),41075.0)</f>
        <v>41075</v>
      </c>
      <c r="G1226" s="39">
        <f t="shared" si="2"/>
        <v>4</v>
      </c>
    </row>
    <row r="1227">
      <c r="A1227" s="11">
        <v>1226.0</v>
      </c>
      <c r="B1227" s="12">
        <f t="shared" si="193"/>
        <v>40018</v>
      </c>
      <c r="C1227" s="11" t="s">
        <v>1643</v>
      </c>
      <c r="D1227" s="11" t="s">
        <v>66</v>
      </c>
      <c r="F1227" s="38">
        <f>IFERROR(__xludf.DUMMYFUNCTION("""COMPUTED_VALUE"""),41076.0)</f>
        <v>41076</v>
      </c>
      <c r="G1227" s="39">
        <f t="shared" si="2"/>
        <v>3</v>
      </c>
    </row>
    <row r="1228">
      <c r="A1228" s="11">
        <v>1227.0</v>
      </c>
      <c r="B1228" s="12">
        <f t="shared" si="193"/>
        <v>40018</v>
      </c>
      <c r="C1228" s="11" t="s">
        <v>871</v>
      </c>
      <c r="D1228" s="11" t="s">
        <v>28</v>
      </c>
      <c r="F1228" s="38">
        <f>IFERROR(__xludf.DUMMYFUNCTION("""COMPUTED_VALUE"""),41077.0)</f>
        <v>41077</v>
      </c>
      <c r="G1228" s="39">
        <f t="shared" si="2"/>
        <v>2</v>
      </c>
    </row>
    <row r="1229">
      <c r="A1229" s="11">
        <v>1228.0</v>
      </c>
      <c r="B1229" s="12">
        <f>DATE(2012,12,31)-1255</f>
        <v>40019</v>
      </c>
      <c r="C1229" s="11" t="s">
        <v>418</v>
      </c>
      <c r="D1229" s="11" t="s">
        <v>28</v>
      </c>
      <c r="F1229" s="38">
        <f>IFERROR(__xludf.DUMMYFUNCTION("""COMPUTED_VALUE"""),41078.0)</f>
        <v>41078</v>
      </c>
      <c r="G1229" s="39">
        <f t="shared" si="2"/>
        <v>6</v>
      </c>
    </row>
    <row r="1230">
      <c r="A1230" s="11">
        <v>1229.0</v>
      </c>
      <c r="B1230" s="12">
        <f t="shared" ref="B1230:B1241" si="194">DATE(2012,12,31)-1254</f>
        <v>40020</v>
      </c>
      <c r="C1230" s="11" t="s">
        <v>1384</v>
      </c>
      <c r="D1230" s="11" t="s">
        <v>28</v>
      </c>
      <c r="F1230" s="38">
        <f>IFERROR(__xludf.DUMMYFUNCTION("""COMPUTED_VALUE"""),41079.0)</f>
        <v>41079</v>
      </c>
      <c r="G1230" s="39">
        <f t="shared" si="2"/>
        <v>9</v>
      </c>
    </row>
    <row r="1231">
      <c r="A1231" s="11">
        <v>1230.0</v>
      </c>
      <c r="B1231" s="12">
        <f t="shared" si="194"/>
        <v>40020</v>
      </c>
      <c r="C1231" s="11" t="s">
        <v>239</v>
      </c>
      <c r="D1231" s="11" t="s">
        <v>28</v>
      </c>
      <c r="F1231" s="38">
        <f>IFERROR(__xludf.DUMMYFUNCTION("""COMPUTED_VALUE"""),41080.0)</f>
        <v>41080</v>
      </c>
      <c r="G1231" s="39">
        <f t="shared" si="2"/>
        <v>5</v>
      </c>
    </row>
    <row r="1232">
      <c r="A1232" s="11">
        <v>1231.0</v>
      </c>
      <c r="B1232" s="12">
        <f t="shared" si="194"/>
        <v>40020</v>
      </c>
      <c r="C1232" s="11" t="s">
        <v>239</v>
      </c>
      <c r="D1232" s="11" t="s">
        <v>66</v>
      </c>
      <c r="F1232" s="38">
        <f>IFERROR(__xludf.DUMMYFUNCTION("""COMPUTED_VALUE"""),41082.0)</f>
        <v>41082</v>
      </c>
      <c r="G1232" s="39">
        <f t="shared" si="2"/>
        <v>2</v>
      </c>
    </row>
    <row r="1233">
      <c r="A1233" s="11">
        <v>1232.0</v>
      </c>
      <c r="B1233" s="12">
        <f t="shared" si="194"/>
        <v>40020</v>
      </c>
      <c r="C1233" s="11" t="s">
        <v>239</v>
      </c>
      <c r="D1233" s="11" t="s">
        <v>66</v>
      </c>
      <c r="F1233" s="38">
        <f>IFERROR(__xludf.DUMMYFUNCTION("""COMPUTED_VALUE"""),41083.0)</f>
        <v>41083</v>
      </c>
      <c r="G1233" s="39">
        <f t="shared" si="2"/>
        <v>2</v>
      </c>
    </row>
    <row r="1234">
      <c r="A1234" s="11">
        <v>1233.0</v>
      </c>
      <c r="B1234" s="12">
        <f t="shared" si="194"/>
        <v>40020</v>
      </c>
      <c r="C1234" s="11" t="s">
        <v>1110</v>
      </c>
      <c r="D1234" s="11" t="s">
        <v>49</v>
      </c>
      <c r="F1234" s="38">
        <f>IFERROR(__xludf.DUMMYFUNCTION("""COMPUTED_VALUE"""),41084.0)</f>
        <v>41084</v>
      </c>
      <c r="G1234" s="39">
        <f t="shared" si="2"/>
        <v>4</v>
      </c>
    </row>
    <row r="1235">
      <c r="A1235" s="11">
        <v>1234.0</v>
      </c>
      <c r="B1235" s="12">
        <f t="shared" si="194"/>
        <v>40020</v>
      </c>
      <c r="C1235" s="11" t="s">
        <v>1110</v>
      </c>
      <c r="D1235" s="11" t="s">
        <v>28</v>
      </c>
      <c r="F1235" s="38">
        <f>IFERROR(__xludf.DUMMYFUNCTION("""COMPUTED_VALUE"""),41085.0)</f>
        <v>41085</v>
      </c>
      <c r="G1235" s="39">
        <f t="shared" si="2"/>
        <v>3</v>
      </c>
    </row>
    <row r="1236">
      <c r="A1236" s="11">
        <v>1235.0</v>
      </c>
      <c r="B1236" s="12">
        <f t="shared" si="194"/>
        <v>40020</v>
      </c>
      <c r="C1236" s="11" t="s">
        <v>961</v>
      </c>
      <c r="D1236" s="11" t="s">
        <v>28</v>
      </c>
      <c r="F1236" s="38">
        <f>IFERROR(__xludf.DUMMYFUNCTION("""COMPUTED_VALUE"""),41086.0)</f>
        <v>41086</v>
      </c>
      <c r="G1236" s="39">
        <f t="shared" si="2"/>
        <v>6</v>
      </c>
    </row>
    <row r="1237">
      <c r="A1237" s="11">
        <v>1236.0</v>
      </c>
      <c r="B1237" s="12">
        <f t="shared" si="194"/>
        <v>40020</v>
      </c>
      <c r="C1237" s="11" t="s">
        <v>961</v>
      </c>
      <c r="D1237" s="11" t="s">
        <v>49</v>
      </c>
      <c r="F1237" s="38">
        <f>IFERROR(__xludf.DUMMYFUNCTION("""COMPUTED_VALUE"""),41087.0)</f>
        <v>41087</v>
      </c>
      <c r="G1237" s="39">
        <f t="shared" si="2"/>
        <v>8</v>
      </c>
    </row>
    <row r="1238">
      <c r="A1238" s="11">
        <v>1237.0</v>
      </c>
      <c r="B1238" s="12">
        <f t="shared" si="194"/>
        <v>40020</v>
      </c>
      <c r="C1238" s="11" t="s">
        <v>961</v>
      </c>
      <c r="D1238" s="11" t="s">
        <v>28</v>
      </c>
      <c r="F1238" s="38">
        <f>IFERROR(__xludf.DUMMYFUNCTION("""COMPUTED_VALUE"""),41088.0)</f>
        <v>41088</v>
      </c>
      <c r="G1238" s="39">
        <f t="shared" si="2"/>
        <v>6</v>
      </c>
    </row>
    <row r="1239">
      <c r="A1239" s="11">
        <v>1238.0</v>
      </c>
      <c r="B1239" s="12">
        <f t="shared" si="194"/>
        <v>40020</v>
      </c>
      <c r="C1239" s="11" t="s">
        <v>1648</v>
      </c>
      <c r="D1239" s="11" t="s">
        <v>49</v>
      </c>
      <c r="F1239" s="38">
        <f>IFERROR(__xludf.DUMMYFUNCTION("""COMPUTED_VALUE"""),41089.0)</f>
        <v>41089</v>
      </c>
      <c r="G1239" s="39">
        <f t="shared" si="2"/>
        <v>10</v>
      </c>
    </row>
    <row r="1240">
      <c r="A1240" s="11">
        <v>1239.0</v>
      </c>
      <c r="B1240" s="12">
        <f t="shared" si="194"/>
        <v>40020</v>
      </c>
      <c r="C1240" s="11" t="s">
        <v>925</v>
      </c>
      <c r="D1240" s="11" t="s">
        <v>49</v>
      </c>
      <c r="F1240" s="38">
        <f>IFERROR(__xludf.DUMMYFUNCTION("""COMPUTED_VALUE"""),41090.0)</f>
        <v>41090</v>
      </c>
      <c r="G1240" s="39">
        <f t="shared" si="2"/>
        <v>2</v>
      </c>
    </row>
    <row r="1241">
      <c r="A1241" s="11">
        <v>1240.0</v>
      </c>
      <c r="B1241" s="12">
        <f t="shared" si="194"/>
        <v>40020</v>
      </c>
      <c r="C1241" s="11" t="s">
        <v>608</v>
      </c>
      <c r="D1241" s="11" t="s">
        <v>28</v>
      </c>
      <c r="F1241" s="38">
        <f>IFERROR(__xludf.DUMMYFUNCTION("""COMPUTED_VALUE"""),41091.0)</f>
        <v>41091</v>
      </c>
      <c r="G1241" s="39">
        <f t="shared" si="2"/>
        <v>1</v>
      </c>
    </row>
    <row r="1242">
      <c r="A1242" s="11">
        <v>1241.0</v>
      </c>
      <c r="B1242" s="12">
        <f t="shared" ref="B1242:B1248" si="195">DATE(2012,12,31)-1253</f>
        <v>40021</v>
      </c>
      <c r="C1242" s="11" t="s">
        <v>1650</v>
      </c>
      <c r="D1242" s="11" t="s">
        <v>66</v>
      </c>
      <c r="F1242" s="38">
        <f>IFERROR(__xludf.DUMMYFUNCTION("""COMPUTED_VALUE"""),41092.0)</f>
        <v>41092</v>
      </c>
      <c r="G1242" s="39">
        <f t="shared" si="2"/>
        <v>9</v>
      </c>
    </row>
    <row r="1243">
      <c r="A1243" s="11">
        <v>1242.0</v>
      </c>
      <c r="B1243" s="12">
        <f t="shared" si="195"/>
        <v>40021</v>
      </c>
      <c r="C1243" s="11" t="s">
        <v>1599</v>
      </c>
      <c r="D1243" s="11" t="s">
        <v>28</v>
      </c>
      <c r="F1243" s="38">
        <f>IFERROR(__xludf.DUMMYFUNCTION("""COMPUTED_VALUE"""),41093.0)</f>
        <v>41093</v>
      </c>
      <c r="G1243" s="39">
        <f t="shared" si="2"/>
        <v>6</v>
      </c>
    </row>
    <row r="1244">
      <c r="A1244" s="11">
        <v>1243.0</v>
      </c>
      <c r="B1244" s="12">
        <f t="shared" si="195"/>
        <v>40021</v>
      </c>
      <c r="C1244" s="11" t="s">
        <v>1599</v>
      </c>
      <c r="D1244" s="11" t="s">
        <v>28</v>
      </c>
      <c r="F1244" s="38">
        <f>IFERROR(__xludf.DUMMYFUNCTION("""COMPUTED_VALUE"""),41095.0)</f>
        <v>41095</v>
      </c>
      <c r="G1244" s="39">
        <f t="shared" si="2"/>
        <v>3</v>
      </c>
    </row>
    <row r="1245">
      <c r="A1245" s="11">
        <v>1244.0</v>
      </c>
      <c r="B1245" s="12">
        <f t="shared" si="195"/>
        <v>40021</v>
      </c>
      <c r="C1245" s="11" t="s">
        <v>1652</v>
      </c>
      <c r="D1245" s="11" t="s">
        <v>28</v>
      </c>
      <c r="F1245" s="38">
        <f>IFERROR(__xludf.DUMMYFUNCTION("""COMPUTED_VALUE"""),41096.0)</f>
        <v>41096</v>
      </c>
      <c r="G1245" s="39">
        <f t="shared" si="2"/>
        <v>1</v>
      </c>
    </row>
    <row r="1246">
      <c r="A1246" s="11">
        <v>1245.0</v>
      </c>
      <c r="B1246" s="12">
        <f t="shared" si="195"/>
        <v>40021</v>
      </c>
      <c r="C1246" s="11" t="s">
        <v>1653</v>
      </c>
      <c r="D1246" s="11" t="s">
        <v>28</v>
      </c>
      <c r="F1246" s="38">
        <f>IFERROR(__xludf.DUMMYFUNCTION("""COMPUTED_VALUE"""),41097.0)</f>
        <v>41097</v>
      </c>
      <c r="G1246" s="39">
        <f t="shared" si="2"/>
        <v>4</v>
      </c>
    </row>
    <row r="1247">
      <c r="A1247" s="11">
        <v>1246.0</v>
      </c>
      <c r="B1247" s="12">
        <f t="shared" si="195"/>
        <v>40021</v>
      </c>
      <c r="C1247" s="11" t="s">
        <v>1654</v>
      </c>
      <c r="D1247" s="11" t="s">
        <v>49</v>
      </c>
      <c r="F1247" s="38">
        <f>IFERROR(__xludf.DUMMYFUNCTION("""COMPUTED_VALUE"""),41098.0)</f>
        <v>41098</v>
      </c>
      <c r="G1247" s="39">
        <f t="shared" si="2"/>
        <v>5</v>
      </c>
    </row>
    <row r="1248">
      <c r="A1248" s="11">
        <v>1247.0</v>
      </c>
      <c r="B1248" s="12">
        <f t="shared" si="195"/>
        <v>40021</v>
      </c>
      <c r="C1248" s="11" t="s">
        <v>1655</v>
      </c>
      <c r="D1248" s="11" t="s">
        <v>28</v>
      </c>
      <c r="F1248" s="38">
        <f>IFERROR(__xludf.DUMMYFUNCTION("""COMPUTED_VALUE"""),41099.0)</f>
        <v>41099</v>
      </c>
      <c r="G1248" s="39">
        <f t="shared" si="2"/>
        <v>14</v>
      </c>
    </row>
    <row r="1249">
      <c r="A1249" s="11">
        <v>1248.0</v>
      </c>
      <c r="B1249" s="12">
        <f t="shared" ref="B1249:B1251" si="196">DATE(2012,12,31)-1252</f>
        <v>40022</v>
      </c>
      <c r="C1249" s="11" t="s">
        <v>1324</v>
      </c>
      <c r="D1249" s="11" t="s">
        <v>28</v>
      </c>
      <c r="F1249" s="38">
        <f>IFERROR(__xludf.DUMMYFUNCTION("""COMPUTED_VALUE"""),41100.0)</f>
        <v>41100</v>
      </c>
      <c r="G1249" s="39">
        <f t="shared" si="2"/>
        <v>7</v>
      </c>
    </row>
    <row r="1250">
      <c r="A1250" s="11">
        <v>1249.0</v>
      </c>
      <c r="B1250" s="12">
        <f t="shared" si="196"/>
        <v>40022</v>
      </c>
      <c r="C1250" s="11" t="s">
        <v>1324</v>
      </c>
      <c r="D1250" s="11" t="s">
        <v>49</v>
      </c>
      <c r="F1250" s="38">
        <f>IFERROR(__xludf.DUMMYFUNCTION("""COMPUTED_VALUE"""),41101.0)</f>
        <v>41101</v>
      </c>
      <c r="G1250" s="39">
        <f t="shared" si="2"/>
        <v>6</v>
      </c>
    </row>
    <row r="1251">
      <c r="A1251" s="11">
        <v>1250.0</v>
      </c>
      <c r="B1251" s="12">
        <f t="shared" si="196"/>
        <v>40022</v>
      </c>
      <c r="C1251" s="11" t="s">
        <v>1657</v>
      </c>
      <c r="D1251" s="11" t="s">
        <v>66</v>
      </c>
      <c r="F1251" s="38">
        <f>IFERROR(__xludf.DUMMYFUNCTION("""COMPUTED_VALUE"""),41102.0)</f>
        <v>41102</v>
      </c>
      <c r="G1251" s="39">
        <f t="shared" si="2"/>
        <v>7</v>
      </c>
    </row>
    <row r="1252">
      <c r="A1252" s="11">
        <v>1251.0</v>
      </c>
      <c r="B1252" s="12">
        <f t="shared" ref="B1252:B1255" si="197">DATE(2012,12,31)-1251</f>
        <v>40023</v>
      </c>
      <c r="C1252" s="11" t="s">
        <v>1384</v>
      </c>
      <c r="D1252" s="11" t="s">
        <v>28</v>
      </c>
      <c r="F1252" s="38">
        <f>IFERROR(__xludf.DUMMYFUNCTION("""COMPUTED_VALUE"""),41103.0)</f>
        <v>41103</v>
      </c>
      <c r="G1252" s="39">
        <f t="shared" si="2"/>
        <v>7</v>
      </c>
    </row>
    <row r="1253">
      <c r="A1253" s="11">
        <v>1252.0</v>
      </c>
      <c r="B1253" s="12">
        <f t="shared" si="197"/>
        <v>40023</v>
      </c>
      <c r="C1253" s="11" t="s">
        <v>1384</v>
      </c>
      <c r="D1253" s="11" t="s">
        <v>28</v>
      </c>
      <c r="F1253" s="38">
        <f>IFERROR(__xludf.DUMMYFUNCTION("""COMPUTED_VALUE"""),41104.0)</f>
        <v>41104</v>
      </c>
      <c r="G1253" s="39">
        <f t="shared" si="2"/>
        <v>3</v>
      </c>
    </row>
    <row r="1254">
      <c r="A1254" s="11">
        <v>1253.0</v>
      </c>
      <c r="B1254" s="12">
        <f t="shared" si="197"/>
        <v>40023</v>
      </c>
      <c r="C1254" s="11" t="s">
        <v>1196</v>
      </c>
      <c r="D1254" s="11" t="s">
        <v>66</v>
      </c>
      <c r="F1254" s="38">
        <f>IFERROR(__xludf.DUMMYFUNCTION("""COMPUTED_VALUE"""),41105.0)</f>
        <v>41105</v>
      </c>
      <c r="G1254" s="39">
        <f t="shared" si="2"/>
        <v>4</v>
      </c>
    </row>
    <row r="1255">
      <c r="A1255" s="11">
        <v>1254.0</v>
      </c>
      <c r="B1255" s="12">
        <f t="shared" si="197"/>
        <v>40023</v>
      </c>
      <c r="C1255" s="11" t="s">
        <v>1196</v>
      </c>
      <c r="D1255" s="11" t="s">
        <v>49</v>
      </c>
      <c r="F1255" s="38">
        <f>IFERROR(__xludf.DUMMYFUNCTION("""COMPUTED_VALUE"""),41106.0)</f>
        <v>41106</v>
      </c>
      <c r="G1255" s="39">
        <f t="shared" si="2"/>
        <v>11</v>
      </c>
    </row>
    <row r="1256">
      <c r="A1256" s="11">
        <v>1255.0</v>
      </c>
      <c r="B1256" s="12">
        <f t="shared" ref="B1256:B1261" si="198">DATE(2012,12,31)-1250</f>
        <v>40024</v>
      </c>
      <c r="C1256" s="11" t="s">
        <v>1564</v>
      </c>
      <c r="D1256" s="11" t="s">
        <v>66</v>
      </c>
      <c r="F1256" s="38">
        <f>IFERROR(__xludf.DUMMYFUNCTION("""COMPUTED_VALUE"""),41107.0)</f>
        <v>41107</v>
      </c>
      <c r="G1256" s="39">
        <f t="shared" si="2"/>
        <v>6</v>
      </c>
    </row>
    <row r="1257">
      <c r="A1257" s="11">
        <v>1256.0</v>
      </c>
      <c r="B1257" s="12">
        <f t="shared" si="198"/>
        <v>40024</v>
      </c>
      <c r="C1257" s="11" t="s">
        <v>274</v>
      </c>
      <c r="D1257" s="11" t="s">
        <v>28</v>
      </c>
      <c r="F1257" s="38">
        <f>IFERROR(__xludf.DUMMYFUNCTION("""COMPUTED_VALUE"""),41108.0)</f>
        <v>41108</v>
      </c>
      <c r="G1257" s="39">
        <f t="shared" si="2"/>
        <v>2</v>
      </c>
    </row>
    <row r="1258">
      <c r="A1258" s="11">
        <v>1257.0</v>
      </c>
      <c r="B1258" s="12">
        <f t="shared" si="198"/>
        <v>40024</v>
      </c>
      <c r="C1258" s="11" t="s">
        <v>274</v>
      </c>
      <c r="D1258" s="11" t="s">
        <v>49</v>
      </c>
      <c r="F1258" s="38">
        <f>IFERROR(__xludf.DUMMYFUNCTION("""COMPUTED_VALUE"""),41109.0)</f>
        <v>41109</v>
      </c>
      <c r="G1258" s="39">
        <f t="shared" si="2"/>
        <v>6</v>
      </c>
    </row>
    <row r="1259">
      <c r="A1259" s="11">
        <v>1258.0</v>
      </c>
      <c r="B1259" s="12">
        <f t="shared" si="198"/>
        <v>40024</v>
      </c>
      <c r="C1259" s="11" t="s">
        <v>1623</v>
      </c>
      <c r="D1259" s="11" t="s">
        <v>28</v>
      </c>
      <c r="F1259" s="38">
        <f>IFERROR(__xludf.DUMMYFUNCTION("""COMPUTED_VALUE"""),41110.0)</f>
        <v>41110</v>
      </c>
      <c r="G1259" s="39">
        <f t="shared" si="2"/>
        <v>5</v>
      </c>
    </row>
    <row r="1260">
      <c r="A1260" s="11">
        <v>1259.0</v>
      </c>
      <c r="B1260" s="12">
        <f t="shared" si="198"/>
        <v>40024</v>
      </c>
      <c r="C1260" s="11" t="s">
        <v>1623</v>
      </c>
      <c r="D1260" s="11" t="s">
        <v>49</v>
      </c>
      <c r="F1260" s="38">
        <f>IFERROR(__xludf.DUMMYFUNCTION("""COMPUTED_VALUE"""),41111.0)</f>
        <v>41111</v>
      </c>
      <c r="G1260" s="39">
        <f t="shared" si="2"/>
        <v>15</v>
      </c>
    </row>
    <row r="1261">
      <c r="A1261" s="11">
        <v>1260.0</v>
      </c>
      <c r="B1261" s="12">
        <f t="shared" si="198"/>
        <v>40024</v>
      </c>
      <c r="C1261" s="11" t="s">
        <v>1623</v>
      </c>
      <c r="D1261" s="11" t="s">
        <v>28</v>
      </c>
      <c r="F1261" s="38">
        <f>IFERROR(__xludf.DUMMYFUNCTION("""COMPUTED_VALUE"""),41112.0)</f>
        <v>41112</v>
      </c>
      <c r="G1261" s="39">
        <f t="shared" si="2"/>
        <v>3</v>
      </c>
    </row>
    <row r="1262">
      <c r="A1262" s="11">
        <v>1261.0</v>
      </c>
      <c r="B1262" s="12">
        <f t="shared" ref="B1262:B1269" si="199">DATE(2012,12,31)-1249</f>
        <v>40025</v>
      </c>
      <c r="C1262" s="11" t="s">
        <v>1664</v>
      </c>
      <c r="D1262" s="11" t="s">
        <v>49</v>
      </c>
      <c r="F1262" s="38">
        <f>IFERROR(__xludf.DUMMYFUNCTION("""COMPUTED_VALUE"""),41113.0)</f>
        <v>41113</v>
      </c>
      <c r="G1262" s="39">
        <f t="shared" si="2"/>
        <v>2</v>
      </c>
    </row>
    <row r="1263">
      <c r="A1263" s="11">
        <v>1262.0</v>
      </c>
      <c r="B1263" s="12">
        <f t="shared" si="199"/>
        <v>40025</v>
      </c>
      <c r="C1263" s="11" t="s">
        <v>1664</v>
      </c>
      <c r="D1263" s="11" t="s">
        <v>49</v>
      </c>
      <c r="F1263" s="38">
        <f>IFERROR(__xludf.DUMMYFUNCTION("""COMPUTED_VALUE"""),41114.0)</f>
        <v>41114</v>
      </c>
      <c r="G1263" s="39">
        <f t="shared" si="2"/>
        <v>1</v>
      </c>
    </row>
    <row r="1264">
      <c r="A1264" s="11">
        <v>1263.0</v>
      </c>
      <c r="B1264" s="12">
        <f t="shared" si="199"/>
        <v>40025</v>
      </c>
      <c r="C1264" s="11" t="s">
        <v>613</v>
      </c>
      <c r="D1264" s="11" t="s">
        <v>28</v>
      </c>
      <c r="F1264" s="38">
        <f>IFERROR(__xludf.DUMMYFUNCTION("""COMPUTED_VALUE"""),41115.0)</f>
        <v>41115</v>
      </c>
      <c r="G1264" s="39">
        <f t="shared" si="2"/>
        <v>4</v>
      </c>
    </row>
    <row r="1265">
      <c r="A1265" s="11">
        <v>1264.0</v>
      </c>
      <c r="B1265" s="12">
        <f t="shared" si="199"/>
        <v>40025</v>
      </c>
      <c r="C1265" s="11" t="s">
        <v>613</v>
      </c>
      <c r="D1265" s="11" t="s">
        <v>28</v>
      </c>
      <c r="F1265" s="38">
        <f>IFERROR(__xludf.DUMMYFUNCTION("""COMPUTED_VALUE"""),41116.0)</f>
        <v>41116</v>
      </c>
      <c r="G1265" s="39">
        <f t="shared" si="2"/>
        <v>4</v>
      </c>
    </row>
    <row r="1266">
      <c r="A1266" s="11">
        <v>1265.0</v>
      </c>
      <c r="B1266" s="12">
        <f t="shared" si="199"/>
        <v>40025</v>
      </c>
      <c r="C1266" s="11" t="s">
        <v>613</v>
      </c>
      <c r="D1266" s="11" t="s">
        <v>66</v>
      </c>
      <c r="F1266" s="38">
        <f>IFERROR(__xludf.DUMMYFUNCTION("""COMPUTED_VALUE"""),41117.0)</f>
        <v>41117</v>
      </c>
      <c r="G1266" s="39">
        <f t="shared" si="2"/>
        <v>4</v>
      </c>
    </row>
    <row r="1267">
      <c r="A1267" s="11">
        <v>1266.0</v>
      </c>
      <c r="B1267" s="12">
        <f t="shared" si="199"/>
        <v>40025</v>
      </c>
      <c r="C1267" s="11" t="s">
        <v>613</v>
      </c>
      <c r="D1267" s="11" t="s">
        <v>28</v>
      </c>
      <c r="F1267" s="38">
        <f>IFERROR(__xludf.DUMMYFUNCTION("""COMPUTED_VALUE"""),41118.0)</f>
        <v>41118</v>
      </c>
      <c r="G1267" s="39">
        <f t="shared" si="2"/>
        <v>6</v>
      </c>
    </row>
    <row r="1268">
      <c r="A1268" s="11">
        <v>1267.0</v>
      </c>
      <c r="B1268" s="12">
        <f t="shared" si="199"/>
        <v>40025</v>
      </c>
      <c r="C1268" s="11" t="s">
        <v>613</v>
      </c>
      <c r="D1268" s="11" t="s">
        <v>28</v>
      </c>
      <c r="F1268" s="38">
        <f>IFERROR(__xludf.DUMMYFUNCTION("""COMPUTED_VALUE"""),41119.0)</f>
        <v>41119</v>
      </c>
      <c r="G1268" s="39">
        <f t="shared" si="2"/>
        <v>12</v>
      </c>
    </row>
    <row r="1269">
      <c r="A1269" s="11">
        <v>1268.0</v>
      </c>
      <c r="B1269" s="12">
        <f t="shared" si="199"/>
        <v>40025</v>
      </c>
      <c r="C1269" s="11" t="s">
        <v>1667</v>
      </c>
      <c r="D1269" s="11" t="s">
        <v>49</v>
      </c>
      <c r="F1269" s="38">
        <f>IFERROR(__xludf.DUMMYFUNCTION("""COMPUTED_VALUE"""),41120.0)</f>
        <v>41120</v>
      </c>
      <c r="G1269" s="39">
        <f t="shared" si="2"/>
        <v>4</v>
      </c>
    </row>
    <row r="1270">
      <c r="A1270" s="11">
        <v>1269.0</v>
      </c>
      <c r="B1270" s="12">
        <f t="shared" ref="B1270:B1274" si="200">DATE(2012,12,31)-1248</f>
        <v>40026</v>
      </c>
      <c r="C1270" s="11" t="s">
        <v>279</v>
      </c>
      <c r="D1270" s="11" t="s">
        <v>28</v>
      </c>
      <c r="F1270" s="38">
        <f>IFERROR(__xludf.DUMMYFUNCTION("""COMPUTED_VALUE"""),41121.0)</f>
        <v>41121</v>
      </c>
      <c r="G1270" s="39">
        <f t="shared" si="2"/>
        <v>6</v>
      </c>
    </row>
    <row r="1271">
      <c r="A1271" s="11">
        <v>1270.0</v>
      </c>
      <c r="B1271" s="12">
        <f t="shared" si="200"/>
        <v>40026</v>
      </c>
      <c r="C1271" s="11" t="s">
        <v>271</v>
      </c>
      <c r="D1271" s="11" t="s">
        <v>66</v>
      </c>
      <c r="F1271" s="38">
        <f>IFERROR(__xludf.DUMMYFUNCTION("""COMPUTED_VALUE"""),41122.0)</f>
        <v>41122</v>
      </c>
      <c r="G1271" s="39">
        <f t="shared" si="2"/>
        <v>8</v>
      </c>
    </row>
    <row r="1272">
      <c r="A1272" s="11">
        <v>1271.0</v>
      </c>
      <c r="B1272" s="12">
        <f t="shared" si="200"/>
        <v>40026</v>
      </c>
      <c r="C1272" s="11" t="s">
        <v>271</v>
      </c>
      <c r="D1272" s="11" t="s">
        <v>28</v>
      </c>
      <c r="F1272" s="38">
        <f>IFERROR(__xludf.DUMMYFUNCTION("""COMPUTED_VALUE"""),41123.0)</f>
        <v>41123</v>
      </c>
      <c r="G1272" s="39">
        <f t="shared" si="2"/>
        <v>4</v>
      </c>
    </row>
    <row r="1273">
      <c r="A1273" s="11">
        <v>1272.0</v>
      </c>
      <c r="B1273" s="12">
        <f t="shared" si="200"/>
        <v>40026</v>
      </c>
      <c r="C1273" s="11" t="s">
        <v>271</v>
      </c>
      <c r="D1273" s="11" t="s">
        <v>28</v>
      </c>
      <c r="F1273" s="38">
        <f>IFERROR(__xludf.DUMMYFUNCTION("""COMPUTED_VALUE"""),41124.0)</f>
        <v>41124</v>
      </c>
      <c r="G1273" s="39">
        <f t="shared" si="2"/>
        <v>2</v>
      </c>
    </row>
    <row r="1274">
      <c r="A1274" s="11">
        <v>1273.0</v>
      </c>
      <c r="B1274" s="12">
        <f t="shared" si="200"/>
        <v>40026</v>
      </c>
      <c r="C1274" s="11" t="s">
        <v>1581</v>
      </c>
      <c r="D1274" s="11" t="s">
        <v>49</v>
      </c>
      <c r="F1274" s="38">
        <f>IFERROR(__xludf.DUMMYFUNCTION("""COMPUTED_VALUE"""),41125.0)</f>
        <v>41125</v>
      </c>
      <c r="G1274" s="39">
        <f t="shared" si="2"/>
        <v>11</v>
      </c>
    </row>
    <row r="1275">
      <c r="A1275" s="11">
        <v>1274.0</v>
      </c>
      <c r="B1275" s="12">
        <f t="shared" ref="B1275:B1281" si="201">DATE(2012,12,31)-1247</f>
        <v>40027</v>
      </c>
      <c r="C1275" s="11" t="s">
        <v>1674</v>
      </c>
      <c r="D1275" s="11" t="s">
        <v>66</v>
      </c>
      <c r="F1275" s="38">
        <f>IFERROR(__xludf.DUMMYFUNCTION("""COMPUTED_VALUE"""),41126.0)</f>
        <v>41126</v>
      </c>
      <c r="G1275" s="39">
        <f t="shared" si="2"/>
        <v>9</v>
      </c>
    </row>
    <row r="1276">
      <c r="A1276" s="11">
        <v>1275.0</v>
      </c>
      <c r="B1276" s="12">
        <f t="shared" si="201"/>
        <v>40027</v>
      </c>
      <c r="C1276" s="11" t="s">
        <v>211</v>
      </c>
      <c r="D1276" s="11" t="s">
        <v>28</v>
      </c>
      <c r="F1276" s="38">
        <f>IFERROR(__xludf.DUMMYFUNCTION("""COMPUTED_VALUE"""),41127.0)</f>
        <v>41127</v>
      </c>
      <c r="G1276" s="39">
        <f t="shared" si="2"/>
        <v>3</v>
      </c>
    </row>
    <row r="1277">
      <c r="A1277" s="11">
        <v>1276.0</v>
      </c>
      <c r="B1277" s="12">
        <f t="shared" si="201"/>
        <v>40027</v>
      </c>
      <c r="C1277" s="11" t="s">
        <v>211</v>
      </c>
      <c r="D1277" s="11" t="s">
        <v>28</v>
      </c>
      <c r="F1277" s="38">
        <f>IFERROR(__xludf.DUMMYFUNCTION("""COMPUTED_VALUE"""),41128.0)</f>
        <v>41128</v>
      </c>
      <c r="G1277" s="39">
        <f t="shared" si="2"/>
        <v>7</v>
      </c>
    </row>
    <row r="1278">
      <c r="A1278" s="11">
        <v>1277.0</v>
      </c>
      <c r="B1278" s="12">
        <f t="shared" si="201"/>
        <v>40027</v>
      </c>
      <c r="C1278" s="11" t="s">
        <v>1080</v>
      </c>
      <c r="D1278" s="11" t="s">
        <v>66</v>
      </c>
      <c r="F1278" s="38">
        <f>IFERROR(__xludf.DUMMYFUNCTION("""COMPUTED_VALUE"""),41129.0)</f>
        <v>41129</v>
      </c>
      <c r="G1278" s="39">
        <f t="shared" si="2"/>
        <v>1</v>
      </c>
    </row>
    <row r="1279">
      <c r="A1279" s="11">
        <v>1278.0</v>
      </c>
      <c r="B1279" s="12">
        <f t="shared" si="201"/>
        <v>40027</v>
      </c>
      <c r="C1279" s="11" t="s">
        <v>1080</v>
      </c>
      <c r="D1279" s="11" t="s">
        <v>28</v>
      </c>
      <c r="F1279" s="38">
        <f>IFERROR(__xludf.DUMMYFUNCTION("""COMPUTED_VALUE"""),41130.0)</f>
        <v>41130</v>
      </c>
      <c r="G1279" s="39">
        <f t="shared" si="2"/>
        <v>7</v>
      </c>
    </row>
    <row r="1280">
      <c r="A1280" s="11">
        <v>1279.0</v>
      </c>
      <c r="B1280" s="12">
        <f t="shared" si="201"/>
        <v>40027</v>
      </c>
      <c r="C1280" s="11" t="s">
        <v>689</v>
      </c>
      <c r="D1280" s="11" t="s">
        <v>49</v>
      </c>
      <c r="F1280" s="38">
        <f>IFERROR(__xludf.DUMMYFUNCTION("""COMPUTED_VALUE"""),41131.0)</f>
        <v>41131</v>
      </c>
      <c r="G1280" s="39">
        <f t="shared" si="2"/>
        <v>12</v>
      </c>
    </row>
    <row r="1281">
      <c r="A1281" s="11">
        <v>1280.0</v>
      </c>
      <c r="B1281" s="12">
        <f t="shared" si="201"/>
        <v>40027</v>
      </c>
      <c r="C1281" s="11" t="s">
        <v>1602</v>
      </c>
      <c r="D1281" s="11" t="s">
        <v>49</v>
      </c>
      <c r="F1281" s="38">
        <f>IFERROR(__xludf.DUMMYFUNCTION("""COMPUTED_VALUE"""),41132.0)</f>
        <v>41132</v>
      </c>
      <c r="G1281" s="39">
        <f t="shared" si="2"/>
        <v>5</v>
      </c>
    </row>
    <row r="1282">
      <c r="A1282" s="11">
        <v>1281.0</v>
      </c>
      <c r="B1282" s="12">
        <f t="shared" ref="B1282:B1284" si="202">DATE(2012,12,31)-1246</f>
        <v>40028</v>
      </c>
      <c r="C1282" s="11" t="s">
        <v>584</v>
      </c>
      <c r="D1282" s="11" t="s">
        <v>49</v>
      </c>
      <c r="F1282" s="38">
        <f>IFERROR(__xludf.DUMMYFUNCTION("""COMPUTED_VALUE"""),41133.0)</f>
        <v>41133</v>
      </c>
      <c r="G1282" s="39">
        <f t="shared" si="2"/>
        <v>11</v>
      </c>
    </row>
    <row r="1283">
      <c r="A1283" s="11">
        <v>1282.0</v>
      </c>
      <c r="B1283" s="12">
        <f t="shared" si="202"/>
        <v>40028</v>
      </c>
      <c r="C1283" s="11" t="s">
        <v>1319</v>
      </c>
      <c r="D1283" s="11" t="s">
        <v>28</v>
      </c>
      <c r="F1283" s="38">
        <f>IFERROR(__xludf.DUMMYFUNCTION("""COMPUTED_VALUE"""),41134.0)</f>
        <v>41134</v>
      </c>
      <c r="G1283" s="39">
        <f t="shared" si="2"/>
        <v>2</v>
      </c>
    </row>
    <row r="1284">
      <c r="A1284" s="11">
        <v>1283.0</v>
      </c>
      <c r="B1284" s="12">
        <f t="shared" si="202"/>
        <v>40028</v>
      </c>
      <c r="C1284" s="11" t="s">
        <v>1319</v>
      </c>
      <c r="D1284" s="11" t="s">
        <v>66</v>
      </c>
      <c r="F1284" s="38">
        <f>IFERROR(__xludf.DUMMYFUNCTION("""COMPUTED_VALUE"""),41135.0)</f>
        <v>41135</v>
      </c>
      <c r="G1284" s="39">
        <f t="shared" si="2"/>
        <v>8</v>
      </c>
    </row>
    <row r="1285">
      <c r="A1285" s="11">
        <v>1284.0</v>
      </c>
      <c r="B1285" s="12">
        <f t="shared" ref="B1285:B1292" si="203">DATE(2012,12,31)-1245</f>
        <v>40029</v>
      </c>
      <c r="C1285" s="11" t="s">
        <v>1417</v>
      </c>
      <c r="D1285" s="11" t="s">
        <v>66</v>
      </c>
      <c r="F1285" s="38">
        <f>IFERROR(__xludf.DUMMYFUNCTION("""COMPUTED_VALUE"""),41136.0)</f>
        <v>41136</v>
      </c>
      <c r="G1285" s="39">
        <f t="shared" si="2"/>
        <v>4</v>
      </c>
    </row>
    <row r="1286">
      <c r="A1286" s="11">
        <v>1285.0</v>
      </c>
      <c r="B1286" s="12">
        <f t="shared" si="203"/>
        <v>40029</v>
      </c>
      <c r="C1286" s="11" t="s">
        <v>1417</v>
      </c>
      <c r="D1286" s="11" t="s">
        <v>28</v>
      </c>
      <c r="F1286" s="38">
        <f>IFERROR(__xludf.DUMMYFUNCTION("""COMPUTED_VALUE"""),41137.0)</f>
        <v>41137</v>
      </c>
      <c r="G1286" s="39">
        <f t="shared" si="2"/>
        <v>5</v>
      </c>
    </row>
    <row r="1287">
      <c r="A1287" s="11">
        <v>1286.0</v>
      </c>
      <c r="B1287" s="12">
        <f t="shared" si="203"/>
        <v>40029</v>
      </c>
      <c r="C1287" s="11" t="s">
        <v>1572</v>
      </c>
      <c r="D1287" s="11" t="s">
        <v>66</v>
      </c>
      <c r="F1287" s="38">
        <f>IFERROR(__xludf.DUMMYFUNCTION("""COMPUTED_VALUE"""),41138.0)</f>
        <v>41138</v>
      </c>
      <c r="G1287" s="39">
        <f t="shared" si="2"/>
        <v>5</v>
      </c>
    </row>
    <row r="1288">
      <c r="A1288" s="11">
        <v>1287.0</v>
      </c>
      <c r="B1288" s="12">
        <f t="shared" si="203"/>
        <v>40029</v>
      </c>
      <c r="C1288" s="11" t="s">
        <v>1572</v>
      </c>
      <c r="D1288" s="11" t="s">
        <v>28</v>
      </c>
      <c r="F1288" s="38">
        <f>IFERROR(__xludf.DUMMYFUNCTION("""COMPUTED_VALUE"""),41139.0)</f>
        <v>41139</v>
      </c>
      <c r="G1288" s="39">
        <f t="shared" si="2"/>
        <v>9</v>
      </c>
    </row>
    <row r="1289">
      <c r="A1289" s="11">
        <v>1288.0</v>
      </c>
      <c r="B1289" s="12">
        <f t="shared" si="203"/>
        <v>40029</v>
      </c>
      <c r="C1289" s="11" t="s">
        <v>528</v>
      </c>
      <c r="D1289" s="11" t="s">
        <v>28</v>
      </c>
      <c r="F1289" s="38">
        <f>IFERROR(__xludf.DUMMYFUNCTION("""COMPUTED_VALUE"""),41140.0)</f>
        <v>41140</v>
      </c>
      <c r="G1289" s="39">
        <f t="shared" si="2"/>
        <v>8</v>
      </c>
    </row>
    <row r="1290">
      <c r="A1290" s="11">
        <v>1289.0</v>
      </c>
      <c r="B1290" s="12">
        <f t="shared" si="203"/>
        <v>40029</v>
      </c>
      <c r="C1290" s="11" t="s">
        <v>444</v>
      </c>
      <c r="D1290" s="11" t="s">
        <v>28</v>
      </c>
      <c r="F1290" s="38">
        <f>IFERROR(__xludf.DUMMYFUNCTION("""COMPUTED_VALUE"""),41141.0)</f>
        <v>41141</v>
      </c>
      <c r="G1290" s="39">
        <f t="shared" si="2"/>
        <v>10</v>
      </c>
    </row>
    <row r="1291">
      <c r="A1291" s="11">
        <v>1290.0</v>
      </c>
      <c r="B1291" s="12">
        <f t="shared" si="203"/>
        <v>40029</v>
      </c>
      <c r="C1291" s="11" t="s">
        <v>479</v>
      </c>
      <c r="D1291" s="11" t="s">
        <v>66</v>
      </c>
      <c r="F1291" s="38">
        <f>IFERROR(__xludf.DUMMYFUNCTION("""COMPUTED_VALUE"""),41142.0)</f>
        <v>41142</v>
      </c>
      <c r="G1291" s="39">
        <f t="shared" si="2"/>
        <v>5</v>
      </c>
    </row>
    <row r="1292">
      <c r="A1292" s="11">
        <v>1291.0</v>
      </c>
      <c r="B1292" s="12">
        <f t="shared" si="203"/>
        <v>40029</v>
      </c>
      <c r="C1292" s="11" t="s">
        <v>1681</v>
      </c>
      <c r="D1292" s="11" t="s">
        <v>28</v>
      </c>
      <c r="F1292" s="38">
        <f>IFERROR(__xludf.DUMMYFUNCTION("""COMPUTED_VALUE"""),41143.0)</f>
        <v>41143</v>
      </c>
      <c r="G1292" s="39">
        <f t="shared" si="2"/>
        <v>7</v>
      </c>
    </row>
    <row r="1293">
      <c r="A1293" s="11">
        <v>1292.0</v>
      </c>
      <c r="B1293" s="12">
        <f t="shared" ref="B1293:B1301" si="204">DATE(2012,12,31)-1244</f>
        <v>40030</v>
      </c>
      <c r="C1293" s="11" t="s">
        <v>1682</v>
      </c>
      <c r="D1293" s="11" t="s">
        <v>49</v>
      </c>
      <c r="F1293" s="38">
        <f>IFERROR(__xludf.DUMMYFUNCTION("""COMPUTED_VALUE"""),41144.0)</f>
        <v>41144</v>
      </c>
      <c r="G1293" s="39">
        <f t="shared" si="2"/>
        <v>4</v>
      </c>
    </row>
    <row r="1294">
      <c r="A1294" s="11">
        <v>1293.0</v>
      </c>
      <c r="B1294" s="12">
        <f t="shared" si="204"/>
        <v>40030</v>
      </c>
      <c r="C1294" s="11" t="s">
        <v>689</v>
      </c>
      <c r="D1294" s="11" t="s">
        <v>28</v>
      </c>
      <c r="F1294" s="38">
        <f>IFERROR(__xludf.DUMMYFUNCTION("""COMPUTED_VALUE"""),41145.0)</f>
        <v>41145</v>
      </c>
      <c r="G1294" s="39">
        <f t="shared" si="2"/>
        <v>2</v>
      </c>
    </row>
    <row r="1295">
      <c r="A1295" s="11">
        <v>1294.0</v>
      </c>
      <c r="B1295" s="12">
        <f t="shared" si="204"/>
        <v>40030</v>
      </c>
      <c r="C1295" s="11" t="s">
        <v>456</v>
      </c>
      <c r="D1295" s="11" t="s">
        <v>28</v>
      </c>
      <c r="F1295" s="38">
        <f>IFERROR(__xludf.DUMMYFUNCTION("""COMPUTED_VALUE"""),41147.0)</f>
        <v>41147</v>
      </c>
      <c r="G1295" s="39">
        <f t="shared" si="2"/>
        <v>3</v>
      </c>
    </row>
    <row r="1296">
      <c r="A1296" s="11">
        <v>1295.0</v>
      </c>
      <c r="B1296" s="12">
        <f t="shared" si="204"/>
        <v>40030</v>
      </c>
      <c r="C1296" s="11" t="s">
        <v>456</v>
      </c>
      <c r="D1296" s="11" t="s">
        <v>28</v>
      </c>
      <c r="F1296" s="38">
        <f>IFERROR(__xludf.DUMMYFUNCTION("""COMPUTED_VALUE"""),41148.0)</f>
        <v>41148</v>
      </c>
      <c r="G1296" s="39">
        <f t="shared" si="2"/>
        <v>5</v>
      </c>
    </row>
    <row r="1297">
      <c r="A1297" s="11">
        <v>1296.0</v>
      </c>
      <c r="B1297" s="12">
        <f t="shared" si="204"/>
        <v>40030</v>
      </c>
      <c r="C1297" s="11" t="s">
        <v>456</v>
      </c>
      <c r="D1297" s="11" t="s">
        <v>66</v>
      </c>
      <c r="F1297" s="38">
        <f>IFERROR(__xludf.DUMMYFUNCTION("""COMPUTED_VALUE"""),41149.0)</f>
        <v>41149</v>
      </c>
      <c r="G1297" s="39">
        <f t="shared" si="2"/>
        <v>9</v>
      </c>
    </row>
    <row r="1298">
      <c r="A1298" s="11">
        <v>1297.0</v>
      </c>
      <c r="B1298" s="12">
        <f t="shared" si="204"/>
        <v>40030</v>
      </c>
      <c r="C1298" s="11" t="s">
        <v>588</v>
      </c>
      <c r="D1298" s="11" t="s">
        <v>28</v>
      </c>
      <c r="F1298" s="38">
        <f>IFERROR(__xludf.DUMMYFUNCTION("""COMPUTED_VALUE"""),41150.0)</f>
        <v>41150</v>
      </c>
      <c r="G1298" s="39">
        <f t="shared" si="2"/>
        <v>6</v>
      </c>
    </row>
    <row r="1299">
      <c r="A1299" s="11">
        <v>1298.0</v>
      </c>
      <c r="B1299" s="12">
        <f t="shared" si="204"/>
        <v>40030</v>
      </c>
      <c r="C1299" s="11" t="s">
        <v>1683</v>
      </c>
      <c r="D1299" s="11" t="s">
        <v>66</v>
      </c>
      <c r="F1299" s="38">
        <f>IFERROR(__xludf.DUMMYFUNCTION("""COMPUTED_VALUE"""),41151.0)</f>
        <v>41151</v>
      </c>
      <c r="G1299" s="39">
        <f t="shared" si="2"/>
        <v>9</v>
      </c>
    </row>
    <row r="1300">
      <c r="A1300" s="11">
        <v>1299.0</v>
      </c>
      <c r="B1300" s="12">
        <f t="shared" si="204"/>
        <v>40030</v>
      </c>
      <c r="C1300" s="11" t="s">
        <v>1684</v>
      </c>
      <c r="D1300" s="11" t="s">
        <v>28</v>
      </c>
      <c r="F1300" s="38">
        <f>IFERROR(__xludf.DUMMYFUNCTION("""COMPUTED_VALUE"""),41153.0)</f>
        <v>41153</v>
      </c>
      <c r="G1300" s="39">
        <f t="shared" si="2"/>
        <v>6</v>
      </c>
    </row>
    <row r="1301">
      <c r="A1301" s="11">
        <v>1300.0</v>
      </c>
      <c r="B1301" s="12">
        <f t="shared" si="204"/>
        <v>40030</v>
      </c>
      <c r="C1301" s="11" t="s">
        <v>1685</v>
      </c>
      <c r="D1301" s="11" t="s">
        <v>28</v>
      </c>
      <c r="F1301" s="38">
        <f>IFERROR(__xludf.DUMMYFUNCTION("""COMPUTED_VALUE"""),41154.0)</f>
        <v>41154</v>
      </c>
      <c r="G1301" s="39">
        <f t="shared" si="2"/>
        <v>12</v>
      </c>
    </row>
    <row r="1302">
      <c r="A1302" s="11">
        <v>1301.0</v>
      </c>
      <c r="B1302" s="12">
        <f t="shared" ref="B1302:B1312" si="205">DATE(2012,12,31)-1243</f>
        <v>40031</v>
      </c>
      <c r="C1302" s="11" t="s">
        <v>1686</v>
      </c>
      <c r="D1302" s="11" t="s">
        <v>66</v>
      </c>
      <c r="F1302" s="38">
        <f>IFERROR(__xludf.DUMMYFUNCTION("""COMPUTED_VALUE"""),41155.0)</f>
        <v>41155</v>
      </c>
      <c r="G1302" s="39">
        <f t="shared" si="2"/>
        <v>6</v>
      </c>
    </row>
    <row r="1303">
      <c r="A1303" s="11">
        <v>1302.0</v>
      </c>
      <c r="B1303" s="12">
        <f t="shared" si="205"/>
        <v>40031</v>
      </c>
      <c r="C1303" s="11" t="s">
        <v>1686</v>
      </c>
      <c r="D1303" s="11" t="s">
        <v>28</v>
      </c>
      <c r="F1303" s="38">
        <f>IFERROR(__xludf.DUMMYFUNCTION("""COMPUTED_VALUE"""),41156.0)</f>
        <v>41156</v>
      </c>
      <c r="G1303" s="39">
        <f t="shared" si="2"/>
        <v>4</v>
      </c>
    </row>
    <row r="1304">
      <c r="A1304" s="11">
        <v>1303.0</v>
      </c>
      <c r="B1304" s="12">
        <f t="shared" si="205"/>
        <v>40031</v>
      </c>
      <c r="C1304" s="11" t="s">
        <v>576</v>
      </c>
      <c r="D1304" s="11" t="s">
        <v>28</v>
      </c>
      <c r="F1304" s="38">
        <f>IFERROR(__xludf.DUMMYFUNCTION("""COMPUTED_VALUE"""),41157.0)</f>
        <v>41157</v>
      </c>
      <c r="G1304" s="39">
        <f t="shared" si="2"/>
        <v>12</v>
      </c>
    </row>
    <row r="1305">
      <c r="A1305" s="11">
        <v>1304.0</v>
      </c>
      <c r="B1305" s="12">
        <f t="shared" si="205"/>
        <v>40031</v>
      </c>
      <c r="C1305" s="11" t="s">
        <v>823</v>
      </c>
      <c r="D1305" s="11" t="s">
        <v>28</v>
      </c>
      <c r="F1305" s="38">
        <f>IFERROR(__xludf.DUMMYFUNCTION("""COMPUTED_VALUE"""),41158.0)</f>
        <v>41158</v>
      </c>
      <c r="G1305" s="39">
        <f t="shared" si="2"/>
        <v>4</v>
      </c>
    </row>
    <row r="1306">
      <c r="A1306" s="11">
        <v>1305.0</v>
      </c>
      <c r="B1306" s="12">
        <f t="shared" si="205"/>
        <v>40031</v>
      </c>
      <c r="C1306" s="11" t="s">
        <v>823</v>
      </c>
      <c r="D1306" s="11" t="s">
        <v>28</v>
      </c>
      <c r="F1306" s="38">
        <f>IFERROR(__xludf.DUMMYFUNCTION("""COMPUTED_VALUE"""),41159.0)</f>
        <v>41159</v>
      </c>
      <c r="G1306" s="39">
        <f t="shared" si="2"/>
        <v>4</v>
      </c>
    </row>
    <row r="1307">
      <c r="A1307" s="11">
        <v>1306.0</v>
      </c>
      <c r="B1307" s="12">
        <f t="shared" si="205"/>
        <v>40031</v>
      </c>
      <c r="C1307" s="11" t="s">
        <v>1415</v>
      </c>
      <c r="D1307" s="11" t="s">
        <v>28</v>
      </c>
      <c r="F1307" s="38">
        <f>IFERROR(__xludf.DUMMYFUNCTION("""COMPUTED_VALUE"""),41160.0)</f>
        <v>41160</v>
      </c>
      <c r="G1307" s="39">
        <f t="shared" si="2"/>
        <v>5</v>
      </c>
    </row>
    <row r="1308">
      <c r="A1308" s="11">
        <v>1307.0</v>
      </c>
      <c r="B1308" s="12">
        <f t="shared" si="205"/>
        <v>40031</v>
      </c>
      <c r="C1308" s="11" t="s">
        <v>1415</v>
      </c>
      <c r="D1308" s="11" t="s">
        <v>28</v>
      </c>
      <c r="F1308" s="38">
        <f>IFERROR(__xludf.DUMMYFUNCTION("""COMPUTED_VALUE"""),41161.0)</f>
        <v>41161</v>
      </c>
      <c r="G1308" s="39">
        <f t="shared" si="2"/>
        <v>7</v>
      </c>
    </row>
    <row r="1309">
      <c r="A1309" s="11">
        <v>1308.0</v>
      </c>
      <c r="B1309" s="12">
        <f t="shared" si="205"/>
        <v>40031</v>
      </c>
      <c r="C1309" s="11" t="s">
        <v>1415</v>
      </c>
      <c r="D1309" s="11" t="s">
        <v>66</v>
      </c>
      <c r="F1309" s="38">
        <f>IFERROR(__xludf.DUMMYFUNCTION("""COMPUTED_VALUE"""),41162.0)</f>
        <v>41162</v>
      </c>
      <c r="G1309" s="39">
        <f t="shared" si="2"/>
        <v>9</v>
      </c>
    </row>
    <row r="1310">
      <c r="A1310" s="11">
        <v>1309.0</v>
      </c>
      <c r="B1310" s="12">
        <f t="shared" si="205"/>
        <v>40031</v>
      </c>
      <c r="C1310" s="11" t="s">
        <v>1688</v>
      </c>
      <c r="D1310" s="11" t="s">
        <v>66</v>
      </c>
      <c r="F1310" s="38">
        <f>IFERROR(__xludf.DUMMYFUNCTION("""COMPUTED_VALUE"""),41163.0)</f>
        <v>41163</v>
      </c>
      <c r="G1310" s="39">
        <f t="shared" si="2"/>
        <v>3</v>
      </c>
    </row>
    <row r="1311">
      <c r="A1311" s="11">
        <v>1310.0</v>
      </c>
      <c r="B1311" s="12">
        <f t="shared" si="205"/>
        <v>40031</v>
      </c>
      <c r="C1311" s="11" t="s">
        <v>167</v>
      </c>
      <c r="D1311" s="11" t="s">
        <v>28</v>
      </c>
      <c r="F1311" s="38">
        <f>IFERROR(__xludf.DUMMYFUNCTION("""COMPUTED_VALUE"""),41164.0)</f>
        <v>41164</v>
      </c>
      <c r="G1311" s="39">
        <f t="shared" si="2"/>
        <v>10</v>
      </c>
    </row>
    <row r="1312">
      <c r="A1312" s="11">
        <v>1311.0</v>
      </c>
      <c r="B1312" s="12">
        <f t="shared" si="205"/>
        <v>40031</v>
      </c>
      <c r="C1312" s="11" t="s">
        <v>1199</v>
      </c>
      <c r="D1312" s="11" t="s">
        <v>66</v>
      </c>
      <c r="F1312" s="38">
        <f>IFERROR(__xludf.DUMMYFUNCTION("""COMPUTED_VALUE"""),41165.0)</f>
        <v>41165</v>
      </c>
      <c r="G1312" s="39">
        <f t="shared" si="2"/>
        <v>9</v>
      </c>
    </row>
    <row r="1313">
      <c r="A1313" s="11">
        <v>1312.0</v>
      </c>
      <c r="B1313" s="12">
        <f t="shared" ref="B1313:B1317" si="206">DATE(2012,12,31)-1242</f>
        <v>40032</v>
      </c>
      <c r="C1313" s="11" t="s">
        <v>855</v>
      </c>
      <c r="D1313" s="11" t="s">
        <v>66</v>
      </c>
      <c r="F1313" s="38">
        <f>IFERROR(__xludf.DUMMYFUNCTION("""COMPUTED_VALUE"""),41166.0)</f>
        <v>41166</v>
      </c>
      <c r="G1313" s="39">
        <f t="shared" si="2"/>
        <v>9</v>
      </c>
    </row>
    <row r="1314">
      <c r="A1314" s="11">
        <v>1313.0</v>
      </c>
      <c r="B1314" s="12">
        <f t="shared" si="206"/>
        <v>40032</v>
      </c>
      <c r="C1314" s="11" t="s">
        <v>444</v>
      </c>
      <c r="D1314" s="11" t="s">
        <v>28</v>
      </c>
      <c r="F1314" s="38">
        <f>IFERROR(__xludf.DUMMYFUNCTION("""COMPUTED_VALUE"""),41167.0)</f>
        <v>41167</v>
      </c>
      <c r="G1314" s="39">
        <f t="shared" si="2"/>
        <v>9</v>
      </c>
    </row>
    <row r="1315">
      <c r="A1315" s="11">
        <v>1314.0</v>
      </c>
      <c r="B1315" s="12">
        <f t="shared" si="206"/>
        <v>40032</v>
      </c>
      <c r="C1315" s="11" t="s">
        <v>993</v>
      </c>
      <c r="D1315" s="11" t="s">
        <v>28</v>
      </c>
      <c r="F1315" s="38">
        <f>IFERROR(__xludf.DUMMYFUNCTION("""COMPUTED_VALUE"""),41168.0)</f>
        <v>41168</v>
      </c>
      <c r="G1315" s="39">
        <f t="shared" si="2"/>
        <v>8</v>
      </c>
    </row>
    <row r="1316">
      <c r="A1316" s="11">
        <v>1315.0</v>
      </c>
      <c r="B1316" s="12">
        <f t="shared" si="206"/>
        <v>40032</v>
      </c>
      <c r="C1316" s="11" t="s">
        <v>1693</v>
      </c>
      <c r="D1316" s="11" t="s">
        <v>28</v>
      </c>
      <c r="F1316" s="38">
        <f>IFERROR(__xludf.DUMMYFUNCTION("""COMPUTED_VALUE"""),41169.0)</f>
        <v>41169</v>
      </c>
      <c r="G1316" s="39">
        <f t="shared" si="2"/>
        <v>4</v>
      </c>
    </row>
    <row r="1317">
      <c r="A1317" s="11">
        <v>1316.0</v>
      </c>
      <c r="B1317" s="12">
        <f t="shared" si="206"/>
        <v>40032</v>
      </c>
      <c r="C1317" s="11" t="s">
        <v>1693</v>
      </c>
      <c r="D1317" s="11" t="s">
        <v>28</v>
      </c>
      <c r="F1317" s="38">
        <f>IFERROR(__xludf.DUMMYFUNCTION("""COMPUTED_VALUE"""),41170.0)</f>
        <v>41170</v>
      </c>
      <c r="G1317" s="39">
        <f t="shared" si="2"/>
        <v>9</v>
      </c>
    </row>
    <row r="1318">
      <c r="A1318" s="11">
        <v>1317.0</v>
      </c>
      <c r="B1318" s="12">
        <f>DATE(2012,12,31)-1241</f>
        <v>40033</v>
      </c>
      <c r="C1318" s="11" t="s">
        <v>606</v>
      </c>
      <c r="D1318" s="11" t="s">
        <v>66</v>
      </c>
      <c r="F1318" s="38">
        <f>IFERROR(__xludf.DUMMYFUNCTION("""COMPUTED_VALUE"""),41171.0)</f>
        <v>41171</v>
      </c>
      <c r="G1318" s="39">
        <f t="shared" si="2"/>
        <v>6</v>
      </c>
    </row>
    <row r="1319">
      <c r="A1319" s="11">
        <v>1318.0</v>
      </c>
      <c r="B1319" s="12">
        <f t="shared" ref="B1319:B1322" si="207">DATE(2012,12,31)-1240</f>
        <v>40034</v>
      </c>
      <c r="C1319" s="11" t="s">
        <v>366</v>
      </c>
      <c r="D1319" s="11" t="s">
        <v>28</v>
      </c>
      <c r="F1319" s="38">
        <f>IFERROR(__xludf.DUMMYFUNCTION("""COMPUTED_VALUE"""),41172.0)</f>
        <v>41172</v>
      </c>
      <c r="G1319" s="39">
        <f t="shared" si="2"/>
        <v>8</v>
      </c>
    </row>
    <row r="1320">
      <c r="A1320" s="11">
        <v>1319.0</v>
      </c>
      <c r="B1320" s="12">
        <f t="shared" si="207"/>
        <v>40034</v>
      </c>
      <c r="C1320" s="11" t="s">
        <v>653</v>
      </c>
      <c r="D1320" s="11" t="s">
        <v>66</v>
      </c>
      <c r="F1320" s="38">
        <f>IFERROR(__xludf.DUMMYFUNCTION("""COMPUTED_VALUE"""),41173.0)</f>
        <v>41173</v>
      </c>
      <c r="G1320" s="39">
        <f t="shared" si="2"/>
        <v>3</v>
      </c>
    </row>
    <row r="1321">
      <c r="A1321" s="11">
        <v>1320.0</v>
      </c>
      <c r="B1321" s="12">
        <f t="shared" si="207"/>
        <v>40034</v>
      </c>
      <c r="C1321" s="11" t="s">
        <v>1199</v>
      </c>
      <c r="D1321" s="11" t="s">
        <v>28</v>
      </c>
      <c r="F1321" s="38">
        <f>IFERROR(__xludf.DUMMYFUNCTION("""COMPUTED_VALUE"""),41174.0)</f>
        <v>41174</v>
      </c>
      <c r="G1321" s="39">
        <f t="shared" si="2"/>
        <v>9</v>
      </c>
    </row>
    <row r="1322">
      <c r="A1322" s="11">
        <v>1321.0</v>
      </c>
      <c r="B1322" s="12">
        <f t="shared" si="207"/>
        <v>40034</v>
      </c>
      <c r="C1322" s="11" t="s">
        <v>113</v>
      </c>
      <c r="D1322" s="11" t="s">
        <v>28</v>
      </c>
      <c r="F1322" s="38">
        <f>IFERROR(__xludf.DUMMYFUNCTION("""COMPUTED_VALUE"""),41175.0)</f>
        <v>41175</v>
      </c>
      <c r="G1322" s="39">
        <f t="shared" si="2"/>
        <v>8</v>
      </c>
    </row>
    <row r="1323">
      <c r="A1323" s="11">
        <v>1322.0</v>
      </c>
      <c r="B1323" s="12">
        <f t="shared" ref="B1323:B1332" si="208">DATE(2012,12,31)-1239</f>
        <v>40035</v>
      </c>
      <c r="C1323" s="11" t="s">
        <v>1303</v>
      </c>
      <c r="D1323" s="11" t="s">
        <v>28</v>
      </c>
      <c r="F1323" s="38">
        <f>IFERROR(__xludf.DUMMYFUNCTION("""COMPUTED_VALUE"""),41176.0)</f>
        <v>41176</v>
      </c>
      <c r="G1323" s="39">
        <f t="shared" si="2"/>
        <v>9</v>
      </c>
    </row>
    <row r="1324">
      <c r="A1324" s="11">
        <v>1323.0</v>
      </c>
      <c r="B1324" s="12">
        <f t="shared" si="208"/>
        <v>40035</v>
      </c>
      <c r="C1324" s="11" t="s">
        <v>1212</v>
      </c>
      <c r="D1324" s="11" t="s">
        <v>28</v>
      </c>
      <c r="F1324" s="38">
        <f>IFERROR(__xludf.DUMMYFUNCTION("""COMPUTED_VALUE"""),41177.0)</f>
        <v>41177</v>
      </c>
      <c r="G1324" s="39">
        <f t="shared" si="2"/>
        <v>5</v>
      </c>
    </row>
    <row r="1325">
      <c r="A1325" s="11">
        <v>1324.0</v>
      </c>
      <c r="B1325" s="12">
        <f t="shared" si="208"/>
        <v>40035</v>
      </c>
      <c r="C1325" s="11" t="s">
        <v>1212</v>
      </c>
      <c r="D1325" s="11" t="s">
        <v>28</v>
      </c>
      <c r="F1325" s="38">
        <f>IFERROR(__xludf.DUMMYFUNCTION("""COMPUTED_VALUE"""),41179.0)</f>
        <v>41179</v>
      </c>
      <c r="G1325" s="39">
        <f t="shared" si="2"/>
        <v>3</v>
      </c>
    </row>
    <row r="1326">
      <c r="A1326" s="11">
        <v>1325.0</v>
      </c>
      <c r="B1326" s="12">
        <f t="shared" si="208"/>
        <v>40035</v>
      </c>
      <c r="C1326" s="11" t="s">
        <v>1212</v>
      </c>
      <c r="D1326" s="11" t="s">
        <v>66</v>
      </c>
      <c r="F1326" s="38">
        <f>IFERROR(__xludf.DUMMYFUNCTION("""COMPUTED_VALUE"""),41180.0)</f>
        <v>41180</v>
      </c>
      <c r="G1326" s="39">
        <f t="shared" si="2"/>
        <v>3</v>
      </c>
    </row>
    <row r="1327">
      <c r="A1327" s="11">
        <v>1326.0</v>
      </c>
      <c r="B1327" s="12">
        <f t="shared" si="208"/>
        <v>40035</v>
      </c>
      <c r="C1327" s="11" t="s">
        <v>465</v>
      </c>
      <c r="D1327" s="11" t="s">
        <v>28</v>
      </c>
      <c r="F1327" s="38">
        <f>IFERROR(__xludf.DUMMYFUNCTION("""COMPUTED_VALUE"""),41181.0)</f>
        <v>41181</v>
      </c>
      <c r="G1327" s="39">
        <f t="shared" si="2"/>
        <v>6</v>
      </c>
    </row>
    <row r="1328">
      <c r="A1328" s="11">
        <v>1327.0</v>
      </c>
      <c r="B1328" s="12">
        <f t="shared" si="208"/>
        <v>40035</v>
      </c>
      <c r="C1328" s="11" t="s">
        <v>465</v>
      </c>
      <c r="D1328" s="11" t="s">
        <v>66</v>
      </c>
      <c r="F1328" s="38">
        <f>IFERROR(__xludf.DUMMYFUNCTION("""COMPUTED_VALUE"""),41182.0)</f>
        <v>41182</v>
      </c>
      <c r="G1328" s="39">
        <f t="shared" si="2"/>
        <v>7</v>
      </c>
    </row>
    <row r="1329">
      <c r="A1329" s="11">
        <v>1328.0</v>
      </c>
      <c r="B1329" s="12">
        <f t="shared" si="208"/>
        <v>40035</v>
      </c>
      <c r="C1329" s="11" t="s">
        <v>514</v>
      </c>
      <c r="D1329" s="11" t="s">
        <v>49</v>
      </c>
      <c r="F1329" s="38">
        <f>IFERROR(__xludf.DUMMYFUNCTION("""COMPUTED_VALUE"""),41183.0)</f>
        <v>41183</v>
      </c>
      <c r="G1329" s="39">
        <f t="shared" si="2"/>
        <v>8</v>
      </c>
    </row>
    <row r="1330">
      <c r="A1330" s="11">
        <v>1329.0</v>
      </c>
      <c r="B1330" s="12">
        <f t="shared" si="208"/>
        <v>40035</v>
      </c>
      <c r="C1330" s="11" t="s">
        <v>317</v>
      </c>
      <c r="D1330" s="11" t="s">
        <v>66</v>
      </c>
      <c r="F1330" s="38">
        <f>IFERROR(__xludf.DUMMYFUNCTION("""COMPUTED_VALUE"""),41184.0)</f>
        <v>41184</v>
      </c>
      <c r="G1330" s="39">
        <f t="shared" si="2"/>
        <v>8</v>
      </c>
    </row>
    <row r="1331">
      <c r="A1331" s="11">
        <v>1330.0</v>
      </c>
      <c r="B1331" s="12">
        <f t="shared" si="208"/>
        <v>40035</v>
      </c>
      <c r="C1331" s="11" t="s">
        <v>1697</v>
      </c>
      <c r="D1331" s="11" t="s">
        <v>28</v>
      </c>
      <c r="F1331" s="38">
        <f>IFERROR(__xludf.DUMMYFUNCTION("""COMPUTED_VALUE"""),41185.0)</f>
        <v>41185</v>
      </c>
      <c r="G1331" s="39">
        <f t="shared" si="2"/>
        <v>2</v>
      </c>
    </row>
    <row r="1332">
      <c r="A1332" s="11">
        <v>1331.0</v>
      </c>
      <c r="B1332" s="12">
        <f t="shared" si="208"/>
        <v>40035</v>
      </c>
      <c r="C1332" s="11" t="s">
        <v>1697</v>
      </c>
      <c r="D1332" s="11" t="s">
        <v>28</v>
      </c>
      <c r="F1332" s="38">
        <f>IFERROR(__xludf.DUMMYFUNCTION("""COMPUTED_VALUE"""),41186.0)</f>
        <v>41186</v>
      </c>
      <c r="G1332" s="39">
        <f t="shared" si="2"/>
        <v>11</v>
      </c>
    </row>
    <row r="1333">
      <c r="A1333" s="11">
        <v>1332.0</v>
      </c>
      <c r="B1333" s="12">
        <f t="shared" ref="B1333:B1339" si="209">DATE(2012,12,31)-1238</f>
        <v>40036</v>
      </c>
      <c r="C1333" s="11" t="s">
        <v>271</v>
      </c>
      <c r="D1333" s="11" t="s">
        <v>49</v>
      </c>
      <c r="F1333" s="38">
        <f>IFERROR(__xludf.DUMMYFUNCTION("""COMPUTED_VALUE"""),41187.0)</f>
        <v>41187</v>
      </c>
      <c r="G1333" s="39">
        <f t="shared" si="2"/>
        <v>6</v>
      </c>
    </row>
    <row r="1334">
      <c r="A1334" s="11">
        <v>1333.0</v>
      </c>
      <c r="B1334" s="12">
        <f t="shared" si="209"/>
        <v>40036</v>
      </c>
      <c r="C1334" s="11" t="s">
        <v>271</v>
      </c>
      <c r="D1334" s="11" t="s">
        <v>49</v>
      </c>
      <c r="F1334" s="38">
        <f>IFERROR(__xludf.DUMMYFUNCTION("""COMPUTED_VALUE"""),41188.0)</f>
        <v>41188</v>
      </c>
      <c r="G1334" s="39">
        <f t="shared" si="2"/>
        <v>6</v>
      </c>
    </row>
    <row r="1335">
      <c r="A1335" s="11">
        <v>1334.0</v>
      </c>
      <c r="B1335" s="12">
        <f t="shared" si="209"/>
        <v>40036</v>
      </c>
      <c r="C1335" s="11" t="s">
        <v>271</v>
      </c>
      <c r="D1335" s="11" t="s">
        <v>28</v>
      </c>
      <c r="F1335" s="38">
        <f>IFERROR(__xludf.DUMMYFUNCTION("""COMPUTED_VALUE"""),41189.0)</f>
        <v>41189</v>
      </c>
      <c r="G1335" s="39">
        <f t="shared" si="2"/>
        <v>9</v>
      </c>
    </row>
    <row r="1336">
      <c r="A1336" s="11">
        <v>1335.0</v>
      </c>
      <c r="B1336" s="12">
        <f t="shared" si="209"/>
        <v>40036</v>
      </c>
      <c r="C1336" s="11" t="s">
        <v>1702</v>
      </c>
      <c r="D1336" s="11" t="s">
        <v>28</v>
      </c>
      <c r="F1336" s="38">
        <f>IFERROR(__xludf.DUMMYFUNCTION("""COMPUTED_VALUE"""),41190.0)</f>
        <v>41190</v>
      </c>
      <c r="G1336" s="39">
        <f t="shared" si="2"/>
        <v>5</v>
      </c>
    </row>
    <row r="1337">
      <c r="A1337" s="11">
        <v>1336.0</v>
      </c>
      <c r="B1337" s="12">
        <f t="shared" si="209"/>
        <v>40036</v>
      </c>
      <c r="C1337" s="11" t="s">
        <v>1702</v>
      </c>
      <c r="D1337" s="11" t="s">
        <v>28</v>
      </c>
      <c r="F1337" s="38">
        <f>IFERROR(__xludf.DUMMYFUNCTION("""COMPUTED_VALUE"""),41191.0)</f>
        <v>41191</v>
      </c>
      <c r="G1337" s="39">
        <f t="shared" si="2"/>
        <v>5</v>
      </c>
    </row>
    <row r="1338">
      <c r="A1338" s="11">
        <v>1337.0</v>
      </c>
      <c r="B1338" s="12">
        <f t="shared" si="209"/>
        <v>40036</v>
      </c>
      <c r="C1338" s="11" t="s">
        <v>1360</v>
      </c>
      <c r="D1338" s="11" t="s">
        <v>66</v>
      </c>
      <c r="F1338" s="38">
        <f>IFERROR(__xludf.DUMMYFUNCTION("""COMPUTED_VALUE"""),41192.0)</f>
        <v>41192</v>
      </c>
      <c r="G1338" s="39">
        <f t="shared" si="2"/>
        <v>3</v>
      </c>
    </row>
    <row r="1339">
      <c r="A1339" s="11">
        <v>1338.0</v>
      </c>
      <c r="B1339" s="12">
        <f t="shared" si="209"/>
        <v>40036</v>
      </c>
      <c r="C1339" s="11" t="s">
        <v>1292</v>
      </c>
      <c r="D1339" s="11" t="s">
        <v>28</v>
      </c>
      <c r="F1339" s="38">
        <f>IFERROR(__xludf.DUMMYFUNCTION("""COMPUTED_VALUE"""),41193.0)</f>
        <v>41193</v>
      </c>
      <c r="G1339" s="39">
        <f t="shared" si="2"/>
        <v>5</v>
      </c>
    </row>
    <row r="1340">
      <c r="A1340" s="11">
        <v>1339.0</v>
      </c>
      <c r="B1340" s="12">
        <f t="shared" ref="B1340:B1344" si="210">DATE(2012,12,31)-1237</f>
        <v>40037</v>
      </c>
      <c r="C1340" s="11" t="s">
        <v>1704</v>
      </c>
      <c r="D1340" s="11" t="s">
        <v>28</v>
      </c>
      <c r="F1340" s="38">
        <f>IFERROR(__xludf.DUMMYFUNCTION("""COMPUTED_VALUE"""),41194.0)</f>
        <v>41194</v>
      </c>
      <c r="G1340" s="39">
        <f t="shared" si="2"/>
        <v>4</v>
      </c>
    </row>
    <row r="1341">
      <c r="A1341" s="11">
        <v>1340.0</v>
      </c>
      <c r="B1341" s="12">
        <f t="shared" si="210"/>
        <v>40037</v>
      </c>
      <c r="C1341" s="11" t="s">
        <v>1704</v>
      </c>
      <c r="D1341" s="11" t="s">
        <v>28</v>
      </c>
      <c r="F1341" s="38">
        <f>IFERROR(__xludf.DUMMYFUNCTION("""COMPUTED_VALUE"""),41195.0)</f>
        <v>41195</v>
      </c>
      <c r="G1341" s="39">
        <f t="shared" si="2"/>
        <v>4</v>
      </c>
    </row>
    <row r="1342">
      <c r="A1342" s="11">
        <v>1341.0</v>
      </c>
      <c r="B1342" s="12">
        <f t="shared" si="210"/>
        <v>40037</v>
      </c>
      <c r="C1342" s="11" t="s">
        <v>1707</v>
      </c>
      <c r="D1342" s="11" t="s">
        <v>66</v>
      </c>
      <c r="F1342" s="38">
        <f>IFERROR(__xludf.DUMMYFUNCTION("""COMPUTED_VALUE"""),41196.0)</f>
        <v>41196</v>
      </c>
      <c r="G1342" s="39">
        <f t="shared" si="2"/>
        <v>6</v>
      </c>
    </row>
    <row r="1343">
      <c r="A1343" s="11">
        <v>1342.0</v>
      </c>
      <c r="B1343" s="12">
        <f t="shared" si="210"/>
        <v>40037</v>
      </c>
      <c r="C1343" s="11" t="s">
        <v>546</v>
      </c>
      <c r="D1343" s="11" t="s">
        <v>49</v>
      </c>
      <c r="F1343" s="38">
        <f>IFERROR(__xludf.DUMMYFUNCTION("""COMPUTED_VALUE"""),41197.0)</f>
        <v>41197</v>
      </c>
      <c r="G1343" s="39">
        <f t="shared" si="2"/>
        <v>3</v>
      </c>
    </row>
    <row r="1344">
      <c r="A1344" s="11">
        <v>1343.0</v>
      </c>
      <c r="B1344" s="12">
        <f t="shared" si="210"/>
        <v>40037</v>
      </c>
      <c r="C1344" s="11" t="s">
        <v>1108</v>
      </c>
      <c r="D1344" s="11" t="s">
        <v>49</v>
      </c>
      <c r="F1344" s="38">
        <f>IFERROR(__xludf.DUMMYFUNCTION("""COMPUTED_VALUE"""),41198.0)</f>
        <v>41198</v>
      </c>
      <c r="G1344" s="39">
        <f t="shared" si="2"/>
        <v>6</v>
      </c>
    </row>
    <row r="1345">
      <c r="A1345" s="11">
        <v>1344.0</v>
      </c>
      <c r="B1345" s="12">
        <f t="shared" ref="B1345:B1346" si="211">DATE(2012,12,31)-1236</f>
        <v>40038</v>
      </c>
      <c r="C1345" s="11" t="s">
        <v>1620</v>
      </c>
      <c r="D1345" s="11" t="s">
        <v>28</v>
      </c>
      <c r="F1345" s="38">
        <f>IFERROR(__xludf.DUMMYFUNCTION("""COMPUTED_VALUE"""),41199.0)</f>
        <v>41199</v>
      </c>
      <c r="G1345" s="39">
        <f t="shared" si="2"/>
        <v>3</v>
      </c>
    </row>
    <row r="1346">
      <c r="A1346" s="11">
        <v>1345.0</v>
      </c>
      <c r="B1346" s="12">
        <f t="shared" si="211"/>
        <v>40038</v>
      </c>
      <c r="C1346" s="11" t="s">
        <v>945</v>
      </c>
      <c r="D1346" s="11" t="s">
        <v>49</v>
      </c>
      <c r="F1346" s="38">
        <f>IFERROR(__xludf.DUMMYFUNCTION("""COMPUTED_VALUE"""),41200.0)</f>
        <v>41200</v>
      </c>
      <c r="G1346" s="39">
        <f t="shared" si="2"/>
        <v>14</v>
      </c>
    </row>
    <row r="1347">
      <c r="A1347" s="11">
        <v>1346.0</v>
      </c>
      <c r="B1347" s="12">
        <f t="shared" ref="B1347:B1359" si="212">DATE(2012,12,31)-1235</f>
        <v>40039</v>
      </c>
      <c r="C1347" s="11" t="s">
        <v>571</v>
      </c>
      <c r="D1347" s="11" t="s">
        <v>28</v>
      </c>
      <c r="F1347" s="38">
        <f>IFERROR(__xludf.DUMMYFUNCTION("""COMPUTED_VALUE"""),41201.0)</f>
        <v>41201</v>
      </c>
      <c r="G1347" s="39">
        <f t="shared" si="2"/>
        <v>6</v>
      </c>
    </row>
    <row r="1348">
      <c r="A1348" s="11">
        <v>1347.0</v>
      </c>
      <c r="B1348" s="12">
        <f t="shared" si="212"/>
        <v>40039</v>
      </c>
      <c r="C1348" s="11" t="s">
        <v>1218</v>
      </c>
      <c r="D1348" s="11" t="s">
        <v>28</v>
      </c>
      <c r="F1348" s="38">
        <f>IFERROR(__xludf.DUMMYFUNCTION("""COMPUTED_VALUE"""),41202.0)</f>
        <v>41202</v>
      </c>
      <c r="G1348" s="39">
        <f t="shared" si="2"/>
        <v>5</v>
      </c>
    </row>
    <row r="1349">
      <c r="A1349" s="11">
        <v>1348.0</v>
      </c>
      <c r="B1349" s="12">
        <f t="shared" si="212"/>
        <v>40039</v>
      </c>
      <c r="C1349" s="11" t="s">
        <v>1712</v>
      </c>
      <c r="D1349" s="11" t="s">
        <v>49</v>
      </c>
      <c r="F1349" s="38">
        <f>IFERROR(__xludf.DUMMYFUNCTION("""COMPUTED_VALUE"""),41203.0)</f>
        <v>41203</v>
      </c>
      <c r="G1349" s="39">
        <f t="shared" si="2"/>
        <v>3</v>
      </c>
    </row>
    <row r="1350">
      <c r="A1350" s="11">
        <v>1349.0</v>
      </c>
      <c r="B1350" s="12">
        <f t="shared" si="212"/>
        <v>40039</v>
      </c>
      <c r="C1350" s="11" t="s">
        <v>1712</v>
      </c>
      <c r="D1350" s="11" t="s">
        <v>66</v>
      </c>
      <c r="F1350" s="38">
        <f>IFERROR(__xludf.DUMMYFUNCTION("""COMPUTED_VALUE"""),41204.0)</f>
        <v>41204</v>
      </c>
      <c r="G1350" s="39">
        <f t="shared" si="2"/>
        <v>4</v>
      </c>
    </row>
    <row r="1351">
      <c r="A1351" s="11">
        <v>1350.0</v>
      </c>
      <c r="B1351" s="12">
        <f t="shared" si="212"/>
        <v>40039</v>
      </c>
      <c r="C1351" s="11" t="s">
        <v>55</v>
      </c>
      <c r="D1351" s="11" t="s">
        <v>66</v>
      </c>
      <c r="F1351" s="38">
        <f>IFERROR(__xludf.DUMMYFUNCTION("""COMPUTED_VALUE"""),41205.0)</f>
        <v>41205</v>
      </c>
      <c r="G1351" s="39">
        <f t="shared" si="2"/>
        <v>7</v>
      </c>
    </row>
    <row r="1352">
      <c r="A1352" s="11">
        <v>1351.0</v>
      </c>
      <c r="B1352" s="12">
        <f t="shared" si="212"/>
        <v>40039</v>
      </c>
      <c r="C1352" s="11" t="s">
        <v>1401</v>
      </c>
      <c r="D1352" s="11" t="s">
        <v>28</v>
      </c>
      <c r="F1352" s="38">
        <f>IFERROR(__xludf.DUMMYFUNCTION("""COMPUTED_VALUE"""),41206.0)</f>
        <v>41206</v>
      </c>
      <c r="G1352" s="39">
        <f t="shared" si="2"/>
        <v>4</v>
      </c>
    </row>
    <row r="1353">
      <c r="A1353" s="11">
        <v>1352.0</v>
      </c>
      <c r="B1353" s="12">
        <f t="shared" si="212"/>
        <v>40039</v>
      </c>
      <c r="C1353" s="11" t="s">
        <v>1715</v>
      </c>
      <c r="D1353" s="11" t="s">
        <v>66</v>
      </c>
      <c r="F1353" s="38">
        <f>IFERROR(__xludf.DUMMYFUNCTION("""COMPUTED_VALUE"""),41207.0)</f>
        <v>41207</v>
      </c>
      <c r="G1353" s="39">
        <f t="shared" si="2"/>
        <v>9</v>
      </c>
    </row>
    <row r="1354">
      <c r="A1354" s="11">
        <v>1353.0</v>
      </c>
      <c r="B1354" s="12">
        <f t="shared" si="212"/>
        <v>40039</v>
      </c>
      <c r="C1354" s="11" t="s">
        <v>1715</v>
      </c>
      <c r="D1354" s="11" t="s">
        <v>66</v>
      </c>
      <c r="F1354" s="38">
        <f>IFERROR(__xludf.DUMMYFUNCTION("""COMPUTED_VALUE"""),41208.0)</f>
        <v>41208</v>
      </c>
      <c r="G1354" s="39">
        <f t="shared" si="2"/>
        <v>8</v>
      </c>
    </row>
    <row r="1355">
      <c r="A1355" s="11">
        <v>1354.0</v>
      </c>
      <c r="B1355" s="12">
        <f t="shared" si="212"/>
        <v>40039</v>
      </c>
      <c r="C1355" s="11" t="s">
        <v>1716</v>
      </c>
      <c r="D1355" s="11" t="s">
        <v>49</v>
      </c>
      <c r="F1355" s="38">
        <f>IFERROR(__xludf.DUMMYFUNCTION("""COMPUTED_VALUE"""),41209.0)</f>
        <v>41209</v>
      </c>
      <c r="G1355" s="39">
        <f t="shared" si="2"/>
        <v>6</v>
      </c>
    </row>
    <row r="1356">
      <c r="A1356" s="11">
        <v>1355.0</v>
      </c>
      <c r="B1356" s="12">
        <f t="shared" si="212"/>
        <v>40039</v>
      </c>
      <c r="C1356" s="11" t="s">
        <v>1716</v>
      </c>
      <c r="D1356" s="11" t="s">
        <v>28</v>
      </c>
      <c r="F1356" s="38">
        <f>IFERROR(__xludf.DUMMYFUNCTION("""COMPUTED_VALUE"""),41210.0)</f>
        <v>41210</v>
      </c>
      <c r="G1356" s="39">
        <f t="shared" si="2"/>
        <v>9</v>
      </c>
    </row>
    <row r="1357">
      <c r="A1357" s="11">
        <v>1356.0</v>
      </c>
      <c r="B1357" s="12">
        <f t="shared" si="212"/>
        <v>40039</v>
      </c>
      <c r="C1357" s="11" t="s">
        <v>1716</v>
      </c>
      <c r="D1357" s="11" t="s">
        <v>66</v>
      </c>
      <c r="F1357" s="38">
        <f>IFERROR(__xludf.DUMMYFUNCTION("""COMPUTED_VALUE"""),41211.0)</f>
        <v>41211</v>
      </c>
      <c r="G1357" s="39">
        <f t="shared" si="2"/>
        <v>8</v>
      </c>
    </row>
    <row r="1358">
      <c r="A1358" s="11">
        <v>1357.0</v>
      </c>
      <c r="B1358" s="12">
        <f t="shared" si="212"/>
        <v>40039</v>
      </c>
      <c r="C1358" s="11" t="s">
        <v>1385</v>
      </c>
      <c r="D1358" s="11" t="s">
        <v>49</v>
      </c>
      <c r="F1358" s="38">
        <f>IFERROR(__xludf.DUMMYFUNCTION("""COMPUTED_VALUE"""),41212.0)</f>
        <v>41212</v>
      </c>
      <c r="G1358" s="39">
        <f t="shared" si="2"/>
        <v>16</v>
      </c>
    </row>
    <row r="1359">
      <c r="A1359" s="11">
        <v>1358.0</v>
      </c>
      <c r="B1359" s="12">
        <f t="shared" si="212"/>
        <v>40039</v>
      </c>
      <c r="C1359" s="11" t="s">
        <v>1385</v>
      </c>
      <c r="D1359" s="11" t="s">
        <v>28</v>
      </c>
      <c r="F1359" s="38">
        <f>IFERROR(__xludf.DUMMYFUNCTION("""COMPUTED_VALUE"""),41213.0)</f>
        <v>41213</v>
      </c>
      <c r="G1359" s="39">
        <f t="shared" si="2"/>
        <v>6</v>
      </c>
    </row>
    <row r="1360">
      <c r="A1360" s="11">
        <v>1359.0</v>
      </c>
      <c r="B1360" s="12">
        <f t="shared" ref="B1360:B1374" si="213">DATE(2012,12,31)-1234</f>
        <v>40040</v>
      </c>
      <c r="C1360" s="11" t="s">
        <v>1720</v>
      </c>
      <c r="D1360" s="11" t="s">
        <v>28</v>
      </c>
      <c r="F1360" s="38">
        <f>IFERROR(__xludf.DUMMYFUNCTION("""COMPUTED_VALUE"""),41214.0)</f>
        <v>41214</v>
      </c>
      <c r="G1360" s="39">
        <f t="shared" si="2"/>
        <v>8</v>
      </c>
    </row>
    <row r="1361">
      <c r="A1361" s="11">
        <v>1360.0</v>
      </c>
      <c r="B1361" s="12">
        <f t="shared" si="213"/>
        <v>40040</v>
      </c>
      <c r="C1361" s="11" t="s">
        <v>1720</v>
      </c>
      <c r="D1361" s="11" t="s">
        <v>66</v>
      </c>
      <c r="F1361" s="38">
        <f>IFERROR(__xludf.DUMMYFUNCTION("""COMPUTED_VALUE"""),41215.0)</f>
        <v>41215</v>
      </c>
      <c r="G1361" s="39">
        <f t="shared" si="2"/>
        <v>1</v>
      </c>
    </row>
    <row r="1362">
      <c r="A1362" s="11">
        <v>1361.0</v>
      </c>
      <c r="B1362" s="12">
        <f t="shared" si="213"/>
        <v>40040</v>
      </c>
      <c r="C1362" s="11" t="s">
        <v>1722</v>
      </c>
      <c r="D1362" s="11" t="s">
        <v>49</v>
      </c>
      <c r="F1362" s="38">
        <f>IFERROR(__xludf.DUMMYFUNCTION("""COMPUTED_VALUE"""),41216.0)</f>
        <v>41216</v>
      </c>
      <c r="G1362" s="39">
        <f t="shared" si="2"/>
        <v>3</v>
      </c>
    </row>
    <row r="1363">
      <c r="A1363" s="11">
        <v>1362.0</v>
      </c>
      <c r="B1363" s="12">
        <f t="shared" si="213"/>
        <v>40040</v>
      </c>
      <c r="C1363" s="11" t="s">
        <v>1621</v>
      </c>
      <c r="D1363" s="11" t="s">
        <v>28</v>
      </c>
      <c r="F1363" s="38">
        <f>IFERROR(__xludf.DUMMYFUNCTION("""COMPUTED_VALUE"""),41217.0)</f>
        <v>41217</v>
      </c>
      <c r="G1363" s="39">
        <f t="shared" si="2"/>
        <v>2</v>
      </c>
    </row>
    <row r="1364">
      <c r="A1364" s="11">
        <v>1363.0</v>
      </c>
      <c r="B1364" s="12">
        <f t="shared" si="213"/>
        <v>40040</v>
      </c>
      <c r="C1364" s="11" t="s">
        <v>1723</v>
      </c>
      <c r="D1364" s="11" t="s">
        <v>28</v>
      </c>
      <c r="F1364" s="38">
        <f>IFERROR(__xludf.DUMMYFUNCTION("""COMPUTED_VALUE"""),41218.0)</f>
        <v>41218</v>
      </c>
      <c r="G1364" s="39">
        <f t="shared" si="2"/>
        <v>3</v>
      </c>
    </row>
    <row r="1365">
      <c r="A1365" s="11">
        <v>1364.0</v>
      </c>
      <c r="B1365" s="12">
        <f t="shared" si="213"/>
        <v>40040</v>
      </c>
      <c r="C1365" s="11" t="s">
        <v>1723</v>
      </c>
      <c r="D1365" s="11" t="s">
        <v>28</v>
      </c>
      <c r="F1365" s="38">
        <f>IFERROR(__xludf.DUMMYFUNCTION("""COMPUTED_VALUE"""),41219.0)</f>
        <v>41219</v>
      </c>
      <c r="G1365" s="39">
        <f t="shared" si="2"/>
        <v>5</v>
      </c>
    </row>
    <row r="1366">
      <c r="A1366" s="11">
        <v>1365.0</v>
      </c>
      <c r="B1366" s="12">
        <f t="shared" si="213"/>
        <v>40040</v>
      </c>
      <c r="C1366" s="11" t="s">
        <v>1723</v>
      </c>
      <c r="D1366" s="11" t="s">
        <v>66</v>
      </c>
      <c r="F1366" s="38">
        <f>IFERROR(__xludf.DUMMYFUNCTION("""COMPUTED_VALUE"""),41220.0)</f>
        <v>41220</v>
      </c>
      <c r="G1366" s="39">
        <f t="shared" si="2"/>
        <v>3</v>
      </c>
    </row>
    <row r="1367">
      <c r="A1367" s="11">
        <v>1366.0</v>
      </c>
      <c r="B1367" s="12">
        <f t="shared" si="213"/>
        <v>40040</v>
      </c>
      <c r="C1367" s="11" t="s">
        <v>184</v>
      </c>
      <c r="D1367" s="11" t="s">
        <v>49</v>
      </c>
      <c r="F1367" s="38">
        <f>IFERROR(__xludf.DUMMYFUNCTION("""COMPUTED_VALUE"""),41221.0)</f>
        <v>41221</v>
      </c>
      <c r="G1367" s="39">
        <f t="shared" si="2"/>
        <v>6</v>
      </c>
    </row>
    <row r="1368">
      <c r="A1368" s="11">
        <v>1367.0</v>
      </c>
      <c r="B1368" s="12">
        <f t="shared" si="213"/>
        <v>40040</v>
      </c>
      <c r="C1368" s="11" t="s">
        <v>184</v>
      </c>
      <c r="D1368" s="11" t="s">
        <v>49</v>
      </c>
      <c r="F1368" s="38">
        <f>IFERROR(__xludf.DUMMYFUNCTION("""COMPUTED_VALUE"""),41222.0)</f>
        <v>41222</v>
      </c>
      <c r="G1368" s="39">
        <f t="shared" si="2"/>
        <v>6</v>
      </c>
    </row>
    <row r="1369">
      <c r="A1369" s="11">
        <v>1368.0</v>
      </c>
      <c r="B1369" s="12">
        <f t="shared" si="213"/>
        <v>40040</v>
      </c>
      <c r="C1369" s="11" t="s">
        <v>184</v>
      </c>
      <c r="D1369" s="11" t="s">
        <v>66</v>
      </c>
      <c r="F1369" s="38">
        <f>IFERROR(__xludf.DUMMYFUNCTION("""COMPUTED_VALUE"""),41223.0)</f>
        <v>41223</v>
      </c>
      <c r="G1369" s="39">
        <f t="shared" si="2"/>
        <v>12</v>
      </c>
    </row>
    <row r="1370">
      <c r="A1370" s="11">
        <v>1369.0</v>
      </c>
      <c r="B1370" s="12">
        <f t="shared" si="213"/>
        <v>40040</v>
      </c>
      <c r="C1370" s="11" t="s">
        <v>1108</v>
      </c>
      <c r="D1370" s="11" t="s">
        <v>28</v>
      </c>
      <c r="F1370" s="38">
        <f>IFERROR(__xludf.DUMMYFUNCTION("""COMPUTED_VALUE"""),41224.0)</f>
        <v>41224</v>
      </c>
      <c r="G1370" s="39">
        <f t="shared" si="2"/>
        <v>6</v>
      </c>
    </row>
    <row r="1371">
      <c r="A1371" s="11">
        <v>1370.0</v>
      </c>
      <c r="B1371" s="12">
        <f t="shared" si="213"/>
        <v>40040</v>
      </c>
      <c r="C1371" s="11" t="s">
        <v>1725</v>
      </c>
      <c r="D1371" s="11" t="s">
        <v>28</v>
      </c>
      <c r="F1371" s="38">
        <f>IFERROR(__xludf.DUMMYFUNCTION("""COMPUTED_VALUE"""),41225.0)</f>
        <v>41225</v>
      </c>
      <c r="G1371" s="39">
        <f t="shared" si="2"/>
        <v>1</v>
      </c>
    </row>
    <row r="1372">
      <c r="A1372" s="11">
        <v>1371.0</v>
      </c>
      <c r="B1372" s="12">
        <f t="shared" si="213"/>
        <v>40040</v>
      </c>
      <c r="C1372" s="11" t="s">
        <v>1725</v>
      </c>
      <c r="D1372" s="11" t="s">
        <v>49</v>
      </c>
      <c r="F1372" s="38">
        <f>IFERROR(__xludf.DUMMYFUNCTION("""COMPUTED_VALUE"""),41226.0)</f>
        <v>41226</v>
      </c>
      <c r="G1372" s="39">
        <f t="shared" si="2"/>
        <v>3</v>
      </c>
    </row>
    <row r="1373">
      <c r="A1373" s="11">
        <v>1372.0</v>
      </c>
      <c r="B1373" s="12">
        <f t="shared" si="213"/>
        <v>40040</v>
      </c>
      <c r="C1373" s="11" t="s">
        <v>1725</v>
      </c>
      <c r="D1373" s="11" t="s">
        <v>66</v>
      </c>
      <c r="F1373" s="38">
        <f>IFERROR(__xludf.DUMMYFUNCTION("""COMPUTED_VALUE"""),41227.0)</f>
        <v>41227</v>
      </c>
      <c r="G1373" s="39">
        <f t="shared" si="2"/>
        <v>1</v>
      </c>
    </row>
    <row r="1374">
      <c r="A1374" s="11">
        <v>1373.0</v>
      </c>
      <c r="B1374" s="12">
        <f t="shared" si="213"/>
        <v>40040</v>
      </c>
      <c r="C1374" s="11" t="s">
        <v>181</v>
      </c>
      <c r="D1374" s="11" t="s">
        <v>28</v>
      </c>
      <c r="F1374" s="38">
        <f>IFERROR(__xludf.DUMMYFUNCTION("""COMPUTED_VALUE"""),41228.0)</f>
        <v>41228</v>
      </c>
      <c r="G1374" s="39">
        <f t="shared" si="2"/>
        <v>6</v>
      </c>
    </row>
    <row r="1375">
      <c r="A1375" s="11">
        <v>1374.0</v>
      </c>
      <c r="B1375" s="12">
        <f t="shared" ref="B1375:B1380" si="214">DATE(2012,12,31)-1233</f>
        <v>40041</v>
      </c>
      <c r="C1375" s="11" t="s">
        <v>1564</v>
      </c>
      <c r="D1375" s="11" t="s">
        <v>49</v>
      </c>
      <c r="F1375" s="38">
        <f>IFERROR(__xludf.DUMMYFUNCTION("""COMPUTED_VALUE"""),41229.0)</f>
        <v>41229</v>
      </c>
      <c r="G1375" s="39">
        <f t="shared" si="2"/>
        <v>2</v>
      </c>
    </row>
    <row r="1376">
      <c r="A1376" s="11">
        <v>1375.0</v>
      </c>
      <c r="B1376" s="12">
        <f t="shared" si="214"/>
        <v>40041</v>
      </c>
      <c r="C1376" s="11" t="s">
        <v>988</v>
      </c>
      <c r="D1376" s="11" t="s">
        <v>49</v>
      </c>
      <c r="F1376" s="38">
        <f>IFERROR(__xludf.DUMMYFUNCTION("""COMPUTED_VALUE"""),41230.0)</f>
        <v>41230</v>
      </c>
      <c r="G1376" s="39">
        <f t="shared" si="2"/>
        <v>2</v>
      </c>
    </row>
    <row r="1377">
      <c r="A1377" s="11">
        <v>1376.0</v>
      </c>
      <c r="B1377" s="12">
        <f t="shared" si="214"/>
        <v>40041</v>
      </c>
      <c r="C1377" s="11" t="s">
        <v>1222</v>
      </c>
      <c r="D1377" s="11" t="s">
        <v>28</v>
      </c>
      <c r="F1377" s="38">
        <f>IFERROR(__xludf.DUMMYFUNCTION("""COMPUTED_VALUE"""),41231.0)</f>
        <v>41231</v>
      </c>
      <c r="G1377" s="39">
        <f t="shared" si="2"/>
        <v>5</v>
      </c>
    </row>
    <row r="1378">
      <c r="A1378" s="11">
        <v>1377.0</v>
      </c>
      <c r="B1378" s="12">
        <f t="shared" si="214"/>
        <v>40041</v>
      </c>
      <c r="C1378" s="11" t="s">
        <v>1417</v>
      </c>
      <c r="D1378" s="11" t="s">
        <v>28</v>
      </c>
      <c r="F1378" s="38">
        <f>IFERROR(__xludf.DUMMYFUNCTION("""COMPUTED_VALUE"""),41232.0)</f>
        <v>41232</v>
      </c>
      <c r="G1378" s="39">
        <f t="shared" si="2"/>
        <v>8</v>
      </c>
    </row>
    <row r="1379">
      <c r="A1379" s="11">
        <v>1378.0</v>
      </c>
      <c r="B1379" s="12">
        <f t="shared" si="214"/>
        <v>40041</v>
      </c>
      <c r="C1379" s="11" t="s">
        <v>719</v>
      </c>
      <c r="D1379" s="11" t="s">
        <v>49</v>
      </c>
      <c r="F1379" s="38">
        <f>IFERROR(__xludf.DUMMYFUNCTION("""COMPUTED_VALUE"""),41233.0)</f>
        <v>41233</v>
      </c>
      <c r="G1379" s="39">
        <f t="shared" si="2"/>
        <v>4</v>
      </c>
    </row>
    <row r="1380">
      <c r="A1380" s="11">
        <v>1379.0</v>
      </c>
      <c r="B1380" s="12">
        <f t="shared" si="214"/>
        <v>40041</v>
      </c>
      <c r="C1380" s="11" t="s">
        <v>719</v>
      </c>
      <c r="D1380" s="11" t="s">
        <v>28</v>
      </c>
      <c r="F1380" s="38">
        <f>IFERROR(__xludf.DUMMYFUNCTION("""COMPUTED_VALUE"""),41234.0)</f>
        <v>41234</v>
      </c>
      <c r="G1380" s="39">
        <f t="shared" si="2"/>
        <v>5</v>
      </c>
    </row>
    <row r="1381">
      <c r="A1381" s="11">
        <v>1380.0</v>
      </c>
      <c r="B1381" s="12">
        <f t="shared" ref="B1381:B1382" si="215">DATE(2012,12,31)-1232</f>
        <v>40042</v>
      </c>
      <c r="C1381" s="11" t="s">
        <v>876</v>
      </c>
      <c r="D1381" s="11" t="s">
        <v>28</v>
      </c>
      <c r="F1381" s="38">
        <f>IFERROR(__xludf.DUMMYFUNCTION("""COMPUTED_VALUE"""),41235.0)</f>
        <v>41235</v>
      </c>
      <c r="G1381" s="39">
        <f t="shared" si="2"/>
        <v>3</v>
      </c>
    </row>
    <row r="1382">
      <c r="A1382" s="11">
        <v>1381.0</v>
      </c>
      <c r="B1382" s="12">
        <f t="shared" si="215"/>
        <v>40042</v>
      </c>
      <c r="C1382" s="11" t="s">
        <v>1731</v>
      </c>
      <c r="D1382" s="11" t="s">
        <v>28</v>
      </c>
      <c r="F1382" s="38">
        <f>IFERROR(__xludf.DUMMYFUNCTION("""COMPUTED_VALUE"""),41236.0)</f>
        <v>41236</v>
      </c>
      <c r="G1382" s="39">
        <f t="shared" si="2"/>
        <v>3</v>
      </c>
    </row>
    <row r="1383">
      <c r="A1383" s="11">
        <v>1382.0</v>
      </c>
      <c r="B1383" s="12">
        <f t="shared" ref="B1383:B1390" si="216">DATE(2012,12,31)-1231</f>
        <v>40043</v>
      </c>
      <c r="C1383" s="11" t="s">
        <v>1462</v>
      </c>
      <c r="D1383" s="11" t="s">
        <v>28</v>
      </c>
      <c r="F1383" s="38">
        <f>IFERROR(__xludf.DUMMYFUNCTION("""COMPUTED_VALUE"""),41237.0)</f>
        <v>41237</v>
      </c>
      <c r="G1383" s="39">
        <f t="shared" si="2"/>
        <v>6</v>
      </c>
    </row>
    <row r="1384">
      <c r="A1384" s="11">
        <v>1383.0</v>
      </c>
      <c r="B1384" s="12">
        <f t="shared" si="216"/>
        <v>40043</v>
      </c>
      <c r="C1384" s="11" t="s">
        <v>1462</v>
      </c>
      <c r="D1384" s="11" t="s">
        <v>66</v>
      </c>
      <c r="F1384" s="38">
        <f>IFERROR(__xludf.DUMMYFUNCTION("""COMPUTED_VALUE"""),41238.0)</f>
        <v>41238</v>
      </c>
      <c r="G1384" s="39">
        <f t="shared" si="2"/>
        <v>3</v>
      </c>
    </row>
    <row r="1385">
      <c r="A1385" s="11">
        <v>1384.0</v>
      </c>
      <c r="B1385" s="12">
        <f t="shared" si="216"/>
        <v>40043</v>
      </c>
      <c r="C1385" s="11" t="s">
        <v>1462</v>
      </c>
      <c r="D1385" s="11" t="s">
        <v>28</v>
      </c>
      <c r="F1385" s="38">
        <f>IFERROR(__xludf.DUMMYFUNCTION("""COMPUTED_VALUE"""),41239.0)</f>
        <v>41239</v>
      </c>
      <c r="G1385" s="39">
        <f t="shared" si="2"/>
        <v>7</v>
      </c>
    </row>
    <row r="1386">
      <c r="A1386" s="11">
        <v>1385.0</v>
      </c>
      <c r="B1386" s="12">
        <f t="shared" si="216"/>
        <v>40043</v>
      </c>
      <c r="C1386" s="11" t="s">
        <v>1462</v>
      </c>
      <c r="D1386" s="11" t="s">
        <v>28</v>
      </c>
      <c r="F1386" s="38">
        <f>IFERROR(__xludf.DUMMYFUNCTION("""COMPUTED_VALUE"""),41240.0)</f>
        <v>41240</v>
      </c>
      <c r="G1386" s="39">
        <f t="shared" si="2"/>
        <v>1</v>
      </c>
    </row>
    <row r="1387">
      <c r="A1387" s="11">
        <v>1386.0</v>
      </c>
      <c r="B1387" s="12">
        <f t="shared" si="216"/>
        <v>40043</v>
      </c>
      <c r="C1387" s="11" t="s">
        <v>1633</v>
      </c>
      <c r="D1387" s="11" t="s">
        <v>28</v>
      </c>
      <c r="F1387" s="38">
        <f>IFERROR(__xludf.DUMMYFUNCTION("""COMPUTED_VALUE"""),41241.0)</f>
        <v>41241</v>
      </c>
      <c r="G1387" s="39">
        <f t="shared" si="2"/>
        <v>7</v>
      </c>
    </row>
    <row r="1388">
      <c r="A1388" s="11">
        <v>1387.0</v>
      </c>
      <c r="B1388" s="12">
        <f t="shared" si="216"/>
        <v>40043</v>
      </c>
      <c r="C1388" s="11" t="s">
        <v>1314</v>
      </c>
      <c r="D1388" s="11" t="s">
        <v>28</v>
      </c>
      <c r="F1388" s="38">
        <f>IFERROR(__xludf.DUMMYFUNCTION("""COMPUTED_VALUE"""),41242.0)</f>
        <v>41242</v>
      </c>
      <c r="G1388" s="39">
        <f t="shared" si="2"/>
        <v>4</v>
      </c>
    </row>
    <row r="1389">
      <c r="A1389" s="11">
        <v>1388.0</v>
      </c>
      <c r="B1389" s="12">
        <f t="shared" si="216"/>
        <v>40043</v>
      </c>
      <c r="C1389" s="11" t="s">
        <v>1736</v>
      </c>
      <c r="D1389" s="11" t="s">
        <v>66</v>
      </c>
      <c r="F1389" s="38">
        <f>IFERROR(__xludf.DUMMYFUNCTION("""COMPUTED_VALUE"""),41243.0)</f>
        <v>41243</v>
      </c>
      <c r="G1389" s="39">
        <f t="shared" si="2"/>
        <v>6</v>
      </c>
    </row>
    <row r="1390">
      <c r="A1390" s="11">
        <v>1389.0</v>
      </c>
      <c r="B1390" s="12">
        <f t="shared" si="216"/>
        <v>40043</v>
      </c>
      <c r="C1390" s="11" t="s">
        <v>1252</v>
      </c>
      <c r="D1390" s="11" t="s">
        <v>66</v>
      </c>
      <c r="F1390" s="38">
        <f>IFERROR(__xludf.DUMMYFUNCTION("""COMPUTED_VALUE"""),41244.0)</f>
        <v>41244</v>
      </c>
      <c r="G1390" s="39">
        <f t="shared" si="2"/>
        <v>5</v>
      </c>
    </row>
    <row r="1391">
      <c r="A1391" s="11">
        <v>1390.0</v>
      </c>
      <c r="B1391" s="12">
        <f t="shared" ref="B1391:B1395" si="217">DATE(2012,12,31)-1230</f>
        <v>40044</v>
      </c>
      <c r="C1391" s="11" t="s">
        <v>1737</v>
      </c>
      <c r="D1391" s="11" t="s">
        <v>66</v>
      </c>
      <c r="F1391" s="38">
        <f>IFERROR(__xludf.DUMMYFUNCTION("""COMPUTED_VALUE"""),41245.0)</f>
        <v>41245</v>
      </c>
      <c r="G1391" s="39">
        <f t="shared" si="2"/>
        <v>10</v>
      </c>
    </row>
    <row r="1392">
      <c r="A1392" s="11">
        <v>1391.0</v>
      </c>
      <c r="B1392" s="12">
        <f t="shared" si="217"/>
        <v>40044</v>
      </c>
      <c r="C1392" s="11" t="s">
        <v>1737</v>
      </c>
      <c r="D1392" s="11" t="s">
        <v>28</v>
      </c>
      <c r="F1392" s="38">
        <f>IFERROR(__xludf.DUMMYFUNCTION("""COMPUTED_VALUE"""),41246.0)</f>
        <v>41246</v>
      </c>
      <c r="G1392" s="39">
        <f t="shared" si="2"/>
        <v>7</v>
      </c>
    </row>
    <row r="1393">
      <c r="A1393" s="11">
        <v>1392.0</v>
      </c>
      <c r="B1393" s="12">
        <f t="shared" si="217"/>
        <v>40044</v>
      </c>
      <c r="C1393" s="11" t="s">
        <v>1737</v>
      </c>
      <c r="D1393" s="11" t="s">
        <v>66</v>
      </c>
      <c r="F1393" s="38">
        <f>IFERROR(__xludf.DUMMYFUNCTION("""COMPUTED_VALUE"""),41247.0)</f>
        <v>41247</v>
      </c>
      <c r="G1393" s="39">
        <f t="shared" si="2"/>
        <v>7</v>
      </c>
    </row>
    <row r="1394">
      <c r="A1394" s="11">
        <v>1393.0</v>
      </c>
      <c r="B1394" s="12">
        <f t="shared" si="217"/>
        <v>40044</v>
      </c>
      <c r="C1394" s="11" t="s">
        <v>681</v>
      </c>
      <c r="D1394" s="11" t="s">
        <v>66</v>
      </c>
      <c r="F1394" s="38">
        <f>IFERROR(__xludf.DUMMYFUNCTION("""COMPUTED_VALUE"""),41248.0)</f>
        <v>41248</v>
      </c>
      <c r="G1394" s="39">
        <f t="shared" si="2"/>
        <v>2</v>
      </c>
    </row>
    <row r="1395">
      <c r="A1395" s="11">
        <v>1394.0</v>
      </c>
      <c r="B1395" s="12">
        <f t="shared" si="217"/>
        <v>40044</v>
      </c>
      <c r="C1395" s="11" t="s">
        <v>550</v>
      </c>
      <c r="D1395" s="11" t="s">
        <v>28</v>
      </c>
      <c r="F1395" s="38">
        <f>IFERROR(__xludf.DUMMYFUNCTION("""COMPUTED_VALUE"""),41249.0)</f>
        <v>41249</v>
      </c>
      <c r="G1395" s="39">
        <f t="shared" si="2"/>
        <v>3</v>
      </c>
    </row>
    <row r="1396">
      <c r="A1396" s="11">
        <v>1395.0</v>
      </c>
      <c r="B1396" s="12">
        <f t="shared" ref="B1396:B1398" si="218">DATE(2012,12,31)-1229</f>
        <v>40045</v>
      </c>
      <c r="C1396" s="11" t="s">
        <v>844</v>
      </c>
      <c r="D1396" s="11" t="s">
        <v>28</v>
      </c>
      <c r="F1396" s="38">
        <f>IFERROR(__xludf.DUMMYFUNCTION("""COMPUTED_VALUE"""),41250.0)</f>
        <v>41250</v>
      </c>
      <c r="G1396" s="39">
        <f t="shared" si="2"/>
        <v>2</v>
      </c>
    </row>
    <row r="1397">
      <c r="A1397" s="11">
        <v>1396.0</v>
      </c>
      <c r="B1397" s="12">
        <f t="shared" si="218"/>
        <v>40045</v>
      </c>
      <c r="C1397" s="11" t="s">
        <v>844</v>
      </c>
      <c r="D1397" s="11" t="s">
        <v>28</v>
      </c>
      <c r="F1397" s="38">
        <f>IFERROR(__xludf.DUMMYFUNCTION("""COMPUTED_VALUE"""),41251.0)</f>
        <v>41251</v>
      </c>
      <c r="G1397" s="39">
        <f t="shared" si="2"/>
        <v>4</v>
      </c>
    </row>
    <row r="1398">
      <c r="A1398" s="11">
        <v>1397.0</v>
      </c>
      <c r="B1398" s="12">
        <f t="shared" si="218"/>
        <v>40045</v>
      </c>
      <c r="C1398" s="11" t="s">
        <v>844</v>
      </c>
      <c r="D1398" s="11" t="s">
        <v>28</v>
      </c>
      <c r="F1398" s="38">
        <f>IFERROR(__xludf.DUMMYFUNCTION("""COMPUTED_VALUE"""),41252.0)</f>
        <v>41252</v>
      </c>
      <c r="G1398" s="39">
        <f t="shared" si="2"/>
        <v>14</v>
      </c>
    </row>
    <row r="1399">
      <c r="A1399" s="11">
        <v>1398.0</v>
      </c>
      <c r="B1399" s="12">
        <f t="shared" ref="B1399:B1404" si="219">DATE(2012,12,31)-1228</f>
        <v>40046</v>
      </c>
      <c r="C1399" s="11" t="s">
        <v>488</v>
      </c>
      <c r="D1399" s="11" t="s">
        <v>66</v>
      </c>
      <c r="F1399" s="38">
        <f>IFERROR(__xludf.DUMMYFUNCTION("""COMPUTED_VALUE"""),41253.0)</f>
        <v>41253</v>
      </c>
      <c r="G1399" s="39">
        <f t="shared" si="2"/>
        <v>11</v>
      </c>
    </row>
    <row r="1400">
      <c r="A1400" s="11">
        <v>1399.0</v>
      </c>
      <c r="B1400" s="12">
        <f t="shared" si="219"/>
        <v>40046</v>
      </c>
      <c r="C1400" s="11" t="s">
        <v>1744</v>
      </c>
      <c r="D1400" s="11" t="s">
        <v>28</v>
      </c>
      <c r="F1400" s="38">
        <f>IFERROR(__xludf.DUMMYFUNCTION("""COMPUTED_VALUE"""),41254.0)</f>
        <v>41254</v>
      </c>
      <c r="G1400" s="39">
        <f t="shared" si="2"/>
        <v>9</v>
      </c>
    </row>
    <row r="1401">
      <c r="A1401" s="11">
        <v>1400.0</v>
      </c>
      <c r="B1401" s="12">
        <f t="shared" si="219"/>
        <v>40046</v>
      </c>
      <c r="C1401" s="11" t="s">
        <v>1744</v>
      </c>
      <c r="D1401" s="11" t="s">
        <v>66</v>
      </c>
      <c r="F1401" s="38">
        <f>IFERROR(__xludf.DUMMYFUNCTION("""COMPUTED_VALUE"""),41255.0)</f>
        <v>41255</v>
      </c>
      <c r="G1401" s="39">
        <f t="shared" si="2"/>
        <v>7</v>
      </c>
    </row>
    <row r="1402">
      <c r="A1402" s="11">
        <v>1401.0</v>
      </c>
      <c r="B1402" s="12">
        <f t="shared" si="219"/>
        <v>40046</v>
      </c>
      <c r="C1402" s="11" t="s">
        <v>1747</v>
      </c>
      <c r="D1402" s="11" t="s">
        <v>49</v>
      </c>
      <c r="F1402" s="38">
        <f>IFERROR(__xludf.DUMMYFUNCTION("""COMPUTED_VALUE"""),41256.0)</f>
        <v>41256</v>
      </c>
      <c r="G1402" s="39">
        <f t="shared" si="2"/>
        <v>2</v>
      </c>
    </row>
    <row r="1403">
      <c r="A1403" s="11">
        <v>1402.0</v>
      </c>
      <c r="B1403" s="12">
        <f t="shared" si="219"/>
        <v>40046</v>
      </c>
      <c r="C1403" s="11" t="s">
        <v>1747</v>
      </c>
      <c r="D1403" s="11" t="s">
        <v>28</v>
      </c>
      <c r="F1403" s="38">
        <f>IFERROR(__xludf.DUMMYFUNCTION("""COMPUTED_VALUE"""),41257.0)</f>
        <v>41257</v>
      </c>
      <c r="G1403" s="39">
        <f t="shared" si="2"/>
        <v>1</v>
      </c>
    </row>
    <row r="1404">
      <c r="A1404" s="11">
        <v>1403.0</v>
      </c>
      <c r="B1404" s="12">
        <f t="shared" si="219"/>
        <v>40046</v>
      </c>
      <c r="C1404" s="11" t="s">
        <v>849</v>
      </c>
      <c r="D1404" s="11" t="s">
        <v>49</v>
      </c>
      <c r="F1404" s="38">
        <f>IFERROR(__xludf.DUMMYFUNCTION("""COMPUTED_VALUE"""),41258.0)</f>
        <v>41258</v>
      </c>
      <c r="G1404" s="39">
        <f t="shared" si="2"/>
        <v>6</v>
      </c>
    </row>
    <row r="1405">
      <c r="A1405" s="11">
        <v>1404.0</v>
      </c>
      <c r="B1405" s="12">
        <f t="shared" ref="B1405:B1412" si="220">DATE(2012,12,31)-1227</f>
        <v>40047</v>
      </c>
      <c r="C1405" s="11" t="s">
        <v>1750</v>
      </c>
      <c r="D1405" s="11" t="s">
        <v>28</v>
      </c>
      <c r="F1405" s="38">
        <f>IFERROR(__xludf.DUMMYFUNCTION("""COMPUTED_VALUE"""),41259.0)</f>
        <v>41259</v>
      </c>
      <c r="G1405" s="39">
        <f t="shared" si="2"/>
        <v>6</v>
      </c>
    </row>
    <row r="1406">
      <c r="A1406" s="11">
        <v>1405.0</v>
      </c>
      <c r="B1406" s="12">
        <f t="shared" si="220"/>
        <v>40047</v>
      </c>
      <c r="C1406" s="11" t="s">
        <v>1750</v>
      </c>
      <c r="D1406" s="11" t="s">
        <v>49</v>
      </c>
      <c r="F1406" s="38">
        <f>IFERROR(__xludf.DUMMYFUNCTION("""COMPUTED_VALUE"""),41260.0)</f>
        <v>41260</v>
      </c>
      <c r="G1406" s="39">
        <f t="shared" si="2"/>
        <v>1</v>
      </c>
    </row>
    <row r="1407">
      <c r="A1407" s="11">
        <v>1406.0</v>
      </c>
      <c r="B1407" s="12">
        <f t="shared" si="220"/>
        <v>40047</v>
      </c>
      <c r="C1407" s="11" t="s">
        <v>1752</v>
      </c>
      <c r="D1407" s="11" t="s">
        <v>66</v>
      </c>
      <c r="F1407" s="38">
        <f>IFERROR(__xludf.DUMMYFUNCTION("""COMPUTED_VALUE"""),41261.0)</f>
        <v>41261</v>
      </c>
      <c r="G1407" s="39">
        <f t="shared" si="2"/>
        <v>5</v>
      </c>
    </row>
    <row r="1408">
      <c r="A1408" s="11">
        <v>1407.0</v>
      </c>
      <c r="B1408" s="12">
        <f t="shared" si="220"/>
        <v>40047</v>
      </c>
      <c r="C1408" s="11" t="s">
        <v>337</v>
      </c>
      <c r="D1408" s="11" t="s">
        <v>49</v>
      </c>
      <c r="F1408" s="38">
        <f>IFERROR(__xludf.DUMMYFUNCTION("""COMPUTED_VALUE"""),41262.0)</f>
        <v>41262</v>
      </c>
      <c r="G1408" s="39">
        <f t="shared" si="2"/>
        <v>2</v>
      </c>
    </row>
    <row r="1409">
      <c r="A1409" s="11">
        <v>1408.0</v>
      </c>
      <c r="B1409" s="12">
        <f t="shared" si="220"/>
        <v>40047</v>
      </c>
      <c r="C1409" s="11" t="s">
        <v>446</v>
      </c>
      <c r="D1409" s="11" t="s">
        <v>66</v>
      </c>
      <c r="F1409" s="38">
        <f>IFERROR(__xludf.DUMMYFUNCTION("""COMPUTED_VALUE"""),41263.0)</f>
        <v>41263</v>
      </c>
      <c r="G1409" s="39">
        <f t="shared" si="2"/>
        <v>5</v>
      </c>
    </row>
    <row r="1410">
      <c r="A1410" s="11">
        <v>1409.0</v>
      </c>
      <c r="B1410" s="12">
        <f t="shared" si="220"/>
        <v>40047</v>
      </c>
      <c r="C1410" s="11" t="s">
        <v>446</v>
      </c>
      <c r="D1410" s="11" t="s">
        <v>28</v>
      </c>
      <c r="F1410" s="38">
        <f>IFERROR(__xludf.DUMMYFUNCTION("""COMPUTED_VALUE"""),41264.0)</f>
        <v>41264</v>
      </c>
      <c r="G1410" s="39">
        <f t="shared" si="2"/>
        <v>9</v>
      </c>
    </row>
    <row r="1411">
      <c r="A1411" s="11">
        <v>1410.0</v>
      </c>
      <c r="B1411" s="12">
        <f t="shared" si="220"/>
        <v>40047</v>
      </c>
      <c r="C1411" s="11" t="s">
        <v>72</v>
      </c>
      <c r="D1411" s="11" t="s">
        <v>28</v>
      </c>
      <c r="F1411" s="38">
        <f>IFERROR(__xludf.DUMMYFUNCTION("""COMPUTED_VALUE"""),41265.0)</f>
        <v>41265</v>
      </c>
      <c r="G1411" s="39">
        <f t="shared" si="2"/>
        <v>1</v>
      </c>
    </row>
    <row r="1412">
      <c r="A1412" s="11">
        <v>1411.0</v>
      </c>
      <c r="B1412" s="12">
        <f t="shared" si="220"/>
        <v>40047</v>
      </c>
      <c r="C1412" s="11" t="s">
        <v>1257</v>
      </c>
      <c r="D1412" s="11" t="s">
        <v>28</v>
      </c>
      <c r="F1412" s="38">
        <f>IFERROR(__xludf.DUMMYFUNCTION("""COMPUTED_VALUE"""),41266.0)</f>
        <v>41266</v>
      </c>
      <c r="G1412" s="39">
        <f t="shared" si="2"/>
        <v>2</v>
      </c>
    </row>
    <row r="1413">
      <c r="A1413" s="11">
        <v>1412.0</v>
      </c>
      <c r="B1413" s="12">
        <f t="shared" ref="B1413:B1419" si="221">DATE(2012,12,31)-1226</f>
        <v>40048</v>
      </c>
      <c r="C1413" s="11" t="s">
        <v>1753</v>
      </c>
      <c r="D1413" s="11" t="s">
        <v>49</v>
      </c>
      <c r="F1413" s="38">
        <f>IFERROR(__xludf.DUMMYFUNCTION("""COMPUTED_VALUE"""),41267.0)</f>
        <v>41267</v>
      </c>
      <c r="G1413" s="39">
        <f t="shared" si="2"/>
        <v>5</v>
      </c>
    </row>
    <row r="1414">
      <c r="A1414" s="11">
        <v>1413.0</v>
      </c>
      <c r="B1414" s="12">
        <f t="shared" si="221"/>
        <v>40048</v>
      </c>
      <c r="C1414" s="11" t="s">
        <v>1753</v>
      </c>
      <c r="D1414" s="11" t="s">
        <v>66</v>
      </c>
      <c r="F1414" s="38">
        <f>IFERROR(__xludf.DUMMYFUNCTION("""COMPUTED_VALUE"""),41268.0)</f>
        <v>41268</v>
      </c>
      <c r="G1414" s="39">
        <f t="shared" si="2"/>
        <v>5</v>
      </c>
    </row>
    <row r="1415">
      <c r="A1415" s="11">
        <v>1414.0</v>
      </c>
      <c r="B1415" s="12">
        <f t="shared" si="221"/>
        <v>40048</v>
      </c>
      <c r="C1415" s="11" t="s">
        <v>803</v>
      </c>
      <c r="D1415" s="11" t="s">
        <v>49</v>
      </c>
      <c r="F1415" s="38">
        <f>IFERROR(__xludf.DUMMYFUNCTION("""COMPUTED_VALUE"""),41269.0)</f>
        <v>41269</v>
      </c>
      <c r="G1415" s="39">
        <f t="shared" si="2"/>
        <v>2</v>
      </c>
    </row>
    <row r="1416">
      <c r="A1416" s="11">
        <v>1415.0</v>
      </c>
      <c r="B1416" s="12">
        <f t="shared" si="221"/>
        <v>40048</v>
      </c>
      <c r="C1416" s="11" t="s">
        <v>803</v>
      </c>
      <c r="D1416" s="11" t="s">
        <v>66</v>
      </c>
      <c r="F1416" s="38">
        <f>IFERROR(__xludf.DUMMYFUNCTION("""COMPUTED_VALUE"""),41270.0)</f>
        <v>41270</v>
      </c>
      <c r="G1416" s="39">
        <f t="shared" si="2"/>
        <v>7</v>
      </c>
    </row>
    <row r="1417">
      <c r="A1417" s="11">
        <v>1416.0</v>
      </c>
      <c r="B1417" s="12">
        <f t="shared" si="221"/>
        <v>40048</v>
      </c>
      <c r="C1417" s="11" t="s">
        <v>1221</v>
      </c>
      <c r="D1417" s="11" t="s">
        <v>49</v>
      </c>
      <c r="F1417" s="38">
        <f>IFERROR(__xludf.DUMMYFUNCTION("""COMPUTED_VALUE"""),41271.0)</f>
        <v>41271</v>
      </c>
      <c r="G1417" s="39">
        <f t="shared" si="2"/>
        <v>3</v>
      </c>
    </row>
    <row r="1418">
      <c r="A1418" s="11">
        <v>1417.0</v>
      </c>
      <c r="B1418" s="12">
        <f t="shared" si="221"/>
        <v>40048</v>
      </c>
      <c r="C1418" s="11" t="s">
        <v>1221</v>
      </c>
      <c r="D1418" s="11" t="s">
        <v>28</v>
      </c>
      <c r="F1418" s="38">
        <f>IFERROR(__xludf.DUMMYFUNCTION("""COMPUTED_VALUE"""),41272.0)</f>
        <v>41272</v>
      </c>
      <c r="G1418" s="39">
        <f t="shared" si="2"/>
        <v>6</v>
      </c>
    </row>
    <row r="1419">
      <c r="A1419" s="11">
        <v>1418.0</v>
      </c>
      <c r="B1419" s="12">
        <f t="shared" si="221"/>
        <v>40048</v>
      </c>
      <c r="C1419" s="11" t="s">
        <v>882</v>
      </c>
      <c r="D1419" s="11" t="s">
        <v>66</v>
      </c>
      <c r="F1419" s="38">
        <f>IFERROR(__xludf.DUMMYFUNCTION("""COMPUTED_VALUE"""),41273.0)</f>
        <v>41273</v>
      </c>
      <c r="G1419" s="39">
        <f t="shared" si="2"/>
        <v>7</v>
      </c>
    </row>
    <row r="1420">
      <c r="A1420" s="11">
        <v>1419.0</v>
      </c>
      <c r="B1420" s="12">
        <f t="shared" ref="B1420:B1426" si="222">DATE(2012,12,31)-1225</f>
        <v>40049</v>
      </c>
      <c r="C1420" s="11" t="s">
        <v>548</v>
      </c>
      <c r="D1420" s="11" t="s">
        <v>49</v>
      </c>
    </row>
    <row r="1421">
      <c r="A1421" s="11">
        <v>1420.0</v>
      </c>
      <c r="B1421" s="12">
        <f t="shared" si="222"/>
        <v>40049</v>
      </c>
      <c r="C1421" s="11" t="s">
        <v>1754</v>
      </c>
      <c r="D1421" s="11" t="s">
        <v>28</v>
      </c>
    </row>
    <row r="1422">
      <c r="A1422" s="11">
        <v>1421.0</v>
      </c>
      <c r="B1422" s="12">
        <f t="shared" si="222"/>
        <v>40049</v>
      </c>
      <c r="C1422" s="11" t="s">
        <v>1754</v>
      </c>
      <c r="D1422" s="11" t="s">
        <v>28</v>
      </c>
    </row>
    <row r="1423">
      <c r="A1423" s="11">
        <v>1422.0</v>
      </c>
      <c r="B1423" s="12">
        <f t="shared" si="222"/>
        <v>40049</v>
      </c>
      <c r="C1423" s="11" t="s">
        <v>1756</v>
      </c>
      <c r="D1423" s="11" t="s">
        <v>28</v>
      </c>
    </row>
    <row r="1424">
      <c r="A1424" s="11">
        <v>1423.0</v>
      </c>
      <c r="B1424" s="12">
        <f t="shared" si="222"/>
        <v>40049</v>
      </c>
      <c r="C1424" s="11" t="s">
        <v>763</v>
      </c>
      <c r="D1424" s="11" t="s">
        <v>49</v>
      </c>
    </row>
    <row r="1425">
      <c r="A1425" s="11">
        <v>1424.0</v>
      </c>
      <c r="B1425" s="12">
        <f t="shared" si="222"/>
        <v>40049</v>
      </c>
      <c r="C1425" s="11" t="s">
        <v>763</v>
      </c>
      <c r="D1425" s="11" t="s">
        <v>66</v>
      </c>
    </row>
    <row r="1426">
      <c r="A1426" s="11">
        <v>1425.0</v>
      </c>
      <c r="B1426" s="12">
        <f t="shared" si="222"/>
        <v>40049</v>
      </c>
      <c r="C1426" s="11" t="s">
        <v>300</v>
      </c>
      <c r="D1426" s="11" t="s">
        <v>28</v>
      </c>
    </row>
    <row r="1427">
      <c r="A1427" s="11">
        <v>1426.0</v>
      </c>
      <c r="B1427" s="12">
        <f t="shared" ref="B1427:B1430" si="223">DATE(2012,12,31)-1224</f>
        <v>40050</v>
      </c>
      <c r="C1427" s="11" t="s">
        <v>479</v>
      </c>
      <c r="D1427" s="11" t="s">
        <v>28</v>
      </c>
    </row>
    <row r="1428">
      <c r="A1428" s="11">
        <v>1427.0</v>
      </c>
      <c r="B1428" s="12">
        <f t="shared" si="223"/>
        <v>40050</v>
      </c>
      <c r="C1428" s="11" t="s">
        <v>897</v>
      </c>
      <c r="D1428" s="11" t="s">
        <v>28</v>
      </c>
    </row>
    <row r="1429">
      <c r="A1429" s="11">
        <v>1428.0</v>
      </c>
      <c r="B1429" s="12">
        <f t="shared" si="223"/>
        <v>40050</v>
      </c>
      <c r="C1429" s="11" t="s">
        <v>897</v>
      </c>
      <c r="D1429" s="11" t="s">
        <v>28</v>
      </c>
    </row>
    <row r="1430">
      <c r="A1430" s="11">
        <v>1429.0</v>
      </c>
      <c r="B1430" s="12">
        <f t="shared" si="223"/>
        <v>40050</v>
      </c>
      <c r="C1430" s="11" t="s">
        <v>897</v>
      </c>
      <c r="D1430" s="11" t="s">
        <v>28</v>
      </c>
    </row>
    <row r="1431">
      <c r="A1431" s="11">
        <v>1430.0</v>
      </c>
      <c r="B1431" s="12">
        <f t="shared" ref="B1431:B1434" si="224">DATE(2012,12,31)-1223</f>
        <v>40051</v>
      </c>
      <c r="C1431" s="11" t="s">
        <v>1386</v>
      </c>
      <c r="D1431" s="11" t="s">
        <v>28</v>
      </c>
    </row>
    <row r="1432">
      <c r="A1432" s="11">
        <v>1431.0</v>
      </c>
      <c r="B1432" s="12">
        <f t="shared" si="224"/>
        <v>40051</v>
      </c>
      <c r="C1432" s="11" t="s">
        <v>977</v>
      </c>
      <c r="D1432" s="11" t="s">
        <v>49</v>
      </c>
    </row>
    <row r="1433">
      <c r="A1433" s="11">
        <v>1432.0</v>
      </c>
      <c r="B1433" s="12">
        <f t="shared" si="224"/>
        <v>40051</v>
      </c>
      <c r="C1433" s="11" t="s">
        <v>977</v>
      </c>
      <c r="D1433" s="11" t="s">
        <v>28</v>
      </c>
    </row>
    <row r="1434">
      <c r="A1434" s="11">
        <v>1433.0</v>
      </c>
      <c r="B1434" s="12">
        <f t="shared" si="224"/>
        <v>40051</v>
      </c>
      <c r="C1434" s="11" t="s">
        <v>863</v>
      </c>
      <c r="D1434" s="11" t="s">
        <v>28</v>
      </c>
    </row>
    <row r="1435">
      <c r="A1435" s="11">
        <v>1434.0</v>
      </c>
      <c r="B1435" s="12">
        <f t="shared" ref="B1435:B1443" si="225">DATE(2012,12,31)-1222</f>
        <v>40052</v>
      </c>
      <c r="C1435" s="11" t="s">
        <v>1761</v>
      </c>
      <c r="D1435" s="11" t="s">
        <v>66</v>
      </c>
    </row>
    <row r="1436">
      <c r="A1436" s="11">
        <v>1435.0</v>
      </c>
      <c r="B1436" s="12">
        <f t="shared" si="225"/>
        <v>40052</v>
      </c>
      <c r="C1436" s="11" t="s">
        <v>1761</v>
      </c>
      <c r="D1436" s="11" t="s">
        <v>66</v>
      </c>
    </row>
    <row r="1437">
      <c r="A1437" s="11">
        <v>1436.0</v>
      </c>
      <c r="B1437" s="12">
        <f t="shared" si="225"/>
        <v>40052</v>
      </c>
      <c r="C1437" s="11" t="s">
        <v>1761</v>
      </c>
      <c r="D1437" s="11" t="s">
        <v>66</v>
      </c>
    </row>
    <row r="1438">
      <c r="A1438" s="11">
        <v>1437.0</v>
      </c>
      <c r="B1438" s="12">
        <f t="shared" si="225"/>
        <v>40052</v>
      </c>
      <c r="C1438" s="11" t="s">
        <v>798</v>
      </c>
      <c r="D1438" s="11" t="s">
        <v>28</v>
      </c>
    </row>
    <row r="1439">
      <c r="A1439" s="11">
        <v>1438.0</v>
      </c>
      <c r="B1439" s="12">
        <f t="shared" si="225"/>
        <v>40052</v>
      </c>
      <c r="C1439" s="11" t="s">
        <v>1209</v>
      </c>
      <c r="D1439" s="11" t="s">
        <v>28</v>
      </c>
    </row>
    <row r="1440">
      <c r="A1440" s="11">
        <v>1439.0</v>
      </c>
      <c r="B1440" s="12">
        <f t="shared" si="225"/>
        <v>40052</v>
      </c>
      <c r="C1440" s="11" t="s">
        <v>1209</v>
      </c>
      <c r="D1440" s="11" t="s">
        <v>49</v>
      </c>
    </row>
    <row r="1441">
      <c r="A1441" s="11">
        <v>1440.0</v>
      </c>
      <c r="B1441" s="12">
        <f t="shared" si="225"/>
        <v>40052</v>
      </c>
      <c r="C1441" s="11" t="s">
        <v>1209</v>
      </c>
      <c r="D1441" s="11" t="s">
        <v>66</v>
      </c>
    </row>
    <row r="1442">
      <c r="A1442" s="11">
        <v>1441.0</v>
      </c>
      <c r="B1442" s="12">
        <f t="shared" si="225"/>
        <v>40052</v>
      </c>
      <c r="C1442" s="11" t="s">
        <v>1209</v>
      </c>
      <c r="D1442" s="11" t="s">
        <v>28</v>
      </c>
    </row>
    <row r="1443">
      <c r="A1443" s="11">
        <v>1442.0</v>
      </c>
      <c r="B1443" s="12">
        <f t="shared" si="225"/>
        <v>40052</v>
      </c>
      <c r="C1443" s="11" t="s">
        <v>1468</v>
      </c>
      <c r="D1443" s="11" t="s">
        <v>28</v>
      </c>
    </row>
    <row r="1444">
      <c r="A1444" s="11">
        <v>1443.0</v>
      </c>
      <c r="B1444" s="12">
        <f t="shared" ref="B1444:B1450" si="226">DATE(2012,12,31)-1221</f>
        <v>40053</v>
      </c>
      <c r="C1444" s="11" t="s">
        <v>1767</v>
      </c>
      <c r="D1444" s="11" t="s">
        <v>28</v>
      </c>
    </row>
    <row r="1445">
      <c r="A1445" s="11">
        <v>1444.0</v>
      </c>
      <c r="B1445" s="12">
        <f t="shared" si="226"/>
        <v>40053</v>
      </c>
      <c r="C1445" s="11" t="s">
        <v>1769</v>
      </c>
      <c r="D1445" s="11" t="s">
        <v>49</v>
      </c>
    </row>
    <row r="1446">
      <c r="A1446" s="11">
        <v>1445.0</v>
      </c>
      <c r="B1446" s="12">
        <f t="shared" si="226"/>
        <v>40053</v>
      </c>
      <c r="C1446" s="11" t="s">
        <v>1006</v>
      </c>
      <c r="D1446" s="11" t="s">
        <v>49</v>
      </c>
    </row>
    <row r="1447">
      <c r="A1447" s="11">
        <v>1446.0</v>
      </c>
      <c r="B1447" s="12">
        <f t="shared" si="226"/>
        <v>40053</v>
      </c>
      <c r="C1447" s="11" t="s">
        <v>1123</v>
      </c>
      <c r="D1447" s="11" t="s">
        <v>66</v>
      </c>
    </row>
    <row r="1448">
      <c r="A1448" s="11">
        <v>1447.0</v>
      </c>
      <c r="B1448" s="12">
        <f t="shared" si="226"/>
        <v>40053</v>
      </c>
      <c r="C1448" s="11" t="s">
        <v>1417</v>
      </c>
      <c r="D1448" s="11" t="s">
        <v>28</v>
      </c>
    </row>
    <row r="1449">
      <c r="A1449" s="11">
        <v>1448.0</v>
      </c>
      <c r="B1449" s="12">
        <f t="shared" si="226"/>
        <v>40053</v>
      </c>
      <c r="C1449" s="11" t="s">
        <v>1417</v>
      </c>
      <c r="D1449" s="11" t="s">
        <v>49</v>
      </c>
    </row>
    <row r="1450">
      <c r="A1450" s="11">
        <v>1449.0</v>
      </c>
      <c r="B1450" s="12">
        <f t="shared" si="226"/>
        <v>40053</v>
      </c>
      <c r="C1450" s="11" t="s">
        <v>1417</v>
      </c>
      <c r="D1450" s="11" t="s">
        <v>49</v>
      </c>
    </row>
    <row r="1451">
      <c r="A1451" s="11">
        <v>1450.0</v>
      </c>
      <c r="B1451" s="12">
        <f t="shared" ref="B1451:B1453" si="227">DATE(2012,12,31)-1220</f>
        <v>40054</v>
      </c>
      <c r="C1451" s="11" t="s">
        <v>1092</v>
      </c>
      <c r="D1451" s="11" t="s">
        <v>28</v>
      </c>
    </row>
    <row r="1452">
      <c r="A1452" s="11">
        <v>1451.0</v>
      </c>
      <c r="B1452" s="12">
        <f t="shared" si="227"/>
        <v>40054</v>
      </c>
      <c r="C1452" s="11" t="s">
        <v>1684</v>
      </c>
      <c r="D1452" s="11" t="s">
        <v>49</v>
      </c>
    </row>
    <row r="1453">
      <c r="A1453" s="11">
        <v>1452.0</v>
      </c>
      <c r="B1453" s="12">
        <f t="shared" si="227"/>
        <v>40054</v>
      </c>
      <c r="C1453" s="11" t="s">
        <v>1684</v>
      </c>
      <c r="D1453" s="11" t="s">
        <v>49</v>
      </c>
    </row>
    <row r="1454">
      <c r="A1454" s="11">
        <v>1453.0</v>
      </c>
      <c r="B1454" s="12">
        <f>DATE(2012,12,31)-1219</f>
        <v>40055</v>
      </c>
      <c r="C1454" s="11" t="s">
        <v>1276</v>
      </c>
      <c r="D1454" s="11" t="s">
        <v>28</v>
      </c>
    </row>
    <row r="1455">
      <c r="A1455" s="11">
        <v>1454.0</v>
      </c>
      <c r="B1455" s="12">
        <f t="shared" ref="B1455:B1462" si="228">DATE(2012,12,31)-1218</f>
        <v>40056</v>
      </c>
      <c r="C1455" s="11" t="s">
        <v>329</v>
      </c>
      <c r="D1455" s="11" t="s">
        <v>28</v>
      </c>
    </row>
    <row r="1456">
      <c r="A1456" s="11">
        <v>1455.0</v>
      </c>
      <c r="B1456" s="12">
        <f t="shared" si="228"/>
        <v>40056</v>
      </c>
      <c r="C1456" s="11" t="s">
        <v>1772</v>
      </c>
      <c r="D1456" s="11" t="s">
        <v>49</v>
      </c>
    </row>
    <row r="1457">
      <c r="A1457" s="11">
        <v>1456.0</v>
      </c>
      <c r="B1457" s="12">
        <f t="shared" si="228"/>
        <v>40056</v>
      </c>
      <c r="C1457" s="11" t="s">
        <v>1773</v>
      </c>
      <c r="D1457" s="11" t="s">
        <v>66</v>
      </c>
    </row>
    <row r="1458">
      <c r="A1458" s="11">
        <v>1457.0</v>
      </c>
      <c r="B1458" s="12">
        <f t="shared" si="228"/>
        <v>40056</v>
      </c>
      <c r="C1458" s="11" t="s">
        <v>1773</v>
      </c>
      <c r="D1458" s="11" t="s">
        <v>28</v>
      </c>
    </row>
    <row r="1459">
      <c r="A1459" s="11">
        <v>1458.0</v>
      </c>
      <c r="B1459" s="12">
        <f t="shared" si="228"/>
        <v>40056</v>
      </c>
      <c r="C1459" s="11" t="s">
        <v>187</v>
      </c>
      <c r="D1459" s="11" t="s">
        <v>66</v>
      </c>
    </row>
    <row r="1460">
      <c r="A1460" s="11">
        <v>1459.0</v>
      </c>
      <c r="B1460" s="12">
        <f t="shared" si="228"/>
        <v>40056</v>
      </c>
      <c r="C1460" s="11" t="s">
        <v>187</v>
      </c>
      <c r="D1460" s="11" t="s">
        <v>28</v>
      </c>
    </row>
    <row r="1461">
      <c r="A1461" s="11">
        <v>1460.0</v>
      </c>
      <c r="B1461" s="12">
        <f t="shared" si="228"/>
        <v>40056</v>
      </c>
      <c r="C1461" s="11" t="s">
        <v>681</v>
      </c>
      <c r="D1461" s="11" t="s">
        <v>28</v>
      </c>
    </row>
    <row r="1462">
      <c r="A1462" s="11">
        <v>1461.0</v>
      </c>
      <c r="B1462" s="12">
        <f t="shared" si="228"/>
        <v>40056</v>
      </c>
      <c r="C1462" s="11" t="s">
        <v>1777</v>
      </c>
      <c r="D1462" s="11" t="s">
        <v>28</v>
      </c>
    </row>
    <row r="1463">
      <c r="A1463" s="11">
        <v>1462.0</v>
      </c>
      <c r="B1463" s="12">
        <f t="shared" ref="B1463:B1470" si="229">DATE(2012,12,31)-1217</f>
        <v>40057</v>
      </c>
      <c r="C1463" s="11" t="s">
        <v>1780</v>
      </c>
      <c r="D1463" s="11" t="s">
        <v>66</v>
      </c>
    </row>
    <row r="1464">
      <c r="A1464" s="11">
        <v>1463.0</v>
      </c>
      <c r="B1464" s="12">
        <f t="shared" si="229"/>
        <v>40057</v>
      </c>
      <c r="C1464" s="11" t="s">
        <v>1780</v>
      </c>
      <c r="D1464" s="11" t="s">
        <v>28</v>
      </c>
    </row>
    <row r="1465">
      <c r="A1465" s="11">
        <v>1464.0</v>
      </c>
      <c r="B1465" s="12">
        <f t="shared" si="229"/>
        <v>40057</v>
      </c>
      <c r="C1465" s="11" t="s">
        <v>763</v>
      </c>
      <c r="D1465" s="11" t="s">
        <v>49</v>
      </c>
    </row>
    <row r="1466">
      <c r="A1466" s="11">
        <v>1465.0</v>
      </c>
      <c r="B1466" s="12">
        <f t="shared" si="229"/>
        <v>40057</v>
      </c>
      <c r="C1466" s="11" t="s">
        <v>1784</v>
      </c>
      <c r="D1466" s="11" t="s">
        <v>28</v>
      </c>
    </row>
    <row r="1467">
      <c r="A1467" s="11">
        <v>1466.0</v>
      </c>
      <c r="B1467" s="12">
        <f t="shared" si="229"/>
        <v>40057</v>
      </c>
      <c r="C1467" s="11" t="s">
        <v>1114</v>
      </c>
      <c r="D1467" s="11" t="s">
        <v>49</v>
      </c>
    </row>
    <row r="1468">
      <c r="A1468" s="11">
        <v>1467.0</v>
      </c>
      <c r="B1468" s="12">
        <f t="shared" si="229"/>
        <v>40057</v>
      </c>
      <c r="C1468" s="11" t="s">
        <v>1314</v>
      </c>
      <c r="D1468" s="11" t="s">
        <v>66</v>
      </c>
    </row>
    <row r="1469">
      <c r="A1469" s="11">
        <v>1468.0</v>
      </c>
      <c r="B1469" s="12">
        <f t="shared" si="229"/>
        <v>40057</v>
      </c>
      <c r="C1469" s="11" t="s">
        <v>1634</v>
      </c>
      <c r="D1469" s="11" t="s">
        <v>49</v>
      </c>
    </row>
    <row r="1470">
      <c r="A1470" s="11">
        <v>1469.0</v>
      </c>
      <c r="B1470" s="12">
        <f t="shared" si="229"/>
        <v>40057</v>
      </c>
      <c r="C1470" s="11" t="s">
        <v>1634</v>
      </c>
      <c r="D1470" s="11" t="s">
        <v>49</v>
      </c>
    </row>
    <row r="1471">
      <c r="A1471" s="11">
        <v>1470.0</v>
      </c>
      <c r="B1471" s="12">
        <f t="shared" ref="B1471:B1476" si="230">DATE(2012,12,31)-1216</f>
        <v>40058</v>
      </c>
      <c r="C1471" s="11" t="s">
        <v>1235</v>
      </c>
      <c r="D1471" s="11" t="s">
        <v>28</v>
      </c>
    </row>
    <row r="1472">
      <c r="A1472" s="11">
        <v>1471.0</v>
      </c>
      <c r="B1472" s="12">
        <f t="shared" si="230"/>
        <v>40058</v>
      </c>
      <c r="C1472" s="11" t="s">
        <v>1235</v>
      </c>
      <c r="D1472" s="11" t="s">
        <v>28</v>
      </c>
    </row>
    <row r="1473">
      <c r="A1473" s="11">
        <v>1472.0</v>
      </c>
      <c r="B1473" s="12">
        <f t="shared" si="230"/>
        <v>40058</v>
      </c>
      <c r="C1473" s="11" t="s">
        <v>1235</v>
      </c>
      <c r="D1473" s="11" t="s">
        <v>28</v>
      </c>
    </row>
    <row r="1474">
      <c r="A1474" s="11">
        <v>1473.0</v>
      </c>
      <c r="B1474" s="12">
        <f t="shared" si="230"/>
        <v>40058</v>
      </c>
      <c r="C1474" s="11" t="s">
        <v>1235</v>
      </c>
      <c r="D1474" s="11" t="s">
        <v>49</v>
      </c>
    </row>
    <row r="1475">
      <c r="A1475" s="11">
        <v>1474.0</v>
      </c>
      <c r="B1475" s="12">
        <f t="shared" si="230"/>
        <v>40058</v>
      </c>
      <c r="C1475" s="11" t="s">
        <v>326</v>
      </c>
      <c r="D1475" s="11" t="s">
        <v>28</v>
      </c>
    </row>
    <row r="1476">
      <c r="A1476" s="11">
        <v>1475.0</v>
      </c>
      <c r="B1476" s="12">
        <f t="shared" si="230"/>
        <v>40058</v>
      </c>
      <c r="C1476" s="11" t="s">
        <v>326</v>
      </c>
      <c r="D1476" s="11" t="s">
        <v>28</v>
      </c>
    </row>
    <row r="1477">
      <c r="A1477" s="11">
        <v>1476.0</v>
      </c>
      <c r="B1477" s="12">
        <f>DATE(2012,12,31)-1215</f>
        <v>40059</v>
      </c>
      <c r="C1477" s="11" t="s">
        <v>1607</v>
      </c>
      <c r="D1477" s="11" t="s">
        <v>28</v>
      </c>
    </row>
    <row r="1478">
      <c r="A1478" s="11">
        <v>1477.0</v>
      </c>
      <c r="B1478" s="12">
        <f t="shared" ref="B1478:B1488" si="231">DATE(2012,12,31)-1214</f>
        <v>40060</v>
      </c>
      <c r="C1478" s="11" t="s">
        <v>1314</v>
      </c>
      <c r="D1478" s="11" t="s">
        <v>66</v>
      </c>
    </row>
    <row r="1479">
      <c r="A1479" s="11">
        <v>1478.0</v>
      </c>
      <c r="B1479" s="12">
        <f t="shared" si="231"/>
        <v>40060</v>
      </c>
      <c r="C1479" s="11" t="s">
        <v>603</v>
      </c>
      <c r="D1479" s="11" t="s">
        <v>28</v>
      </c>
    </row>
    <row r="1480">
      <c r="A1480" s="11">
        <v>1479.0</v>
      </c>
      <c r="B1480" s="12">
        <f t="shared" si="231"/>
        <v>40060</v>
      </c>
      <c r="C1480" s="11" t="s">
        <v>603</v>
      </c>
      <c r="D1480" s="11" t="s">
        <v>28</v>
      </c>
    </row>
    <row r="1481">
      <c r="A1481" s="11">
        <v>1480.0</v>
      </c>
      <c r="B1481" s="12">
        <f t="shared" si="231"/>
        <v>40060</v>
      </c>
      <c r="C1481" s="11" t="s">
        <v>603</v>
      </c>
      <c r="D1481" s="11" t="s">
        <v>49</v>
      </c>
    </row>
    <row r="1482">
      <c r="A1482" s="11">
        <v>1481.0</v>
      </c>
      <c r="B1482" s="12">
        <f t="shared" si="231"/>
        <v>40060</v>
      </c>
      <c r="C1482" s="11" t="s">
        <v>603</v>
      </c>
      <c r="D1482" s="11" t="s">
        <v>66</v>
      </c>
    </row>
    <row r="1483">
      <c r="A1483" s="11">
        <v>1482.0</v>
      </c>
      <c r="B1483" s="12">
        <f t="shared" si="231"/>
        <v>40060</v>
      </c>
      <c r="C1483" s="11" t="s">
        <v>337</v>
      </c>
      <c r="D1483" s="11" t="s">
        <v>28</v>
      </c>
    </row>
    <row r="1484">
      <c r="A1484" s="11">
        <v>1483.0</v>
      </c>
      <c r="B1484" s="12">
        <f t="shared" si="231"/>
        <v>40060</v>
      </c>
      <c r="C1484" s="11" t="s">
        <v>337</v>
      </c>
      <c r="D1484" s="11" t="s">
        <v>66</v>
      </c>
    </row>
    <row r="1485">
      <c r="A1485" s="11">
        <v>1484.0</v>
      </c>
      <c r="B1485" s="12">
        <f t="shared" si="231"/>
        <v>40060</v>
      </c>
      <c r="C1485" s="11" t="s">
        <v>337</v>
      </c>
      <c r="D1485" s="11" t="s">
        <v>49</v>
      </c>
    </row>
    <row r="1486">
      <c r="A1486" s="11">
        <v>1485.0</v>
      </c>
      <c r="B1486" s="12">
        <f t="shared" si="231"/>
        <v>40060</v>
      </c>
      <c r="C1486" s="11" t="s">
        <v>337</v>
      </c>
      <c r="D1486" s="11" t="s">
        <v>66</v>
      </c>
    </row>
    <row r="1487">
      <c r="A1487" s="11">
        <v>1486.0</v>
      </c>
      <c r="B1487" s="12">
        <f t="shared" si="231"/>
        <v>40060</v>
      </c>
      <c r="C1487" s="11" t="s">
        <v>659</v>
      </c>
      <c r="D1487" s="11" t="s">
        <v>49</v>
      </c>
    </row>
    <row r="1488">
      <c r="A1488" s="11">
        <v>1487.0</v>
      </c>
      <c r="B1488" s="12">
        <f t="shared" si="231"/>
        <v>40060</v>
      </c>
      <c r="C1488" s="11" t="s">
        <v>659</v>
      </c>
      <c r="D1488" s="11" t="s">
        <v>28</v>
      </c>
    </row>
    <row r="1489">
      <c r="A1489" s="11">
        <v>1488.0</v>
      </c>
      <c r="B1489" s="12">
        <f t="shared" ref="B1489:B1496" si="232">DATE(2012,12,31)-1213</f>
        <v>40061</v>
      </c>
      <c r="C1489" s="11" t="s">
        <v>1798</v>
      </c>
      <c r="D1489" s="11" t="s">
        <v>28</v>
      </c>
    </row>
    <row r="1490">
      <c r="A1490" s="11">
        <v>1489.0</v>
      </c>
      <c r="B1490" s="12">
        <f t="shared" si="232"/>
        <v>40061</v>
      </c>
      <c r="C1490" s="11" t="s">
        <v>1799</v>
      </c>
      <c r="D1490" s="11" t="s">
        <v>28</v>
      </c>
    </row>
    <row r="1491">
      <c r="A1491" s="11">
        <v>1490.0</v>
      </c>
      <c r="B1491" s="12">
        <f t="shared" si="232"/>
        <v>40061</v>
      </c>
      <c r="C1491" s="11" t="s">
        <v>1799</v>
      </c>
      <c r="D1491" s="11" t="s">
        <v>28</v>
      </c>
    </row>
    <row r="1492">
      <c r="A1492" s="11">
        <v>1491.0</v>
      </c>
      <c r="B1492" s="12">
        <f t="shared" si="232"/>
        <v>40061</v>
      </c>
      <c r="C1492" s="11" t="s">
        <v>1801</v>
      </c>
      <c r="D1492" s="11" t="s">
        <v>49</v>
      </c>
    </row>
    <row r="1493">
      <c r="A1493" s="11">
        <v>1492.0</v>
      </c>
      <c r="B1493" s="12">
        <f t="shared" si="232"/>
        <v>40061</v>
      </c>
      <c r="C1493" s="11" t="s">
        <v>1801</v>
      </c>
      <c r="D1493" s="11" t="s">
        <v>28</v>
      </c>
    </row>
    <row r="1494">
      <c r="A1494" s="11">
        <v>1493.0</v>
      </c>
      <c r="B1494" s="12">
        <f t="shared" si="232"/>
        <v>40061</v>
      </c>
      <c r="C1494" s="11" t="s">
        <v>780</v>
      </c>
      <c r="D1494" s="11" t="s">
        <v>66</v>
      </c>
    </row>
    <row r="1495">
      <c r="A1495" s="11">
        <v>1494.0</v>
      </c>
      <c r="B1495" s="12">
        <f t="shared" si="232"/>
        <v>40061</v>
      </c>
      <c r="C1495" s="11" t="s">
        <v>1802</v>
      </c>
      <c r="D1495" s="11" t="s">
        <v>28</v>
      </c>
    </row>
    <row r="1496">
      <c r="A1496" s="11">
        <v>1495.0</v>
      </c>
      <c r="B1496" s="12">
        <f t="shared" si="232"/>
        <v>40061</v>
      </c>
      <c r="C1496" s="11" t="s">
        <v>673</v>
      </c>
      <c r="D1496" s="11" t="s">
        <v>66</v>
      </c>
    </row>
    <row r="1497">
      <c r="A1497" s="11">
        <v>1496.0</v>
      </c>
      <c r="B1497" s="12">
        <f t="shared" ref="B1497:B1503" si="233">DATE(2012,12,31)-1212</f>
        <v>40062</v>
      </c>
      <c r="C1497" s="11" t="s">
        <v>561</v>
      </c>
      <c r="D1497" s="11" t="s">
        <v>28</v>
      </c>
    </row>
    <row r="1498">
      <c r="A1498" s="11">
        <v>1497.0</v>
      </c>
      <c r="B1498" s="12">
        <f t="shared" si="233"/>
        <v>40062</v>
      </c>
      <c r="C1498" s="11" t="s">
        <v>1114</v>
      </c>
      <c r="D1498" s="11" t="s">
        <v>28</v>
      </c>
    </row>
    <row r="1499">
      <c r="A1499" s="11">
        <v>1498.0</v>
      </c>
      <c r="B1499" s="12">
        <f t="shared" si="233"/>
        <v>40062</v>
      </c>
      <c r="C1499" s="11" t="s">
        <v>1805</v>
      </c>
      <c r="D1499" s="11" t="s">
        <v>28</v>
      </c>
    </row>
    <row r="1500">
      <c r="A1500" s="11">
        <v>1499.0</v>
      </c>
      <c r="B1500" s="12">
        <f t="shared" si="233"/>
        <v>40062</v>
      </c>
      <c r="C1500" s="11" t="s">
        <v>746</v>
      </c>
      <c r="D1500" s="11" t="s">
        <v>49</v>
      </c>
    </row>
    <row r="1501">
      <c r="A1501" s="11">
        <v>1500.0</v>
      </c>
      <c r="B1501" s="12">
        <f t="shared" si="233"/>
        <v>40062</v>
      </c>
      <c r="C1501" s="11" t="s">
        <v>746</v>
      </c>
      <c r="D1501" s="11" t="s">
        <v>28</v>
      </c>
    </row>
    <row r="1502">
      <c r="A1502" s="11">
        <v>1501.0</v>
      </c>
      <c r="B1502" s="12">
        <f t="shared" si="233"/>
        <v>40062</v>
      </c>
      <c r="C1502" s="11" t="s">
        <v>746</v>
      </c>
      <c r="D1502" s="11" t="s">
        <v>49</v>
      </c>
    </row>
    <row r="1503">
      <c r="A1503" s="11">
        <v>1502.0</v>
      </c>
      <c r="B1503" s="12">
        <f t="shared" si="233"/>
        <v>40062</v>
      </c>
      <c r="C1503" s="11" t="s">
        <v>843</v>
      </c>
      <c r="D1503" s="11" t="s">
        <v>28</v>
      </c>
    </row>
    <row r="1504">
      <c r="A1504" s="11">
        <v>1503.0</v>
      </c>
      <c r="B1504" s="12">
        <f t="shared" ref="B1504:B1506" si="234">DATE(2012,12,31)-1211</f>
        <v>40063</v>
      </c>
      <c r="C1504" s="11" t="s">
        <v>744</v>
      </c>
      <c r="D1504" s="11" t="s">
        <v>28</v>
      </c>
    </row>
    <row r="1505">
      <c r="A1505" s="11">
        <v>1504.0</v>
      </c>
      <c r="B1505" s="12">
        <f t="shared" si="234"/>
        <v>40063</v>
      </c>
      <c r="C1505" s="11" t="s">
        <v>744</v>
      </c>
      <c r="D1505" s="11" t="s">
        <v>28</v>
      </c>
    </row>
    <row r="1506">
      <c r="A1506" s="11">
        <v>1505.0</v>
      </c>
      <c r="B1506" s="12">
        <f t="shared" si="234"/>
        <v>40063</v>
      </c>
      <c r="C1506" s="11" t="s">
        <v>744</v>
      </c>
      <c r="D1506" s="11" t="s">
        <v>28</v>
      </c>
    </row>
    <row r="1507">
      <c r="A1507" s="11">
        <v>1506.0</v>
      </c>
      <c r="B1507" s="12">
        <f t="shared" ref="B1507:B1510" si="235">DATE(2012,12,31)-1210</f>
        <v>40064</v>
      </c>
      <c r="C1507" s="11" t="s">
        <v>973</v>
      </c>
      <c r="D1507" s="11" t="s">
        <v>28</v>
      </c>
    </row>
    <row r="1508">
      <c r="A1508" s="11">
        <v>1507.0</v>
      </c>
      <c r="B1508" s="12">
        <f t="shared" si="235"/>
        <v>40064</v>
      </c>
      <c r="C1508" s="11" t="s">
        <v>973</v>
      </c>
      <c r="D1508" s="11" t="s">
        <v>49</v>
      </c>
    </row>
    <row r="1509">
      <c r="A1509" s="11">
        <v>1508.0</v>
      </c>
      <c r="B1509" s="12">
        <f t="shared" si="235"/>
        <v>40064</v>
      </c>
      <c r="C1509" s="11" t="s">
        <v>973</v>
      </c>
      <c r="D1509" s="11" t="s">
        <v>66</v>
      </c>
    </row>
    <row r="1510">
      <c r="A1510" s="11">
        <v>1509.0</v>
      </c>
      <c r="B1510" s="12">
        <f t="shared" si="235"/>
        <v>40064</v>
      </c>
      <c r="C1510" s="11" t="s">
        <v>1466</v>
      </c>
      <c r="D1510" s="11" t="s">
        <v>28</v>
      </c>
    </row>
    <row r="1511">
      <c r="A1511" s="11">
        <v>1510.0</v>
      </c>
      <c r="B1511" s="12">
        <f>DATE(2012,12,31)-1209</f>
        <v>40065</v>
      </c>
      <c r="C1511" s="11" t="s">
        <v>1811</v>
      </c>
      <c r="D1511" s="11" t="s">
        <v>28</v>
      </c>
    </row>
    <row r="1512">
      <c r="A1512" s="11">
        <v>1511.0</v>
      </c>
      <c r="B1512" s="12">
        <f t="shared" ref="B1512:B1514" si="236">DATE(2012,12,31)-1208</f>
        <v>40066</v>
      </c>
      <c r="C1512" s="11" t="s">
        <v>1657</v>
      </c>
      <c r="D1512" s="11" t="s">
        <v>66</v>
      </c>
    </row>
    <row r="1513">
      <c r="A1513" s="11">
        <v>1512.0</v>
      </c>
      <c r="B1513" s="12">
        <f t="shared" si="236"/>
        <v>40066</v>
      </c>
      <c r="C1513" s="11" t="s">
        <v>1657</v>
      </c>
      <c r="D1513" s="11" t="s">
        <v>28</v>
      </c>
    </row>
    <row r="1514">
      <c r="A1514" s="11">
        <v>1513.0</v>
      </c>
      <c r="B1514" s="12">
        <f t="shared" si="236"/>
        <v>40066</v>
      </c>
      <c r="C1514" s="11" t="s">
        <v>412</v>
      </c>
      <c r="D1514" s="11" t="s">
        <v>49</v>
      </c>
    </row>
    <row r="1515">
      <c r="A1515" s="11">
        <v>1514.0</v>
      </c>
      <c r="B1515" s="12">
        <f t="shared" ref="B1515:B1524" si="237">DATE(2012,12,31)-1207</f>
        <v>40067</v>
      </c>
      <c r="C1515" s="11" t="s">
        <v>597</v>
      </c>
      <c r="D1515" s="11" t="s">
        <v>49</v>
      </c>
    </row>
    <row r="1516">
      <c r="A1516" s="11">
        <v>1515.0</v>
      </c>
      <c r="B1516" s="12">
        <f t="shared" si="237"/>
        <v>40067</v>
      </c>
      <c r="C1516" s="11" t="s">
        <v>597</v>
      </c>
      <c r="D1516" s="11" t="s">
        <v>28</v>
      </c>
    </row>
    <row r="1517">
      <c r="A1517" s="11">
        <v>1516.0</v>
      </c>
      <c r="B1517" s="12">
        <f t="shared" si="237"/>
        <v>40067</v>
      </c>
      <c r="C1517" s="11" t="s">
        <v>1425</v>
      </c>
      <c r="D1517" s="11" t="s">
        <v>28</v>
      </c>
    </row>
    <row r="1518">
      <c r="A1518" s="11">
        <v>1517.0</v>
      </c>
      <c r="B1518" s="12">
        <f t="shared" si="237"/>
        <v>40067</v>
      </c>
      <c r="C1518" s="11" t="s">
        <v>1425</v>
      </c>
      <c r="D1518" s="11" t="s">
        <v>28</v>
      </c>
    </row>
    <row r="1519">
      <c r="A1519" s="11">
        <v>1518.0</v>
      </c>
      <c r="B1519" s="12">
        <f t="shared" si="237"/>
        <v>40067</v>
      </c>
      <c r="C1519" s="11" t="s">
        <v>1017</v>
      </c>
      <c r="D1519" s="11" t="s">
        <v>28</v>
      </c>
    </row>
    <row r="1520">
      <c r="A1520" s="11">
        <v>1519.0</v>
      </c>
      <c r="B1520" s="12">
        <f t="shared" si="237"/>
        <v>40067</v>
      </c>
      <c r="C1520" s="11" t="s">
        <v>1017</v>
      </c>
      <c r="D1520" s="11" t="s">
        <v>66</v>
      </c>
    </row>
    <row r="1521">
      <c r="A1521" s="11">
        <v>1520.0</v>
      </c>
      <c r="B1521" s="12">
        <f t="shared" si="237"/>
        <v>40067</v>
      </c>
      <c r="C1521" s="11" t="s">
        <v>597</v>
      </c>
      <c r="D1521" s="11" t="s">
        <v>49</v>
      </c>
    </row>
    <row r="1522">
      <c r="A1522" s="11">
        <v>1521.0</v>
      </c>
      <c r="B1522" s="12">
        <f t="shared" si="237"/>
        <v>40067</v>
      </c>
      <c r="C1522" s="11" t="s">
        <v>597</v>
      </c>
      <c r="D1522" s="11" t="s">
        <v>28</v>
      </c>
    </row>
    <row r="1523">
      <c r="A1523" s="11">
        <v>1522.0</v>
      </c>
      <c r="B1523" s="12">
        <f t="shared" si="237"/>
        <v>40067</v>
      </c>
      <c r="C1523" s="11" t="s">
        <v>1417</v>
      </c>
      <c r="D1523" s="11" t="s">
        <v>28</v>
      </c>
    </row>
    <row r="1524">
      <c r="A1524" s="11">
        <v>1523.0</v>
      </c>
      <c r="B1524" s="12">
        <f t="shared" si="237"/>
        <v>40067</v>
      </c>
      <c r="C1524" s="11" t="s">
        <v>1814</v>
      </c>
      <c r="D1524" s="11" t="s">
        <v>28</v>
      </c>
    </row>
    <row r="1525">
      <c r="A1525" s="11">
        <v>1524.0</v>
      </c>
      <c r="B1525" s="12">
        <f t="shared" ref="B1525:B1532" si="238">DATE(2012,12,31)-1206</f>
        <v>40068</v>
      </c>
      <c r="C1525" s="11" t="s">
        <v>421</v>
      </c>
      <c r="D1525" s="11" t="s">
        <v>28</v>
      </c>
    </row>
    <row r="1526">
      <c r="A1526" s="11">
        <v>1525.0</v>
      </c>
      <c r="B1526" s="12">
        <f t="shared" si="238"/>
        <v>40068</v>
      </c>
      <c r="C1526" s="11" t="s">
        <v>719</v>
      </c>
      <c r="D1526" s="11" t="s">
        <v>66</v>
      </c>
    </row>
    <row r="1527">
      <c r="A1527" s="11">
        <v>1526.0</v>
      </c>
      <c r="B1527" s="12">
        <f t="shared" si="238"/>
        <v>40068</v>
      </c>
      <c r="C1527" s="11" t="s">
        <v>326</v>
      </c>
      <c r="D1527" s="11" t="s">
        <v>28</v>
      </c>
    </row>
    <row r="1528">
      <c r="A1528" s="11">
        <v>1527.0</v>
      </c>
      <c r="B1528" s="12">
        <f t="shared" si="238"/>
        <v>40068</v>
      </c>
      <c r="C1528" s="11" t="s">
        <v>326</v>
      </c>
      <c r="D1528" s="11" t="s">
        <v>49</v>
      </c>
    </row>
    <row r="1529">
      <c r="A1529" s="11">
        <v>1528.0</v>
      </c>
      <c r="B1529" s="12">
        <f t="shared" si="238"/>
        <v>40068</v>
      </c>
      <c r="C1529" s="11" t="s">
        <v>1145</v>
      </c>
      <c r="D1529" s="11" t="s">
        <v>66</v>
      </c>
    </row>
    <row r="1530">
      <c r="A1530" s="11">
        <v>1529.0</v>
      </c>
      <c r="B1530" s="12">
        <f t="shared" si="238"/>
        <v>40068</v>
      </c>
      <c r="C1530" s="11" t="s">
        <v>1192</v>
      </c>
      <c r="D1530" s="11" t="s">
        <v>28</v>
      </c>
    </row>
    <row r="1531">
      <c r="A1531" s="11">
        <v>1530.0</v>
      </c>
      <c r="B1531" s="12">
        <f t="shared" si="238"/>
        <v>40068</v>
      </c>
      <c r="C1531" s="11" t="s">
        <v>1816</v>
      </c>
      <c r="D1531" s="11" t="s">
        <v>28</v>
      </c>
    </row>
    <row r="1532">
      <c r="A1532" s="11">
        <v>1531.0</v>
      </c>
      <c r="B1532" s="12">
        <f t="shared" si="238"/>
        <v>40068</v>
      </c>
      <c r="C1532" s="11" t="s">
        <v>1816</v>
      </c>
      <c r="D1532" s="11" t="s">
        <v>28</v>
      </c>
    </row>
    <row r="1533">
      <c r="A1533" s="11">
        <v>1532.0</v>
      </c>
      <c r="B1533" s="12">
        <f t="shared" ref="B1533:B1538" si="239">DATE(2012,12,31)-1205</f>
        <v>40069</v>
      </c>
      <c r="C1533" s="11" t="s">
        <v>1209</v>
      </c>
      <c r="D1533" s="11" t="s">
        <v>66</v>
      </c>
    </row>
    <row r="1534">
      <c r="A1534" s="11">
        <v>1533.0</v>
      </c>
      <c r="B1534" s="12">
        <f t="shared" si="239"/>
        <v>40069</v>
      </c>
      <c r="C1534" s="11" t="s">
        <v>550</v>
      </c>
      <c r="D1534" s="11" t="s">
        <v>28</v>
      </c>
    </row>
    <row r="1535">
      <c r="A1535" s="11">
        <v>1534.0</v>
      </c>
      <c r="B1535" s="12">
        <f t="shared" si="239"/>
        <v>40069</v>
      </c>
      <c r="C1535" s="11" t="s">
        <v>312</v>
      </c>
      <c r="D1535" s="11" t="s">
        <v>28</v>
      </c>
    </row>
    <row r="1536">
      <c r="A1536" s="11">
        <v>1535.0</v>
      </c>
      <c r="B1536" s="12">
        <f t="shared" si="239"/>
        <v>40069</v>
      </c>
      <c r="C1536" s="11" t="s">
        <v>1817</v>
      </c>
      <c r="D1536" s="11" t="s">
        <v>28</v>
      </c>
    </row>
    <row r="1537">
      <c r="A1537" s="11">
        <v>1536.0</v>
      </c>
      <c r="B1537" s="12">
        <f t="shared" si="239"/>
        <v>40069</v>
      </c>
      <c r="C1537" s="11" t="s">
        <v>1817</v>
      </c>
      <c r="D1537" s="11" t="s">
        <v>28</v>
      </c>
    </row>
    <row r="1538">
      <c r="A1538" s="11">
        <v>1537.0</v>
      </c>
      <c r="B1538" s="12">
        <f t="shared" si="239"/>
        <v>40069</v>
      </c>
      <c r="C1538" s="11" t="s">
        <v>1817</v>
      </c>
      <c r="D1538" s="11" t="s">
        <v>28</v>
      </c>
    </row>
    <row r="1539">
      <c r="A1539" s="11">
        <v>1538.0</v>
      </c>
      <c r="B1539" s="12">
        <f t="shared" ref="B1539:B1544" si="240">DATE(2012,12,31)-1204</f>
        <v>40070</v>
      </c>
      <c r="C1539" s="11" t="s">
        <v>145</v>
      </c>
      <c r="D1539" s="11" t="s">
        <v>66</v>
      </c>
    </row>
    <row r="1540">
      <c r="A1540" s="11">
        <v>1539.0</v>
      </c>
      <c r="B1540" s="12">
        <f t="shared" si="240"/>
        <v>40070</v>
      </c>
      <c r="C1540" s="11" t="s">
        <v>453</v>
      </c>
      <c r="D1540" s="11" t="s">
        <v>49</v>
      </c>
    </row>
    <row r="1541">
      <c r="A1541" s="11">
        <v>1540.0</v>
      </c>
      <c r="B1541" s="12">
        <f t="shared" si="240"/>
        <v>40070</v>
      </c>
      <c r="C1541" s="11" t="s">
        <v>453</v>
      </c>
      <c r="D1541" s="11" t="s">
        <v>66</v>
      </c>
    </row>
    <row r="1542">
      <c r="A1542" s="11">
        <v>1541.0</v>
      </c>
      <c r="B1542" s="12">
        <f t="shared" si="240"/>
        <v>40070</v>
      </c>
      <c r="C1542" s="11" t="s">
        <v>453</v>
      </c>
      <c r="D1542" s="11" t="s">
        <v>49</v>
      </c>
    </row>
    <row r="1543">
      <c r="A1543" s="11">
        <v>1542.0</v>
      </c>
      <c r="B1543" s="12">
        <f t="shared" si="240"/>
        <v>40070</v>
      </c>
      <c r="C1543" s="11" t="s">
        <v>1065</v>
      </c>
      <c r="D1543" s="11" t="s">
        <v>66</v>
      </c>
    </row>
    <row r="1544">
      <c r="A1544" s="11">
        <v>1543.0</v>
      </c>
      <c r="B1544" s="12">
        <f t="shared" si="240"/>
        <v>40070</v>
      </c>
      <c r="C1544" s="11" t="s">
        <v>1712</v>
      </c>
      <c r="D1544" s="11" t="s">
        <v>28</v>
      </c>
    </row>
    <row r="1545">
      <c r="A1545" s="11">
        <v>1544.0</v>
      </c>
      <c r="B1545" s="12">
        <f t="shared" ref="B1545:B1549" si="241">DATE(2012,12,31)-1203</f>
        <v>40071</v>
      </c>
      <c r="C1545" s="11" t="s">
        <v>1821</v>
      </c>
      <c r="D1545" s="11" t="s">
        <v>28</v>
      </c>
    </row>
    <row r="1546">
      <c r="A1546" s="11">
        <v>1545.0</v>
      </c>
      <c r="B1546" s="12">
        <f t="shared" si="241"/>
        <v>40071</v>
      </c>
      <c r="C1546" s="11" t="s">
        <v>353</v>
      </c>
      <c r="D1546" s="11" t="s">
        <v>49</v>
      </c>
    </row>
    <row r="1547">
      <c r="A1547" s="11">
        <v>1546.0</v>
      </c>
      <c r="B1547" s="12">
        <f t="shared" si="241"/>
        <v>40071</v>
      </c>
      <c r="C1547" s="11" t="s">
        <v>1823</v>
      </c>
      <c r="D1547" s="11" t="s">
        <v>28</v>
      </c>
    </row>
    <row r="1548">
      <c r="A1548" s="11">
        <v>1547.0</v>
      </c>
      <c r="B1548" s="12">
        <f t="shared" si="241"/>
        <v>40071</v>
      </c>
      <c r="C1548" s="11" t="s">
        <v>662</v>
      </c>
      <c r="D1548" s="11" t="s">
        <v>49</v>
      </c>
    </row>
    <row r="1549">
      <c r="A1549" s="11">
        <v>1548.0</v>
      </c>
      <c r="B1549" s="12">
        <f t="shared" si="241"/>
        <v>40071</v>
      </c>
      <c r="C1549" s="11" t="s">
        <v>1825</v>
      </c>
      <c r="D1549" s="11" t="s">
        <v>49</v>
      </c>
    </row>
    <row r="1550">
      <c r="A1550" s="11">
        <v>1549.0</v>
      </c>
      <c r="B1550" s="12">
        <f t="shared" ref="B1550:B1559" si="242">DATE(2012,12,31)-1202</f>
        <v>40072</v>
      </c>
      <c r="C1550" s="11" t="s">
        <v>1253</v>
      </c>
      <c r="D1550" s="11" t="s">
        <v>28</v>
      </c>
    </row>
    <row r="1551">
      <c r="A1551" s="11">
        <v>1550.0</v>
      </c>
      <c r="B1551" s="12">
        <f t="shared" si="242"/>
        <v>40072</v>
      </c>
      <c r="C1551" s="11" t="s">
        <v>1827</v>
      </c>
      <c r="D1551" s="11" t="s">
        <v>28</v>
      </c>
    </row>
    <row r="1552">
      <c r="A1552" s="11">
        <v>1551.0</v>
      </c>
      <c r="B1552" s="12">
        <f t="shared" si="242"/>
        <v>40072</v>
      </c>
      <c r="C1552" s="11" t="s">
        <v>1829</v>
      </c>
      <c r="D1552" s="11" t="s">
        <v>28</v>
      </c>
    </row>
    <row r="1553">
      <c r="A1553" s="11">
        <v>1552.0</v>
      </c>
      <c r="B1553" s="12">
        <f t="shared" si="242"/>
        <v>40072</v>
      </c>
      <c r="C1553" s="11" t="s">
        <v>1831</v>
      </c>
      <c r="D1553" s="11" t="s">
        <v>49</v>
      </c>
    </row>
    <row r="1554">
      <c r="A1554" s="11">
        <v>1553.0</v>
      </c>
      <c r="B1554" s="12">
        <f t="shared" si="242"/>
        <v>40072</v>
      </c>
      <c r="C1554" s="11" t="s">
        <v>1831</v>
      </c>
      <c r="D1554" s="11" t="s">
        <v>66</v>
      </c>
    </row>
    <row r="1555">
      <c r="A1555" s="11">
        <v>1554.0</v>
      </c>
      <c r="B1555" s="12">
        <f t="shared" si="242"/>
        <v>40072</v>
      </c>
      <c r="C1555" s="11" t="s">
        <v>1010</v>
      </c>
      <c r="D1555" s="11" t="s">
        <v>28</v>
      </c>
    </row>
    <row r="1556">
      <c r="A1556" s="11">
        <v>1555.0</v>
      </c>
      <c r="B1556" s="12">
        <f t="shared" si="242"/>
        <v>40072</v>
      </c>
      <c r="C1556" s="11" t="s">
        <v>1054</v>
      </c>
      <c r="D1556" s="11" t="s">
        <v>28</v>
      </c>
    </row>
    <row r="1557">
      <c r="A1557" s="11">
        <v>1556.0</v>
      </c>
      <c r="B1557" s="12">
        <f t="shared" si="242"/>
        <v>40072</v>
      </c>
      <c r="C1557" s="11" t="s">
        <v>326</v>
      </c>
      <c r="D1557" s="11" t="s">
        <v>49</v>
      </c>
    </row>
    <row r="1558">
      <c r="A1558" s="11">
        <v>1557.0</v>
      </c>
      <c r="B1558" s="12">
        <f t="shared" si="242"/>
        <v>40072</v>
      </c>
      <c r="C1558" s="11" t="s">
        <v>744</v>
      </c>
      <c r="D1558" s="11" t="s">
        <v>28</v>
      </c>
    </row>
    <row r="1559">
      <c r="A1559" s="11">
        <v>1558.0</v>
      </c>
      <c r="B1559" s="12">
        <f t="shared" si="242"/>
        <v>40072</v>
      </c>
      <c r="C1559" s="11" t="s">
        <v>744</v>
      </c>
      <c r="D1559" s="11" t="s">
        <v>28</v>
      </c>
    </row>
    <row r="1560">
      <c r="A1560" s="11">
        <v>1559.0</v>
      </c>
      <c r="B1560" s="12">
        <f t="shared" ref="B1560:B1566" si="243">DATE(2012,12,31)-1201</f>
        <v>40073</v>
      </c>
      <c r="C1560" s="11" t="s">
        <v>1832</v>
      </c>
      <c r="D1560" s="11" t="s">
        <v>66</v>
      </c>
    </row>
    <row r="1561">
      <c r="A1561" s="11">
        <v>1560.0</v>
      </c>
      <c r="B1561" s="12">
        <f t="shared" si="243"/>
        <v>40073</v>
      </c>
      <c r="C1561" s="11" t="s">
        <v>1832</v>
      </c>
      <c r="D1561" s="11" t="s">
        <v>66</v>
      </c>
    </row>
    <row r="1562">
      <c r="A1562" s="11">
        <v>1561.0</v>
      </c>
      <c r="B1562" s="12">
        <f t="shared" si="243"/>
        <v>40073</v>
      </c>
      <c r="C1562" s="11" t="s">
        <v>1835</v>
      </c>
      <c r="D1562" s="11" t="s">
        <v>28</v>
      </c>
    </row>
    <row r="1563">
      <c r="A1563" s="11">
        <v>1562.0</v>
      </c>
      <c r="B1563" s="12">
        <f t="shared" si="243"/>
        <v>40073</v>
      </c>
      <c r="C1563" s="11" t="s">
        <v>1835</v>
      </c>
      <c r="D1563" s="11" t="s">
        <v>49</v>
      </c>
    </row>
    <row r="1564">
      <c r="A1564" s="11">
        <v>1563.0</v>
      </c>
      <c r="B1564" s="12">
        <f t="shared" si="243"/>
        <v>40073</v>
      </c>
      <c r="C1564" s="11" t="s">
        <v>1837</v>
      </c>
      <c r="D1564" s="11" t="s">
        <v>28</v>
      </c>
    </row>
    <row r="1565">
      <c r="A1565" s="11">
        <v>1564.0</v>
      </c>
      <c r="B1565" s="12">
        <f t="shared" si="243"/>
        <v>40073</v>
      </c>
      <c r="C1565" s="11" t="s">
        <v>1837</v>
      </c>
      <c r="D1565" s="11" t="s">
        <v>49</v>
      </c>
    </row>
    <row r="1566">
      <c r="A1566" s="11">
        <v>1565.0</v>
      </c>
      <c r="B1566" s="12">
        <f t="shared" si="243"/>
        <v>40073</v>
      </c>
      <c r="C1566" s="11" t="s">
        <v>1110</v>
      </c>
      <c r="D1566" s="11" t="s">
        <v>28</v>
      </c>
    </row>
    <row r="1567">
      <c r="A1567" s="11">
        <v>1566.0</v>
      </c>
      <c r="B1567" s="12">
        <f t="shared" ref="B1567:B1571" si="244">DATE(2012,12,31)-1200</f>
        <v>40074</v>
      </c>
      <c r="C1567" s="11" t="s">
        <v>781</v>
      </c>
      <c r="D1567" s="11" t="s">
        <v>28</v>
      </c>
    </row>
    <row r="1568">
      <c r="A1568" s="11">
        <v>1567.0</v>
      </c>
      <c r="B1568" s="12">
        <f t="shared" si="244"/>
        <v>40074</v>
      </c>
      <c r="C1568" s="11" t="s">
        <v>1832</v>
      </c>
      <c r="D1568" s="11" t="s">
        <v>49</v>
      </c>
    </row>
    <row r="1569">
      <c r="A1569" s="11">
        <v>1568.0</v>
      </c>
      <c r="B1569" s="12">
        <f t="shared" si="244"/>
        <v>40074</v>
      </c>
      <c r="C1569" s="11" t="s">
        <v>1832</v>
      </c>
      <c r="D1569" s="11" t="s">
        <v>28</v>
      </c>
    </row>
    <row r="1570">
      <c r="A1570" s="11">
        <v>1569.0</v>
      </c>
      <c r="B1570" s="12">
        <f t="shared" si="244"/>
        <v>40074</v>
      </c>
      <c r="C1570" s="11" t="s">
        <v>741</v>
      </c>
      <c r="D1570" s="11" t="s">
        <v>28</v>
      </c>
    </row>
    <row r="1571">
      <c r="A1571" s="11">
        <v>1570.0</v>
      </c>
      <c r="B1571" s="12">
        <f t="shared" si="244"/>
        <v>40074</v>
      </c>
      <c r="C1571" s="11" t="s">
        <v>1841</v>
      </c>
      <c r="D1571" s="11" t="s">
        <v>66</v>
      </c>
    </row>
    <row r="1572">
      <c r="A1572" s="11">
        <v>1571.0</v>
      </c>
      <c r="B1572" s="12">
        <f t="shared" ref="B1572:B1582" si="245">DATE(2012,12,31)-1199</f>
        <v>40075</v>
      </c>
      <c r="C1572" s="11" t="s">
        <v>1842</v>
      </c>
      <c r="D1572" s="11" t="s">
        <v>28</v>
      </c>
    </row>
    <row r="1573">
      <c r="A1573" s="11">
        <v>1572.0</v>
      </c>
      <c r="B1573" s="12">
        <f t="shared" si="245"/>
        <v>40075</v>
      </c>
      <c r="C1573" s="11" t="s">
        <v>300</v>
      </c>
      <c r="D1573" s="11" t="s">
        <v>66</v>
      </c>
    </row>
    <row r="1574">
      <c r="A1574" s="11">
        <v>1573.0</v>
      </c>
      <c r="B1574" s="12">
        <f t="shared" si="245"/>
        <v>40075</v>
      </c>
      <c r="C1574" s="11" t="s">
        <v>300</v>
      </c>
      <c r="D1574" s="11" t="s">
        <v>28</v>
      </c>
    </row>
    <row r="1575">
      <c r="A1575" s="11">
        <v>1574.0</v>
      </c>
      <c r="B1575" s="12">
        <f t="shared" si="245"/>
        <v>40075</v>
      </c>
      <c r="C1575" s="11" t="s">
        <v>300</v>
      </c>
      <c r="D1575" s="11" t="s">
        <v>66</v>
      </c>
    </row>
    <row r="1576">
      <c r="A1576" s="11">
        <v>1575.0</v>
      </c>
      <c r="B1576" s="12">
        <f t="shared" si="245"/>
        <v>40075</v>
      </c>
      <c r="C1576" s="11" t="s">
        <v>1472</v>
      </c>
      <c r="D1576" s="11" t="s">
        <v>28</v>
      </c>
    </row>
    <row r="1577">
      <c r="A1577" s="11">
        <v>1576.0</v>
      </c>
      <c r="B1577" s="12">
        <f t="shared" si="245"/>
        <v>40075</v>
      </c>
      <c r="C1577" s="11" t="s">
        <v>1472</v>
      </c>
      <c r="D1577" s="11" t="s">
        <v>66</v>
      </c>
    </row>
    <row r="1578">
      <c r="A1578" s="11">
        <v>1577.0</v>
      </c>
      <c r="B1578" s="12">
        <f t="shared" si="245"/>
        <v>40075</v>
      </c>
      <c r="C1578" s="11" t="s">
        <v>1439</v>
      </c>
      <c r="D1578" s="11" t="s">
        <v>28</v>
      </c>
    </row>
    <row r="1579">
      <c r="A1579" s="11">
        <v>1578.0</v>
      </c>
      <c r="B1579" s="12">
        <f t="shared" si="245"/>
        <v>40075</v>
      </c>
      <c r="C1579" s="11" t="s">
        <v>1845</v>
      </c>
      <c r="D1579" s="11" t="s">
        <v>66</v>
      </c>
    </row>
    <row r="1580">
      <c r="A1580" s="11">
        <v>1579.0</v>
      </c>
      <c r="B1580" s="12">
        <f t="shared" si="245"/>
        <v>40075</v>
      </c>
      <c r="C1580" s="11" t="s">
        <v>1845</v>
      </c>
      <c r="D1580" s="11" t="s">
        <v>66</v>
      </c>
    </row>
    <row r="1581">
      <c r="A1581" s="11">
        <v>1580.0</v>
      </c>
      <c r="B1581" s="12">
        <f t="shared" si="245"/>
        <v>40075</v>
      </c>
      <c r="C1581" s="11" t="s">
        <v>1707</v>
      </c>
      <c r="D1581" s="11" t="s">
        <v>28</v>
      </c>
    </row>
    <row r="1582">
      <c r="A1582" s="11">
        <v>1581.0</v>
      </c>
      <c r="B1582" s="12">
        <f t="shared" si="245"/>
        <v>40075</v>
      </c>
      <c r="C1582" s="11" t="s">
        <v>366</v>
      </c>
      <c r="D1582" s="11" t="s">
        <v>28</v>
      </c>
    </row>
    <row r="1583">
      <c r="A1583" s="11">
        <v>1582.0</v>
      </c>
      <c r="B1583" s="12">
        <f t="shared" ref="B1583:B1588" si="246">DATE(2012,12,31)-1198</f>
        <v>40076</v>
      </c>
      <c r="C1583" s="11" t="s">
        <v>1848</v>
      </c>
      <c r="D1583" s="11" t="s">
        <v>28</v>
      </c>
    </row>
    <row r="1584">
      <c r="A1584" s="11">
        <v>1583.0</v>
      </c>
      <c r="B1584" s="12">
        <f t="shared" si="246"/>
        <v>40076</v>
      </c>
      <c r="C1584" s="11" t="s">
        <v>1848</v>
      </c>
      <c r="D1584" s="11" t="s">
        <v>28</v>
      </c>
    </row>
    <row r="1585">
      <c r="A1585" s="11">
        <v>1584.0</v>
      </c>
      <c r="B1585" s="12">
        <f t="shared" si="246"/>
        <v>40076</v>
      </c>
      <c r="C1585" s="11" t="s">
        <v>1848</v>
      </c>
      <c r="D1585" s="11" t="s">
        <v>66</v>
      </c>
    </row>
    <row r="1586">
      <c r="A1586" s="11">
        <v>1585.0</v>
      </c>
      <c r="B1586" s="12">
        <f t="shared" si="246"/>
        <v>40076</v>
      </c>
      <c r="C1586" s="11" t="s">
        <v>1240</v>
      </c>
      <c r="D1586" s="11" t="s">
        <v>49</v>
      </c>
    </row>
    <row r="1587">
      <c r="A1587" s="11">
        <v>1586.0</v>
      </c>
      <c r="B1587" s="12">
        <f t="shared" si="246"/>
        <v>40076</v>
      </c>
      <c r="C1587" s="11" t="s">
        <v>806</v>
      </c>
      <c r="D1587" s="11" t="s">
        <v>28</v>
      </c>
    </row>
    <row r="1588">
      <c r="A1588" s="11">
        <v>1587.0</v>
      </c>
      <c r="B1588" s="12">
        <f t="shared" si="246"/>
        <v>40076</v>
      </c>
      <c r="C1588" s="11" t="s">
        <v>806</v>
      </c>
      <c r="D1588" s="11" t="s">
        <v>28</v>
      </c>
    </row>
    <row r="1589">
      <c r="A1589" s="11">
        <v>1588.0</v>
      </c>
      <c r="B1589" s="12">
        <f t="shared" ref="B1589:B1590" si="247">DATE(2012,12,31)-1197</f>
        <v>40077</v>
      </c>
      <c r="C1589" s="11" t="s">
        <v>1753</v>
      </c>
      <c r="D1589" s="11" t="s">
        <v>28</v>
      </c>
    </row>
    <row r="1590">
      <c r="A1590" s="11">
        <v>1589.0</v>
      </c>
      <c r="B1590" s="12">
        <f t="shared" si="247"/>
        <v>40077</v>
      </c>
      <c r="C1590" s="11" t="s">
        <v>1851</v>
      </c>
      <c r="D1590" s="11" t="s">
        <v>28</v>
      </c>
    </row>
    <row r="1591">
      <c r="A1591" s="11">
        <v>1590.0</v>
      </c>
      <c r="B1591" s="12">
        <f t="shared" ref="B1591:B1592" si="248">DATE(2012,12,31)-1196</f>
        <v>40078</v>
      </c>
      <c r="C1591" s="11" t="s">
        <v>1422</v>
      </c>
      <c r="D1591" s="11" t="s">
        <v>28</v>
      </c>
    </row>
    <row r="1592">
      <c r="A1592" s="11">
        <v>1591.0</v>
      </c>
      <c r="B1592" s="12">
        <f t="shared" si="248"/>
        <v>40078</v>
      </c>
      <c r="C1592" s="11" t="s">
        <v>1422</v>
      </c>
      <c r="D1592" s="11" t="s">
        <v>49</v>
      </c>
    </row>
    <row r="1593">
      <c r="A1593" s="11">
        <v>1592.0</v>
      </c>
      <c r="B1593" s="12">
        <f t="shared" ref="B1593:B1598" si="249">DATE(2012,12,31)-1195</f>
        <v>40079</v>
      </c>
      <c r="C1593" s="11" t="s">
        <v>243</v>
      </c>
      <c r="D1593" s="11" t="s">
        <v>66</v>
      </c>
    </row>
    <row r="1594">
      <c r="A1594" s="11">
        <v>1593.0</v>
      </c>
      <c r="B1594" s="12">
        <f t="shared" si="249"/>
        <v>40079</v>
      </c>
      <c r="C1594" s="11" t="s">
        <v>243</v>
      </c>
      <c r="D1594" s="11" t="s">
        <v>28</v>
      </c>
    </row>
    <row r="1595">
      <c r="A1595" s="11">
        <v>1594.0</v>
      </c>
      <c r="B1595" s="12">
        <f t="shared" si="249"/>
        <v>40079</v>
      </c>
      <c r="C1595" s="11" t="s">
        <v>243</v>
      </c>
      <c r="D1595" s="11" t="s">
        <v>28</v>
      </c>
    </row>
    <row r="1596">
      <c r="A1596" s="11">
        <v>1595.0</v>
      </c>
      <c r="B1596" s="12">
        <f t="shared" si="249"/>
        <v>40079</v>
      </c>
      <c r="C1596" s="11" t="s">
        <v>1231</v>
      </c>
      <c r="D1596" s="11" t="s">
        <v>28</v>
      </c>
    </row>
    <row r="1597">
      <c r="A1597" s="11">
        <v>1596.0</v>
      </c>
      <c r="B1597" s="12">
        <f t="shared" si="249"/>
        <v>40079</v>
      </c>
      <c r="C1597" s="11" t="s">
        <v>366</v>
      </c>
      <c r="D1597" s="11" t="s">
        <v>28</v>
      </c>
    </row>
    <row r="1598">
      <c r="A1598" s="11">
        <v>1597.0</v>
      </c>
      <c r="B1598" s="12">
        <f t="shared" si="249"/>
        <v>40079</v>
      </c>
      <c r="C1598" s="11" t="s">
        <v>1039</v>
      </c>
      <c r="D1598" s="11" t="s">
        <v>66</v>
      </c>
    </row>
    <row r="1599">
      <c r="A1599" s="11">
        <v>1598.0</v>
      </c>
      <c r="B1599" s="12">
        <f t="shared" ref="B1599:B1606" si="250">DATE(2012,12,31)-1194</f>
        <v>40080</v>
      </c>
      <c r="C1599" s="11" t="s">
        <v>832</v>
      </c>
      <c r="D1599" s="11" t="s">
        <v>49</v>
      </c>
    </row>
    <row r="1600">
      <c r="A1600" s="11">
        <v>1599.0</v>
      </c>
      <c r="B1600" s="12">
        <f t="shared" si="250"/>
        <v>40080</v>
      </c>
      <c r="C1600" s="11" t="s">
        <v>78</v>
      </c>
      <c r="D1600" s="11" t="s">
        <v>28</v>
      </c>
    </row>
    <row r="1601">
      <c r="A1601" s="11">
        <v>1600.0</v>
      </c>
      <c r="B1601" s="12">
        <f t="shared" si="250"/>
        <v>40080</v>
      </c>
      <c r="C1601" s="11" t="s">
        <v>634</v>
      </c>
      <c r="D1601" s="11" t="s">
        <v>66</v>
      </c>
    </row>
    <row r="1602">
      <c r="A1602" s="11">
        <v>1601.0</v>
      </c>
      <c r="B1602" s="12">
        <f t="shared" si="250"/>
        <v>40080</v>
      </c>
      <c r="C1602" s="11" t="s">
        <v>1192</v>
      </c>
      <c r="D1602" s="11" t="s">
        <v>28</v>
      </c>
    </row>
    <row r="1603">
      <c r="A1603" s="11">
        <v>1602.0</v>
      </c>
      <c r="B1603" s="12">
        <f t="shared" si="250"/>
        <v>40080</v>
      </c>
      <c r="C1603" s="11" t="s">
        <v>1192</v>
      </c>
      <c r="D1603" s="11" t="s">
        <v>28</v>
      </c>
    </row>
    <row r="1604">
      <c r="A1604" s="11">
        <v>1603.0</v>
      </c>
      <c r="B1604" s="12">
        <f t="shared" si="250"/>
        <v>40080</v>
      </c>
      <c r="C1604" s="11" t="s">
        <v>1857</v>
      </c>
      <c r="D1604" s="11" t="s">
        <v>28</v>
      </c>
    </row>
    <row r="1605">
      <c r="A1605" s="11">
        <v>1604.0</v>
      </c>
      <c r="B1605" s="12">
        <f t="shared" si="250"/>
        <v>40080</v>
      </c>
      <c r="C1605" s="11" t="s">
        <v>1857</v>
      </c>
      <c r="D1605" s="11" t="s">
        <v>66</v>
      </c>
    </row>
    <row r="1606">
      <c r="A1606" s="11">
        <v>1605.0</v>
      </c>
      <c r="B1606" s="12">
        <f t="shared" si="250"/>
        <v>40080</v>
      </c>
      <c r="C1606" s="11" t="s">
        <v>1643</v>
      </c>
      <c r="D1606" s="11" t="s">
        <v>28</v>
      </c>
    </row>
    <row r="1607">
      <c r="A1607" s="11">
        <v>1606.0</v>
      </c>
      <c r="B1607" s="12">
        <f t="shared" ref="B1607:B1617" si="251">DATE(2012,12,31)-1193</f>
        <v>40081</v>
      </c>
      <c r="C1607" s="11" t="s">
        <v>1137</v>
      </c>
      <c r="D1607" s="11" t="s">
        <v>28</v>
      </c>
    </row>
    <row r="1608">
      <c r="A1608" s="11">
        <v>1607.0</v>
      </c>
      <c r="B1608" s="12">
        <f t="shared" si="251"/>
        <v>40081</v>
      </c>
      <c r="C1608" s="11" t="s">
        <v>1137</v>
      </c>
      <c r="D1608" s="11" t="s">
        <v>66</v>
      </c>
    </row>
    <row r="1609">
      <c r="A1609" s="11">
        <v>1608.0</v>
      </c>
      <c r="B1609" s="12">
        <f t="shared" si="251"/>
        <v>40081</v>
      </c>
      <c r="C1609" s="11" t="s">
        <v>1858</v>
      </c>
      <c r="D1609" s="11" t="s">
        <v>66</v>
      </c>
    </row>
    <row r="1610">
      <c r="A1610" s="11">
        <v>1609.0</v>
      </c>
      <c r="B1610" s="12">
        <f t="shared" si="251"/>
        <v>40081</v>
      </c>
      <c r="C1610" s="11" t="s">
        <v>1829</v>
      </c>
      <c r="D1610" s="11" t="s">
        <v>66</v>
      </c>
    </row>
    <row r="1611">
      <c r="A1611" s="11">
        <v>1610.0</v>
      </c>
      <c r="B1611" s="12">
        <f t="shared" si="251"/>
        <v>40081</v>
      </c>
      <c r="C1611" s="11" t="s">
        <v>514</v>
      </c>
      <c r="D1611" s="11" t="s">
        <v>49</v>
      </c>
    </row>
    <row r="1612">
      <c r="A1612" s="11">
        <v>1611.0</v>
      </c>
      <c r="B1612" s="12">
        <f t="shared" si="251"/>
        <v>40081</v>
      </c>
      <c r="C1612" s="11" t="s">
        <v>1861</v>
      </c>
      <c r="D1612" s="11" t="s">
        <v>49</v>
      </c>
    </row>
    <row r="1613">
      <c r="A1613" s="11">
        <v>1612.0</v>
      </c>
      <c r="B1613" s="12">
        <f t="shared" si="251"/>
        <v>40081</v>
      </c>
      <c r="C1613" s="11" t="s">
        <v>1861</v>
      </c>
      <c r="D1613" s="11" t="s">
        <v>66</v>
      </c>
    </row>
    <row r="1614">
      <c r="A1614" s="11">
        <v>1613.0</v>
      </c>
      <c r="B1614" s="12">
        <f t="shared" si="251"/>
        <v>40081</v>
      </c>
      <c r="C1614" s="11" t="s">
        <v>1862</v>
      </c>
      <c r="D1614" s="11" t="s">
        <v>49</v>
      </c>
    </row>
    <row r="1615">
      <c r="A1615" s="11">
        <v>1614.0</v>
      </c>
      <c r="B1615" s="12">
        <f t="shared" si="251"/>
        <v>40081</v>
      </c>
      <c r="C1615" s="11" t="s">
        <v>1862</v>
      </c>
      <c r="D1615" s="11" t="s">
        <v>66</v>
      </c>
    </row>
    <row r="1616">
      <c r="A1616" s="11">
        <v>1615.0</v>
      </c>
      <c r="B1616" s="12">
        <f t="shared" si="251"/>
        <v>40081</v>
      </c>
      <c r="C1616" s="11" t="s">
        <v>738</v>
      </c>
      <c r="D1616" s="11" t="s">
        <v>28</v>
      </c>
    </row>
    <row r="1617">
      <c r="A1617" s="11">
        <v>1616.0</v>
      </c>
      <c r="B1617" s="12">
        <f t="shared" si="251"/>
        <v>40081</v>
      </c>
      <c r="C1617" s="11" t="s">
        <v>738</v>
      </c>
      <c r="D1617" s="11" t="s">
        <v>28</v>
      </c>
    </row>
    <row r="1618">
      <c r="A1618" s="11">
        <v>1617.0</v>
      </c>
      <c r="B1618" s="12">
        <f t="shared" ref="B1618:B1621" si="252">DATE(2012,12,31)-1192</f>
        <v>40082</v>
      </c>
      <c r="C1618" s="11" t="s">
        <v>1863</v>
      </c>
      <c r="D1618" s="11" t="s">
        <v>66</v>
      </c>
    </row>
    <row r="1619">
      <c r="A1619" s="11">
        <v>1618.0</v>
      </c>
      <c r="B1619" s="12">
        <f t="shared" si="252"/>
        <v>40082</v>
      </c>
      <c r="C1619" s="11" t="s">
        <v>1865</v>
      </c>
      <c r="D1619" s="11" t="s">
        <v>49</v>
      </c>
    </row>
    <row r="1620">
      <c r="A1620" s="11">
        <v>1619.0</v>
      </c>
      <c r="B1620" s="12">
        <f t="shared" si="252"/>
        <v>40082</v>
      </c>
      <c r="C1620" s="11" t="s">
        <v>953</v>
      </c>
      <c r="D1620" s="11" t="s">
        <v>28</v>
      </c>
    </row>
    <row r="1621">
      <c r="A1621" s="11">
        <v>1620.0</v>
      </c>
      <c r="B1621" s="12">
        <f t="shared" si="252"/>
        <v>40082</v>
      </c>
      <c r="C1621" s="11" t="s">
        <v>525</v>
      </c>
      <c r="D1621" s="11" t="s">
        <v>49</v>
      </c>
    </row>
    <row r="1622">
      <c r="A1622" s="11">
        <v>1621.0</v>
      </c>
      <c r="B1622" s="12">
        <f t="shared" ref="B1622:B1625" si="253">DATE(2012,12,31)-1191</f>
        <v>40083</v>
      </c>
      <c r="C1622" s="11" t="s">
        <v>771</v>
      </c>
      <c r="D1622" s="11" t="s">
        <v>28</v>
      </c>
    </row>
    <row r="1623">
      <c r="A1623" s="11">
        <v>1622.0</v>
      </c>
      <c r="B1623" s="12">
        <f t="shared" si="253"/>
        <v>40083</v>
      </c>
      <c r="C1623" s="11" t="s">
        <v>1620</v>
      </c>
      <c r="D1623" s="11" t="s">
        <v>28</v>
      </c>
    </row>
    <row r="1624">
      <c r="A1624" s="11">
        <v>1623.0</v>
      </c>
      <c r="B1624" s="12">
        <f t="shared" si="253"/>
        <v>40083</v>
      </c>
      <c r="C1624" s="11" t="s">
        <v>1620</v>
      </c>
      <c r="D1624" s="11" t="s">
        <v>66</v>
      </c>
    </row>
    <row r="1625">
      <c r="A1625" s="11">
        <v>1624.0</v>
      </c>
      <c r="B1625" s="12">
        <f t="shared" si="253"/>
        <v>40083</v>
      </c>
      <c r="C1625" s="11" t="s">
        <v>732</v>
      </c>
      <c r="D1625" s="11" t="s">
        <v>49</v>
      </c>
    </row>
    <row r="1626">
      <c r="A1626" s="11">
        <v>1625.0</v>
      </c>
      <c r="B1626" s="12">
        <f t="shared" ref="B1626:B1630" si="254">DATE(2012,12,31)-1190</f>
        <v>40084</v>
      </c>
      <c r="C1626" s="11" t="s">
        <v>1750</v>
      </c>
      <c r="D1626" s="11" t="s">
        <v>28</v>
      </c>
    </row>
    <row r="1627">
      <c r="A1627" s="11">
        <v>1626.0</v>
      </c>
      <c r="B1627" s="12">
        <f t="shared" si="254"/>
        <v>40084</v>
      </c>
      <c r="C1627" s="11" t="s">
        <v>138</v>
      </c>
      <c r="D1627" s="11" t="s">
        <v>66</v>
      </c>
    </row>
    <row r="1628">
      <c r="A1628" s="11">
        <v>1627.0</v>
      </c>
      <c r="B1628" s="12">
        <f t="shared" si="254"/>
        <v>40084</v>
      </c>
      <c r="C1628" s="11" t="s">
        <v>138</v>
      </c>
      <c r="D1628" s="11" t="s">
        <v>28</v>
      </c>
    </row>
    <row r="1629">
      <c r="A1629" s="11">
        <v>1628.0</v>
      </c>
      <c r="B1629" s="12">
        <f t="shared" si="254"/>
        <v>40084</v>
      </c>
      <c r="C1629" s="11" t="s">
        <v>1872</v>
      </c>
      <c r="D1629" s="11" t="s">
        <v>49</v>
      </c>
    </row>
    <row r="1630">
      <c r="A1630" s="11">
        <v>1629.0</v>
      </c>
      <c r="B1630" s="12">
        <f t="shared" si="254"/>
        <v>40084</v>
      </c>
      <c r="C1630" s="11" t="s">
        <v>1384</v>
      </c>
      <c r="D1630" s="11" t="s">
        <v>49</v>
      </c>
    </row>
    <row r="1631">
      <c r="A1631" s="11">
        <v>1630.0</v>
      </c>
      <c r="B1631" s="12">
        <f t="shared" ref="B1631:B1637" si="255">DATE(2012,12,31)-1189</f>
        <v>40085</v>
      </c>
      <c r="C1631" s="11" t="s">
        <v>1664</v>
      </c>
      <c r="D1631" s="11" t="s">
        <v>49</v>
      </c>
    </row>
    <row r="1632">
      <c r="A1632" s="11">
        <v>1631.0</v>
      </c>
      <c r="B1632" s="12">
        <f t="shared" si="255"/>
        <v>40085</v>
      </c>
      <c r="C1632" s="11" t="s">
        <v>958</v>
      </c>
      <c r="D1632" s="11" t="s">
        <v>66</v>
      </c>
    </row>
    <row r="1633">
      <c r="A1633" s="11">
        <v>1632.0</v>
      </c>
      <c r="B1633" s="12">
        <f t="shared" si="255"/>
        <v>40085</v>
      </c>
      <c r="C1633" s="11" t="s">
        <v>1417</v>
      </c>
      <c r="D1633" s="11" t="s">
        <v>49</v>
      </c>
    </row>
    <row r="1634">
      <c r="A1634" s="11">
        <v>1633.0</v>
      </c>
      <c r="B1634" s="12">
        <f t="shared" si="255"/>
        <v>40085</v>
      </c>
      <c r="C1634" s="11" t="s">
        <v>320</v>
      </c>
      <c r="D1634" s="11" t="s">
        <v>66</v>
      </c>
    </row>
    <row r="1635">
      <c r="A1635" s="11">
        <v>1634.0</v>
      </c>
      <c r="B1635" s="12">
        <f t="shared" si="255"/>
        <v>40085</v>
      </c>
      <c r="C1635" s="11" t="s">
        <v>855</v>
      </c>
      <c r="D1635" s="11" t="s">
        <v>28</v>
      </c>
    </row>
    <row r="1636">
      <c r="A1636" s="11">
        <v>1635.0</v>
      </c>
      <c r="B1636" s="12">
        <f t="shared" si="255"/>
        <v>40085</v>
      </c>
      <c r="C1636" s="11" t="s">
        <v>285</v>
      </c>
      <c r="D1636" s="11" t="s">
        <v>28</v>
      </c>
    </row>
    <row r="1637">
      <c r="A1637" s="11">
        <v>1636.0</v>
      </c>
      <c r="B1637" s="12">
        <f t="shared" si="255"/>
        <v>40085</v>
      </c>
      <c r="C1637" s="11" t="s">
        <v>285</v>
      </c>
      <c r="D1637" s="11" t="s">
        <v>28</v>
      </c>
    </row>
    <row r="1638">
      <c r="A1638" s="11">
        <v>1637.0</v>
      </c>
      <c r="B1638" s="12">
        <f t="shared" ref="B1638:B1645" si="256">DATE(2012,12,31)-1188</f>
        <v>40086</v>
      </c>
      <c r="C1638" s="11" t="s">
        <v>1876</v>
      </c>
      <c r="D1638" s="11" t="s">
        <v>28</v>
      </c>
    </row>
    <row r="1639">
      <c r="A1639" s="11">
        <v>1638.0</v>
      </c>
      <c r="B1639" s="12">
        <f t="shared" si="256"/>
        <v>40086</v>
      </c>
      <c r="C1639" s="11" t="s">
        <v>392</v>
      </c>
      <c r="D1639" s="11" t="s">
        <v>28</v>
      </c>
    </row>
    <row r="1640">
      <c r="A1640" s="11">
        <v>1639.0</v>
      </c>
      <c r="B1640" s="12">
        <f t="shared" si="256"/>
        <v>40086</v>
      </c>
      <c r="C1640" s="11" t="s">
        <v>1877</v>
      </c>
      <c r="D1640" s="11" t="s">
        <v>28</v>
      </c>
    </row>
    <row r="1641">
      <c r="A1641" s="11">
        <v>1640.0</v>
      </c>
      <c r="B1641" s="12">
        <f t="shared" si="256"/>
        <v>40086</v>
      </c>
      <c r="C1641" s="11" t="s">
        <v>76</v>
      </c>
      <c r="D1641" s="11" t="s">
        <v>28</v>
      </c>
    </row>
    <row r="1642">
      <c r="A1642" s="11">
        <v>1641.0</v>
      </c>
      <c r="B1642" s="12">
        <f t="shared" si="256"/>
        <v>40086</v>
      </c>
      <c r="C1642" s="11" t="s">
        <v>76</v>
      </c>
      <c r="D1642" s="11" t="s">
        <v>28</v>
      </c>
    </row>
    <row r="1643">
      <c r="A1643" s="11">
        <v>1642.0</v>
      </c>
      <c r="B1643" s="12">
        <f t="shared" si="256"/>
        <v>40086</v>
      </c>
      <c r="C1643" s="11" t="s">
        <v>604</v>
      </c>
      <c r="D1643" s="11" t="s">
        <v>66</v>
      </c>
    </row>
    <row r="1644">
      <c r="A1644" s="11">
        <v>1643.0</v>
      </c>
      <c r="B1644" s="12">
        <f t="shared" si="256"/>
        <v>40086</v>
      </c>
      <c r="C1644" s="11" t="s">
        <v>535</v>
      </c>
      <c r="D1644" s="11" t="s">
        <v>28</v>
      </c>
    </row>
    <row r="1645">
      <c r="A1645" s="11">
        <v>1644.0</v>
      </c>
      <c r="B1645" s="12">
        <f t="shared" si="256"/>
        <v>40086</v>
      </c>
      <c r="C1645" s="11" t="s">
        <v>535</v>
      </c>
      <c r="D1645" s="11" t="s">
        <v>49</v>
      </c>
    </row>
    <row r="1646">
      <c r="A1646" s="11">
        <v>1645.0</v>
      </c>
      <c r="B1646" s="12">
        <f t="shared" ref="B1646:B1652" si="257">DATE(2012,12,31)-1187</f>
        <v>40087</v>
      </c>
      <c r="C1646" s="11" t="s">
        <v>1123</v>
      </c>
      <c r="D1646" s="11" t="s">
        <v>28</v>
      </c>
    </row>
    <row r="1647">
      <c r="A1647" s="11">
        <v>1646.0</v>
      </c>
      <c r="B1647" s="12">
        <f t="shared" si="257"/>
        <v>40087</v>
      </c>
      <c r="C1647" s="11" t="s">
        <v>800</v>
      </c>
      <c r="D1647" s="11" t="s">
        <v>28</v>
      </c>
    </row>
    <row r="1648">
      <c r="A1648" s="11">
        <v>1647.0</v>
      </c>
      <c r="B1648" s="12">
        <f t="shared" si="257"/>
        <v>40087</v>
      </c>
      <c r="C1648" s="11" t="s">
        <v>1444</v>
      </c>
      <c r="D1648" s="11" t="s">
        <v>28</v>
      </c>
    </row>
    <row r="1649">
      <c r="A1649" s="11">
        <v>1648.0</v>
      </c>
      <c r="B1649" s="12">
        <f t="shared" si="257"/>
        <v>40087</v>
      </c>
      <c r="C1649" s="11" t="s">
        <v>1444</v>
      </c>
      <c r="D1649" s="11" t="s">
        <v>28</v>
      </c>
    </row>
    <row r="1650">
      <c r="A1650" s="11">
        <v>1649.0</v>
      </c>
      <c r="B1650" s="12">
        <f t="shared" si="257"/>
        <v>40087</v>
      </c>
      <c r="C1650" s="11" t="s">
        <v>754</v>
      </c>
      <c r="D1650" s="11" t="s">
        <v>28</v>
      </c>
    </row>
    <row r="1651">
      <c r="A1651" s="11">
        <v>1650.0</v>
      </c>
      <c r="B1651" s="12">
        <f t="shared" si="257"/>
        <v>40087</v>
      </c>
      <c r="C1651" s="11" t="s">
        <v>754</v>
      </c>
      <c r="D1651" s="11" t="s">
        <v>66</v>
      </c>
    </row>
    <row r="1652">
      <c r="A1652" s="11">
        <v>1651.0</v>
      </c>
      <c r="B1652" s="12">
        <f t="shared" si="257"/>
        <v>40087</v>
      </c>
      <c r="C1652" s="11" t="s">
        <v>1884</v>
      </c>
      <c r="D1652" s="11" t="s">
        <v>49</v>
      </c>
    </row>
    <row r="1653">
      <c r="A1653" s="11">
        <v>1652.0</v>
      </c>
      <c r="B1653" s="12">
        <f t="shared" ref="B1653:B1656" si="258">DATE(2012,12,31)-1186</f>
        <v>40088</v>
      </c>
      <c r="C1653" s="11" t="s">
        <v>1886</v>
      </c>
      <c r="D1653" s="11" t="s">
        <v>49</v>
      </c>
    </row>
    <row r="1654">
      <c r="A1654" s="11">
        <v>1653.0</v>
      </c>
      <c r="B1654" s="12">
        <f t="shared" si="258"/>
        <v>40088</v>
      </c>
      <c r="C1654" s="11" t="s">
        <v>1886</v>
      </c>
      <c r="D1654" s="11" t="s">
        <v>66</v>
      </c>
    </row>
    <row r="1655">
      <c r="A1655" s="11">
        <v>1654.0</v>
      </c>
      <c r="B1655" s="12">
        <f t="shared" si="258"/>
        <v>40088</v>
      </c>
      <c r="C1655" s="11" t="s">
        <v>528</v>
      </c>
      <c r="D1655" s="11" t="s">
        <v>49</v>
      </c>
    </row>
    <row r="1656">
      <c r="A1656" s="11">
        <v>1655.0</v>
      </c>
      <c r="B1656" s="12">
        <f t="shared" si="258"/>
        <v>40088</v>
      </c>
      <c r="C1656" s="11" t="s">
        <v>1887</v>
      </c>
      <c r="D1656" s="11" t="s">
        <v>28</v>
      </c>
    </row>
    <row r="1657">
      <c r="A1657" s="11">
        <v>1656.0</v>
      </c>
      <c r="B1657" s="12">
        <f t="shared" ref="B1657:B1670" si="259">DATE(2012,12,31)-1184</f>
        <v>40090</v>
      </c>
      <c r="C1657" s="11" t="s">
        <v>1888</v>
      </c>
      <c r="D1657" s="11" t="s">
        <v>28</v>
      </c>
    </row>
    <row r="1658">
      <c r="A1658" s="11">
        <v>1657.0</v>
      </c>
      <c r="B1658" s="12">
        <f t="shared" si="259"/>
        <v>40090</v>
      </c>
      <c r="C1658" s="11" t="s">
        <v>1888</v>
      </c>
      <c r="D1658" s="11" t="s">
        <v>28</v>
      </c>
    </row>
    <row r="1659">
      <c r="A1659" s="11">
        <v>1658.0</v>
      </c>
      <c r="B1659" s="12">
        <f t="shared" si="259"/>
        <v>40090</v>
      </c>
      <c r="C1659" s="11" t="s">
        <v>1888</v>
      </c>
      <c r="D1659" s="11" t="s">
        <v>66</v>
      </c>
    </row>
    <row r="1660">
      <c r="A1660" s="11">
        <v>1659.0</v>
      </c>
      <c r="B1660" s="12">
        <f t="shared" si="259"/>
        <v>40090</v>
      </c>
      <c r="C1660" s="11" t="s">
        <v>370</v>
      </c>
      <c r="D1660" s="11" t="s">
        <v>49</v>
      </c>
    </row>
    <row r="1661">
      <c r="A1661" s="11">
        <v>1660.0</v>
      </c>
      <c r="B1661" s="12">
        <f t="shared" si="259"/>
        <v>40090</v>
      </c>
      <c r="C1661" s="11" t="s">
        <v>370</v>
      </c>
      <c r="D1661" s="11" t="s">
        <v>66</v>
      </c>
    </row>
    <row r="1662">
      <c r="A1662" s="11">
        <v>1661.0</v>
      </c>
      <c r="B1662" s="12">
        <f t="shared" si="259"/>
        <v>40090</v>
      </c>
      <c r="C1662" s="11" t="s">
        <v>1889</v>
      </c>
      <c r="D1662" s="11" t="s">
        <v>66</v>
      </c>
    </row>
    <row r="1663">
      <c r="A1663" s="11">
        <v>1662.0</v>
      </c>
      <c r="B1663" s="12">
        <f t="shared" si="259"/>
        <v>40090</v>
      </c>
      <c r="C1663" s="11" t="s">
        <v>763</v>
      </c>
      <c r="D1663" s="11" t="s">
        <v>28</v>
      </c>
    </row>
    <row r="1664">
      <c r="A1664" s="11">
        <v>1663.0</v>
      </c>
      <c r="B1664" s="12">
        <f t="shared" si="259"/>
        <v>40090</v>
      </c>
      <c r="C1664" s="11" t="s">
        <v>1684</v>
      </c>
      <c r="D1664" s="11" t="s">
        <v>28</v>
      </c>
    </row>
    <row r="1665">
      <c r="A1665" s="11">
        <v>1664.0</v>
      </c>
      <c r="B1665" s="12">
        <f t="shared" si="259"/>
        <v>40090</v>
      </c>
      <c r="C1665" s="11" t="s">
        <v>1684</v>
      </c>
      <c r="D1665" s="11" t="s">
        <v>49</v>
      </c>
    </row>
    <row r="1666">
      <c r="A1666" s="11">
        <v>1665.0</v>
      </c>
      <c r="B1666" s="12">
        <f t="shared" si="259"/>
        <v>40090</v>
      </c>
      <c r="C1666" s="11" t="s">
        <v>1017</v>
      </c>
      <c r="D1666" s="11" t="s">
        <v>49</v>
      </c>
    </row>
    <row r="1667">
      <c r="A1667" s="11">
        <v>1666.0</v>
      </c>
      <c r="B1667" s="12">
        <f t="shared" si="259"/>
        <v>40090</v>
      </c>
      <c r="C1667" s="11" t="s">
        <v>1017</v>
      </c>
      <c r="D1667" s="11" t="s">
        <v>66</v>
      </c>
    </row>
    <row r="1668">
      <c r="A1668" s="11">
        <v>1667.0</v>
      </c>
      <c r="B1668" s="12">
        <f t="shared" si="259"/>
        <v>40090</v>
      </c>
      <c r="C1668" s="11" t="s">
        <v>1731</v>
      </c>
      <c r="D1668" s="11" t="s">
        <v>28</v>
      </c>
    </row>
    <row r="1669">
      <c r="A1669" s="11">
        <v>1668.0</v>
      </c>
      <c r="B1669" s="12">
        <f t="shared" si="259"/>
        <v>40090</v>
      </c>
      <c r="C1669" s="11" t="s">
        <v>1731</v>
      </c>
      <c r="D1669" s="11" t="s">
        <v>49</v>
      </c>
    </row>
    <row r="1670">
      <c r="A1670" s="11">
        <v>1669.0</v>
      </c>
      <c r="B1670" s="12">
        <f t="shared" si="259"/>
        <v>40090</v>
      </c>
      <c r="C1670" s="11" t="s">
        <v>1731</v>
      </c>
      <c r="D1670" s="11" t="s">
        <v>49</v>
      </c>
    </row>
    <row r="1671">
      <c r="A1671" s="11">
        <v>1670.0</v>
      </c>
      <c r="B1671" s="12">
        <f t="shared" ref="B1671:B1675" si="260">DATE(2012,12,31)-1183</f>
        <v>40091</v>
      </c>
      <c r="C1671" s="11" t="s">
        <v>1896</v>
      </c>
      <c r="D1671" s="11" t="s">
        <v>49</v>
      </c>
    </row>
    <row r="1672">
      <c r="A1672" s="11">
        <v>1671.0</v>
      </c>
      <c r="B1672" s="12">
        <f t="shared" si="260"/>
        <v>40091</v>
      </c>
      <c r="C1672" s="11" t="s">
        <v>1896</v>
      </c>
      <c r="D1672" s="11" t="s">
        <v>28</v>
      </c>
    </row>
    <row r="1673">
      <c r="A1673" s="11">
        <v>1672.0</v>
      </c>
      <c r="B1673" s="12">
        <f t="shared" si="260"/>
        <v>40091</v>
      </c>
      <c r="C1673" s="11" t="s">
        <v>1851</v>
      </c>
      <c r="D1673" s="11" t="s">
        <v>66</v>
      </c>
    </row>
    <row r="1674">
      <c r="A1674" s="11">
        <v>1673.0</v>
      </c>
      <c r="B1674" s="12">
        <f t="shared" si="260"/>
        <v>40091</v>
      </c>
      <c r="C1674" s="11" t="s">
        <v>1851</v>
      </c>
      <c r="D1674" s="11" t="s">
        <v>66</v>
      </c>
    </row>
    <row r="1675">
      <c r="A1675" s="11">
        <v>1674.0</v>
      </c>
      <c r="B1675" s="12">
        <f t="shared" si="260"/>
        <v>40091</v>
      </c>
      <c r="C1675" s="11" t="s">
        <v>1901</v>
      </c>
      <c r="D1675" s="11" t="s">
        <v>49</v>
      </c>
    </row>
    <row r="1676">
      <c r="A1676" s="11">
        <v>1675.0</v>
      </c>
      <c r="B1676" s="12">
        <f t="shared" ref="B1676:B1678" si="261">DATE(2012,12,31)-1182</f>
        <v>40092</v>
      </c>
      <c r="C1676" s="11" t="s">
        <v>1903</v>
      </c>
      <c r="D1676" s="11" t="s">
        <v>28</v>
      </c>
    </row>
    <row r="1677">
      <c r="A1677" s="11">
        <v>1676.0</v>
      </c>
      <c r="B1677" s="12">
        <f t="shared" si="261"/>
        <v>40092</v>
      </c>
      <c r="C1677" s="11" t="s">
        <v>1886</v>
      </c>
      <c r="D1677" s="11" t="s">
        <v>28</v>
      </c>
    </row>
    <row r="1678">
      <c r="A1678" s="11">
        <v>1677.0</v>
      </c>
      <c r="B1678" s="12">
        <f t="shared" si="261"/>
        <v>40092</v>
      </c>
      <c r="C1678" s="11" t="s">
        <v>1886</v>
      </c>
      <c r="D1678" s="11" t="s">
        <v>66</v>
      </c>
    </row>
    <row r="1679">
      <c r="A1679" s="11">
        <v>1678.0</v>
      </c>
      <c r="B1679" s="12">
        <f t="shared" ref="B1679:B1688" si="262">DATE(2012,12,31)-1181</f>
        <v>40093</v>
      </c>
      <c r="C1679" s="11" t="s">
        <v>1353</v>
      </c>
      <c r="D1679" s="11" t="s">
        <v>66</v>
      </c>
    </row>
    <row r="1680">
      <c r="A1680" s="11">
        <v>1679.0</v>
      </c>
      <c r="B1680" s="12">
        <f t="shared" si="262"/>
        <v>40093</v>
      </c>
      <c r="C1680" s="11" t="s">
        <v>1353</v>
      </c>
      <c r="D1680" s="11" t="s">
        <v>66</v>
      </c>
    </row>
    <row r="1681">
      <c r="A1681" s="11">
        <v>1680.0</v>
      </c>
      <c r="B1681" s="12">
        <f t="shared" si="262"/>
        <v>40093</v>
      </c>
      <c r="C1681" s="11" t="s">
        <v>1353</v>
      </c>
      <c r="D1681" s="11" t="s">
        <v>28</v>
      </c>
    </row>
    <row r="1682">
      <c r="A1682" s="11">
        <v>1681.0</v>
      </c>
      <c r="B1682" s="12">
        <f t="shared" si="262"/>
        <v>40093</v>
      </c>
      <c r="C1682" s="11" t="s">
        <v>1906</v>
      </c>
      <c r="D1682" s="11" t="s">
        <v>66</v>
      </c>
    </row>
    <row r="1683">
      <c r="A1683" s="11">
        <v>1682.0</v>
      </c>
      <c r="B1683" s="12">
        <f t="shared" si="262"/>
        <v>40093</v>
      </c>
      <c r="C1683" s="11" t="s">
        <v>1906</v>
      </c>
      <c r="D1683" s="11" t="s">
        <v>66</v>
      </c>
    </row>
    <row r="1684">
      <c r="A1684" s="11">
        <v>1683.0</v>
      </c>
      <c r="B1684" s="12">
        <f t="shared" si="262"/>
        <v>40093</v>
      </c>
      <c r="C1684" s="11" t="s">
        <v>1907</v>
      </c>
      <c r="D1684" s="11" t="s">
        <v>49</v>
      </c>
    </row>
    <row r="1685">
      <c r="A1685" s="11">
        <v>1684.0</v>
      </c>
      <c r="B1685" s="12">
        <f t="shared" si="262"/>
        <v>40093</v>
      </c>
      <c r="C1685" s="11" t="s">
        <v>1907</v>
      </c>
      <c r="D1685" s="11" t="s">
        <v>66</v>
      </c>
    </row>
    <row r="1686">
      <c r="A1686" s="11">
        <v>1685.0</v>
      </c>
      <c r="B1686" s="12">
        <f t="shared" si="262"/>
        <v>40093</v>
      </c>
      <c r="C1686" s="11" t="s">
        <v>271</v>
      </c>
      <c r="D1686" s="11" t="s">
        <v>28</v>
      </c>
    </row>
    <row r="1687">
      <c r="A1687" s="11">
        <v>1686.0</v>
      </c>
      <c r="B1687" s="12">
        <f t="shared" si="262"/>
        <v>40093</v>
      </c>
      <c r="C1687" s="11" t="s">
        <v>271</v>
      </c>
      <c r="D1687" s="11" t="s">
        <v>49</v>
      </c>
    </row>
    <row r="1688">
      <c r="A1688" s="11">
        <v>1687.0</v>
      </c>
      <c r="B1688" s="12">
        <f t="shared" si="262"/>
        <v>40093</v>
      </c>
      <c r="C1688" s="11" t="s">
        <v>271</v>
      </c>
      <c r="D1688" s="11" t="s">
        <v>28</v>
      </c>
    </row>
    <row r="1689">
      <c r="A1689" s="11">
        <v>1688.0</v>
      </c>
      <c r="B1689" s="12">
        <f t="shared" ref="B1689:B1695" si="263">DATE(2012,12,31)-1180</f>
        <v>40094</v>
      </c>
      <c r="C1689" s="11" t="s">
        <v>803</v>
      </c>
      <c r="D1689" s="11" t="s">
        <v>49</v>
      </c>
    </row>
    <row r="1690">
      <c r="A1690" s="11">
        <v>1689.0</v>
      </c>
      <c r="B1690" s="12">
        <f t="shared" si="263"/>
        <v>40094</v>
      </c>
      <c r="C1690" s="11" t="s">
        <v>1784</v>
      </c>
      <c r="D1690" s="11" t="s">
        <v>66</v>
      </c>
    </row>
    <row r="1691">
      <c r="A1691" s="11">
        <v>1690.0</v>
      </c>
      <c r="B1691" s="12">
        <f t="shared" si="263"/>
        <v>40094</v>
      </c>
      <c r="C1691" s="11" t="s">
        <v>1152</v>
      </c>
      <c r="D1691" s="11" t="s">
        <v>28</v>
      </c>
    </row>
    <row r="1692">
      <c r="A1692" s="11">
        <v>1691.0</v>
      </c>
      <c r="B1692" s="12">
        <f t="shared" si="263"/>
        <v>40094</v>
      </c>
      <c r="C1692" s="11" t="s">
        <v>940</v>
      </c>
      <c r="D1692" s="11" t="s">
        <v>28</v>
      </c>
    </row>
    <row r="1693">
      <c r="A1693" s="11">
        <v>1692.0</v>
      </c>
      <c r="B1693" s="12">
        <f t="shared" si="263"/>
        <v>40094</v>
      </c>
      <c r="C1693" s="11" t="s">
        <v>940</v>
      </c>
      <c r="D1693" s="11" t="s">
        <v>49</v>
      </c>
    </row>
    <row r="1694">
      <c r="A1694" s="11">
        <v>1693.0</v>
      </c>
      <c r="B1694" s="12">
        <f t="shared" si="263"/>
        <v>40094</v>
      </c>
      <c r="C1694" s="11" t="s">
        <v>781</v>
      </c>
      <c r="D1694" s="11" t="s">
        <v>28</v>
      </c>
    </row>
    <row r="1695">
      <c r="A1695" s="11">
        <v>1694.0</v>
      </c>
      <c r="B1695" s="12">
        <f t="shared" si="263"/>
        <v>40094</v>
      </c>
      <c r="C1695" s="11" t="s">
        <v>781</v>
      </c>
      <c r="D1695" s="11" t="s">
        <v>28</v>
      </c>
    </row>
    <row r="1696">
      <c r="A1696" s="11">
        <v>1695.0</v>
      </c>
      <c r="B1696" s="12">
        <f t="shared" ref="B1696:B1709" si="264">DATE(2012,12,31)-1179</f>
        <v>40095</v>
      </c>
      <c r="C1696" s="11" t="s">
        <v>504</v>
      </c>
      <c r="D1696" s="11" t="s">
        <v>28</v>
      </c>
    </row>
    <row r="1697">
      <c r="A1697" s="11">
        <v>1696.0</v>
      </c>
      <c r="B1697" s="12">
        <f t="shared" si="264"/>
        <v>40095</v>
      </c>
      <c r="C1697" s="11" t="s">
        <v>504</v>
      </c>
      <c r="D1697" s="11" t="s">
        <v>49</v>
      </c>
    </row>
    <row r="1698">
      <c r="A1698" s="11">
        <v>1697.0</v>
      </c>
      <c r="B1698" s="12">
        <f t="shared" si="264"/>
        <v>40095</v>
      </c>
      <c r="C1698" s="11" t="s">
        <v>504</v>
      </c>
      <c r="D1698" s="11" t="s">
        <v>28</v>
      </c>
    </row>
    <row r="1699">
      <c r="A1699" s="11">
        <v>1698.0</v>
      </c>
      <c r="B1699" s="12">
        <f t="shared" si="264"/>
        <v>40095</v>
      </c>
      <c r="C1699" s="11" t="s">
        <v>1915</v>
      </c>
      <c r="D1699" s="11" t="s">
        <v>28</v>
      </c>
    </row>
    <row r="1700">
      <c r="A1700" s="11">
        <v>1699.0</v>
      </c>
      <c r="B1700" s="12">
        <f t="shared" si="264"/>
        <v>40095</v>
      </c>
      <c r="C1700" s="11" t="s">
        <v>1915</v>
      </c>
      <c r="D1700" s="11" t="s">
        <v>28</v>
      </c>
    </row>
    <row r="1701">
      <c r="A1701" s="11">
        <v>1700.0</v>
      </c>
      <c r="B1701" s="12">
        <f t="shared" si="264"/>
        <v>40095</v>
      </c>
      <c r="C1701" s="11" t="s">
        <v>617</v>
      </c>
      <c r="D1701" s="11" t="s">
        <v>28</v>
      </c>
    </row>
    <row r="1702">
      <c r="A1702" s="11">
        <v>1701.0</v>
      </c>
      <c r="B1702" s="12">
        <f t="shared" si="264"/>
        <v>40095</v>
      </c>
      <c r="C1702" s="11" t="s">
        <v>617</v>
      </c>
      <c r="D1702" s="11" t="s">
        <v>28</v>
      </c>
    </row>
    <row r="1703">
      <c r="A1703" s="11">
        <v>1702.0</v>
      </c>
      <c r="B1703" s="12">
        <f t="shared" si="264"/>
        <v>40095</v>
      </c>
      <c r="C1703" s="11" t="s">
        <v>1704</v>
      </c>
      <c r="D1703" s="11" t="s">
        <v>28</v>
      </c>
    </row>
    <row r="1704">
      <c r="A1704" s="11">
        <v>1703.0</v>
      </c>
      <c r="B1704" s="12">
        <f t="shared" si="264"/>
        <v>40095</v>
      </c>
      <c r="C1704" s="11" t="s">
        <v>1704</v>
      </c>
      <c r="D1704" s="11" t="s">
        <v>66</v>
      </c>
    </row>
    <row r="1705">
      <c r="A1705" s="11">
        <v>1704.0</v>
      </c>
      <c r="B1705" s="12">
        <f t="shared" si="264"/>
        <v>40095</v>
      </c>
      <c r="C1705" s="11" t="s">
        <v>1704</v>
      </c>
      <c r="D1705" s="11" t="s">
        <v>66</v>
      </c>
    </row>
    <row r="1706">
      <c r="A1706" s="11">
        <v>1705.0</v>
      </c>
      <c r="B1706" s="12">
        <f t="shared" si="264"/>
        <v>40095</v>
      </c>
      <c r="C1706" s="11" t="s">
        <v>1917</v>
      </c>
      <c r="D1706" s="11" t="s">
        <v>28</v>
      </c>
    </row>
    <row r="1707">
      <c r="A1707" s="11">
        <v>1706.0</v>
      </c>
      <c r="B1707" s="12">
        <f t="shared" si="264"/>
        <v>40095</v>
      </c>
      <c r="C1707" s="11" t="s">
        <v>1917</v>
      </c>
      <c r="D1707" s="11" t="s">
        <v>66</v>
      </c>
    </row>
    <row r="1708">
      <c r="A1708" s="11">
        <v>1707.0</v>
      </c>
      <c r="B1708" s="12">
        <f t="shared" si="264"/>
        <v>40095</v>
      </c>
      <c r="C1708" s="11" t="s">
        <v>317</v>
      </c>
      <c r="D1708" s="11" t="s">
        <v>66</v>
      </c>
    </row>
    <row r="1709">
      <c r="A1709" s="11">
        <v>1708.0</v>
      </c>
      <c r="B1709" s="12">
        <f t="shared" si="264"/>
        <v>40095</v>
      </c>
      <c r="C1709" s="11" t="s">
        <v>317</v>
      </c>
      <c r="D1709" s="11" t="s">
        <v>28</v>
      </c>
    </row>
    <row r="1710">
      <c r="A1710" s="11">
        <v>1709.0</v>
      </c>
      <c r="B1710" s="12">
        <f t="shared" ref="B1710:B1714" si="265">DATE(2012,12,31)-1178</f>
        <v>40096</v>
      </c>
      <c r="C1710" s="11" t="s">
        <v>898</v>
      </c>
      <c r="D1710" s="11" t="s">
        <v>28</v>
      </c>
    </row>
    <row r="1711">
      <c r="A1711" s="11">
        <v>1710.0</v>
      </c>
      <c r="B1711" s="12">
        <f t="shared" si="265"/>
        <v>40096</v>
      </c>
      <c r="C1711" s="11" t="s">
        <v>340</v>
      </c>
      <c r="D1711" s="11" t="s">
        <v>28</v>
      </c>
    </row>
    <row r="1712">
      <c r="A1712" s="11">
        <v>1711.0</v>
      </c>
      <c r="B1712" s="12">
        <f t="shared" si="265"/>
        <v>40096</v>
      </c>
      <c r="C1712" s="11" t="s">
        <v>665</v>
      </c>
      <c r="D1712" s="11" t="s">
        <v>49</v>
      </c>
    </row>
    <row r="1713">
      <c r="A1713" s="11">
        <v>1712.0</v>
      </c>
      <c r="B1713" s="12">
        <f t="shared" si="265"/>
        <v>40096</v>
      </c>
      <c r="C1713" s="11" t="s">
        <v>665</v>
      </c>
      <c r="D1713" s="11" t="s">
        <v>28</v>
      </c>
    </row>
    <row r="1714">
      <c r="A1714" s="11">
        <v>1713.0</v>
      </c>
      <c r="B1714" s="12">
        <f t="shared" si="265"/>
        <v>40096</v>
      </c>
      <c r="C1714" s="11" t="s">
        <v>665</v>
      </c>
      <c r="D1714" s="11" t="s">
        <v>66</v>
      </c>
    </row>
    <row r="1715">
      <c r="A1715" s="11">
        <v>1714.0</v>
      </c>
      <c r="B1715" s="12">
        <f t="shared" ref="B1715:B1719" si="266">DATE(2012,12,31)-1177</f>
        <v>40097</v>
      </c>
      <c r="C1715" s="11" t="s">
        <v>1921</v>
      </c>
      <c r="D1715" s="11" t="s">
        <v>49</v>
      </c>
    </row>
    <row r="1716">
      <c r="A1716" s="11">
        <v>1715.0</v>
      </c>
      <c r="B1716" s="12">
        <f t="shared" si="266"/>
        <v>40097</v>
      </c>
      <c r="C1716" s="11" t="s">
        <v>882</v>
      </c>
      <c r="D1716" s="11" t="s">
        <v>28</v>
      </c>
    </row>
    <row r="1717">
      <c r="A1717" s="11">
        <v>1716.0</v>
      </c>
      <c r="B1717" s="12">
        <f t="shared" si="266"/>
        <v>40097</v>
      </c>
      <c r="C1717" s="11" t="s">
        <v>882</v>
      </c>
      <c r="D1717" s="11" t="s">
        <v>28</v>
      </c>
    </row>
    <row r="1718">
      <c r="A1718" s="11">
        <v>1717.0</v>
      </c>
      <c r="B1718" s="12">
        <f t="shared" si="266"/>
        <v>40097</v>
      </c>
      <c r="C1718" s="11" t="s">
        <v>1513</v>
      </c>
      <c r="D1718" s="11" t="s">
        <v>28</v>
      </c>
    </row>
    <row r="1719">
      <c r="A1719" s="11">
        <v>1718.0</v>
      </c>
      <c r="B1719" s="12">
        <f t="shared" si="266"/>
        <v>40097</v>
      </c>
      <c r="C1719" s="11" t="s">
        <v>1385</v>
      </c>
      <c r="D1719" s="11" t="s">
        <v>49</v>
      </c>
    </row>
    <row r="1720">
      <c r="A1720" s="11">
        <v>1719.0</v>
      </c>
      <c r="B1720" s="12">
        <f t="shared" ref="B1720:B1721" si="267">DATE(2012,12,31)-1176</f>
        <v>40098</v>
      </c>
      <c r="C1720" s="11" t="s">
        <v>1845</v>
      </c>
      <c r="D1720" s="11" t="s">
        <v>28</v>
      </c>
    </row>
    <row r="1721">
      <c r="A1721" s="11">
        <v>1720.0</v>
      </c>
      <c r="B1721" s="12">
        <f t="shared" si="267"/>
        <v>40098</v>
      </c>
      <c r="C1721" s="11" t="s">
        <v>1425</v>
      </c>
      <c r="D1721" s="11" t="s">
        <v>66</v>
      </c>
    </row>
    <row r="1722">
      <c r="A1722" s="11">
        <v>1721.0</v>
      </c>
      <c r="B1722" s="12">
        <f t="shared" ref="B1722:B1727" si="268">DATE(2012,12,31)-1175</f>
        <v>40099</v>
      </c>
      <c r="C1722" s="11" t="s">
        <v>769</v>
      </c>
      <c r="D1722" s="11" t="s">
        <v>49</v>
      </c>
    </row>
    <row r="1723">
      <c r="A1723" s="11">
        <v>1722.0</v>
      </c>
      <c r="B1723" s="12">
        <f t="shared" si="268"/>
        <v>40099</v>
      </c>
      <c r="C1723" s="11" t="s">
        <v>88</v>
      </c>
      <c r="D1723" s="11" t="s">
        <v>28</v>
      </c>
    </row>
    <row r="1724">
      <c r="A1724" s="11">
        <v>1723.0</v>
      </c>
      <c r="B1724" s="12">
        <f t="shared" si="268"/>
        <v>40099</v>
      </c>
      <c r="C1724" s="11" t="s">
        <v>895</v>
      </c>
      <c r="D1724" s="11" t="s">
        <v>66</v>
      </c>
    </row>
    <row r="1725">
      <c r="A1725" s="11">
        <v>1724.0</v>
      </c>
      <c r="B1725" s="12">
        <f t="shared" si="268"/>
        <v>40099</v>
      </c>
      <c r="C1725" s="11" t="s">
        <v>895</v>
      </c>
      <c r="D1725" s="11" t="s">
        <v>66</v>
      </c>
    </row>
    <row r="1726">
      <c r="A1726" s="11">
        <v>1725.0</v>
      </c>
      <c r="B1726" s="12">
        <f t="shared" si="268"/>
        <v>40099</v>
      </c>
      <c r="C1726" s="11" t="s">
        <v>1648</v>
      </c>
      <c r="D1726" s="11" t="s">
        <v>49</v>
      </c>
    </row>
    <row r="1727">
      <c r="A1727" s="11">
        <v>1726.0</v>
      </c>
      <c r="B1727" s="12">
        <f t="shared" si="268"/>
        <v>40099</v>
      </c>
      <c r="C1727" s="11" t="s">
        <v>857</v>
      </c>
      <c r="D1727" s="11" t="s">
        <v>49</v>
      </c>
    </row>
    <row r="1728">
      <c r="A1728" s="11">
        <v>1727.0</v>
      </c>
      <c r="B1728" s="12">
        <f t="shared" ref="B1728:B1736" si="269">DATE(2012,12,31)-1173</f>
        <v>40101</v>
      </c>
      <c r="C1728" s="11" t="s">
        <v>488</v>
      </c>
      <c r="D1728" s="11" t="s">
        <v>28</v>
      </c>
    </row>
    <row r="1729">
      <c r="A1729" s="11">
        <v>1728.0</v>
      </c>
      <c r="B1729" s="12">
        <f t="shared" si="269"/>
        <v>40101</v>
      </c>
      <c r="C1729" s="11" t="s">
        <v>317</v>
      </c>
      <c r="D1729" s="11" t="s">
        <v>28</v>
      </c>
    </row>
    <row r="1730">
      <c r="A1730" s="11">
        <v>1729.0</v>
      </c>
      <c r="B1730" s="12">
        <f t="shared" si="269"/>
        <v>40101</v>
      </c>
      <c r="C1730" s="11" t="s">
        <v>155</v>
      </c>
      <c r="D1730" s="11" t="s">
        <v>49</v>
      </c>
    </row>
    <row r="1731">
      <c r="A1731" s="11">
        <v>1730.0</v>
      </c>
      <c r="B1731" s="12">
        <f t="shared" si="269"/>
        <v>40101</v>
      </c>
      <c r="C1731" s="11" t="s">
        <v>1685</v>
      </c>
      <c r="D1731" s="11" t="s">
        <v>49</v>
      </c>
    </row>
    <row r="1732">
      <c r="A1732" s="11">
        <v>1731.0</v>
      </c>
      <c r="B1732" s="12">
        <f t="shared" si="269"/>
        <v>40101</v>
      </c>
      <c r="C1732" s="11" t="s">
        <v>1685</v>
      </c>
      <c r="D1732" s="11" t="s">
        <v>66</v>
      </c>
    </row>
    <row r="1733">
      <c r="A1733" s="11">
        <v>1732.0</v>
      </c>
      <c r="B1733" s="12">
        <f t="shared" si="269"/>
        <v>40101</v>
      </c>
      <c r="C1733" s="11" t="s">
        <v>1685</v>
      </c>
      <c r="D1733" s="11" t="s">
        <v>28</v>
      </c>
    </row>
    <row r="1734">
      <c r="A1734" s="11">
        <v>1733.0</v>
      </c>
      <c r="B1734" s="12">
        <f t="shared" si="269"/>
        <v>40101</v>
      </c>
      <c r="C1734" s="11" t="s">
        <v>1685</v>
      </c>
      <c r="D1734" s="11" t="s">
        <v>66</v>
      </c>
    </row>
    <row r="1735">
      <c r="A1735" s="11">
        <v>1734.0</v>
      </c>
      <c r="B1735" s="12">
        <f t="shared" si="269"/>
        <v>40101</v>
      </c>
      <c r="C1735" s="11" t="s">
        <v>1725</v>
      </c>
      <c r="D1735" s="11" t="s">
        <v>28</v>
      </c>
    </row>
    <row r="1736">
      <c r="A1736" s="11">
        <v>1735.0</v>
      </c>
      <c r="B1736" s="12">
        <f t="shared" si="269"/>
        <v>40101</v>
      </c>
      <c r="C1736" s="11" t="s">
        <v>1929</v>
      </c>
      <c r="D1736" s="11" t="s">
        <v>28</v>
      </c>
    </row>
    <row r="1737">
      <c r="A1737" s="11">
        <v>1736.0</v>
      </c>
      <c r="B1737" s="12">
        <f t="shared" ref="B1737:B1741" si="270">DATE(2012,12,31)-1171</f>
        <v>40103</v>
      </c>
      <c r="C1737" s="11" t="s">
        <v>1930</v>
      </c>
      <c r="D1737" s="11" t="s">
        <v>28</v>
      </c>
    </row>
    <row r="1738">
      <c r="A1738" s="11">
        <v>1737.0</v>
      </c>
      <c r="B1738" s="12">
        <f t="shared" si="270"/>
        <v>40103</v>
      </c>
      <c r="C1738" s="11" t="s">
        <v>1901</v>
      </c>
      <c r="D1738" s="11" t="s">
        <v>28</v>
      </c>
    </row>
    <row r="1739">
      <c r="A1739" s="11">
        <v>1738.0</v>
      </c>
      <c r="B1739" s="12">
        <f t="shared" si="270"/>
        <v>40103</v>
      </c>
      <c r="C1739" s="11" t="s">
        <v>1650</v>
      </c>
      <c r="D1739" s="11" t="s">
        <v>49</v>
      </c>
    </row>
    <row r="1740">
      <c r="A1740" s="11">
        <v>1739.0</v>
      </c>
      <c r="B1740" s="12">
        <f t="shared" si="270"/>
        <v>40103</v>
      </c>
      <c r="C1740" s="11" t="s">
        <v>1934</v>
      </c>
      <c r="D1740" s="11" t="s">
        <v>28</v>
      </c>
    </row>
    <row r="1741">
      <c r="A1741" s="11">
        <v>1740.0</v>
      </c>
      <c r="B1741" s="12">
        <f t="shared" si="270"/>
        <v>40103</v>
      </c>
      <c r="C1741" s="11" t="s">
        <v>1934</v>
      </c>
      <c r="D1741" s="11" t="s">
        <v>66</v>
      </c>
    </row>
    <row r="1742">
      <c r="A1742" s="11">
        <v>1741.0</v>
      </c>
      <c r="B1742" s="12">
        <f t="shared" ref="B1742:B1748" si="271">DATE(2012,12,31)-1170</f>
        <v>40104</v>
      </c>
      <c r="C1742" s="11" t="s">
        <v>724</v>
      </c>
      <c r="D1742" s="11" t="s">
        <v>28</v>
      </c>
    </row>
    <row r="1743">
      <c r="A1743" s="11">
        <v>1742.0</v>
      </c>
      <c r="B1743" s="12">
        <f t="shared" si="271"/>
        <v>40104</v>
      </c>
      <c r="C1743" s="11" t="s">
        <v>724</v>
      </c>
      <c r="D1743" s="11" t="s">
        <v>66</v>
      </c>
    </row>
    <row r="1744">
      <c r="A1744" s="11">
        <v>1743.0</v>
      </c>
      <c r="B1744" s="12">
        <f t="shared" si="271"/>
        <v>40104</v>
      </c>
      <c r="C1744" s="11" t="s">
        <v>724</v>
      </c>
      <c r="D1744" s="11" t="s">
        <v>49</v>
      </c>
    </row>
    <row r="1745">
      <c r="A1745" s="11">
        <v>1744.0</v>
      </c>
      <c r="B1745" s="12">
        <f t="shared" si="271"/>
        <v>40104</v>
      </c>
      <c r="C1745" s="11" t="s">
        <v>426</v>
      </c>
      <c r="D1745" s="11" t="s">
        <v>28</v>
      </c>
    </row>
    <row r="1746">
      <c r="A1746" s="11">
        <v>1745.0</v>
      </c>
      <c r="B1746" s="12">
        <f t="shared" si="271"/>
        <v>40104</v>
      </c>
      <c r="C1746" s="11" t="s">
        <v>426</v>
      </c>
      <c r="D1746" s="11" t="s">
        <v>28</v>
      </c>
    </row>
    <row r="1747">
      <c r="A1747" s="11">
        <v>1746.0</v>
      </c>
      <c r="B1747" s="12">
        <f t="shared" si="271"/>
        <v>40104</v>
      </c>
      <c r="C1747" s="11" t="s">
        <v>426</v>
      </c>
      <c r="D1747" s="11" t="s">
        <v>28</v>
      </c>
    </row>
    <row r="1748">
      <c r="A1748" s="11">
        <v>1747.0</v>
      </c>
      <c r="B1748" s="12">
        <f t="shared" si="271"/>
        <v>40104</v>
      </c>
      <c r="C1748" s="11" t="s">
        <v>603</v>
      </c>
      <c r="D1748" s="11" t="s">
        <v>49</v>
      </c>
    </row>
    <row r="1749">
      <c r="A1749" s="11">
        <v>1748.0</v>
      </c>
      <c r="B1749" s="12">
        <f t="shared" ref="B1749:B1754" si="272">DATE(2012,12,31)-1169</f>
        <v>40105</v>
      </c>
      <c r="C1749" s="11" t="s">
        <v>392</v>
      </c>
      <c r="D1749" s="11" t="s">
        <v>66</v>
      </c>
    </row>
    <row r="1750">
      <c r="A1750" s="11">
        <v>1749.0</v>
      </c>
      <c r="B1750" s="12">
        <f t="shared" si="272"/>
        <v>40105</v>
      </c>
      <c r="C1750" s="11" t="s">
        <v>1876</v>
      </c>
      <c r="D1750" s="11" t="s">
        <v>66</v>
      </c>
    </row>
    <row r="1751">
      <c r="A1751" s="11">
        <v>1750.0</v>
      </c>
      <c r="B1751" s="12">
        <f t="shared" si="272"/>
        <v>40105</v>
      </c>
      <c r="C1751" s="11" t="s">
        <v>1876</v>
      </c>
      <c r="D1751" s="11" t="s">
        <v>28</v>
      </c>
    </row>
    <row r="1752">
      <c r="A1752" s="11">
        <v>1751.0</v>
      </c>
      <c r="B1752" s="12">
        <f t="shared" si="272"/>
        <v>40105</v>
      </c>
      <c r="C1752" s="11" t="s">
        <v>982</v>
      </c>
      <c r="D1752" s="11" t="s">
        <v>28</v>
      </c>
    </row>
    <row r="1753">
      <c r="A1753" s="11">
        <v>1752.0</v>
      </c>
      <c r="B1753" s="12">
        <f t="shared" si="272"/>
        <v>40105</v>
      </c>
      <c r="C1753" s="11" t="s">
        <v>982</v>
      </c>
      <c r="D1753" s="11" t="s">
        <v>28</v>
      </c>
    </row>
    <row r="1754">
      <c r="A1754" s="11">
        <v>1753.0</v>
      </c>
      <c r="B1754" s="12">
        <f t="shared" si="272"/>
        <v>40105</v>
      </c>
      <c r="C1754" s="11" t="s">
        <v>839</v>
      </c>
      <c r="D1754" s="11" t="s">
        <v>28</v>
      </c>
    </row>
    <row r="1755">
      <c r="A1755" s="11">
        <v>1754.0</v>
      </c>
      <c r="B1755" s="12">
        <f t="shared" ref="B1755:B1764" si="273">DATE(2012,12,31)-1168</f>
        <v>40106</v>
      </c>
      <c r="C1755" s="11" t="s">
        <v>1935</v>
      </c>
      <c r="D1755" s="11" t="s">
        <v>66</v>
      </c>
    </row>
    <row r="1756">
      <c r="A1756" s="11">
        <v>1755.0</v>
      </c>
      <c r="B1756" s="12">
        <f t="shared" si="273"/>
        <v>40106</v>
      </c>
      <c r="C1756" s="11" t="s">
        <v>1936</v>
      </c>
      <c r="D1756" s="11" t="s">
        <v>49</v>
      </c>
    </row>
    <row r="1757">
      <c r="A1757" s="11">
        <v>1756.0</v>
      </c>
      <c r="B1757" s="12">
        <f t="shared" si="273"/>
        <v>40106</v>
      </c>
      <c r="C1757" s="11" t="s">
        <v>1936</v>
      </c>
      <c r="D1757" s="11" t="s">
        <v>66</v>
      </c>
    </row>
    <row r="1758">
      <c r="A1758" s="11">
        <v>1757.0</v>
      </c>
      <c r="B1758" s="12">
        <f t="shared" si="273"/>
        <v>40106</v>
      </c>
      <c r="C1758" s="11" t="s">
        <v>1938</v>
      </c>
      <c r="D1758" s="11" t="s">
        <v>28</v>
      </c>
    </row>
    <row r="1759">
      <c r="A1759" s="11">
        <v>1758.0</v>
      </c>
      <c r="B1759" s="12">
        <f t="shared" si="273"/>
        <v>40106</v>
      </c>
      <c r="C1759" s="11" t="s">
        <v>1938</v>
      </c>
      <c r="D1759" s="11" t="s">
        <v>28</v>
      </c>
    </row>
    <row r="1760">
      <c r="A1760" s="11">
        <v>1759.0</v>
      </c>
      <c r="B1760" s="12">
        <f t="shared" si="273"/>
        <v>40106</v>
      </c>
      <c r="C1760" s="11" t="s">
        <v>953</v>
      </c>
      <c r="D1760" s="11" t="s">
        <v>28</v>
      </c>
    </row>
    <row r="1761">
      <c r="A1761" s="11">
        <v>1760.0</v>
      </c>
      <c r="B1761" s="12">
        <f t="shared" si="273"/>
        <v>40106</v>
      </c>
      <c r="C1761" s="11" t="s">
        <v>953</v>
      </c>
      <c r="D1761" s="11" t="s">
        <v>49</v>
      </c>
    </row>
    <row r="1762">
      <c r="A1762" s="11">
        <v>1761.0</v>
      </c>
      <c r="B1762" s="12">
        <f t="shared" si="273"/>
        <v>40106</v>
      </c>
      <c r="C1762" s="11" t="s">
        <v>953</v>
      </c>
      <c r="D1762" s="11" t="s">
        <v>49</v>
      </c>
    </row>
    <row r="1763">
      <c r="A1763" s="11">
        <v>1762.0</v>
      </c>
      <c r="B1763" s="12">
        <f t="shared" si="273"/>
        <v>40106</v>
      </c>
      <c r="C1763" s="11" t="s">
        <v>1939</v>
      </c>
      <c r="D1763" s="11" t="s">
        <v>49</v>
      </c>
    </row>
    <row r="1764">
      <c r="A1764" s="11">
        <v>1763.0</v>
      </c>
      <c r="B1764" s="12">
        <f t="shared" si="273"/>
        <v>40106</v>
      </c>
      <c r="C1764" s="11" t="s">
        <v>1939</v>
      </c>
      <c r="D1764" s="11" t="s">
        <v>66</v>
      </c>
    </row>
    <row r="1765">
      <c r="A1765" s="11">
        <v>1764.0</v>
      </c>
      <c r="B1765" s="12">
        <f t="shared" ref="B1765:B1769" si="274">DATE(2012,12,31)-1167</f>
        <v>40107</v>
      </c>
      <c r="C1765" s="11" t="s">
        <v>1010</v>
      </c>
      <c r="D1765" s="11" t="s">
        <v>28</v>
      </c>
    </row>
    <row r="1766">
      <c r="A1766" s="11">
        <v>1765.0</v>
      </c>
      <c r="B1766" s="12">
        <f t="shared" si="274"/>
        <v>40107</v>
      </c>
      <c r="C1766" s="11" t="s">
        <v>1720</v>
      </c>
      <c r="D1766" s="11" t="s">
        <v>28</v>
      </c>
    </row>
    <row r="1767">
      <c r="A1767" s="11">
        <v>1766.0</v>
      </c>
      <c r="B1767" s="12">
        <f t="shared" si="274"/>
        <v>40107</v>
      </c>
      <c r="C1767" s="11" t="s">
        <v>1720</v>
      </c>
      <c r="D1767" s="11" t="s">
        <v>66</v>
      </c>
    </row>
    <row r="1768">
      <c r="A1768" s="11">
        <v>1767.0</v>
      </c>
      <c r="B1768" s="12">
        <f t="shared" si="274"/>
        <v>40107</v>
      </c>
      <c r="C1768" s="11" t="s">
        <v>1941</v>
      </c>
      <c r="D1768" s="11" t="s">
        <v>28</v>
      </c>
    </row>
    <row r="1769">
      <c r="A1769" s="11">
        <v>1768.0</v>
      </c>
      <c r="B1769" s="12">
        <f t="shared" si="274"/>
        <v>40107</v>
      </c>
      <c r="C1769" s="11" t="s">
        <v>1942</v>
      </c>
      <c r="D1769" s="11" t="s">
        <v>28</v>
      </c>
    </row>
    <row r="1770">
      <c r="A1770" s="11">
        <v>1769.0</v>
      </c>
      <c r="B1770" s="12">
        <f t="shared" ref="B1770:B1771" si="275">DATE(2012,12,31)-1166</f>
        <v>40108</v>
      </c>
      <c r="C1770" s="11" t="s">
        <v>1276</v>
      </c>
      <c r="D1770" s="11" t="s">
        <v>28</v>
      </c>
    </row>
    <row r="1771">
      <c r="A1771" s="11">
        <v>1770.0</v>
      </c>
      <c r="B1771" s="12">
        <f t="shared" si="275"/>
        <v>40108</v>
      </c>
      <c r="C1771" s="11" t="s">
        <v>1276</v>
      </c>
      <c r="D1771" s="11" t="s">
        <v>28</v>
      </c>
    </row>
    <row r="1772">
      <c r="A1772" s="11">
        <v>1771.0</v>
      </c>
      <c r="B1772" s="12">
        <f t="shared" ref="B1772:B1775" si="276">DATE(2012,12,31)-1165</f>
        <v>40109</v>
      </c>
      <c r="C1772" s="11" t="s">
        <v>1652</v>
      </c>
      <c r="D1772" s="11" t="s">
        <v>28</v>
      </c>
    </row>
    <row r="1773">
      <c r="A1773" s="11">
        <v>1772.0</v>
      </c>
      <c r="B1773" s="12">
        <f t="shared" si="276"/>
        <v>40109</v>
      </c>
      <c r="C1773" s="11" t="s">
        <v>1652</v>
      </c>
      <c r="D1773" s="11" t="s">
        <v>66</v>
      </c>
    </row>
    <row r="1774">
      <c r="A1774" s="11">
        <v>1773.0</v>
      </c>
      <c r="B1774" s="12">
        <f t="shared" si="276"/>
        <v>40109</v>
      </c>
      <c r="C1774" s="11" t="s">
        <v>326</v>
      </c>
      <c r="D1774" s="11" t="s">
        <v>49</v>
      </c>
    </row>
    <row r="1775">
      <c r="A1775" s="11">
        <v>1774.0</v>
      </c>
      <c r="B1775" s="12">
        <f t="shared" si="276"/>
        <v>40109</v>
      </c>
      <c r="C1775" s="11" t="s">
        <v>326</v>
      </c>
      <c r="D1775" s="11" t="s">
        <v>49</v>
      </c>
    </row>
    <row r="1776">
      <c r="A1776" s="11">
        <v>1775.0</v>
      </c>
      <c r="B1776" s="12">
        <f t="shared" ref="B1776:B1778" si="277">DATE(2012,12,31)-1164</f>
        <v>40110</v>
      </c>
      <c r="C1776" s="11" t="s">
        <v>1170</v>
      </c>
      <c r="D1776" s="11" t="s">
        <v>28</v>
      </c>
    </row>
    <row r="1777">
      <c r="A1777" s="11">
        <v>1776.0</v>
      </c>
      <c r="B1777" s="12">
        <f t="shared" si="277"/>
        <v>40110</v>
      </c>
      <c r="C1777" s="11" t="s">
        <v>636</v>
      </c>
      <c r="D1777" s="11" t="s">
        <v>28</v>
      </c>
    </row>
    <row r="1778">
      <c r="A1778" s="11">
        <v>1777.0</v>
      </c>
      <c r="B1778" s="12">
        <f t="shared" si="277"/>
        <v>40110</v>
      </c>
      <c r="C1778" s="11" t="s">
        <v>636</v>
      </c>
      <c r="D1778" s="11" t="s">
        <v>28</v>
      </c>
    </row>
    <row r="1779">
      <c r="A1779" s="11">
        <v>1778.0</v>
      </c>
      <c r="B1779" s="12">
        <f t="shared" ref="B1779:B1783" si="278">DATE(2012,12,31)-1163</f>
        <v>40111</v>
      </c>
      <c r="C1779" s="11" t="s">
        <v>953</v>
      </c>
      <c r="D1779" s="11" t="s">
        <v>28</v>
      </c>
    </row>
    <row r="1780">
      <c r="A1780" s="11">
        <v>1779.0</v>
      </c>
      <c r="B1780" s="12">
        <f t="shared" si="278"/>
        <v>40111</v>
      </c>
      <c r="C1780" s="11" t="s">
        <v>1948</v>
      </c>
      <c r="D1780" s="11" t="s">
        <v>28</v>
      </c>
    </row>
    <row r="1781">
      <c r="A1781" s="11">
        <v>1780.0</v>
      </c>
      <c r="B1781" s="12">
        <f t="shared" si="278"/>
        <v>40111</v>
      </c>
      <c r="C1781" s="11" t="s">
        <v>1948</v>
      </c>
      <c r="D1781" s="11" t="s">
        <v>49</v>
      </c>
    </row>
    <row r="1782">
      <c r="A1782" s="11">
        <v>1781.0</v>
      </c>
      <c r="B1782" s="12">
        <f t="shared" si="278"/>
        <v>40111</v>
      </c>
      <c r="C1782" s="11" t="s">
        <v>1948</v>
      </c>
      <c r="D1782" s="11" t="s">
        <v>49</v>
      </c>
    </row>
    <row r="1783">
      <c r="A1783" s="11">
        <v>1782.0</v>
      </c>
      <c r="B1783" s="12">
        <f t="shared" si="278"/>
        <v>40111</v>
      </c>
      <c r="C1783" s="11" t="s">
        <v>1948</v>
      </c>
      <c r="D1783" s="11" t="s">
        <v>49</v>
      </c>
    </row>
    <row r="1784">
      <c r="A1784" s="11">
        <v>1783.0</v>
      </c>
      <c r="B1784" s="12">
        <f>DATE(2012,12,31)-1162</f>
        <v>40112</v>
      </c>
      <c r="C1784" s="11" t="s">
        <v>873</v>
      </c>
      <c r="D1784" s="11" t="s">
        <v>28</v>
      </c>
    </row>
    <row r="1785">
      <c r="A1785" s="11">
        <v>1784.0</v>
      </c>
      <c r="B1785" s="12">
        <f t="shared" ref="B1785:B1787" si="279">DATE(2012,12,31)-1161</f>
        <v>40113</v>
      </c>
      <c r="C1785" s="11" t="s">
        <v>1950</v>
      </c>
      <c r="D1785" s="11" t="s">
        <v>28</v>
      </c>
    </row>
    <row r="1786">
      <c r="A1786" s="11">
        <v>1785.0</v>
      </c>
      <c r="B1786" s="12">
        <f t="shared" si="279"/>
        <v>40113</v>
      </c>
      <c r="C1786" s="11" t="s">
        <v>1950</v>
      </c>
      <c r="D1786" s="11" t="s">
        <v>28</v>
      </c>
    </row>
    <row r="1787">
      <c r="A1787" s="11">
        <v>1786.0</v>
      </c>
      <c r="B1787" s="12">
        <f t="shared" si="279"/>
        <v>40113</v>
      </c>
      <c r="C1787" s="11" t="s">
        <v>1951</v>
      </c>
      <c r="D1787" s="11" t="s">
        <v>66</v>
      </c>
    </row>
    <row r="1788">
      <c r="A1788" s="11">
        <v>1787.0</v>
      </c>
      <c r="B1788" s="12">
        <f t="shared" ref="B1788:B1794" si="280">DATE(2012,12,31)-1160</f>
        <v>40114</v>
      </c>
      <c r="C1788" s="11" t="s">
        <v>1390</v>
      </c>
      <c r="D1788" s="11" t="s">
        <v>28</v>
      </c>
    </row>
    <row r="1789">
      <c r="A1789" s="11">
        <v>1788.0</v>
      </c>
      <c r="B1789" s="12">
        <f t="shared" si="280"/>
        <v>40114</v>
      </c>
      <c r="C1789" s="11" t="s">
        <v>1390</v>
      </c>
      <c r="D1789" s="11" t="s">
        <v>66</v>
      </c>
    </row>
    <row r="1790">
      <c r="A1790" s="11">
        <v>1789.0</v>
      </c>
      <c r="B1790" s="12">
        <f t="shared" si="280"/>
        <v>40114</v>
      </c>
      <c r="C1790" s="11" t="s">
        <v>1390</v>
      </c>
      <c r="D1790" s="11" t="s">
        <v>28</v>
      </c>
    </row>
    <row r="1791">
      <c r="A1791" s="11">
        <v>1790.0</v>
      </c>
      <c r="B1791" s="12">
        <f t="shared" si="280"/>
        <v>40114</v>
      </c>
      <c r="C1791" s="11" t="s">
        <v>1655</v>
      </c>
      <c r="D1791" s="11" t="s">
        <v>28</v>
      </c>
    </row>
    <row r="1792">
      <c r="A1792" s="11">
        <v>1791.0</v>
      </c>
      <c r="B1792" s="12">
        <f t="shared" si="280"/>
        <v>40114</v>
      </c>
      <c r="C1792" s="11" t="s">
        <v>1655</v>
      </c>
      <c r="D1792" s="11" t="s">
        <v>28</v>
      </c>
    </row>
    <row r="1793">
      <c r="A1793" s="11">
        <v>1792.0</v>
      </c>
      <c r="B1793" s="12">
        <f t="shared" si="280"/>
        <v>40114</v>
      </c>
      <c r="C1793" s="11" t="s">
        <v>925</v>
      </c>
      <c r="D1793" s="11" t="s">
        <v>28</v>
      </c>
    </row>
    <row r="1794">
      <c r="A1794" s="11">
        <v>1793.0</v>
      </c>
      <c r="B1794" s="12">
        <f t="shared" si="280"/>
        <v>40114</v>
      </c>
      <c r="C1794" s="11" t="s">
        <v>82</v>
      </c>
      <c r="D1794" s="11" t="s">
        <v>28</v>
      </c>
    </row>
    <row r="1795">
      <c r="A1795" s="11">
        <v>1794.0</v>
      </c>
      <c r="B1795" s="12">
        <f t="shared" ref="B1795:B1803" si="281">DATE(2012,12,31)-1159</f>
        <v>40115</v>
      </c>
      <c r="C1795" s="11" t="s">
        <v>634</v>
      </c>
      <c r="D1795" s="11" t="s">
        <v>28</v>
      </c>
    </row>
    <row r="1796">
      <c r="A1796" s="11">
        <v>1795.0</v>
      </c>
      <c r="B1796" s="12">
        <f t="shared" si="281"/>
        <v>40115</v>
      </c>
      <c r="C1796" s="11" t="s">
        <v>634</v>
      </c>
      <c r="D1796" s="11" t="s">
        <v>28</v>
      </c>
    </row>
    <row r="1797">
      <c r="A1797" s="11">
        <v>1796.0</v>
      </c>
      <c r="B1797" s="12">
        <f t="shared" si="281"/>
        <v>40115</v>
      </c>
      <c r="C1797" s="11" t="s">
        <v>634</v>
      </c>
      <c r="D1797" s="11" t="s">
        <v>28</v>
      </c>
    </row>
    <row r="1798">
      <c r="A1798" s="11">
        <v>1797.0</v>
      </c>
      <c r="B1798" s="12">
        <f t="shared" si="281"/>
        <v>40115</v>
      </c>
      <c r="C1798" s="11" t="s">
        <v>634</v>
      </c>
      <c r="D1798" s="11" t="s">
        <v>28</v>
      </c>
    </row>
    <row r="1799">
      <c r="A1799" s="11">
        <v>1798.0</v>
      </c>
      <c r="B1799" s="12">
        <f t="shared" si="281"/>
        <v>40115</v>
      </c>
      <c r="C1799" s="11" t="s">
        <v>977</v>
      </c>
      <c r="D1799" s="11" t="s">
        <v>49</v>
      </c>
    </row>
    <row r="1800">
      <c r="A1800" s="11">
        <v>1799.0</v>
      </c>
      <c r="B1800" s="12">
        <f t="shared" si="281"/>
        <v>40115</v>
      </c>
      <c r="C1800" s="11" t="s">
        <v>1960</v>
      </c>
      <c r="D1800" s="11" t="s">
        <v>66</v>
      </c>
    </row>
    <row r="1801">
      <c r="A1801" s="11">
        <v>1800.0</v>
      </c>
      <c r="B1801" s="12">
        <f t="shared" si="281"/>
        <v>40115</v>
      </c>
      <c r="C1801" s="11" t="s">
        <v>1877</v>
      </c>
      <c r="D1801" s="11" t="s">
        <v>28</v>
      </c>
    </row>
    <row r="1802">
      <c r="A1802" s="11">
        <v>1801.0</v>
      </c>
      <c r="B1802" s="12">
        <f t="shared" si="281"/>
        <v>40115</v>
      </c>
      <c r="C1802" s="11" t="s">
        <v>1877</v>
      </c>
      <c r="D1802" s="11" t="s">
        <v>66</v>
      </c>
    </row>
    <row r="1803">
      <c r="A1803" s="11">
        <v>1802.0</v>
      </c>
      <c r="B1803" s="12">
        <f t="shared" si="281"/>
        <v>40115</v>
      </c>
      <c r="C1803" s="11" t="s">
        <v>953</v>
      </c>
      <c r="D1803" s="11" t="s">
        <v>28</v>
      </c>
    </row>
    <row r="1804">
      <c r="A1804" s="11">
        <v>1803.0</v>
      </c>
      <c r="B1804" s="12">
        <f t="shared" ref="B1804:B1807" si="282">DATE(2012,12,31)-1158</f>
        <v>40116</v>
      </c>
      <c r="C1804" s="11" t="s">
        <v>1961</v>
      </c>
      <c r="D1804" s="11" t="s">
        <v>28</v>
      </c>
    </row>
    <row r="1805">
      <c r="A1805" s="11">
        <v>1804.0</v>
      </c>
      <c r="B1805" s="12">
        <f t="shared" si="282"/>
        <v>40116</v>
      </c>
      <c r="C1805" s="11" t="s">
        <v>72</v>
      </c>
      <c r="D1805" s="11" t="s">
        <v>28</v>
      </c>
    </row>
    <row r="1806">
      <c r="A1806" s="11">
        <v>1805.0</v>
      </c>
      <c r="B1806" s="12">
        <f t="shared" si="282"/>
        <v>40116</v>
      </c>
      <c r="C1806" s="11" t="s">
        <v>1963</v>
      </c>
      <c r="D1806" s="11" t="s">
        <v>28</v>
      </c>
    </row>
    <row r="1807">
      <c r="A1807" s="11">
        <v>1806.0</v>
      </c>
      <c r="B1807" s="12">
        <f t="shared" si="282"/>
        <v>40116</v>
      </c>
      <c r="C1807" s="11" t="s">
        <v>1650</v>
      </c>
      <c r="D1807" s="11" t="s">
        <v>49</v>
      </c>
    </row>
    <row r="1808">
      <c r="A1808" s="11">
        <v>1807.0</v>
      </c>
      <c r="B1808" s="12">
        <f t="shared" ref="B1808:B1812" si="283">DATE(2012,12,31)-1157</f>
        <v>40117</v>
      </c>
      <c r="C1808" s="11" t="s">
        <v>744</v>
      </c>
      <c r="D1808" s="11" t="s">
        <v>28</v>
      </c>
    </row>
    <row r="1809">
      <c r="A1809" s="11">
        <v>1808.0</v>
      </c>
      <c r="B1809" s="12">
        <f t="shared" si="283"/>
        <v>40117</v>
      </c>
      <c r="C1809" s="11" t="s">
        <v>744</v>
      </c>
      <c r="D1809" s="11" t="s">
        <v>28</v>
      </c>
    </row>
    <row r="1810">
      <c r="A1810" s="11">
        <v>1809.0</v>
      </c>
      <c r="B1810" s="12">
        <f t="shared" si="283"/>
        <v>40117</v>
      </c>
      <c r="C1810" s="11" t="s">
        <v>744</v>
      </c>
      <c r="D1810" s="11" t="s">
        <v>28</v>
      </c>
    </row>
    <row r="1811">
      <c r="A1811" s="11">
        <v>1810.0</v>
      </c>
      <c r="B1811" s="12">
        <f t="shared" si="283"/>
        <v>40117</v>
      </c>
      <c r="C1811" s="11" t="s">
        <v>744</v>
      </c>
      <c r="D1811" s="11" t="s">
        <v>66</v>
      </c>
    </row>
    <row r="1812">
      <c r="A1812" s="11">
        <v>1811.0</v>
      </c>
      <c r="B1812" s="12">
        <f t="shared" si="283"/>
        <v>40117</v>
      </c>
      <c r="C1812" s="11" t="s">
        <v>1963</v>
      </c>
      <c r="D1812" s="11" t="s">
        <v>28</v>
      </c>
    </row>
    <row r="1813">
      <c r="A1813" s="11">
        <v>1812.0</v>
      </c>
      <c r="B1813" s="12">
        <f>DATE(2012,12,31)-1156</f>
        <v>40118</v>
      </c>
      <c r="C1813" s="11" t="s">
        <v>897</v>
      </c>
      <c r="D1813" s="11" t="s">
        <v>28</v>
      </c>
    </row>
    <row r="1814">
      <c r="A1814" s="11">
        <v>1813.0</v>
      </c>
      <c r="B1814" s="12">
        <f t="shared" ref="B1814:B1824" si="284">DATE(2012,12,31)-1155</f>
        <v>40119</v>
      </c>
      <c r="C1814" s="11" t="s">
        <v>1965</v>
      </c>
      <c r="D1814" s="11" t="s">
        <v>28</v>
      </c>
    </row>
    <row r="1815">
      <c r="A1815" s="11">
        <v>1814.0</v>
      </c>
      <c r="B1815" s="12">
        <f t="shared" si="284"/>
        <v>40119</v>
      </c>
      <c r="C1815" s="11" t="s">
        <v>876</v>
      </c>
      <c r="D1815" s="11" t="s">
        <v>28</v>
      </c>
    </row>
    <row r="1816">
      <c r="A1816" s="11">
        <v>1815.0</v>
      </c>
      <c r="B1816" s="12">
        <f t="shared" si="284"/>
        <v>40119</v>
      </c>
      <c r="C1816" s="11" t="s">
        <v>876</v>
      </c>
      <c r="D1816" s="11" t="s">
        <v>49</v>
      </c>
    </row>
    <row r="1817">
      <c r="A1817" s="11">
        <v>1816.0</v>
      </c>
      <c r="B1817" s="12">
        <f t="shared" si="284"/>
        <v>40119</v>
      </c>
      <c r="C1817" s="11" t="s">
        <v>82</v>
      </c>
      <c r="D1817" s="11" t="s">
        <v>28</v>
      </c>
    </row>
    <row r="1818">
      <c r="A1818" s="11">
        <v>1817.0</v>
      </c>
      <c r="B1818" s="12">
        <f t="shared" si="284"/>
        <v>40119</v>
      </c>
      <c r="C1818" s="11" t="s">
        <v>82</v>
      </c>
      <c r="D1818" s="11" t="s">
        <v>28</v>
      </c>
    </row>
    <row r="1819">
      <c r="A1819" s="11">
        <v>1818.0</v>
      </c>
      <c r="B1819" s="12">
        <f t="shared" si="284"/>
        <v>40119</v>
      </c>
      <c r="C1819" s="11" t="s">
        <v>82</v>
      </c>
      <c r="D1819" s="11" t="s">
        <v>49</v>
      </c>
    </row>
    <row r="1820">
      <c r="A1820" s="11">
        <v>1819.0</v>
      </c>
      <c r="B1820" s="12">
        <f t="shared" si="284"/>
        <v>40119</v>
      </c>
      <c r="C1820" s="11" t="s">
        <v>337</v>
      </c>
      <c r="D1820" s="11" t="s">
        <v>49</v>
      </c>
    </row>
    <row r="1821">
      <c r="A1821" s="11">
        <v>1820.0</v>
      </c>
      <c r="B1821" s="12">
        <f t="shared" si="284"/>
        <v>40119</v>
      </c>
      <c r="C1821" s="11" t="s">
        <v>639</v>
      </c>
      <c r="D1821" s="11" t="s">
        <v>66</v>
      </c>
    </row>
    <row r="1822">
      <c r="A1822" s="11">
        <v>1821.0</v>
      </c>
      <c r="B1822" s="12">
        <f t="shared" si="284"/>
        <v>40119</v>
      </c>
      <c r="C1822" s="11" t="s">
        <v>639</v>
      </c>
      <c r="D1822" s="11" t="s">
        <v>28</v>
      </c>
    </row>
    <row r="1823">
      <c r="A1823" s="11">
        <v>1822.0</v>
      </c>
      <c r="B1823" s="12">
        <f t="shared" si="284"/>
        <v>40119</v>
      </c>
      <c r="C1823" s="11" t="s">
        <v>491</v>
      </c>
      <c r="D1823" s="11" t="s">
        <v>49</v>
      </c>
    </row>
    <row r="1824">
      <c r="A1824" s="11">
        <v>1823.0</v>
      </c>
      <c r="B1824" s="12">
        <f t="shared" si="284"/>
        <v>40119</v>
      </c>
      <c r="C1824" s="11" t="s">
        <v>491</v>
      </c>
      <c r="D1824" s="11" t="s">
        <v>66</v>
      </c>
    </row>
    <row r="1825">
      <c r="A1825" s="11">
        <v>1824.0</v>
      </c>
      <c r="B1825" s="12">
        <f t="shared" ref="B1825:B1836" si="285">DATE(2012,12,31)-1154</f>
        <v>40120</v>
      </c>
      <c r="C1825" s="11" t="s">
        <v>232</v>
      </c>
      <c r="D1825" s="11" t="s">
        <v>28</v>
      </c>
    </row>
    <row r="1826">
      <c r="A1826" s="11">
        <v>1825.0</v>
      </c>
      <c r="B1826" s="12">
        <f t="shared" si="285"/>
        <v>40120</v>
      </c>
      <c r="C1826" s="11" t="s">
        <v>1831</v>
      </c>
      <c r="D1826" s="11" t="s">
        <v>49</v>
      </c>
    </row>
    <row r="1827">
      <c r="A1827" s="11">
        <v>1826.0</v>
      </c>
      <c r="B1827" s="12">
        <f t="shared" si="285"/>
        <v>40120</v>
      </c>
      <c r="C1827" s="11" t="s">
        <v>1831</v>
      </c>
      <c r="D1827" s="11" t="s">
        <v>66</v>
      </c>
    </row>
    <row r="1828">
      <c r="A1828" s="11">
        <v>1827.0</v>
      </c>
      <c r="B1828" s="12">
        <f t="shared" si="285"/>
        <v>40120</v>
      </c>
      <c r="C1828" s="11" t="s">
        <v>1831</v>
      </c>
      <c r="D1828" s="11" t="s">
        <v>49</v>
      </c>
    </row>
    <row r="1829">
      <c r="A1829" s="11">
        <v>1828.0</v>
      </c>
      <c r="B1829" s="12">
        <f t="shared" si="285"/>
        <v>40120</v>
      </c>
      <c r="C1829" s="11" t="s">
        <v>1008</v>
      </c>
      <c r="D1829" s="11" t="s">
        <v>49</v>
      </c>
    </row>
    <row r="1830">
      <c r="A1830" s="11">
        <v>1829.0</v>
      </c>
      <c r="B1830" s="12">
        <f t="shared" si="285"/>
        <v>40120</v>
      </c>
      <c r="C1830" s="11" t="s">
        <v>334</v>
      </c>
      <c r="D1830" s="11" t="s">
        <v>28</v>
      </c>
    </row>
    <row r="1831">
      <c r="A1831" s="11">
        <v>1830.0</v>
      </c>
      <c r="B1831" s="12">
        <f t="shared" si="285"/>
        <v>40120</v>
      </c>
      <c r="C1831" s="11" t="s">
        <v>334</v>
      </c>
      <c r="D1831" s="11" t="s">
        <v>49</v>
      </c>
    </row>
    <row r="1832">
      <c r="A1832" s="11">
        <v>1831.0</v>
      </c>
      <c r="B1832" s="12">
        <f t="shared" si="285"/>
        <v>40120</v>
      </c>
      <c r="C1832" s="11" t="s">
        <v>334</v>
      </c>
      <c r="D1832" s="11" t="s">
        <v>28</v>
      </c>
    </row>
    <row r="1833">
      <c r="A1833" s="11">
        <v>1832.0</v>
      </c>
      <c r="B1833" s="12">
        <f t="shared" si="285"/>
        <v>40120</v>
      </c>
      <c r="C1833" s="11" t="s">
        <v>1972</v>
      </c>
      <c r="D1833" s="11" t="s">
        <v>49</v>
      </c>
    </row>
    <row r="1834">
      <c r="A1834" s="11">
        <v>1833.0</v>
      </c>
      <c r="B1834" s="12">
        <f t="shared" si="285"/>
        <v>40120</v>
      </c>
      <c r="C1834" s="11" t="s">
        <v>1972</v>
      </c>
      <c r="D1834" s="11" t="s">
        <v>66</v>
      </c>
    </row>
    <row r="1835">
      <c r="A1835" s="11">
        <v>1834.0</v>
      </c>
      <c r="B1835" s="12">
        <f t="shared" si="285"/>
        <v>40120</v>
      </c>
      <c r="C1835" s="11" t="s">
        <v>1972</v>
      </c>
      <c r="D1835" s="11" t="s">
        <v>66</v>
      </c>
    </row>
    <row r="1836">
      <c r="A1836" s="11">
        <v>1835.0</v>
      </c>
      <c r="B1836" s="12">
        <f t="shared" si="285"/>
        <v>40120</v>
      </c>
      <c r="C1836" s="11" t="s">
        <v>808</v>
      </c>
      <c r="D1836" s="11" t="s">
        <v>49</v>
      </c>
    </row>
    <row r="1837">
      <c r="A1837" s="11">
        <v>1836.0</v>
      </c>
      <c r="B1837" s="12">
        <f t="shared" ref="B1837:B1845" si="286">DATE(2012,12,31)-1153</f>
        <v>40121</v>
      </c>
      <c r="C1837" s="11" t="s">
        <v>1667</v>
      </c>
      <c r="D1837" s="11" t="s">
        <v>28</v>
      </c>
    </row>
    <row r="1838">
      <c r="A1838" s="11">
        <v>1837.0</v>
      </c>
      <c r="B1838" s="12">
        <f t="shared" si="286"/>
        <v>40121</v>
      </c>
      <c r="C1838" s="11" t="s">
        <v>1572</v>
      </c>
      <c r="D1838" s="11" t="s">
        <v>49</v>
      </c>
    </row>
    <row r="1839">
      <c r="A1839" s="11">
        <v>1838.0</v>
      </c>
      <c r="B1839" s="12">
        <f t="shared" si="286"/>
        <v>40121</v>
      </c>
      <c r="C1839" s="11" t="s">
        <v>416</v>
      </c>
      <c r="D1839" s="11" t="s">
        <v>66</v>
      </c>
    </row>
    <row r="1840">
      <c r="A1840" s="11">
        <v>1839.0</v>
      </c>
      <c r="B1840" s="12">
        <f t="shared" si="286"/>
        <v>40121</v>
      </c>
      <c r="C1840" s="11" t="s">
        <v>1446</v>
      </c>
      <c r="D1840" s="11" t="s">
        <v>66</v>
      </c>
    </row>
    <row r="1841">
      <c r="A1841" s="11">
        <v>1840.0</v>
      </c>
      <c r="B1841" s="12">
        <f t="shared" si="286"/>
        <v>40121</v>
      </c>
      <c r="C1841" s="11" t="s">
        <v>1975</v>
      </c>
      <c r="D1841" s="11" t="s">
        <v>28</v>
      </c>
    </row>
    <row r="1842">
      <c r="A1842" s="11">
        <v>1841.0</v>
      </c>
      <c r="B1842" s="12">
        <f t="shared" si="286"/>
        <v>40121</v>
      </c>
      <c r="C1842" s="11" t="s">
        <v>1975</v>
      </c>
      <c r="D1842" s="11" t="s">
        <v>28</v>
      </c>
    </row>
    <row r="1843">
      <c r="A1843" s="11">
        <v>1842.0</v>
      </c>
      <c r="B1843" s="12">
        <f t="shared" si="286"/>
        <v>40121</v>
      </c>
      <c r="C1843" s="11" t="s">
        <v>606</v>
      </c>
      <c r="D1843" s="11" t="s">
        <v>28</v>
      </c>
    </row>
    <row r="1844">
      <c r="A1844" s="11">
        <v>1843.0</v>
      </c>
      <c r="B1844" s="12">
        <f t="shared" si="286"/>
        <v>40121</v>
      </c>
      <c r="C1844" s="11" t="s">
        <v>606</v>
      </c>
      <c r="D1844" s="11" t="s">
        <v>28</v>
      </c>
    </row>
    <row r="1845">
      <c r="A1845" s="11">
        <v>1844.0</v>
      </c>
      <c r="B1845" s="12">
        <f t="shared" si="286"/>
        <v>40121</v>
      </c>
      <c r="C1845" s="11" t="s">
        <v>1634</v>
      </c>
      <c r="D1845" s="11" t="s">
        <v>28</v>
      </c>
    </row>
    <row r="1846">
      <c r="A1846" s="11">
        <v>1845.0</v>
      </c>
      <c r="B1846" s="12">
        <f t="shared" ref="B1846:B1850" si="287">DATE(2012,12,31)-1152</f>
        <v>40122</v>
      </c>
      <c r="C1846" s="11" t="s">
        <v>973</v>
      </c>
      <c r="D1846" s="11" t="s">
        <v>49</v>
      </c>
    </row>
    <row r="1847">
      <c r="A1847" s="11">
        <v>1846.0</v>
      </c>
      <c r="B1847" s="12">
        <f t="shared" si="287"/>
        <v>40122</v>
      </c>
      <c r="C1847" s="11" t="s">
        <v>239</v>
      </c>
      <c r="D1847" s="11" t="s">
        <v>49</v>
      </c>
    </row>
    <row r="1848">
      <c r="A1848" s="11">
        <v>1847.0</v>
      </c>
      <c r="B1848" s="12">
        <f t="shared" si="287"/>
        <v>40122</v>
      </c>
      <c r="C1848" s="11" t="s">
        <v>1979</v>
      </c>
      <c r="D1848" s="11" t="s">
        <v>66</v>
      </c>
    </row>
    <row r="1849">
      <c r="A1849" s="11">
        <v>1848.0</v>
      </c>
      <c r="B1849" s="12">
        <f t="shared" si="287"/>
        <v>40122</v>
      </c>
      <c r="C1849" s="11" t="s">
        <v>1980</v>
      </c>
      <c r="D1849" s="11" t="s">
        <v>49</v>
      </c>
    </row>
    <row r="1850">
      <c r="A1850" s="11">
        <v>1849.0</v>
      </c>
      <c r="B1850" s="12">
        <f t="shared" si="287"/>
        <v>40122</v>
      </c>
      <c r="C1850" s="11" t="s">
        <v>1980</v>
      </c>
      <c r="D1850" s="11" t="s">
        <v>28</v>
      </c>
    </row>
    <row r="1851">
      <c r="A1851" s="11">
        <v>1850.0</v>
      </c>
      <c r="B1851" s="12">
        <f t="shared" ref="B1851:B1852" si="288">DATE(2012,12,31)-1151</f>
        <v>40123</v>
      </c>
      <c r="C1851" s="11" t="s">
        <v>1981</v>
      </c>
      <c r="D1851" s="11" t="s">
        <v>28</v>
      </c>
    </row>
    <row r="1852">
      <c r="A1852" s="11">
        <v>1851.0</v>
      </c>
      <c r="B1852" s="12">
        <f t="shared" si="288"/>
        <v>40123</v>
      </c>
      <c r="C1852" s="11" t="s">
        <v>1981</v>
      </c>
      <c r="D1852" s="11" t="s">
        <v>66</v>
      </c>
    </row>
    <row r="1853">
      <c r="A1853" s="11">
        <v>1852.0</v>
      </c>
      <c r="B1853" s="12">
        <f t="shared" ref="B1853:B1854" si="289">DATE(2012,12,31)-1150</f>
        <v>40124</v>
      </c>
      <c r="C1853" s="11" t="s">
        <v>1982</v>
      </c>
      <c r="D1853" s="11" t="s">
        <v>28</v>
      </c>
    </row>
    <row r="1854">
      <c r="A1854" s="11">
        <v>1853.0</v>
      </c>
      <c r="B1854" s="12">
        <f t="shared" si="289"/>
        <v>40124</v>
      </c>
      <c r="C1854" s="11" t="s">
        <v>1448</v>
      </c>
      <c r="D1854" s="11" t="s">
        <v>66</v>
      </c>
    </row>
    <row r="1855">
      <c r="A1855" s="11">
        <v>1854.0</v>
      </c>
      <c r="B1855" s="12">
        <f t="shared" ref="B1855:B1862" si="290">DATE(2012,12,31)-1149</f>
        <v>40125</v>
      </c>
      <c r="C1855" s="11" t="s">
        <v>1009</v>
      </c>
      <c r="D1855" s="11" t="s">
        <v>49</v>
      </c>
    </row>
    <row r="1856">
      <c r="A1856" s="11">
        <v>1855.0</v>
      </c>
      <c r="B1856" s="12">
        <f t="shared" si="290"/>
        <v>40125</v>
      </c>
      <c r="C1856" s="11" t="s">
        <v>1983</v>
      </c>
      <c r="D1856" s="11" t="s">
        <v>28</v>
      </c>
    </row>
    <row r="1857">
      <c r="A1857" s="11">
        <v>1856.0</v>
      </c>
      <c r="B1857" s="12">
        <f t="shared" si="290"/>
        <v>40125</v>
      </c>
      <c r="C1857" s="11" t="s">
        <v>1983</v>
      </c>
      <c r="D1857" s="11" t="s">
        <v>66</v>
      </c>
    </row>
    <row r="1858">
      <c r="A1858" s="11">
        <v>1857.0</v>
      </c>
      <c r="B1858" s="12">
        <f t="shared" si="290"/>
        <v>40125</v>
      </c>
      <c r="C1858" s="11" t="s">
        <v>1983</v>
      </c>
      <c r="D1858" s="11" t="s">
        <v>66</v>
      </c>
    </row>
    <row r="1859">
      <c r="A1859" s="11">
        <v>1858.0</v>
      </c>
      <c r="B1859" s="12">
        <f t="shared" si="290"/>
        <v>40125</v>
      </c>
      <c r="C1859" s="11" t="s">
        <v>1983</v>
      </c>
      <c r="D1859" s="11" t="s">
        <v>28</v>
      </c>
    </row>
    <row r="1860">
      <c r="A1860" s="11">
        <v>1859.0</v>
      </c>
      <c r="B1860" s="12">
        <f t="shared" si="290"/>
        <v>40125</v>
      </c>
      <c r="C1860" s="11" t="s">
        <v>1025</v>
      </c>
      <c r="D1860" s="11" t="s">
        <v>28</v>
      </c>
    </row>
    <row r="1861">
      <c r="A1861" s="11">
        <v>1860.0</v>
      </c>
      <c r="B1861" s="12">
        <f t="shared" si="290"/>
        <v>40125</v>
      </c>
      <c r="C1861" s="11" t="s">
        <v>855</v>
      </c>
      <c r="D1861" s="11" t="s">
        <v>66</v>
      </c>
    </row>
    <row r="1862">
      <c r="A1862" s="11">
        <v>1861.0</v>
      </c>
      <c r="B1862" s="12">
        <f t="shared" si="290"/>
        <v>40125</v>
      </c>
      <c r="C1862" s="11" t="s">
        <v>1324</v>
      </c>
      <c r="D1862" s="11" t="s">
        <v>28</v>
      </c>
    </row>
    <row r="1863">
      <c r="A1863" s="11">
        <v>1862.0</v>
      </c>
      <c r="B1863" s="12">
        <f>DATE(2012,12,31)-1148</f>
        <v>40126</v>
      </c>
      <c r="C1863" s="11" t="s">
        <v>786</v>
      </c>
      <c r="D1863" s="11" t="s">
        <v>28</v>
      </c>
    </row>
    <row r="1864">
      <c r="A1864" s="11">
        <v>1863.0</v>
      </c>
      <c r="B1864" s="12">
        <f t="shared" ref="B1864:B1870" si="291">DATE(2012,12,31)-1147</f>
        <v>40127</v>
      </c>
      <c r="C1864" s="11" t="s">
        <v>148</v>
      </c>
      <c r="D1864" s="11" t="s">
        <v>66</v>
      </c>
    </row>
    <row r="1865">
      <c r="A1865" s="11">
        <v>1864.0</v>
      </c>
      <c r="B1865" s="12">
        <f t="shared" si="291"/>
        <v>40127</v>
      </c>
      <c r="C1865" s="11" t="s">
        <v>453</v>
      </c>
      <c r="D1865" s="11" t="s">
        <v>28</v>
      </c>
    </row>
    <row r="1866">
      <c r="A1866" s="11">
        <v>1865.0</v>
      </c>
      <c r="B1866" s="12">
        <f t="shared" si="291"/>
        <v>40127</v>
      </c>
      <c r="C1866" s="11" t="s">
        <v>1621</v>
      </c>
      <c r="D1866" s="11" t="s">
        <v>28</v>
      </c>
    </row>
    <row r="1867">
      <c r="A1867" s="11">
        <v>1866.0</v>
      </c>
      <c r="B1867" s="12">
        <f t="shared" si="291"/>
        <v>40127</v>
      </c>
      <c r="C1867" s="11" t="s">
        <v>528</v>
      </c>
      <c r="D1867" s="11" t="s">
        <v>66</v>
      </c>
    </row>
    <row r="1868">
      <c r="A1868" s="11">
        <v>1867.0</v>
      </c>
      <c r="B1868" s="12">
        <f t="shared" si="291"/>
        <v>40127</v>
      </c>
      <c r="C1868" s="11" t="s">
        <v>528</v>
      </c>
      <c r="D1868" s="11" t="s">
        <v>66</v>
      </c>
    </row>
    <row r="1869">
      <c r="A1869" s="11">
        <v>1868.0</v>
      </c>
      <c r="B1869" s="12">
        <f t="shared" si="291"/>
        <v>40127</v>
      </c>
      <c r="C1869" s="11" t="s">
        <v>528</v>
      </c>
      <c r="D1869" s="11" t="s">
        <v>28</v>
      </c>
    </row>
    <row r="1870">
      <c r="A1870" s="11">
        <v>1869.0</v>
      </c>
      <c r="B1870" s="12">
        <f t="shared" si="291"/>
        <v>40127</v>
      </c>
      <c r="C1870" s="11" t="s">
        <v>1984</v>
      </c>
      <c r="D1870" s="11" t="s">
        <v>66</v>
      </c>
    </row>
    <row r="1871">
      <c r="A1871" s="11">
        <v>1870.0</v>
      </c>
      <c r="B1871" s="12">
        <f t="shared" ref="B1871:B1874" si="292">DATE(2012,12,31)-1146</f>
        <v>40128</v>
      </c>
      <c r="C1871" s="11" t="s">
        <v>215</v>
      </c>
      <c r="D1871" s="11" t="s">
        <v>28</v>
      </c>
    </row>
    <row r="1872">
      <c r="A1872" s="11">
        <v>1871.0</v>
      </c>
      <c r="B1872" s="12">
        <f t="shared" si="292"/>
        <v>40128</v>
      </c>
      <c r="C1872" s="11" t="s">
        <v>1985</v>
      </c>
      <c r="D1872" s="11" t="s">
        <v>49</v>
      </c>
    </row>
    <row r="1873">
      <c r="A1873" s="11">
        <v>1872.0</v>
      </c>
      <c r="B1873" s="12">
        <f t="shared" si="292"/>
        <v>40128</v>
      </c>
      <c r="C1873" s="11" t="s">
        <v>1985</v>
      </c>
      <c r="D1873" s="11" t="s">
        <v>49</v>
      </c>
    </row>
    <row r="1874">
      <c r="A1874" s="11">
        <v>1873.0</v>
      </c>
      <c r="B1874" s="12">
        <f t="shared" si="292"/>
        <v>40128</v>
      </c>
      <c r="C1874" s="11" t="s">
        <v>1985</v>
      </c>
      <c r="D1874" s="11" t="s">
        <v>28</v>
      </c>
    </row>
    <row r="1875">
      <c r="A1875" s="11">
        <v>1874.0</v>
      </c>
      <c r="B1875" s="12">
        <f t="shared" ref="B1875:B1877" si="293">DATE(2012,12,31)-1145</f>
        <v>40129</v>
      </c>
      <c r="C1875" s="11" t="s">
        <v>1199</v>
      </c>
      <c r="D1875" s="11" t="s">
        <v>28</v>
      </c>
    </row>
    <row r="1876">
      <c r="A1876" s="11">
        <v>1875.0</v>
      </c>
      <c r="B1876" s="12">
        <f t="shared" si="293"/>
        <v>40129</v>
      </c>
      <c r="C1876" s="11" t="s">
        <v>1578</v>
      </c>
      <c r="D1876" s="11" t="s">
        <v>28</v>
      </c>
    </row>
    <row r="1877">
      <c r="A1877" s="11">
        <v>1876.0</v>
      </c>
      <c r="B1877" s="12">
        <f t="shared" si="293"/>
        <v>40129</v>
      </c>
      <c r="C1877" s="11" t="s">
        <v>1989</v>
      </c>
      <c r="D1877" s="11" t="s">
        <v>66</v>
      </c>
    </row>
    <row r="1878">
      <c r="A1878" s="11">
        <v>1877.0</v>
      </c>
      <c r="B1878" s="12">
        <f t="shared" ref="B1878:B1879" si="294">DATE(2012,12,31)-1144</f>
        <v>40130</v>
      </c>
      <c r="C1878" s="11" t="s">
        <v>934</v>
      </c>
      <c r="D1878" s="11" t="s">
        <v>49</v>
      </c>
    </row>
    <row r="1879">
      <c r="A1879" s="11">
        <v>1878.0</v>
      </c>
      <c r="B1879" s="12">
        <f t="shared" si="294"/>
        <v>40130</v>
      </c>
      <c r="C1879" s="11" t="s">
        <v>934</v>
      </c>
      <c r="D1879" s="11" t="s">
        <v>28</v>
      </c>
    </row>
    <row r="1880">
      <c r="A1880" s="11">
        <v>1879.0</v>
      </c>
      <c r="B1880" s="12">
        <f t="shared" ref="B1880:B1884" si="295">DATE(2012,12,31)-1143</f>
        <v>40131</v>
      </c>
      <c r="C1880" s="11" t="s">
        <v>1602</v>
      </c>
      <c r="D1880" s="11" t="s">
        <v>28</v>
      </c>
    </row>
    <row r="1881">
      <c r="A1881" s="11">
        <v>1880.0</v>
      </c>
      <c r="B1881" s="12">
        <f t="shared" si="295"/>
        <v>40131</v>
      </c>
      <c r="C1881" s="11" t="s">
        <v>1602</v>
      </c>
      <c r="D1881" s="11" t="s">
        <v>66</v>
      </c>
    </row>
    <row r="1882">
      <c r="A1882" s="11">
        <v>1881.0</v>
      </c>
      <c r="B1882" s="12">
        <f t="shared" si="295"/>
        <v>40131</v>
      </c>
      <c r="C1882" s="11" t="s">
        <v>1827</v>
      </c>
      <c r="D1882" s="11" t="s">
        <v>28</v>
      </c>
    </row>
    <row r="1883">
      <c r="A1883" s="11">
        <v>1882.0</v>
      </c>
      <c r="B1883" s="12">
        <f t="shared" si="295"/>
        <v>40131</v>
      </c>
      <c r="C1883" s="11" t="s">
        <v>1827</v>
      </c>
      <c r="D1883" s="11" t="s">
        <v>28</v>
      </c>
    </row>
    <row r="1884">
      <c r="A1884" s="11">
        <v>1883.0</v>
      </c>
      <c r="B1884" s="12">
        <f t="shared" si="295"/>
        <v>40131</v>
      </c>
      <c r="C1884" s="11" t="s">
        <v>1995</v>
      </c>
      <c r="D1884" s="11" t="s">
        <v>66</v>
      </c>
    </row>
    <row r="1885">
      <c r="A1885" s="11">
        <v>1884.0</v>
      </c>
      <c r="B1885" s="12">
        <f t="shared" ref="B1885:B1886" si="296">DATE(2012,12,31)-1142</f>
        <v>40132</v>
      </c>
      <c r="C1885" s="11" t="s">
        <v>1320</v>
      </c>
      <c r="D1885" s="11" t="s">
        <v>28</v>
      </c>
    </row>
    <row r="1886">
      <c r="A1886" s="11">
        <v>1885.0</v>
      </c>
      <c r="B1886" s="12">
        <f t="shared" si="296"/>
        <v>40132</v>
      </c>
      <c r="C1886" s="11" t="s">
        <v>1320</v>
      </c>
      <c r="D1886" s="11" t="s">
        <v>28</v>
      </c>
    </row>
    <row r="1887">
      <c r="A1887" s="11">
        <v>1886.0</v>
      </c>
      <c r="B1887" s="12">
        <f t="shared" ref="B1887:B1896" si="297">DATE(2012,12,31)-1141</f>
        <v>40133</v>
      </c>
      <c r="C1887" s="11" t="s">
        <v>232</v>
      </c>
      <c r="D1887" s="11" t="s">
        <v>28</v>
      </c>
    </row>
    <row r="1888">
      <c r="A1888" s="11">
        <v>1887.0</v>
      </c>
      <c r="B1888" s="12">
        <f t="shared" si="297"/>
        <v>40133</v>
      </c>
      <c r="C1888" s="11" t="s">
        <v>232</v>
      </c>
      <c r="D1888" s="11" t="s">
        <v>66</v>
      </c>
    </row>
    <row r="1889">
      <c r="A1889" s="11">
        <v>1888.0</v>
      </c>
      <c r="B1889" s="12">
        <f t="shared" si="297"/>
        <v>40133</v>
      </c>
      <c r="C1889" s="11" t="s">
        <v>271</v>
      </c>
      <c r="D1889" s="11" t="s">
        <v>66</v>
      </c>
    </row>
    <row r="1890">
      <c r="A1890" s="11">
        <v>1889.0</v>
      </c>
      <c r="B1890" s="12">
        <f t="shared" si="297"/>
        <v>40133</v>
      </c>
      <c r="C1890" s="11" t="s">
        <v>271</v>
      </c>
      <c r="D1890" s="11" t="s">
        <v>66</v>
      </c>
    </row>
    <row r="1891">
      <c r="A1891" s="11">
        <v>1890.0</v>
      </c>
      <c r="B1891" s="12">
        <f t="shared" si="297"/>
        <v>40133</v>
      </c>
      <c r="C1891" s="11" t="s">
        <v>357</v>
      </c>
      <c r="D1891" s="11" t="s">
        <v>28</v>
      </c>
    </row>
    <row r="1892">
      <c r="A1892" s="11">
        <v>1891.0</v>
      </c>
      <c r="B1892" s="12">
        <f t="shared" si="297"/>
        <v>40133</v>
      </c>
      <c r="C1892" s="11" t="s">
        <v>1999</v>
      </c>
      <c r="D1892" s="11" t="s">
        <v>66</v>
      </c>
    </row>
    <row r="1893">
      <c r="A1893" s="11">
        <v>1892.0</v>
      </c>
      <c r="B1893" s="12">
        <f t="shared" si="297"/>
        <v>40133</v>
      </c>
      <c r="C1893" s="11" t="s">
        <v>1245</v>
      </c>
      <c r="D1893" s="11" t="s">
        <v>49</v>
      </c>
    </row>
    <row r="1894">
      <c r="A1894" s="11">
        <v>1893.0</v>
      </c>
      <c r="B1894" s="12">
        <f t="shared" si="297"/>
        <v>40133</v>
      </c>
      <c r="C1894" s="11" t="s">
        <v>1236</v>
      </c>
      <c r="D1894" s="11" t="s">
        <v>28</v>
      </c>
    </row>
    <row r="1895">
      <c r="A1895" s="11">
        <v>1894.0</v>
      </c>
      <c r="B1895" s="12">
        <f t="shared" si="297"/>
        <v>40133</v>
      </c>
      <c r="C1895" s="11" t="s">
        <v>1236</v>
      </c>
      <c r="D1895" s="11" t="s">
        <v>28</v>
      </c>
    </row>
    <row r="1896">
      <c r="A1896" s="11">
        <v>1895.0</v>
      </c>
      <c r="B1896" s="12">
        <f t="shared" si="297"/>
        <v>40133</v>
      </c>
      <c r="C1896" s="11" t="s">
        <v>1236</v>
      </c>
      <c r="D1896" s="11" t="s">
        <v>28</v>
      </c>
    </row>
    <row r="1897">
      <c r="A1897" s="11">
        <v>1896.0</v>
      </c>
      <c r="B1897" s="12">
        <f t="shared" ref="B1897:B1904" si="298">DATE(2012,12,31)-1140</f>
        <v>40134</v>
      </c>
      <c r="C1897" s="11" t="s">
        <v>2000</v>
      </c>
      <c r="D1897" s="11" t="s">
        <v>28</v>
      </c>
    </row>
    <row r="1898">
      <c r="A1898" s="11">
        <v>1897.0</v>
      </c>
      <c r="B1898" s="12">
        <f t="shared" si="298"/>
        <v>40134</v>
      </c>
      <c r="C1898" s="11" t="s">
        <v>2000</v>
      </c>
      <c r="D1898" s="11" t="s">
        <v>28</v>
      </c>
    </row>
    <row r="1899">
      <c r="A1899" s="11">
        <v>1898.0</v>
      </c>
      <c r="B1899" s="12">
        <f t="shared" si="298"/>
        <v>40134</v>
      </c>
      <c r="C1899" s="11" t="s">
        <v>337</v>
      </c>
      <c r="D1899" s="11" t="s">
        <v>28</v>
      </c>
    </row>
    <row r="1900">
      <c r="A1900" s="11">
        <v>1899.0</v>
      </c>
      <c r="B1900" s="12">
        <f t="shared" si="298"/>
        <v>40134</v>
      </c>
      <c r="C1900" s="11" t="s">
        <v>300</v>
      </c>
      <c r="D1900" s="11" t="s">
        <v>28</v>
      </c>
    </row>
    <row r="1901">
      <c r="A1901" s="11">
        <v>1900.0</v>
      </c>
      <c r="B1901" s="12">
        <f t="shared" si="298"/>
        <v>40134</v>
      </c>
      <c r="C1901" s="11" t="s">
        <v>300</v>
      </c>
      <c r="D1901" s="11" t="s">
        <v>66</v>
      </c>
    </row>
    <row r="1902">
      <c r="A1902" s="11">
        <v>1901.0</v>
      </c>
      <c r="B1902" s="12">
        <f t="shared" si="298"/>
        <v>40134</v>
      </c>
      <c r="C1902" s="11" t="s">
        <v>1811</v>
      </c>
      <c r="D1902" s="11" t="s">
        <v>28</v>
      </c>
    </row>
    <row r="1903">
      <c r="A1903" s="11">
        <v>1902.0</v>
      </c>
      <c r="B1903" s="12">
        <f t="shared" si="298"/>
        <v>40134</v>
      </c>
      <c r="C1903" s="11" t="s">
        <v>1811</v>
      </c>
      <c r="D1903" s="11" t="s">
        <v>28</v>
      </c>
    </row>
    <row r="1904">
      <c r="A1904" s="11">
        <v>1903.0</v>
      </c>
      <c r="B1904" s="12">
        <f t="shared" si="298"/>
        <v>40134</v>
      </c>
      <c r="C1904" s="11" t="s">
        <v>1811</v>
      </c>
      <c r="D1904" s="11" t="s">
        <v>28</v>
      </c>
    </row>
    <row r="1905">
      <c r="A1905" s="11">
        <v>1904.0</v>
      </c>
      <c r="B1905" s="12">
        <f t="shared" ref="B1905:B1907" si="299">DATE(2012,12,31)-1139</f>
        <v>40135</v>
      </c>
      <c r="C1905" s="11" t="s">
        <v>775</v>
      </c>
      <c r="D1905" s="11" t="s">
        <v>66</v>
      </c>
    </row>
    <row r="1906">
      <c r="A1906" s="11">
        <v>1905.0</v>
      </c>
      <c r="B1906" s="12">
        <f t="shared" si="299"/>
        <v>40135</v>
      </c>
      <c r="C1906" s="11" t="s">
        <v>781</v>
      </c>
      <c r="D1906" s="11" t="s">
        <v>28</v>
      </c>
    </row>
    <row r="1907">
      <c r="A1907" s="11">
        <v>1906.0</v>
      </c>
      <c r="B1907" s="12">
        <f t="shared" si="299"/>
        <v>40135</v>
      </c>
      <c r="C1907" s="11" t="s">
        <v>2009</v>
      </c>
      <c r="D1907" s="11" t="s">
        <v>28</v>
      </c>
    </row>
    <row r="1908">
      <c r="A1908" s="11">
        <v>1907.0</v>
      </c>
      <c r="B1908" s="12">
        <f t="shared" ref="B1908:B1910" si="300">DATE(2012,12,31)-1138</f>
        <v>40136</v>
      </c>
      <c r="C1908" s="11" t="s">
        <v>1442</v>
      </c>
      <c r="D1908" s="11" t="s">
        <v>28</v>
      </c>
    </row>
    <row r="1909">
      <c r="A1909" s="11">
        <v>1908.0</v>
      </c>
      <c r="B1909" s="12">
        <f t="shared" si="300"/>
        <v>40136</v>
      </c>
      <c r="C1909" s="11" t="s">
        <v>808</v>
      </c>
      <c r="D1909" s="11" t="s">
        <v>49</v>
      </c>
    </row>
    <row r="1910">
      <c r="A1910" s="11">
        <v>1909.0</v>
      </c>
      <c r="B1910" s="12">
        <f t="shared" si="300"/>
        <v>40136</v>
      </c>
      <c r="C1910" s="11" t="s">
        <v>808</v>
      </c>
      <c r="D1910" s="11" t="s">
        <v>28</v>
      </c>
    </row>
    <row r="1911">
      <c r="A1911" s="11">
        <v>1910.0</v>
      </c>
      <c r="B1911" s="12">
        <f t="shared" ref="B1911:B1923" si="301">DATE(2012,12,31)-1137</f>
        <v>40137</v>
      </c>
      <c r="C1911" s="11" t="s">
        <v>1196</v>
      </c>
      <c r="D1911" s="11" t="s">
        <v>28</v>
      </c>
    </row>
    <row r="1912">
      <c r="A1912" s="11">
        <v>1911.0</v>
      </c>
      <c r="B1912" s="12">
        <f t="shared" si="301"/>
        <v>40137</v>
      </c>
      <c r="C1912" s="11" t="s">
        <v>992</v>
      </c>
      <c r="D1912" s="11" t="s">
        <v>49</v>
      </c>
    </row>
    <row r="1913">
      <c r="A1913" s="11">
        <v>1912.0</v>
      </c>
      <c r="B1913" s="12">
        <f t="shared" si="301"/>
        <v>40137</v>
      </c>
      <c r="C1913" s="11" t="s">
        <v>222</v>
      </c>
      <c r="D1913" s="11" t="s">
        <v>49</v>
      </c>
    </row>
    <row r="1914">
      <c r="A1914" s="11">
        <v>1913.0</v>
      </c>
      <c r="B1914" s="12">
        <f t="shared" si="301"/>
        <v>40137</v>
      </c>
      <c r="C1914" s="11" t="s">
        <v>222</v>
      </c>
      <c r="D1914" s="11" t="s">
        <v>28</v>
      </c>
    </row>
    <row r="1915">
      <c r="A1915" s="11">
        <v>1914.0</v>
      </c>
      <c r="B1915" s="12">
        <f t="shared" si="301"/>
        <v>40137</v>
      </c>
      <c r="C1915" s="11" t="s">
        <v>2012</v>
      </c>
      <c r="D1915" s="11" t="s">
        <v>66</v>
      </c>
    </row>
    <row r="1916">
      <c r="A1916" s="11">
        <v>1915.0</v>
      </c>
      <c r="B1916" s="12">
        <f t="shared" si="301"/>
        <v>40137</v>
      </c>
      <c r="C1916" s="11" t="s">
        <v>2012</v>
      </c>
      <c r="D1916" s="11" t="s">
        <v>28</v>
      </c>
    </row>
    <row r="1917">
      <c r="A1917" s="11">
        <v>1916.0</v>
      </c>
      <c r="B1917" s="12">
        <f t="shared" si="301"/>
        <v>40137</v>
      </c>
      <c r="C1917" s="11" t="s">
        <v>1831</v>
      </c>
      <c r="D1917" s="11" t="s">
        <v>49</v>
      </c>
    </row>
    <row r="1918">
      <c r="A1918" s="11">
        <v>1917.0</v>
      </c>
      <c r="B1918" s="12">
        <f t="shared" si="301"/>
        <v>40137</v>
      </c>
      <c r="C1918" s="11" t="s">
        <v>1831</v>
      </c>
      <c r="D1918" s="11" t="s">
        <v>66</v>
      </c>
    </row>
    <row r="1919">
      <c r="A1919" s="11">
        <v>1918.0</v>
      </c>
      <c r="B1919" s="12">
        <f t="shared" si="301"/>
        <v>40137</v>
      </c>
      <c r="C1919" s="11" t="s">
        <v>1831</v>
      </c>
      <c r="D1919" s="11" t="s">
        <v>28</v>
      </c>
    </row>
    <row r="1920">
      <c r="A1920" s="11">
        <v>1919.0</v>
      </c>
      <c r="B1920" s="12">
        <f t="shared" si="301"/>
        <v>40137</v>
      </c>
      <c r="C1920" s="11" t="s">
        <v>895</v>
      </c>
      <c r="D1920" s="11" t="s">
        <v>66</v>
      </c>
    </row>
    <row r="1921">
      <c r="A1921" s="11">
        <v>1920.0</v>
      </c>
      <c r="B1921" s="12">
        <f t="shared" si="301"/>
        <v>40137</v>
      </c>
      <c r="C1921" s="11" t="s">
        <v>895</v>
      </c>
      <c r="D1921" s="11" t="s">
        <v>28</v>
      </c>
    </row>
    <row r="1922">
      <c r="A1922" s="11">
        <v>1921.0</v>
      </c>
      <c r="B1922" s="12">
        <f t="shared" si="301"/>
        <v>40137</v>
      </c>
      <c r="C1922" s="11" t="s">
        <v>1621</v>
      </c>
      <c r="D1922" s="11" t="s">
        <v>66</v>
      </c>
    </row>
    <row r="1923">
      <c r="A1923" s="11">
        <v>1922.0</v>
      </c>
      <c r="B1923" s="12">
        <f t="shared" si="301"/>
        <v>40137</v>
      </c>
      <c r="C1923" s="11" t="s">
        <v>1621</v>
      </c>
      <c r="D1923" s="11" t="s">
        <v>66</v>
      </c>
    </row>
    <row r="1924">
      <c r="A1924" s="11">
        <v>1923.0</v>
      </c>
      <c r="B1924" s="12">
        <f t="shared" ref="B1924:B1927" si="302">DATE(2012,12,31)-1136</f>
        <v>40138</v>
      </c>
      <c r="C1924" s="11" t="s">
        <v>1332</v>
      </c>
      <c r="D1924" s="11" t="s">
        <v>28</v>
      </c>
    </row>
    <row r="1925">
      <c r="A1925" s="11">
        <v>1924.0</v>
      </c>
      <c r="B1925" s="12">
        <f t="shared" si="302"/>
        <v>40138</v>
      </c>
      <c r="C1925" s="11" t="s">
        <v>1950</v>
      </c>
      <c r="D1925" s="11" t="s">
        <v>28</v>
      </c>
    </row>
    <row r="1926">
      <c r="A1926" s="11">
        <v>1925.0</v>
      </c>
      <c r="B1926" s="12">
        <f t="shared" si="302"/>
        <v>40138</v>
      </c>
      <c r="C1926" s="11" t="s">
        <v>395</v>
      </c>
      <c r="D1926" s="11" t="s">
        <v>28</v>
      </c>
    </row>
    <row r="1927">
      <c r="A1927" s="11">
        <v>1926.0</v>
      </c>
      <c r="B1927" s="12">
        <f t="shared" si="302"/>
        <v>40138</v>
      </c>
      <c r="C1927" s="11" t="s">
        <v>604</v>
      </c>
      <c r="D1927" s="11" t="s">
        <v>66</v>
      </c>
    </row>
    <row r="1928">
      <c r="A1928" s="11">
        <v>1927.0</v>
      </c>
      <c r="B1928" s="12">
        <f t="shared" ref="B1928:B1931" si="303">DATE(2012,12,31)-1135</f>
        <v>40139</v>
      </c>
      <c r="C1928" s="11" t="s">
        <v>711</v>
      </c>
      <c r="D1928" s="11" t="s">
        <v>28</v>
      </c>
    </row>
    <row r="1929">
      <c r="A1929" s="11">
        <v>1928.0</v>
      </c>
      <c r="B1929" s="12">
        <f t="shared" si="303"/>
        <v>40139</v>
      </c>
      <c r="C1929" s="11" t="s">
        <v>711</v>
      </c>
      <c r="D1929" s="11" t="s">
        <v>28</v>
      </c>
    </row>
    <row r="1930">
      <c r="A1930" s="11">
        <v>1929.0</v>
      </c>
      <c r="B1930" s="12">
        <f t="shared" si="303"/>
        <v>40139</v>
      </c>
      <c r="C1930" s="11" t="s">
        <v>2016</v>
      </c>
      <c r="D1930" s="11" t="s">
        <v>66</v>
      </c>
    </row>
    <row r="1931">
      <c r="A1931" s="11">
        <v>1930.0</v>
      </c>
      <c r="B1931" s="12">
        <f t="shared" si="303"/>
        <v>40139</v>
      </c>
      <c r="C1931" s="11" t="s">
        <v>196</v>
      </c>
      <c r="D1931" s="11" t="s">
        <v>28</v>
      </c>
    </row>
    <row r="1932">
      <c r="A1932" s="11">
        <v>1931.0</v>
      </c>
      <c r="B1932" s="12">
        <f t="shared" ref="B1932:B1942" si="304">DATE(2012,12,31)-1134</f>
        <v>40140</v>
      </c>
      <c r="C1932" s="11" t="s">
        <v>1123</v>
      </c>
      <c r="D1932" s="11" t="s">
        <v>28</v>
      </c>
    </row>
    <row r="1933">
      <c r="A1933" s="11">
        <v>1932.0</v>
      </c>
      <c r="B1933" s="12">
        <f t="shared" si="304"/>
        <v>40140</v>
      </c>
      <c r="C1933" s="11" t="s">
        <v>1123</v>
      </c>
      <c r="D1933" s="11" t="s">
        <v>49</v>
      </c>
    </row>
    <row r="1934">
      <c r="A1934" s="11">
        <v>1933.0</v>
      </c>
      <c r="B1934" s="12">
        <f t="shared" si="304"/>
        <v>40140</v>
      </c>
      <c r="C1934" s="11" t="s">
        <v>1123</v>
      </c>
      <c r="D1934" s="11" t="s">
        <v>28</v>
      </c>
    </row>
    <row r="1935">
      <c r="A1935" s="11">
        <v>1934.0</v>
      </c>
      <c r="B1935" s="12">
        <f t="shared" si="304"/>
        <v>40140</v>
      </c>
      <c r="C1935" s="11" t="s">
        <v>2017</v>
      </c>
      <c r="D1935" s="11" t="s">
        <v>28</v>
      </c>
    </row>
    <row r="1936">
      <c r="A1936" s="11">
        <v>1935.0</v>
      </c>
      <c r="B1936" s="12">
        <f t="shared" si="304"/>
        <v>40140</v>
      </c>
      <c r="C1936" s="11" t="s">
        <v>2017</v>
      </c>
      <c r="D1936" s="11" t="s">
        <v>28</v>
      </c>
    </row>
    <row r="1937">
      <c r="A1937" s="11">
        <v>1936.0</v>
      </c>
      <c r="B1937" s="12">
        <f t="shared" si="304"/>
        <v>40140</v>
      </c>
      <c r="C1937" s="11" t="s">
        <v>626</v>
      </c>
      <c r="D1937" s="11" t="s">
        <v>28</v>
      </c>
    </row>
    <row r="1938">
      <c r="A1938" s="11">
        <v>1937.0</v>
      </c>
      <c r="B1938" s="12">
        <f t="shared" si="304"/>
        <v>40140</v>
      </c>
      <c r="C1938" s="11" t="s">
        <v>1554</v>
      </c>
      <c r="D1938" s="11" t="s">
        <v>28</v>
      </c>
    </row>
    <row r="1939">
      <c r="A1939" s="11">
        <v>1938.0</v>
      </c>
      <c r="B1939" s="12">
        <f t="shared" si="304"/>
        <v>40140</v>
      </c>
      <c r="C1939" s="11" t="s">
        <v>1108</v>
      </c>
      <c r="D1939" s="11" t="s">
        <v>28</v>
      </c>
    </row>
    <row r="1940">
      <c r="A1940" s="11">
        <v>1939.0</v>
      </c>
      <c r="B1940" s="12">
        <f t="shared" si="304"/>
        <v>40140</v>
      </c>
      <c r="C1940" s="11" t="s">
        <v>533</v>
      </c>
      <c r="D1940" s="11" t="s">
        <v>49</v>
      </c>
    </row>
    <row r="1941">
      <c r="A1941" s="11">
        <v>1940.0</v>
      </c>
      <c r="B1941" s="12">
        <f t="shared" si="304"/>
        <v>40140</v>
      </c>
      <c r="C1941" s="11" t="s">
        <v>533</v>
      </c>
      <c r="D1941" s="11" t="s">
        <v>49</v>
      </c>
    </row>
    <row r="1942">
      <c r="A1942" s="11">
        <v>1941.0</v>
      </c>
      <c r="B1942" s="12">
        <f t="shared" si="304"/>
        <v>40140</v>
      </c>
      <c r="C1942" s="11" t="s">
        <v>1602</v>
      </c>
      <c r="D1942" s="11" t="s">
        <v>66</v>
      </c>
    </row>
    <row r="1943">
      <c r="A1943" s="11">
        <v>1942.0</v>
      </c>
      <c r="B1943" s="12">
        <f t="shared" ref="B1943:B1948" si="305">DATE(2012,12,31)-1133</f>
        <v>40141</v>
      </c>
      <c r="C1943" s="11" t="s">
        <v>120</v>
      </c>
      <c r="D1943" s="11" t="s">
        <v>49</v>
      </c>
    </row>
    <row r="1944">
      <c r="A1944" s="11">
        <v>1943.0</v>
      </c>
      <c r="B1944" s="12">
        <f t="shared" si="305"/>
        <v>40141</v>
      </c>
      <c r="C1944" s="11" t="s">
        <v>751</v>
      </c>
      <c r="D1944" s="11" t="s">
        <v>66</v>
      </c>
    </row>
    <row r="1945">
      <c r="A1945" s="11">
        <v>1944.0</v>
      </c>
      <c r="B1945" s="12">
        <f t="shared" si="305"/>
        <v>40141</v>
      </c>
      <c r="C1945" s="11" t="s">
        <v>213</v>
      </c>
      <c r="D1945" s="11" t="s">
        <v>49</v>
      </c>
    </row>
    <row r="1946">
      <c r="A1946" s="11">
        <v>1945.0</v>
      </c>
      <c r="B1946" s="12">
        <f t="shared" si="305"/>
        <v>40141</v>
      </c>
      <c r="C1946" s="11" t="s">
        <v>2023</v>
      </c>
      <c r="D1946" s="11" t="s">
        <v>28</v>
      </c>
    </row>
    <row r="1947">
      <c r="A1947" s="11">
        <v>1946.0</v>
      </c>
      <c r="B1947" s="12">
        <f t="shared" si="305"/>
        <v>40141</v>
      </c>
      <c r="C1947" s="11" t="s">
        <v>2023</v>
      </c>
      <c r="D1947" s="11" t="s">
        <v>66</v>
      </c>
    </row>
    <row r="1948">
      <c r="A1948" s="11">
        <v>1947.0</v>
      </c>
      <c r="B1948" s="12">
        <f t="shared" si="305"/>
        <v>40141</v>
      </c>
      <c r="C1948" s="11" t="s">
        <v>2023</v>
      </c>
      <c r="D1948" s="11" t="s">
        <v>28</v>
      </c>
    </row>
    <row r="1949">
      <c r="A1949" s="11">
        <v>1948.0</v>
      </c>
      <c r="B1949" s="12">
        <f t="shared" ref="B1949:B1958" si="306">DATE(2012,12,31)-1132</f>
        <v>40142</v>
      </c>
      <c r="C1949" s="11" t="s">
        <v>1654</v>
      </c>
      <c r="D1949" s="11" t="s">
        <v>28</v>
      </c>
    </row>
    <row r="1950">
      <c r="A1950" s="11">
        <v>1949.0</v>
      </c>
      <c r="B1950" s="12">
        <f t="shared" si="306"/>
        <v>40142</v>
      </c>
      <c r="C1950" s="11" t="s">
        <v>485</v>
      </c>
      <c r="D1950" s="11" t="s">
        <v>66</v>
      </c>
    </row>
    <row r="1951">
      <c r="A1951" s="11">
        <v>1950.0</v>
      </c>
      <c r="B1951" s="12">
        <f t="shared" si="306"/>
        <v>40142</v>
      </c>
      <c r="C1951" s="11" t="s">
        <v>1664</v>
      </c>
      <c r="D1951" s="11" t="s">
        <v>66</v>
      </c>
    </row>
    <row r="1952">
      <c r="A1952" s="11">
        <v>1951.0</v>
      </c>
      <c r="B1952" s="12">
        <f t="shared" si="306"/>
        <v>40142</v>
      </c>
      <c r="C1952" s="11" t="s">
        <v>1664</v>
      </c>
      <c r="D1952" s="11" t="s">
        <v>66</v>
      </c>
    </row>
    <row r="1953">
      <c r="A1953" s="11">
        <v>1952.0</v>
      </c>
      <c r="B1953" s="12">
        <f t="shared" si="306"/>
        <v>40142</v>
      </c>
      <c r="C1953" s="11" t="s">
        <v>1664</v>
      </c>
      <c r="D1953" s="11" t="s">
        <v>66</v>
      </c>
    </row>
    <row r="1954">
      <c r="A1954" s="11">
        <v>1953.0</v>
      </c>
      <c r="B1954" s="12">
        <f t="shared" si="306"/>
        <v>40142</v>
      </c>
      <c r="C1954" s="11" t="s">
        <v>412</v>
      </c>
      <c r="D1954" s="11" t="s">
        <v>28</v>
      </c>
    </row>
    <row r="1955">
      <c r="A1955" s="11">
        <v>1954.0</v>
      </c>
      <c r="B1955" s="12">
        <f t="shared" si="306"/>
        <v>40142</v>
      </c>
      <c r="C1955" s="11" t="s">
        <v>285</v>
      </c>
      <c r="D1955" s="11" t="s">
        <v>28</v>
      </c>
    </row>
    <row r="1956">
      <c r="A1956" s="11">
        <v>1955.0</v>
      </c>
      <c r="B1956" s="12">
        <f t="shared" si="306"/>
        <v>40142</v>
      </c>
      <c r="C1956" s="11" t="s">
        <v>395</v>
      </c>
      <c r="D1956" s="11" t="s">
        <v>28</v>
      </c>
    </row>
    <row r="1957">
      <c r="A1957" s="11">
        <v>1956.0</v>
      </c>
      <c r="B1957" s="12">
        <f t="shared" si="306"/>
        <v>40142</v>
      </c>
      <c r="C1957" s="11" t="s">
        <v>1120</v>
      </c>
      <c r="D1957" s="11" t="s">
        <v>49</v>
      </c>
    </row>
    <row r="1958">
      <c r="A1958" s="11">
        <v>1957.0</v>
      </c>
      <c r="B1958" s="12">
        <f t="shared" si="306"/>
        <v>40142</v>
      </c>
      <c r="C1958" s="11" t="s">
        <v>1120</v>
      </c>
      <c r="D1958" s="11" t="s">
        <v>28</v>
      </c>
    </row>
    <row r="1959">
      <c r="A1959" s="11">
        <v>1958.0</v>
      </c>
      <c r="B1959" s="12">
        <f t="shared" ref="B1959:B1961" si="307">DATE(2012,12,31)-1131</f>
        <v>40143</v>
      </c>
      <c r="C1959" s="11" t="s">
        <v>2026</v>
      </c>
      <c r="D1959" s="11" t="s">
        <v>28</v>
      </c>
    </row>
    <row r="1960">
      <c r="A1960" s="11">
        <v>1959.0</v>
      </c>
      <c r="B1960" s="12">
        <f t="shared" si="307"/>
        <v>40143</v>
      </c>
      <c r="C1960" s="11" t="s">
        <v>2026</v>
      </c>
      <c r="D1960" s="11" t="s">
        <v>28</v>
      </c>
    </row>
    <row r="1961">
      <c r="A1961" s="11">
        <v>1960.0</v>
      </c>
      <c r="B1961" s="12">
        <f t="shared" si="307"/>
        <v>40143</v>
      </c>
      <c r="C1961" s="11" t="s">
        <v>2026</v>
      </c>
      <c r="D1961" s="11" t="s">
        <v>28</v>
      </c>
    </row>
    <row r="1962">
      <c r="A1962" s="11">
        <v>1961.0</v>
      </c>
      <c r="B1962" s="12">
        <f>DATE(2012,12,31)-1130</f>
        <v>40144</v>
      </c>
      <c r="C1962" s="11" t="s">
        <v>1123</v>
      </c>
      <c r="D1962" s="11" t="s">
        <v>66</v>
      </c>
    </row>
    <row r="1963">
      <c r="A1963" s="11">
        <v>1962.0</v>
      </c>
      <c r="B1963" s="12">
        <f t="shared" ref="B1963:B1966" si="308">DATE(2012,12,31)-1129</f>
        <v>40145</v>
      </c>
      <c r="C1963" s="11" t="s">
        <v>2027</v>
      </c>
      <c r="D1963" s="11" t="s">
        <v>28</v>
      </c>
    </row>
    <row r="1964">
      <c r="A1964" s="11">
        <v>1963.0</v>
      </c>
      <c r="B1964" s="12">
        <f t="shared" si="308"/>
        <v>40145</v>
      </c>
      <c r="C1964" s="11" t="s">
        <v>2027</v>
      </c>
      <c r="D1964" s="11" t="s">
        <v>66</v>
      </c>
    </row>
    <row r="1965">
      <c r="A1965" s="11">
        <v>1964.0</v>
      </c>
      <c r="B1965" s="12">
        <f t="shared" si="308"/>
        <v>40145</v>
      </c>
      <c r="C1965" s="11" t="s">
        <v>1018</v>
      </c>
      <c r="D1965" s="11" t="s">
        <v>28</v>
      </c>
    </row>
    <row r="1966">
      <c r="A1966" s="11">
        <v>1965.0</v>
      </c>
      <c r="B1966" s="12">
        <f t="shared" si="308"/>
        <v>40145</v>
      </c>
      <c r="C1966" s="11" t="s">
        <v>988</v>
      </c>
      <c r="D1966" s="11" t="s">
        <v>28</v>
      </c>
    </row>
    <row r="1967">
      <c r="A1967" s="11">
        <v>1966.0</v>
      </c>
      <c r="B1967" s="12">
        <f t="shared" ref="B1967:B1972" si="309">DATE(2012,12,31)-1128</f>
        <v>40146</v>
      </c>
      <c r="C1967" s="11" t="s">
        <v>855</v>
      </c>
      <c r="D1967" s="11" t="s">
        <v>66</v>
      </c>
    </row>
    <row r="1968">
      <c r="A1968" s="11">
        <v>1967.0</v>
      </c>
      <c r="B1968" s="12">
        <f t="shared" si="309"/>
        <v>40146</v>
      </c>
      <c r="C1968" s="11" t="s">
        <v>855</v>
      </c>
      <c r="D1968" s="11" t="s">
        <v>28</v>
      </c>
    </row>
    <row r="1969">
      <c r="A1969" s="11">
        <v>1968.0</v>
      </c>
      <c r="B1969" s="12">
        <f t="shared" si="309"/>
        <v>40146</v>
      </c>
      <c r="C1969" s="11" t="s">
        <v>1499</v>
      </c>
      <c r="D1969" s="11" t="s">
        <v>28</v>
      </c>
    </row>
    <row r="1970">
      <c r="A1970" s="11">
        <v>1969.0</v>
      </c>
      <c r="B1970" s="12">
        <f t="shared" si="309"/>
        <v>40146</v>
      </c>
      <c r="C1970" s="11" t="s">
        <v>2033</v>
      </c>
      <c r="D1970" s="11" t="s">
        <v>28</v>
      </c>
    </row>
    <row r="1971">
      <c r="A1971" s="11">
        <v>1970.0</v>
      </c>
      <c r="B1971" s="12">
        <f t="shared" si="309"/>
        <v>40146</v>
      </c>
      <c r="C1971" s="11" t="s">
        <v>2033</v>
      </c>
      <c r="D1971" s="11" t="s">
        <v>28</v>
      </c>
    </row>
    <row r="1972">
      <c r="A1972" s="11">
        <v>1971.0</v>
      </c>
      <c r="B1972" s="12">
        <f t="shared" si="309"/>
        <v>40146</v>
      </c>
      <c r="C1972" s="11" t="s">
        <v>2035</v>
      </c>
      <c r="D1972" s="11" t="s">
        <v>49</v>
      </c>
    </row>
    <row r="1973">
      <c r="A1973" s="11">
        <v>1972.0</v>
      </c>
      <c r="B1973" s="12">
        <f t="shared" ref="B1973:B1981" si="310">DATE(2012,12,31)-1127</f>
        <v>40147</v>
      </c>
      <c r="C1973" s="11" t="s">
        <v>1089</v>
      </c>
      <c r="D1973" s="11" t="s">
        <v>49</v>
      </c>
    </row>
    <row r="1974">
      <c r="A1974" s="11">
        <v>1973.0</v>
      </c>
      <c r="B1974" s="12">
        <f t="shared" si="310"/>
        <v>40147</v>
      </c>
      <c r="C1974" s="11" t="s">
        <v>1089</v>
      </c>
      <c r="D1974" s="11" t="s">
        <v>28</v>
      </c>
    </row>
    <row r="1975">
      <c r="A1975" s="11">
        <v>1974.0</v>
      </c>
      <c r="B1975" s="12">
        <f t="shared" si="310"/>
        <v>40147</v>
      </c>
      <c r="C1975" s="11" t="s">
        <v>1089</v>
      </c>
      <c r="D1975" s="11" t="s">
        <v>49</v>
      </c>
    </row>
    <row r="1976">
      <c r="A1976" s="11">
        <v>1975.0</v>
      </c>
      <c r="B1976" s="12">
        <f t="shared" si="310"/>
        <v>40147</v>
      </c>
      <c r="C1976" s="11" t="s">
        <v>1089</v>
      </c>
      <c r="D1976" s="11" t="s">
        <v>28</v>
      </c>
    </row>
    <row r="1977">
      <c r="A1977" s="11">
        <v>1976.0</v>
      </c>
      <c r="B1977" s="12">
        <f t="shared" si="310"/>
        <v>40147</v>
      </c>
      <c r="C1977" s="11" t="s">
        <v>479</v>
      </c>
      <c r="D1977" s="11" t="s">
        <v>28</v>
      </c>
    </row>
    <row r="1978">
      <c r="A1978" s="11">
        <v>1977.0</v>
      </c>
      <c r="B1978" s="12">
        <f t="shared" si="310"/>
        <v>40147</v>
      </c>
      <c r="C1978" s="11" t="s">
        <v>479</v>
      </c>
      <c r="D1978" s="11" t="s">
        <v>28</v>
      </c>
    </row>
    <row r="1979">
      <c r="A1979" s="11">
        <v>1978.0</v>
      </c>
      <c r="B1979" s="12">
        <f t="shared" si="310"/>
        <v>40147</v>
      </c>
      <c r="C1979" s="11" t="s">
        <v>966</v>
      </c>
      <c r="D1979" s="11" t="s">
        <v>28</v>
      </c>
    </row>
    <row r="1980">
      <c r="A1980" s="11">
        <v>1979.0</v>
      </c>
      <c r="B1980" s="12">
        <f t="shared" si="310"/>
        <v>40147</v>
      </c>
      <c r="C1980" s="11" t="s">
        <v>966</v>
      </c>
      <c r="D1980" s="11" t="s">
        <v>28</v>
      </c>
    </row>
    <row r="1981">
      <c r="A1981" s="11">
        <v>1980.0</v>
      </c>
      <c r="B1981" s="12">
        <f t="shared" si="310"/>
        <v>40147</v>
      </c>
      <c r="C1981" s="11" t="s">
        <v>966</v>
      </c>
      <c r="D1981" s="11" t="s">
        <v>49</v>
      </c>
    </row>
    <row r="1982">
      <c r="A1982" s="11">
        <v>1981.0</v>
      </c>
      <c r="B1982" s="12">
        <f t="shared" ref="B1982:B1986" si="311">DATE(2012,12,31)-1126</f>
        <v>40148</v>
      </c>
      <c r="C1982" s="11" t="s">
        <v>963</v>
      </c>
      <c r="D1982" s="11" t="s">
        <v>28</v>
      </c>
    </row>
    <row r="1983">
      <c r="A1983" s="11">
        <v>1982.0</v>
      </c>
      <c r="B1983" s="12">
        <f t="shared" si="311"/>
        <v>40148</v>
      </c>
      <c r="C1983" s="11" t="s">
        <v>963</v>
      </c>
      <c r="D1983" s="11" t="s">
        <v>28</v>
      </c>
    </row>
    <row r="1984">
      <c r="A1984" s="11">
        <v>1983.0</v>
      </c>
      <c r="B1984" s="12">
        <f t="shared" si="311"/>
        <v>40148</v>
      </c>
      <c r="C1984" s="11" t="s">
        <v>697</v>
      </c>
      <c r="D1984" s="11" t="s">
        <v>66</v>
      </c>
    </row>
    <row r="1985">
      <c r="A1985" s="11">
        <v>1984.0</v>
      </c>
      <c r="B1985" s="12">
        <f t="shared" si="311"/>
        <v>40148</v>
      </c>
      <c r="C1985" s="11" t="s">
        <v>1643</v>
      </c>
      <c r="D1985" s="11" t="s">
        <v>28</v>
      </c>
    </row>
    <row r="1986">
      <c r="A1986" s="11">
        <v>1985.0</v>
      </c>
      <c r="B1986" s="12">
        <f t="shared" si="311"/>
        <v>40148</v>
      </c>
      <c r="C1986" s="11" t="s">
        <v>370</v>
      </c>
      <c r="D1986" s="11" t="s">
        <v>28</v>
      </c>
    </row>
    <row r="1987">
      <c r="A1987" s="11">
        <v>1986.0</v>
      </c>
      <c r="B1987" s="12">
        <f t="shared" ref="B1987:B1994" si="312">DATE(2012,12,31)-1125</f>
        <v>40149</v>
      </c>
      <c r="C1987" s="11" t="s">
        <v>2039</v>
      </c>
      <c r="D1987" s="11" t="s">
        <v>28</v>
      </c>
    </row>
    <row r="1988">
      <c r="A1988" s="11">
        <v>1987.0</v>
      </c>
      <c r="B1988" s="12">
        <f t="shared" si="312"/>
        <v>40149</v>
      </c>
      <c r="C1988" s="11" t="s">
        <v>459</v>
      </c>
      <c r="D1988" s="11" t="s">
        <v>28</v>
      </c>
    </row>
    <row r="1989">
      <c r="A1989" s="11">
        <v>1988.0</v>
      </c>
      <c r="B1989" s="12">
        <f t="shared" si="312"/>
        <v>40149</v>
      </c>
      <c r="C1989" s="11" t="s">
        <v>1578</v>
      </c>
      <c r="D1989" s="11" t="s">
        <v>28</v>
      </c>
    </row>
    <row r="1990">
      <c r="A1990" s="11">
        <v>1989.0</v>
      </c>
      <c r="B1990" s="12">
        <f t="shared" si="312"/>
        <v>40149</v>
      </c>
      <c r="C1990" s="11" t="s">
        <v>1578</v>
      </c>
      <c r="D1990" s="11" t="s">
        <v>49</v>
      </c>
    </row>
    <row r="1991">
      <c r="A1991" s="11">
        <v>1990.0</v>
      </c>
      <c r="B1991" s="12">
        <f t="shared" si="312"/>
        <v>40149</v>
      </c>
      <c r="C1991" s="11" t="s">
        <v>1578</v>
      </c>
      <c r="D1991" s="11" t="s">
        <v>28</v>
      </c>
    </row>
    <row r="1992">
      <c r="A1992" s="11">
        <v>1991.0</v>
      </c>
      <c r="B1992" s="12">
        <f t="shared" si="312"/>
        <v>40149</v>
      </c>
      <c r="C1992" s="11" t="s">
        <v>1578</v>
      </c>
      <c r="D1992" s="11" t="s">
        <v>28</v>
      </c>
    </row>
    <row r="1993">
      <c r="A1993" s="11">
        <v>1992.0</v>
      </c>
      <c r="B1993" s="12">
        <f t="shared" si="312"/>
        <v>40149</v>
      </c>
      <c r="C1993" s="11" t="s">
        <v>584</v>
      </c>
      <c r="D1993" s="11" t="s">
        <v>49</v>
      </c>
    </row>
    <row r="1994">
      <c r="A1994" s="11">
        <v>1993.0</v>
      </c>
      <c r="B1994" s="12">
        <f t="shared" si="312"/>
        <v>40149</v>
      </c>
      <c r="C1994" s="11" t="s">
        <v>1068</v>
      </c>
      <c r="D1994" s="11" t="s">
        <v>28</v>
      </c>
    </row>
    <row r="1995">
      <c r="A1995" s="11">
        <v>1994.0</v>
      </c>
      <c r="B1995" s="12">
        <f>DATE(2012,12,31)-1124</f>
        <v>40150</v>
      </c>
      <c r="C1995" s="11" t="s">
        <v>2043</v>
      </c>
      <c r="D1995" s="11" t="s">
        <v>28</v>
      </c>
    </row>
    <row r="1996">
      <c r="A1996" s="11">
        <v>1995.0</v>
      </c>
      <c r="B1996" s="12">
        <f t="shared" ref="B1996:B1999" si="313">DATE(2012,12,31)-1123</f>
        <v>40151</v>
      </c>
      <c r="C1996" s="11" t="s">
        <v>1917</v>
      </c>
      <c r="D1996" s="11" t="s">
        <v>66</v>
      </c>
    </row>
    <row r="1997">
      <c r="A1997" s="11">
        <v>1996.0</v>
      </c>
      <c r="B1997" s="12">
        <f t="shared" si="313"/>
        <v>40151</v>
      </c>
      <c r="C1997" s="11" t="s">
        <v>1917</v>
      </c>
      <c r="D1997" s="11" t="s">
        <v>66</v>
      </c>
    </row>
    <row r="1998">
      <c r="A1998" s="11">
        <v>1997.0</v>
      </c>
      <c r="B1998" s="12">
        <f t="shared" si="313"/>
        <v>40151</v>
      </c>
      <c r="C1998" s="11" t="s">
        <v>800</v>
      </c>
      <c r="D1998" s="11" t="s">
        <v>28</v>
      </c>
    </row>
    <row r="1999">
      <c r="A1999" s="11">
        <v>1998.0</v>
      </c>
      <c r="B1999" s="12">
        <f t="shared" si="313"/>
        <v>40151</v>
      </c>
      <c r="C1999" s="11" t="s">
        <v>1045</v>
      </c>
      <c r="D1999" s="11" t="s">
        <v>28</v>
      </c>
    </row>
    <row r="2000">
      <c r="A2000" s="11">
        <v>1999.0</v>
      </c>
      <c r="B2000" s="12">
        <f t="shared" ref="B2000:B2010" si="314">DATE(2012,12,31)-1122</f>
        <v>40152</v>
      </c>
      <c r="C2000" s="11" t="s">
        <v>1252</v>
      </c>
      <c r="D2000" s="11" t="s">
        <v>66</v>
      </c>
    </row>
    <row r="2001">
      <c r="A2001" s="11">
        <v>2000.0</v>
      </c>
      <c r="B2001" s="12">
        <f t="shared" si="314"/>
        <v>40152</v>
      </c>
      <c r="C2001" s="11" t="s">
        <v>1252</v>
      </c>
      <c r="D2001" s="11" t="s">
        <v>66</v>
      </c>
    </row>
    <row r="2002">
      <c r="A2002" s="11">
        <v>2001.0</v>
      </c>
      <c r="B2002" s="12">
        <f t="shared" si="314"/>
        <v>40152</v>
      </c>
      <c r="C2002" s="11" t="s">
        <v>1252</v>
      </c>
      <c r="D2002" s="11" t="s">
        <v>28</v>
      </c>
    </row>
    <row r="2003">
      <c r="A2003" s="11">
        <v>2002.0</v>
      </c>
      <c r="B2003" s="12">
        <f t="shared" si="314"/>
        <v>40152</v>
      </c>
      <c r="C2003" s="11" t="s">
        <v>1252</v>
      </c>
      <c r="D2003" s="11" t="s">
        <v>28</v>
      </c>
    </row>
    <row r="2004">
      <c r="A2004" s="11">
        <v>2003.0</v>
      </c>
      <c r="B2004" s="12">
        <f t="shared" si="314"/>
        <v>40152</v>
      </c>
      <c r="C2004" s="11" t="s">
        <v>1252</v>
      </c>
      <c r="D2004" s="11" t="s">
        <v>28</v>
      </c>
    </row>
    <row r="2005">
      <c r="A2005" s="11">
        <v>2004.0</v>
      </c>
      <c r="B2005" s="12">
        <f t="shared" si="314"/>
        <v>40152</v>
      </c>
      <c r="C2005" s="11" t="s">
        <v>2048</v>
      </c>
      <c r="D2005" s="11" t="s">
        <v>49</v>
      </c>
    </row>
    <row r="2006">
      <c r="A2006" s="11">
        <v>2005.0</v>
      </c>
      <c r="B2006" s="12">
        <f t="shared" si="314"/>
        <v>40152</v>
      </c>
      <c r="C2006" s="11" t="s">
        <v>1020</v>
      </c>
      <c r="D2006" s="11" t="s">
        <v>28</v>
      </c>
    </row>
    <row r="2007">
      <c r="A2007" s="11">
        <v>2006.0</v>
      </c>
      <c r="B2007" s="12">
        <f t="shared" si="314"/>
        <v>40152</v>
      </c>
      <c r="C2007" s="11" t="s">
        <v>1020</v>
      </c>
      <c r="D2007" s="11" t="s">
        <v>49</v>
      </c>
    </row>
    <row r="2008">
      <c r="A2008" s="11">
        <v>2007.0</v>
      </c>
      <c r="B2008" s="12">
        <f t="shared" si="314"/>
        <v>40152</v>
      </c>
      <c r="C2008" s="11" t="s">
        <v>1020</v>
      </c>
      <c r="D2008" s="11" t="s">
        <v>28</v>
      </c>
    </row>
    <row r="2009">
      <c r="A2009" s="11">
        <v>2008.0</v>
      </c>
      <c r="B2009" s="12">
        <f t="shared" si="314"/>
        <v>40152</v>
      </c>
      <c r="C2009" s="11" t="s">
        <v>1961</v>
      </c>
      <c r="D2009" s="11" t="s">
        <v>66</v>
      </c>
    </row>
    <row r="2010">
      <c r="A2010" s="11">
        <v>2009.0</v>
      </c>
      <c r="B2010" s="12">
        <f t="shared" si="314"/>
        <v>40152</v>
      </c>
      <c r="C2010" s="11" t="s">
        <v>1961</v>
      </c>
      <c r="D2010" s="11" t="s">
        <v>28</v>
      </c>
    </row>
    <row r="2011">
      <c r="A2011" s="11">
        <v>2010.0</v>
      </c>
      <c r="B2011" s="12">
        <f t="shared" ref="B2011:B2023" si="315">DATE(2012,12,31)-1121</f>
        <v>40153</v>
      </c>
      <c r="C2011" s="11" t="s">
        <v>1442</v>
      </c>
      <c r="D2011" s="11" t="s">
        <v>28</v>
      </c>
    </row>
    <row r="2012">
      <c r="A2012" s="11">
        <v>2011.0</v>
      </c>
      <c r="B2012" s="12">
        <f t="shared" si="315"/>
        <v>40153</v>
      </c>
      <c r="C2012" s="11" t="s">
        <v>1212</v>
      </c>
      <c r="D2012" s="11" t="s">
        <v>66</v>
      </c>
    </row>
    <row r="2013">
      <c r="A2013" s="11">
        <v>2012.0</v>
      </c>
      <c r="B2013" s="12">
        <f t="shared" si="315"/>
        <v>40153</v>
      </c>
      <c r="C2013" s="11" t="s">
        <v>1212</v>
      </c>
      <c r="D2013" s="11" t="s">
        <v>28</v>
      </c>
    </row>
    <row r="2014">
      <c r="A2014" s="11">
        <v>2013.0</v>
      </c>
      <c r="B2014" s="12">
        <f t="shared" si="315"/>
        <v>40153</v>
      </c>
      <c r="C2014" s="11" t="s">
        <v>546</v>
      </c>
      <c r="D2014" s="11" t="s">
        <v>49</v>
      </c>
    </row>
    <row r="2015">
      <c r="A2015" s="11">
        <v>2014.0</v>
      </c>
      <c r="B2015" s="12">
        <f t="shared" si="315"/>
        <v>40153</v>
      </c>
      <c r="C2015" s="11" t="s">
        <v>546</v>
      </c>
      <c r="D2015" s="11" t="s">
        <v>28</v>
      </c>
    </row>
    <row r="2016">
      <c r="A2016" s="11">
        <v>2015.0</v>
      </c>
      <c r="B2016" s="12">
        <f t="shared" si="315"/>
        <v>40153</v>
      </c>
      <c r="C2016" s="11" t="s">
        <v>2052</v>
      </c>
      <c r="D2016" s="11" t="s">
        <v>66</v>
      </c>
    </row>
    <row r="2017">
      <c r="A2017" s="11">
        <v>2016.0</v>
      </c>
      <c r="B2017" s="12">
        <f t="shared" si="315"/>
        <v>40153</v>
      </c>
      <c r="C2017" s="11" t="s">
        <v>2052</v>
      </c>
      <c r="D2017" s="11" t="s">
        <v>28</v>
      </c>
    </row>
    <row r="2018">
      <c r="A2018" s="11">
        <v>2017.0</v>
      </c>
      <c r="B2018" s="12">
        <f t="shared" si="315"/>
        <v>40153</v>
      </c>
      <c r="C2018" s="11" t="s">
        <v>1837</v>
      </c>
      <c r="D2018" s="11" t="s">
        <v>28</v>
      </c>
    </row>
    <row r="2019">
      <c r="A2019" s="11">
        <v>2018.0</v>
      </c>
      <c r="B2019" s="12">
        <f t="shared" si="315"/>
        <v>40153</v>
      </c>
      <c r="C2019" s="11" t="s">
        <v>1332</v>
      </c>
      <c r="D2019" s="11" t="s">
        <v>49</v>
      </c>
    </row>
    <row r="2020">
      <c r="A2020" s="11">
        <v>2019.0</v>
      </c>
      <c r="B2020" s="12">
        <f t="shared" si="315"/>
        <v>40153</v>
      </c>
      <c r="C2020" s="11" t="s">
        <v>1101</v>
      </c>
      <c r="D2020" s="11" t="s">
        <v>28</v>
      </c>
    </row>
    <row r="2021">
      <c r="A2021" s="11">
        <v>2020.0</v>
      </c>
      <c r="B2021" s="12">
        <f t="shared" si="315"/>
        <v>40153</v>
      </c>
      <c r="C2021" s="11" t="s">
        <v>1101</v>
      </c>
      <c r="D2021" s="11" t="s">
        <v>66</v>
      </c>
    </row>
    <row r="2022">
      <c r="A2022" s="11">
        <v>2021.0</v>
      </c>
      <c r="B2022" s="12">
        <f t="shared" si="315"/>
        <v>40153</v>
      </c>
      <c r="C2022" s="11" t="s">
        <v>1564</v>
      </c>
      <c r="D2022" s="11" t="s">
        <v>49</v>
      </c>
    </row>
    <row r="2023">
      <c r="A2023" s="11">
        <v>2022.0</v>
      </c>
      <c r="B2023" s="12">
        <f t="shared" si="315"/>
        <v>40153</v>
      </c>
      <c r="C2023" s="11" t="s">
        <v>1564</v>
      </c>
      <c r="D2023" s="11" t="s">
        <v>28</v>
      </c>
    </row>
    <row r="2024">
      <c r="A2024" s="11">
        <v>2023.0</v>
      </c>
      <c r="B2024" s="12">
        <f t="shared" ref="B2024:B2029" si="316">DATE(2012,12,31)-1120</f>
        <v>40154</v>
      </c>
      <c r="C2024" s="11" t="s">
        <v>2058</v>
      </c>
      <c r="D2024" s="11" t="s">
        <v>66</v>
      </c>
    </row>
    <row r="2025">
      <c r="A2025" s="11">
        <v>2024.0</v>
      </c>
      <c r="B2025" s="12">
        <f t="shared" si="316"/>
        <v>40154</v>
      </c>
      <c r="C2025" s="11" t="s">
        <v>2058</v>
      </c>
      <c r="D2025" s="11" t="s">
        <v>28</v>
      </c>
    </row>
    <row r="2026">
      <c r="A2026" s="11">
        <v>2025.0</v>
      </c>
      <c r="B2026" s="12">
        <f t="shared" si="316"/>
        <v>40154</v>
      </c>
      <c r="C2026" s="11" t="s">
        <v>1228</v>
      </c>
      <c r="D2026" s="11" t="s">
        <v>28</v>
      </c>
    </row>
    <row r="2027">
      <c r="A2027" s="11">
        <v>2026.0</v>
      </c>
      <c r="B2027" s="12">
        <f t="shared" si="316"/>
        <v>40154</v>
      </c>
      <c r="C2027" s="11" t="s">
        <v>1314</v>
      </c>
      <c r="D2027" s="11" t="s">
        <v>28</v>
      </c>
    </row>
    <row r="2028">
      <c r="A2028" s="11">
        <v>2027.0</v>
      </c>
      <c r="B2028" s="12">
        <f t="shared" si="316"/>
        <v>40154</v>
      </c>
      <c r="C2028" s="11" t="s">
        <v>25</v>
      </c>
      <c r="D2028" s="11" t="s">
        <v>66</v>
      </c>
    </row>
    <row r="2029">
      <c r="A2029" s="11">
        <v>2028.0</v>
      </c>
      <c r="B2029" s="12">
        <f t="shared" si="316"/>
        <v>40154</v>
      </c>
      <c r="C2029" s="11" t="s">
        <v>2061</v>
      </c>
      <c r="D2029" s="11" t="s">
        <v>66</v>
      </c>
    </row>
    <row r="2030">
      <c r="A2030" s="11">
        <v>2029.0</v>
      </c>
      <c r="B2030" s="12">
        <f t="shared" ref="B2030:B2031" si="317">DATE(2012,12,31)-1119</f>
        <v>40155</v>
      </c>
      <c r="C2030" s="11" t="s">
        <v>1697</v>
      </c>
      <c r="D2030" s="11" t="s">
        <v>28</v>
      </c>
    </row>
    <row r="2031">
      <c r="A2031" s="11">
        <v>2030.0</v>
      </c>
      <c r="B2031" s="12">
        <f t="shared" si="317"/>
        <v>40155</v>
      </c>
      <c r="C2031" s="11" t="s">
        <v>337</v>
      </c>
      <c r="D2031" s="11" t="s">
        <v>28</v>
      </c>
    </row>
    <row r="2032">
      <c r="A2032" s="11">
        <v>2031.0</v>
      </c>
      <c r="B2032" s="12">
        <f t="shared" ref="B2032:B2036" si="318">DATE(2012,12,31)-1118</f>
        <v>40156</v>
      </c>
      <c r="C2032" s="11" t="s">
        <v>2058</v>
      </c>
      <c r="D2032" s="11" t="s">
        <v>28</v>
      </c>
    </row>
    <row r="2033">
      <c r="A2033" s="11">
        <v>2032.0</v>
      </c>
      <c r="B2033" s="12">
        <f t="shared" si="318"/>
        <v>40156</v>
      </c>
      <c r="C2033" s="11" t="s">
        <v>925</v>
      </c>
      <c r="D2033" s="11" t="s">
        <v>28</v>
      </c>
    </row>
    <row r="2034">
      <c r="A2034" s="11">
        <v>2033.0</v>
      </c>
      <c r="B2034" s="12">
        <f t="shared" si="318"/>
        <v>40156</v>
      </c>
      <c r="C2034" s="11" t="s">
        <v>2062</v>
      </c>
      <c r="D2034" s="11" t="s">
        <v>66</v>
      </c>
    </row>
    <row r="2035">
      <c r="A2035" s="11">
        <v>2034.0</v>
      </c>
      <c r="B2035" s="12">
        <f t="shared" si="318"/>
        <v>40156</v>
      </c>
      <c r="C2035" s="11" t="s">
        <v>2063</v>
      </c>
      <c r="D2035" s="11" t="s">
        <v>49</v>
      </c>
    </row>
    <row r="2036">
      <c r="A2036" s="11">
        <v>2035.0</v>
      </c>
      <c r="B2036" s="12">
        <f t="shared" si="318"/>
        <v>40156</v>
      </c>
      <c r="C2036" s="11" t="s">
        <v>2064</v>
      </c>
      <c r="D2036" s="11" t="s">
        <v>66</v>
      </c>
    </row>
    <row r="2037">
      <c r="A2037" s="11">
        <v>2036.0</v>
      </c>
      <c r="B2037" s="12">
        <f t="shared" ref="B2037:B2039" si="319">DATE(2012,12,31)-1117</f>
        <v>40157</v>
      </c>
      <c r="C2037" s="11" t="s">
        <v>510</v>
      </c>
      <c r="D2037" s="11" t="s">
        <v>49</v>
      </c>
    </row>
    <row r="2038">
      <c r="A2038" s="11">
        <v>2037.0</v>
      </c>
      <c r="B2038" s="12">
        <f t="shared" si="319"/>
        <v>40157</v>
      </c>
      <c r="C2038" s="11" t="s">
        <v>1264</v>
      </c>
      <c r="D2038" s="11" t="s">
        <v>28</v>
      </c>
    </row>
    <row r="2039">
      <c r="A2039" s="11">
        <v>2038.0</v>
      </c>
      <c r="B2039" s="12">
        <f t="shared" si="319"/>
        <v>40157</v>
      </c>
      <c r="C2039" s="11" t="s">
        <v>353</v>
      </c>
      <c r="D2039" s="11" t="s">
        <v>28</v>
      </c>
    </row>
    <row r="2040">
      <c r="A2040" s="11">
        <v>2039.0</v>
      </c>
      <c r="B2040" s="12">
        <f t="shared" ref="B2040:B2046" si="320">DATE(2012,12,31)-1116</f>
        <v>40158</v>
      </c>
      <c r="C2040" s="11" t="s">
        <v>1842</v>
      </c>
      <c r="D2040" s="11" t="s">
        <v>49</v>
      </c>
    </row>
    <row r="2041">
      <c r="A2041" s="11">
        <v>2040.0</v>
      </c>
      <c r="B2041" s="12">
        <f t="shared" si="320"/>
        <v>40158</v>
      </c>
      <c r="C2041" s="11" t="s">
        <v>1842</v>
      </c>
      <c r="D2041" s="11" t="s">
        <v>49</v>
      </c>
    </row>
    <row r="2042">
      <c r="A2042" s="11">
        <v>2041.0</v>
      </c>
      <c r="B2042" s="12">
        <f t="shared" si="320"/>
        <v>40158</v>
      </c>
      <c r="C2042" s="11" t="s">
        <v>1842</v>
      </c>
      <c r="D2042" s="11" t="s">
        <v>28</v>
      </c>
    </row>
    <row r="2043">
      <c r="A2043" s="11">
        <v>2042.0</v>
      </c>
      <c r="B2043" s="12">
        <f t="shared" si="320"/>
        <v>40158</v>
      </c>
      <c r="C2043" s="11" t="s">
        <v>839</v>
      </c>
      <c r="D2043" s="11" t="s">
        <v>49</v>
      </c>
    </row>
    <row r="2044">
      <c r="A2044" s="11">
        <v>2043.0</v>
      </c>
      <c r="B2044" s="12">
        <f t="shared" si="320"/>
        <v>40158</v>
      </c>
      <c r="C2044" s="11" t="s">
        <v>839</v>
      </c>
      <c r="D2044" s="11" t="s">
        <v>66</v>
      </c>
    </row>
    <row r="2045">
      <c r="A2045" s="11">
        <v>2044.0</v>
      </c>
      <c r="B2045" s="12">
        <f t="shared" si="320"/>
        <v>40158</v>
      </c>
      <c r="C2045" s="11" t="s">
        <v>1024</v>
      </c>
      <c r="D2045" s="11" t="s">
        <v>28</v>
      </c>
    </row>
    <row r="2046">
      <c r="A2046" s="11">
        <v>2045.0</v>
      </c>
      <c r="B2046" s="12">
        <f t="shared" si="320"/>
        <v>40158</v>
      </c>
      <c r="C2046" s="11" t="s">
        <v>1805</v>
      </c>
      <c r="D2046" s="11" t="s">
        <v>28</v>
      </c>
    </row>
    <row r="2047">
      <c r="A2047" s="11">
        <v>2046.0</v>
      </c>
      <c r="B2047" s="12">
        <f t="shared" ref="B2047:B2059" si="321">DATE(2012,12,31)-1115</f>
        <v>40159</v>
      </c>
      <c r="C2047" s="11" t="s">
        <v>202</v>
      </c>
      <c r="D2047" s="11" t="s">
        <v>49</v>
      </c>
    </row>
    <row r="2048">
      <c r="A2048" s="11">
        <v>2047.0</v>
      </c>
      <c r="B2048" s="12">
        <f t="shared" si="321"/>
        <v>40159</v>
      </c>
      <c r="C2048" s="11" t="s">
        <v>202</v>
      </c>
      <c r="D2048" s="11" t="s">
        <v>66</v>
      </c>
    </row>
    <row r="2049">
      <c r="A2049" s="11">
        <v>2048.0</v>
      </c>
      <c r="B2049" s="12">
        <f t="shared" si="321"/>
        <v>40159</v>
      </c>
      <c r="C2049" s="11" t="s">
        <v>78</v>
      </c>
      <c r="D2049" s="11" t="s">
        <v>28</v>
      </c>
    </row>
    <row r="2050">
      <c r="A2050" s="11">
        <v>2049.0</v>
      </c>
      <c r="B2050" s="12">
        <f t="shared" si="321"/>
        <v>40159</v>
      </c>
      <c r="C2050" s="11" t="s">
        <v>832</v>
      </c>
      <c r="D2050" s="11" t="s">
        <v>28</v>
      </c>
    </row>
    <row r="2051">
      <c r="A2051" s="11">
        <v>2050.0</v>
      </c>
      <c r="B2051" s="12">
        <f t="shared" si="321"/>
        <v>40159</v>
      </c>
      <c r="C2051" s="11" t="s">
        <v>2068</v>
      </c>
      <c r="D2051" s="11" t="s">
        <v>49</v>
      </c>
    </row>
    <row r="2052">
      <c r="A2052" s="11">
        <v>2051.0</v>
      </c>
      <c r="B2052" s="12">
        <f t="shared" si="321"/>
        <v>40159</v>
      </c>
      <c r="C2052" s="11" t="s">
        <v>2069</v>
      </c>
      <c r="D2052" s="11" t="s">
        <v>28</v>
      </c>
    </row>
    <row r="2053">
      <c r="A2053" s="11">
        <v>2052.0</v>
      </c>
      <c r="B2053" s="12">
        <f t="shared" si="321"/>
        <v>40159</v>
      </c>
      <c r="C2053" s="11" t="s">
        <v>2069</v>
      </c>
      <c r="D2053" s="11" t="s">
        <v>49</v>
      </c>
    </row>
    <row r="2054">
      <c r="A2054" s="11">
        <v>2053.0</v>
      </c>
      <c r="B2054" s="12">
        <f t="shared" si="321"/>
        <v>40159</v>
      </c>
      <c r="C2054" s="11" t="s">
        <v>2069</v>
      </c>
      <c r="D2054" s="11" t="s">
        <v>49</v>
      </c>
    </row>
    <row r="2055">
      <c r="A2055" s="11">
        <v>2054.0</v>
      </c>
      <c r="B2055" s="12">
        <f t="shared" si="321"/>
        <v>40159</v>
      </c>
      <c r="C2055" s="11" t="s">
        <v>2069</v>
      </c>
      <c r="D2055" s="11" t="s">
        <v>66</v>
      </c>
    </row>
    <row r="2056">
      <c r="A2056" s="11">
        <v>2055.0</v>
      </c>
      <c r="B2056" s="12">
        <f t="shared" si="321"/>
        <v>40159</v>
      </c>
      <c r="C2056" s="11" t="s">
        <v>1623</v>
      </c>
      <c r="D2056" s="11" t="s">
        <v>66</v>
      </c>
    </row>
    <row r="2057">
      <c r="A2057" s="11">
        <v>2056.0</v>
      </c>
      <c r="B2057" s="12">
        <f t="shared" si="321"/>
        <v>40159</v>
      </c>
      <c r="C2057" s="11" t="s">
        <v>1623</v>
      </c>
      <c r="D2057" s="11" t="s">
        <v>66</v>
      </c>
    </row>
    <row r="2058">
      <c r="A2058" s="11">
        <v>2057.0</v>
      </c>
      <c r="B2058" s="12">
        <f t="shared" si="321"/>
        <v>40159</v>
      </c>
      <c r="C2058" s="11" t="s">
        <v>786</v>
      </c>
      <c r="D2058" s="11" t="s">
        <v>28</v>
      </c>
    </row>
    <row r="2059">
      <c r="A2059" s="11">
        <v>2058.0</v>
      </c>
      <c r="B2059" s="12">
        <f t="shared" si="321"/>
        <v>40159</v>
      </c>
      <c r="C2059" s="11" t="s">
        <v>786</v>
      </c>
      <c r="D2059" s="11" t="s">
        <v>28</v>
      </c>
    </row>
    <row r="2060">
      <c r="A2060" s="11">
        <v>2059.0</v>
      </c>
      <c r="B2060" s="12">
        <f t="shared" ref="B2060:B2062" si="322">DATE(2012,12,31)-1114</f>
        <v>40160</v>
      </c>
      <c r="C2060" s="11" t="s">
        <v>1625</v>
      </c>
      <c r="D2060" s="11" t="s">
        <v>28</v>
      </c>
    </row>
    <row r="2061">
      <c r="A2061" s="11">
        <v>2060.0</v>
      </c>
      <c r="B2061" s="12">
        <f t="shared" si="322"/>
        <v>40160</v>
      </c>
      <c r="C2061" s="11" t="s">
        <v>1625</v>
      </c>
      <c r="D2061" s="11" t="s">
        <v>28</v>
      </c>
    </row>
    <row r="2062">
      <c r="A2062" s="11">
        <v>2061.0</v>
      </c>
      <c r="B2062" s="12">
        <f t="shared" si="322"/>
        <v>40160</v>
      </c>
      <c r="C2062" s="11" t="s">
        <v>1722</v>
      </c>
      <c r="D2062" s="11" t="s">
        <v>49</v>
      </c>
    </row>
    <row r="2063">
      <c r="A2063" s="11">
        <v>2062.0</v>
      </c>
      <c r="B2063" s="12">
        <f t="shared" ref="B2063:B2071" si="323">DATE(2012,12,31)-1113</f>
        <v>40161</v>
      </c>
      <c r="C2063" s="11" t="s">
        <v>2074</v>
      </c>
      <c r="D2063" s="11" t="s">
        <v>49</v>
      </c>
    </row>
    <row r="2064">
      <c r="A2064" s="11">
        <v>2063.0</v>
      </c>
      <c r="B2064" s="12">
        <f t="shared" si="323"/>
        <v>40161</v>
      </c>
      <c r="C2064" s="11" t="s">
        <v>1008</v>
      </c>
      <c r="D2064" s="11" t="s">
        <v>28</v>
      </c>
    </row>
    <row r="2065">
      <c r="A2065" s="11">
        <v>2064.0</v>
      </c>
      <c r="B2065" s="12">
        <f t="shared" si="323"/>
        <v>40161</v>
      </c>
      <c r="C2065" s="11" t="s">
        <v>528</v>
      </c>
      <c r="D2065" s="11" t="s">
        <v>28</v>
      </c>
    </row>
    <row r="2066">
      <c r="A2066" s="11">
        <v>2065.0</v>
      </c>
      <c r="B2066" s="12">
        <f t="shared" si="323"/>
        <v>40161</v>
      </c>
      <c r="C2066" s="11" t="s">
        <v>528</v>
      </c>
      <c r="D2066" s="11" t="s">
        <v>28</v>
      </c>
    </row>
    <row r="2067">
      <c r="A2067" s="11">
        <v>2066.0</v>
      </c>
      <c r="B2067" s="12">
        <f t="shared" si="323"/>
        <v>40161</v>
      </c>
      <c r="C2067" s="11" t="s">
        <v>2075</v>
      </c>
      <c r="D2067" s="11" t="s">
        <v>49</v>
      </c>
    </row>
    <row r="2068">
      <c r="A2068" s="11">
        <v>2067.0</v>
      </c>
      <c r="B2068" s="12">
        <f t="shared" si="323"/>
        <v>40161</v>
      </c>
      <c r="C2068" s="11" t="s">
        <v>2076</v>
      </c>
      <c r="D2068" s="11" t="s">
        <v>28</v>
      </c>
    </row>
    <row r="2069">
      <c r="A2069" s="11">
        <v>2068.0</v>
      </c>
      <c r="B2069" s="12">
        <f t="shared" si="323"/>
        <v>40161</v>
      </c>
      <c r="C2069" s="11" t="s">
        <v>2076</v>
      </c>
      <c r="D2069" s="11" t="s">
        <v>49</v>
      </c>
    </row>
    <row r="2070">
      <c r="A2070" s="11">
        <v>2069.0</v>
      </c>
      <c r="B2070" s="12">
        <f t="shared" si="323"/>
        <v>40161</v>
      </c>
      <c r="C2070" s="11" t="s">
        <v>1259</v>
      </c>
      <c r="D2070" s="11" t="s">
        <v>28</v>
      </c>
    </row>
    <row r="2071">
      <c r="A2071" s="11">
        <v>2070.0</v>
      </c>
      <c r="B2071" s="12">
        <f t="shared" si="323"/>
        <v>40161</v>
      </c>
      <c r="C2071" s="11" t="s">
        <v>1259</v>
      </c>
      <c r="D2071" s="11" t="s">
        <v>28</v>
      </c>
    </row>
    <row r="2072">
      <c r="A2072" s="11">
        <v>2071.0</v>
      </c>
      <c r="B2072" s="12">
        <f t="shared" ref="B2072:B2073" si="324">DATE(2012,12,31)-1112</f>
        <v>40162</v>
      </c>
      <c r="C2072" s="11" t="s">
        <v>2078</v>
      </c>
      <c r="D2072" s="11" t="s">
        <v>28</v>
      </c>
    </row>
    <row r="2073">
      <c r="A2073" s="22">
        <v>2072.0</v>
      </c>
      <c r="B2073" s="23">
        <f t="shared" si="324"/>
        <v>40162</v>
      </c>
      <c r="C2073" s="22" t="s">
        <v>2078</v>
      </c>
      <c r="D2073" s="22" t="s">
        <v>66</v>
      </c>
    </row>
    <row r="2074">
      <c r="A2074" s="11">
        <v>2073.0</v>
      </c>
      <c r="B2074" s="12">
        <f t="shared" ref="B2074:B2080" si="325">DATE(2012,12,31)-1111</f>
        <v>40163</v>
      </c>
      <c r="C2074" s="11" t="s">
        <v>1841</v>
      </c>
      <c r="D2074" s="11" t="s">
        <v>49</v>
      </c>
    </row>
    <row r="2075">
      <c r="A2075" s="11">
        <v>2074.0</v>
      </c>
      <c r="B2075" s="12">
        <f t="shared" si="325"/>
        <v>40163</v>
      </c>
      <c r="C2075" s="11" t="s">
        <v>1841</v>
      </c>
      <c r="D2075" s="11" t="s">
        <v>28</v>
      </c>
    </row>
    <row r="2076">
      <c r="A2076" s="11">
        <v>2075.0</v>
      </c>
      <c r="B2076" s="12">
        <f t="shared" si="325"/>
        <v>40163</v>
      </c>
      <c r="C2076" s="11" t="s">
        <v>2079</v>
      </c>
      <c r="D2076" s="11" t="s">
        <v>66</v>
      </c>
    </row>
    <row r="2077">
      <c r="A2077" s="11">
        <v>2076.0</v>
      </c>
      <c r="B2077" s="12">
        <f t="shared" si="325"/>
        <v>40163</v>
      </c>
      <c r="C2077" s="11" t="s">
        <v>2080</v>
      </c>
      <c r="D2077" s="11" t="s">
        <v>28</v>
      </c>
    </row>
    <row r="2078">
      <c r="A2078" s="11">
        <v>2077.0</v>
      </c>
      <c r="B2078" s="12">
        <f t="shared" si="325"/>
        <v>40163</v>
      </c>
      <c r="C2078" s="11" t="s">
        <v>662</v>
      </c>
      <c r="D2078" s="11" t="s">
        <v>49</v>
      </c>
    </row>
    <row r="2079">
      <c r="A2079" s="11">
        <v>2078.0</v>
      </c>
      <c r="B2079" s="12">
        <f t="shared" si="325"/>
        <v>40163</v>
      </c>
      <c r="C2079" s="11" t="s">
        <v>759</v>
      </c>
      <c r="D2079" s="11" t="s">
        <v>49</v>
      </c>
    </row>
    <row r="2080">
      <c r="A2080" s="11">
        <v>2079.0</v>
      </c>
      <c r="B2080" s="12">
        <f t="shared" si="325"/>
        <v>40163</v>
      </c>
      <c r="C2080" s="11" t="s">
        <v>2081</v>
      </c>
      <c r="D2080" s="11" t="s">
        <v>28</v>
      </c>
    </row>
    <row r="2081">
      <c r="A2081" s="11">
        <v>2080.0</v>
      </c>
      <c r="B2081" s="12">
        <f t="shared" ref="B2081:B2083" si="326">DATE(2012,12,31)-1110</f>
        <v>40164</v>
      </c>
      <c r="C2081" s="11" t="s">
        <v>2084</v>
      </c>
      <c r="D2081" s="11" t="s">
        <v>28</v>
      </c>
    </row>
    <row r="2082">
      <c r="A2082" s="11">
        <v>2081.0</v>
      </c>
      <c r="B2082" s="12">
        <f t="shared" si="326"/>
        <v>40164</v>
      </c>
      <c r="C2082" s="11" t="s">
        <v>756</v>
      </c>
      <c r="D2082" s="11" t="s">
        <v>28</v>
      </c>
    </row>
    <row r="2083">
      <c r="A2083" s="11">
        <v>2082.0</v>
      </c>
      <c r="B2083" s="12">
        <f t="shared" si="326"/>
        <v>40164</v>
      </c>
      <c r="C2083" s="11" t="s">
        <v>1345</v>
      </c>
      <c r="D2083" s="11" t="s">
        <v>28</v>
      </c>
    </row>
    <row r="2084">
      <c r="A2084" s="11">
        <v>2083.0</v>
      </c>
      <c r="B2084" s="12">
        <f t="shared" ref="B2084:B2090" si="327">DATE(2012,12,31)-1109</f>
        <v>40165</v>
      </c>
      <c r="C2084" s="11" t="s">
        <v>488</v>
      </c>
      <c r="D2084" s="11" t="s">
        <v>49</v>
      </c>
    </row>
    <row r="2085">
      <c r="A2085" s="11">
        <v>2084.0</v>
      </c>
      <c r="B2085" s="12">
        <f t="shared" si="327"/>
        <v>40165</v>
      </c>
      <c r="C2085" s="11" t="s">
        <v>2086</v>
      </c>
      <c r="D2085" s="11" t="s">
        <v>49</v>
      </c>
    </row>
    <row r="2086">
      <c r="A2086" s="11">
        <v>2085.0</v>
      </c>
      <c r="B2086" s="12">
        <f t="shared" si="327"/>
        <v>40165</v>
      </c>
      <c r="C2086" s="11" t="s">
        <v>320</v>
      </c>
      <c r="D2086" s="11" t="s">
        <v>66</v>
      </c>
    </row>
    <row r="2087">
      <c r="A2087" s="11">
        <v>2086.0</v>
      </c>
      <c r="B2087" s="12">
        <f t="shared" si="327"/>
        <v>40165</v>
      </c>
      <c r="C2087" s="11" t="s">
        <v>659</v>
      </c>
      <c r="D2087" s="11" t="s">
        <v>66</v>
      </c>
    </row>
    <row r="2088">
      <c r="A2088" s="11">
        <v>2087.0</v>
      </c>
      <c r="B2088" s="12">
        <f t="shared" si="327"/>
        <v>40165</v>
      </c>
      <c r="C2088" s="11" t="s">
        <v>659</v>
      </c>
      <c r="D2088" s="11" t="s">
        <v>28</v>
      </c>
    </row>
    <row r="2089">
      <c r="A2089" s="11">
        <v>2088.0</v>
      </c>
      <c r="B2089" s="12">
        <f t="shared" si="327"/>
        <v>40165</v>
      </c>
      <c r="C2089" s="11" t="s">
        <v>1906</v>
      </c>
      <c r="D2089" s="11" t="s">
        <v>66</v>
      </c>
    </row>
    <row r="2090">
      <c r="A2090" s="11">
        <v>2089.0</v>
      </c>
      <c r="B2090" s="12">
        <f t="shared" si="327"/>
        <v>40165</v>
      </c>
      <c r="C2090" s="11" t="s">
        <v>1572</v>
      </c>
      <c r="D2090" s="11" t="s">
        <v>66</v>
      </c>
    </row>
    <row r="2091">
      <c r="A2091" s="11">
        <v>2090.0</v>
      </c>
      <c r="B2091" s="12">
        <f t="shared" ref="B2091:B2098" si="328">DATE(2012,12,31)-1108</f>
        <v>40166</v>
      </c>
      <c r="C2091" s="11" t="s">
        <v>1370</v>
      </c>
      <c r="D2091" s="11" t="s">
        <v>49</v>
      </c>
    </row>
    <row r="2092">
      <c r="A2092" s="11">
        <v>2091.0</v>
      </c>
      <c r="B2092" s="12">
        <f t="shared" si="328"/>
        <v>40166</v>
      </c>
      <c r="C2092" s="11" t="s">
        <v>353</v>
      </c>
      <c r="D2092" s="11" t="s">
        <v>66</v>
      </c>
    </row>
    <row r="2093">
      <c r="A2093" s="11">
        <v>2092.0</v>
      </c>
      <c r="B2093" s="12">
        <f t="shared" si="328"/>
        <v>40166</v>
      </c>
      <c r="C2093" s="11" t="s">
        <v>353</v>
      </c>
      <c r="D2093" s="11" t="s">
        <v>49</v>
      </c>
    </row>
    <row r="2094">
      <c r="A2094" s="11">
        <v>2093.0</v>
      </c>
      <c r="B2094" s="12">
        <f t="shared" si="328"/>
        <v>40166</v>
      </c>
      <c r="C2094" s="11" t="s">
        <v>887</v>
      </c>
      <c r="D2094" s="11" t="s">
        <v>66</v>
      </c>
    </row>
    <row r="2095">
      <c r="A2095" s="11">
        <v>2094.0</v>
      </c>
      <c r="B2095" s="12">
        <f t="shared" si="328"/>
        <v>40166</v>
      </c>
      <c r="C2095" s="11" t="s">
        <v>1906</v>
      </c>
      <c r="D2095" s="11" t="s">
        <v>66</v>
      </c>
    </row>
    <row r="2096">
      <c r="A2096" s="11">
        <v>2095.0</v>
      </c>
      <c r="B2096" s="12">
        <f t="shared" si="328"/>
        <v>40166</v>
      </c>
      <c r="C2096" s="11" t="s">
        <v>1906</v>
      </c>
      <c r="D2096" s="11" t="s">
        <v>28</v>
      </c>
    </row>
    <row r="2097">
      <c r="A2097" s="11">
        <v>2096.0</v>
      </c>
      <c r="B2097" s="12">
        <f t="shared" si="328"/>
        <v>40166</v>
      </c>
      <c r="C2097" s="11" t="s">
        <v>337</v>
      </c>
      <c r="D2097" s="11" t="s">
        <v>28</v>
      </c>
    </row>
    <row r="2098">
      <c r="A2098" s="11">
        <v>2097.0</v>
      </c>
      <c r="B2098" s="12">
        <f t="shared" si="328"/>
        <v>40166</v>
      </c>
      <c r="C2098" s="11" t="s">
        <v>2092</v>
      </c>
      <c r="D2098" s="11" t="s">
        <v>28</v>
      </c>
    </row>
    <row r="2099">
      <c r="A2099" s="11">
        <v>2098.0</v>
      </c>
      <c r="B2099" s="12">
        <f t="shared" ref="B2099:B2105" si="329">DATE(2012,12,31)-1107</f>
        <v>40167</v>
      </c>
      <c r="C2099" s="11" t="s">
        <v>1821</v>
      </c>
      <c r="D2099" s="11" t="s">
        <v>49</v>
      </c>
    </row>
    <row r="2100">
      <c r="A2100" s="11">
        <v>2099.0</v>
      </c>
      <c r="B2100" s="12">
        <f t="shared" si="329"/>
        <v>40167</v>
      </c>
      <c r="C2100" s="11" t="s">
        <v>1821</v>
      </c>
      <c r="D2100" s="11" t="s">
        <v>66</v>
      </c>
    </row>
    <row r="2101">
      <c r="A2101" s="11">
        <v>2100.0</v>
      </c>
      <c r="B2101" s="12">
        <f t="shared" si="329"/>
        <v>40167</v>
      </c>
      <c r="C2101" s="11" t="s">
        <v>1303</v>
      </c>
      <c r="D2101" s="11" t="s">
        <v>66</v>
      </c>
    </row>
    <row r="2102">
      <c r="A2102" s="11">
        <v>2101.0</v>
      </c>
      <c r="B2102" s="12">
        <f t="shared" si="329"/>
        <v>40167</v>
      </c>
      <c r="C2102" s="11" t="s">
        <v>219</v>
      </c>
      <c r="D2102" s="11" t="s">
        <v>66</v>
      </c>
    </row>
    <row r="2103">
      <c r="A2103" s="11">
        <v>2102.0</v>
      </c>
      <c r="B2103" s="12">
        <f t="shared" si="329"/>
        <v>40167</v>
      </c>
      <c r="C2103" s="11" t="s">
        <v>1877</v>
      </c>
      <c r="D2103" s="11" t="s">
        <v>28</v>
      </c>
    </row>
    <row r="2104">
      <c r="A2104" s="11">
        <v>2103.0</v>
      </c>
      <c r="B2104" s="12">
        <f t="shared" si="329"/>
        <v>40167</v>
      </c>
      <c r="C2104" s="11" t="s">
        <v>1877</v>
      </c>
      <c r="D2104" s="11" t="s">
        <v>66</v>
      </c>
    </row>
    <row r="2105">
      <c r="A2105" s="11">
        <v>2104.0</v>
      </c>
      <c r="B2105" s="12">
        <f t="shared" si="329"/>
        <v>40167</v>
      </c>
      <c r="C2105" s="11" t="s">
        <v>1303</v>
      </c>
      <c r="D2105" s="11" t="s">
        <v>28</v>
      </c>
    </row>
    <row r="2106">
      <c r="A2106" s="11">
        <v>2105.0</v>
      </c>
      <c r="B2106" s="12">
        <f t="shared" ref="B2106:B2108" si="330">DATE(2012,12,31)-1106</f>
        <v>40168</v>
      </c>
      <c r="C2106" s="11" t="s">
        <v>2069</v>
      </c>
      <c r="D2106" s="11" t="s">
        <v>66</v>
      </c>
    </row>
    <row r="2107">
      <c r="A2107" s="11">
        <v>2106.0</v>
      </c>
      <c r="B2107" s="12">
        <f t="shared" si="330"/>
        <v>40168</v>
      </c>
      <c r="C2107" s="11" t="s">
        <v>2069</v>
      </c>
      <c r="D2107" s="11" t="s">
        <v>28</v>
      </c>
    </row>
    <row r="2108">
      <c r="A2108" s="11">
        <v>2107.0</v>
      </c>
      <c r="B2108" s="12">
        <f t="shared" si="330"/>
        <v>40168</v>
      </c>
      <c r="C2108" s="11" t="s">
        <v>2093</v>
      </c>
      <c r="D2108" s="11" t="s">
        <v>28</v>
      </c>
    </row>
    <row r="2109">
      <c r="A2109" s="11">
        <v>2108.0</v>
      </c>
      <c r="B2109" s="12">
        <f t="shared" ref="B2109:B2115" si="331">DATE(2012,12,31)-1105</f>
        <v>40169</v>
      </c>
      <c r="C2109" s="11" t="s">
        <v>2095</v>
      </c>
      <c r="D2109" s="11" t="s">
        <v>28</v>
      </c>
    </row>
    <row r="2110">
      <c r="A2110" s="11">
        <v>2109.0</v>
      </c>
      <c r="B2110" s="12">
        <f t="shared" si="331"/>
        <v>40169</v>
      </c>
      <c r="C2110" s="11" t="s">
        <v>2097</v>
      </c>
      <c r="D2110" s="11" t="s">
        <v>66</v>
      </c>
    </row>
    <row r="2111">
      <c r="A2111" s="11">
        <v>2110.0</v>
      </c>
      <c r="B2111" s="12">
        <f t="shared" si="331"/>
        <v>40169</v>
      </c>
      <c r="C2111" s="11" t="s">
        <v>2097</v>
      </c>
      <c r="D2111" s="11" t="s">
        <v>28</v>
      </c>
    </row>
    <row r="2112">
      <c r="A2112" s="11">
        <v>2111.0</v>
      </c>
      <c r="B2112" s="12">
        <f t="shared" si="331"/>
        <v>40169</v>
      </c>
      <c r="C2112" s="11" t="s">
        <v>2097</v>
      </c>
      <c r="D2112" s="11" t="s">
        <v>49</v>
      </c>
    </row>
    <row r="2113">
      <c r="A2113" s="11">
        <v>2112.0</v>
      </c>
      <c r="B2113" s="12">
        <f t="shared" si="331"/>
        <v>40169</v>
      </c>
      <c r="C2113" s="11" t="s">
        <v>2098</v>
      </c>
      <c r="D2113" s="11" t="s">
        <v>28</v>
      </c>
    </row>
    <row r="2114">
      <c r="A2114" s="11">
        <v>2113.0</v>
      </c>
      <c r="B2114" s="12">
        <f t="shared" si="331"/>
        <v>40169</v>
      </c>
      <c r="C2114" s="11" t="s">
        <v>1754</v>
      </c>
      <c r="D2114" s="11" t="s">
        <v>28</v>
      </c>
    </row>
    <row r="2115">
      <c r="A2115" s="11">
        <v>2114.0</v>
      </c>
      <c r="B2115" s="12">
        <f t="shared" si="331"/>
        <v>40169</v>
      </c>
      <c r="C2115" s="11" t="s">
        <v>1754</v>
      </c>
      <c r="D2115" s="11" t="s">
        <v>28</v>
      </c>
    </row>
    <row r="2116">
      <c r="A2116" s="11">
        <v>2115.0</v>
      </c>
      <c r="B2116" s="12">
        <f t="shared" ref="B2116:B2118" si="332">DATE(2012,12,31)-1104</f>
        <v>40170</v>
      </c>
      <c r="C2116" s="11" t="s">
        <v>1877</v>
      </c>
      <c r="D2116" s="11" t="s">
        <v>49</v>
      </c>
    </row>
    <row r="2117">
      <c r="A2117" s="11">
        <v>2116.0</v>
      </c>
      <c r="B2117" s="12">
        <f t="shared" si="332"/>
        <v>40170</v>
      </c>
      <c r="C2117" s="11" t="s">
        <v>1068</v>
      </c>
      <c r="D2117" s="11" t="s">
        <v>49</v>
      </c>
    </row>
    <row r="2118">
      <c r="A2118" s="11">
        <v>2117.0</v>
      </c>
      <c r="B2118" s="12">
        <f t="shared" si="332"/>
        <v>40170</v>
      </c>
      <c r="C2118" s="11" t="s">
        <v>2099</v>
      </c>
      <c r="D2118" s="11" t="s">
        <v>66</v>
      </c>
    </row>
    <row r="2119">
      <c r="A2119" s="11">
        <v>2118.0</v>
      </c>
      <c r="B2119" s="12">
        <f t="shared" ref="B2119:B2121" si="333">DATE(2012,12,31)-1103</f>
        <v>40171</v>
      </c>
      <c r="C2119" s="11" t="s">
        <v>1935</v>
      </c>
      <c r="D2119" s="11" t="s">
        <v>28</v>
      </c>
    </row>
    <row r="2120">
      <c r="A2120" s="11">
        <v>2119.0</v>
      </c>
      <c r="B2120" s="12">
        <f t="shared" si="333"/>
        <v>40171</v>
      </c>
      <c r="C2120" s="11" t="s">
        <v>1935</v>
      </c>
      <c r="D2120" s="11" t="s">
        <v>28</v>
      </c>
    </row>
    <row r="2121">
      <c r="A2121" s="11">
        <v>2120.0</v>
      </c>
      <c r="B2121" s="12">
        <f t="shared" si="333"/>
        <v>40171</v>
      </c>
      <c r="C2121" s="11" t="s">
        <v>1605</v>
      </c>
      <c r="D2121" s="11" t="s">
        <v>49</v>
      </c>
    </row>
    <row r="2122">
      <c r="A2122" s="11">
        <v>2121.0</v>
      </c>
      <c r="B2122" s="12">
        <f t="shared" ref="B2122:B2128" si="334">DATE(2012,12,31)-1102</f>
        <v>40172</v>
      </c>
      <c r="C2122" s="11" t="s">
        <v>945</v>
      </c>
      <c r="D2122" s="11" t="s">
        <v>28</v>
      </c>
    </row>
    <row r="2123">
      <c r="A2123" s="11">
        <v>2122.0</v>
      </c>
      <c r="B2123" s="12">
        <f t="shared" si="334"/>
        <v>40172</v>
      </c>
      <c r="C2123" s="11" t="s">
        <v>416</v>
      </c>
      <c r="D2123" s="11" t="s">
        <v>49</v>
      </c>
    </row>
    <row r="2124">
      <c r="A2124" s="11">
        <v>2123.0</v>
      </c>
      <c r="B2124" s="12">
        <f t="shared" si="334"/>
        <v>40172</v>
      </c>
      <c r="C2124" s="11" t="s">
        <v>416</v>
      </c>
      <c r="D2124" s="11" t="s">
        <v>28</v>
      </c>
    </row>
    <row r="2125">
      <c r="A2125" s="11">
        <v>2124.0</v>
      </c>
      <c r="B2125" s="12">
        <f t="shared" si="334"/>
        <v>40172</v>
      </c>
      <c r="C2125" s="11" t="s">
        <v>1256</v>
      </c>
      <c r="D2125" s="11" t="s">
        <v>49</v>
      </c>
    </row>
    <row r="2126">
      <c r="A2126" s="11">
        <v>2125.0</v>
      </c>
      <c r="B2126" s="12">
        <f t="shared" si="334"/>
        <v>40172</v>
      </c>
      <c r="C2126" s="11" t="s">
        <v>262</v>
      </c>
      <c r="D2126" s="11" t="s">
        <v>66</v>
      </c>
    </row>
    <row r="2127">
      <c r="A2127" s="11">
        <v>2126.0</v>
      </c>
      <c r="B2127" s="12">
        <f t="shared" si="334"/>
        <v>40172</v>
      </c>
      <c r="C2127" s="11" t="s">
        <v>2101</v>
      </c>
      <c r="D2127" s="11" t="s">
        <v>28</v>
      </c>
    </row>
    <row r="2128">
      <c r="A2128" s="11">
        <v>2127.0</v>
      </c>
      <c r="B2128" s="12">
        <f t="shared" si="334"/>
        <v>40172</v>
      </c>
      <c r="C2128" s="11" t="s">
        <v>1256</v>
      </c>
      <c r="D2128" s="11" t="s">
        <v>28</v>
      </c>
    </row>
    <row r="2129">
      <c r="A2129" s="11">
        <v>2128.0</v>
      </c>
      <c r="B2129" s="12">
        <f t="shared" ref="B2129:B2132" si="335">DATE(2012,12,31)-1101</f>
        <v>40173</v>
      </c>
      <c r="C2129" s="11" t="s">
        <v>1767</v>
      </c>
      <c r="D2129" s="11" t="s">
        <v>49</v>
      </c>
    </row>
    <row r="2130">
      <c r="A2130" s="11">
        <v>2129.0</v>
      </c>
      <c r="B2130" s="12">
        <f t="shared" si="335"/>
        <v>40173</v>
      </c>
      <c r="C2130" s="11" t="s">
        <v>494</v>
      </c>
      <c r="D2130" s="11" t="s">
        <v>49</v>
      </c>
    </row>
    <row r="2131">
      <c r="A2131" s="11">
        <v>2130.0</v>
      </c>
      <c r="B2131" s="12">
        <f t="shared" si="335"/>
        <v>40173</v>
      </c>
      <c r="C2131" s="11" t="s">
        <v>1353</v>
      </c>
      <c r="D2131" s="11" t="s">
        <v>66</v>
      </c>
    </row>
    <row r="2132">
      <c r="A2132" s="11">
        <v>2131.0</v>
      </c>
      <c r="B2132" s="12">
        <f t="shared" si="335"/>
        <v>40173</v>
      </c>
      <c r="C2132" s="11" t="s">
        <v>1353</v>
      </c>
      <c r="D2132" s="11" t="s">
        <v>49</v>
      </c>
    </row>
    <row r="2133">
      <c r="A2133" s="11">
        <v>2132.0</v>
      </c>
      <c r="B2133" s="12">
        <f t="shared" ref="B2133:B2137" si="336">DATE(2012,12,31)-1100</f>
        <v>40174</v>
      </c>
      <c r="C2133" s="11" t="s">
        <v>1433</v>
      </c>
      <c r="D2133" s="11" t="s">
        <v>28</v>
      </c>
    </row>
    <row r="2134">
      <c r="A2134" s="11">
        <v>2133.0</v>
      </c>
      <c r="B2134" s="12">
        <f t="shared" si="336"/>
        <v>40174</v>
      </c>
      <c r="C2134" s="11" t="s">
        <v>679</v>
      </c>
      <c r="D2134" s="11" t="s">
        <v>28</v>
      </c>
    </row>
    <row r="2135">
      <c r="A2135" s="11">
        <v>2134.0</v>
      </c>
      <c r="B2135" s="12">
        <f t="shared" si="336"/>
        <v>40174</v>
      </c>
      <c r="C2135" s="11" t="s">
        <v>679</v>
      </c>
      <c r="D2135" s="11" t="s">
        <v>66</v>
      </c>
    </row>
    <row r="2136">
      <c r="A2136" s="11">
        <v>2135.0</v>
      </c>
      <c r="B2136" s="12">
        <f t="shared" si="336"/>
        <v>40174</v>
      </c>
      <c r="C2136" s="11" t="s">
        <v>1814</v>
      </c>
      <c r="D2136" s="11" t="s">
        <v>28</v>
      </c>
    </row>
    <row r="2137">
      <c r="A2137" s="11">
        <v>2136.0</v>
      </c>
      <c r="B2137" s="12">
        <f t="shared" si="336"/>
        <v>40174</v>
      </c>
      <c r="C2137" s="11" t="s">
        <v>1814</v>
      </c>
      <c r="D2137" s="11" t="s">
        <v>49</v>
      </c>
    </row>
    <row r="2138">
      <c r="A2138" s="11">
        <v>2137.0</v>
      </c>
      <c r="B2138" s="12">
        <f t="shared" ref="B2138:B2146" si="337">DATE(2012,12,31)-1099</f>
        <v>40175</v>
      </c>
      <c r="C2138" s="11" t="s">
        <v>1414</v>
      </c>
      <c r="D2138" s="11" t="s">
        <v>66</v>
      </c>
    </row>
    <row r="2139">
      <c r="A2139" s="11">
        <v>2138.0</v>
      </c>
      <c r="B2139" s="12">
        <f t="shared" si="337"/>
        <v>40175</v>
      </c>
      <c r="C2139" s="11" t="s">
        <v>897</v>
      </c>
      <c r="D2139" s="11" t="s">
        <v>66</v>
      </c>
    </row>
    <row r="2140">
      <c r="A2140" s="11">
        <v>2139.0</v>
      </c>
      <c r="B2140" s="12">
        <f t="shared" si="337"/>
        <v>40175</v>
      </c>
      <c r="C2140" s="11" t="s">
        <v>897</v>
      </c>
      <c r="D2140" s="11" t="s">
        <v>28</v>
      </c>
    </row>
    <row r="2141">
      <c r="A2141" s="11">
        <v>2140.0</v>
      </c>
      <c r="B2141" s="12">
        <f t="shared" si="337"/>
        <v>40175</v>
      </c>
      <c r="C2141" s="11" t="s">
        <v>855</v>
      </c>
      <c r="D2141" s="11" t="s">
        <v>66</v>
      </c>
    </row>
    <row r="2142">
      <c r="A2142" s="11">
        <v>2141.0</v>
      </c>
      <c r="B2142" s="12">
        <f t="shared" si="337"/>
        <v>40175</v>
      </c>
      <c r="C2142" s="11" t="s">
        <v>293</v>
      </c>
      <c r="D2142" s="11" t="s">
        <v>66</v>
      </c>
    </row>
    <row r="2143">
      <c r="A2143" s="11">
        <v>2142.0</v>
      </c>
      <c r="B2143" s="12">
        <f t="shared" si="337"/>
        <v>40175</v>
      </c>
      <c r="C2143" s="11" t="s">
        <v>2104</v>
      </c>
      <c r="D2143" s="11" t="s">
        <v>66</v>
      </c>
    </row>
    <row r="2144">
      <c r="A2144" s="11">
        <v>2143.0</v>
      </c>
      <c r="B2144" s="12">
        <f t="shared" si="337"/>
        <v>40175</v>
      </c>
      <c r="C2144" s="11" t="s">
        <v>2105</v>
      </c>
      <c r="D2144" s="11" t="s">
        <v>66</v>
      </c>
    </row>
    <row r="2145">
      <c r="A2145" s="11">
        <v>2144.0</v>
      </c>
      <c r="B2145" s="12">
        <f t="shared" si="337"/>
        <v>40175</v>
      </c>
      <c r="C2145" s="11" t="s">
        <v>2105</v>
      </c>
      <c r="D2145" s="11" t="s">
        <v>28</v>
      </c>
    </row>
    <row r="2146">
      <c r="A2146" s="11">
        <v>2145.0</v>
      </c>
      <c r="B2146" s="12">
        <f t="shared" si="337"/>
        <v>40175</v>
      </c>
      <c r="C2146" s="11" t="s">
        <v>1888</v>
      </c>
      <c r="D2146" s="11" t="s">
        <v>28</v>
      </c>
    </row>
    <row r="2147">
      <c r="A2147" s="11">
        <v>2146.0</v>
      </c>
      <c r="B2147" s="12">
        <f t="shared" ref="B2147:B2148" si="338">DATE(2012,12,31)-1098</f>
        <v>40176</v>
      </c>
      <c r="C2147" s="11" t="s">
        <v>1982</v>
      </c>
      <c r="D2147" s="11" t="s">
        <v>28</v>
      </c>
    </row>
    <row r="2148">
      <c r="A2148" s="11">
        <v>2147.0</v>
      </c>
      <c r="B2148" s="12">
        <f t="shared" si="338"/>
        <v>40176</v>
      </c>
      <c r="C2148" s="11" t="s">
        <v>1982</v>
      </c>
      <c r="D2148" s="11" t="s">
        <v>66</v>
      </c>
    </row>
    <row r="2149">
      <c r="A2149" s="11">
        <v>2148.0</v>
      </c>
      <c r="B2149" s="12">
        <f t="shared" ref="B2149:B2151" si="339">DATE(2012,12,31)-1097</f>
        <v>40177</v>
      </c>
      <c r="C2149" s="11" t="s">
        <v>1524</v>
      </c>
      <c r="D2149" s="11" t="s">
        <v>28</v>
      </c>
    </row>
    <row r="2150">
      <c r="A2150" s="11">
        <v>2149.0</v>
      </c>
      <c r="B2150" s="12">
        <f t="shared" si="339"/>
        <v>40177</v>
      </c>
      <c r="C2150" s="11" t="s">
        <v>1524</v>
      </c>
      <c r="D2150" s="11" t="s">
        <v>66</v>
      </c>
    </row>
    <row r="2151">
      <c r="A2151" s="11">
        <v>2150.0</v>
      </c>
      <c r="B2151" s="12">
        <f t="shared" si="339"/>
        <v>40177</v>
      </c>
      <c r="C2151" s="11" t="s">
        <v>1524</v>
      </c>
      <c r="D2151" s="11" t="s">
        <v>28</v>
      </c>
    </row>
    <row r="2152">
      <c r="A2152" s="11">
        <v>2151.0</v>
      </c>
      <c r="B2152" s="12">
        <f t="shared" ref="B2152:B2154" si="340">DATE(2012,12,31)-1096</f>
        <v>40178</v>
      </c>
      <c r="C2152" s="11" t="s">
        <v>2112</v>
      </c>
      <c r="D2152" s="11" t="s">
        <v>66</v>
      </c>
    </row>
    <row r="2153">
      <c r="A2153" s="11">
        <v>2152.0</v>
      </c>
      <c r="B2153" s="12">
        <f t="shared" si="340"/>
        <v>40178</v>
      </c>
      <c r="C2153" s="11" t="s">
        <v>2112</v>
      </c>
      <c r="D2153" s="11" t="s">
        <v>28</v>
      </c>
    </row>
    <row r="2154">
      <c r="A2154" s="29">
        <v>2153.0</v>
      </c>
      <c r="B2154" s="30">
        <f t="shared" si="340"/>
        <v>40178</v>
      </c>
      <c r="C2154" s="29" t="s">
        <v>2112</v>
      </c>
      <c r="D2154" s="29" t="s">
        <v>49</v>
      </c>
    </row>
    <row r="2155">
      <c r="A2155" s="11">
        <v>2154.0</v>
      </c>
      <c r="B2155" s="12">
        <f t="shared" ref="B2155:B2159" si="341">DATE(2012,12,31)-1095</f>
        <v>40179</v>
      </c>
      <c r="C2155" s="11" t="s">
        <v>1535</v>
      </c>
      <c r="D2155" s="11" t="s">
        <v>28</v>
      </c>
    </row>
    <row r="2156">
      <c r="A2156" s="11">
        <v>2155.0</v>
      </c>
      <c r="B2156" s="12">
        <f t="shared" si="341"/>
        <v>40179</v>
      </c>
      <c r="C2156" s="11" t="s">
        <v>1535</v>
      </c>
      <c r="D2156" s="11" t="s">
        <v>49</v>
      </c>
    </row>
    <row r="2157">
      <c r="A2157" s="11">
        <v>2156.0</v>
      </c>
      <c r="B2157" s="12">
        <f t="shared" si="341"/>
        <v>40179</v>
      </c>
      <c r="C2157" s="11" t="s">
        <v>1535</v>
      </c>
      <c r="D2157" s="11" t="s">
        <v>66</v>
      </c>
    </row>
    <row r="2158">
      <c r="A2158" s="11">
        <v>2157.0</v>
      </c>
      <c r="B2158" s="12">
        <f t="shared" si="341"/>
        <v>40179</v>
      </c>
      <c r="C2158" s="11" t="s">
        <v>180</v>
      </c>
      <c r="D2158" s="11" t="s">
        <v>28</v>
      </c>
    </row>
    <row r="2159">
      <c r="A2159" s="11">
        <v>2158.0</v>
      </c>
      <c r="B2159" s="12">
        <f t="shared" si="341"/>
        <v>40179</v>
      </c>
      <c r="C2159" s="11" t="s">
        <v>1095</v>
      </c>
      <c r="D2159" s="11" t="s">
        <v>66</v>
      </c>
    </row>
    <row r="2160">
      <c r="A2160" s="11">
        <v>2159.0</v>
      </c>
      <c r="B2160" s="12">
        <f t="shared" ref="B2160:B2165" si="342">DATE(2012,12,31)-1094</f>
        <v>40180</v>
      </c>
      <c r="C2160" s="11" t="s">
        <v>1410</v>
      </c>
      <c r="D2160" s="11" t="s">
        <v>28</v>
      </c>
    </row>
    <row r="2161">
      <c r="A2161" s="11">
        <v>2160.0</v>
      </c>
      <c r="B2161" s="12">
        <f t="shared" si="342"/>
        <v>40180</v>
      </c>
      <c r="C2161" s="11" t="s">
        <v>1410</v>
      </c>
      <c r="D2161" s="11" t="s">
        <v>66</v>
      </c>
    </row>
    <row r="2162">
      <c r="A2162" s="11">
        <v>2161.0</v>
      </c>
      <c r="B2162" s="12">
        <f t="shared" si="342"/>
        <v>40180</v>
      </c>
      <c r="C2162" s="11" t="s">
        <v>2116</v>
      </c>
      <c r="D2162" s="11" t="s">
        <v>66</v>
      </c>
    </row>
    <row r="2163">
      <c r="A2163" s="11">
        <v>2162.0</v>
      </c>
      <c r="B2163" s="12">
        <f t="shared" si="342"/>
        <v>40180</v>
      </c>
      <c r="C2163" s="11" t="s">
        <v>2116</v>
      </c>
      <c r="D2163" s="11" t="s">
        <v>28</v>
      </c>
    </row>
    <row r="2164">
      <c r="A2164" s="11">
        <v>2163.0</v>
      </c>
      <c r="B2164" s="12">
        <f t="shared" si="342"/>
        <v>40180</v>
      </c>
      <c r="C2164" s="11" t="s">
        <v>235</v>
      </c>
      <c r="D2164" s="11" t="s">
        <v>28</v>
      </c>
    </row>
    <row r="2165">
      <c r="A2165" s="11">
        <v>2164.0</v>
      </c>
      <c r="B2165" s="12">
        <f t="shared" si="342"/>
        <v>40180</v>
      </c>
      <c r="C2165" s="11" t="s">
        <v>202</v>
      </c>
      <c r="D2165" s="11" t="s">
        <v>49</v>
      </c>
    </row>
    <row r="2166">
      <c r="A2166" s="11">
        <v>2165.0</v>
      </c>
      <c r="B2166" s="12">
        <f t="shared" ref="B2166:B2174" si="343">DATE(2012,12,31)-1093</f>
        <v>40181</v>
      </c>
      <c r="C2166" s="11" t="s">
        <v>2009</v>
      </c>
      <c r="D2166" s="11" t="s">
        <v>28</v>
      </c>
    </row>
    <row r="2167">
      <c r="A2167" s="11">
        <v>2166.0</v>
      </c>
      <c r="B2167" s="12">
        <f t="shared" si="343"/>
        <v>40181</v>
      </c>
      <c r="C2167" s="11" t="s">
        <v>2009</v>
      </c>
      <c r="D2167" s="11" t="s">
        <v>66</v>
      </c>
    </row>
    <row r="2168">
      <c r="A2168" s="11">
        <v>2167.0</v>
      </c>
      <c r="B2168" s="12">
        <f t="shared" si="343"/>
        <v>40181</v>
      </c>
      <c r="C2168" s="11" t="s">
        <v>2009</v>
      </c>
      <c r="D2168" s="11" t="s">
        <v>28</v>
      </c>
    </row>
    <row r="2169">
      <c r="A2169" s="11">
        <v>2168.0</v>
      </c>
      <c r="B2169" s="12">
        <f t="shared" si="343"/>
        <v>40181</v>
      </c>
      <c r="C2169" s="11" t="s">
        <v>1014</v>
      </c>
      <c r="D2169" s="11" t="s">
        <v>28</v>
      </c>
    </row>
    <row r="2170">
      <c r="A2170" s="11">
        <v>2169.0</v>
      </c>
      <c r="B2170" s="12">
        <f t="shared" si="343"/>
        <v>40181</v>
      </c>
      <c r="C2170" s="11" t="s">
        <v>1259</v>
      </c>
      <c r="D2170" s="11" t="s">
        <v>28</v>
      </c>
    </row>
    <row r="2171">
      <c r="A2171" s="11">
        <v>2170.0</v>
      </c>
      <c r="B2171" s="12">
        <f t="shared" si="343"/>
        <v>40181</v>
      </c>
      <c r="C2171" s="11" t="s">
        <v>1259</v>
      </c>
      <c r="D2171" s="11" t="s">
        <v>28</v>
      </c>
    </row>
    <row r="2172">
      <c r="A2172" s="11">
        <v>2171.0</v>
      </c>
      <c r="B2172" s="12">
        <f t="shared" si="343"/>
        <v>40181</v>
      </c>
      <c r="C2172" s="11" t="s">
        <v>1259</v>
      </c>
      <c r="D2172" s="11" t="s">
        <v>28</v>
      </c>
    </row>
    <row r="2173">
      <c r="A2173" s="11">
        <v>2172.0</v>
      </c>
      <c r="B2173" s="12">
        <f t="shared" si="343"/>
        <v>40181</v>
      </c>
      <c r="C2173" s="11" t="s">
        <v>1259</v>
      </c>
      <c r="D2173" s="11" t="s">
        <v>49</v>
      </c>
    </row>
    <row r="2174">
      <c r="A2174" s="11">
        <v>2173.0</v>
      </c>
      <c r="B2174" s="12">
        <f t="shared" si="343"/>
        <v>40181</v>
      </c>
      <c r="C2174" s="11" t="s">
        <v>120</v>
      </c>
      <c r="D2174" s="11" t="s">
        <v>66</v>
      </c>
    </row>
    <row r="2175">
      <c r="A2175" s="11">
        <v>2174.0</v>
      </c>
      <c r="B2175" s="12">
        <f t="shared" ref="B2175:B2177" si="344">DATE(2012,12,31)-1092</f>
        <v>40182</v>
      </c>
      <c r="C2175" s="11" t="s">
        <v>892</v>
      </c>
      <c r="D2175" s="11" t="s">
        <v>66</v>
      </c>
    </row>
    <row r="2176">
      <c r="A2176" s="11">
        <v>2175.0</v>
      </c>
      <c r="B2176" s="12">
        <f t="shared" si="344"/>
        <v>40182</v>
      </c>
      <c r="C2176" s="11" t="s">
        <v>892</v>
      </c>
      <c r="D2176" s="11" t="s">
        <v>28</v>
      </c>
    </row>
    <row r="2177">
      <c r="A2177" s="11">
        <v>2176.0</v>
      </c>
      <c r="B2177" s="12">
        <f t="shared" si="344"/>
        <v>40182</v>
      </c>
      <c r="C2177" s="11" t="s">
        <v>892</v>
      </c>
      <c r="D2177" s="11" t="s">
        <v>28</v>
      </c>
    </row>
    <row r="2178">
      <c r="A2178" s="11">
        <v>2177.0</v>
      </c>
      <c r="B2178" s="12">
        <f t="shared" ref="B2178:B2183" si="345">DATE(2012,12,31)-1091</f>
        <v>40183</v>
      </c>
      <c r="C2178" s="11" t="s">
        <v>1887</v>
      </c>
      <c r="D2178" s="11" t="s">
        <v>28</v>
      </c>
    </row>
    <row r="2179">
      <c r="A2179" s="11">
        <v>2178.0</v>
      </c>
      <c r="B2179" s="12">
        <f t="shared" si="345"/>
        <v>40183</v>
      </c>
      <c r="C2179" s="11" t="s">
        <v>1887</v>
      </c>
      <c r="D2179" s="11" t="s">
        <v>66</v>
      </c>
    </row>
    <row r="2180">
      <c r="A2180" s="11">
        <v>2179.0</v>
      </c>
      <c r="B2180" s="12">
        <f t="shared" si="345"/>
        <v>40183</v>
      </c>
      <c r="C2180" s="11" t="s">
        <v>1264</v>
      </c>
      <c r="D2180" s="11" t="s">
        <v>28</v>
      </c>
    </row>
    <row r="2181">
      <c r="A2181" s="11">
        <v>2180.0</v>
      </c>
      <c r="B2181" s="12">
        <f t="shared" si="345"/>
        <v>40183</v>
      </c>
      <c r="C2181" s="11" t="s">
        <v>1264</v>
      </c>
      <c r="D2181" s="11" t="s">
        <v>66</v>
      </c>
    </row>
    <row r="2182">
      <c r="A2182" s="11">
        <v>2181.0</v>
      </c>
      <c r="B2182" s="12">
        <f t="shared" si="345"/>
        <v>40183</v>
      </c>
      <c r="C2182" s="11" t="s">
        <v>1857</v>
      </c>
      <c r="D2182" s="11" t="s">
        <v>49</v>
      </c>
    </row>
    <row r="2183">
      <c r="A2183" s="11">
        <v>2182.0</v>
      </c>
      <c r="B2183" s="12">
        <f t="shared" si="345"/>
        <v>40183</v>
      </c>
      <c r="C2183" s="11" t="s">
        <v>1857</v>
      </c>
      <c r="D2183" s="11" t="s">
        <v>28</v>
      </c>
    </row>
    <row r="2184">
      <c r="A2184" s="11">
        <v>2183.0</v>
      </c>
      <c r="B2184" s="12">
        <f t="shared" ref="B2184:B2186" si="346">DATE(2012,12,31)-1090</f>
        <v>40184</v>
      </c>
      <c r="C2184" s="11" t="s">
        <v>1825</v>
      </c>
      <c r="D2184" s="11" t="s">
        <v>28</v>
      </c>
    </row>
    <row r="2185">
      <c r="A2185" s="11">
        <v>2184.0</v>
      </c>
      <c r="B2185" s="12">
        <f t="shared" si="346"/>
        <v>40184</v>
      </c>
      <c r="C2185" s="11" t="s">
        <v>1825</v>
      </c>
      <c r="D2185" s="11" t="s">
        <v>49</v>
      </c>
    </row>
    <row r="2186">
      <c r="A2186" s="11">
        <v>2185.0</v>
      </c>
      <c r="B2186" s="12">
        <f t="shared" si="346"/>
        <v>40184</v>
      </c>
      <c r="C2186" s="11" t="s">
        <v>1653</v>
      </c>
      <c r="D2186" s="11" t="s">
        <v>49</v>
      </c>
    </row>
    <row r="2187">
      <c r="A2187" s="11">
        <v>2186.0</v>
      </c>
      <c r="B2187" s="12">
        <f t="shared" ref="B2187:B2192" si="347">DATE(2012,12,31)-1089</f>
        <v>40185</v>
      </c>
      <c r="C2187" s="11" t="s">
        <v>1370</v>
      </c>
      <c r="D2187" s="11" t="s">
        <v>28</v>
      </c>
    </row>
    <row r="2188">
      <c r="A2188" s="11">
        <v>2187.0</v>
      </c>
      <c r="B2188" s="12">
        <f t="shared" si="347"/>
        <v>40185</v>
      </c>
      <c r="C2188" s="11" t="s">
        <v>215</v>
      </c>
      <c r="D2188" s="11" t="s">
        <v>28</v>
      </c>
    </row>
    <row r="2189">
      <c r="A2189" s="11">
        <v>2188.0</v>
      </c>
      <c r="B2189" s="12">
        <f t="shared" si="347"/>
        <v>40185</v>
      </c>
      <c r="C2189" s="11" t="s">
        <v>1214</v>
      </c>
      <c r="D2189" s="11" t="s">
        <v>28</v>
      </c>
    </row>
    <row r="2190">
      <c r="A2190" s="11">
        <v>2189.0</v>
      </c>
      <c r="B2190" s="12">
        <f t="shared" si="347"/>
        <v>40185</v>
      </c>
      <c r="C2190" s="11" t="s">
        <v>1214</v>
      </c>
      <c r="D2190" s="11" t="s">
        <v>28</v>
      </c>
    </row>
    <row r="2191">
      <c r="A2191" s="11">
        <v>2190.0</v>
      </c>
      <c r="B2191" s="12">
        <f t="shared" si="347"/>
        <v>40185</v>
      </c>
      <c r="C2191" s="11" t="s">
        <v>1214</v>
      </c>
      <c r="D2191" s="11" t="s">
        <v>49</v>
      </c>
    </row>
    <row r="2192">
      <c r="A2192" s="11">
        <v>2191.0</v>
      </c>
      <c r="B2192" s="12">
        <f t="shared" si="347"/>
        <v>40185</v>
      </c>
      <c r="C2192" s="11" t="s">
        <v>759</v>
      </c>
      <c r="D2192" s="11" t="s">
        <v>28</v>
      </c>
    </row>
    <row r="2193">
      <c r="A2193" s="11">
        <v>2192.0</v>
      </c>
      <c r="B2193" s="12">
        <f t="shared" ref="B2193:B2196" si="348">DATE(2012,12,31)-1088</f>
        <v>40186</v>
      </c>
      <c r="C2193" s="11" t="s">
        <v>1410</v>
      </c>
      <c r="D2193" s="11" t="s">
        <v>28</v>
      </c>
    </row>
    <row r="2194">
      <c r="A2194" s="11">
        <v>2193.0</v>
      </c>
      <c r="B2194" s="12">
        <f t="shared" si="348"/>
        <v>40186</v>
      </c>
      <c r="C2194" s="11" t="s">
        <v>2127</v>
      </c>
      <c r="D2194" s="11" t="s">
        <v>66</v>
      </c>
    </row>
    <row r="2195">
      <c r="A2195" s="11">
        <v>2194.0</v>
      </c>
      <c r="B2195" s="12">
        <f t="shared" si="348"/>
        <v>40186</v>
      </c>
      <c r="C2195" s="11" t="s">
        <v>771</v>
      </c>
      <c r="D2195" s="11" t="s">
        <v>66</v>
      </c>
    </row>
    <row r="2196">
      <c r="A2196" s="11">
        <v>2195.0</v>
      </c>
      <c r="B2196" s="12">
        <f t="shared" si="348"/>
        <v>40186</v>
      </c>
      <c r="C2196" s="11" t="s">
        <v>2128</v>
      </c>
      <c r="D2196" s="11" t="s">
        <v>28</v>
      </c>
    </row>
    <row r="2197">
      <c r="A2197" s="11">
        <v>2196.0</v>
      </c>
      <c r="B2197" s="12">
        <f t="shared" ref="B2197:B2198" si="349">DATE(2012,12,31)-1087</f>
        <v>40187</v>
      </c>
      <c r="C2197" s="11" t="s">
        <v>775</v>
      </c>
      <c r="D2197" s="11" t="s">
        <v>66</v>
      </c>
    </row>
    <row r="2198">
      <c r="A2198" s="11">
        <v>2197.0</v>
      </c>
      <c r="B2198" s="12">
        <f t="shared" si="349"/>
        <v>40187</v>
      </c>
      <c r="C2198" s="11" t="s">
        <v>1876</v>
      </c>
      <c r="D2198" s="11" t="s">
        <v>66</v>
      </c>
    </row>
    <row r="2199">
      <c r="A2199" s="11">
        <v>2198.0</v>
      </c>
      <c r="B2199" s="12">
        <f t="shared" ref="B2199:B2208" si="350">DATE(2012,12,31)-1086</f>
        <v>40188</v>
      </c>
      <c r="C2199" s="11" t="s">
        <v>1054</v>
      </c>
      <c r="D2199" s="11" t="s">
        <v>66</v>
      </c>
    </row>
    <row r="2200">
      <c r="A2200" s="11">
        <v>2199.0</v>
      </c>
      <c r="B2200" s="12">
        <f t="shared" si="350"/>
        <v>40188</v>
      </c>
      <c r="C2200" s="11" t="s">
        <v>567</v>
      </c>
      <c r="D2200" s="11" t="s">
        <v>66</v>
      </c>
    </row>
    <row r="2201">
      <c r="A2201" s="11">
        <v>2200.0</v>
      </c>
      <c r="B2201" s="12">
        <f t="shared" si="350"/>
        <v>40188</v>
      </c>
      <c r="C2201" s="11" t="s">
        <v>608</v>
      </c>
      <c r="D2201" s="11" t="s">
        <v>28</v>
      </c>
    </row>
    <row r="2202">
      <c r="A2202" s="11">
        <v>2201.0</v>
      </c>
      <c r="B2202" s="12">
        <f t="shared" si="350"/>
        <v>40188</v>
      </c>
      <c r="C2202" s="11" t="s">
        <v>608</v>
      </c>
      <c r="D2202" s="11" t="s">
        <v>66</v>
      </c>
    </row>
    <row r="2203">
      <c r="A2203" s="11">
        <v>2202.0</v>
      </c>
      <c r="B2203" s="12">
        <f t="shared" si="350"/>
        <v>40188</v>
      </c>
      <c r="C2203" s="11" t="s">
        <v>2131</v>
      </c>
      <c r="D2203" s="11" t="s">
        <v>49</v>
      </c>
    </row>
    <row r="2204">
      <c r="A2204" s="11">
        <v>2203.0</v>
      </c>
      <c r="B2204" s="12">
        <f t="shared" si="350"/>
        <v>40188</v>
      </c>
      <c r="C2204" s="11" t="s">
        <v>2131</v>
      </c>
      <c r="D2204" s="11" t="s">
        <v>28</v>
      </c>
    </row>
    <row r="2205">
      <c r="A2205" s="11">
        <v>2204.0</v>
      </c>
      <c r="B2205" s="12">
        <f t="shared" si="350"/>
        <v>40188</v>
      </c>
      <c r="C2205" s="11" t="s">
        <v>1524</v>
      </c>
      <c r="D2205" s="11" t="s">
        <v>49</v>
      </c>
    </row>
    <row r="2206">
      <c r="A2206" s="11">
        <v>2205.0</v>
      </c>
      <c r="B2206" s="12">
        <f t="shared" si="350"/>
        <v>40188</v>
      </c>
      <c r="C2206" s="11" t="s">
        <v>1524</v>
      </c>
      <c r="D2206" s="11" t="s">
        <v>28</v>
      </c>
    </row>
    <row r="2207">
      <c r="A2207" s="11">
        <v>2206.0</v>
      </c>
      <c r="B2207" s="12">
        <f t="shared" si="350"/>
        <v>40188</v>
      </c>
      <c r="C2207" s="11" t="s">
        <v>897</v>
      </c>
      <c r="D2207" s="11" t="s">
        <v>28</v>
      </c>
    </row>
    <row r="2208">
      <c r="A2208" s="11">
        <v>2207.0</v>
      </c>
      <c r="B2208" s="12">
        <f t="shared" si="350"/>
        <v>40188</v>
      </c>
      <c r="C2208" s="11" t="s">
        <v>897</v>
      </c>
      <c r="D2208" s="11" t="s">
        <v>28</v>
      </c>
    </row>
    <row r="2209">
      <c r="A2209" s="11">
        <v>2208.0</v>
      </c>
      <c r="B2209" s="12">
        <f t="shared" ref="B2209:B2217" si="351">DATE(2012,12,31)-1085</f>
        <v>40189</v>
      </c>
      <c r="C2209" s="11" t="s">
        <v>1444</v>
      </c>
      <c r="D2209" s="11" t="s">
        <v>49</v>
      </c>
    </row>
    <row r="2210">
      <c r="A2210" s="11">
        <v>2209.0</v>
      </c>
      <c r="B2210" s="12">
        <f t="shared" si="351"/>
        <v>40189</v>
      </c>
      <c r="C2210" s="11" t="s">
        <v>871</v>
      </c>
      <c r="D2210" s="11" t="s">
        <v>28</v>
      </c>
    </row>
    <row r="2211">
      <c r="A2211" s="11">
        <v>2210.0</v>
      </c>
      <c r="B2211" s="12">
        <f t="shared" si="351"/>
        <v>40189</v>
      </c>
      <c r="C2211" s="11" t="s">
        <v>444</v>
      </c>
      <c r="D2211" s="11" t="s">
        <v>28</v>
      </c>
    </row>
    <row r="2212">
      <c r="A2212" s="11">
        <v>2211.0</v>
      </c>
      <c r="B2212" s="12">
        <f t="shared" si="351"/>
        <v>40189</v>
      </c>
      <c r="C2212" s="11" t="s">
        <v>444</v>
      </c>
      <c r="D2212" s="11" t="s">
        <v>28</v>
      </c>
    </row>
    <row r="2213">
      <c r="A2213" s="11">
        <v>2212.0</v>
      </c>
      <c r="B2213" s="12">
        <f t="shared" si="351"/>
        <v>40189</v>
      </c>
      <c r="C2213" s="11" t="s">
        <v>444</v>
      </c>
      <c r="D2213" s="11" t="s">
        <v>49</v>
      </c>
    </row>
    <row r="2214">
      <c r="A2214" s="11">
        <v>2213.0</v>
      </c>
      <c r="B2214" s="12">
        <f t="shared" si="351"/>
        <v>40189</v>
      </c>
      <c r="C2214" s="11" t="s">
        <v>1210</v>
      </c>
      <c r="D2214" s="11" t="s">
        <v>66</v>
      </c>
    </row>
    <row r="2215">
      <c r="A2215" s="11">
        <v>2214.0</v>
      </c>
      <c r="B2215" s="12">
        <f t="shared" si="351"/>
        <v>40189</v>
      </c>
      <c r="C2215" s="11" t="s">
        <v>1210</v>
      </c>
      <c r="D2215" s="11" t="s">
        <v>28</v>
      </c>
    </row>
    <row r="2216">
      <c r="A2216" s="11">
        <v>2215.0</v>
      </c>
      <c r="B2216" s="12">
        <f t="shared" si="351"/>
        <v>40189</v>
      </c>
      <c r="C2216" s="11" t="s">
        <v>1210</v>
      </c>
      <c r="D2216" s="11" t="s">
        <v>49</v>
      </c>
    </row>
    <row r="2217">
      <c r="A2217" s="11">
        <v>2216.0</v>
      </c>
      <c r="B2217" s="12">
        <f t="shared" si="351"/>
        <v>40189</v>
      </c>
      <c r="C2217" s="11" t="s">
        <v>1210</v>
      </c>
      <c r="D2217" s="11" t="s">
        <v>66</v>
      </c>
    </row>
    <row r="2218">
      <c r="A2218" s="11">
        <v>2217.0</v>
      </c>
      <c r="B2218" s="12">
        <f t="shared" ref="B2218:B2222" si="352">DATE(2012,12,31)-1084</f>
        <v>40190</v>
      </c>
      <c r="C2218" s="11" t="s">
        <v>403</v>
      </c>
      <c r="D2218" s="11" t="s">
        <v>28</v>
      </c>
    </row>
    <row r="2219">
      <c r="A2219" s="11">
        <v>2218.0</v>
      </c>
      <c r="B2219" s="12">
        <f t="shared" si="352"/>
        <v>40190</v>
      </c>
      <c r="C2219" s="11" t="s">
        <v>300</v>
      </c>
      <c r="D2219" s="11" t="s">
        <v>49</v>
      </c>
    </row>
    <row r="2220">
      <c r="A2220" s="11">
        <v>2219.0</v>
      </c>
      <c r="B2220" s="12">
        <f t="shared" si="352"/>
        <v>40190</v>
      </c>
      <c r="C2220" s="11" t="s">
        <v>300</v>
      </c>
      <c r="D2220" s="11" t="s">
        <v>28</v>
      </c>
    </row>
    <row r="2221">
      <c r="A2221" s="11">
        <v>2220.0</v>
      </c>
      <c r="B2221" s="12">
        <f t="shared" si="352"/>
        <v>40190</v>
      </c>
      <c r="C2221" s="11" t="s">
        <v>2136</v>
      </c>
      <c r="D2221" s="11" t="s">
        <v>28</v>
      </c>
    </row>
    <row r="2222">
      <c r="A2222" s="11">
        <v>2221.0</v>
      </c>
      <c r="B2222" s="12">
        <f t="shared" si="352"/>
        <v>40190</v>
      </c>
      <c r="C2222" s="11" t="s">
        <v>897</v>
      </c>
      <c r="D2222" s="11" t="s">
        <v>49</v>
      </c>
    </row>
    <row r="2223">
      <c r="A2223" s="11">
        <v>2222.0</v>
      </c>
      <c r="B2223" s="12">
        <f t="shared" ref="B2223:B2226" si="353">DATE(2012,12,31)-1083</f>
        <v>40191</v>
      </c>
      <c r="C2223" s="11" t="s">
        <v>1061</v>
      </c>
      <c r="D2223" s="11" t="s">
        <v>28</v>
      </c>
    </row>
    <row r="2224">
      <c r="A2224" s="11">
        <v>2223.0</v>
      </c>
      <c r="B2224" s="12">
        <f t="shared" si="353"/>
        <v>40191</v>
      </c>
      <c r="C2224" s="11" t="s">
        <v>1061</v>
      </c>
      <c r="D2224" s="11" t="s">
        <v>28</v>
      </c>
    </row>
    <row r="2225">
      <c r="A2225" s="11">
        <v>2224.0</v>
      </c>
      <c r="B2225" s="12">
        <f t="shared" si="353"/>
        <v>40191</v>
      </c>
      <c r="C2225" s="11" t="s">
        <v>1981</v>
      </c>
      <c r="D2225" s="11" t="s">
        <v>28</v>
      </c>
    </row>
    <row r="2226">
      <c r="A2226" s="11">
        <v>2225.0</v>
      </c>
      <c r="B2226" s="12">
        <f t="shared" si="353"/>
        <v>40191</v>
      </c>
      <c r="C2226" s="11" t="s">
        <v>1975</v>
      </c>
      <c r="D2226" s="11" t="s">
        <v>28</v>
      </c>
    </row>
    <row r="2227">
      <c r="A2227" s="11">
        <v>2226.0</v>
      </c>
      <c r="B2227" s="12">
        <f t="shared" ref="B2227:B2235" si="354">DATE(2012,12,31)-1082</f>
        <v>40192</v>
      </c>
      <c r="C2227" s="11" t="s">
        <v>1454</v>
      </c>
      <c r="D2227" s="11" t="s">
        <v>28</v>
      </c>
    </row>
    <row r="2228">
      <c r="A2228" s="11">
        <v>2227.0</v>
      </c>
      <c r="B2228" s="12">
        <f t="shared" si="354"/>
        <v>40192</v>
      </c>
      <c r="C2228" s="11" t="s">
        <v>326</v>
      </c>
      <c r="D2228" s="11" t="s">
        <v>28</v>
      </c>
    </row>
    <row r="2229">
      <c r="A2229" s="11">
        <v>2228.0</v>
      </c>
      <c r="B2229" s="12">
        <f t="shared" si="354"/>
        <v>40192</v>
      </c>
      <c r="C2229" s="11" t="s">
        <v>1490</v>
      </c>
      <c r="D2229" s="11" t="s">
        <v>66</v>
      </c>
    </row>
    <row r="2230">
      <c r="A2230" s="11">
        <v>2229.0</v>
      </c>
      <c r="B2230" s="12">
        <f t="shared" si="354"/>
        <v>40192</v>
      </c>
      <c r="C2230" s="11" t="s">
        <v>1036</v>
      </c>
      <c r="D2230" s="11" t="s">
        <v>28</v>
      </c>
    </row>
    <row r="2231">
      <c r="A2231" s="11">
        <v>2230.0</v>
      </c>
      <c r="B2231" s="12">
        <f t="shared" si="354"/>
        <v>40192</v>
      </c>
      <c r="C2231" s="11" t="s">
        <v>2140</v>
      </c>
      <c r="D2231" s="11" t="s">
        <v>28</v>
      </c>
    </row>
    <row r="2232">
      <c r="A2232" s="11">
        <v>2231.0</v>
      </c>
      <c r="B2232" s="12">
        <f t="shared" si="354"/>
        <v>40192</v>
      </c>
      <c r="C2232" s="11" t="s">
        <v>329</v>
      </c>
      <c r="D2232" s="11" t="s">
        <v>28</v>
      </c>
    </row>
    <row r="2233">
      <c r="A2233" s="11">
        <v>2232.0</v>
      </c>
      <c r="B2233" s="12">
        <f t="shared" si="354"/>
        <v>40192</v>
      </c>
      <c r="C2233" s="11" t="s">
        <v>1080</v>
      </c>
      <c r="D2233" s="11" t="s">
        <v>28</v>
      </c>
    </row>
    <row r="2234">
      <c r="A2234" s="11">
        <v>2233.0</v>
      </c>
      <c r="B2234" s="12">
        <f t="shared" si="354"/>
        <v>40192</v>
      </c>
      <c r="C2234" s="11" t="s">
        <v>2141</v>
      </c>
      <c r="D2234" s="11" t="s">
        <v>49</v>
      </c>
    </row>
    <row r="2235">
      <c r="A2235" s="11">
        <v>2234.0</v>
      </c>
      <c r="B2235" s="12">
        <f t="shared" si="354"/>
        <v>40192</v>
      </c>
      <c r="C2235" s="11" t="s">
        <v>2141</v>
      </c>
      <c r="D2235" s="11" t="s">
        <v>49</v>
      </c>
    </row>
    <row r="2236">
      <c r="A2236" s="11">
        <v>2235.0</v>
      </c>
      <c r="B2236" s="12">
        <f t="shared" ref="B2236:B2240" si="355">DATE(2012,12,31)-1081</f>
        <v>40193</v>
      </c>
      <c r="C2236" s="11" t="s">
        <v>196</v>
      </c>
      <c r="D2236" s="11" t="s">
        <v>28</v>
      </c>
    </row>
    <row r="2237">
      <c r="A2237" s="11">
        <v>2236.0</v>
      </c>
      <c r="B2237" s="12">
        <f t="shared" si="355"/>
        <v>40193</v>
      </c>
      <c r="C2237" s="11" t="s">
        <v>196</v>
      </c>
      <c r="D2237" s="11" t="s">
        <v>66</v>
      </c>
    </row>
    <row r="2238">
      <c r="A2238" s="11">
        <v>2237.0</v>
      </c>
      <c r="B2238" s="12">
        <f t="shared" si="355"/>
        <v>40193</v>
      </c>
      <c r="C2238" s="11" t="s">
        <v>2142</v>
      </c>
      <c r="D2238" s="11" t="s">
        <v>66</v>
      </c>
    </row>
    <row r="2239">
      <c r="A2239" s="11">
        <v>2238.0</v>
      </c>
      <c r="B2239" s="12">
        <f t="shared" si="355"/>
        <v>40193</v>
      </c>
      <c r="C2239" s="11" t="s">
        <v>2142</v>
      </c>
      <c r="D2239" s="11" t="s">
        <v>28</v>
      </c>
    </row>
    <row r="2240">
      <c r="A2240" s="11">
        <v>2239.0</v>
      </c>
      <c r="B2240" s="12">
        <f t="shared" si="355"/>
        <v>40193</v>
      </c>
      <c r="C2240" s="11" t="s">
        <v>897</v>
      </c>
      <c r="D2240" s="11" t="s">
        <v>66</v>
      </c>
    </row>
    <row r="2241">
      <c r="A2241" s="11">
        <v>2240.0</v>
      </c>
      <c r="B2241" s="12">
        <f t="shared" ref="B2241:B2247" si="356">DATE(2012,12,31)-1080</f>
        <v>40194</v>
      </c>
      <c r="C2241" s="11" t="s">
        <v>106</v>
      </c>
      <c r="D2241" s="11" t="s">
        <v>28</v>
      </c>
    </row>
    <row r="2242">
      <c r="A2242" s="11">
        <v>2241.0</v>
      </c>
      <c r="B2242" s="12">
        <f t="shared" si="356"/>
        <v>40194</v>
      </c>
      <c r="C2242" s="11" t="s">
        <v>106</v>
      </c>
      <c r="D2242" s="11" t="s">
        <v>28</v>
      </c>
    </row>
    <row r="2243">
      <c r="A2243" s="11">
        <v>2242.0</v>
      </c>
      <c r="B2243" s="12">
        <f t="shared" si="356"/>
        <v>40194</v>
      </c>
      <c r="C2243" s="11" t="s">
        <v>1145</v>
      </c>
      <c r="D2243" s="11" t="s">
        <v>28</v>
      </c>
    </row>
    <row r="2244">
      <c r="A2244" s="11">
        <v>2243.0</v>
      </c>
      <c r="B2244" s="12">
        <f t="shared" si="356"/>
        <v>40194</v>
      </c>
      <c r="C2244" s="11" t="s">
        <v>1145</v>
      </c>
      <c r="D2244" s="11" t="s">
        <v>28</v>
      </c>
    </row>
    <row r="2245">
      <c r="A2245" s="11">
        <v>2244.0</v>
      </c>
      <c r="B2245" s="12">
        <f t="shared" si="356"/>
        <v>40194</v>
      </c>
      <c r="C2245" s="11" t="s">
        <v>1884</v>
      </c>
      <c r="D2245" s="11" t="s">
        <v>49</v>
      </c>
    </row>
    <row r="2246">
      <c r="A2246" s="11">
        <v>2245.0</v>
      </c>
      <c r="B2246" s="12">
        <f t="shared" si="356"/>
        <v>40194</v>
      </c>
      <c r="C2246" s="11" t="s">
        <v>1884</v>
      </c>
      <c r="D2246" s="11" t="s">
        <v>49</v>
      </c>
    </row>
    <row r="2247">
      <c r="A2247" s="11">
        <v>2246.0</v>
      </c>
      <c r="B2247" s="12">
        <f t="shared" si="356"/>
        <v>40194</v>
      </c>
      <c r="C2247" s="11" t="s">
        <v>2145</v>
      </c>
      <c r="D2247" s="11" t="s">
        <v>28</v>
      </c>
    </row>
    <row r="2248">
      <c r="A2248" s="11">
        <v>2247.0</v>
      </c>
      <c r="B2248" s="12">
        <f t="shared" ref="B2248:B2250" si="357">DATE(2012,12,31)-1079</f>
        <v>40195</v>
      </c>
      <c r="C2248" s="11" t="s">
        <v>1961</v>
      </c>
      <c r="D2248" s="11" t="s">
        <v>28</v>
      </c>
    </row>
    <row r="2249">
      <c r="A2249" s="11">
        <v>2248.0</v>
      </c>
      <c r="B2249" s="12">
        <f t="shared" si="357"/>
        <v>40195</v>
      </c>
      <c r="C2249" s="11" t="s">
        <v>581</v>
      </c>
      <c r="D2249" s="11" t="s">
        <v>28</v>
      </c>
    </row>
    <row r="2250">
      <c r="A2250" s="11">
        <v>2249.0</v>
      </c>
      <c r="B2250" s="12">
        <f t="shared" si="357"/>
        <v>40195</v>
      </c>
      <c r="C2250" s="11" t="s">
        <v>581</v>
      </c>
      <c r="D2250" s="11" t="s">
        <v>28</v>
      </c>
    </row>
    <row r="2251">
      <c r="A2251" s="11">
        <v>2250.0</v>
      </c>
      <c r="B2251" s="12">
        <f t="shared" ref="B2251:B2260" si="358">DATE(2012,12,31)-1078</f>
        <v>40196</v>
      </c>
      <c r="C2251" s="11" t="s">
        <v>548</v>
      </c>
      <c r="D2251" s="11" t="s">
        <v>49</v>
      </c>
    </row>
    <row r="2252">
      <c r="A2252" s="11">
        <v>2251.0</v>
      </c>
      <c r="B2252" s="12">
        <f t="shared" si="358"/>
        <v>40196</v>
      </c>
      <c r="C2252" s="11" t="s">
        <v>1482</v>
      </c>
      <c r="D2252" s="11" t="s">
        <v>66</v>
      </c>
    </row>
    <row r="2253">
      <c r="A2253" s="11">
        <v>2252.0</v>
      </c>
      <c r="B2253" s="12">
        <f t="shared" si="358"/>
        <v>40196</v>
      </c>
      <c r="C2253" s="11" t="s">
        <v>1802</v>
      </c>
      <c r="D2253" s="11" t="s">
        <v>28</v>
      </c>
    </row>
    <row r="2254">
      <c r="A2254" s="11">
        <v>2253.0</v>
      </c>
      <c r="B2254" s="12">
        <f t="shared" si="358"/>
        <v>40196</v>
      </c>
      <c r="C2254" s="11" t="s">
        <v>1802</v>
      </c>
      <c r="D2254" s="11" t="s">
        <v>66</v>
      </c>
    </row>
    <row r="2255">
      <c r="A2255" s="11">
        <v>2254.0</v>
      </c>
      <c r="B2255" s="12">
        <f t="shared" si="358"/>
        <v>40196</v>
      </c>
      <c r="C2255" s="11" t="s">
        <v>1802</v>
      </c>
      <c r="D2255" s="11" t="s">
        <v>28</v>
      </c>
    </row>
    <row r="2256">
      <c r="A2256" s="11">
        <v>2255.0</v>
      </c>
      <c r="B2256" s="12">
        <f t="shared" si="358"/>
        <v>40196</v>
      </c>
      <c r="C2256" s="11" t="s">
        <v>1802</v>
      </c>
      <c r="D2256" s="11" t="s">
        <v>28</v>
      </c>
    </row>
    <row r="2257">
      <c r="A2257" s="11">
        <v>2256.0</v>
      </c>
      <c r="B2257" s="12">
        <f t="shared" si="358"/>
        <v>40196</v>
      </c>
      <c r="C2257" s="11" t="s">
        <v>2148</v>
      </c>
      <c r="D2257" s="11" t="s">
        <v>49</v>
      </c>
    </row>
    <row r="2258">
      <c r="A2258" s="11">
        <v>2257.0</v>
      </c>
      <c r="B2258" s="12">
        <f t="shared" si="358"/>
        <v>40196</v>
      </c>
      <c r="C2258" s="11" t="s">
        <v>2148</v>
      </c>
      <c r="D2258" s="11" t="s">
        <v>28</v>
      </c>
    </row>
    <row r="2259">
      <c r="A2259" s="11">
        <v>2258.0</v>
      </c>
      <c r="B2259" s="12">
        <f t="shared" si="358"/>
        <v>40196</v>
      </c>
      <c r="C2259" s="11" t="s">
        <v>1896</v>
      </c>
      <c r="D2259" s="11" t="s">
        <v>28</v>
      </c>
    </row>
    <row r="2260">
      <c r="A2260" s="11">
        <v>2259.0</v>
      </c>
      <c r="B2260" s="12">
        <f t="shared" si="358"/>
        <v>40196</v>
      </c>
      <c r="C2260" s="11" t="s">
        <v>1896</v>
      </c>
      <c r="D2260" s="11" t="s">
        <v>28</v>
      </c>
    </row>
    <row r="2261">
      <c r="A2261" s="11">
        <v>2260.0</v>
      </c>
      <c r="B2261" s="12">
        <f>DATE(2012,12,31)-1077</f>
        <v>40197</v>
      </c>
      <c r="C2261" s="11" t="s">
        <v>2033</v>
      </c>
      <c r="D2261" s="11" t="s">
        <v>28</v>
      </c>
    </row>
    <row r="2262">
      <c r="A2262" s="11">
        <v>2261.0</v>
      </c>
      <c r="B2262" s="12">
        <f t="shared" ref="B2262:B2271" si="359">DATE(2012,12,31)-1076</f>
        <v>40198</v>
      </c>
      <c r="C2262" s="11" t="s">
        <v>659</v>
      </c>
      <c r="D2262" s="11" t="s">
        <v>66</v>
      </c>
    </row>
    <row r="2263">
      <c r="A2263" s="11">
        <v>2262.0</v>
      </c>
      <c r="B2263" s="12">
        <f t="shared" si="359"/>
        <v>40198</v>
      </c>
      <c r="C2263" s="11" t="s">
        <v>882</v>
      </c>
      <c r="D2263" s="11" t="s">
        <v>49</v>
      </c>
    </row>
    <row r="2264">
      <c r="A2264" s="11">
        <v>2263.0</v>
      </c>
      <c r="B2264" s="12">
        <f t="shared" si="359"/>
        <v>40198</v>
      </c>
      <c r="C2264" s="11" t="s">
        <v>882</v>
      </c>
      <c r="D2264" s="11" t="s">
        <v>28</v>
      </c>
    </row>
    <row r="2265">
      <c r="A2265" s="11">
        <v>2264.0</v>
      </c>
      <c r="B2265" s="12">
        <f t="shared" si="359"/>
        <v>40198</v>
      </c>
      <c r="C2265" s="11" t="s">
        <v>882</v>
      </c>
      <c r="D2265" s="11" t="s">
        <v>28</v>
      </c>
    </row>
    <row r="2266">
      <c r="A2266" s="11">
        <v>2265.0</v>
      </c>
      <c r="B2266" s="12">
        <f t="shared" si="359"/>
        <v>40198</v>
      </c>
      <c r="C2266" s="11" t="s">
        <v>1605</v>
      </c>
      <c r="D2266" s="11" t="s">
        <v>28</v>
      </c>
    </row>
    <row r="2267">
      <c r="A2267" s="11">
        <v>2266.0</v>
      </c>
      <c r="B2267" s="12">
        <f t="shared" si="359"/>
        <v>40198</v>
      </c>
      <c r="C2267" s="11" t="s">
        <v>1605</v>
      </c>
      <c r="D2267" s="11" t="s">
        <v>49</v>
      </c>
    </row>
    <row r="2268">
      <c r="A2268" s="11">
        <v>2267.0</v>
      </c>
      <c r="B2268" s="12">
        <f t="shared" si="359"/>
        <v>40198</v>
      </c>
      <c r="C2268" s="11" t="s">
        <v>1605</v>
      </c>
      <c r="D2268" s="11" t="s">
        <v>28</v>
      </c>
    </row>
    <row r="2269">
      <c r="A2269" s="11">
        <v>2268.0</v>
      </c>
      <c r="B2269" s="12">
        <f t="shared" si="359"/>
        <v>40198</v>
      </c>
      <c r="C2269" s="11" t="s">
        <v>429</v>
      </c>
      <c r="D2269" s="11" t="s">
        <v>49</v>
      </c>
    </row>
    <row r="2270">
      <c r="A2270" s="11">
        <v>2269.0</v>
      </c>
      <c r="B2270" s="12">
        <f t="shared" si="359"/>
        <v>40198</v>
      </c>
      <c r="C2270" s="11" t="s">
        <v>2095</v>
      </c>
      <c r="D2270" s="11" t="s">
        <v>28</v>
      </c>
    </row>
    <row r="2271">
      <c r="A2271" s="11">
        <v>2270.0</v>
      </c>
      <c r="B2271" s="12">
        <f t="shared" si="359"/>
        <v>40198</v>
      </c>
      <c r="C2271" s="11" t="s">
        <v>2095</v>
      </c>
      <c r="D2271" s="11" t="s">
        <v>28</v>
      </c>
    </row>
    <row r="2272">
      <c r="A2272" s="11">
        <v>2271.0</v>
      </c>
      <c r="B2272" s="12">
        <f>DATE(2012,12,31)-1075</f>
        <v>40199</v>
      </c>
      <c r="C2272" s="11" t="s">
        <v>312</v>
      </c>
      <c r="D2272" s="11" t="s">
        <v>28</v>
      </c>
    </row>
    <row r="2273">
      <c r="A2273" s="11">
        <v>2272.0</v>
      </c>
      <c r="B2273" s="12">
        <f t="shared" ref="B2273:B2281" si="360">DATE(2012,12,31)-1074</f>
        <v>40200</v>
      </c>
      <c r="C2273" s="11" t="s">
        <v>963</v>
      </c>
      <c r="D2273" s="11" t="s">
        <v>49</v>
      </c>
    </row>
    <row r="2274">
      <c r="A2274" s="11">
        <v>2273.0</v>
      </c>
      <c r="B2274" s="12">
        <f t="shared" si="360"/>
        <v>40200</v>
      </c>
      <c r="C2274" s="11" t="s">
        <v>963</v>
      </c>
      <c r="D2274" s="11" t="s">
        <v>28</v>
      </c>
    </row>
    <row r="2275">
      <c r="A2275" s="11">
        <v>2274.0</v>
      </c>
      <c r="B2275" s="12">
        <f t="shared" si="360"/>
        <v>40200</v>
      </c>
      <c r="C2275" s="11" t="s">
        <v>1754</v>
      </c>
      <c r="D2275" s="11" t="s">
        <v>28</v>
      </c>
    </row>
    <row r="2276">
      <c r="A2276" s="11">
        <v>2275.0</v>
      </c>
      <c r="B2276" s="12">
        <f t="shared" si="360"/>
        <v>40200</v>
      </c>
      <c r="C2276" s="11" t="s">
        <v>1482</v>
      </c>
      <c r="D2276" s="11" t="s">
        <v>49</v>
      </c>
    </row>
    <row r="2277">
      <c r="A2277" s="11">
        <v>2276.0</v>
      </c>
      <c r="B2277" s="12">
        <f t="shared" si="360"/>
        <v>40200</v>
      </c>
      <c r="C2277" s="11" t="s">
        <v>1482</v>
      </c>
      <c r="D2277" s="11" t="s">
        <v>66</v>
      </c>
    </row>
    <row r="2278">
      <c r="A2278" s="11">
        <v>2277.0</v>
      </c>
      <c r="B2278" s="12">
        <f t="shared" si="360"/>
        <v>40200</v>
      </c>
      <c r="C2278" s="11" t="s">
        <v>1482</v>
      </c>
      <c r="D2278" s="11" t="s">
        <v>28</v>
      </c>
    </row>
    <row r="2279">
      <c r="A2279" s="11">
        <v>2278.0</v>
      </c>
      <c r="B2279" s="12">
        <f t="shared" si="360"/>
        <v>40200</v>
      </c>
      <c r="C2279" s="11" t="s">
        <v>878</v>
      </c>
      <c r="D2279" s="11" t="s">
        <v>28</v>
      </c>
    </row>
    <row r="2280">
      <c r="A2280" s="11">
        <v>2279.0</v>
      </c>
      <c r="B2280" s="12">
        <f t="shared" si="360"/>
        <v>40200</v>
      </c>
      <c r="C2280" s="11" t="s">
        <v>491</v>
      </c>
      <c r="D2280" s="11" t="s">
        <v>28</v>
      </c>
    </row>
    <row r="2281">
      <c r="A2281" s="11">
        <v>2280.0</v>
      </c>
      <c r="B2281" s="12">
        <f t="shared" si="360"/>
        <v>40200</v>
      </c>
      <c r="C2281" s="11" t="s">
        <v>1564</v>
      </c>
      <c r="D2281" s="11" t="s">
        <v>28</v>
      </c>
    </row>
    <row r="2282">
      <c r="A2282" s="11">
        <v>2281.0</v>
      </c>
      <c r="B2282" s="12">
        <f t="shared" ref="B2282:B2284" si="361">DATE(2012,12,31)-1073</f>
        <v>40201</v>
      </c>
      <c r="C2282" s="11" t="s">
        <v>759</v>
      </c>
      <c r="D2282" s="11" t="s">
        <v>66</v>
      </c>
    </row>
    <row r="2283">
      <c r="A2283" s="11">
        <v>2282.0</v>
      </c>
      <c r="B2283" s="12">
        <f t="shared" si="361"/>
        <v>40201</v>
      </c>
      <c r="C2283" s="11" t="s">
        <v>597</v>
      </c>
      <c r="D2283" s="11" t="s">
        <v>28</v>
      </c>
    </row>
    <row r="2284">
      <c r="A2284" s="11">
        <v>2283.0</v>
      </c>
      <c r="B2284" s="12">
        <f t="shared" si="361"/>
        <v>40201</v>
      </c>
      <c r="C2284" s="11" t="s">
        <v>60</v>
      </c>
      <c r="D2284" s="11" t="s">
        <v>66</v>
      </c>
    </row>
    <row r="2285">
      <c r="A2285" s="11">
        <v>2284.0</v>
      </c>
      <c r="B2285" s="12">
        <f t="shared" ref="B2285:B2288" si="362">DATE(2012,12,31)-1072</f>
        <v>40202</v>
      </c>
      <c r="C2285" s="11" t="s">
        <v>1802</v>
      </c>
      <c r="D2285" s="11" t="s">
        <v>66</v>
      </c>
    </row>
    <row r="2286">
      <c r="A2286" s="11">
        <v>2285.0</v>
      </c>
      <c r="B2286" s="12">
        <f t="shared" si="362"/>
        <v>40202</v>
      </c>
      <c r="C2286" s="11" t="s">
        <v>2155</v>
      </c>
      <c r="D2286" s="11" t="s">
        <v>66</v>
      </c>
    </row>
    <row r="2287">
      <c r="A2287" s="11">
        <v>2286.0</v>
      </c>
      <c r="B2287" s="12">
        <f t="shared" si="362"/>
        <v>40202</v>
      </c>
      <c r="C2287" s="11" t="s">
        <v>2155</v>
      </c>
      <c r="D2287" s="11" t="s">
        <v>49</v>
      </c>
    </row>
    <row r="2288">
      <c r="A2288" s="11">
        <v>2287.0</v>
      </c>
      <c r="B2288" s="12">
        <f t="shared" si="362"/>
        <v>40202</v>
      </c>
      <c r="C2288" s="11" t="s">
        <v>2156</v>
      </c>
      <c r="D2288" s="11" t="s">
        <v>28</v>
      </c>
    </row>
    <row r="2289">
      <c r="A2289" s="11">
        <v>2288.0</v>
      </c>
      <c r="B2289" s="12">
        <f t="shared" ref="B2289:B2295" si="363">DATE(2012,12,31)-1071</f>
        <v>40203</v>
      </c>
      <c r="C2289" s="11" t="s">
        <v>392</v>
      </c>
      <c r="D2289" s="11" t="s">
        <v>28</v>
      </c>
    </row>
    <row r="2290">
      <c r="A2290" s="11">
        <v>2289.0</v>
      </c>
      <c r="B2290" s="12">
        <f t="shared" si="363"/>
        <v>40203</v>
      </c>
      <c r="C2290" s="11" t="s">
        <v>1462</v>
      </c>
      <c r="D2290" s="11" t="s">
        <v>49</v>
      </c>
    </row>
    <row r="2291">
      <c r="A2291" s="11">
        <v>2290.0</v>
      </c>
      <c r="B2291" s="12">
        <f t="shared" si="363"/>
        <v>40203</v>
      </c>
      <c r="C2291" s="11" t="s">
        <v>1462</v>
      </c>
      <c r="D2291" s="11" t="s">
        <v>28</v>
      </c>
    </row>
    <row r="2292">
      <c r="A2292" s="11">
        <v>2291.0</v>
      </c>
      <c r="B2292" s="12">
        <f t="shared" si="363"/>
        <v>40203</v>
      </c>
      <c r="C2292" s="11" t="s">
        <v>1462</v>
      </c>
      <c r="D2292" s="11" t="s">
        <v>28</v>
      </c>
    </row>
    <row r="2293">
      <c r="A2293" s="11">
        <v>2292.0</v>
      </c>
      <c r="B2293" s="12">
        <f t="shared" si="363"/>
        <v>40203</v>
      </c>
      <c r="C2293" s="11" t="s">
        <v>2162</v>
      </c>
      <c r="D2293" s="11" t="s">
        <v>28</v>
      </c>
    </row>
    <row r="2294">
      <c r="A2294" s="11">
        <v>2293.0</v>
      </c>
      <c r="B2294" s="12">
        <f t="shared" si="363"/>
        <v>40203</v>
      </c>
      <c r="C2294" s="11" t="s">
        <v>2162</v>
      </c>
      <c r="D2294" s="11" t="s">
        <v>49</v>
      </c>
    </row>
    <row r="2295">
      <c r="A2295" s="11">
        <v>2294.0</v>
      </c>
      <c r="B2295" s="12">
        <f t="shared" si="363"/>
        <v>40203</v>
      </c>
      <c r="C2295" s="11" t="s">
        <v>1643</v>
      </c>
      <c r="D2295" s="11" t="s">
        <v>49</v>
      </c>
    </row>
    <row r="2296">
      <c r="A2296" s="11">
        <v>2295.0</v>
      </c>
      <c r="B2296" s="12">
        <f t="shared" ref="B2296:B2300" si="364">DATE(2012,12,31)-1070</f>
        <v>40204</v>
      </c>
      <c r="C2296" s="11" t="s">
        <v>398</v>
      </c>
      <c r="D2296" s="11" t="s">
        <v>28</v>
      </c>
    </row>
    <row r="2297">
      <c r="A2297" s="11">
        <v>2296.0</v>
      </c>
      <c r="B2297" s="12">
        <f t="shared" si="364"/>
        <v>40204</v>
      </c>
      <c r="C2297" s="11" t="s">
        <v>2163</v>
      </c>
      <c r="D2297" s="11" t="s">
        <v>49</v>
      </c>
    </row>
    <row r="2298">
      <c r="A2298" s="11">
        <v>2297.0</v>
      </c>
      <c r="B2298" s="12">
        <f t="shared" si="364"/>
        <v>40204</v>
      </c>
      <c r="C2298" s="11" t="s">
        <v>798</v>
      </c>
      <c r="D2298" s="11" t="s">
        <v>28</v>
      </c>
    </row>
    <row r="2299">
      <c r="A2299" s="11">
        <v>2298.0</v>
      </c>
      <c r="B2299" s="12">
        <f t="shared" si="364"/>
        <v>40204</v>
      </c>
      <c r="C2299" s="11" t="s">
        <v>798</v>
      </c>
      <c r="D2299" s="11" t="s">
        <v>28</v>
      </c>
    </row>
    <row r="2300">
      <c r="A2300" s="11">
        <v>2299.0</v>
      </c>
      <c r="B2300" s="12">
        <f t="shared" si="364"/>
        <v>40204</v>
      </c>
      <c r="C2300" s="11" t="s">
        <v>1068</v>
      </c>
      <c r="D2300" s="11" t="s">
        <v>66</v>
      </c>
    </row>
    <row r="2301">
      <c r="A2301" s="11">
        <v>2300.0</v>
      </c>
      <c r="B2301" s="12">
        <f>DATE(2012,12,31)-1069</f>
        <v>40205</v>
      </c>
      <c r="C2301" s="11" t="s">
        <v>2164</v>
      </c>
      <c r="D2301" s="11" t="s">
        <v>28</v>
      </c>
    </row>
    <row r="2302">
      <c r="A2302" s="11">
        <v>2301.0</v>
      </c>
      <c r="B2302" s="12">
        <f t="shared" ref="B2302:B2305" si="365">DATE(2012,12,31)-1068</f>
        <v>40206</v>
      </c>
      <c r="C2302" s="11" t="s">
        <v>2165</v>
      </c>
      <c r="D2302" s="11" t="s">
        <v>28</v>
      </c>
    </row>
    <row r="2303">
      <c r="A2303" s="11">
        <v>2302.0</v>
      </c>
      <c r="B2303" s="12">
        <f t="shared" si="365"/>
        <v>40206</v>
      </c>
      <c r="C2303" s="11" t="s">
        <v>1564</v>
      </c>
      <c r="D2303" s="11" t="s">
        <v>49</v>
      </c>
    </row>
    <row r="2304">
      <c r="A2304" s="11">
        <v>2303.0</v>
      </c>
      <c r="B2304" s="12">
        <f t="shared" si="365"/>
        <v>40206</v>
      </c>
      <c r="C2304" s="11" t="s">
        <v>1564</v>
      </c>
      <c r="D2304" s="11" t="s">
        <v>28</v>
      </c>
    </row>
    <row r="2305">
      <c r="A2305" s="11">
        <v>2304.0</v>
      </c>
      <c r="B2305" s="12">
        <f t="shared" si="365"/>
        <v>40206</v>
      </c>
      <c r="C2305" s="11" t="s">
        <v>1629</v>
      </c>
      <c r="D2305" s="11" t="s">
        <v>28</v>
      </c>
    </row>
    <row r="2306">
      <c r="A2306" s="11">
        <v>2305.0</v>
      </c>
      <c r="B2306" s="12">
        <f t="shared" ref="B2306:B2309" si="366">DATE(2012,12,31)-1067</f>
        <v>40207</v>
      </c>
      <c r="C2306" s="11" t="s">
        <v>2167</v>
      </c>
      <c r="D2306" s="11" t="s">
        <v>28</v>
      </c>
    </row>
    <row r="2307">
      <c r="A2307" s="11">
        <v>2306.0</v>
      </c>
      <c r="B2307" s="12">
        <f t="shared" si="366"/>
        <v>40207</v>
      </c>
      <c r="C2307" s="11" t="s">
        <v>2168</v>
      </c>
      <c r="D2307" s="11" t="s">
        <v>28</v>
      </c>
    </row>
    <row r="2308">
      <c r="A2308" s="11">
        <v>2307.0</v>
      </c>
      <c r="B2308" s="12">
        <f t="shared" si="366"/>
        <v>40207</v>
      </c>
      <c r="C2308" s="11" t="s">
        <v>2169</v>
      </c>
      <c r="D2308" s="11" t="s">
        <v>28</v>
      </c>
    </row>
    <row r="2309">
      <c r="A2309" s="11">
        <v>2308.0</v>
      </c>
      <c r="B2309" s="12">
        <f t="shared" si="366"/>
        <v>40207</v>
      </c>
      <c r="C2309" s="11" t="s">
        <v>1655</v>
      </c>
      <c r="D2309" s="11" t="s">
        <v>28</v>
      </c>
    </row>
    <row r="2310">
      <c r="A2310" s="11">
        <v>2309.0</v>
      </c>
      <c r="B2310" s="12">
        <f t="shared" ref="B2310:B2313" si="367">DATE(2012,12,31)-1066</f>
        <v>40208</v>
      </c>
      <c r="C2310" s="11" t="s">
        <v>2128</v>
      </c>
      <c r="D2310" s="11" t="s">
        <v>66</v>
      </c>
    </row>
    <row r="2311">
      <c r="A2311" s="11">
        <v>2310.0</v>
      </c>
      <c r="B2311" s="12">
        <f t="shared" si="367"/>
        <v>40208</v>
      </c>
      <c r="C2311" s="11" t="s">
        <v>2128</v>
      </c>
      <c r="D2311" s="11" t="s">
        <v>66</v>
      </c>
    </row>
    <row r="2312">
      <c r="A2312" s="11">
        <v>2311.0</v>
      </c>
      <c r="B2312" s="12">
        <f t="shared" si="367"/>
        <v>40208</v>
      </c>
      <c r="C2312" s="11" t="s">
        <v>491</v>
      </c>
      <c r="D2312" s="11" t="s">
        <v>28</v>
      </c>
    </row>
    <row r="2313">
      <c r="A2313" s="11">
        <v>2312.0</v>
      </c>
      <c r="B2313" s="12">
        <f t="shared" si="367"/>
        <v>40208</v>
      </c>
      <c r="C2313" s="11" t="s">
        <v>491</v>
      </c>
      <c r="D2313" s="11" t="s">
        <v>66</v>
      </c>
    </row>
    <row r="2314">
      <c r="A2314" s="11">
        <v>2313.0</v>
      </c>
      <c r="B2314" s="12">
        <f t="shared" ref="B2314:B2320" si="368">DATE(2012,12,31)-1065</f>
        <v>40209</v>
      </c>
      <c r="C2314" s="11" t="s">
        <v>1168</v>
      </c>
      <c r="D2314" s="11" t="s">
        <v>66</v>
      </c>
    </row>
    <row r="2315">
      <c r="A2315" s="11">
        <v>2314.0</v>
      </c>
      <c r="B2315" s="12">
        <f t="shared" si="368"/>
        <v>40209</v>
      </c>
      <c r="C2315" s="11" t="s">
        <v>878</v>
      </c>
      <c r="D2315" s="11" t="s">
        <v>66</v>
      </c>
    </row>
    <row r="2316">
      <c r="A2316" s="11">
        <v>2315.0</v>
      </c>
      <c r="B2316" s="12">
        <f t="shared" si="368"/>
        <v>40209</v>
      </c>
      <c r="C2316" s="11" t="s">
        <v>1185</v>
      </c>
      <c r="D2316" s="11" t="s">
        <v>28</v>
      </c>
    </row>
    <row r="2317">
      <c r="A2317" s="11">
        <v>2316.0</v>
      </c>
      <c r="B2317" s="12">
        <f t="shared" si="368"/>
        <v>40209</v>
      </c>
      <c r="C2317" s="11" t="s">
        <v>1185</v>
      </c>
      <c r="D2317" s="11" t="s">
        <v>28</v>
      </c>
    </row>
    <row r="2318">
      <c r="A2318" s="11">
        <v>2317.0</v>
      </c>
      <c r="B2318" s="12">
        <f t="shared" si="368"/>
        <v>40209</v>
      </c>
      <c r="C2318" s="11" t="s">
        <v>1168</v>
      </c>
      <c r="D2318" s="11" t="s">
        <v>28</v>
      </c>
    </row>
    <row r="2319">
      <c r="A2319" s="11">
        <v>2318.0</v>
      </c>
      <c r="B2319" s="12">
        <f t="shared" si="368"/>
        <v>40209</v>
      </c>
      <c r="C2319" s="11" t="s">
        <v>1008</v>
      </c>
      <c r="D2319" s="11" t="s">
        <v>28</v>
      </c>
    </row>
    <row r="2320">
      <c r="A2320" s="11">
        <v>2319.0</v>
      </c>
      <c r="B2320" s="12">
        <f t="shared" si="368"/>
        <v>40209</v>
      </c>
      <c r="C2320" s="11" t="s">
        <v>1008</v>
      </c>
      <c r="D2320" s="11" t="s">
        <v>49</v>
      </c>
    </row>
    <row r="2321">
      <c r="A2321" s="11">
        <v>2320.0</v>
      </c>
      <c r="B2321" s="12">
        <f t="shared" ref="B2321:B2327" si="369">DATE(2012,12,31)-1064</f>
        <v>40210</v>
      </c>
      <c r="C2321" s="11" t="s">
        <v>1118</v>
      </c>
      <c r="D2321" s="11" t="s">
        <v>28</v>
      </c>
    </row>
    <row r="2322">
      <c r="A2322" s="11">
        <v>2321.0</v>
      </c>
      <c r="B2322" s="12">
        <f t="shared" si="369"/>
        <v>40210</v>
      </c>
      <c r="C2322" s="11" t="s">
        <v>1086</v>
      </c>
      <c r="D2322" s="11" t="s">
        <v>28</v>
      </c>
    </row>
    <row r="2323">
      <c r="A2323" s="11">
        <v>2322.0</v>
      </c>
      <c r="B2323" s="12">
        <f t="shared" si="369"/>
        <v>40210</v>
      </c>
      <c r="C2323" s="11" t="s">
        <v>25</v>
      </c>
      <c r="D2323" s="11" t="s">
        <v>28</v>
      </c>
    </row>
    <row r="2324">
      <c r="A2324" s="11">
        <v>2323.0</v>
      </c>
      <c r="B2324" s="12">
        <f t="shared" si="369"/>
        <v>40210</v>
      </c>
      <c r="C2324" s="11" t="s">
        <v>25</v>
      </c>
      <c r="D2324" s="11" t="s">
        <v>66</v>
      </c>
    </row>
    <row r="2325">
      <c r="A2325" s="11">
        <v>2324.0</v>
      </c>
      <c r="B2325" s="12">
        <f t="shared" si="369"/>
        <v>40210</v>
      </c>
      <c r="C2325" s="11" t="s">
        <v>25</v>
      </c>
      <c r="D2325" s="11" t="s">
        <v>28</v>
      </c>
    </row>
    <row r="2326">
      <c r="A2326" s="11">
        <v>2325.0</v>
      </c>
      <c r="B2326" s="12">
        <f t="shared" si="369"/>
        <v>40210</v>
      </c>
      <c r="C2326" s="11" t="s">
        <v>25</v>
      </c>
      <c r="D2326" s="11" t="s">
        <v>66</v>
      </c>
    </row>
    <row r="2327">
      <c r="A2327" s="11">
        <v>2326.0</v>
      </c>
      <c r="B2327" s="12">
        <f t="shared" si="369"/>
        <v>40210</v>
      </c>
      <c r="C2327" s="11" t="s">
        <v>993</v>
      </c>
      <c r="D2327" s="11" t="s">
        <v>66</v>
      </c>
    </row>
    <row r="2328">
      <c r="A2328" s="11">
        <v>2327.0</v>
      </c>
      <c r="B2328" s="12">
        <f t="shared" ref="B2328:B2338" si="370">DATE(2012,12,31)-1063</f>
        <v>40211</v>
      </c>
      <c r="C2328" s="11" t="s">
        <v>905</v>
      </c>
      <c r="D2328" s="11" t="s">
        <v>28</v>
      </c>
    </row>
    <row r="2329">
      <c r="A2329" s="11">
        <v>2328.0</v>
      </c>
      <c r="B2329" s="12">
        <f t="shared" si="370"/>
        <v>40211</v>
      </c>
      <c r="C2329" s="11" t="s">
        <v>2116</v>
      </c>
      <c r="D2329" s="11" t="s">
        <v>28</v>
      </c>
    </row>
    <row r="2330">
      <c r="A2330" s="11">
        <v>2329.0</v>
      </c>
      <c r="B2330" s="12">
        <f t="shared" si="370"/>
        <v>40211</v>
      </c>
      <c r="C2330" s="11" t="s">
        <v>2116</v>
      </c>
      <c r="D2330" s="11" t="s">
        <v>28</v>
      </c>
    </row>
    <row r="2331">
      <c r="A2331" s="11">
        <v>2330.0</v>
      </c>
      <c r="B2331" s="12">
        <f t="shared" si="370"/>
        <v>40211</v>
      </c>
      <c r="C2331" s="11" t="s">
        <v>674</v>
      </c>
      <c r="D2331" s="11" t="s">
        <v>28</v>
      </c>
    </row>
    <row r="2332">
      <c r="A2332" s="11">
        <v>2331.0</v>
      </c>
      <c r="B2332" s="12">
        <f t="shared" si="370"/>
        <v>40211</v>
      </c>
      <c r="C2332" s="11" t="s">
        <v>674</v>
      </c>
      <c r="D2332" s="11" t="s">
        <v>28</v>
      </c>
    </row>
    <row r="2333">
      <c r="A2333" s="11">
        <v>2332.0</v>
      </c>
      <c r="B2333" s="12">
        <f t="shared" si="370"/>
        <v>40211</v>
      </c>
      <c r="C2333" s="11" t="s">
        <v>674</v>
      </c>
      <c r="D2333" s="11" t="s">
        <v>49</v>
      </c>
    </row>
    <row r="2334">
      <c r="A2334" s="11">
        <v>2333.0</v>
      </c>
      <c r="B2334" s="12">
        <f t="shared" si="370"/>
        <v>40211</v>
      </c>
      <c r="C2334" s="11" t="s">
        <v>1393</v>
      </c>
      <c r="D2334" s="11" t="s">
        <v>28</v>
      </c>
    </row>
    <row r="2335">
      <c r="A2335" s="11">
        <v>2334.0</v>
      </c>
      <c r="B2335" s="12">
        <f t="shared" si="370"/>
        <v>40211</v>
      </c>
      <c r="C2335" s="11" t="s">
        <v>1393</v>
      </c>
      <c r="D2335" s="11" t="s">
        <v>28</v>
      </c>
    </row>
    <row r="2336">
      <c r="A2336" s="11">
        <v>2335.0</v>
      </c>
      <c r="B2336" s="12">
        <f t="shared" si="370"/>
        <v>40211</v>
      </c>
      <c r="C2336" s="11" t="s">
        <v>202</v>
      </c>
      <c r="D2336" s="11" t="s">
        <v>28</v>
      </c>
    </row>
    <row r="2337">
      <c r="A2337" s="11">
        <v>2336.0</v>
      </c>
      <c r="B2337" s="12">
        <f t="shared" si="370"/>
        <v>40211</v>
      </c>
      <c r="C2337" s="11" t="s">
        <v>1829</v>
      </c>
      <c r="D2337" s="11" t="s">
        <v>28</v>
      </c>
    </row>
    <row r="2338">
      <c r="A2338" s="11">
        <v>2337.0</v>
      </c>
      <c r="B2338" s="12">
        <f t="shared" si="370"/>
        <v>40211</v>
      </c>
      <c r="C2338" s="11" t="s">
        <v>1829</v>
      </c>
      <c r="D2338" s="11" t="s">
        <v>28</v>
      </c>
    </row>
    <row r="2339">
      <c r="A2339" s="11">
        <v>2338.0</v>
      </c>
      <c r="B2339" s="12">
        <f t="shared" ref="B2339:B2341" si="371">DATE(2012,12,31)-1062</f>
        <v>40212</v>
      </c>
      <c r="C2339" s="11" t="s">
        <v>630</v>
      </c>
      <c r="D2339" s="11" t="s">
        <v>66</v>
      </c>
    </row>
    <row r="2340">
      <c r="A2340" s="11">
        <v>2339.0</v>
      </c>
      <c r="B2340" s="12">
        <f t="shared" si="371"/>
        <v>40212</v>
      </c>
      <c r="C2340" s="11" t="s">
        <v>630</v>
      </c>
      <c r="D2340" s="11" t="s">
        <v>66</v>
      </c>
    </row>
    <row r="2341">
      <c r="A2341" s="11">
        <v>2340.0</v>
      </c>
      <c r="B2341" s="12">
        <f t="shared" si="371"/>
        <v>40212</v>
      </c>
      <c r="C2341" s="11" t="s">
        <v>966</v>
      </c>
      <c r="D2341" s="11" t="s">
        <v>66</v>
      </c>
    </row>
    <row r="2342">
      <c r="A2342" s="11">
        <v>2341.0</v>
      </c>
      <c r="B2342" s="12">
        <f t="shared" ref="B2342:B2351" si="372">DATE(2012,12,31)-1061</f>
        <v>40213</v>
      </c>
      <c r="C2342" s="11" t="s">
        <v>617</v>
      </c>
      <c r="D2342" s="11" t="s">
        <v>28</v>
      </c>
    </row>
    <row r="2343">
      <c r="A2343" s="11">
        <v>2342.0</v>
      </c>
      <c r="B2343" s="12">
        <f t="shared" si="372"/>
        <v>40213</v>
      </c>
      <c r="C2343" s="11" t="s">
        <v>2177</v>
      </c>
      <c r="D2343" s="11" t="s">
        <v>49</v>
      </c>
    </row>
    <row r="2344">
      <c r="A2344" s="11">
        <v>2343.0</v>
      </c>
      <c r="B2344" s="12">
        <f t="shared" si="372"/>
        <v>40213</v>
      </c>
      <c r="C2344" s="11" t="s">
        <v>293</v>
      </c>
      <c r="D2344" s="11" t="s">
        <v>28</v>
      </c>
    </row>
    <row r="2345">
      <c r="A2345" s="11">
        <v>2344.0</v>
      </c>
      <c r="B2345" s="12">
        <f t="shared" si="372"/>
        <v>40213</v>
      </c>
      <c r="C2345" s="11" t="s">
        <v>293</v>
      </c>
      <c r="D2345" s="11" t="s">
        <v>49</v>
      </c>
    </row>
    <row r="2346">
      <c r="A2346" s="11">
        <v>2345.0</v>
      </c>
      <c r="B2346" s="12">
        <f t="shared" si="372"/>
        <v>40213</v>
      </c>
      <c r="C2346" s="11" t="s">
        <v>293</v>
      </c>
      <c r="D2346" s="11" t="s">
        <v>49</v>
      </c>
    </row>
    <row r="2347">
      <c r="A2347" s="11">
        <v>2346.0</v>
      </c>
      <c r="B2347" s="12">
        <f t="shared" si="372"/>
        <v>40213</v>
      </c>
      <c r="C2347" s="11" t="s">
        <v>293</v>
      </c>
      <c r="D2347" s="11" t="s">
        <v>28</v>
      </c>
    </row>
    <row r="2348">
      <c r="A2348" s="11">
        <v>2347.0</v>
      </c>
      <c r="B2348" s="12">
        <f t="shared" si="372"/>
        <v>40213</v>
      </c>
      <c r="C2348" s="11" t="s">
        <v>293</v>
      </c>
      <c r="D2348" s="11" t="s">
        <v>66</v>
      </c>
    </row>
    <row r="2349">
      <c r="A2349" s="11">
        <v>2348.0</v>
      </c>
      <c r="B2349" s="12">
        <f t="shared" si="372"/>
        <v>40213</v>
      </c>
      <c r="C2349" s="11" t="s">
        <v>159</v>
      </c>
      <c r="D2349" s="11" t="s">
        <v>28</v>
      </c>
    </row>
    <row r="2350">
      <c r="A2350" s="11">
        <v>2349.0</v>
      </c>
      <c r="B2350" s="12">
        <f t="shared" si="372"/>
        <v>40213</v>
      </c>
      <c r="C2350" s="11" t="s">
        <v>1145</v>
      </c>
      <c r="D2350" s="11" t="s">
        <v>49</v>
      </c>
    </row>
    <row r="2351">
      <c r="A2351" s="11">
        <v>2350.0</v>
      </c>
      <c r="B2351" s="12">
        <f t="shared" si="372"/>
        <v>40213</v>
      </c>
      <c r="C2351" s="11" t="s">
        <v>1145</v>
      </c>
      <c r="D2351" s="11" t="s">
        <v>28</v>
      </c>
    </row>
    <row r="2352">
      <c r="A2352" s="11">
        <v>2351.0</v>
      </c>
      <c r="B2352" s="12">
        <f t="shared" ref="B2352:B2354" si="373">DATE(2012,12,31)-1060</f>
        <v>40214</v>
      </c>
      <c r="C2352" s="11" t="s">
        <v>1448</v>
      </c>
      <c r="D2352" s="11" t="s">
        <v>49</v>
      </c>
    </row>
    <row r="2353">
      <c r="A2353" s="11">
        <v>2352.0</v>
      </c>
      <c r="B2353" s="12">
        <f t="shared" si="373"/>
        <v>40214</v>
      </c>
      <c r="C2353" s="11" t="s">
        <v>1857</v>
      </c>
      <c r="D2353" s="11" t="s">
        <v>28</v>
      </c>
    </row>
    <row r="2354">
      <c r="A2354" s="11">
        <v>2353.0</v>
      </c>
      <c r="B2354" s="12">
        <f t="shared" si="373"/>
        <v>40214</v>
      </c>
      <c r="C2354" s="11" t="s">
        <v>1857</v>
      </c>
      <c r="D2354" s="11" t="s">
        <v>28</v>
      </c>
    </row>
    <row r="2355">
      <c r="A2355" s="11">
        <v>2354.0</v>
      </c>
      <c r="B2355" s="12">
        <f t="shared" ref="B2355:B2363" si="374">DATE(2012,12,31)-1059</f>
        <v>40215</v>
      </c>
      <c r="C2355" s="11" t="s">
        <v>2180</v>
      </c>
      <c r="D2355" s="11" t="s">
        <v>49</v>
      </c>
    </row>
    <row r="2356">
      <c r="A2356" s="11">
        <v>2355.0</v>
      </c>
      <c r="B2356" s="12">
        <f t="shared" si="374"/>
        <v>40215</v>
      </c>
      <c r="C2356" s="11" t="s">
        <v>1586</v>
      </c>
      <c r="D2356" s="11" t="s">
        <v>66</v>
      </c>
    </row>
    <row r="2357">
      <c r="A2357" s="11">
        <v>2356.0</v>
      </c>
      <c r="B2357" s="12">
        <f t="shared" si="374"/>
        <v>40215</v>
      </c>
      <c r="C2357" s="11" t="s">
        <v>1586</v>
      </c>
      <c r="D2357" s="11" t="s">
        <v>66</v>
      </c>
    </row>
    <row r="2358">
      <c r="A2358" s="11">
        <v>2357.0</v>
      </c>
      <c r="B2358" s="12">
        <f t="shared" si="374"/>
        <v>40215</v>
      </c>
      <c r="C2358" s="11" t="s">
        <v>1586</v>
      </c>
      <c r="D2358" s="11" t="s">
        <v>28</v>
      </c>
    </row>
    <row r="2359">
      <c r="A2359" s="11">
        <v>2358.0</v>
      </c>
      <c r="B2359" s="12">
        <f t="shared" si="374"/>
        <v>40215</v>
      </c>
      <c r="C2359" s="11" t="s">
        <v>2140</v>
      </c>
      <c r="D2359" s="11" t="s">
        <v>66</v>
      </c>
    </row>
    <row r="2360">
      <c r="A2360" s="11">
        <v>2359.0</v>
      </c>
      <c r="B2360" s="12">
        <f t="shared" si="374"/>
        <v>40215</v>
      </c>
      <c r="C2360" s="11" t="s">
        <v>2140</v>
      </c>
      <c r="D2360" s="11" t="s">
        <v>28</v>
      </c>
    </row>
    <row r="2361">
      <c r="A2361" s="11">
        <v>2360.0</v>
      </c>
      <c r="B2361" s="12">
        <f t="shared" si="374"/>
        <v>40215</v>
      </c>
      <c r="C2361" s="11" t="s">
        <v>2140</v>
      </c>
      <c r="D2361" s="11" t="s">
        <v>28</v>
      </c>
    </row>
    <row r="2362">
      <c r="A2362" s="11">
        <v>2361.0</v>
      </c>
      <c r="B2362" s="12">
        <f t="shared" si="374"/>
        <v>40215</v>
      </c>
      <c r="C2362" s="11" t="s">
        <v>1930</v>
      </c>
      <c r="D2362" s="11" t="s">
        <v>66</v>
      </c>
    </row>
    <row r="2363">
      <c r="A2363" s="11">
        <v>2362.0</v>
      </c>
      <c r="B2363" s="12">
        <f t="shared" si="374"/>
        <v>40215</v>
      </c>
      <c r="C2363" s="11" t="s">
        <v>2183</v>
      </c>
      <c r="D2363" s="11" t="s">
        <v>28</v>
      </c>
    </row>
    <row r="2364">
      <c r="A2364" s="11">
        <v>2363.0</v>
      </c>
      <c r="B2364" s="12">
        <f t="shared" ref="B2364:B2369" si="375">DATE(2012,12,31)-1058</f>
        <v>40216</v>
      </c>
      <c r="C2364" s="11" t="s">
        <v>2079</v>
      </c>
      <c r="D2364" s="11" t="s">
        <v>49</v>
      </c>
    </row>
    <row r="2365">
      <c r="A2365" s="11">
        <v>2364.0</v>
      </c>
      <c r="B2365" s="12">
        <f t="shared" si="375"/>
        <v>40216</v>
      </c>
      <c r="C2365" s="11" t="s">
        <v>1419</v>
      </c>
      <c r="D2365" s="11" t="s">
        <v>28</v>
      </c>
    </row>
    <row r="2366">
      <c r="A2366" s="11">
        <v>2365.0</v>
      </c>
      <c r="B2366" s="12">
        <f t="shared" si="375"/>
        <v>40216</v>
      </c>
      <c r="C2366" s="11" t="s">
        <v>603</v>
      </c>
      <c r="D2366" s="11" t="s">
        <v>28</v>
      </c>
    </row>
    <row r="2367">
      <c r="A2367" s="11">
        <v>2366.0</v>
      </c>
      <c r="B2367" s="12">
        <f t="shared" si="375"/>
        <v>40216</v>
      </c>
      <c r="C2367" s="11" t="s">
        <v>603</v>
      </c>
      <c r="D2367" s="11" t="s">
        <v>28</v>
      </c>
    </row>
    <row r="2368">
      <c r="A2368" s="11">
        <v>2367.0</v>
      </c>
      <c r="B2368" s="12">
        <f t="shared" si="375"/>
        <v>40216</v>
      </c>
      <c r="C2368" s="11" t="s">
        <v>1405</v>
      </c>
      <c r="D2368" s="11" t="s">
        <v>28</v>
      </c>
    </row>
    <row r="2369">
      <c r="A2369" s="11">
        <v>2368.0</v>
      </c>
      <c r="B2369" s="12">
        <f t="shared" si="375"/>
        <v>40216</v>
      </c>
      <c r="C2369" s="11" t="s">
        <v>1405</v>
      </c>
      <c r="D2369" s="11" t="s">
        <v>49</v>
      </c>
    </row>
    <row r="2370">
      <c r="A2370" s="11">
        <v>2369.0</v>
      </c>
      <c r="B2370" s="12">
        <f t="shared" ref="B2370:B2374" si="376">DATE(2012,12,31)-1057</f>
        <v>40217</v>
      </c>
      <c r="C2370" s="11" t="s">
        <v>2185</v>
      </c>
      <c r="D2370" s="11" t="s">
        <v>49</v>
      </c>
    </row>
    <row r="2371">
      <c r="A2371" s="11">
        <v>2370.0</v>
      </c>
      <c r="B2371" s="12">
        <f t="shared" si="376"/>
        <v>40217</v>
      </c>
      <c r="C2371" s="11" t="s">
        <v>2185</v>
      </c>
      <c r="D2371" s="11" t="s">
        <v>28</v>
      </c>
    </row>
    <row r="2372">
      <c r="A2372" s="11">
        <v>2371.0</v>
      </c>
      <c r="B2372" s="12">
        <f t="shared" si="376"/>
        <v>40217</v>
      </c>
      <c r="C2372" s="11" t="s">
        <v>2187</v>
      </c>
      <c r="D2372" s="11" t="s">
        <v>28</v>
      </c>
    </row>
    <row r="2373">
      <c r="A2373" s="11">
        <v>2372.0</v>
      </c>
      <c r="B2373" s="12">
        <f t="shared" si="376"/>
        <v>40217</v>
      </c>
      <c r="C2373" s="11" t="s">
        <v>2177</v>
      </c>
      <c r="D2373" s="11" t="s">
        <v>28</v>
      </c>
    </row>
    <row r="2374">
      <c r="A2374" s="11">
        <v>2373.0</v>
      </c>
      <c r="B2374" s="12">
        <f t="shared" si="376"/>
        <v>40217</v>
      </c>
      <c r="C2374" s="11" t="s">
        <v>2177</v>
      </c>
      <c r="D2374" s="11" t="s">
        <v>49</v>
      </c>
    </row>
    <row r="2375">
      <c r="A2375" s="11">
        <v>2374.0</v>
      </c>
      <c r="B2375" s="12">
        <f t="shared" ref="B2375:B2378" si="377">DATE(2012,12,31)-1056</f>
        <v>40218</v>
      </c>
      <c r="C2375" s="11" t="s">
        <v>353</v>
      </c>
      <c r="D2375" s="11" t="s">
        <v>66</v>
      </c>
    </row>
    <row r="2376">
      <c r="A2376" s="11">
        <v>2375.0</v>
      </c>
      <c r="B2376" s="12">
        <f t="shared" si="377"/>
        <v>40218</v>
      </c>
      <c r="C2376" s="11" t="s">
        <v>353</v>
      </c>
      <c r="D2376" s="11" t="s">
        <v>28</v>
      </c>
    </row>
    <row r="2377">
      <c r="A2377" s="11">
        <v>2376.0</v>
      </c>
      <c r="B2377" s="12">
        <f t="shared" si="377"/>
        <v>40218</v>
      </c>
      <c r="C2377" s="11" t="s">
        <v>1767</v>
      </c>
      <c r="D2377" s="11" t="s">
        <v>28</v>
      </c>
    </row>
    <row r="2378">
      <c r="A2378" s="11">
        <v>2377.0</v>
      </c>
      <c r="B2378" s="12">
        <f t="shared" si="377"/>
        <v>40218</v>
      </c>
      <c r="C2378" s="11" t="s">
        <v>2189</v>
      </c>
      <c r="D2378" s="11" t="s">
        <v>28</v>
      </c>
    </row>
    <row r="2379">
      <c r="A2379" s="11">
        <v>2378.0</v>
      </c>
      <c r="B2379" s="12">
        <f t="shared" ref="B2379:B2386" si="378">DATE(2012,12,31)-1055</f>
        <v>40219</v>
      </c>
      <c r="C2379" s="11" t="s">
        <v>1211</v>
      </c>
      <c r="D2379" s="11" t="s">
        <v>66</v>
      </c>
    </row>
    <row r="2380">
      <c r="A2380" s="11">
        <v>2379.0</v>
      </c>
      <c r="B2380" s="12">
        <f t="shared" si="378"/>
        <v>40219</v>
      </c>
      <c r="C2380" s="11" t="s">
        <v>850</v>
      </c>
      <c r="D2380" s="11" t="s">
        <v>28</v>
      </c>
    </row>
    <row r="2381">
      <c r="A2381" s="11">
        <v>2380.0</v>
      </c>
      <c r="B2381" s="12">
        <f t="shared" si="378"/>
        <v>40219</v>
      </c>
      <c r="C2381" s="11" t="s">
        <v>2191</v>
      </c>
      <c r="D2381" s="11" t="s">
        <v>49</v>
      </c>
    </row>
    <row r="2382">
      <c r="A2382" s="11">
        <v>2381.0</v>
      </c>
      <c r="B2382" s="12">
        <f t="shared" si="378"/>
        <v>40219</v>
      </c>
      <c r="C2382" s="11" t="s">
        <v>1360</v>
      </c>
      <c r="D2382" s="11" t="s">
        <v>28</v>
      </c>
    </row>
    <row r="2383">
      <c r="A2383" s="11">
        <v>2382.0</v>
      </c>
      <c r="B2383" s="12">
        <f t="shared" si="378"/>
        <v>40219</v>
      </c>
      <c r="C2383" s="11" t="s">
        <v>1360</v>
      </c>
      <c r="D2383" s="11" t="s">
        <v>28</v>
      </c>
    </row>
    <row r="2384">
      <c r="A2384" s="11">
        <v>2383.0</v>
      </c>
      <c r="B2384" s="12">
        <f t="shared" si="378"/>
        <v>40219</v>
      </c>
      <c r="C2384" s="11" t="s">
        <v>1360</v>
      </c>
      <c r="D2384" s="11" t="s">
        <v>28</v>
      </c>
    </row>
    <row r="2385">
      <c r="A2385" s="11">
        <v>2384.0</v>
      </c>
      <c r="B2385" s="12">
        <f t="shared" si="378"/>
        <v>40219</v>
      </c>
      <c r="C2385" s="11" t="s">
        <v>262</v>
      </c>
      <c r="D2385" s="11" t="s">
        <v>28</v>
      </c>
    </row>
    <row r="2386">
      <c r="A2386" s="11">
        <v>2385.0</v>
      </c>
      <c r="B2386" s="12">
        <f t="shared" si="378"/>
        <v>40219</v>
      </c>
      <c r="C2386" s="11" t="s">
        <v>262</v>
      </c>
      <c r="D2386" s="11" t="s">
        <v>28</v>
      </c>
    </row>
    <row r="2387">
      <c r="A2387" s="11">
        <v>2386.0</v>
      </c>
      <c r="B2387" s="12">
        <f t="shared" ref="B2387:B2397" si="379">DATE(2012,12,31)-1054</f>
        <v>40220</v>
      </c>
      <c r="C2387" s="11" t="s">
        <v>1310</v>
      </c>
      <c r="D2387" s="11" t="s">
        <v>28</v>
      </c>
    </row>
    <row r="2388">
      <c r="A2388" s="11">
        <v>2387.0</v>
      </c>
      <c r="B2388" s="12">
        <f t="shared" si="379"/>
        <v>40220</v>
      </c>
      <c r="C2388" s="11" t="s">
        <v>1310</v>
      </c>
      <c r="D2388" s="11" t="s">
        <v>49</v>
      </c>
    </row>
    <row r="2389">
      <c r="A2389" s="11">
        <v>2388.0</v>
      </c>
      <c r="B2389" s="12">
        <f t="shared" si="379"/>
        <v>40220</v>
      </c>
      <c r="C2389" s="11" t="s">
        <v>1773</v>
      </c>
      <c r="D2389" s="11" t="s">
        <v>66</v>
      </c>
    </row>
    <row r="2390">
      <c r="A2390" s="11">
        <v>2389.0</v>
      </c>
      <c r="B2390" s="12">
        <f t="shared" si="379"/>
        <v>40220</v>
      </c>
      <c r="C2390" s="11" t="s">
        <v>1773</v>
      </c>
      <c r="D2390" s="11" t="s">
        <v>66</v>
      </c>
    </row>
    <row r="2391">
      <c r="A2391" s="11">
        <v>2390.0</v>
      </c>
      <c r="B2391" s="12">
        <f t="shared" si="379"/>
        <v>40220</v>
      </c>
      <c r="C2391" s="11" t="s">
        <v>1773</v>
      </c>
      <c r="D2391" s="11" t="s">
        <v>28</v>
      </c>
    </row>
    <row r="2392">
      <c r="A2392" s="11">
        <v>2391.0</v>
      </c>
      <c r="B2392" s="12">
        <f t="shared" si="379"/>
        <v>40220</v>
      </c>
      <c r="C2392" s="11" t="s">
        <v>1773</v>
      </c>
      <c r="D2392" s="11" t="s">
        <v>49</v>
      </c>
    </row>
    <row r="2393">
      <c r="A2393" s="11">
        <v>2392.0</v>
      </c>
      <c r="B2393" s="12">
        <f t="shared" si="379"/>
        <v>40220</v>
      </c>
      <c r="C2393" s="11" t="s">
        <v>1995</v>
      </c>
      <c r="D2393" s="11" t="s">
        <v>28</v>
      </c>
    </row>
    <row r="2394">
      <c r="A2394" s="11">
        <v>2393.0</v>
      </c>
      <c r="B2394" s="12">
        <f t="shared" si="379"/>
        <v>40220</v>
      </c>
      <c r="C2394" s="11" t="s">
        <v>538</v>
      </c>
      <c r="D2394" s="11" t="s">
        <v>28</v>
      </c>
    </row>
    <row r="2395">
      <c r="A2395" s="11">
        <v>2394.0</v>
      </c>
      <c r="B2395" s="12">
        <f t="shared" si="379"/>
        <v>40220</v>
      </c>
      <c r="C2395" s="11" t="s">
        <v>538</v>
      </c>
      <c r="D2395" s="11" t="s">
        <v>28</v>
      </c>
    </row>
    <row r="2396">
      <c r="A2396" s="11">
        <v>2395.0</v>
      </c>
      <c r="B2396" s="12">
        <f t="shared" si="379"/>
        <v>40220</v>
      </c>
      <c r="C2396" s="11" t="s">
        <v>611</v>
      </c>
      <c r="D2396" s="11" t="s">
        <v>66</v>
      </c>
    </row>
    <row r="2397">
      <c r="A2397" s="11">
        <v>2396.0</v>
      </c>
      <c r="B2397" s="12">
        <f t="shared" si="379"/>
        <v>40220</v>
      </c>
      <c r="C2397" s="11" t="s">
        <v>611</v>
      </c>
      <c r="D2397" s="11" t="s">
        <v>66</v>
      </c>
    </row>
    <row r="2398">
      <c r="A2398" s="11">
        <v>2397.0</v>
      </c>
      <c r="B2398" s="12">
        <f t="shared" ref="B2398:B2402" si="380">DATE(2012,12,31)-1053</f>
        <v>40221</v>
      </c>
      <c r="C2398" s="11" t="s">
        <v>1080</v>
      </c>
      <c r="D2398" s="11" t="s">
        <v>66</v>
      </c>
    </row>
    <row r="2399">
      <c r="A2399" s="11">
        <v>2398.0</v>
      </c>
      <c r="B2399" s="12">
        <f t="shared" si="380"/>
        <v>40221</v>
      </c>
      <c r="C2399" s="11" t="s">
        <v>850</v>
      </c>
      <c r="D2399" s="11" t="s">
        <v>49</v>
      </c>
    </row>
    <row r="2400">
      <c r="A2400" s="11">
        <v>2399.0</v>
      </c>
      <c r="B2400" s="12">
        <f t="shared" si="380"/>
        <v>40221</v>
      </c>
      <c r="C2400" s="11" t="s">
        <v>2098</v>
      </c>
      <c r="D2400" s="11" t="s">
        <v>49</v>
      </c>
    </row>
    <row r="2401">
      <c r="A2401" s="11">
        <v>2400.0</v>
      </c>
      <c r="B2401" s="12">
        <f t="shared" si="380"/>
        <v>40221</v>
      </c>
      <c r="C2401" s="11" t="s">
        <v>2098</v>
      </c>
      <c r="D2401" s="11" t="s">
        <v>28</v>
      </c>
    </row>
    <row r="2402">
      <c r="A2402" s="11">
        <v>2401.0</v>
      </c>
      <c r="B2402" s="12">
        <f t="shared" si="380"/>
        <v>40221</v>
      </c>
      <c r="C2402" s="11" t="s">
        <v>2039</v>
      </c>
      <c r="D2402" s="11" t="s">
        <v>49</v>
      </c>
    </row>
    <row r="2403">
      <c r="A2403" s="11">
        <v>2402.0</v>
      </c>
      <c r="B2403" s="12">
        <f t="shared" ref="B2403:B2404" si="381">DATE(2012,12,31)-1052</f>
        <v>40222</v>
      </c>
      <c r="C2403" s="11" t="s">
        <v>2194</v>
      </c>
      <c r="D2403" s="11" t="s">
        <v>28</v>
      </c>
    </row>
    <row r="2404">
      <c r="A2404" s="11">
        <v>2403.0</v>
      </c>
      <c r="B2404" s="12">
        <f t="shared" si="381"/>
        <v>40222</v>
      </c>
      <c r="C2404" s="11" t="s">
        <v>2194</v>
      </c>
      <c r="D2404" s="11" t="s">
        <v>28</v>
      </c>
    </row>
    <row r="2405">
      <c r="A2405" s="11">
        <v>2404.0</v>
      </c>
      <c r="B2405" s="12">
        <f t="shared" ref="B2405:B2408" si="382">DATE(2012,12,31)-1051</f>
        <v>40223</v>
      </c>
      <c r="C2405" s="11" t="s">
        <v>145</v>
      </c>
      <c r="D2405" s="11" t="s">
        <v>49</v>
      </c>
    </row>
    <row r="2406">
      <c r="A2406" s="11">
        <v>2405.0</v>
      </c>
      <c r="B2406" s="12">
        <f t="shared" si="382"/>
        <v>40223</v>
      </c>
      <c r="C2406" s="11" t="s">
        <v>145</v>
      </c>
      <c r="D2406" s="11" t="s">
        <v>28</v>
      </c>
    </row>
    <row r="2407">
      <c r="A2407" s="11">
        <v>2406.0</v>
      </c>
      <c r="B2407" s="12">
        <f t="shared" si="382"/>
        <v>40223</v>
      </c>
      <c r="C2407" s="11" t="s">
        <v>2069</v>
      </c>
      <c r="D2407" s="11" t="s">
        <v>66</v>
      </c>
    </row>
    <row r="2408">
      <c r="A2408" s="11">
        <v>2407.0</v>
      </c>
      <c r="B2408" s="12">
        <f t="shared" si="382"/>
        <v>40223</v>
      </c>
      <c r="C2408" s="11" t="s">
        <v>681</v>
      </c>
      <c r="D2408" s="11" t="s">
        <v>49</v>
      </c>
    </row>
    <row r="2409">
      <c r="A2409" s="11">
        <v>2408.0</v>
      </c>
      <c r="B2409" s="12">
        <f t="shared" ref="B2409:B2411" si="383">DATE(2012,12,31)-1050</f>
        <v>40224</v>
      </c>
      <c r="C2409" s="11" t="s">
        <v>1697</v>
      </c>
      <c r="D2409" s="11" t="s">
        <v>28</v>
      </c>
    </row>
    <row r="2410">
      <c r="A2410" s="11">
        <v>2409.0</v>
      </c>
      <c r="B2410" s="12">
        <f t="shared" si="383"/>
        <v>40224</v>
      </c>
      <c r="C2410" s="11" t="s">
        <v>1697</v>
      </c>
      <c r="D2410" s="11" t="s">
        <v>28</v>
      </c>
    </row>
    <row r="2411">
      <c r="A2411" s="11">
        <v>2410.0</v>
      </c>
      <c r="B2411" s="12">
        <f t="shared" si="383"/>
        <v>40224</v>
      </c>
      <c r="C2411" s="11" t="s">
        <v>1965</v>
      </c>
      <c r="D2411" s="11" t="s">
        <v>49</v>
      </c>
    </row>
    <row r="2412">
      <c r="A2412" s="11">
        <v>2411.0</v>
      </c>
      <c r="B2412" s="12">
        <f t="shared" ref="B2412:B2413" si="384">DATE(2012,12,31)-1049</f>
        <v>40225</v>
      </c>
      <c r="C2412" s="11" t="s">
        <v>2191</v>
      </c>
      <c r="D2412" s="11" t="s">
        <v>28</v>
      </c>
    </row>
    <row r="2413">
      <c r="A2413" s="11">
        <v>2412.0</v>
      </c>
      <c r="B2413" s="12">
        <f t="shared" si="384"/>
        <v>40225</v>
      </c>
      <c r="C2413" s="11" t="s">
        <v>1784</v>
      </c>
      <c r="D2413" s="11" t="s">
        <v>28</v>
      </c>
    </row>
    <row r="2414">
      <c r="A2414" s="11">
        <v>2413.0</v>
      </c>
      <c r="B2414" s="12">
        <f t="shared" ref="B2414:B2417" si="385">DATE(2012,12,31)-1048</f>
        <v>40226</v>
      </c>
      <c r="C2414" s="11" t="s">
        <v>966</v>
      </c>
      <c r="D2414" s="11" t="s">
        <v>28</v>
      </c>
    </row>
    <row r="2415">
      <c r="A2415" s="11">
        <v>2414.0</v>
      </c>
      <c r="B2415" s="12">
        <f t="shared" si="385"/>
        <v>40226</v>
      </c>
      <c r="C2415" s="11" t="s">
        <v>1068</v>
      </c>
      <c r="D2415" s="11" t="s">
        <v>49</v>
      </c>
    </row>
    <row r="2416">
      <c r="A2416" s="11">
        <v>2415.0</v>
      </c>
      <c r="B2416" s="12">
        <f t="shared" si="385"/>
        <v>40226</v>
      </c>
      <c r="C2416" s="11" t="s">
        <v>1068</v>
      </c>
      <c r="D2416" s="11" t="s">
        <v>28</v>
      </c>
    </row>
    <row r="2417">
      <c r="A2417" s="11">
        <v>2416.0</v>
      </c>
      <c r="B2417" s="12">
        <f t="shared" si="385"/>
        <v>40226</v>
      </c>
      <c r="C2417" s="11" t="s">
        <v>1685</v>
      </c>
      <c r="D2417" s="11" t="s">
        <v>28</v>
      </c>
    </row>
    <row r="2418">
      <c r="A2418" s="11">
        <v>2417.0</v>
      </c>
      <c r="B2418" s="12">
        <f>DATE(2012,12,31)-1047</f>
        <v>40227</v>
      </c>
      <c r="C2418" s="11" t="s">
        <v>1784</v>
      </c>
      <c r="D2418" s="11" t="s">
        <v>28</v>
      </c>
    </row>
    <row r="2419">
      <c r="A2419" s="11">
        <v>2418.0</v>
      </c>
      <c r="B2419" s="12">
        <f t="shared" ref="B2419:B2423" si="386">DATE(2012,12,31)-1046</f>
        <v>40228</v>
      </c>
      <c r="C2419" s="11" t="s">
        <v>2086</v>
      </c>
      <c r="D2419" s="11" t="s">
        <v>66</v>
      </c>
    </row>
    <row r="2420">
      <c r="A2420" s="11">
        <v>2419.0</v>
      </c>
      <c r="B2420" s="12">
        <f t="shared" si="386"/>
        <v>40228</v>
      </c>
      <c r="C2420" s="11" t="s">
        <v>2086</v>
      </c>
      <c r="D2420" s="11" t="s">
        <v>66</v>
      </c>
    </row>
    <row r="2421">
      <c r="A2421" s="11">
        <v>2420.0</v>
      </c>
      <c r="B2421" s="12">
        <f t="shared" si="386"/>
        <v>40228</v>
      </c>
      <c r="C2421" s="11" t="s">
        <v>2086</v>
      </c>
      <c r="D2421" s="11" t="s">
        <v>28</v>
      </c>
    </row>
    <row r="2422">
      <c r="A2422" s="11">
        <v>2421.0</v>
      </c>
      <c r="B2422" s="12">
        <f t="shared" si="386"/>
        <v>40228</v>
      </c>
      <c r="C2422" s="11" t="s">
        <v>648</v>
      </c>
      <c r="D2422" s="11" t="s">
        <v>28</v>
      </c>
    </row>
    <row r="2423">
      <c r="A2423" s="11">
        <v>2422.0</v>
      </c>
      <c r="B2423" s="12">
        <f t="shared" si="386"/>
        <v>40228</v>
      </c>
      <c r="C2423" s="11" t="s">
        <v>763</v>
      </c>
      <c r="D2423" s="11" t="s">
        <v>28</v>
      </c>
    </row>
    <row r="2424">
      <c r="A2424" s="11">
        <v>2423.0</v>
      </c>
      <c r="B2424" s="12">
        <f t="shared" ref="B2424:B2432" si="387">DATE(2012,12,31)-1045</f>
        <v>40229</v>
      </c>
      <c r="C2424" s="11" t="s">
        <v>1054</v>
      </c>
      <c r="D2424" s="11" t="s">
        <v>28</v>
      </c>
    </row>
    <row r="2425">
      <c r="A2425" s="11">
        <v>2424.0</v>
      </c>
      <c r="B2425" s="12">
        <f t="shared" si="387"/>
        <v>40229</v>
      </c>
      <c r="C2425" s="11" t="s">
        <v>977</v>
      </c>
      <c r="D2425" s="11" t="s">
        <v>28</v>
      </c>
    </row>
    <row r="2426">
      <c r="A2426" s="11">
        <v>2425.0</v>
      </c>
      <c r="B2426" s="12">
        <f t="shared" si="387"/>
        <v>40229</v>
      </c>
      <c r="C2426" s="11" t="s">
        <v>608</v>
      </c>
      <c r="D2426" s="11" t="s">
        <v>28</v>
      </c>
    </row>
    <row r="2427">
      <c r="A2427" s="11">
        <v>2426.0</v>
      </c>
      <c r="B2427" s="12">
        <f t="shared" si="387"/>
        <v>40229</v>
      </c>
      <c r="C2427" s="11" t="s">
        <v>608</v>
      </c>
      <c r="D2427" s="11" t="s">
        <v>28</v>
      </c>
    </row>
    <row r="2428">
      <c r="A2428" s="11">
        <v>2427.0</v>
      </c>
      <c r="B2428" s="12">
        <f t="shared" si="387"/>
        <v>40229</v>
      </c>
      <c r="C2428" s="11" t="s">
        <v>429</v>
      </c>
      <c r="D2428" s="11" t="s">
        <v>28</v>
      </c>
    </row>
    <row r="2429">
      <c r="A2429" s="11">
        <v>2428.0</v>
      </c>
      <c r="B2429" s="12">
        <f t="shared" si="387"/>
        <v>40229</v>
      </c>
      <c r="C2429" s="11" t="s">
        <v>106</v>
      </c>
      <c r="D2429" s="11" t="s">
        <v>28</v>
      </c>
    </row>
    <row r="2430">
      <c r="A2430" s="11">
        <v>2429.0</v>
      </c>
      <c r="B2430" s="12">
        <f t="shared" si="387"/>
        <v>40229</v>
      </c>
      <c r="C2430" s="11" t="s">
        <v>2204</v>
      </c>
      <c r="D2430" s="11" t="s">
        <v>28</v>
      </c>
    </row>
    <row r="2431">
      <c r="A2431" s="11">
        <v>2430.0</v>
      </c>
      <c r="B2431" s="12">
        <f t="shared" si="387"/>
        <v>40229</v>
      </c>
      <c r="C2431" s="11" t="s">
        <v>567</v>
      </c>
      <c r="D2431" s="11" t="s">
        <v>49</v>
      </c>
    </row>
    <row r="2432">
      <c r="A2432" s="11">
        <v>2431.0</v>
      </c>
      <c r="B2432" s="12">
        <f t="shared" si="387"/>
        <v>40229</v>
      </c>
      <c r="C2432" s="11" t="s">
        <v>510</v>
      </c>
      <c r="D2432" s="11" t="s">
        <v>66</v>
      </c>
    </row>
    <row r="2433">
      <c r="A2433" s="11">
        <v>2432.0</v>
      </c>
      <c r="B2433" s="12">
        <f t="shared" ref="B2433:B2437" si="388">DATE(2012,12,31)-1044</f>
        <v>40230</v>
      </c>
      <c r="C2433" s="11" t="s">
        <v>2205</v>
      </c>
      <c r="D2433" s="11" t="s">
        <v>28</v>
      </c>
    </row>
    <row r="2434">
      <c r="A2434" s="11">
        <v>2433.0</v>
      </c>
      <c r="B2434" s="12">
        <f t="shared" si="388"/>
        <v>40230</v>
      </c>
      <c r="C2434" s="11" t="s">
        <v>337</v>
      </c>
      <c r="D2434" s="11" t="s">
        <v>28</v>
      </c>
    </row>
    <row r="2435">
      <c r="A2435" s="11">
        <v>2434.0</v>
      </c>
      <c r="B2435" s="12">
        <f t="shared" si="388"/>
        <v>40230</v>
      </c>
      <c r="C2435" s="11" t="s">
        <v>120</v>
      </c>
      <c r="D2435" s="11" t="s">
        <v>49</v>
      </c>
    </row>
    <row r="2436">
      <c r="A2436" s="11">
        <v>2435.0</v>
      </c>
      <c r="B2436" s="12">
        <f t="shared" si="388"/>
        <v>40230</v>
      </c>
      <c r="C2436" s="11" t="s">
        <v>1578</v>
      </c>
      <c r="D2436" s="11" t="s">
        <v>66</v>
      </c>
    </row>
    <row r="2437">
      <c r="A2437" s="11">
        <v>2436.0</v>
      </c>
      <c r="B2437" s="12">
        <f t="shared" si="388"/>
        <v>40230</v>
      </c>
      <c r="C2437" s="11" t="s">
        <v>1578</v>
      </c>
      <c r="D2437" s="11" t="s">
        <v>28</v>
      </c>
    </row>
    <row r="2438">
      <c r="A2438" s="11">
        <v>2437.0</v>
      </c>
      <c r="B2438" s="12">
        <f t="shared" ref="B2438:B2447" si="389">DATE(2012,12,31)-1043</f>
        <v>40231</v>
      </c>
      <c r="C2438" s="11" t="s">
        <v>239</v>
      </c>
      <c r="D2438" s="11" t="s">
        <v>49</v>
      </c>
    </row>
    <row r="2439">
      <c r="A2439" s="11">
        <v>2438.0</v>
      </c>
      <c r="B2439" s="12">
        <f t="shared" si="389"/>
        <v>40231</v>
      </c>
      <c r="C2439" s="11" t="s">
        <v>239</v>
      </c>
      <c r="D2439" s="11" t="s">
        <v>28</v>
      </c>
    </row>
    <row r="2440">
      <c r="A2440" s="11">
        <v>2439.0</v>
      </c>
      <c r="B2440" s="12">
        <f t="shared" si="389"/>
        <v>40231</v>
      </c>
      <c r="C2440" s="11" t="s">
        <v>2208</v>
      </c>
      <c r="D2440" s="11" t="s">
        <v>28</v>
      </c>
    </row>
    <row r="2441">
      <c r="A2441" s="11">
        <v>2440.0</v>
      </c>
      <c r="B2441" s="12">
        <f t="shared" si="389"/>
        <v>40231</v>
      </c>
      <c r="C2441" s="11" t="s">
        <v>1414</v>
      </c>
      <c r="D2441" s="11" t="s">
        <v>49</v>
      </c>
    </row>
    <row r="2442">
      <c r="A2442" s="11">
        <v>2441.0</v>
      </c>
      <c r="B2442" s="12">
        <f t="shared" si="389"/>
        <v>40231</v>
      </c>
      <c r="C2442" s="11" t="s">
        <v>1414</v>
      </c>
      <c r="D2442" s="11" t="s">
        <v>49</v>
      </c>
    </row>
    <row r="2443">
      <c r="A2443" s="11">
        <v>2442.0</v>
      </c>
      <c r="B2443" s="12">
        <f t="shared" si="389"/>
        <v>40231</v>
      </c>
      <c r="C2443" s="11" t="s">
        <v>1948</v>
      </c>
      <c r="D2443" s="11" t="s">
        <v>28</v>
      </c>
    </row>
    <row r="2444">
      <c r="A2444" s="11">
        <v>2443.0</v>
      </c>
      <c r="B2444" s="12">
        <f t="shared" si="389"/>
        <v>40231</v>
      </c>
      <c r="C2444" s="11" t="s">
        <v>1948</v>
      </c>
      <c r="D2444" s="11" t="s">
        <v>28</v>
      </c>
    </row>
    <row r="2445">
      <c r="A2445" s="11">
        <v>2444.0</v>
      </c>
      <c r="B2445" s="12">
        <f t="shared" si="389"/>
        <v>40231</v>
      </c>
      <c r="C2445" s="11" t="s">
        <v>1948</v>
      </c>
      <c r="D2445" s="11" t="s">
        <v>28</v>
      </c>
    </row>
    <row r="2446">
      <c r="A2446" s="11">
        <v>2445.0</v>
      </c>
      <c r="B2446" s="12">
        <f t="shared" si="389"/>
        <v>40231</v>
      </c>
      <c r="C2446" s="11" t="s">
        <v>1214</v>
      </c>
      <c r="D2446" s="11" t="s">
        <v>28</v>
      </c>
    </row>
    <row r="2447">
      <c r="A2447" s="11">
        <v>2446.0</v>
      </c>
      <c r="B2447" s="12">
        <f t="shared" si="389"/>
        <v>40231</v>
      </c>
      <c r="C2447" s="11" t="s">
        <v>2104</v>
      </c>
      <c r="D2447" s="11" t="s">
        <v>66</v>
      </c>
    </row>
    <row r="2448">
      <c r="A2448" s="11">
        <v>2447.0</v>
      </c>
      <c r="B2448" s="12">
        <f t="shared" ref="B2448:B2454" si="390">DATE(2012,12,31)-1042</f>
        <v>40232</v>
      </c>
      <c r="C2448" s="11" t="s">
        <v>953</v>
      </c>
      <c r="D2448" s="11" t="s">
        <v>28</v>
      </c>
    </row>
    <row r="2449">
      <c r="A2449" s="11">
        <v>2448.0</v>
      </c>
      <c r="B2449" s="12">
        <f t="shared" si="390"/>
        <v>40232</v>
      </c>
      <c r="C2449" s="11" t="s">
        <v>953</v>
      </c>
      <c r="D2449" s="11" t="s">
        <v>28</v>
      </c>
    </row>
    <row r="2450">
      <c r="A2450" s="11">
        <v>2449.0</v>
      </c>
      <c r="B2450" s="12">
        <f t="shared" si="390"/>
        <v>40232</v>
      </c>
      <c r="C2450" s="11" t="s">
        <v>1069</v>
      </c>
      <c r="D2450" s="11" t="s">
        <v>28</v>
      </c>
    </row>
    <row r="2451">
      <c r="A2451" s="11">
        <v>2450.0</v>
      </c>
      <c r="B2451" s="12">
        <f t="shared" si="390"/>
        <v>40232</v>
      </c>
      <c r="C2451" s="11" t="s">
        <v>1069</v>
      </c>
      <c r="D2451" s="11" t="s">
        <v>28</v>
      </c>
    </row>
    <row r="2452">
      <c r="A2452" s="11">
        <v>2451.0</v>
      </c>
      <c r="B2452" s="12">
        <f t="shared" si="390"/>
        <v>40232</v>
      </c>
      <c r="C2452" s="11" t="s">
        <v>1069</v>
      </c>
      <c r="D2452" s="11" t="s">
        <v>66</v>
      </c>
    </row>
    <row r="2453">
      <c r="A2453" s="11">
        <v>2452.0</v>
      </c>
      <c r="B2453" s="12">
        <f t="shared" si="390"/>
        <v>40232</v>
      </c>
      <c r="C2453" s="11" t="s">
        <v>1069</v>
      </c>
      <c r="D2453" s="11" t="s">
        <v>28</v>
      </c>
    </row>
    <row r="2454">
      <c r="A2454" s="11">
        <v>2453.0</v>
      </c>
      <c r="B2454" s="12">
        <f t="shared" si="390"/>
        <v>40232</v>
      </c>
      <c r="C2454" s="11" t="s">
        <v>1069</v>
      </c>
      <c r="D2454" s="11" t="s">
        <v>28</v>
      </c>
    </row>
    <row r="2455">
      <c r="A2455" s="11">
        <v>2454.0</v>
      </c>
      <c r="B2455" s="12">
        <f t="shared" ref="B2455:B2461" si="391">DATE(2012,12,31)-1041</f>
        <v>40233</v>
      </c>
      <c r="C2455" s="11" t="s">
        <v>25</v>
      </c>
      <c r="D2455" s="11" t="s">
        <v>28</v>
      </c>
    </row>
    <row r="2456">
      <c r="A2456" s="11">
        <v>2455.0</v>
      </c>
      <c r="B2456" s="12">
        <f t="shared" si="391"/>
        <v>40233</v>
      </c>
      <c r="C2456" s="11" t="s">
        <v>1492</v>
      </c>
      <c r="D2456" s="11" t="s">
        <v>28</v>
      </c>
    </row>
    <row r="2457">
      <c r="A2457" s="11">
        <v>2456.0</v>
      </c>
      <c r="B2457" s="12">
        <f t="shared" si="391"/>
        <v>40233</v>
      </c>
      <c r="C2457" s="11" t="s">
        <v>1492</v>
      </c>
      <c r="D2457" s="11" t="s">
        <v>28</v>
      </c>
    </row>
    <row r="2458">
      <c r="A2458" s="11">
        <v>2457.0</v>
      </c>
      <c r="B2458" s="12">
        <f t="shared" si="391"/>
        <v>40233</v>
      </c>
      <c r="C2458" s="11" t="s">
        <v>781</v>
      </c>
      <c r="D2458" s="11" t="s">
        <v>66</v>
      </c>
    </row>
    <row r="2459">
      <c r="A2459" s="11">
        <v>2458.0</v>
      </c>
      <c r="B2459" s="12">
        <f t="shared" si="391"/>
        <v>40233</v>
      </c>
      <c r="C2459" s="11" t="s">
        <v>2177</v>
      </c>
      <c r="D2459" s="11" t="s">
        <v>28</v>
      </c>
    </row>
    <row r="2460">
      <c r="A2460" s="11">
        <v>2459.0</v>
      </c>
      <c r="B2460" s="12">
        <f t="shared" si="391"/>
        <v>40233</v>
      </c>
      <c r="C2460" s="11" t="s">
        <v>2177</v>
      </c>
      <c r="D2460" s="11" t="s">
        <v>28</v>
      </c>
    </row>
    <row r="2461">
      <c r="A2461" s="11">
        <v>2460.0</v>
      </c>
      <c r="B2461" s="12">
        <f t="shared" si="391"/>
        <v>40233</v>
      </c>
      <c r="C2461" s="11" t="s">
        <v>1014</v>
      </c>
      <c r="D2461" s="11" t="s">
        <v>28</v>
      </c>
    </row>
    <row r="2462">
      <c r="A2462" s="11">
        <v>2461.0</v>
      </c>
      <c r="B2462" s="12">
        <f t="shared" ref="B2462:B2465" si="392">DATE(2012,12,31)-1040</f>
        <v>40234</v>
      </c>
      <c r="C2462" s="11" t="s">
        <v>370</v>
      </c>
      <c r="D2462" s="11" t="s">
        <v>28</v>
      </c>
    </row>
    <row r="2463">
      <c r="A2463" s="11">
        <v>2462.0</v>
      </c>
      <c r="B2463" s="12">
        <f t="shared" si="392"/>
        <v>40234</v>
      </c>
      <c r="C2463" s="11" t="s">
        <v>370</v>
      </c>
      <c r="D2463" s="11" t="s">
        <v>66</v>
      </c>
    </row>
    <row r="2464">
      <c r="A2464" s="11">
        <v>2463.0</v>
      </c>
      <c r="B2464" s="12">
        <f t="shared" si="392"/>
        <v>40234</v>
      </c>
      <c r="C2464" s="11" t="s">
        <v>2215</v>
      </c>
      <c r="D2464" s="11" t="s">
        <v>66</v>
      </c>
    </row>
    <row r="2465">
      <c r="A2465" s="11">
        <v>2464.0</v>
      </c>
      <c r="B2465" s="12">
        <f t="shared" si="392"/>
        <v>40234</v>
      </c>
      <c r="C2465" s="11" t="s">
        <v>82</v>
      </c>
      <c r="D2465" s="11" t="s">
        <v>28</v>
      </c>
    </row>
    <row r="2466">
      <c r="A2466" s="11">
        <v>2465.0</v>
      </c>
      <c r="B2466" s="12">
        <f t="shared" ref="B2466:B2479" si="393">DATE(2012,12,31)-1039</f>
        <v>40235</v>
      </c>
      <c r="C2466" s="11" t="s">
        <v>831</v>
      </c>
      <c r="D2466" s="11" t="s">
        <v>28</v>
      </c>
    </row>
    <row r="2467">
      <c r="A2467" s="11">
        <v>2466.0</v>
      </c>
      <c r="B2467" s="12">
        <f t="shared" si="393"/>
        <v>40235</v>
      </c>
      <c r="C2467" s="11" t="s">
        <v>1221</v>
      </c>
      <c r="D2467" s="11" t="s">
        <v>49</v>
      </c>
    </row>
    <row r="2468">
      <c r="A2468" s="11">
        <v>2467.0</v>
      </c>
      <c r="B2468" s="12">
        <f t="shared" si="393"/>
        <v>40235</v>
      </c>
      <c r="C2468" s="11" t="s">
        <v>2075</v>
      </c>
      <c r="D2468" s="11" t="s">
        <v>28</v>
      </c>
    </row>
    <row r="2469">
      <c r="A2469" s="11">
        <v>2468.0</v>
      </c>
      <c r="B2469" s="12">
        <f t="shared" si="393"/>
        <v>40235</v>
      </c>
      <c r="C2469" s="11" t="s">
        <v>2075</v>
      </c>
      <c r="D2469" s="11" t="s">
        <v>28</v>
      </c>
    </row>
    <row r="2470">
      <c r="A2470" s="11">
        <v>2469.0</v>
      </c>
      <c r="B2470" s="12">
        <f t="shared" si="393"/>
        <v>40235</v>
      </c>
      <c r="C2470" s="11" t="s">
        <v>2217</v>
      </c>
      <c r="D2470" s="11" t="s">
        <v>28</v>
      </c>
    </row>
    <row r="2471">
      <c r="A2471" s="11">
        <v>2470.0</v>
      </c>
      <c r="B2471" s="12">
        <f t="shared" si="393"/>
        <v>40235</v>
      </c>
      <c r="C2471" s="11" t="s">
        <v>2217</v>
      </c>
      <c r="D2471" s="11" t="s">
        <v>49</v>
      </c>
    </row>
    <row r="2472">
      <c r="A2472" s="11">
        <v>2471.0</v>
      </c>
      <c r="B2472" s="12">
        <f t="shared" si="393"/>
        <v>40235</v>
      </c>
      <c r="C2472" s="11" t="s">
        <v>1876</v>
      </c>
      <c r="D2472" s="11" t="s">
        <v>28</v>
      </c>
    </row>
    <row r="2473">
      <c r="A2473" s="11">
        <v>2472.0</v>
      </c>
      <c r="B2473" s="12">
        <f t="shared" si="393"/>
        <v>40235</v>
      </c>
      <c r="C2473" s="11" t="s">
        <v>1393</v>
      </c>
      <c r="D2473" s="11" t="s">
        <v>66</v>
      </c>
    </row>
    <row r="2474">
      <c r="A2474" s="11">
        <v>2473.0</v>
      </c>
      <c r="B2474" s="12">
        <f t="shared" si="393"/>
        <v>40235</v>
      </c>
      <c r="C2474" s="11" t="s">
        <v>1393</v>
      </c>
      <c r="D2474" s="11" t="s">
        <v>28</v>
      </c>
    </row>
    <row r="2475">
      <c r="A2475" s="11">
        <v>2474.0</v>
      </c>
      <c r="B2475" s="12">
        <f t="shared" si="393"/>
        <v>40235</v>
      </c>
      <c r="C2475" s="11" t="s">
        <v>1393</v>
      </c>
      <c r="D2475" s="11" t="s">
        <v>28</v>
      </c>
    </row>
    <row r="2476">
      <c r="A2476" s="11">
        <v>2475.0</v>
      </c>
      <c r="B2476" s="12">
        <f t="shared" si="393"/>
        <v>40235</v>
      </c>
      <c r="C2476" s="11" t="s">
        <v>1772</v>
      </c>
      <c r="D2476" s="11" t="s">
        <v>49</v>
      </c>
    </row>
    <row r="2477">
      <c r="A2477" s="11">
        <v>2476.0</v>
      </c>
      <c r="B2477" s="12">
        <f t="shared" si="393"/>
        <v>40235</v>
      </c>
      <c r="C2477" s="11" t="s">
        <v>1772</v>
      </c>
      <c r="D2477" s="11" t="s">
        <v>66</v>
      </c>
    </row>
    <row r="2478">
      <c r="A2478" s="11">
        <v>2477.0</v>
      </c>
      <c r="B2478" s="12">
        <f t="shared" si="393"/>
        <v>40235</v>
      </c>
      <c r="C2478" s="11" t="s">
        <v>1772</v>
      </c>
      <c r="D2478" s="11" t="s">
        <v>28</v>
      </c>
    </row>
    <row r="2479">
      <c r="A2479" s="11">
        <v>2478.0</v>
      </c>
      <c r="B2479" s="12">
        <f t="shared" si="393"/>
        <v>40235</v>
      </c>
      <c r="C2479" s="11" t="s">
        <v>213</v>
      </c>
      <c r="D2479" s="11" t="s">
        <v>49</v>
      </c>
    </row>
    <row r="2480">
      <c r="A2480" s="11">
        <v>2479.0</v>
      </c>
      <c r="B2480" s="12">
        <f t="shared" ref="B2480:B2496" si="394">DATE(2012,12,31)-1038</f>
        <v>40236</v>
      </c>
      <c r="C2480" s="11" t="s">
        <v>1145</v>
      </c>
      <c r="D2480" s="11" t="s">
        <v>28</v>
      </c>
    </row>
    <row r="2481">
      <c r="A2481" s="11">
        <v>2480.0</v>
      </c>
      <c r="B2481" s="12">
        <f t="shared" si="394"/>
        <v>40236</v>
      </c>
      <c r="C2481" s="11" t="s">
        <v>360</v>
      </c>
      <c r="D2481" s="11" t="s">
        <v>49</v>
      </c>
    </row>
    <row r="2482">
      <c r="A2482" s="11">
        <v>2481.0</v>
      </c>
      <c r="B2482" s="12">
        <f t="shared" si="394"/>
        <v>40236</v>
      </c>
      <c r="C2482" s="11" t="s">
        <v>360</v>
      </c>
      <c r="D2482" s="11" t="s">
        <v>49</v>
      </c>
    </row>
    <row r="2483">
      <c r="A2483" s="11">
        <v>2482.0</v>
      </c>
      <c r="B2483" s="12">
        <f t="shared" si="394"/>
        <v>40236</v>
      </c>
      <c r="C2483" s="11" t="s">
        <v>360</v>
      </c>
      <c r="D2483" s="11" t="s">
        <v>66</v>
      </c>
    </row>
    <row r="2484">
      <c r="A2484" s="11">
        <v>2483.0</v>
      </c>
      <c r="B2484" s="12">
        <f t="shared" si="394"/>
        <v>40236</v>
      </c>
      <c r="C2484" s="11" t="s">
        <v>360</v>
      </c>
      <c r="D2484" s="11" t="s">
        <v>49</v>
      </c>
    </row>
    <row r="2485">
      <c r="A2485" s="11">
        <v>2484.0</v>
      </c>
      <c r="B2485" s="12">
        <f t="shared" si="394"/>
        <v>40236</v>
      </c>
      <c r="C2485" s="11" t="s">
        <v>2221</v>
      </c>
      <c r="D2485" s="11" t="s">
        <v>28</v>
      </c>
    </row>
    <row r="2486">
      <c r="A2486" s="11">
        <v>2485.0</v>
      </c>
      <c r="B2486" s="12">
        <f t="shared" si="394"/>
        <v>40236</v>
      </c>
      <c r="C2486" s="11" t="s">
        <v>2221</v>
      </c>
      <c r="D2486" s="11" t="s">
        <v>66</v>
      </c>
    </row>
    <row r="2487">
      <c r="A2487" s="11">
        <v>2486.0</v>
      </c>
      <c r="B2487" s="12">
        <f t="shared" si="394"/>
        <v>40236</v>
      </c>
      <c r="C2487" s="11" t="s">
        <v>546</v>
      </c>
      <c r="D2487" s="11" t="s">
        <v>28</v>
      </c>
    </row>
    <row r="2488">
      <c r="A2488" s="11">
        <v>2487.0</v>
      </c>
      <c r="B2488" s="12">
        <f t="shared" si="394"/>
        <v>40236</v>
      </c>
      <c r="C2488" s="11" t="s">
        <v>546</v>
      </c>
      <c r="D2488" s="11" t="s">
        <v>49</v>
      </c>
    </row>
    <row r="2489">
      <c r="A2489" s="11">
        <v>2488.0</v>
      </c>
      <c r="B2489" s="12">
        <f t="shared" si="394"/>
        <v>40236</v>
      </c>
      <c r="C2489" s="11" t="s">
        <v>546</v>
      </c>
      <c r="D2489" s="11" t="s">
        <v>28</v>
      </c>
    </row>
    <row r="2490">
      <c r="A2490" s="11">
        <v>2489.0</v>
      </c>
      <c r="B2490" s="12">
        <f t="shared" si="394"/>
        <v>40236</v>
      </c>
      <c r="C2490" s="11" t="s">
        <v>546</v>
      </c>
      <c r="D2490" s="11" t="s">
        <v>28</v>
      </c>
    </row>
    <row r="2491">
      <c r="A2491" s="11">
        <v>2490.0</v>
      </c>
      <c r="B2491" s="12">
        <f t="shared" si="394"/>
        <v>40236</v>
      </c>
      <c r="C2491" s="11" t="s">
        <v>878</v>
      </c>
      <c r="D2491" s="11" t="s">
        <v>28</v>
      </c>
    </row>
    <row r="2492">
      <c r="A2492" s="11">
        <v>2491.0</v>
      </c>
      <c r="B2492" s="12">
        <f t="shared" si="394"/>
        <v>40236</v>
      </c>
      <c r="C2492" s="11" t="s">
        <v>863</v>
      </c>
      <c r="D2492" s="11" t="s">
        <v>66</v>
      </c>
    </row>
    <row r="2493">
      <c r="A2493" s="11">
        <v>2492.0</v>
      </c>
      <c r="B2493" s="12">
        <f t="shared" si="394"/>
        <v>40236</v>
      </c>
      <c r="C2493" s="11" t="s">
        <v>1054</v>
      </c>
      <c r="D2493" s="11" t="s">
        <v>66</v>
      </c>
    </row>
    <row r="2494">
      <c r="A2494" s="11">
        <v>2493.0</v>
      </c>
      <c r="B2494" s="12">
        <f t="shared" si="394"/>
        <v>40236</v>
      </c>
      <c r="C2494" s="11" t="s">
        <v>1054</v>
      </c>
      <c r="D2494" s="11" t="s">
        <v>28</v>
      </c>
    </row>
    <row r="2495">
      <c r="A2495" s="11">
        <v>2494.0</v>
      </c>
      <c r="B2495" s="12">
        <f t="shared" si="394"/>
        <v>40236</v>
      </c>
      <c r="C2495" s="11" t="s">
        <v>1054</v>
      </c>
      <c r="D2495" s="11" t="s">
        <v>66</v>
      </c>
    </row>
    <row r="2496">
      <c r="A2496" s="11">
        <v>2495.0</v>
      </c>
      <c r="B2496" s="12">
        <f t="shared" si="394"/>
        <v>40236</v>
      </c>
      <c r="C2496" s="11" t="s">
        <v>2224</v>
      </c>
      <c r="D2496" s="11" t="s">
        <v>49</v>
      </c>
    </row>
    <row r="2497">
      <c r="A2497" s="11">
        <v>2496.0</v>
      </c>
      <c r="B2497" s="12">
        <f t="shared" ref="B2497:B2498" si="395">DATE(2012,12,31)-1037</f>
        <v>40237</v>
      </c>
      <c r="C2497" s="11" t="s">
        <v>116</v>
      </c>
      <c r="D2497" s="11" t="s">
        <v>28</v>
      </c>
    </row>
    <row r="2498">
      <c r="A2498" s="11">
        <v>2497.0</v>
      </c>
      <c r="B2498" s="12">
        <f t="shared" si="395"/>
        <v>40237</v>
      </c>
      <c r="C2498" s="11" t="s">
        <v>235</v>
      </c>
      <c r="D2498" s="11" t="s">
        <v>28</v>
      </c>
    </row>
    <row r="2499">
      <c r="A2499" s="11">
        <v>2498.0</v>
      </c>
      <c r="B2499" s="12">
        <f t="shared" ref="B2499:B2503" si="396">DATE(2012,12,31)-1036</f>
        <v>40238</v>
      </c>
      <c r="C2499" s="11" t="s">
        <v>2169</v>
      </c>
      <c r="D2499" s="11" t="s">
        <v>28</v>
      </c>
    </row>
    <row r="2500">
      <c r="A2500" s="11">
        <v>2499.0</v>
      </c>
      <c r="B2500" s="12">
        <f t="shared" si="396"/>
        <v>40238</v>
      </c>
      <c r="C2500" s="11" t="s">
        <v>2169</v>
      </c>
      <c r="D2500" s="11" t="s">
        <v>28</v>
      </c>
    </row>
    <row r="2501">
      <c r="A2501" s="11">
        <v>2500.0</v>
      </c>
      <c r="B2501" s="12">
        <f t="shared" si="396"/>
        <v>40238</v>
      </c>
      <c r="C2501" s="11" t="s">
        <v>1772</v>
      </c>
      <c r="D2501" s="11" t="s">
        <v>28</v>
      </c>
    </row>
    <row r="2502">
      <c r="A2502" s="11">
        <v>2501.0</v>
      </c>
      <c r="B2502" s="12">
        <f t="shared" si="396"/>
        <v>40238</v>
      </c>
      <c r="C2502" s="11" t="s">
        <v>1901</v>
      </c>
      <c r="D2502" s="11" t="s">
        <v>28</v>
      </c>
    </row>
    <row r="2503">
      <c r="A2503" s="11">
        <v>2502.0</v>
      </c>
      <c r="B2503" s="12">
        <f t="shared" si="396"/>
        <v>40238</v>
      </c>
      <c r="C2503" s="11" t="s">
        <v>1901</v>
      </c>
      <c r="D2503" s="11" t="s">
        <v>66</v>
      </c>
    </row>
    <row r="2504">
      <c r="A2504" s="11">
        <v>2503.0</v>
      </c>
      <c r="B2504" s="12">
        <f t="shared" ref="B2504:B2513" si="397">DATE(2012,12,31)-1035</f>
        <v>40239</v>
      </c>
      <c r="C2504" s="11" t="s">
        <v>494</v>
      </c>
      <c r="D2504" s="11" t="s">
        <v>49</v>
      </c>
    </row>
    <row r="2505">
      <c r="A2505" s="11">
        <v>2504.0</v>
      </c>
      <c r="B2505" s="12">
        <f t="shared" si="397"/>
        <v>40239</v>
      </c>
      <c r="C2505" s="11" t="s">
        <v>494</v>
      </c>
      <c r="D2505" s="11" t="s">
        <v>28</v>
      </c>
    </row>
    <row r="2506">
      <c r="A2506" s="11">
        <v>2505.0</v>
      </c>
      <c r="B2506" s="12">
        <f t="shared" si="397"/>
        <v>40239</v>
      </c>
      <c r="C2506" s="11" t="s">
        <v>2194</v>
      </c>
      <c r="D2506" s="11" t="s">
        <v>28</v>
      </c>
    </row>
    <row r="2507">
      <c r="A2507" s="11">
        <v>2506.0</v>
      </c>
      <c r="B2507" s="12">
        <f t="shared" si="397"/>
        <v>40239</v>
      </c>
      <c r="C2507" s="11" t="s">
        <v>578</v>
      </c>
      <c r="D2507" s="11" t="s">
        <v>28</v>
      </c>
    </row>
    <row r="2508">
      <c r="A2508" s="11">
        <v>2507.0</v>
      </c>
      <c r="B2508" s="12">
        <f t="shared" si="397"/>
        <v>40239</v>
      </c>
      <c r="C2508" s="11" t="s">
        <v>936</v>
      </c>
      <c r="D2508" s="11" t="s">
        <v>66</v>
      </c>
    </row>
    <row r="2509">
      <c r="A2509" s="11">
        <v>2508.0</v>
      </c>
      <c r="B2509" s="12">
        <f t="shared" si="397"/>
        <v>40239</v>
      </c>
      <c r="C2509" s="11" t="s">
        <v>786</v>
      </c>
      <c r="D2509" s="11" t="s">
        <v>28</v>
      </c>
    </row>
    <row r="2510">
      <c r="A2510" s="11">
        <v>2509.0</v>
      </c>
      <c r="B2510" s="12">
        <f t="shared" si="397"/>
        <v>40239</v>
      </c>
      <c r="C2510" s="11" t="s">
        <v>1386</v>
      </c>
      <c r="D2510" s="11" t="s">
        <v>28</v>
      </c>
    </row>
    <row r="2511">
      <c r="A2511" s="11">
        <v>2510.0</v>
      </c>
      <c r="B2511" s="12">
        <f t="shared" si="397"/>
        <v>40239</v>
      </c>
      <c r="C2511" s="11" t="s">
        <v>1386</v>
      </c>
      <c r="D2511" s="11" t="s">
        <v>49</v>
      </c>
    </row>
    <row r="2512">
      <c r="A2512" s="11">
        <v>2511.0</v>
      </c>
      <c r="B2512" s="12">
        <f t="shared" si="397"/>
        <v>40239</v>
      </c>
      <c r="C2512" s="11" t="s">
        <v>1386</v>
      </c>
      <c r="D2512" s="11" t="s">
        <v>28</v>
      </c>
    </row>
    <row r="2513">
      <c r="A2513" s="11">
        <v>2512.0</v>
      </c>
      <c r="B2513" s="12">
        <f t="shared" si="397"/>
        <v>40239</v>
      </c>
      <c r="C2513" s="11" t="s">
        <v>444</v>
      </c>
      <c r="D2513" s="11" t="s">
        <v>49</v>
      </c>
    </row>
    <row r="2514">
      <c r="A2514" s="11">
        <v>2513.0</v>
      </c>
      <c r="B2514" s="12">
        <f t="shared" ref="B2514:B2521" si="398">DATE(2012,12,31)-1034</f>
        <v>40240</v>
      </c>
      <c r="C2514" s="11" t="s">
        <v>340</v>
      </c>
      <c r="D2514" s="11" t="s">
        <v>28</v>
      </c>
    </row>
    <row r="2515">
      <c r="A2515" s="11">
        <v>2514.0</v>
      </c>
      <c r="B2515" s="12">
        <f t="shared" si="398"/>
        <v>40240</v>
      </c>
      <c r="C2515" s="11" t="s">
        <v>340</v>
      </c>
      <c r="D2515" s="11" t="s">
        <v>49</v>
      </c>
    </row>
    <row r="2516">
      <c r="A2516" s="11">
        <v>2515.0</v>
      </c>
      <c r="B2516" s="12">
        <f t="shared" si="398"/>
        <v>40240</v>
      </c>
      <c r="C2516" s="11" t="s">
        <v>1621</v>
      </c>
      <c r="D2516" s="11" t="s">
        <v>49</v>
      </c>
    </row>
    <row r="2517">
      <c r="A2517" s="11">
        <v>2516.0</v>
      </c>
      <c r="B2517" s="12">
        <f t="shared" si="398"/>
        <v>40240</v>
      </c>
      <c r="C2517" s="11" t="s">
        <v>1621</v>
      </c>
      <c r="D2517" s="11" t="s">
        <v>28</v>
      </c>
    </row>
    <row r="2518">
      <c r="A2518" s="11">
        <v>2517.0</v>
      </c>
      <c r="B2518" s="12">
        <f t="shared" si="398"/>
        <v>40240</v>
      </c>
      <c r="C2518" s="11" t="s">
        <v>2185</v>
      </c>
      <c r="D2518" s="11" t="s">
        <v>28</v>
      </c>
    </row>
    <row r="2519">
      <c r="A2519" s="11">
        <v>2518.0</v>
      </c>
      <c r="B2519" s="12">
        <f t="shared" si="398"/>
        <v>40240</v>
      </c>
      <c r="C2519" s="11" t="s">
        <v>793</v>
      </c>
      <c r="D2519" s="11" t="s">
        <v>28</v>
      </c>
    </row>
    <row r="2520">
      <c r="A2520" s="11">
        <v>2519.0</v>
      </c>
      <c r="B2520" s="12">
        <f t="shared" si="398"/>
        <v>40240</v>
      </c>
      <c r="C2520" s="11" t="s">
        <v>793</v>
      </c>
      <c r="D2520" s="11" t="s">
        <v>28</v>
      </c>
    </row>
    <row r="2521">
      <c r="A2521" s="11">
        <v>2520.0</v>
      </c>
      <c r="B2521" s="12">
        <f t="shared" si="398"/>
        <v>40240</v>
      </c>
      <c r="C2521" s="11" t="s">
        <v>2228</v>
      </c>
      <c r="D2521" s="11" t="s">
        <v>66</v>
      </c>
    </row>
    <row r="2522">
      <c r="A2522" s="11">
        <v>2521.0</v>
      </c>
      <c r="B2522" s="12">
        <f t="shared" ref="B2522:B2524" si="399">DATE(2012,12,31)-1033</f>
        <v>40241</v>
      </c>
      <c r="C2522" s="11" t="s">
        <v>2194</v>
      </c>
      <c r="D2522" s="11" t="s">
        <v>49</v>
      </c>
    </row>
    <row r="2523">
      <c r="A2523" s="11">
        <v>2522.0</v>
      </c>
      <c r="B2523" s="12">
        <f t="shared" si="399"/>
        <v>40241</v>
      </c>
      <c r="C2523" s="11" t="s">
        <v>2194</v>
      </c>
      <c r="D2523" s="11" t="s">
        <v>28</v>
      </c>
    </row>
    <row r="2524">
      <c r="A2524" s="11">
        <v>2523.0</v>
      </c>
      <c r="B2524" s="12">
        <f t="shared" si="399"/>
        <v>40241</v>
      </c>
      <c r="C2524" s="11" t="s">
        <v>1801</v>
      </c>
      <c r="D2524" s="11" t="s">
        <v>28</v>
      </c>
    </row>
    <row r="2525">
      <c r="A2525" s="11">
        <v>2524.0</v>
      </c>
      <c r="B2525" s="12">
        <f t="shared" ref="B2525:B2530" si="400">DATE(2012,12,31)-1032</f>
        <v>40242</v>
      </c>
      <c r="C2525" s="11" t="s">
        <v>1353</v>
      </c>
      <c r="D2525" s="11" t="s">
        <v>28</v>
      </c>
    </row>
    <row r="2526">
      <c r="A2526" s="11">
        <v>2525.0</v>
      </c>
      <c r="B2526" s="12">
        <f t="shared" si="400"/>
        <v>40242</v>
      </c>
      <c r="C2526" s="11" t="s">
        <v>120</v>
      </c>
      <c r="D2526" s="11" t="s">
        <v>49</v>
      </c>
    </row>
    <row r="2527">
      <c r="A2527" s="11">
        <v>2526.0</v>
      </c>
      <c r="B2527" s="12">
        <f t="shared" si="400"/>
        <v>40242</v>
      </c>
      <c r="C2527" s="11" t="s">
        <v>1799</v>
      </c>
      <c r="D2527" s="11" t="s">
        <v>28</v>
      </c>
    </row>
    <row r="2528">
      <c r="A2528" s="11">
        <v>2527.0</v>
      </c>
      <c r="B2528" s="12">
        <f t="shared" si="400"/>
        <v>40242</v>
      </c>
      <c r="C2528" s="11" t="s">
        <v>1799</v>
      </c>
      <c r="D2528" s="11" t="s">
        <v>28</v>
      </c>
    </row>
    <row r="2529">
      <c r="A2529" s="11">
        <v>2528.0</v>
      </c>
      <c r="B2529" s="12">
        <f t="shared" si="400"/>
        <v>40242</v>
      </c>
      <c r="C2529" s="11" t="s">
        <v>2229</v>
      </c>
      <c r="D2529" s="11" t="s">
        <v>28</v>
      </c>
    </row>
    <row r="2530">
      <c r="A2530" s="11">
        <v>2529.0</v>
      </c>
      <c r="B2530" s="12">
        <f t="shared" si="400"/>
        <v>40242</v>
      </c>
      <c r="C2530" s="11" t="s">
        <v>2229</v>
      </c>
      <c r="D2530" s="11" t="s">
        <v>66</v>
      </c>
    </row>
    <row r="2531">
      <c r="A2531" s="11">
        <v>2530.0</v>
      </c>
      <c r="B2531" s="12">
        <f>DATE(2012,12,31)-1031</f>
        <v>40243</v>
      </c>
      <c r="C2531" s="11" t="s">
        <v>1240</v>
      </c>
      <c r="D2531" s="11" t="s">
        <v>28</v>
      </c>
    </row>
    <row r="2532">
      <c r="A2532" s="11">
        <v>2531.0</v>
      </c>
      <c r="B2532" s="12">
        <f t="shared" ref="B2532:B2545" si="401">DATE(2012,12,31)-1030</f>
        <v>40244</v>
      </c>
      <c r="C2532" s="11" t="s">
        <v>1257</v>
      </c>
      <c r="D2532" s="11" t="s">
        <v>28</v>
      </c>
    </row>
    <row r="2533">
      <c r="A2533" s="11">
        <v>2532.0</v>
      </c>
      <c r="B2533" s="12">
        <f t="shared" si="401"/>
        <v>40244</v>
      </c>
      <c r="C2533" s="11" t="s">
        <v>334</v>
      </c>
      <c r="D2533" s="11" t="s">
        <v>66</v>
      </c>
    </row>
    <row r="2534">
      <c r="A2534" s="11">
        <v>2533.0</v>
      </c>
      <c r="B2534" s="12">
        <f t="shared" si="401"/>
        <v>40244</v>
      </c>
      <c r="C2534" s="11" t="s">
        <v>334</v>
      </c>
      <c r="D2534" s="11" t="s">
        <v>66</v>
      </c>
    </row>
    <row r="2535">
      <c r="A2535" s="11">
        <v>2534.0</v>
      </c>
      <c r="B2535" s="12">
        <f t="shared" si="401"/>
        <v>40244</v>
      </c>
      <c r="C2535" s="11" t="s">
        <v>2232</v>
      </c>
      <c r="D2535" s="11" t="s">
        <v>28</v>
      </c>
    </row>
    <row r="2536">
      <c r="A2536" s="11">
        <v>2535.0</v>
      </c>
      <c r="B2536" s="12">
        <f t="shared" si="401"/>
        <v>40244</v>
      </c>
      <c r="C2536" s="11" t="s">
        <v>2232</v>
      </c>
      <c r="D2536" s="11" t="s">
        <v>28</v>
      </c>
    </row>
    <row r="2537">
      <c r="A2537" s="11">
        <v>2536.0</v>
      </c>
      <c r="B2537" s="12">
        <f t="shared" si="401"/>
        <v>40244</v>
      </c>
      <c r="C2537" s="11" t="s">
        <v>2232</v>
      </c>
      <c r="D2537" s="11" t="s">
        <v>28</v>
      </c>
    </row>
    <row r="2538">
      <c r="A2538" s="11">
        <v>2537.0</v>
      </c>
      <c r="B2538" s="12">
        <f t="shared" si="401"/>
        <v>40244</v>
      </c>
      <c r="C2538" s="11" t="s">
        <v>602</v>
      </c>
      <c r="D2538" s="11" t="s">
        <v>49</v>
      </c>
    </row>
    <row r="2539">
      <c r="A2539" s="11">
        <v>2538.0</v>
      </c>
      <c r="B2539" s="12">
        <f t="shared" si="401"/>
        <v>40244</v>
      </c>
      <c r="C2539" s="11" t="s">
        <v>602</v>
      </c>
      <c r="D2539" s="11" t="s">
        <v>66</v>
      </c>
    </row>
    <row r="2540">
      <c r="A2540" s="11">
        <v>2539.0</v>
      </c>
      <c r="B2540" s="12">
        <f t="shared" si="401"/>
        <v>40244</v>
      </c>
      <c r="C2540" s="11" t="s">
        <v>1884</v>
      </c>
      <c r="D2540" s="11" t="s">
        <v>28</v>
      </c>
    </row>
    <row r="2541">
      <c r="A2541" s="11">
        <v>2540.0</v>
      </c>
      <c r="B2541" s="12">
        <f t="shared" si="401"/>
        <v>40244</v>
      </c>
      <c r="C2541" s="11" t="s">
        <v>571</v>
      </c>
      <c r="D2541" s="11" t="s">
        <v>66</v>
      </c>
    </row>
    <row r="2542">
      <c r="A2542" s="11">
        <v>2541.0</v>
      </c>
      <c r="B2542" s="12">
        <f t="shared" si="401"/>
        <v>40244</v>
      </c>
      <c r="C2542" s="11" t="s">
        <v>1308</v>
      </c>
      <c r="D2542" s="11" t="s">
        <v>28</v>
      </c>
    </row>
    <row r="2543">
      <c r="A2543" s="11">
        <v>2542.0</v>
      </c>
      <c r="B2543" s="12">
        <f t="shared" si="401"/>
        <v>40244</v>
      </c>
      <c r="C2543" s="11" t="s">
        <v>1685</v>
      </c>
      <c r="D2543" s="11" t="s">
        <v>66</v>
      </c>
    </row>
    <row r="2544">
      <c r="A2544" s="11">
        <v>2543.0</v>
      </c>
      <c r="B2544" s="12">
        <f t="shared" si="401"/>
        <v>40244</v>
      </c>
      <c r="C2544" s="11" t="s">
        <v>1357</v>
      </c>
      <c r="D2544" s="11" t="s">
        <v>28</v>
      </c>
    </row>
    <row r="2545">
      <c r="A2545" s="11">
        <v>2544.0</v>
      </c>
      <c r="B2545" s="12">
        <f t="shared" si="401"/>
        <v>40244</v>
      </c>
      <c r="C2545" s="11" t="s">
        <v>1357</v>
      </c>
      <c r="D2545" s="11" t="s">
        <v>28</v>
      </c>
    </row>
    <row r="2546">
      <c r="A2546" s="11">
        <v>2545.0</v>
      </c>
      <c r="B2546" s="12">
        <f t="shared" ref="B2546:B2553" si="402">DATE(2012,12,31)-1029</f>
        <v>40245</v>
      </c>
      <c r="C2546" s="11" t="s">
        <v>1564</v>
      </c>
      <c r="D2546" s="11" t="s">
        <v>28</v>
      </c>
    </row>
    <row r="2547">
      <c r="A2547" s="11">
        <v>2546.0</v>
      </c>
      <c r="B2547" s="12">
        <f t="shared" si="402"/>
        <v>40245</v>
      </c>
      <c r="C2547" s="11" t="s">
        <v>1025</v>
      </c>
      <c r="D2547" s="11" t="s">
        <v>66</v>
      </c>
    </row>
    <row r="2548">
      <c r="A2548" s="11">
        <v>2547.0</v>
      </c>
      <c r="B2548" s="12">
        <f t="shared" si="402"/>
        <v>40245</v>
      </c>
      <c r="C2548" s="11" t="s">
        <v>1460</v>
      </c>
      <c r="D2548" s="11" t="s">
        <v>49</v>
      </c>
    </row>
    <row r="2549">
      <c r="A2549" s="11">
        <v>2548.0</v>
      </c>
      <c r="B2549" s="12">
        <f t="shared" si="402"/>
        <v>40245</v>
      </c>
      <c r="C2549" s="11" t="s">
        <v>1484</v>
      </c>
      <c r="D2549" s="11" t="s">
        <v>66</v>
      </c>
    </row>
    <row r="2550">
      <c r="A2550" s="11">
        <v>2549.0</v>
      </c>
      <c r="B2550" s="12">
        <f t="shared" si="402"/>
        <v>40245</v>
      </c>
      <c r="C2550" s="11" t="s">
        <v>1484</v>
      </c>
      <c r="D2550" s="11" t="s">
        <v>28</v>
      </c>
    </row>
    <row r="2551">
      <c r="A2551" s="11">
        <v>2550.0</v>
      </c>
      <c r="B2551" s="12">
        <f t="shared" si="402"/>
        <v>40245</v>
      </c>
      <c r="C2551" s="11" t="s">
        <v>1484</v>
      </c>
      <c r="D2551" s="11" t="s">
        <v>66</v>
      </c>
    </row>
    <row r="2552">
      <c r="A2552" s="11">
        <v>2551.0</v>
      </c>
      <c r="B2552" s="12">
        <f t="shared" si="402"/>
        <v>40245</v>
      </c>
      <c r="C2552" s="11" t="s">
        <v>2236</v>
      </c>
      <c r="D2552" s="11" t="s">
        <v>49</v>
      </c>
    </row>
    <row r="2553">
      <c r="A2553" s="11">
        <v>2552.0</v>
      </c>
      <c r="B2553" s="12">
        <f t="shared" si="402"/>
        <v>40245</v>
      </c>
      <c r="C2553" s="11" t="s">
        <v>2236</v>
      </c>
      <c r="D2553" s="11" t="s">
        <v>28</v>
      </c>
    </row>
    <row r="2554">
      <c r="A2554" s="11">
        <v>2553.0</v>
      </c>
      <c r="B2554" s="12">
        <f t="shared" ref="B2554:B2565" si="403">DATE(2012,12,31)-1028</f>
        <v>40246</v>
      </c>
      <c r="C2554" s="11" t="s">
        <v>982</v>
      </c>
      <c r="D2554" s="11" t="s">
        <v>49</v>
      </c>
    </row>
    <row r="2555">
      <c r="A2555" s="11">
        <v>2554.0</v>
      </c>
      <c r="B2555" s="12">
        <f t="shared" si="403"/>
        <v>40246</v>
      </c>
      <c r="C2555" s="11" t="s">
        <v>982</v>
      </c>
      <c r="D2555" s="11" t="s">
        <v>66</v>
      </c>
    </row>
    <row r="2556">
      <c r="A2556" s="11">
        <v>2555.0</v>
      </c>
      <c r="B2556" s="12">
        <f t="shared" si="403"/>
        <v>40246</v>
      </c>
      <c r="C2556" s="11" t="s">
        <v>1288</v>
      </c>
      <c r="D2556" s="11" t="s">
        <v>28</v>
      </c>
    </row>
    <row r="2557">
      <c r="A2557" s="11">
        <v>2556.0</v>
      </c>
      <c r="B2557" s="12">
        <f t="shared" si="403"/>
        <v>40246</v>
      </c>
      <c r="C2557" s="11" t="s">
        <v>2217</v>
      </c>
      <c r="D2557" s="11" t="s">
        <v>28</v>
      </c>
    </row>
    <row r="2558">
      <c r="A2558" s="11">
        <v>2557.0</v>
      </c>
      <c r="B2558" s="12">
        <f t="shared" si="403"/>
        <v>40246</v>
      </c>
      <c r="C2558" s="11" t="s">
        <v>2217</v>
      </c>
      <c r="D2558" s="11" t="s">
        <v>28</v>
      </c>
    </row>
    <row r="2559">
      <c r="A2559" s="11">
        <v>2558.0</v>
      </c>
      <c r="B2559" s="12">
        <f t="shared" si="403"/>
        <v>40246</v>
      </c>
      <c r="C2559" s="11" t="s">
        <v>2217</v>
      </c>
      <c r="D2559" s="11" t="s">
        <v>28</v>
      </c>
    </row>
    <row r="2560">
      <c r="A2560" s="11">
        <v>2559.0</v>
      </c>
      <c r="B2560" s="12">
        <f t="shared" si="403"/>
        <v>40246</v>
      </c>
      <c r="C2560" s="11" t="s">
        <v>2238</v>
      </c>
      <c r="D2560" s="11" t="s">
        <v>28</v>
      </c>
    </row>
    <row r="2561">
      <c r="A2561" s="11">
        <v>2560.0</v>
      </c>
      <c r="B2561" s="12">
        <f t="shared" si="403"/>
        <v>40246</v>
      </c>
      <c r="C2561" s="11" t="s">
        <v>1939</v>
      </c>
      <c r="D2561" s="11" t="s">
        <v>28</v>
      </c>
    </row>
    <row r="2562">
      <c r="A2562" s="11">
        <v>2561.0</v>
      </c>
      <c r="B2562" s="12">
        <f t="shared" si="403"/>
        <v>40246</v>
      </c>
      <c r="C2562" s="11" t="s">
        <v>1939</v>
      </c>
      <c r="D2562" s="11" t="s">
        <v>28</v>
      </c>
    </row>
    <row r="2563">
      <c r="A2563" s="11">
        <v>2562.0</v>
      </c>
      <c r="B2563" s="12">
        <f t="shared" si="403"/>
        <v>40246</v>
      </c>
      <c r="C2563" s="11" t="s">
        <v>1939</v>
      </c>
      <c r="D2563" s="11" t="s">
        <v>66</v>
      </c>
    </row>
    <row r="2564">
      <c r="A2564" s="11">
        <v>2563.0</v>
      </c>
      <c r="B2564" s="12">
        <f t="shared" si="403"/>
        <v>40246</v>
      </c>
      <c r="C2564" s="11" t="s">
        <v>1069</v>
      </c>
      <c r="D2564" s="11" t="s">
        <v>28</v>
      </c>
    </row>
    <row r="2565">
      <c r="A2565" s="11">
        <v>2564.0</v>
      </c>
      <c r="B2565" s="12">
        <f t="shared" si="403"/>
        <v>40246</v>
      </c>
      <c r="C2565" s="11" t="s">
        <v>1069</v>
      </c>
      <c r="D2565" s="11" t="s">
        <v>28</v>
      </c>
    </row>
    <row r="2566">
      <c r="A2566" s="11">
        <v>2565.0</v>
      </c>
      <c r="B2566" s="12">
        <f t="shared" ref="B2566:B2567" si="404">DATE(2012,12,31)-1027</f>
        <v>40247</v>
      </c>
      <c r="C2566" s="11" t="s">
        <v>1101</v>
      </c>
      <c r="D2566" s="11" t="s">
        <v>28</v>
      </c>
    </row>
    <row r="2567">
      <c r="A2567" s="11">
        <v>2566.0</v>
      </c>
      <c r="B2567" s="12">
        <f t="shared" si="404"/>
        <v>40247</v>
      </c>
      <c r="C2567" s="11" t="s">
        <v>120</v>
      </c>
      <c r="D2567" s="11" t="s">
        <v>49</v>
      </c>
    </row>
    <row r="2568">
      <c r="A2568" s="11">
        <v>2567.0</v>
      </c>
      <c r="B2568" s="12">
        <f>DATE(2012,12,31)-1026</f>
        <v>40248</v>
      </c>
      <c r="C2568" s="11" t="s">
        <v>867</v>
      </c>
      <c r="D2568" s="11" t="s">
        <v>66</v>
      </c>
    </row>
    <row r="2569">
      <c r="A2569" s="11">
        <v>2568.0</v>
      </c>
      <c r="B2569" s="12">
        <f t="shared" ref="B2569:B2575" si="405">DATE(2012,12,31)-1025</f>
        <v>40249</v>
      </c>
      <c r="C2569" s="11" t="s">
        <v>353</v>
      </c>
      <c r="D2569" s="11" t="s">
        <v>28</v>
      </c>
    </row>
    <row r="2570">
      <c r="A2570" s="11">
        <v>2569.0</v>
      </c>
      <c r="B2570" s="12">
        <f t="shared" si="405"/>
        <v>40249</v>
      </c>
      <c r="C2570" s="11" t="s">
        <v>353</v>
      </c>
      <c r="D2570" s="11" t="s">
        <v>28</v>
      </c>
    </row>
    <row r="2571">
      <c r="A2571" s="11">
        <v>2570.0</v>
      </c>
      <c r="B2571" s="12">
        <f t="shared" si="405"/>
        <v>40249</v>
      </c>
      <c r="C2571" s="11" t="s">
        <v>2241</v>
      </c>
      <c r="D2571" s="11" t="s">
        <v>49</v>
      </c>
    </row>
    <row r="2572">
      <c r="A2572" s="11">
        <v>2571.0</v>
      </c>
      <c r="B2572" s="12">
        <f t="shared" si="405"/>
        <v>40249</v>
      </c>
      <c r="C2572" s="11" t="s">
        <v>1845</v>
      </c>
      <c r="D2572" s="11" t="s">
        <v>66</v>
      </c>
    </row>
    <row r="2573">
      <c r="A2573" s="11">
        <v>2572.0</v>
      </c>
      <c r="B2573" s="12">
        <f t="shared" si="405"/>
        <v>40249</v>
      </c>
      <c r="C2573" s="11" t="s">
        <v>1845</v>
      </c>
      <c r="D2573" s="11" t="s">
        <v>66</v>
      </c>
    </row>
    <row r="2574">
      <c r="A2574" s="11">
        <v>2573.0</v>
      </c>
      <c r="B2574" s="12">
        <f t="shared" si="405"/>
        <v>40249</v>
      </c>
      <c r="C2574" s="11" t="s">
        <v>2244</v>
      </c>
      <c r="D2574" s="11" t="s">
        <v>49</v>
      </c>
    </row>
    <row r="2575">
      <c r="A2575" s="11">
        <v>2574.0</v>
      </c>
      <c r="B2575" s="12">
        <f t="shared" si="405"/>
        <v>40249</v>
      </c>
      <c r="C2575" s="11" t="s">
        <v>145</v>
      </c>
      <c r="D2575" s="11" t="s">
        <v>49</v>
      </c>
    </row>
    <row r="2576">
      <c r="A2576" s="11">
        <v>2575.0</v>
      </c>
      <c r="B2576" s="12">
        <f t="shared" ref="B2576:B2584" si="406">DATE(2012,12,31)-1024</f>
        <v>40250</v>
      </c>
      <c r="C2576" s="11" t="s">
        <v>1288</v>
      </c>
      <c r="D2576" s="11" t="s">
        <v>28</v>
      </c>
    </row>
    <row r="2577">
      <c r="A2577" s="11">
        <v>2576.0</v>
      </c>
      <c r="B2577" s="12">
        <f t="shared" si="406"/>
        <v>40250</v>
      </c>
      <c r="C2577" s="11" t="s">
        <v>1288</v>
      </c>
      <c r="D2577" s="11" t="s">
        <v>28</v>
      </c>
    </row>
    <row r="2578">
      <c r="A2578" s="11">
        <v>2577.0</v>
      </c>
      <c r="B2578" s="12">
        <f t="shared" si="406"/>
        <v>40250</v>
      </c>
      <c r="C2578" s="11" t="s">
        <v>1288</v>
      </c>
      <c r="D2578" s="11" t="s">
        <v>49</v>
      </c>
    </row>
    <row r="2579">
      <c r="A2579" s="11">
        <v>2578.0</v>
      </c>
      <c r="B2579" s="12">
        <f t="shared" si="406"/>
        <v>40250</v>
      </c>
      <c r="C2579" s="11" t="s">
        <v>520</v>
      </c>
      <c r="D2579" s="11" t="s">
        <v>49</v>
      </c>
    </row>
    <row r="2580">
      <c r="A2580" s="11">
        <v>2579.0</v>
      </c>
      <c r="B2580" s="12">
        <f t="shared" si="406"/>
        <v>40250</v>
      </c>
      <c r="C2580" s="11" t="s">
        <v>520</v>
      </c>
      <c r="D2580" s="11" t="s">
        <v>28</v>
      </c>
    </row>
    <row r="2581">
      <c r="A2581" s="11">
        <v>2580.0</v>
      </c>
      <c r="B2581" s="12">
        <f t="shared" si="406"/>
        <v>40250</v>
      </c>
      <c r="C2581" s="11" t="s">
        <v>1972</v>
      </c>
      <c r="D2581" s="11" t="s">
        <v>66</v>
      </c>
    </row>
    <row r="2582">
      <c r="A2582" s="11">
        <v>2581.0</v>
      </c>
      <c r="B2582" s="12">
        <f t="shared" si="406"/>
        <v>40250</v>
      </c>
      <c r="C2582" s="11" t="s">
        <v>800</v>
      </c>
      <c r="D2582" s="11" t="s">
        <v>28</v>
      </c>
    </row>
    <row r="2583">
      <c r="A2583" s="11">
        <v>2582.0</v>
      </c>
      <c r="B2583" s="12">
        <f t="shared" si="406"/>
        <v>40250</v>
      </c>
      <c r="C2583" s="11" t="s">
        <v>882</v>
      </c>
      <c r="D2583" s="11" t="s">
        <v>49</v>
      </c>
    </row>
    <row r="2584">
      <c r="A2584" s="11">
        <v>2583.0</v>
      </c>
      <c r="B2584" s="12">
        <f t="shared" si="406"/>
        <v>40250</v>
      </c>
      <c r="C2584" s="11" t="s">
        <v>882</v>
      </c>
      <c r="D2584" s="11" t="s">
        <v>49</v>
      </c>
    </row>
    <row r="2585">
      <c r="A2585" s="11">
        <v>2584.0</v>
      </c>
      <c r="B2585" s="12">
        <f t="shared" ref="B2585:B2588" si="407">DATE(2012,12,31)-1023</f>
        <v>40251</v>
      </c>
      <c r="C2585" s="11" t="s">
        <v>370</v>
      </c>
      <c r="D2585" s="11" t="s">
        <v>28</v>
      </c>
    </row>
    <row r="2586">
      <c r="A2586" s="11">
        <v>2585.0</v>
      </c>
      <c r="B2586" s="12">
        <f t="shared" si="407"/>
        <v>40251</v>
      </c>
      <c r="C2586" s="11" t="s">
        <v>2250</v>
      </c>
      <c r="D2586" s="11" t="s">
        <v>49</v>
      </c>
    </row>
    <row r="2587">
      <c r="A2587" s="11">
        <v>2586.0</v>
      </c>
      <c r="B2587" s="12">
        <f t="shared" si="407"/>
        <v>40251</v>
      </c>
      <c r="C2587" s="11" t="s">
        <v>106</v>
      </c>
      <c r="D2587" s="11" t="s">
        <v>28</v>
      </c>
    </row>
    <row r="2588">
      <c r="A2588" s="11">
        <v>2587.0</v>
      </c>
      <c r="B2588" s="12">
        <f t="shared" si="407"/>
        <v>40251</v>
      </c>
      <c r="C2588" s="11" t="s">
        <v>106</v>
      </c>
      <c r="D2588" s="11" t="s">
        <v>66</v>
      </c>
    </row>
    <row r="2589">
      <c r="A2589" s="11">
        <v>2588.0</v>
      </c>
      <c r="B2589" s="12">
        <f t="shared" ref="B2589:B2593" si="408">DATE(2012,12,31)-1022</f>
        <v>40252</v>
      </c>
      <c r="C2589" s="11" t="s">
        <v>2251</v>
      </c>
      <c r="D2589" s="11" t="s">
        <v>66</v>
      </c>
    </row>
    <row r="2590">
      <c r="A2590" s="11">
        <v>2589.0</v>
      </c>
      <c r="B2590" s="12">
        <f t="shared" si="408"/>
        <v>40252</v>
      </c>
      <c r="C2590" s="11" t="s">
        <v>1054</v>
      </c>
      <c r="D2590" s="11" t="s">
        <v>66</v>
      </c>
    </row>
    <row r="2591">
      <c r="A2591" s="11">
        <v>2590.0</v>
      </c>
      <c r="B2591" s="12">
        <f t="shared" si="408"/>
        <v>40252</v>
      </c>
      <c r="C2591" s="11" t="s">
        <v>1054</v>
      </c>
      <c r="D2591" s="11" t="s">
        <v>66</v>
      </c>
    </row>
    <row r="2592">
      <c r="A2592" s="11">
        <v>2591.0</v>
      </c>
      <c r="B2592" s="12">
        <f t="shared" si="408"/>
        <v>40252</v>
      </c>
      <c r="C2592" s="11" t="s">
        <v>1054</v>
      </c>
      <c r="D2592" s="11" t="s">
        <v>28</v>
      </c>
    </row>
    <row r="2593">
      <c r="A2593" s="11">
        <v>2592.0</v>
      </c>
      <c r="B2593" s="12">
        <f t="shared" si="408"/>
        <v>40252</v>
      </c>
      <c r="C2593" s="11" t="s">
        <v>94</v>
      </c>
      <c r="D2593" s="11" t="s">
        <v>28</v>
      </c>
    </row>
    <row r="2594">
      <c r="A2594" s="11">
        <v>2593.0</v>
      </c>
      <c r="B2594" s="12">
        <f t="shared" ref="B2594:B2596" si="409">DATE(2012,12,31)-1021</f>
        <v>40253</v>
      </c>
      <c r="C2594" s="11" t="s">
        <v>64</v>
      </c>
      <c r="D2594" s="11" t="s">
        <v>28</v>
      </c>
    </row>
    <row r="2595">
      <c r="A2595" s="11">
        <v>2594.0</v>
      </c>
      <c r="B2595" s="12">
        <f t="shared" si="409"/>
        <v>40253</v>
      </c>
      <c r="C2595" s="11" t="s">
        <v>387</v>
      </c>
      <c r="D2595" s="11" t="s">
        <v>66</v>
      </c>
    </row>
    <row r="2596">
      <c r="A2596" s="11">
        <v>2595.0</v>
      </c>
      <c r="B2596" s="12">
        <f t="shared" si="409"/>
        <v>40253</v>
      </c>
      <c r="C2596" s="11" t="s">
        <v>2253</v>
      </c>
      <c r="D2596" s="11" t="s">
        <v>28</v>
      </c>
    </row>
    <row r="2597">
      <c r="A2597" s="11">
        <v>2596.0</v>
      </c>
      <c r="B2597" s="12">
        <f t="shared" ref="B2597:B2599" si="410">DATE(2012,12,31)-1020</f>
        <v>40254</v>
      </c>
      <c r="C2597" s="11" t="s">
        <v>2026</v>
      </c>
      <c r="D2597" s="11" t="s">
        <v>28</v>
      </c>
    </row>
    <row r="2598">
      <c r="A2598" s="11">
        <v>2597.0</v>
      </c>
      <c r="B2598" s="12">
        <f t="shared" si="410"/>
        <v>40254</v>
      </c>
      <c r="C2598" s="11" t="s">
        <v>120</v>
      </c>
      <c r="D2598" s="11" t="s">
        <v>49</v>
      </c>
    </row>
    <row r="2599">
      <c r="A2599" s="11">
        <v>2598.0</v>
      </c>
      <c r="B2599" s="12">
        <f t="shared" si="410"/>
        <v>40254</v>
      </c>
      <c r="C2599" s="11" t="s">
        <v>1685</v>
      </c>
      <c r="D2599" s="11" t="s">
        <v>28</v>
      </c>
    </row>
    <row r="2600">
      <c r="A2600" s="11">
        <v>2599.0</v>
      </c>
      <c r="B2600" s="12">
        <f>DATE(2012,12,31)-1019</f>
        <v>40255</v>
      </c>
      <c r="C2600" s="11" t="s">
        <v>1377</v>
      </c>
      <c r="D2600" s="11" t="s">
        <v>49</v>
      </c>
    </row>
    <row r="2601">
      <c r="A2601" s="11">
        <v>2600.0</v>
      </c>
      <c r="B2601" s="12">
        <f t="shared" ref="B2601:B2603" si="411">DATE(2012,12,31)-1018</f>
        <v>40256</v>
      </c>
      <c r="C2601" s="11" t="s">
        <v>711</v>
      </c>
      <c r="D2601" s="11" t="s">
        <v>28</v>
      </c>
    </row>
    <row r="2602">
      <c r="A2602" s="11">
        <v>2601.0</v>
      </c>
      <c r="B2602" s="12">
        <f t="shared" si="411"/>
        <v>40256</v>
      </c>
      <c r="C2602" s="11" t="s">
        <v>2255</v>
      </c>
      <c r="D2602" s="11" t="s">
        <v>28</v>
      </c>
    </row>
    <row r="2603">
      <c r="A2603" s="11">
        <v>2602.0</v>
      </c>
      <c r="B2603" s="12">
        <f t="shared" si="411"/>
        <v>40256</v>
      </c>
      <c r="C2603" s="11" t="s">
        <v>1210</v>
      </c>
      <c r="D2603" s="11" t="s">
        <v>66</v>
      </c>
    </row>
    <row r="2604">
      <c r="A2604" s="11">
        <v>2603.0</v>
      </c>
      <c r="B2604" s="12">
        <f t="shared" ref="B2604:B2605" si="412">DATE(2012,12,31)-1017</f>
        <v>40257</v>
      </c>
      <c r="C2604" s="11" t="s">
        <v>307</v>
      </c>
      <c r="D2604" s="11" t="s">
        <v>28</v>
      </c>
    </row>
    <row r="2605">
      <c r="A2605" s="11">
        <v>2604.0</v>
      </c>
      <c r="B2605" s="12">
        <f t="shared" si="412"/>
        <v>40257</v>
      </c>
      <c r="C2605" s="11" t="s">
        <v>626</v>
      </c>
      <c r="D2605" s="11" t="s">
        <v>49</v>
      </c>
    </row>
    <row r="2606">
      <c r="A2606" s="11">
        <v>2605.0</v>
      </c>
      <c r="B2606" s="12">
        <f t="shared" ref="B2606:B2613" si="413">DATE(2012,12,31)-1016</f>
        <v>40258</v>
      </c>
      <c r="C2606" s="11" t="s">
        <v>1731</v>
      </c>
      <c r="D2606" s="11" t="s">
        <v>28</v>
      </c>
    </row>
    <row r="2607">
      <c r="A2607" s="11">
        <v>2606.0</v>
      </c>
      <c r="B2607" s="12">
        <f t="shared" si="413"/>
        <v>40258</v>
      </c>
      <c r="C2607" s="11" t="s">
        <v>2256</v>
      </c>
      <c r="D2607" s="11" t="s">
        <v>28</v>
      </c>
    </row>
    <row r="2608">
      <c r="A2608" s="11">
        <v>2607.0</v>
      </c>
      <c r="B2608" s="12">
        <f t="shared" si="413"/>
        <v>40258</v>
      </c>
      <c r="C2608" s="11" t="s">
        <v>222</v>
      </c>
      <c r="D2608" s="11" t="s">
        <v>28</v>
      </c>
    </row>
    <row r="2609">
      <c r="A2609" s="11">
        <v>2608.0</v>
      </c>
      <c r="B2609" s="12">
        <f t="shared" si="413"/>
        <v>40258</v>
      </c>
      <c r="C2609" s="11" t="s">
        <v>222</v>
      </c>
      <c r="D2609" s="11" t="s">
        <v>66</v>
      </c>
    </row>
    <row r="2610">
      <c r="A2610" s="11">
        <v>2609.0</v>
      </c>
      <c r="B2610" s="12">
        <f t="shared" si="413"/>
        <v>40258</v>
      </c>
      <c r="C2610" s="11" t="s">
        <v>1021</v>
      </c>
      <c r="D2610" s="11" t="s">
        <v>28</v>
      </c>
    </row>
    <row r="2611">
      <c r="A2611" s="11">
        <v>2610.0</v>
      </c>
      <c r="B2611" s="12">
        <f t="shared" si="413"/>
        <v>40258</v>
      </c>
      <c r="C2611" s="11" t="s">
        <v>1152</v>
      </c>
      <c r="D2611" s="11" t="s">
        <v>49</v>
      </c>
    </row>
    <row r="2612">
      <c r="A2612" s="11">
        <v>2611.0</v>
      </c>
      <c r="B2612" s="12">
        <f t="shared" si="413"/>
        <v>40258</v>
      </c>
      <c r="C2612" s="11" t="s">
        <v>1152</v>
      </c>
      <c r="D2612" s="11" t="s">
        <v>28</v>
      </c>
    </row>
    <row r="2613">
      <c r="A2613" s="11">
        <v>2612.0</v>
      </c>
      <c r="B2613" s="12">
        <f t="shared" si="413"/>
        <v>40258</v>
      </c>
      <c r="C2613" s="11" t="s">
        <v>1152</v>
      </c>
      <c r="D2613" s="11" t="s">
        <v>28</v>
      </c>
    </row>
    <row r="2614">
      <c r="A2614" s="11">
        <v>2613.0</v>
      </c>
      <c r="B2614" s="12">
        <f t="shared" ref="B2614:B2616" si="414">DATE(2012,12,31)-1015</f>
        <v>40259</v>
      </c>
      <c r="C2614" s="11" t="s">
        <v>1332</v>
      </c>
      <c r="D2614" s="11" t="s">
        <v>28</v>
      </c>
    </row>
    <row r="2615">
      <c r="A2615" s="11">
        <v>2614.0</v>
      </c>
      <c r="B2615" s="12">
        <f t="shared" si="414"/>
        <v>40259</v>
      </c>
      <c r="C2615" s="11" t="s">
        <v>897</v>
      </c>
      <c r="D2615" s="11" t="s">
        <v>66</v>
      </c>
    </row>
    <row r="2616">
      <c r="A2616" s="11">
        <v>2615.0</v>
      </c>
      <c r="B2616" s="12">
        <f t="shared" si="414"/>
        <v>40259</v>
      </c>
      <c r="C2616" s="11" t="s">
        <v>897</v>
      </c>
      <c r="D2616" s="11" t="s">
        <v>28</v>
      </c>
    </row>
    <row r="2617">
      <c r="A2617" s="11">
        <v>2616.0</v>
      </c>
      <c r="B2617" s="12">
        <f>DATE(2012,12,31)-1014</f>
        <v>40260</v>
      </c>
      <c r="C2617" s="11" t="s">
        <v>1942</v>
      </c>
      <c r="D2617" s="11" t="s">
        <v>28</v>
      </c>
    </row>
    <row r="2618">
      <c r="A2618" s="11">
        <v>2617.0</v>
      </c>
      <c r="B2618" s="12">
        <f t="shared" ref="B2618:B2622" si="415">DATE(2012,12,31)-1013</f>
        <v>40261</v>
      </c>
      <c r="C2618" s="11" t="s">
        <v>1877</v>
      </c>
      <c r="D2618" s="11" t="s">
        <v>28</v>
      </c>
    </row>
    <row r="2619">
      <c r="A2619" s="11">
        <v>2618.0</v>
      </c>
      <c r="B2619" s="12">
        <f t="shared" si="415"/>
        <v>40261</v>
      </c>
      <c r="C2619" s="11" t="s">
        <v>1515</v>
      </c>
      <c r="D2619" s="11" t="s">
        <v>49</v>
      </c>
    </row>
    <row r="2620">
      <c r="A2620" s="11">
        <v>2619.0</v>
      </c>
      <c r="B2620" s="12">
        <f t="shared" si="415"/>
        <v>40261</v>
      </c>
      <c r="C2620" s="11" t="s">
        <v>279</v>
      </c>
      <c r="D2620" s="11" t="s">
        <v>28</v>
      </c>
    </row>
    <row r="2621">
      <c r="A2621" s="11">
        <v>2620.0</v>
      </c>
      <c r="B2621" s="12">
        <f t="shared" si="415"/>
        <v>40261</v>
      </c>
      <c r="C2621" s="11" t="s">
        <v>2262</v>
      </c>
      <c r="D2621" s="11" t="s">
        <v>28</v>
      </c>
    </row>
    <row r="2622">
      <c r="A2622" s="11">
        <v>2621.0</v>
      </c>
      <c r="B2622" s="12">
        <f t="shared" si="415"/>
        <v>40261</v>
      </c>
      <c r="C2622" s="11" t="s">
        <v>2074</v>
      </c>
      <c r="D2622" s="11" t="s">
        <v>66</v>
      </c>
    </row>
    <row r="2623">
      <c r="A2623" s="11">
        <v>2622.0</v>
      </c>
      <c r="B2623" s="12">
        <f t="shared" ref="B2623:B2628" si="416">DATE(2012,12,31)-1012</f>
        <v>40262</v>
      </c>
      <c r="C2623" s="11" t="s">
        <v>180</v>
      </c>
      <c r="D2623" s="11" t="s">
        <v>49</v>
      </c>
    </row>
    <row r="2624">
      <c r="A2624" s="11">
        <v>2623.0</v>
      </c>
      <c r="B2624" s="12">
        <f t="shared" si="416"/>
        <v>40262</v>
      </c>
      <c r="C2624" s="11" t="s">
        <v>1876</v>
      </c>
      <c r="D2624" s="11" t="s">
        <v>28</v>
      </c>
    </row>
    <row r="2625">
      <c r="A2625" s="11">
        <v>2624.0</v>
      </c>
      <c r="B2625" s="12">
        <f t="shared" si="416"/>
        <v>40262</v>
      </c>
      <c r="C2625" s="11" t="s">
        <v>1560</v>
      </c>
      <c r="D2625" s="11" t="s">
        <v>49</v>
      </c>
    </row>
    <row r="2626">
      <c r="A2626" s="11">
        <v>2625.0</v>
      </c>
      <c r="B2626" s="12">
        <f t="shared" si="416"/>
        <v>40262</v>
      </c>
      <c r="C2626" s="11" t="s">
        <v>1560</v>
      </c>
      <c r="D2626" s="11" t="s">
        <v>28</v>
      </c>
    </row>
    <row r="2627">
      <c r="A2627" s="11">
        <v>2626.0</v>
      </c>
      <c r="B2627" s="12">
        <f t="shared" si="416"/>
        <v>40262</v>
      </c>
      <c r="C2627" s="11" t="s">
        <v>1560</v>
      </c>
      <c r="D2627" s="11" t="s">
        <v>66</v>
      </c>
    </row>
    <row r="2628">
      <c r="A2628" s="11">
        <v>2627.0</v>
      </c>
      <c r="B2628" s="12">
        <f t="shared" si="416"/>
        <v>40262</v>
      </c>
      <c r="C2628" s="11" t="s">
        <v>366</v>
      </c>
      <c r="D2628" s="11" t="s">
        <v>66</v>
      </c>
    </row>
    <row r="2629">
      <c r="A2629" s="11">
        <v>2628.0</v>
      </c>
      <c r="B2629" s="12">
        <f t="shared" ref="B2629:B2631" si="417">DATE(2012,12,31)-1011</f>
        <v>40263</v>
      </c>
      <c r="C2629" s="11" t="s">
        <v>1490</v>
      </c>
      <c r="D2629" s="11" t="s">
        <v>49</v>
      </c>
    </row>
    <row r="2630">
      <c r="A2630" s="11">
        <v>2629.0</v>
      </c>
      <c r="B2630" s="12">
        <f t="shared" si="417"/>
        <v>40263</v>
      </c>
      <c r="C2630" s="11" t="s">
        <v>1490</v>
      </c>
      <c r="D2630" s="11" t="s">
        <v>66</v>
      </c>
    </row>
    <row r="2631">
      <c r="A2631" s="11">
        <v>2630.0</v>
      </c>
      <c r="B2631" s="12">
        <f t="shared" si="417"/>
        <v>40263</v>
      </c>
      <c r="C2631" s="11" t="s">
        <v>145</v>
      </c>
      <c r="D2631" s="11" t="s">
        <v>28</v>
      </c>
    </row>
    <row r="2632">
      <c r="A2632" s="11">
        <v>2631.0</v>
      </c>
      <c r="B2632" s="12">
        <f t="shared" ref="B2632:B2634" si="418">DATE(2012,12,31)-1010</f>
        <v>40264</v>
      </c>
      <c r="C2632" s="11" t="s">
        <v>2266</v>
      </c>
      <c r="D2632" s="11" t="s">
        <v>28</v>
      </c>
    </row>
    <row r="2633">
      <c r="A2633" s="11">
        <v>2632.0</v>
      </c>
      <c r="B2633" s="12">
        <f t="shared" si="418"/>
        <v>40264</v>
      </c>
      <c r="C2633" s="11" t="s">
        <v>2267</v>
      </c>
      <c r="D2633" s="11" t="s">
        <v>28</v>
      </c>
    </row>
    <row r="2634">
      <c r="A2634" s="11">
        <v>2633.0</v>
      </c>
      <c r="B2634" s="12">
        <f t="shared" si="418"/>
        <v>40264</v>
      </c>
      <c r="C2634" s="11" t="s">
        <v>942</v>
      </c>
      <c r="D2634" s="11" t="s">
        <v>66</v>
      </c>
    </row>
    <row r="2635">
      <c r="A2635" s="11">
        <v>2634.0</v>
      </c>
      <c r="B2635" s="12">
        <f t="shared" ref="B2635:B2640" si="419">DATE(2012,12,31)-1009</f>
        <v>40265</v>
      </c>
      <c r="C2635" s="11" t="s">
        <v>205</v>
      </c>
      <c r="D2635" s="11" t="s">
        <v>28</v>
      </c>
    </row>
    <row r="2636">
      <c r="A2636" s="11">
        <v>2635.0</v>
      </c>
      <c r="B2636" s="12">
        <f t="shared" si="419"/>
        <v>40265</v>
      </c>
      <c r="C2636" s="11" t="s">
        <v>665</v>
      </c>
      <c r="D2636" s="11" t="s">
        <v>66</v>
      </c>
    </row>
    <row r="2637">
      <c r="A2637" s="11">
        <v>2636.0</v>
      </c>
      <c r="B2637" s="12">
        <f t="shared" si="419"/>
        <v>40265</v>
      </c>
      <c r="C2637" s="11" t="s">
        <v>665</v>
      </c>
      <c r="D2637" s="11" t="s">
        <v>49</v>
      </c>
    </row>
    <row r="2638">
      <c r="A2638" s="11">
        <v>2637.0</v>
      </c>
      <c r="B2638" s="12">
        <f t="shared" si="419"/>
        <v>40265</v>
      </c>
      <c r="C2638" s="11" t="s">
        <v>1636</v>
      </c>
      <c r="D2638" s="11" t="s">
        <v>28</v>
      </c>
    </row>
    <row r="2639">
      <c r="A2639" s="11">
        <v>2638.0</v>
      </c>
      <c r="B2639" s="12">
        <f t="shared" si="419"/>
        <v>40265</v>
      </c>
      <c r="C2639" s="11" t="s">
        <v>1065</v>
      </c>
      <c r="D2639" s="11" t="s">
        <v>28</v>
      </c>
    </row>
    <row r="2640">
      <c r="A2640" s="11">
        <v>2639.0</v>
      </c>
      <c r="B2640" s="12">
        <f t="shared" si="419"/>
        <v>40265</v>
      </c>
      <c r="C2640" s="11" t="s">
        <v>1065</v>
      </c>
      <c r="D2640" s="11" t="s">
        <v>28</v>
      </c>
    </row>
    <row r="2641">
      <c r="A2641" s="11">
        <v>2640.0</v>
      </c>
      <c r="B2641" s="12">
        <f t="shared" ref="B2641:B2645" si="420">DATE(2012,12,31)-1008</f>
        <v>40266</v>
      </c>
      <c r="C2641" s="11" t="s">
        <v>1829</v>
      </c>
      <c r="D2641" s="11" t="s">
        <v>49</v>
      </c>
    </row>
    <row r="2642">
      <c r="A2642" s="11">
        <v>2641.0</v>
      </c>
      <c r="B2642" s="12">
        <f t="shared" si="420"/>
        <v>40266</v>
      </c>
      <c r="C2642" s="11" t="s">
        <v>248</v>
      </c>
      <c r="D2642" s="11" t="s">
        <v>28</v>
      </c>
    </row>
    <row r="2643">
      <c r="A2643" s="11">
        <v>2642.0</v>
      </c>
      <c r="B2643" s="12">
        <f t="shared" si="420"/>
        <v>40266</v>
      </c>
      <c r="C2643" s="11" t="s">
        <v>248</v>
      </c>
      <c r="D2643" s="11" t="s">
        <v>49</v>
      </c>
    </row>
    <row r="2644">
      <c r="A2644" s="11">
        <v>2643.0</v>
      </c>
      <c r="B2644" s="12">
        <f t="shared" si="420"/>
        <v>40266</v>
      </c>
      <c r="C2644" s="11" t="s">
        <v>1256</v>
      </c>
      <c r="D2644" s="11" t="s">
        <v>28</v>
      </c>
    </row>
    <row r="2645">
      <c r="A2645" s="11">
        <v>2644.0</v>
      </c>
      <c r="B2645" s="12">
        <f t="shared" si="420"/>
        <v>40266</v>
      </c>
      <c r="C2645" s="11" t="s">
        <v>1256</v>
      </c>
      <c r="D2645" s="11" t="s">
        <v>49</v>
      </c>
    </row>
    <row r="2646">
      <c r="A2646" s="11">
        <v>2645.0</v>
      </c>
      <c r="B2646" s="12">
        <f t="shared" ref="B2646:B2654" si="421">DATE(2012,12,31)-1007</f>
        <v>40267</v>
      </c>
      <c r="C2646" s="11" t="s">
        <v>1414</v>
      </c>
      <c r="D2646" s="11" t="s">
        <v>28</v>
      </c>
    </row>
    <row r="2647">
      <c r="A2647" s="11">
        <v>2646.0</v>
      </c>
      <c r="B2647" s="12">
        <f t="shared" si="421"/>
        <v>40267</v>
      </c>
      <c r="C2647" s="11" t="s">
        <v>1414</v>
      </c>
      <c r="D2647" s="11" t="s">
        <v>28</v>
      </c>
    </row>
    <row r="2648">
      <c r="A2648" s="11">
        <v>2647.0</v>
      </c>
      <c r="B2648" s="12">
        <f t="shared" si="421"/>
        <v>40267</v>
      </c>
      <c r="C2648" s="11" t="s">
        <v>222</v>
      </c>
      <c r="D2648" s="11" t="s">
        <v>28</v>
      </c>
    </row>
    <row r="2649">
      <c r="A2649" s="11">
        <v>2648.0</v>
      </c>
      <c r="B2649" s="12">
        <f t="shared" si="421"/>
        <v>40267</v>
      </c>
      <c r="C2649" s="11" t="s">
        <v>222</v>
      </c>
      <c r="D2649" s="11" t="s">
        <v>49</v>
      </c>
    </row>
    <row r="2650">
      <c r="A2650" s="11">
        <v>2649.0</v>
      </c>
      <c r="B2650" s="12">
        <f t="shared" si="421"/>
        <v>40267</v>
      </c>
      <c r="C2650" s="11" t="s">
        <v>1744</v>
      </c>
      <c r="D2650" s="11" t="s">
        <v>49</v>
      </c>
    </row>
    <row r="2651">
      <c r="A2651" s="11">
        <v>2650.0</v>
      </c>
      <c r="B2651" s="12">
        <f t="shared" si="421"/>
        <v>40267</v>
      </c>
      <c r="C2651" s="11" t="s">
        <v>1008</v>
      </c>
      <c r="D2651" s="11" t="s">
        <v>66</v>
      </c>
    </row>
    <row r="2652">
      <c r="A2652" s="11">
        <v>2651.0</v>
      </c>
      <c r="B2652" s="12">
        <f t="shared" si="421"/>
        <v>40267</v>
      </c>
      <c r="C2652" s="11" t="s">
        <v>1008</v>
      </c>
      <c r="D2652" s="11" t="s">
        <v>49</v>
      </c>
    </row>
    <row r="2653">
      <c r="A2653" s="11">
        <v>2652.0</v>
      </c>
      <c r="B2653" s="12">
        <f t="shared" si="421"/>
        <v>40267</v>
      </c>
      <c r="C2653" s="11" t="s">
        <v>2271</v>
      </c>
      <c r="D2653" s="11" t="s">
        <v>49</v>
      </c>
    </row>
    <row r="2654">
      <c r="A2654" s="11">
        <v>2653.0</v>
      </c>
      <c r="B2654" s="12">
        <f t="shared" si="421"/>
        <v>40267</v>
      </c>
      <c r="C2654" s="11" t="s">
        <v>2271</v>
      </c>
      <c r="D2654" s="11" t="s">
        <v>28</v>
      </c>
    </row>
    <row r="2655">
      <c r="A2655" s="11">
        <v>2654.0</v>
      </c>
      <c r="B2655" s="12">
        <f t="shared" ref="B2655:B2657" si="422">DATE(2012,12,31)-1006</f>
        <v>40268</v>
      </c>
      <c r="C2655" s="11" t="s">
        <v>253</v>
      </c>
      <c r="D2655" s="11" t="s">
        <v>66</v>
      </c>
    </row>
    <row r="2656">
      <c r="A2656" s="11">
        <v>2655.0</v>
      </c>
      <c r="B2656" s="12">
        <f t="shared" si="422"/>
        <v>40268</v>
      </c>
      <c r="C2656" s="11" t="s">
        <v>796</v>
      </c>
      <c r="D2656" s="11" t="s">
        <v>49</v>
      </c>
    </row>
    <row r="2657">
      <c r="A2657" s="11">
        <v>2656.0</v>
      </c>
      <c r="B2657" s="12">
        <f t="shared" si="422"/>
        <v>40268</v>
      </c>
      <c r="C2657" s="11" t="s">
        <v>94</v>
      </c>
      <c r="D2657" s="11" t="s">
        <v>28</v>
      </c>
    </row>
    <row r="2658">
      <c r="A2658" s="11">
        <v>2657.0</v>
      </c>
      <c r="B2658" s="12">
        <f t="shared" ref="B2658:B2662" si="423">DATE(2012,12,31)-1005</f>
        <v>40269</v>
      </c>
      <c r="C2658" s="11" t="s">
        <v>2062</v>
      </c>
      <c r="D2658" s="11" t="s">
        <v>49</v>
      </c>
    </row>
    <row r="2659">
      <c r="A2659" s="11">
        <v>2658.0</v>
      </c>
      <c r="B2659" s="12">
        <f t="shared" si="423"/>
        <v>40269</v>
      </c>
      <c r="C2659" s="11" t="s">
        <v>2062</v>
      </c>
      <c r="D2659" s="11" t="s">
        <v>28</v>
      </c>
    </row>
    <row r="2660">
      <c r="A2660" s="11">
        <v>2659.0</v>
      </c>
      <c r="B2660" s="12">
        <f t="shared" si="423"/>
        <v>40269</v>
      </c>
      <c r="C2660" s="11" t="s">
        <v>1179</v>
      </c>
      <c r="D2660" s="11" t="s">
        <v>66</v>
      </c>
    </row>
    <row r="2661">
      <c r="A2661" s="11">
        <v>2660.0</v>
      </c>
      <c r="B2661" s="12">
        <f t="shared" si="423"/>
        <v>40269</v>
      </c>
      <c r="C2661" s="11" t="s">
        <v>446</v>
      </c>
      <c r="D2661" s="11" t="s">
        <v>49</v>
      </c>
    </row>
    <row r="2662">
      <c r="A2662" s="11">
        <v>2661.0</v>
      </c>
      <c r="B2662" s="12">
        <f t="shared" si="423"/>
        <v>40269</v>
      </c>
      <c r="C2662" s="11" t="s">
        <v>40</v>
      </c>
      <c r="D2662" s="11" t="s">
        <v>28</v>
      </c>
    </row>
    <row r="2663">
      <c r="A2663" s="11">
        <v>2662.0</v>
      </c>
      <c r="B2663" s="12">
        <f t="shared" ref="B2663:B2664" si="424">DATE(2012,12,31)-1004</f>
        <v>40270</v>
      </c>
      <c r="C2663" s="11" t="s">
        <v>60</v>
      </c>
      <c r="D2663" s="11" t="s">
        <v>49</v>
      </c>
    </row>
    <row r="2664">
      <c r="A2664" s="11">
        <v>2663.0</v>
      </c>
      <c r="B2664" s="12">
        <f t="shared" si="424"/>
        <v>40270</v>
      </c>
      <c r="C2664" s="11" t="s">
        <v>1314</v>
      </c>
      <c r="D2664" s="11" t="s">
        <v>28</v>
      </c>
    </row>
    <row r="2665">
      <c r="A2665" s="11">
        <v>2664.0</v>
      </c>
      <c r="B2665" s="12">
        <f t="shared" ref="B2665:B2670" si="425">DATE(2012,12,31)-1003</f>
        <v>40271</v>
      </c>
      <c r="C2665" s="11" t="s">
        <v>97</v>
      </c>
      <c r="D2665" s="11" t="s">
        <v>28</v>
      </c>
    </row>
    <row r="2666">
      <c r="A2666" s="11">
        <v>2665.0</v>
      </c>
      <c r="B2666" s="12">
        <f t="shared" si="425"/>
        <v>40271</v>
      </c>
      <c r="C2666" s="11" t="s">
        <v>97</v>
      </c>
      <c r="D2666" s="11" t="s">
        <v>66</v>
      </c>
    </row>
    <row r="2667">
      <c r="A2667" s="11">
        <v>2666.0</v>
      </c>
      <c r="B2667" s="12">
        <f t="shared" si="425"/>
        <v>40271</v>
      </c>
      <c r="C2667" s="11" t="s">
        <v>1228</v>
      </c>
      <c r="D2667" s="11" t="s">
        <v>28</v>
      </c>
    </row>
    <row r="2668">
      <c r="A2668" s="11">
        <v>2667.0</v>
      </c>
      <c r="B2668" s="12">
        <f t="shared" si="425"/>
        <v>40271</v>
      </c>
      <c r="C2668" s="11" t="s">
        <v>2276</v>
      </c>
      <c r="D2668" s="11" t="s">
        <v>66</v>
      </c>
    </row>
    <row r="2669">
      <c r="A2669" s="11">
        <v>2668.0</v>
      </c>
      <c r="B2669" s="12">
        <f t="shared" si="425"/>
        <v>40271</v>
      </c>
      <c r="C2669" s="11" t="s">
        <v>1338</v>
      </c>
      <c r="D2669" s="11" t="s">
        <v>49</v>
      </c>
    </row>
    <row r="2670">
      <c r="A2670" s="11">
        <v>2669.0</v>
      </c>
      <c r="B2670" s="12">
        <f t="shared" si="425"/>
        <v>40271</v>
      </c>
      <c r="C2670" s="11" t="s">
        <v>1338</v>
      </c>
      <c r="D2670" s="11" t="s">
        <v>49</v>
      </c>
    </row>
    <row r="2671">
      <c r="A2671" s="11">
        <v>2670.0</v>
      </c>
      <c r="B2671" s="12">
        <f t="shared" ref="B2671:B2674" si="426">DATE(2012,12,31)-1002</f>
        <v>40272</v>
      </c>
      <c r="C2671" s="11" t="s">
        <v>1020</v>
      </c>
      <c r="D2671" s="11" t="s">
        <v>28</v>
      </c>
    </row>
    <row r="2672">
      <c r="A2672" s="11">
        <v>2671.0</v>
      </c>
      <c r="B2672" s="12">
        <f t="shared" si="426"/>
        <v>40272</v>
      </c>
      <c r="C2672" s="11" t="s">
        <v>288</v>
      </c>
      <c r="D2672" s="11" t="s">
        <v>28</v>
      </c>
    </row>
    <row r="2673">
      <c r="A2673" s="11">
        <v>2672.0</v>
      </c>
      <c r="B2673" s="12">
        <f t="shared" si="426"/>
        <v>40272</v>
      </c>
      <c r="C2673" s="11" t="s">
        <v>288</v>
      </c>
      <c r="D2673" s="11" t="s">
        <v>28</v>
      </c>
    </row>
    <row r="2674">
      <c r="A2674" s="11">
        <v>2673.0</v>
      </c>
      <c r="B2674" s="12">
        <f t="shared" si="426"/>
        <v>40272</v>
      </c>
      <c r="C2674" s="11" t="s">
        <v>288</v>
      </c>
      <c r="D2674" s="11" t="s">
        <v>66</v>
      </c>
    </row>
    <row r="2675">
      <c r="A2675" s="11">
        <v>2674.0</v>
      </c>
      <c r="B2675" s="12">
        <f t="shared" ref="B2675:B2676" si="427">DATE(2012,12,31)-1001</f>
        <v>40273</v>
      </c>
      <c r="C2675" s="11" t="s">
        <v>1446</v>
      </c>
      <c r="D2675" s="11" t="s">
        <v>49</v>
      </c>
    </row>
    <row r="2676">
      <c r="A2676" s="11">
        <v>2675.0</v>
      </c>
      <c r="B2676" s="12">
        <f t="shared" si="427"/>
        <v>40273</v>
      </c>
      <c r="C2676" s="11" t="s">
        <v>1446</v>
      </c>
      <c r="D2676" s="11" t="s">
        <v>28</v>
      </c>
    </row>
    <row r="2677">
      <c r="A2677" s="11">
        <v>2676.0</v>
      </c>
      <c r="B2677" s="12">
        <f t="shared" ref="B2677:B2679" si="428">DATE(2012,12,31)-1000</f>
        <v>40274</v>
      </c>
      <c r="C2677" s="11" t="s">
        <v>1253</v>
      </c>
      <c r="D2677" s="11" t="s">
        <v>28</v>
      </c>
    </row>
    <row r="2678">
      <c r="A2678" s="11">
        <v>2677.0</v>
      </c>
      <c r="B2678" s="12">
        <f t="shared" si="428"/>
        <v>40274</v>
      </c>
      <c r="C2678" s="11" t="s">
        <v>897</v>
      </c>
      <c r="D2678" s="11" t="s">
        <v>28</v>
      </c>
    </row>
    <row r="2679">
      <c r="A2679" s="11">
        <v>2678.0</v>
      </c>
      <c r="B2679" s="12">
        <f t="shared" si="428"/>
        <v>40274</v>
      </c>
      <c r="C2679" s="11" t="s">
        <v>2167</v>
      </c>
      <c r="D2679" s="11" t="s">
        <v>49</v>
      </c>
    </row>
    <row r="2680">
      <c r="A2680" s="11">
        <v>2679.0</v>
      </c>
      <c r="B2680" s="12">
        <f t="shared" ref="B2680:B2685" si="429">DATE(2012,12,31)-999</f>
        <v>40275</v>
      </c>
      <c r="C2680" s="11" t="s">
        <v>2280</v>
      </c>
      <c r="D2680" s="11" t="s">
        <v>28</v>
      </c>
    </row>
    <row r="2681">
      <c r="A2681" s="11">
        <v>2680.0</v>
      </c>
      <c r="B2681" s="12">
        <f t="shared" si="429"/>
        <v>40275</v>
      </c>
      <c r="C2681" s="11" t="s">
        <v>1747</v>
      </c>
      <c r="D2681" s="11" t="s">
        <v>28</v>
      </c>
    </row>
    <row r="2682">
      <c r="A2682" s="11">
        <v>2681.0</v>
      </c>
      <c r="B2682" s="12">
        <f t="shared" si="429"/>
        <v>40275</v>
      </c>
      <c r="C2682" s="11" t="s">
        <v>751</v>
      </c>
      <c r="D2682" s="11" t="s">
        <v>28</v>
      </c>
    </row>
    <row r="2683">
      <c r="A2683" s="11">
        <v>2682.0</v>
      </c>
      <c r="B2683" s="12">
        <f t="shared" si="429"/>
        <v>40275</v>
      </c>
      <c r="C2683" s="11" t="s">
        <v>751</v>
      </c>
      <c r="D2683" s="11" t="s">
        <v>49</v>
      </c>
    </row>
    <row r="2684">
      <c r="A2684" s="11">
        <v>2683.0</v>
      </c>
      <c r="B2684" s="12">
        <f t="shared" si="429"/>
        <v>40275</v>
      </c>
      <c r="C2684" s="11" t="s">
        <v>1099</v>
      </c>
      <c r="D2684" s="11" t="s">
        <v>28</v>
      </c>
    </row>
    <row r="2685">
      <c r="A2685" s="11">
        <v>2684.0</v>
      </c>
      <c r="B2685" s="12">
        <f t="shared" si="429"/>
        <v>40275</v>
      </c>
      <c r="C2685" s="11" t="s">
        <v>636</v>
      </c>
      <c r="D2685" s="11" t="s">
        <v>66</v>
      </c>
    </row>
    <row r="2686">
      <c r="A2686" s="11">
        <v>2685.0</v>
      </c>
      <c r="B2686" s="12">
        <f t="shared" ref="B2686:B2689" si="430">DATE(2012,12,31)-998</f>
        <v>40276</v>
      </c>
      <c r="C2686" s="11" t="s">
        <v>1541</v>
      </c>
      <c r="D2686" s="11" t="s">
        <v>66</v>
      </c>
    </row>
    <row r="2687">
      <c r="A2687" s="11">
        <v>2686.0</v>
      </c>
      <c r="B2687" s="12">
        <f t="shared" si="430"/>
        <v>40276</v>
      </c>
      <c r="C2687" s="11" t="s">
        <v>1210</v>
      </c>
      <c r="D2687" s="11" t="s">
        <v>28</v>
      </c>
    </row>
    <row r="2688">
      <c r="A2688" s="11">
        <v>2687.0</v>
      </c>
      <c r="B2688" s="12">
        <f t="shared" si="430"/>
        <v>40276</v>
      </c>
      <c r="C2688" s="11" t="s">
        <v>1210</v>
      </c>
      <c r="D2688" s="11" t="s">
        <v>28</v>
      </c>
    </row>
    <row r="2689">
      <c r="A2689" s="11">
        <v>2688.0</v>
      </c>
      <c r="B2689" s="12">
        <f t="shared" si="430"/>
        <v>40276</v>
      </c>
      <c r="C2689" s="11" t="s">
        <v>1210</v>
      </c>
      <c r="D2689" s="11" t="s">
        <v>28</v>
      </c>
    </row>
    <row r="2690">
      <c r="A2690" s="11">
        <v>2689.0</v>
      </c>
      <c r="B2690" s="12">
        <f t="shared" ref="B2690:B2692" si="431">DATE(2012,12,31)-997</f>
        <v>40277</v>
      </c>
      <c r="C2690" s="11" t="s">
        <v>174</v>
      </c>
      <c r="D2690" s="11" t="s">
        <v>28</v>
      </c>
    </row>
    <row r="2691">
      <c r="A2691" s="11">
        <v>2690.0</v>
      </c>
      <c r="B2691" s="12">
        <f t="shared" si="431"/>
        <v>40277</v>
      </c>
      <c r="C2691" s="11" t="s">
        <v>2281</v>
      </c>
      <c r="D2691" s="11" t="s">
        <v>66</v>
      </c>
    </row>
    <row r="2692">
      <c r="A2692" s="11">
        <v>2691.0</v>
      </c>
      <c r="B2692" s="12">
        <f t="shared" si="431"/>
        <v>40277</v>
      </c>
      <c r="C2692" s="11" t="s">
        <v>1168</v>
      </c>
      <c r="D2692" s="11" t="s">
        <v>66</v>
      </c>
    </row>
    <row r="2693">
      <c r="A2693" s="11">
        <v>2692.0</v>
      </c>
      <c r="B2693" s="12">
        <f t="shared" ref="B2693:B2704" si="432">DATE(2012,12,31)-996</f>
        <v>40278</v>
      </c>
      <c r="C2693" s="11" t="s">
        <v>1472</v>
      </c>
      <c r="D2693" s="11" t="s">
        <v>28</v>
      </c>
    </row>
    <row r="2694">
      <c r="A2694" s="11">
        <v>2693.0</v>
      </c>
      <c r="B2694" s="12">
        <f t="shared" si="432"/>
        <v>40278</v>
      </c>
      <c r="C2694" s="11" t="s">
        <v>1472</v>
      </c>
      <c r="D2694" s="11" t="s">
        <v>28</v>
      </c>
    </row>
    <row r="2695">
      <c r="A2695" s="11">
        <v>2694.0</v>
      </c>
      <c r="B2695" s="12">
        <f t="shared" si="432"/>
        <v>40278</v>
      </c>
      <c r="C2695" s="11" t="s">
        <v>1472</v>
      </c>
      <c r="D2695" s="11" t="s">
        <v>66</v>
      </c>
    </row>
    <row r="2696">
      <c r="A2696" s="11">
        <v>2695.0</v>
      </c>
      <c r="B2696" s="12">
        <f t="shared" si="432"/>
        <v>40278</v>
      </c>
      <c r="C2696" s="11" t="s">
        <v>2283</v>
      </c>
      <c r="D2696" s="11" t="s">
        <v>28</v>
      </c>
    </row>
    <row r="2697">
      <c r="A2697" s="11">
        <v>2696.0</v>
      </c>
      <c r="B2697" s="12">
        <f t="shared" si="432"/>
        <v>40278</v>
      </c>
      <c r="C2697" s="11" t="s">
        <v>2283</v>
      </c>
      <c r="D2697" s="11" t="s">
        <v>28</v>
      </c>
    </row>
    <row r="2698">
      <c r="A2698" s="11">
        <v>2697.0</v>
      </c>
      <c r="B2698" s="12">
        <f t="shared" si="432"/>
        <v>40278</v>
      </c>
      <c r="C2698" s="11" t="s">
        <v>2283</v>
      </c>
      <c r="D2698" s="11" t="s">
        <v>49</v>
      </c>
    </row>
    <row r="2699">
      <c r="A2699" s="11">
        <v>2698.0</v>
      </c>
      <c r="B2699" s="12">
        <f t="shared" si="432"/>
        <v>40278</v>
      </c>
      <c r="C2699" s="11" t="s">
        <v>2280</v>
      </c>
      <c r="D2699" s="11" t="s">
        <v>28</v>
      </c>
    </row>
    <row r="2700">
      <c r="A2700" s="11">
        <v>2699.0</v>
      </c>
      <c r="B2700" s="12">
        <f t="shared" si="432"/>
        <v>40278</v>
      </c>
      <c r="C2700" s="11" t="s">
        <v>1773</v>
      </c>
      <c r="D2700" s="11" t="s">
        <v>49</v>
      </c>
    </row>
    <row r="2701">
      <c r="A2701" s="11">
        <v>2700.0</v>
      </c>
      <c r="B2701" s="12">
        <f t="shared" si="432"/>
        <v>40278</v>
      </c>
      <c r="C2701" s="11" t="s">
        <v>2084</v>
      </c>
      <c r="D2701" s="11" t="s">
        <v>28</v>
      </c>
    </row>
    <row r="2702">
      <c r="A2702" s="11">
        <v>2701.0</v>
      </c>
      <c r="B2702" s="12">
        <f t="shared" si="432"/>
        <v>40278</v>
      </c>
      <c r="C2702" s="11" t="s">
        <v>2084</v>
      </c>
      <c r="D2702" s="11" t="s">
        <v>28</v>
      </c>
    </row>
    <row r="2703">
      <c r="A2703" s="11">
        <v>2702.0</v>
      </c>
      <c r="B2703" s="12">
        <f t="shared" si="432"/>
        <v>40278</v>
      </c>
      <c r="C2703" s="11" t="s">
        <v>1014</v>
      </c>
      <c r="D2703" s="11" t="s">
        <v>49</v>
      </c>
    </row>
    <row r="2704">
      <c r="A2704" s="11">
        <v>2703.0</v>
      </c>
      <c r="B2704" s="12">
        <f t="shared" si="432"/>
        <v>40278</v>
      </c>
      <c r="C2704" s="11" t="s">
        <v>535</v>
      </c>
      <c r="D2704" s="11" t="s">
        <v>49</v>
      </c>
    </row>
    <row r="2705">
      <c r="A2705" s="11">
        <v>2704.0</v>
      </c>
      <c r="B2705" s="12">
        <f t="shared" ref="B2705:B2715" si="433">DATE(2012,12,31)-995</f>
        <v>40279</v>
      </c>
      <c r="C2705" s="11" t="s">
        <v>2285</v>
      </c>
      <c r="D2705" s="11" t="s">
        <v>28</v>
      </c>
    </row>
    <row r="2706">
      <c r="A2706" s="11">
        <v>2705.0</v>
      </c>
      <c r="B2706" s="12">
        <f t="shared" si="433"/>
        <v>40279</v>
      </c>
      <c r="C2706" s="11" t="s">
        <v>574</v>
      </c>
      <c r="D2706" s="11" t="s">
        <v>28</v>
      </c>
    </row>
    <row r="2707">
      <c r="A2707" s="11">
        <v>2706.0</v>
      </c>
      <c r="B2707" s="12">
        <f t="shared" si="433"/>
        <v>40279</v>
      </c>
      <c r="C2707" s="11" t="s">
        <v>574</v>
      </c>
      <c r="D2707" s="11" t="s">
        <v>28</v>
      </c>
    </row>
    <row r="2708">
      <c r="A2708" s="11">
        <v>2707.0</v>
      </c>
      <c r="B2708" s="12">
        <f t="shared" si="433"/>
        <v>40279</v>
      </c>
      <c r="C2708" s="11" t="s">
        <v>574</v>
      </c>
      <c r="D2708" s="11" t="s">
        <v>49</v>
      </c>
    </row>
    <row r="2709">
      <c r="A2709" s="11">
        <v>2708.0</v>
      </c>
      <c r="B2709" s="12">
        <f t="shared" si="433"/>
        <v>40279</v>
      </c>
      <c r="C2709" s="11" t="s">
        <v>574</v>
      </c>
      <c r="D2709" s="11" t="s">
        <v>49</v>
      </c>
    </row>
    <row r="2710">
      <c r="A2710" s="11">
        <v>2709.0</v>
      </c>
      <c r="B2710" s="12">
        <f t="shared" si="433"/>
        <v>40279</v>
      </c>
      <c r="C2710" s="11" t="s">
        <v>803</v>
      </c>
      <c r="D2710" s="11" t="s">
        <v>28</v>
      </c>
    </row>
    <row r="2711">
      <c r="A2711" s="11">
        <v>2710.0</v>
      </c>
      <c r="B2711" s="12">
        <f t="shared" si="433"/>
        <v>40279</v>
      </c>
      <c r="C2711" s="11" t="s">
        <v>803</v>
      </c>
      <c r="D2711" s="11" t="s">
        <v>28</v>
      </c>
    </row>
    <row r="2712">
      <c r="A2712" s="11">
        <v>2711.0</v>
      </c>
      <c r="B2712" s="12">
        <f t="shared" si="433"/>
        <v>40279</v>
      </c>
      <c r="C2712" s="11" t="s">
        <v>2099</v>
      </c>
      <c r="D2712" s="11" t="s">
        <v>66</v>
      </c>
    </row>
    <row r="2713">
      <c r="A2713" s="11">
        <v>2712.0</v>
      </c>
      <c r="B2713" s="12">
        <f t="shared" si="433"/>
        <v>40279</v>
      </c>
      <c r="C2713" s="11" t="s">
        <v>2136</v>
      </c>
      <c r="D2713" s="11" t="s">
        <v>28</v>
      </c>
    </row>
    <row r="2714">
      <c r="A2714" s="11">
        <v>2713.0</v>
      </c>
      <c r="B2714" s="12">
        <f t="shared" si="433"/>
        <v>40279</v>
      </c>
      <c r="C2714" s="11" t="s">
        <v>2136</v>
      </c>
      <c r="D2714" s="11" t="s">
        <v>66</v>
      </c>
    </row>
    <row r="2715">
      <c r="A2715" s="11">
        <v>2714.0</v>
      </c>
      <c r="B2715" s="12">
        <f t="shared" si="433"/>
        <v>40279</v>
      </c>
      <c r="C2715" s="11" t="s">
        <v>370</v>
      </c>
      <c r="D2715" s="11" t="s">
        <v>66</v>
      </c>
    </row>
    <row r="2716">
      <c r="A2716" s="11">
        <v>2715.0</v>
      </c>
      <c r="B2716" s="12">
        <f t="shared" ref="B2716:B2722" si="434">DATE(2012,12,31)-994</f>
        <v>40280</v>
      </c>
      <c r="C2716" s="11" t="s">
        <v>600</v>
      </c>
      <c r="D2716" s="11" t="s">
        <v>49</v>
      </c>
    </row>
    <row r="2717">
      <c r="A2717" s="11">
        <v>2716.0</v>
      </c>
      <c r="B2717" s="12">
        <f t="shared" si="434"/>
        <v>40280</v>
      </c>
      <c r="C2717" s="11" t="s">
        <v>1884</v>
      </c>
      <c r="D2717" s="11" t="s">
        <v>49</v>
      </c>
    </row>
    <row r="2718">
      <c r="A2718" s="11">
        <v>2717.0</v>
      </c>
      <c r="B2718" s="12">
        <f t="shared" si="434"/>
        <v>40280</v>
      </c>
      <c r="C2718" s="11" t="s">
        <v>398</v>
      </c>
      <c r="D2718" s="11" t="s">
        <v>28</v>
      </c>
    </row>
    <row r="2719">
      <c r="A2719" s="11">
        <v>2718.0</v>
      </c>
      <c r="B2719" s="12">
        <f t="shared" si="434"/>
        <v>40280</v>
      </c>
      <c r="C2719" s="11" t="s">
        <v>1929</v>
      </c>
      <c r="D2719" s="11" t="s">
        <v>49</v>
      </c>
    </row>
    <row r="2720">
      <c r="A2720" s="11">
        <v>2719.0</v>
      </c>
      <c r="B2720" s="12">
        <f t="shared" si="434"/>
        <v>40280</v>
      </c>
      <c r="C2720" s="11" t="s">
        <v>1929</v>
      </c>
      <c r="D2720" s="11" t="s">
        <v>28</v>
      </c>
    </row>
    <row r="2721">
      <c r="A2721" s="11">
        <v>2720.0</v>
      </c>
      <c r="B2721" s="12">
        <f t="shared" si="434"/>
        <v>40280</v>
      </c>
      <c r="C2721" s="11" t="s">
        <v>1929</v>
      </c>
      <c r="D2721" s="11" t="s">
        <v>66</v>
      </c>
    </row>
    <row r="2722">
      <c r="A2722" s="11">
        <v>2721.0</v>
      </c>
      <c r="B2722" s="12">
        <f t="shared" si="434"/>
        <v>40280</v>
      </c>
      <c r="C2722" s="11" t="s">
        <v>1972</v>
      </c>
      <c r="D2722" s="11" t="s">
        <v>28</v>
      </c>
    </row>
    <row r="2723">
      <c r="A2723" s="11">
        <v>2722.0</v>
      </c>
      <c r="B2723" s="12">
        <f t="shared" ref="B2723:B2735" si="435">DATE(2012,12,31)-991</f>
        <v>40283</v>
      </c>
      <c r="C2723" s="11" t="s">
        <v>353</v>
      </c>
      <c r="D2723" s="11" t="s">
        <v>28</v>
      </c>
    </row>
    <row r="2724">
      <c r="A2724" s="11">
        <v>2723.0</v>
      </c>
      <c r="B2724" s="12">
        <f t="shared" si="435"/>
        <v>40283</v>
      </c>
      <c r="C2724" s="11" t="s">
        <v>353</v>
      </c>
      <c r="D2724" s="11" t="s">
        <v>28</v>
      </c>
    </row>
    <row r="2725">
      <c r="A2725" s="11">
        <v>2724.0</v>
      </c>
      <c r="B2725" s="12">
        <f t="shared" si="435"/>
        <v>40283</v>
      </c>
      <c r="C2725" s="11" t="s">
        <v>857</v>
      </c>
      <c r="D2725" s="11" t="s">
        <v>28</v>
      </c>
    </row>
    <row r="2726">
      <c r="A2726" s="11">
        <v>2725.0</v>
      </c>
      <c r="B2726" s="12">
        <f t="shared" si="435"/>
        <v>40283</v>
      </c>
      <c r="C2726" s="11" t="s">
        <v>1747</v>
      </c>
      <c r="D2726" s="11" t="s">
        <v>28</v>
      </c>
    </row>
    <row r="2727">
      <c r="A2727" s="11">
        <v>2726.0</v>
      </c>
      <c r="B2727" s="12">
        <f t="shared" si="435"/>
        <v>40283</v>
      </c>
      <c r="C2727" s="11" t="s">
        <v>1747</v>
      </c>
      <c r="D2727" s="11" t="s">
        <v>66</v>
      </c>
    </row>
    <row r="2728">
      <c r="A2728" s="11">
        <v>2727.0</v>
      </c>
      <c r="B2728" s="12">
        <f t="shared" si="435"/>
        <v>40283</v>
      </c>
      <c r="C2728" s="11" t="s">
        <v>1747</v>
      </c>
      <c r="D2728" s="11" t="s">
        <v>66</v>
      </c>
    </row>
    <row r="2729">
      <c r="A2729" s="11">
        <v>2728.0</v>
      </c>
      <c r="B2729" s="12">
        <f t="shared" si="435"/>
        <v>40283</v>
      </c>
      <c r="C2729" s="11" t="s">
        <v>546</v>
      </c>
      <c r="D2729" s="11" t="s">
        <v>66</v>
      </c>
    </row>
    <row r="2730">
      <c r="A2730" s="11">
        <v>2729.0</v>
      </c>
      <c r="B2730" s="12">
        <f t="shared" si="435"/>
        <v>40283</v>
      </c>
      <c r="C2730" s="11" t="s">
        <v>1442</v>
      </c>
      <c r="D2730" s="11" t="s">
        <v>49</v>
      </c>
    </row>
    <row r="2731">
      <c r="A2731" s="11">
        <v>2730.0</v>
      </c>
      <c r="B2731" s="12">
        <f t="shared" si="435"/>
        <v>40283</v>
      </c>
      <c r="C2731" s="11" t="s">
        <v>1653</v>
      </c>
      <c r="D2731" s="11" t="s">
        <v>28</v>
      </c>
    </row>
    <row r="2732">
      <c r="A2732" s="11">
        <v>2731.0</v>
      </c>
      <c r="B2732" s="12">
        <f t="shared" si="435"/>
        <v>40283</v>
      </c>
      <c r="C2732" s="11" t="s">
        <v>1653</v>
      </c>
      <c r="D2732" s="11" t="s">
        <v>66</v>
      </c>
    </row>
    <row r="2733">
      <c r="A2733" s="11">
        <v>2732.0</v>
      </c>
      <c r="B2733" s="12">
        <f t="shared" si="435"/>
        <v>40283</v>
      </c>
      <c r="C2733" s="11" t="s">
        <v>738</v>
      </c>
      <c r="D2733" s="11" t="s">
        <v>28</v>
      </c>
    </row>
    <row r="2734">
      <c r="A2734" s="11">
        <v>2733.0</v>
      </c>
      <c r="B2734" s="12">
        <f t="shared" si="435"/>
        <v>40283</v>
      </c>
      <c r="C2734" s="11" t="s">
        <v>738</v>
      </c>
      <c r="D2734" s="11" t="s">
        <v>66</v>
      </c>
    </row>
    <row r="2735">
      <c r="A2735" s="11">
        <v>2734.0</v>
      </c>
      <c r="B2735" s="12">
        <f t="shared" si="435"/>
        <v>40283</v>
      </c>
      <c r="C2735" s="11" t="s">
        <v>1422</v>
      </c>
      <c r="D2735" s="11" t="s">
        <v>49</v>
      </c>
    </row>
    <row r="2736">
      <c r="A2736" s="11">
        <v>2735.0</v>
      </c>
      <c r="B2736" s="12">
        <f t="shared" ref="B2736:B2743" si="436">DATE(2012,12,31)-990</f>
        <v>40284</v>
      </c>
      <c r="C2736" s="11" t="s">
        <v>940</v>
      </c>
      <c r="D2736" s="11" t="s">
        <v>28</v>
      </c>
    </row>
    <row r="2737">
      <c r="A2737" s="11">
        <v>2736.0</v>
      </c>
      <c r="B2737" s="12">
        <f t="shared" si="436"/>
        <v>40284</v>
      </c>
      <c r="C2737" s="11" t="s">
        <v>940</v>
      </c>
      <c r="D2737" s="11" t="s">
        <v>28</v>
      </c>
    </row>
    <row r="2738">
      <c r="A2738" s="11">
        <v>2737.0</v>
      </c>
      <c r="B2738" s="12">
        <f t="shared" si="436"/>
        <v>40284</v>
      </c>
      <c r="C2738" s="11" t="s">
        <v>300</v>
      </c>
      <c r="D2738" s="11" t="s">
        <v>66</v>
      </c>
    </row>
    <row r="2739">
      <c r="A2739" s="11">
        <v>2738.0</v>
      </c>
      <c r="B2739" s="12">
        <f t="shared" si="436"/>
        <v>40284</v>
      </c>
      <c r="C2739" s="11" t="s">
        <v>300</v>
      </c>
      <c r="D2739" s="11" t="s">
        <v>49</v>
      </c>
    </row>
    <row r="2740">
      <c r="A2740" s="11">
        <v>2739.0</v>
      </c>
      <c r="B2740" s="12">
        <f t="shared" si="436"/>
        <v>40284</v>
      </c>
      <c r="C2740" s="11" t="s">
        <v>2156</v>
      </c>
      <c r="D2740" s="11" t="s">
        <v>66</v>
      </c>
    </row>
    <row r="2741">
      <c r="A2741" s="11">
        <v>2740.0</v>
      </c>
      <c r="B2741" s="12">
        <f t="shared" si="436"/>
        <v>40284</v>
      </c>
      <c r="C2741" s="11" t="s">
        <v>2156</v>
      </c>
      <c r="D2741" s="11" t="s">
        <v>28</v>
      </c>
    </row>
    <row r="2742">
      <c r="A2742" s="11">
        <v>2741.0</v>
      </c>
      <c r="B2742" s="12">
        <f t="shared" si="436"/>
        <v>40284</v>
      </c>
      <c r="C2742" s="11" t="s">
        <v>2156</v>
      </c>
      <c r="D2742" s="11" t="s">
        <v>28</v>
      </c>
    </row>
    <row r="2743">
      <c r="A2743" s="11">
        <v>2742.0</v>
      </c>
      <c r="B2743" s="12">
        <f t="shared" si="436"/>
        <v>40284</v>
      </c>
      <c r="C2743" s="11" t="s">
        <v>1110</v>
      </c>
      <c r="D2743" s="11" t="s">
        <v>28</v>
      </c>
    </row>
    <row r="2744">
      <c r="A2744" s="11">
        <v>2743.0</v>
      </c>
      <c r="B2744" s="12">
        <f>DATE(2012,12,31)-989</f>
        <v>40285</v>
      </c>
      <c r="C2744" s="11" t="s">
        <v>2262</v>
      </c>
      <c r="D2744" s="11" t="s">
        <v>66</v>
      </c>
    </row>
    <row r="2745">
      <c r="A2745" s="11">
        <v>2744.0</v>
      </c>
      <c r="B2745" s="12">
        <f>DATE(2012,12,31)-988</f>
        <v>40286</v>
      </c>
      <c r="C2745" s="11" t="s">
        <v>507</v>
      </c>
      <c r="D2745" s="11" t="s">
        <v>28</v>
      </c>
    </row>
    <row r="2746">
      <c r="A2746" s="11">
        <v>2745.0</v>
      </c>
      <c r="B2746" s="12">
        <f t="shared" ref="B2746:B2751" si="437">DATE(2012,12,31)-987</f>
        <v>40287</v>
      </c>
      <c r="C2746" s="11" t="s">
        <v>1516</v>
      </c>
      <c r="D2746" s="11" t="s">
        <v>66</v>
      </c>
    </row>
    <row r="2747">
      <c r="A2747" s="11">
        <v>2746.0</v>
      </c>
      <c r="B2747" s="12">
        <f t="shared" si="437"/>
        <v>40287</v>
      </c>
      <c r="C2747" s="11" t="s">
        <v>611</v>
      </c>
      <c r="D2747" s="11" t="s">
        <v>49</v>
      </c>
    </row>
    <row r="2748">
      <c r="A2748" s="11">
        <v>2747.0</v>
      </c>
      <c r="B2748" s="12">
        <f t="shared" si="437"/>
        <v>40287</v>
      </c>
      <c r="C2748" s="11" t="s">
        <v>611</v>
      </c>
      <c r="D2748" s="11" t="s">
        <v>28</v>
      </c>
    </row>
    <row r="2749">
      <c r="A2749" s="11">
        <v>2748.0</v>
      </c>
      <c r="B2749" s="12">
        <f t="shared" si="437"/>
        <v>40287</v>
      </c>
      <c r="C2749" s="11" t="s">
        <v>1027</v>
      </c>
      <c r="D2749" s="11" t="s">
        <v>28</v>
      </c>
    </row>
    <row r="2750">
      <c r="A2750" s="11">
        <v>2749.0</v>
      </c>
      <c r="B2750" s="12">
        <f t="shared" si="437"/>
        <v>40287</v>
      </c>
      <c r="C2750" s="11" t="s">
        <v>1027</v>
      </c>
      <c r="D2750" s="11" t="s">
        <v>28</v>
      </c>
    </row>
    <row r="2751">
      <c r="A2751" s="11">
        <v>2750.0</v>
      </c>
      <c r="B2751" s="12">
        <f t="shared" si="437"/>
        <v>40287</v>
      </c>
      <c r="C2751" s="11" t="s">
        <v>1027</v>
      </c>
      <c r="D2751" s="11" t="s">
        <v>28</v>
      </c>
    </row>
    <row r="2752">
      <c r="A2752" s="11">
        <v>2751.0</v>
      </c>
      <c r="B2752" s="12">
        <f t="shared" ref="B2752:B2768" si="438">DATE(2012,12,31)-986</f>
        <v>40288</v>
      </c>
      <c r="C2752" s="11" t="s">
        <v>2142</v>
      </c>
      <c r="D2752" s="11" t="s">
        <v>49</v>
      </c>
    </row>
    <row r="2753">
      <c r="A2753" s="11">
        <v>2752.0</v>
      </c>
      <c r="B2753" s="12">
        <f t="shared" si="438"/>
        <v>40288</v>
      </c>
      <c r="C2753" s="11" t="s">
        <v>2142</v>
      </c>
      <c r="D2753" s="11" t="s">
        <v>28</v>
      </c>
    </row>
    <row r="2754">
      <c r="A2754" s="11">
        <v>2753.0</v>
      </c>
      <c r="B2754" s="12">
        <f t="shared" si="438"/>
        <v>40288</v>
      </c>
      <c r="C2754" s="11" t="s">
        <v>1308</v>
      </c>
      <c r="D2754" s="11" t="s">
        <v>28</v>
      </c>
    </row>
    <row r="2755">
      <c r="A2755" s="11">
        <v>2754.0</v>
      </c>
      <c r="B2755" s="12">
        <f t="shared" si="438"/>
        <v>40288</v>
      </c>
      <c r="C2755" s="11" t="s">
        <v>1253</v>
      </c>
      <c r="D2755" s="11" t="s">
        <v>28</v>
      </c>
    </row>
    <row r="2756">
      <c r="A2756" s="11">
        <v>2755.0</v>
      </c>
      <c r="B2756" s="12">
        <f t="shared" si="438"/>
        <v>40288</v>
      </c>
      <c r="C2756" s="11" t="s">
        <v>1253</v>
      </c>
      <c r="D2756" s="11" t="s">
        <v>28</v>
      </c>
    </row>
    <row r="2757">
      <c r="A2757" s="11">
        <v>2756.0</v>
      </c>
      <c r="B2757" s="12">
        <f t="shared" si="438"/>
        <v>40288</v>
      </c>
      <c r="C2757" s="11" t="s">
        <v>1581</v>
      </c>
      <c r="D2757" s="11" t="s">
        <v>66</v>
      </c>
    </row>
    <row r="2758">
      <c r="A2758" s="11">
        <v>2757.0</v>
      </c>
      <c r="B2758" s="12">
        <f t="shared" si="438"/>
        <v>40288</v>
      </c>
      <c r="C2758" s="11" t="s">
        <v>1581</v>
      </c>
      <c r="D2758" s="11" t="s">
        <v>28</v>
      </c>
    </row>
    <row r="2759">
      <c r="A2759" s="11">
        <v>2758.0</v>
      </c>
      <c r="B2759" s="12">
        <f t="shared" si="438"/>
        <v>40288</v>
      </c>
      <c r="C2759" s="11" t="s">
        <v>982</v>
      </c>
      <c r="D2759" s="11" t="s">
        <v>49</v>
      </c>
    </row>
    <row r="2760">
      <c r="A2760" s="11">
        <v>2759.0</v>
      </c>
      <c r="B2760" s="12">
        <f t="shared" si="438"/>
        <v>40288</v>
      </c>
      <c r="C2760" s="11" t="s">
        <v>1921</v>
      </c>
      <c r="D2760" s="11" t="s">
        <v>28</v>
      </c>
    </row>
    <row r="2761">
      <c r="A2761" s="11">
        <v>2760.0</v>
      </c>
      <c r="B2761" s="12">
        <f t="shared" si="438"/>
        <v>40288</v>
      </c>
      <c r="C2761" s="11" t="s">
        <v>1349</v>
      </c>
      <c r="D2761" s="11" t="s">
        <v>66</v>
      </c>
    </row>
    <row r="2762">
      <c r="A2762" s="11">
        <v>2761.0</v>
      </c>
      <c r="B2762" s="12">
        <f t="shared" si="438"/>
        <v>40288</v>
      </c>
      <c r="C2762" s="11" t="s">
        <v>1349</v>
      </c>
      <c r="D2762" s="11" t="s">
        <v>49</v>
      </c>
    </row>
    <row r="2763">
      <c r="A2763" s="11">
        <v>2762.0</v>
      </c>
      <c r="B2763" s="12">
        <f t="shared" si="438"/>
        <v>40288</v>
      </c>
      <c r="C2763" s="11" t="s">
        <v>1349</v>
      </c>
      <c r="D2763" s="11" t="s">
        <v>28</v>
      </c>
    </row>
    <row r="2764">
      <c r="A2764" s="11">
        <v>2763.0</v>
      </c>
      <c r="B2764" s="12">
        <f t="shared" si="438"/>
        <v>40288</v>
      </c>
      <c r="C2764" s="11" t="s">
        <v>288</v>
      </c>
      <c r="D2764" s="11" t="s">
        <v>49</v>
      </c>
    </row>
    <row r="2765">
      <c r="A2765" s="11">
        <v>2764.0</v>
      </c>
      <c r="B2765" s="12">
        <f t="shared" si="438"/>
        <v>40288</v>
      </c>
      <c r="C2765" s="11" t="s">
        <v>288</v>
      </c>
      <c r="D2765" s="11" t="s">
        <v>28</v>
      </c>
    </row>
    <row r="2766">
      <c r="A2766" s="11">
        <v>2765.0</v>
      </c>
      <c r="B2766" s="12">
        <f t="shared" si="438"/>
        <v>40288</v>
      </c>
      <c r="C2766" s="11" t="s">
        <v>288</v>
      </c>
      <c r="D2766" s="11" t="s">
        <v>49</v>
      </c>
    </row>
    <row r="2767">
      <c r="A2767" s="11">
        <v>2766.0</v>
      </c>
      <c r="B2767" s="12">
        <f t="shared" si="438"/>
        <v>40288</v>
      </c>
      <c r="C2767" s="11" t="s">
        <v>2292</v>
      </c>
      <c r="D2767" s="11" t="s">
        <v>28</v>
      </c>
    </row>
    <row r="2768">
      <c r="A2768" s="11">
        <v>2767.0</v>
      </c>
      <c r="B2768" s="12">
        <f t="shared" si="438"/>
        <v>40288</v>
      </c>
      <c r="C2768" s="11" t="s">
        <v>2292</v>
      </c>
      <c r="D2768" s="11" t="s">
        <v>49</v>
      </c>
    </row>
    <row r="2769">
      <c r="A2769" s="11">
        <v>2768.0</v>
      </c>
      <c r="B2769" s="12">
        <f t="shared" ref="B2769:B2772" si="439">DATE(2012,12,31)-984</f>
        <v>40290</v>
      </c>
      <c r="C2769" s="11" t="s">
        <v>1837</v>
      </c>
      <c r="D2769" s="11" t="s">
        <v>28</v>
      </c>
    </row>
    <row r="2770">
      <c r="A2770" s="11">
        <v>2769.0</v>
      </c>
      <c r="B2770" s="12">
        <f t="shared" si="439"/>
        <v>40290</v>
      </c>
      <c r="C2770" s="11" t="s">
        <v>2293</v>
      </c>
      <c r="D2770" s="11" t="s">
        <v>28</v>
      </c>
    </row>
    <row r="2771">
      <c r="A2771" s="11">
        <v>2770.0</v>
      </c>
      <c r="B2771" s="12">
        <f t="shared" si="439"/>
        <v>40290</v>
      </c>
      <c r="C2771" s="11" t="s">
        <v>2294</v>
      </c>
      <c r="D2771" s="11" t="s">
        <v>49</v>
      </c>
    </row>
    <row r="2772">
      <c r="A2772" s="11">
        <v>2771.0</v>
      </c>
      <c r="B2772" s="12">
        <f t="shared" si="439"/>
        <v>40290</v>
      </c>
      <c r="C2772" s="11" t="s">
        <v>1753</v>
      </c>
      <c r="D2772" s="11" t="s">
        <v>66</v>
      </c>
    </row>
    <row r="2773">
      <c r="A2773" s="11">
        <v>2772.0</v>
      </c>
      <c r="B2773" s="12">
        <f>DATE(2012,12,31)-983</f>
        <v>40291</v>
      </c>
      <c r="C2773" s="11" t="s">
        <v>2295</v>
      </c>
      <c r="D2773" s="11" t="s">
        <v>28</v>
      </c>
    </row>
    <row r="2774">
      <c r="A2774" s="11">
        <v>2773.0</v>
      </c>
      <c r="B2774" s="12">
        <f t="shared" ref="B2774:B2775" si="440">DATE(2012,12,31)-982</f>
        <v>40292</v>
      </c>
      <c r="C2774" s="11" t="s">
        <v>382</v>
      </c>
      <c r="D2774" s="11" t="s">
        <v>49</v>
      </c>
    </row>
    <row r="2775">
      <c r="A2775" s="11">
        <v>2774.0</v>
      </c>
      <c r="B2775" s="12">
        <f t="shared" si="440"/>
        <v>40292</v>
      </c>
      <c r="C2775" s="11" t="s">
        <v>382</v>
      </c>
      <c r="D2775" s="11" t="s">
        <v>66</v>
      </c>
    </row>
    <row r="2776">
      <c r="A2776" s="11">
        <v>2775.0</v>
      </c>
      <c r="B2776" s="12">
        <f t="shared" ref="B2776:B2780" si="441">DATE(2012,12,31)-981</f>
        <v>40293</v>
      </c>
      <c r="C2776" s="11" t="s">
        <v>1199</v>
      </c>
      <c r="D2776" s="11" t="s">
        <v>66</v>
      </c>
    </row>
    <row r="2777">
      <c r="A2777" s="11">
        <v>2776.0</v>
      </c>
      <c r="B2777" s="12">
        <f t="shared" si="441"/>
        <v>40293</v>
      </c>
      <c r="C2777" s="11" t="s">
        <v>738</v>
      </c>
      <c r="D2777" s="11" t="s">
        <v>28</v>
      </c>
    </row>
    <row r="2778">
      <c r="A2778" s="11">
        <v>2777.0</v>
      </c>
      <c r="B2778" s="12">
        <f t="shared" si="441"/>
        <v>40293</v>
      </c>
      <c r="C2778" s="11" t="s">
        <v>973</v>
      </c>
      <c r="D2778" s="11" t="s">
        <v>28</v>
      </c>
    </row>
    <row r="2779">
      <c r="A2779" s="11">
        <v>2778.0</v>
      </c>
      <c r="B2779" s="12">
        <f t="shared" si="441"/>
        <v>40293</v>
      </c>
      <c r="C2779" s="11" t="s">
        <v>973</v>
      </c>
      <c r="D2779" s="11" t="s">
        <v>28</v>
      </c>
    </row>
    <row r="2780">
      <c r="A2780" s="11">
        <v>2779.0</v>
      </c>
      <c r="B2780" s="12">
        <f t="shared" si="441"/>
        <v>40293</v>
      </c>
      <c r="C2780" s="11" t="s">
        <v>973</v>
      </c>
      <c r="D2780" s="11" t="s">
        <v>28</v>
      </c>
    </row>
    <row r="2781">
      <c r="A2781" s="11">
        <v>2780.0</v>
      </c>
      <c r="B2781" s="12">
        <f t="shared" ref="B2781:B2784" si="442">DATE(2012,12,31)-980</f>
        <v>40294</v>
      </c>
      <c r="C2781" s="11" t="s">
        <v>681</v>
      </c>
      <c r="D2781" s="11" t="s">
        <v>28</v>
      </c>
    </row>
    <row r="2782">
      <c r="A2782" s="11">
        <v>2781.0</v>
      </c>
      <c r="B2782" s="12">
        <f t="shared" si="442"/>
        <v>40294</v>
      </c>
      <c r="C2782" s="11" t="s">
        <v>763</v>
      </c>
      <c r="D2782" s="11" t="s">
        <v>28</v>
      </c>
    </row>
    <row r="2783">
      <c r="A2783" s="11">
        <v>2782.0</v>
      </c>
      <c r="B2783" s="12">
        <f t="shared" si="442"/>
        <v>40294</v>
      </c>
      <c r="C2783" s="11" t="s">
        <v>763</v>
      </c>
      <c r="D2783" s="11" t="s">
        <v>28</v>
      </c>
    </row>
    <row r="2784">
      <c r="A2784" s="11">
        <v>2783.0</v>
      </c>
      <c r="B2784" s="12">
        <f t="shared" si="442"/>
        <v>40294</v>
      </c>
      <c r="C2784" s="11" t="s">
        <v>2141</v>
      </c>
      <c r="D2784" s="11" t="s">
        <v>66</v>
      </c>
    </row>
    <row r="2785">
      <c r="A2785" s="11">
        <v>2784.0</v>
      </c>
      <c r="B2785" s="12">
        <f t="shared" ref="B2785:B2788" si="443">DATE(2012,12,31)-979</f>
        <v>40295</v>
      </c>
      <c r="C2785" s="11" t="s">
        <v>849</v>
      </c>
      <c r="D2785" s="11" t="s">
        <v>66</v>
      </c>
    </row>
    <row r="2786">
      <c r="A2786" s="11">
        <v>2785.0</v>
      </c>
      <c r="B2786" s="12">
        <f t="shared" si="443"/>
        <v>40295</v>
      </c>
      <c r="C2786" s="11" t="s">
        <v>849</v>
      </c>
      <c r="D2786" s="11" t="s">
        <v>28</v>
      </c>
    </row>
    <row r="2787">
      <c r="A2787" s="11">
        <v>2786.0</v>
      </c>
      <c r="B2787" s="12">
        <f t="shared" si="443"/>
        <v>40295</v>
      </c>
      <c r="C2787" s="11" t="s">
        <v>849</v>
      </c>
      <c r="D2787" s="11" t="s">
        <v>28</v>
      </c>
    </row>
    <row r="2788">
      <c r="A2788" s="11">
        <v>2787.0</v>
      </c>
      <c r="B2788" s="12">
        <f t="shared" si="443"/>
        <v>40295</v>
      </c>
      <c r="C2788" s="11" t="s">
        <v>2297</v>
      </c>
      <c r="D2788" s="11" t="s">
        <v>28</v>
      </c>
    </row>
    <row r="2789">
      <c r="A2789" s="11">
        <v>2788.0</v>
      </c>
      <c r="B2789" s="12">
        <f t="shared" ref="B2789:B2792" si="444">DATE(2012,12,31)-978</f>
        <v>40296</v>
      </c>
      <c r="C2789" s="11" t="s">
        <v>1405</v>
      </c>
      <c r="D2789" s="11" t="s">
        <v>28</v>
      </c>
    </row>
    <row r="2790">
      <c r="A2790" s="11">
        <v>2789.0</v>
      </c>
      <c r="B2790" s="12">
        <f t="shared" si="444"/>
        <v>40296</v>
      </c>
      <c r="C2790" s="11" t="s">
        <v>1256</v>
      </c>
      <c r="D2790" s="11" t="s">
        <v>49</v>
      </c>
    </row>
    <row r="2791">
      <c r="A2791" s="11">
        <v>2790.0</v>
      </c>
      <c r="B2791" s="12">
        <f t="shared" si="444"/>
        <v>40296</v>
      </c>
      <c r="C2791" s="11" t="s">
        <v>1256</v>
      </c>
      <c r="D2791" s="11" t="s">
        <v>49</v>
      </c>
    </row>
    <row r="2792">
      <c r="A2792" s="11">
        <v>2791.0</v>
      </c>
      <c r="B2792" s="12">
        <f t="shared" si="444"/>
        <v>40296</v>
      </c>
      <c r="C2792" s="11" t="s">
        <v>879</v>
      </c>
      <c r="D2792" s="11" t="s">
        <v>28</v>
      </c>
    </row>
    <row r="2793">
      <c r="A2793" s="11">
        <v>2792.0</v>
      </c>
      <c r="B2793" s="12">
        <f t="shared" ref="B2793:B2799" si="445">DATE(2012,12,31)-977</f>
        <v>40297</v>
      </c>
      <c r="C2793" s="11" t="s">
        <v>2298</v>
      </c>
      <c r="D2793" s="11" t="s">
        <v>49</v>
      </c>
    </row>
    <row r="2794">
      <c r="A2794" s="11">
        <v>2793.0</v>
      </c>
      <c r="B2794" s="12">
        <f t="shared" si="445"/>
        <v>40297</v>
      </c>
      <c r="C2794" s="11" t="s">
        <v>873</v>
      </c>
      <c r="D2794" s="11" t="s">
        <v>28</v>
      </c>
    </row>
    <row r="2795">
      <c r="A2795" s="11">
        <v>2794.0</v>
      </c>
      <c r="B2795" s="12">
        <f t="shared" si="445"/>
        <v>40297</v>
      </c>
      <c r="C2795" s="11" t="s">
        <v>873</v>
      </c>
      <c r="D2795" s="11" t="s">
        <v>66</v>
      </c>
    </row>
    <row r="2796">
      <c r="A2796" s="11">
        <v>2795.0</v>
      </c>
      <c r="B2796" s="12">
        <f t="shared" si="445"/>
        <v>40297</v>
      </c>
      <c r="C2796" s="11" t="s">
        <v>873</v>
      </c>
      <c r="D2796" s="11" t="s">
        <v>49</v>
      </c>
    </row>
    <row r="2797">
      <c r="A2797" s="11">
        <v>2796.0</v>
      </c>
      <c r="B2797" s="12">
        <f t="shared" si="445"/>
        <v>40297</v>
      </c>
      <c r="C2797" s="11" t="s">
        <v>2000</v>
      </c>
      <c r="D2797" s="11" t="s">
        <v>28</v>
      </c>
    </row>
    <row r="2798">
      <c r="A2798" s="11">
        <v>2797.0</v>
      </c>
      <c r="B2798" s="12">
        <f t="shared" si="445"/>
        <v>40297</v>
      </c>
      <c r="C2798" s="11" t="s">
        <v>1586</v>
      </c>
      <c r="D2798" s="11" t="s">
        <v>28</v>
      </c>
    </row>
    <row r="2799">
      <c r="A2799" s="11">
        <v>2798.0</v>
      </c>
      <c r="B2799" s="12">
        <f t="shared" si="445"/>
        <v>40297</v>
      </c>
      <c r="C2799" s="11" t="s">
        <v>1067</v>
      </c>
      <c r="D2799" s="11" t="s">
        <v>49</v>
      </c>
    </row>
    <row r="2800">
      <c r="A2800" s="11">
        <v>2799.0</v>
      </c>
      <c r="B2800" s="12">
        <f t="shared" ref="B2800:B2806" si="446">DATE(2012,12,31)-976</f>
        <v>40298</v>
      </c>
      <c r="C2800" s="11" t="s">
        <v>357</v>
      </c>
      <c r="D2800" s="11" t="s">
        <v>28</v>
      </c>
    </row>
    <row r="2801">
      <c r="A2801" s="11">
        <v>2800.0</v>
      </c>
      <c r="B2801" s="12">
        <f t="shared" si="446"/>
        <v>40298</v>
      </c>
      <c r="C2801" s="11" t="s">
        <v>357</v>
      </c>
      <c r="D2801" s="11" t="s">
        <v>49</v>
      </c>
    </row>
    <row r="2802">
      <c r="A2802" s="11">
        <v>2801.0</v>
      </c>
      <c r="B2802" s="12">
        <f t="shared" si="446"/>
        <v>40298</v>
      </c>
      <c r="C2802" s="11" t="s">
        <v>357</v>
      </c>
      <c r="D2802" s="11" t="s">
        <v>49</v>
      </c>
    </row>
    <row r="2803">
      <c r="A2803" s="11">
        <v>2802.0</v>
      </c>
      <c r="B2803" s="12">
        <f t="shared" si="446"/>
        <v>40298</v>
      </c>
      <c r="C2803" s="11" t="s">
        <v>1082</v>
      </c>
      <c r="D2803" s="11" t="s">
        <v>28</v>
      </c>
    </row>
    <row r="2804">
      <c r="A2804" s="11">
        <v>2803.0</v>
      </c>
      <c r="B2804" s="12">
        <f t="shared" si="446"/>
        <v>40298</v>
      </c>
      <c r="C2804" s="11" t="s">
        <v>1082</v>
      </c>
      <c r="D2804" s="11" t="s">
        <v>66</v>
      </c>
    </row>
    <row r="2805">
      <c r="A2805" s="11">
        <v>2804.0</v>
      </c>
      <c r="B2805" s="12">
        <f t="shared" si="446"/>
        <v>40298</v>
      </c>
      <c r="C2805" s="11" t="s">
        <v>1082</v>
      </c>
      <c r="D2805" s="11" t="s">
        <v>66</v>
      </c>
    </row>
    <row r="2806">
      <c r="A2806" s="11">
        <v>2805.0</v>
      </c>
      <c r="B2806" s="12">
        <f t="shared" si="446"/>
        <v>40298</v>
      </c>
      <c r="C2806" s="11" t="s">
        <v>1629</v>
      </c>
      <c r="D2806" s="11" t="s">
        <v>28</v>
      </c>
    </row>
    <row r="2807">
      <c r="A2807" s="11">
        <v>2806.0</v>
      </c>
      <c r="B2807" s="12">
        <f t="shared" ref="B2807:B2810" si="447">DATE(2012,12,31)-975</f>
        <v>40299</v>
      </c>
      <c r="C2807" s="11" t="s">
        <v>960</v>
      </c>
      <c r="D2807" s="11" t="s">
        <v>66</v>
      </c>
    </row>
    <row r="2808">
      <c r="A2808" s="11">
        <v>2807.0</v>
      </c>
      <c r="B2808" s="12">
        <f t="shared" si="447"/>
        <v>40299</v>
      </c>
      <c r="C2808" s="11" t="s">
        <v>960</v>
      </c>
      <c r="D2808" s="11" t="s">
        <v>66</v>
      </c>
    </row>
    <row r="2809">
      <c r="A2809" s="11">
        <v>2808.0</v>
      </c>
      <c r="B2809" s="12">
        <f t="shared" si="447"/>
        <v>40299</v>
      </c>
      <c r="C2809" s="11" t="s">
        <v>40</v>
      </c>
      <c r="D2809" s="11" t="s">
        <v>66</v>
      </c>
    </row>
    <row r="2810">
      <c r="A2810" s="11">
        <v>2809.0</v>
      </c>
      <c r="B2810" s="12">
        <f t="shared" si="447"/>
        <v>40299</v>
      </c>
      <c r="C2810" s="11" t="s">
        <v>1168</v>
      </c>
      <c r="D2810" s="11" t="s">
        <v>49</v>
      </c>
    </row>
    <row r="2811">
      <c r="A2811" s="11">
        <v>2810.0</v>
      </c>
      <c r="B2811" s="12">
        <f t="shared" ref="B2811:B2814" si="448">DATE(2012,12,31)-974</f>
        <v>40300</v>
      </c>
      <c r="C2811" s="11" t="s">
        <v>1209</v>
      </c>
      <c r="D2811" s="11" t="s">
        <v>66</v>
      </c>
    </row>
    <row r="2812">
      <c r="A2812" s="11">
        <v>2811.0</v>
      </c>
      <c r="B2812" s="12">
        <f t="shared" si="448"/>
        <v>40300</v>
      </c>
      <c r="C2812" s="11" t="s">
        <v>1231</v>
      </c>
      <c r="D2812" s="11" t="s">
        <v>28</v>
      </c>
    </row>
    <row r="2813">
      <c r="A2813" s="11">
        <v>2812.0</v>
      </c>
      <c r="B2813" s="12">
        <f t="shared" si="448"/>
        <v>40300</v>
      </c>
      <c r="C2813" s="11" t="s">
        <v>1231</v>
      </c>
      <c r="D2813" s="11" t="s">
        <v>28</v>
      </c>
    </row>
    <row r="2814">
      <c r="A2814" s="11">
        <v>2813.0</v>
      </c>
      <c r="B2814" s="12">
        <f t="shared" si="448"/>
        <v>40300</v>
      </c>
      <c r="C2814" s="11" t="s">
        <v>494</v>
      </c>
      <c r="D2814" s="11" t="s">
        <v>28</v>
      </c>
    </row>
    <row r="2815">
      <c r="A2815" s="11">
        <v>2814.0</v>
      </c>
      <c r="B2815" s="12">
        <f t="shared" ref="B2815:B2819" si="449">DATE(2012,12,31)-973</f>
        <v>40301</v>
      </c>
      <c r="C2815" s="11" t="s">
        <v>1533</v>
      </c>
      <c r="D2815" s="11" t="s">
        <v>49</v>
      </c>
    </row>
    <row r="2816">
      <c r="A2816" s="11">
        <v>2815.0</v>
      </c>
      <c r="B2816" s="12">
        <f t="shared" si="449"/>
        <v>40301</v>
      </c>
      <c r="C2816" s="11" t="s">
        <v>1533</v>
      </c>
      <c r="D2816" s="11" t="s">
        <v>66</v>
      </c>
    </row>
    <row r="2817">
      <c r="A2817" s="11">
        <v>2816.0</v>
      </c>
      <c r="B2817" s="12">
        <f t="shared" si="449"/>
        <v>40301</v>
      </c>
      <c r="C2817" s="11" t="s">
        <v>2301</v>
      </c>
      <c r="D2817" s="11" t="s">
        <v>66</v>
      </c>
    </row>
    <row r="2818">
      <c r="A2818" s="11">
        <v>2817.0</v>
      </c>
      <c r="B2818" s="12">
        <f t="shared" si="449"/>
        <v>40301</v>
      </c>
      <c r="C2818" s="11" t="s">
        <v>2043</v>
      </c>
      <c r="D2818" s="11" t="s">
        <v>49</v>
      </c>
    </row>
    <row r="2819">
      <c r="A2819" s="11">
        <v>2818.0</v>
      </c>
      <c r="B2819" s="12">
        <f t="shared" si="449"/>
        <v>40301</v>
      </c>
      <c r="C2819" s="11" t="s">
        <v>2043</v>
      </c>
      <c r="D2819" s="11" t="s">
        <v>66</v>
      </c>
    </row>
    <row r="2820">
      <c r="A2820" s="11">
        <v>2819.0</v>
      </c>
      <c r="B2820" s="12">
        <f t="shared" ref="B2820:B2823" si="450">DATE(2012,12,31)-972</f>
        <v>40302</v>
      </c>
      <c r="C2820" s="11" t="s">
        <v>832</v>
      </c>
      <c r="D2820" s="11" t="s">
        <v>28</v>
      </c>
    </row>
    <row r="2821">
      <c r="A2821" s="11">
        <v>2820.0</v>
      </c>
      <c r="B2821" s="12">
        <f t="shared" si="450"/>
        <v>40302</v>
      </c>
      <c r="C2821" s="11" t="s">
        <v>578</v>
      </c>
      <c r="D2821" s="11" t="s">
        <v>28</v>
      </c>
    </row>
    <row r="2822">
      <c r="A2822" s="11">
        <v>2821.0</v>
      </c>
      <c r="B2822" s="12">
        <f t="shared" si="450"/>
        <v>40302</v>
      </c>
      <c r="C2822" s="11" t="s">
        <v>271</v>
      </c>
      <c r="D2822" s="11" t="s">
        <v>28</v>
      </c>
    </row>
    <row r="2823">
      <c r="A2823" s="11">
        <v>2822.0</v>
      </c>
      <c r="B2823" s="12">
        <f t="shared" si="450"/>
        <v>40302</v>
      </c>
      <c r="C2823" s="11" t="s">
        <v>1960</v>
      </c>
      <c r="D2823" s="11" t="s">
        <v>28</v>
      </c>
    </row>
    <row r="2824">
      <c r="A2824" s="11">
        <v>2823.0</v>
      </c>
      <c r="B2824" s="12">
        <f t="shared" ref="B2824:B2830" si="451">DATE(2012,12,31)-971</f>
        <v>40303</v>
      </c>
      <c r="C2824" s="11" t="s">
        <v>897</v>
      </c>
      <c r="D2824" s="11" t="s">
        <v>28</v>
      </c>
    </row>
    <row r="2825">
      <c r="A2825" s="11">
        <v>2824.0</v>
      </c>
      <c r="B2825" s="12">
        <f t="shared" si="451"/>
        <v>40303</v>
      </c>
      <c r="C2825" s="11" t="s">
        <v>1415</v>
      </c>
      <c r="D2825" s="11" t="s">
        <v>49</v>
      </c>
    </row>
    <row r="2826">
      <c r="A2826" s="11">
        <v>2825.0</v>
      </c>
      <c r="B2826" s="12">
        <f t="shared" si="451"/>
        <v>40303</v>
      </c>
      <c r="C2826" s="11" t="s">
        <v>2098</v>
      </c>
      <c r="D2826" s="11" t="s">
        <v>28</v>
      </c>
    </row>
    <row r="2827">
      <c r="A2827" s="11">
        <v>2826.0</v>
      </c>
      <c r="B2827" s="12">
        <f t="shared" si="451"/>
        <v>40303</v>
      </c>
      <c r="C2827" s="11" t="s">
        <v>2098</v>
      </c>
      <c r="D2827" s="11" t="s">
        <v>66</v>
      </c>
    </row>
    <row r="2828">
      <c r="A2828" s="11">
        <v>2827.0</v>
      </c>
      <c r="B2828" s="12">
        <f t="shared" si="451"/>
        <v>40303</v>
      </c>
      <c r="C2828" s="11" t="s">
        <v>2303</v>
      </c>
      <c r="D2828" s="11" t="s">
        <v>28</v>
      </c>
    </row>
    <row r="2829">
      <c r="A2829" s="11">
        <v>2828.0</v>
      </c>
      <c r="B2829" s="12">
        <f t="shared" si="451"/>
        <v>40303</v>
      </c>
      <c r="C2829" s="11" t="s">
        <v>2304</v>
      </c>
      <c r="D2829" s="11" t="s">
        <v>28</v>
      </c>
    </row>
    <row r="2830">
      <c r="A2830" s="11">
        <v>2829.0</v>
      </c>
      <c r="B2830" s="12">
        <f t="shared" si="451"/>
        <v>40303</v>
      </c>
      <c r="C2830" s="11" t="s">
        <v>1507</v>
      </c>
      <c r="D2830" s="11" t="s">
        <v>49</v>
      </c>
    </row>
    <row r="2831">
      <c r="A2831" s="11">
        <v>2830.0</v>
      </c>
      <c r="B2831" s="12">
        <f t="shared" ref="B2831:B2839" si="452">DATE(2012,12,31)-970</f>
        <v>40304</v>
      </c>
      <c r="C2831" s="11" t="s">
        <v>1390</v>
      </c>
      <c r="D2831" s="11" t="s">
        <v>28</v>
      </c>
    </row>
    <row r="2832">
      <c r="A2832" s="11">
        <v>2831.0</v>
      </c>
      <c r="B2832" s="12">
        <f t="shared" si="452"/>
        <v>40304</v>
      </c>
      <c r="C2832" s="11" t="s">
        <v>1390</v>
      </c>
      <c r="D2832" s="11" t="s">
        <v>28</v>
      </c>
    </row>
    <row r="2833">
      <c r="A2833" s="11">
        <v>2832.0</v>
      </c>
      <c r="B2833" s="12">
        <f t="shared" si="452"/>
        <v>40304</v>
      </c>
      <c r="C2833" s="11" t="s">
        <v>1472</v>
      </c>
      <c r="D2833" s="11" t="s">
        <v>66</v>
      </c>
    </row>
    <row r="2834">
      <c r="A2834" s="11">
        <v>2833.0</v>
      </c>
      <c r="B2834" s="12">
        <f t="shared" si="452"/>
        <v>40304</v>
      </c>
      <c r="C2834" s="11" t="s">
        <v>1862</v>
      </c>
      <c r="D2834" s="11" t="s">
        <v>28</v>
      </c>
    </row>
    <row r="2835">
      <c r="A2835" s="11">
        <v>2834.0</v>
      </c>
      <c r="B2835" s="12">
        <f t="shared" si="452"/>
        <v>40304</v>
      </c>
      <c r="C2835" s="11" t="s">
        <v>504</v>
      </c>
      <c r="D2835" s="11" t="s">
        <v>66</v>
      </c>
    </row>
    <row r="2836">
      <c r="A2836" s="11">
        <v>2835.0</v>
      </c>
      <c r="B2836" s="12">
        <f t="shared" si="452"/>
        <v>40304</v>
      </c>
      <c r="C2836" s="11" t="s">
        <v>1685</v>
      </c>
      <c r="D2836" s="11" t="s">
        <v>28</v>
      </c>
    </row>
    <row r="2837">
      <c r="A2837" s="11">
        <v>2836.0</v>
      </c>
      <c r="B2837" s="12">
        <f t="shared" si="452"/>
        <v>40304</v>
      </c>
      <c r="C2837" s="11" t="s">
        <v>1685</v>
      </c>
      <c r="D2837" s="11" t="s">
        <v>28</v>
      </c>
    </row>
    <row r="2838">
      <c r="A2838" s="11">
        <v>2837.0</v>
      </c>
      <c r="B2838" s="12">
        <f t="shared" si="452"/>
        <v>40304</v>
      </c>
      <c r="C2838" s="11" t="s">
        <v>1433</v>
      </c>
      <c r="D2838" s="11" t="s">
        <v>28</v>
      </c>
    </row>
    <row r="2839">
      <c r="A2839" s="11">
        <v>2838.0</v>
      </c>
      <c r="B2839" s="12">
        <f t="shared" si="452"/>
        <v>40304</v>
      </c>
      <c r="C2839" s="11" t="s">
        <v>1433</v>
      </c>
      <c r="D2839" s="11" t="s">
        <v>28</v>
      </c>
    </row>
    <row r="2840">
      <c r="A2840" s="11">
        <v>2839.0</v>
      </c>
      <c r="B2840" s="12">
        <f t="shared" ref="B2840:B2848" si="453">DATE(2012,12,31)-969</f>
        <v>40305</v>
      </c>
      <c r="C2840" s="11" t="s">
        <v>928</v>
      </c>
      <c r="D2840" s="11" t="s">
        <v>49</v>
      </c>
    </row>
    <row r="2841">
      <c r="A2841" s="11">
        <v>2840.0</v>
      </c>
      <c r="B2841" s="12">
        <f t="shared" si="453"/>
        <v>40305</v>
      </c>
      <c r="C2841" s="11" t="s">
        <v>928</v>
      </c>
      <c r="D2841" s="11" t="s">
        <v>28</v>
      </c>
    </row>
    <row r="2842">
      <c r="A2842" s="11">
        <v>2841.0</v>
      </c>
      <c r="B2842" s="12">
        <f t="shared" si="453"/>
        <v>40305</v>
      </c>
      <c r="C2842" s="11" t="s">
        <v>1409</v>
      </c>
      <c r="D2842" s="11" t="s">
        <v>28</v>
      </c>
    </row>
    <row r="2843">
      <c r="A2843" s="11">
        <v>2842.0</v>
      </c>
      <c r="B2843" s="12">
        <f t="shared" si="453"/>
        <v>40305</v>
      </c>
      <c r="C2843" s="11" t="s">
        <v>1017</v>
      </c>
      <c r="D2843" s="11" t="s">
        <v>28</v>
      </c>
    </row>
    <row r="2844">
      <c r="A2844" s="11">
        <v>2843.0</v>
      </c>
      <c r="B2844" s="12">
        <f t="shared" si="453"/>
        <v>40305</v>
      </c>
      <c r="C2844" s="11" t="s">
        <v>2305</v>
      </c>
      <c r="D2844" s="11" t="s">
        <v>28</v>
      </c>
    </row>
    <row r="2845">
      <c r="A2845" s="11">
        <v>2844.0</v>
      </c>
      <c r="B2845" s="12">
        <f t="shared" si="453"/>
        <v>40305</v>
      </c>
      <c r="C2845" s="11" t="s">
        <v>1499</v>
      </c>
      <c r="D2845" s="11" t="s">
        <v>49</v>
      </c>
    </row>
    <row r="2846">
      <c r="A2846" s="11">
        <v>2845.0</v>
      </c>
      <c r="B2846" s="12">
        <f t="shared" si="453"/>
        <v>40305</v>
      </c>
      <c r="C2846" s="11" t="s">
        <v>1499</v>
      </c>
      <c r="D2846" s="11" t="s">
        <v>66</v>
      </c>
    </row>
    <row r="2847">
      <c r="A2847" s="11">
        <v>2846.0</v>
      </c>
      <c r="B2847" s="12">
        <f t="shared" si="453"/>
        <v>40305</v>
      </c>
      <c r="C2847" s="11" t="s">
        <v>113</v>
      </c>
      <c r="D2847" s="11" t="s">
        <v>28</v>
      </c>
    </row>
    <row r="2848">
      <c r="A2848" s="11">
        <v>2847.0</v>
      </c>
      <c r="B2848" s="12">
        <f t="shared" si="453"/>
        <v>40305</v>
      </c>
      <c r="C2848" s="11" t="s">
        <v>116</v>
      </c>
      <c r="D2848" s="11" t="s">
        <v>28</v>
      </c>
    </row>
    <row r="2849">
      <c r="A2849" s="11">
        <v>2848.0</v>
      </c>
      <c r="B2849" s="12">
        <f t="shared" ref="B2849:B2850" si="454">DATE(2012,12,31)-968</f>
        <v>40306</v>
      </c>
      <c r="C2849" s="11" t="s">
        <v>1217</v>
      </c>
      <c r="D2849" s="11" t="s">
        <v>28</v>
      </c>
    </row>
    <row r="2850">
      <c r="A2850" s="11">
        <v>2849.0</v>
      </c>
      <c r="B2850" s="12">
        <f t="shared" si="454"/>
        <v>40306</v>
      </c>
      <c r="C2850" s="11" t="s">
        <v>892</v>
      </c>
      <c r="D2850" s="11" t="s">
        <v>28</v>
      </c>
    </row>
    <row r="2851">
      <c r="A2851" s="11">
        <v>2850.0</v>
      </c>
      <c r="B2851" s="12">
        <f t="shared" ref="B2851:B2854" si="455">DATE(2012,12,31)-967</f>
        <v>40307</v>
      </c>
      <c r="C2851" s="11" t="s">
        <v>1444</v>
      </c>
      <c r="D2851" s="11" t="s">
        <v>28</v>
      </c>
    </row>
    <row r="2852">
      <c r="A2852" s="11">
        <v>2851.0</v>
      </c>
      <c r="B2852" s="12">
        <f t="shared" si="455"/>
        <v>40307</v>
      </c>
      <c r="C2852" s="11" t="s">
        <v>353</v>
      </c>
      <c r="D2852" s="11" t="s">
        <v>28</v>
      </c>
    </row>
    <row r="2853">
      <c r="A2853" s="11">
        <v>2852.0</v>
      </c>
      <c r="B2853" s="12">
        <f t="shared" si="455"/>
        <v>40307</v>
      </c>
      <c r="C2853" s="11" t="s">
        <v>353</v>
      </c>
      <c r="D2853" s="11" t="s">
        <v>28</v>
      </c>
    </row>
    <row r="2854">
      <c r="A2854" s="11">
        <v>2853.0</v>
      </c>
      <c r="B2854" s="12">
        <f t="shared" si="455"/>
        <v>40307</v>
      </c>
      <c r="C2854" s="11" t="s">
        <v>608</v>
      </c>
      <c r="D2854" s="11" t="s">
        <v>28</v>
      </c>
    </row>
    <row r="2855">
      <c r="A2855" s="11">
        <v>2854.0</v>
      </c>
      <c r="B2855" s="12">
        <f t="shared" ref="B2855:B2860" si="456">DATE(2012,12,31)-966</f>
        <v>40308</v>
      </c>
      <c r="C2855" s="11" t="s">
        <v>1681</v>
      </c>
      <c r="D2855" s="11" t="s">
        <v>28</v>
      </c>
    </row>
    <row r="2856">
      <c r="A2856" s="11">
        <v>2855.0</v>
      </c>
      <c r="B2856" s="12">
        <f t="shared" si="456"/>
        <v>40308</v>
      </c>
      <c r="C2856" s="11" t="s">
        <v>78</v>
      </c>
      <c r="D2856" s="11" t="s">
        <v>66</v>
      </c>
    </row>
    <row r="2857">
      <c r="A2857" s="11">
        <v>2856.0</v>
      </c>
      <c r="B2857" s="12">
        <f t="shared" si="456"/>
        <v>40308</v>
      </c>
      <c r="C2857" s="11" t="s">
        <v>78</v>
      </c>
      <c r="D2857" s="11" t="s">
        <v>28</v>
      </c>
    </row>
    <row r="2858">
      <c r="A2858" s="11">
        <v>2857.0</v>
      </c>
      <c r="B2858" s="12">
        <f t="shared" si="456"/>
        <v>40308</v>
      </c>
      <c r="C2858" s="11" t="s">
        <v>2311</v>
      </c>
      <c r="D2858" s="11" t="s">
        <v>49</v>
      </c>
    </row>
    <row r="2859">
      <c r="A2859" s="11">
        <v>2858.0</v>
      </c>
      <c r="B2859" s="12">
        <f t="shared" si="456"/>
        <v>40308</v>
      </c>
      <c r="C2859" s="11" t="s">
        <v>293</v>
      </c>
      <c r="D2859" s="11" t="s">
        <v>28</v>
      </c>
    </row>
    <row r="2860">
      <c r="A2860" s="11">
        <v>2859.0</v>
      </c>
      <c r="B2860" s="12">
        <f t="shared" si="456"/>
        <v>40308</v>
      </c>
      <c r="C2860" s="11" t="s">
        <v>1068</v>
      </c>
      <c r="D2860" s="11" t="s">
        <v>49</v>
      </c>
    </row>
    <row r="2861">
      <c r="A2861" s="11">
        <v>2860.0</v>
      </c>
      <c r="B2861" s="12">
        <f t="shared" ref="B2861:B2873" si="457">DATE(2012,12,31)-965</f>
        <v>40309</v>
      </c>
      <c r="C2861" s="11" t="s">
        <v>1373</v>
      </c>
      <c r="D2861" s="11" t="s">
        <v>28</v>
      </c>
    </row>
    <row r="2862">
      <c r="A2862" s="11">
        <v>2861.0</v>
      </c>
      <c r="B2862" s="12">
        <f t="shared" si="457"/>
        <v>40309</v>
      </c>
      <c r="C2862" s="11" t="s">
        <v>1373</v>
      </c>
      <c r="D2862" s="11" t="s">
        <v>49</v>
      </c>
    </row>
    <row r="2863">
      <c r="A2863" s="11">
        <v>2862.0</v>
      </c>
      <c r="B2863" s="12">
        <f t="shared" si="457"/>
        <v>40309</v>
      </c>
      <c r="C2863" s="11" t="s">
        <v>1373</v>
      </c>
      <c r="D2863" s="11" t="s">
        <v>66</v>
      </c>
    </row>
    <row r="2864">
      <c r="A2864" s="11">
        <v>2863.0</v>
      </c>
      <c r="B2864" s="12">
        <f t="shared" si="457"/>
        <v>40309</v>
      </c>
      <c r="C2864" s="11" t="s">
        <v>1373</v>
      </c>
      <c r="D2864" s="11" t="s">
        <v>66</v>
      </c>
    </row>
    <row r="2865">
      <c r="A2865" s="11">
        <v>2864.0</v>
      </c>
      <c r="B2865" s="12">
        <f t="shared" si="457"/>
        <v>40309</v>
      </c>
      <c r="C2865" s="11" t="s">
        <v>1715</v>
      </c>
      <c r="D2865" s="11" t="s">
        <v>49</v>
      </c>
    </row>
    <row r="2866">
      <c r="A2866" s="11">
        <v>2865.0</v>
      </c>
      <c r="B2866" s="12">
        <f t="shared" si="457"/>
        <v>40309</v>
      </c>
      <c r="C2866" s="11" t="s">
        <v>1712</v>
      </c>
      <c r="D2866" s="11" t="s">
        <v>28</v>
      </c>
    </row>
    <row r="2867">
      <c r="A2867" s="11">
        <v>2866.0</v>
      </c>
      <c r="B2867" s="12">
        <f t="shared" si="457"/>
        <v>40309</v>
      </c>
      <c r="C2867" s="11" t="s">
        <v>1712</v>
      </c>
      <c r="D2867" s="11" t="s">
        <v>66</v>
      </c>
    </row>
    <row r="2868">
      <c r="A2868" s="11">
        <v>2867.0</v>
      </c>
      <c r="B2868" s="12">
        <f t="shared" si="457"/>
        <v>40309</v>
      </c>
      <c r="C2868" s="11" t="s">
        <v>1712</v>
      </c>
      <c r="D2868" s="11" t="s">
        <v>66</v>
      </c>
    </row>
    <row r="2869">
      <c r="A2869" s="11">
        <v>2868.0</v>
      </c>
      <c r="B2869" s="12">
        <f t="shared" si="457"/>
        <v>40309</v>
      </c>
      <c r="C2869" s="11" t="s">
        <v>1712</v>
      </c>
      <c r="D2869" s="11" t="s">
        <v>66</v>
      </c>
    </row>
    <row r="2870">
      <c r="A2870" s="11">
        <v>2869.0</v>
      </c>
      <c r="B2870" s="12">
        <f t="shared" si="457"/>
        <v>40309</v>
      </c>
      <c r="C2870" s="11" t="s">
        <v>2314</v>
      </c>
      <c r="D2870" s="11" t="s">
        <v>28</v>
      </c>
    </row>
    <row r="2871">
      <c r="A2871" s="11">
        <v>2870.0</v>
      </c>
      <c r="B2871" s="12">
        <f t="shared" si="457"/>
        <v>40309</v>
      </c>
      <c r="C2871" s="11" t="s">
        <v>2314</v>
      </c>
      <c r="D2871" s="11" t="s">
        <v>28</v>
      </c>
    </row>
    <row r="2872">
      <c r="A2872" s="11">
        <v>2871.0</v>
      </c>
      <c r="B2872" s="12">
        <f t="shared" si="457"/>
        <v>40309</v>
      </c>
      <c r="C2872" s="11" t="s">
        <v>2314</v>
      </c>
      <c r="D2872" s="11" t="s">
        <v>28</v>
      </c>
    </row>
    <row r="2873">
      <c r="A2873" s="11">
        <v>2872.0</v>
      </c>
      <c r="B2873" s="12">
        <f t="shared" si="457"/>
        <v>40309</v>
      </c>
      <c r="C2873" s="11" t="s">
        <v>1798</v>
      </c>
      <c r="D2873" s="11" t="s">
        <v>28</v>
      </c>
    </row>
    <row r="2874">
      <c r="A2874" s="11">
        <v>2873.0</v>
      </c>
      <c r="B2874" s="12">
        <f t="shared" ref="B2874:B2881" si="458">DATE(2012,12,31)-964</f>
        <v>40310</v>
      </c>
      <c r="C2874" s="11" t="s">
        <v>2098</v>
      </c>
      <c r="D2874" s="11" t="s">
        <v>28</v>
      </c>
    </row>
    <row r="2875">
      <c r="A2875" s="11">
        <v>2874.0</v>
      </c>
      <c r="B2875" s="12">
        <f t="shared" si="458"/>
        <v>40310</v>
      </c>
      <c r="C2875" s="11" t="s">
        <v>2098</v>
      </c>
      <c r="D2875" s="11" t="s">
        <v>28</v>
      </c>
    </row>
    <row r="2876">
      <c r="A2876" s="11">
        <v>2875.0</v>
      </c>
      <c r="B2876" s="12">
        <f t="shared" si="458"/>
        <v>40310</v>
      </c>
      <c r="C2876" s="11" t="s">
        <v>1137</v>
      </c>
      <c r="D2876" s="11" t="s">
        <v>28</v>
      </c>
    </row>
    <row r="2877">
      <c r="A2877" s="11">
        <v>2876.0</v>
      </c>
      <c r="B2877" s="12">
        <f t="shared" si="458"/>
        <v>40310</v>
      </c>
      <c r="C2877" s="11" t="s">
        <v>1137</v>
      </c>
      <c r="D2877" s="11" t="s">
        <v>49</v>
      </c>
    </row>
    <row r="2878">
      <c r="A2878" s="11">
        <v>2877.0</v>
      </c>
      <c r="B2878" s="12">
        <f t="shared" si="458"/>
        <v>40310</v>
      </c>
      <c r="C2878" s="11" t="s">
        <v>2315</v>
      </c>
      <c r="D2878" s="11" t="s">
        <v>28</v>
      </c>
    </row>
    <row r="2879">
      <c r="A2879" s="11">
        <v>2878.0</v>
      </c>
      <c r="B2879" s="12">
        <f t="shared" si="458"/>
        <v>40310</v>
      </c>
      <c r="C2879" s="11" t="s">
        <v>2315</v>
      </c>
      <c r="D2879" s="11" t="s">
        <v>49</v>
      </c>
    </row>
    <row r="2880">
      <c r="A2880" s="11">
        <v>2879.0</v>
      </c>
      <c r="B2880" s="12">
        <f t="shared" si="458"/>
        <v>40310</v>
      </c>
      <c r="C2880" s="11" t="s">
        <v>2262</v>
      </c>
      <c r="D2880" s="11" t="s">
        <v>28</v>
      </c>
    </row>
    <row r="2881">
      <c r="A2881" s="11">
        <v>2880.0</v>
      </c>
      <c r="B2881" s="12">
        <f t="shared" si="458"/>
        <v>40310</v>
      </c>
      <c r="C2881" s="11" t="s">
        <v>1036</v>
      </c>
      <c r="D2881" s="11" t="s">
        <v>28</v>
      </c>
    </row>
    <row r="2882">
      <c r="A2882" s="11">
        <v>2881.0</v>
      </c>
      <c r="B2882" s="12">
        <f t="shared" ref="B2882:B2887" si="459">DATE(2012,12,31)-963</f>
        <v>40311</v>
      </c>
      <c r="C2882" s="11" t="s">
        <v>648</v>
      </c>
      <c r="D2882" s="11" t="s">
        <v>28</v>
      </c>
    </row>
    <row r="2883">
      <c r="A2883" s="11">
        <v>2882.0</v>
      </c>
      <c r="B2883" s="12">
        <f t="shared" si="459"/>
        <v>40311</v>
      </c>
      <c r="C2883" s="11" t="s">
        <v>648</v>
      </c>
      <c r="D2883" s="11" t="s">
        <v>66</v>
      </c>
    </row>
    <row r="2884">
      <c r="A2884" s="11">
        <v>2883.0</v>
      </c>
      <c r="B2884" s="12">
        <f t="shared" si="459"/>
        <v>40311</v>
      </c>
      <c r="C2884" s="11" t="s">
        <v>887</v>
      </c>
      <c r="D2884" s="11" t="s">
        <v>66</v>
      </c>
    </row>
    <row r="2885">
      <c r="A2885" s="11">
        <v>2884.0</v>
      </c>
      <c r="B2885" s="12">
        <f t="shared" si="459"/>
        <v>40311</v>
      </c>
      <c r="C2885" s="11" t="s">
        <v>581</v>
      </c>
      <c r="D2885" s="11" t="s">
        <v>66</v>
      </c>
    </row>
    <row r="2886">
      <c r="A2886" s="11">
        <v>2885.0</v>
      </c>
      <c r="B2886" s="12">
        <f t="shared" si="459"/>
        <v>40311</v>
      </c>
      <c r="C2886" s="11" t="s">
        <v>581</v>
      </c>
      <c r="D2886" s="11" t="s">
        <v>28</v>
      </c>
    </row>
    <row r="2887">
      <c r="A2887" s="11">
        <v>2886.0</v>
      </c>
      <c r="B2887" s="12">
        <f t="shared" si="459"/>
        <v>40311</v>
      </c>
      <c r="C2887" s="11" t="s">
        <v>960</v>
      </c>
      <c r="D2887" s="11" t="s">
        <v>28</v>
      </c>
    </row>
    <row r="2888">
      <c r="A2888" s="11">
        <v>2887.0</v>
      </c>
      <c r="B2888" s="12">
        <f t="shared" ref="B2888:B2898" si="460">DATE(2012,12,31)-962</f>
        <v>40312</v>
      </c>
      <c r="C2888" s="11" t="s">
        <v>138</v>
      </c>
      <c r="D2888" s="11" t="s">
        <v>28</v>
      </c>
    </row>
    <row r="2889">
      <c r="A2889" s="11">
        <v>2888.0</v>
      </c>
      <c r="B2889" s="12">
        <f t="shared" si="460"/>
        <v>40312</v>
      </c>
      <c r="C2889" s="11" t="s">
        <v>1027</v>
      </c>
      <c r="D2889" s="11" t="s">
        <v>49</v>
      </c>
    </row>
    <row r="2890">
      <c r="A2890" s="11">
        <v>2889.0</v>
      </c>
      <c r="B2890" s="12">
        <f t="shared" si="460"/>
        <v>40312</v>
      </c>
      <c r="C2890" s="11" t="s">
        <v>1027</v>
      </c>
      <c r="D2890" s="11" t="s">
        <v>49</v>
      </c>
    </row>
    <row r="2891">
      <c r="A2891" s="11">
        <v>2890.0</v>
      </c>
      <c r="B2891" s="12">
        <f t="shared" si="460"/>
        <v>40312</v>
      </c>
      <c r="C2891" s="11" t="s">
        <v>1292</v>
      </c>
      <c r="D2891" s="11" t="s">
        <v>28</v>
      </c>
    </row>
    <row r="2892">
      <c r="A2892" s="11">
        <v>2891.0</v>
      </c>
      <c r="B2892" s="12">
        <f t="shared" si="460"/>
        <v>40312</v>
      </c>
      <c r="C2892" s="11" t="s">
        <v>1292</v>
      </c>
      <c r="D2892" s="11" t="s">
        <v>66</v>
      </c>
    </row>
    <row r="2893">
      <c r="A2893" s="11">
        <v>2892.0</v>
      </c>
      <c r="B2893" s="12">
        <f t="shared" si="460"/>
        <v>40312</v>
      </c>
      <c r="C2893" s="11" t="s">
        <v>1249</v>
      </c>
      <c r="D2893" s="11" t="s">
        <v>28</v>
      </c>
    </row>
    <row r="2894">
      <c r="A2894" s="11">
        <v>2893.0</v>
      </c>
      <c r="B2894" s="12">
        <f t="shared" si="460"/>
        <v>40312</v>
      </c>
      <c r="C2894" s="11" t="s">
        <v>1249</v>
      </c>
      <c r="D2894" s="11" t="s">
        <v>66</v>
      </c>
    </row>
    <row r="2895">
      <c r="A2895" s="11">
        <v>2894.0</v>
      </c>
      <c r="B2895" s="12">
        <f t="shared" si="460"/>
        <v>40312</v>
      </c>
      <c r="C2895" s="11" t="s">
        <v>659</v>
      </c>
      <c r="D2895" s="11" t="s">
        <v>49</v>
      </c>
    </row>
    <row r="2896">
      <c r="A2896" s="11">
        <v>2895.0</v>
      </c>
      <c r="B2896" s="12">
        <f t="shared" si="460"/>
        <v>40312</v>
      </c>
      <c r="C2896" s="11" t="s">
        <v>2318</v>
      </c>
      <c r="D2896" s="11" t="s">
        <v>28</v>
      </c>
    </row>
    <row r="2897">
      <c r="A2897" s="11">
        <v>2896.0</v>
      </c>
      <c r="B2897" s="12">
        <f t="shared" si="460"/>
        <v>40312</v>
      </c>
      <c r="C2897" s="11" t="s">
        <v>2319</v>
      </c>
      <c r="D2897" s="11" t="s">
        <v>49</v>
      </c>
    </row>
    <row r="2898">
      <c r="A2898" s="11">
        <v>2897.0</v>
      </c>
      <c r="B2898" s="12">
        <f t="shared" si="460"/>
        <v>40312</v>
      </c>
      <c r="C2898" s="11" t="s">
        <v>2319</v>
      </c>
      <c r="D2898" s="11" t="s">
        <v>49</v>
      </c>
    </row>
    <row r="2899">
      <c r="A2899" s="11">
        <v>2898.0</v>
      </c>
      <c r="B2899" s="12">
        <f t="shared" ref="B2899:B2905" si="461">DATE(2012,12,31)-961</f>
        <v>40313</v>
      </c>
      <c r="C2899" s="11" t="s">
        <v>202</v>
      </c>
      <c r="D2899" s="11" t="s">
        <v>28</v>
      </c>
    </row>
    <row r="2900">
      <c r="A2900" s="11">
        <v>2899.0</v>
      </c>
      <c r="B2900" s="12">
        <f t="shared" si="461"/>
        <v>40313</v>
      </c>
      <c r="C2900" s="11" t="s">
        <v>626</v>
      </c>
      <c r="D2900" s="11" t="s">
        <v>28</v>
      </c>
    </row>
    <row r="2901">
      <c r="A2901" s="11">
        <v>2900.0</v>
      </c>
      <c r="B2901" s="12">
        <f t="shared" si="461"/>
        <v>40313</v>
      </c>
      <c r="C2901" s="11" t="s">
        <v>626</v>
      </c>
      <c r="D2901" s="11" t="s">
        <v>66</v>
      </c>
    </row>
    <row r="2902">
      <c r="A2902" s="11">
        <v>2901.0</v>
      </c>
      <c r="B2902" s="12">
        <f t="shared" si="461"/>
        <v>40313</v>
      </c>
      <c r="C2902" s="11" t="s">
        <v>626</v>
      </c>
      <c r="D2902" s="11" t="s">
        <v>28</v>
      </c>
    </row>
    <row r="2903">
      <c r="A2903" s="11">
        <v>2902.0</v>
      </c>
      <c r="B2903" s="12">
        <f t="shared" si="461"/>
        <v>40313</v>
      </c>
      <c r="C2903" s="11" t="s">
        <v>1939</v>
      </c>
      <c r="D2903" s="11" t="s">
        <v>49</v>
      </c>
    </row>
    <row r="2904">
      <c r="A2904" s="11">
        <v>2903.0</v>
      </c>
      <c r="B2904" s="12">
        <f t="shared" si="461"/>
        <v>40313</v>
      </c>
      <c r="C2904" s="11" t="s">
        <v>1939</v>
      </c>
      <c r="D2904" s="11" t="s">
        <v>28</v>
      </c>
    </row>
    <row r="2905">
      <c r="A2905" s="11">
        <v>2904.0</v>
      </c>
      <c r="B2905" s="12">
        <f t="shared" si="461"/>
        <v>40313</v>
      </c>
      <c r="C2905" s="11" t="s">
        <v>1145</v>
      </c>
      <c r="D2905" s="11" t="s">
        <v>28</v>
      </c>
    </row>
    <row r="2906">
      <c r="A2906" s="11">
        <v>2905.0</v>
      </c>
      <c r="B2906" s="12">
        <f t="shared" ref="B2906:B2907" si="462">DATE(2012,12,31)-960</f>
        <v>40314</v>
      </c>
      <c r="C2906" s="11" t="s">
        <v>2321</v>
      </c>
      <c r="D2906" s="11" t="s">
        <v>49</v>
      </c>
    </row>
    <row r="2907">
      <c r="A2907" s="11">
        <v>2906.0</v>
      </c>
      <c r="B2907" s="12">
        <f t="shared" si="462"/>
        <v>40314</v>
      </c>
      <c r="C2907" s="11" t="s">
        <v>2321</v>
      </c>
      <c r="D2907" s="11" t="s">
        <v>28</v>
      </c>
    </row>
    <row r="2908">
      <c r="A2908" s="11">
        <v>2907.0</v>
      </c>
      <c r="B2908" s="12">
        <f t="shared" ref="B2908:B2914" si="463">DATE(2012,12,31)-959</f>
        <v>40315</v>
      </c>
      <c r="C2908" s="11" t="s">
        <v>1014</v>
      </c>
      <c r="D2908" s="11" t="s">
        <v>28</v>
      </c>
    </row>
    <row r="2909">
      <c r="A2909" s="11">
        <v>2908.0</v>
      </c>
      <c r="B2909" s="12">
        <f t="shared" si="463"/>
        <v>40315</v>
      </c>
      <c r="C2909" s="11" t="s">
        <v>1014</v>
      </c>
      <c r="D2909" s="11" t="s">
        <v>28</v>
      </c>
    </row>
    <row r="2910">
      <c r="A2910" s="11">
        <v>2909.0</v>
      </c>
      <c r="B2910" s="12">
        <f t="shared" si="463"/>
        <v>40315</v>
      </c>
      <c r="C2910" s="11" t="s">
        <v>1014</v>
      </c>
      <c r="D2910" s="11" t="s">
        <v>66</v>
      </c>
    </row>
    <row r="2911">
      <c r="A2911" s="11">
        <v>2910.0</v>
      </c>
      <c r="B2911" s="12">
        <f t="shared" si="463"/>
        <v>40315</v>
      </c>
      <c r="C2911" s="11" t="s">
        <v>1816</v>
      </c>
      <c r="D2911" s="11" t="s">
        <v>66</v>
      </c>
    </row>
    <row r="2912">
      <c r="A2912" s="11">
        <v>2911.0</v>
      </c>
      <c r="B2912" s="12">
        <f t="shared" si="463"/>
        <v>40315</v>
      </c>
      <c r="C2912" s="11" t="s">
        <v>1054</v>
      </c>
      <c r="D2912" s="11" t="s">
        <v>28</v>
      </c>
    </row>
    <row r="2913">
      <c r="A2913" s="11">
        <v>2912.0</v>
      </c>
      <c r="B2913" s="12">
        <f t="shared" si="463"/>
        <v>40315</v>
      </c>
      <c r="C2913" s="11" t="s">
        <v>2324</v>
      </c>
      <c r="D2913" s="11" t="s">
        <v>28</v>
      </c>
    </row>
    <row r="2914">
      <c r="A2914" s="11">
        <v>2913.0</v>
      </c>
      <c r="B2914" s="12">
        <f t="shared" si="463"/>
        <v>40315</v>
      </c>
      <c r="C2914" s="11" t="s">
        <v>2324</v>
      </c>
      <c r="D2914" s="11" t="s">
        <v>66</v>
      </c>
    </row>
    <row r="2915">
      <c r="A2915" s="11">
        <v>2914.0</v>
      </c>
      <c r="B2915" s="12">
        <f t="shared" ref="B2915:B2916" si="464">DATE(2012,12,31)-958</f>
        <v>40316</v>
      </c>
      <c r="C2915" s="11" t="s">
        <v>248</v>
      </c>
      <c r="D2915" s="11" t="s">
        <v>28</v>
      </c>
    </row>
    <row r="2916">
      <c r="A2916" s="11">
        <v>2915.0</v>
      </c>
      <c r="B2916" s="12">
        <f t="shared" si="464"/>
        <v>40316</v>
      </c>
      <c r="C2916" s="11" t="s">
        <v>329</v>
      </c>
      <c r="D2916" s="11" t="s">
        <v>66</v>
      </c>
    </row>
    <row r="2917">
      <c r="A2917" s="11">
        <v>2916.0</v>
      </c>
      <c r="B2917" s="12">
        <f t="shared" ref="B2917:B2923" si="465">DATE(2012,12,31)-957</f>
        <v>40317</v>
      </c>
      <c r="C2917" s="11" t="s">
        <v>2180</v>
      </c>
      <c r="D2917" s="11" t="s">
        <v>28</v>
      </c>
    </row>
    <row r="2918">
      <c r="A2918" s="11">
        <v>2917.0</v>
      </c>
      <c r="B2918" s="12">
        <f t="shared" si="465"/>
        <v>40317</v>
      </c>
      <c r="C2918" s="11" t="s">
        <v>2180</v>
      </c>
      <c r="D2918" s="11" t="s">
        <v>28</v>
      </c>
    </row>
    <row r="2919">
      <c r="A2919" s="11">
        <v>2918.0</v>
      </c>
      <c r="B2919" s="12">
        <f t="shared" si="465"/>
        <v>40317</v>
      </c>
      <c r="C2919" s="11" t="s">
        <v>2180</v>
      </c>
      <c r="D2919" s="11" t="s">
        <v>49</v>
      </c>
    </row>
    <row r="2920">
      <c r="A2920" s="11">
        <v>2919.0</v>
      </c>
      <c r="B2920" s="12">
        <f t="shared" si="465"/>
        <v>40317</v>
      </c>
      <c r="C2920" s="11" t="s">
        <v>1025</v>
      </c>
      <c r="D2920" s="11" t="s">
        <v>28</v>
      </c>
    </row>
    <row r="2921">
      <c r="A2921" s="11">
        <v>2920.0</v>
      </c>
      <c r="B2921" s="12">
        <f t="shared" si="465"/>
        <v>40317</v>
      </c>
      <c r="C2921" s="11" t="s">
        <v>1025</v>
      </c>
      <c r="D2921" s="11" t="s">
        <v>28</v>
      </c>
    </row>
    <row r="2922">
      <c r="A2922" s="11">
        <v>2921.0</v>
      </c>
      <c r="B2922" s="12">
        <f t="shared" si="465"/>
        <v>40317</v>
      </c>
      <c r="C2922" s="11" t="s">
        <v>1025</v>
      </c>
      <c r="D2922" s="11" t="s">
        <v>66</v>
      </c>
    </row>
    <row r="2923">
      <c r="A2923" s="11">
        <v>2922.0</v>
      </c>
      <c r="B2923" s="12">
        <f t="shared" si="465"/>
        <v>40317</v>
      </c>
      <c r="C2923" s="11" t="s">
        <v>1112</v>
      </c>
      <c r="D2923" s="11" t="s">
        <v>66</v>
      </c>
    </row>
    <row r="2924">
      <c r="A2924" s="11">
        <v>2923.0</v>
      </c>
      <c r="B2924" s="12">
        <f t="shared" ref="B2924:B2932" si="466">DATE(2012,12,31)-956</f>
        <v>40318</v>
      </c>
      <c r="C2924" s="11" t="s">
        <v>1209</v>
      </c>
      <c r="D2924" s="11" t="s">
        <v>28</v>
      </c>
    </row>
    <row r="2925">
      <c r="A2925" s="11">
        <v>2924.0</v>
      </c>
      <c r="B2925" s="12">
        <f t="shared" si="466"/>
        <v>40318</v>
      </c>
      <c r="C2925" s="11" t="s">
        <v>1851</v>
      </c>
      <c r="D2925" s="11" t="s">
        <v>28</v>
      </c>
    </row>
    <row r="2926">
      <c r="A2926" s="11">
        <v>2925.0</v>
      </c>
      <c r="B2926" s="12">
        <f t="shared" si="466"/>
        <v>40318</v>
      </c>
      <c r="C2926" s="11" t="s">
        <v>555</v>
      </c>
      <c r="D2926" s="11" t="s">
        <v>49</v>
      </c>
    </row>
    <row r="2927">
      <c r="A2927" s="11">
        <v>2926.0</v>
      </c>
      <c r="B2927" s="12">
        <f t="shared" si="466"/>
        <v>40318</v>
      </c>
      <c r="C2927" s="11" t="s">
        <v>878</v>
      </c>
      <c r="D2927" s="11" t="s">
        <v>28</v>
      </c>
    </row>
    <row r="2928">
      <c r="A2928" s="11">
        <v>2927.0</v>
      </c>
      <c r="B2928" s="12">
        <f t="shared" si="466"/>
        <v>40318</v>
      </c>
      <c r="C2928" s="11" t="s">
        <v>2294</v>
      </c>
      <c r="D2928" s="11" t="s">
        <v>28</v>
      </c>
    </row>
    <row r="2929">
      <c r="A2929" s="11">
        <v>2928.0</v>
      </c>
      <c r="B2929" s="12">
        <f t="shared" si="466"/>
        <v>40318</v>
      </c>
      <c r="C2929" s="11" t="s">
        <v>2294</v>
      </c>
      <c r="D2929" s="11" t="s">
        <v>28</v>
      </c>
    </row>
    <row r="2930">
      <c r="A2930" s="11">
        <v>2929.0</v>
      </c>
      <c r="B2930" s="12">
        <f t="shared" si="466"/>
        <v>40318</v>
      </c>
      <c r="C2930" s="11" t="s">
        <v>1652</v>
      </c>
      <c r="D2930" s="11" t="s">
        <v>28</v>
      </c>
    </row>
    <row r="2931">
      <c r="A2931" s="11">
        <v>2930.0</v>
      </c>
      <c r="B2931" s="12">
        <f t="shared" si="466"/>
        <v>40318</v>
      </c>
      <c r="C2931" s="11" t="s">
        <v>1652</v>
      </c>
      <c r="D2931" s="11" t="s">
        <v>49</v>
      </c>
    </row>
    <row r="2932">
      <c r="A2932" s="11">
        <v>2931.0</v>
      </c>
      <c r="B2932" s="12">
        <f t="shared" si="466"/>
        <v>40318</v>
      </c>
      <c r="C2932" s="11" t="s">
        <v>2329</v>
      </c>
      <c r="D2932" s="11" t="s">
        <v>28</v>
      </c>
    </row>
    <row r="2933">
      <c r="A2933" s="11">
        <v>2932.0</v>
      </c>
      <c r="B2933" s="12">
        <f t="shared" ref="B2933:B2942" si="467">DATE(2012,12,31)-955</f>
        <v>40319</v>
      </c>
      <c r="C2933" s="11" t="s">
        <v>603</v>
      </c>
      <c r="D2933" s="11" t="s">
        <v>28</v>
      </c>
    </row>
    <row r="2934">
      <c r="A2934" s="11">
        <v>2933.0</v>
      </c>
      <c r="B2934" s="12">
        <f t="shared" si="467"/>
        <v>40319</v>
      </c>
      <c r="C2934" s="11" t="s">
        <v>603</v>
      </c>
      <c r="D2934" s="11" t="s">
        <v>28</v>
      </c>
    </row>
    <row r="2935">
      <c r="A2935" s="11">
        <v>2934.0</v>
      </c>
      <c r="B2935" s="12">
        <f t="shared" si="467"/>
        <v>40319</v>
      </c>
      <c r="C2935" s="11" t="s">
        <v>603</v>
      </c>
      <c r="D2935" s="11" t="s">
        <v>28</v>
      </c>
    </row>
    <row r="2936">
      <c r="A2936" s="11">
        <v>2935.0</v>
      </c>
      <c r="B2936" s="12">
        <f t="shared" si="467"/>
        <v>40319</v>
      </c>
      <c r="C2936" s="11" t="s">
        <v>2099</v>
      </c>
      <c r="D2936" s="11" t="s">
        <v>66</v>
      </c>
    </row>
    <row r="2937">
      <c r="A2937" s="11">
        <v>2936.0</v>
      </c>
      <c r="B2937" s="12">
        <f t="shared" si="467"/>
        <v>40319</v>
      </c>
      <c r="C2937" s="11" t="s">
        <v>1985</v>
      </c>
      <c r="D2937" s="11" t="s">
        <v>66</v>
      </c>
    </row>
    <row r="2938">
      <c r="A2938" s="11">
        <v>2937.0</v>
      </c>
      <c r="B2938" s="12">
        <f t="shared" si="467"/>
        <v>40319</v>
      </c>
      <c r="C2938" s="11" t="s">
        <v>879</v>
      </c>
      <c r="D2938" s="11" t="s">
        <v>28</v>
      </c>
    </row>
    <row r="2939">
      <c r="A2939" s="11">
        <v>2938.0</v>
      </c>
      <c r="B2939" s="12">
        <f t="shared" si="467"/>
        <v>40319</v>
      </c>
      <c r="C2939" s="11" t="s">
        <v>879</v>
      </c>
      <c r="D2939" s="11" t="s">
        <v>28</v>
      </c>
    </row>
    <row r="2940">
      <c r="A2940" s="11">
        <v>2939.0</v>
      </c>
      <c r="B2940" s="12">
        <f t="shared" si="467"/>
        <v>40319</v>
      </c>
      <c r="C2940" s="11" t="s">
        <v>953</v>
      </c>
      <c r="D2940" s="11" t="s">
        <v>49</v>
      </c>
    </row>
    <row r="2941">
      <c r="A2941" s="11">
        <v>2940.0</v>
      </c>
      <c r="B2941" s="12">
        <f t="shared" si="467"/>
        <v>40319</v>
      </c>
      <c r="C2941" s="11" t="s">
        <v>953</v>
      </c>
      <c r="D2941" s="11" t="s">
        <v>66</v>
      </c>
    </row>
    <row r="2942">
      <c r="A2942" s="11">
        <v>2941.0</v>
      </c>
      <c r="B2942" s="12">
        <f t="shared" si="467"/>
        <v>40319</v>
      </c>
      <c r="C2942" s="11" t="s">
        <v>953</v>
      </c>
      <c r="D2942" s="11" t="s">
        <v>49</v>
      </c>
    </row>
    <row r="2943">
      <c r="A2943" s="11">
        <v>2942.0</v>
      </c>
      <c r="B2943" s="12">
        <f t="shared" ref="B2943:B2944" si="468">DATE(2012,12,31)-954</f>
        <v>40320</v>
      </c>
      <c r="C2943" s="11" t="s">
        <v>1756</v>
      </c>
      <c r="D2943" s="11" t="s">
        <v>28</v>
      </c>
    </row>
    <row r="2944">
      <c r="A2944" s="11">
        <v>2943.0</v>
      </c>
      <c r="B2944" s="12">
        <f t="shared" si="468"/>
        <v>40320</v>
      </c>
      <c r="C2944" s="11" t="s">
        <v>1756</v>
      </c>
      <c r="D2944" s="11" t="s">
        <v>28</v>
      </c>
    </row>
    <row r="2945">
      <c r="A2945" s="11">
        <v>2944.0</v>
      </c>
      <c r="B2945" s="12">
        <f t="shared" ref="B2945:B2955" si="469">DATE(2012,12,31)-953</f>
        <v>40321</v>
      </c>
      <c r="C2945" s="11" t="s">
        <v>1935</v>
      </c>
      <c r="D2945" s="11" t="s">
        <v>66</v>
      </c>
    </row>
    <row r="2946">
      <c r="A2946" s="11">
        <v>2945.0</v>
      </c>
      <c r="B2946" s="12">
        <f t="shared" si="469"/>
        <v>40321</v>
      </c>
      <c r="C2946" s="11" t="s">
        <v>934</v>
      </c>
      <c r="D2946" s="11" t="s">
        <v>49</v>
      </c>
    </row>
    <row r="2947">
      <c r="A2947" s="11">
        <v>2946.0</v>
      </c>
      <c r="B2947" s="12">
        <f t="shared" si="469"/>
        <v>40321</v>
      </c>
      <c r="C2947" s="11" t="s">
        <v>934</v>
      </c>
      <c r="D2947" s="11" t="s">
        <v>28</v>
      </c>
    </row>
    <row r="2948">
      <c r="A2948" s="11">
        <v>2947.0</v>
      </c>
      <c r="B2948" s="12">
        <f t="shared" si="469"/>
        <v>40321</v>
      </c>
      <c r="C2948" s="11" t="s">
        <v>2215</v>
      </c>
      <c r="D2948" s="11" t="s">
        <v>28</v>
      </c>
    </row>
    <row r="2949">
      <c r="A2949" s="11">
        <v>2948.0</v>
      </c>
      <c r="B2949" s="12">
        <f t="shared" si="469"/>
        <v>40321</v>
      </c>
      <c r="C2949" s="11" t="s">
        <v>2215</v>
      </c>
      <c r="D2949" s="11" t="s">
        <v>28</v>
      </c>
    </row>
    <row r="2950">
      <c r="A2950" s="11">
        <v>2949.0</v>
      </c>
      <c r="B2950" s="12">
        <f t="shared" si="469"/>
        <v>40321</v>
      </c>
      <c r="C2950" s="11" t="s">
        <v>793</v>
      </c>
      <c r="D2950" s="11" t="s">
        <v>28</v>
      </c>
    </row>
    <row r="2951">
      <c r="A2951" s="11">
        <v>2950.0</v>
      </c>
      <c r="B2951" s="12">
        <f t="shared" si="469"/>
        <v>40321</v>
      </c>
      <c r="C2951" s="11" t="s">
        <v>793</v>
      </c>
      <c r="D2951" s="11" t="s">
        <v>66</v>
      </c>
    </row>
    <row r="2952">
      <c r="A2952" s="11">
        <v>2951.0</v>
      </c>
      <c r="B2952" s="12">
        <f t="shared" si="469"/>
        <v>40321</v>
      </c>
      <c r="C2952" s="11" t="s">
        <v>793</v>
      </c>
      <c r="D2952" s="11" t="s">
        <v>66</v>
      </c>
    </row>
    <row r="2953">
      <c r="A2953" s="11">
        <v>2952.0</v>
      </c>
      <c r="B2953" s="12">
        <f t="shared" si="469"/>
        <v>40321</v>
      </c>
      <c r="C2953" s="11" t="s">
        <v>793</v>
      </c>
      <c r="D2953" s="11" t="s">
        <v>28</v>
      </c>
    </row>
    <row r="2954">
      <c r="A2954" s="11">
        <v>2953.0</v>
      </c>
      <c r="B2954" s="12">
        <f t="shared" si="469"/>
        <v>40321</v>
      </c>
      <c r="C2954" s="11" t="s">
        <v>793</v>
      </c>
      <c r="D2954" s="11" t="s">
        <v>28</v>
      </c>
    </row>
    <row r="2955">
      <c r="A2955" s="11">
        <v>2954.0</v>
      </c>
      <c r="B2955" s="12">
        <f t="shared" si="469"/>
        <v>40321</v>
      </c>
      <c r="C2955" s="11" t="s">
        <v>1185</v>
      </c>
      <c r="D2955" s="11" t="s">
        <v>28</v>
      </c>
    </row>
    <row r="2956">
      <c r="A2956" s="11">
        <v>2955.0</v>
      </c>
      <c r="B2956" s="12">
        <f t="shared" ref="B2956:B2961" si="470">DATE(2012,12,31)-952</f>
        <v>40322</v>
      </c>
      <c r="C2956" s="11" t="s">
        <v>697</v>
      </c>
      <c r="D2956" s="11" t="s">
        <v>66</v>
      </c>
    </row>
    <row r="2957">
      <c r="A2957" s="11">
        <v>2956.0</v>
      </c>
      <c r="B2957" s="12">
        <f t="shared" si="470"/>
        <v>40322</v>
      </c>
      <c r="C2957" s="11" t="s">
        <v>334</v>
      </c>
      <c r="D2957" s="11" t="s">
        <v>28</v>
      </c>
    </row>
    <row r="2958">
      <c r="A2958" s="11">
        <v>2957.0</v>
      </c>
      <c r="B2958" s="12">
        <f t="shared" si="470"/>
        <v>40322</v>
      </c>
      <c r="C2958" s="11" t="s">
        <v>1377</v>
      </c>
      <c r="D2958" s="11" t="s">
        <v>66</v>
      </c>
    </row>
    <row r="2959">
      <c r="A2959" s="11">
        <v>2958.0</v>
      </c>
      <c r="B2959" s="12">
        <f t="shared" si="470"/>
        <v>40322</v>
      </c>
      <c r="C2959" s="11" t="s">
        <v>1252</v>
      </c>
      <c r="D2959" s="11" t="s">
        <v>49</v>
      </c>
    </row>
    <row r="2960">
      <c r="A2960" s="11">
        <v>2959.0</v>
      </c>
      <c r="B2960" s="12">
        <f t="shared" si="470"/>
        <v>40322</v>
      </c>
      <c r="C2960" s="11" t="s">
        <v>1252</v>
      </c>
      <c r="D2960" s="11" t="s">
        <v>28</v>
      </c>
    </row>
    <row r="2961">
      <c r="A2961" s="11">
        <v>2960.0</v>
      </c>
      <c r="B2961" s="12">
        <f t="shared" si="470"/>
        <v>40322</v>
      </c>
      <c r="C2961" s="11" t="s">
        <v>968</v>
      </c>
      <c r="D2961" s="11" t="s">
        <v>28</v>
      </c>
    </row>
    <row r="2962">
      <c r="A2962" s="11">
        <v>2961.0</v>
      </c>
      <c r="B2962" s="12">
        <f t="shared" ref="B2962:B2973" si="471">DATE(2012,12,31)-951</f>
        <v>40323</v>
      </c>
      <c r="C2962" s="11" t="s">
        <v>2336</v>
      </c>
      <c r="D2962" s="11" t="s">
        <v>66</v>
      </c>
    </row>
    <row r="2963">
      <c r="A2963" s="11">
        <v>2962.0</v>
      </c>
      <c r="B2963" s="12">
        <f t="shared" si="471"/>
        <v>40323</v>
      </c>
      <c r="C2963" s="11" t="s">
        <v>2336</v>
      </c>
      <c r="D2963" s="11" t="s">
        <v>66</v>
      </c>
    </row>
    <row r="2964">
      <c r="A2964" s="11">
        <v>2963.0</v>
      </c>
      <c r="B2964" s="12">
        <f t="shared" si="471"/>
        <v>40323</v>
      </c>
      <c r="C2964" s="11" t="s">
        <v>2336</v>
      </c>
      <c r="D2964" s="11" t="s">
        <v>28</v>
      </c>
    </row>
    <row r="2965">
      <c r="A2965" s="11">
        <v>2964.0</v>
      </c>
      <c r="B2965" s="12">
        <f t="shared" si="471"/>
        <v>40323</v>
      </c>
      <c r="C2965" s="11" t="s">
        <v>2336</v>
      </c>
      <c r="D2965" s="11" t="s">
        <v>66</v>
      </c>
    </row>
    <row r="2966">
      <c r="A2966" s="11">
        <v>2965.0</v>
      </c>
      <c r="B2966" s="12">
        <f t="shared" si="471"/>
        <v>40323</v>
      </c>
      <c r="C2966" s="11" t="s">
        <v>525</v>
      </c>
      <c r="D2966" s="11" t="s">
        <v>49</v>
      </c>
    </row>
    <row r="2967">
      <c r="A2967" s="11">
        <v>2966.0</v>
      </c>
      <c r="B2967" s="12">
        <f t="shared" si="471"/>
        <v>40323</v>
      </c>
      <c r="C2967" s="11" t="s">
        <v>1324</v>
      </c>
      <c r="D2967" s="11" t="s">
        <v>28</v>
      </c>
    </row>
    <row r="2968">
      <c r="A2968" s="11">
        <v>2967.0</v>
      </c>
      <c r="B2968" s="12">
        <f t="shared" si="471"/>
        <v>40323</v>
      </c>
      <c r="C2968" s="11" t="s">
        <v>1324</v>
      </c>
      <c r="D2968" s="11" t="s">
        <v>28</v>
      </c>
    </row>
    <row r="2969">
      <c r="A2969" s="11">
        <v>2968.0</v>
      </c>
      <c r="B2969" s="12">
        <f t="shared" si="471"/>
        <v>40323</v>
      </c>
      <c r="C2969" s="11" t="s">
        <v>1648</v>
      </c>
      <c r="D2969" s="11" t="s">
        <v>49</v>
      </c>
    </row>
    <row r="2970">
      <c r="A2970" s="11">
        <v>2969.0</v>
      </c>
      <c r="B2970" s="12">
        <f t="shared" si="471"/>
        <v>40323</v>
      </c>
      <c r="C2970" s="11" t="s">
        <v>1648</v>
      </c>
      <c r="D2970" s="11" t="s">
        <v>49</v>
      </c>
    </row>
    <row r="2971">
      <c r="A2971" s="11">
        <v>2970.0</v>
      </c>
      <c r="B2971" s="12">
        <f t="shared" si="471"/>
        <v>40323</v>
      </c>
      <c r="C2971" s="11" t="s">
        <v>1664</v>
      </c>
      <c r="D2971" s="11" t="s">
        <v>28</v>
      </c>
    </row>
    <row r="2972">
      <c r="A2972" s="11">
        <v>2971.0</v>
      </c>
      <c r="B2972" s="12">
        <f t="shared" si="471"/>
        <v>40323</v>
      </c>
      <c r="C2972" s="11" t="s">
        <v>910</v>
      </c>
      <c r="D2972" s="11" t="s">
        <v>28</v>
      </c>
    </row>
    <row r="2973">
      <c r="A2973" s="11">
        <v>2972.0</v>
      </c>
      <c r="B2973" s="12">
        <f t="shared" si="471"/>
        <v>40323</v>
      </c>
      <c r="C2973" s="11" t="s">
        <v>910</v>
      </c>
      <c r="D2973" s="11" t="s">
        <v>49</v>
      </c>
    </row>
    <row r="2974">
      <c r="A2974" s="11">
        <v>2973.0</v>
      </c>
      <c r="B2974" s="12">
        <f t="shared" ref="B2974:B2980" si="472">DATE(2012,12,31)-950</f>
        <v>40324</v>
      </c>
      <c r="C2974" s="11" t="s">
        <v>510</v>
      </c>
      <c r="D2974" s="11" t="s">
        <v>66</v>
      </c>
    </row>
    <row r="2975">
      <c r="A2975" s="11">
        <v>2974.0</v>
      </c>
      <c r="B2975" s="12">
        <f t="shared" si="472"/>
        <v>40324</v>
      </c>
      <c r="C2975" s="11" t="s">
        <v>510</v>
      </c>
      <c r="D2975" s="11" t="s">
        <v>49</v>
      </c>
    </row>
    <row r="2976">
      <c r="A2976" s="11">
        <v>2975.0</v>
      </c>
      <c r="B2976" s="12">
        <f t="shared" si="472"/>
        <v>40324</v>
      </c>
      <c r="C2976" s="11" t="s">
        <v>945</v>
      </c>
      <c r="D2976" s="11" t="s">
        <v>66</v>
      </c>
    </row>
    <row r="2977">
      <c r="A2977" s="11">
        <v>2976.0</v>
      </c>
      <c r="B2977" s="12">
        <f t="shared" si="472"/>
        <v>40324</v>
      </c>
      <c r="C2977" s="11" t="s">
        <v>282</v>
      </c>
      <c r="D2977" s="11" t="s">
        <v>28</v>
      </c>
    </row>
    <row r="2978">
      <c r="A2978" s="11">
        <v>2977.0</v>
      </c>
      <c r="B2978" s="12">
        <f t="shared" si="472"/>
        <v>40324</v>
      </c>
      <c r="C2978" s="11" t="s">
        <v>1715</v>
      </c>
      <c r="D2978" s="11" t="s">
        <v>28</v>
      </c>
    </row>
    <row r="2979">
      <c r="A2979" s="11">
        <v>2978.0</v>
      </c>
      <c r="B2979" s="12">
        <f t="shared" si="472"/>
        <v>40324</v>
      </c>
      <c r="C2979" s="11" t="s">
        <v>1715</v>
      </c>
      <c r="D2979" s="11" t="s">
        <v>28</v>
      </c>
    </row>
    <row r="2980">
      <c r="A2980" s="11">
        <v>2979.0</v>
      </c>
      <c r="B2980" s="12">
        <f t="shared" si="472"/>
        <v>40324</v>
      </c>
      <c r="C2980" s="11" t="s">
        <v>1543</v>
      </c>
      <c r="D2980" s="11" t="s">
        <v>28</v>
      </c>
    </row>
    <row r="2981">
      <c r="A2981" s="11">
        <v>2980.0</v>
      </c>
      <c r="B2981" s="12">
        <f t="shared" ref="B2981:B2984" si="473">DATE(2012,12,31)-949</f>
        <v>40325</v>
      </c>
      <c r="C2981" s="11" t="s">
        <v>1423</v>
      </c>
      <c r="D2981" s="11" t="s">
        <v>28</v>
      </c>
    </row>
    <row r="2982">
      <c r="A2982" s="11">
        <v>2981.0</v>
      </c>
      <c r="B2982" s="12">
        <f t="shared" si="473"/>
        <v>40325</v>
      </c>
      <c r="C2982" s="11" t="s">
        <v>1476</v>
      </c>
      <c r="D2982" s="11" t="s">
        <v>49</v>
      </c>
    </row>
    <row r="2983">
      <c r="A2983" s="11">
        <v>2982.0</v>
      </c>
      <c r="B2983" s="12">
        <f t="shared" si="473"/>
        <v>40325</v>
      </c>
      <c r="C2983" s="11" t="s">
        <v>1476</v>
      </c>
      <c r="D2983" s="11" t="s">
        <v>28</v>
      </c>
    </row>
    <row r="2984">
      <c r="A2984" s="11">
        <v>2983.0</v>
      </c>
      <c r="B2984" s="12">
        <f t="shared" si="473"/>
        <v>40325</v>
      </c>
      <c r="C2984" s="11" t="s">
        <v>1137</v>
      </c>
      <c r="D2984" s="11" t="s">
        <v>28</v>
      </c>
    </row>
    <row r="2985">
      <c r="A2985" s="11">
        <v>2984.0</v>
      </c>
      <c r="B2985" s="12">
        <f t="shared" ref="B2985:B2990" si="474">DATE(2012,12,31)-948</f>
        <v>40326</v>
      </c>
      <c r="C2985" s="11" t="s">
        <v>1979</v>
      </c>
      <c r="D2985" s="11" t="s">
        <v>66</v>
      </c>
    </row>
    <row r="2986">
      <c r="A2986" s="11">
        <v>2985.0</v>
      </c>
      <c r="B2986" s="12">
        <f t="shared" si="474"/>
        <v>40326</v>
      </c>
      <c r="C2986" s="11" t="s">
        <v>55</v>
      </c>
      <c r="D2986" s="11" t="s">
        <v>66</v>
      </c>
    </row>
    <row r="2987">
      <c r="A2987" s="11">
        <v>2986.0</v>
      </c>
      <c r="B2987" s="12">
        <f t="shared" si="474"/>
        <v>40326</v>
      </c>
      <c r="C2987" s="11" t="s">
        <v>1061</v>
      </c>
      <c r="D2987" s="11" t="s">
        <v>66</v>
      </c>
    </row>
    <row r="2988">
      <c r="A2988" s="11">
        <v>2987.0</v>
      </c>
      <c r="B2988" s="12">
        <f t="shared" si="474"/>
        <v>40326</v>
      </c>
      <c r="C2988" s="11" t="s">
        <v>1061</v>
      </c>
      <c r="D2988" s="11" t="s">
        <v>66</v>
      </c>
    </row>
    <row r="2989">
      <c r="A2989" s="11">
        <v>2988.0</v>
      </c>
      <c r="B2989" s="12">
        <f t="shared" si="474"/>
        <v>40326</v>
      </c>
      <c r="C2989" s="11" t="s">
        <v>528</v>
      </c>
      <c r="D2989" s="11" t="s">
        <v>49</v>
      </c>
    </row>
    <row r="2990">
      <c r="A2990" s="11">
        <v>2989.0</v>
      </c>
      <c r="B2990" s="12">
        <f t="shared" si="474"/>
        <v>40326</v>
      </c>
      <c r="C2990" s="11" t="s">
        <v>528</v>
      </c>
      <c r="D2990" s="11" t="s">
        <v>66</v>
      </c>
    </row>
    <row r="2991">
      <c r="A2991" s="11">
        <v>2990.0</v>
      </c>
      <c r="B2991" s="12">
        <f t="shared" ref="B2991:B2995" si="475">DATE(2012,12,31)-947</f>
        <v>40327</v>
      </c>
      <c r="C2991" s="11" t="s">
        <v>1276</v>
      </c>
      <c r="D2991" s="11" t="s">
        <v>28</v>
      </c>
    </row>
    <row r="2992">
      <c r="A2992" s="11">
        <v>2991.0</v>
      </c>
      <c r="B2992" s="12">
        <f t="shared" si="475"/>
        <v>40327</v>
      </c>
      <c r="C2992" s="11" t="s">
        <v>2341</v>
      </c>
      <c r="D2992" s="11" t="s">
        <v>66</v>
      </c>
    </row>
    <row r="2993">
      <c r="A2993" s="11">
        <v>2992.0</v>
      </c>
      <c r="B2993" s="12">
        <f t="shared" si="475"/>
        <v>40327</v>
      </c>
      <c r="C2993" s="11" t="s">
        <v>2180</v>
      </c>
      <c r="D2993" s="11" t="s">
        <v>49</v>
      </c>
    </row>
    <row r="2994">
      <c r="A2994" s="11">
        <v>2993.0</v>
      </c>
      <c r="B2994" s="12">
        <f t="shared" si="475"/>
        <v>40327</v>
      </c>
      <c r="C2994" s="11" t="s">
        <v>1020</v>
      </c>
      <c r="D2994" s="11" t="s">
        <v>28</v>
      </c>
    </row>
    <row r="2995">
      <c r="A2995" s="11">
        <v>2994.0</v>
      </c>
      <c r="B2995" s="12">
        <f t="shared" si="475"/>
        <v>40327</v>
      </c>
      <c r="C2995" s="11" t="s">
        <v>1020</v>
      </c>
      <c r="D2995" s="11" t="s">
        <v>66</v>
      </c>
    </row>
    <row r="2996">
      <c r="A2996" s="11">
        <v>2995.0</v>
      </c>
      <c r="B2996" s="12">
        <f t="shared" ref="B2996:B3000" si="476">DATE(2012,12,31)-946</f>
        <v>40328</v>
      </c>
      <c r="C2996" s="11" t="s">
        <v>648</v>
      </c>
      <c r="D2996" s="11" t="s">
        <v>28</v>
      </c>
    </row>
    <row r="2997">
      <c r="A2997" s="11">
        <v>2996.0</v>
      </c>
      <c r="B2997" s="12">
        <f t="shared" si="476"/>
        <v>40328</v>
      </c>
      <c r="C2997" s="11" t="s">
        <v>227</v>
      </c>
      <c r="D2997" s="11" t="s">
        <v>28</v>
      </c>
    </row>
    <row r="2998">
      <c r="A2998" s="11">
        <v>2997.0</v>
      </c>
      <c r="B2998" s="12">
        <f t="shared" si="476"/>
        <v>40328</v>
      </c>
      <c r="C2998" s="11" t="s">
        <v>2343</v>
      </c>
      <c r="D2998" s="11" t="s">
        <v>66</v>
      </c>
    </row>
    <row r="2999">
      <c r="A2999" s="11">
        <v>2998.0</v>
      </c>
      <c r="B2999" s="12">
        <f t="shared" si="476"/>
        <v>40328</v>
      </c>
      <c r="C2999" s="11" t="s">
        <v>945</v>
      </c>
      <c r="D2999" s="11" t="s">
        <v>66</v>
      </c>
    </row>
    <row r="3000">
      <c r="A3000" s="11">
        <v>2999.0</v>
      </c>
      <c r="B3000" s="12">
        <f t="shared" si="476"/>
        <v>40328</v>
      </c>
      <c r="C3000" s="11" t="s">
        <v>945</v>
      </c>
      <c r="D3000" s="11" t="s">
        <v>66</v>
      </c>
    </row>
    <row r="3001">
      <c r="A3001" s="11">
        <v>3000.0</v>
      </c>
      <c r="B3001" s="12">
        <f t="shared" ref="B3001:B3005" si="477">DATE(2012,12,31)-945</f>
        <v>40329</v>
      </c>
      <c r="C3001" s="11" t="s">
        <v>1433</v>
      </c>
      <c r="D3001" s="11" t="s">
        <v>49</v>
      </c>
    </row>
    <row r="3002">
      <c r="A3002" s="11">
        <v>3001.0</v>
      </c>
      <c r="B3002" s="12">
        <f t="shared" si="477"/>
        <v>40329</v>
      </c>
      <c r="C3002" s="11" t="s">
        <v>1586</v>
      </c>
      <c r="D3002" s="11" t="s">
        <v>49</v>
      </c>
    </row>
    <row r="3003">
      <c r="A3003" s="11">
        <v>3002.0</v>
      </c>
      <c r="B3003" s="12">
        <f t="shared" si="477"/>
        <v>40329</v>
      </c>
      <c r="C3003" s="11" t="s">
        <v>1586</v>
      </c>
      <c r="D3003" s="11" t="s">
        <v>66</v>
      </c>
    </row>
    <row r="3004">
      <c r="A3004" s="11">
        <v>3003.0</v>
      </c>
      <c r="B3004" s="12">
        <f t="shared" si="477"/>
        <v>40329</v>
      </c>
      <c r="C3004" s="11" t="s">
        <v>1586</v>
      </c>
      <c r="D3004" s="11" t="s">
        <v>66</v>
      </c>
    </row>
    <row r="3005">
      <c r="A3005" s="11">
        <v>3004.0</v>
      </c>
      <c r="B3005" s="12">
        <f t="shared" si="477"/>
        <v>40329</v>
      </c>
      <c r="C3005" s="11" t="s">
        <v>1831</v>
      </c>
      <c r="D3005" s="11" t="s">
        <v>28</v>
      </c>
    </row>
    <row r="3006">
      <c r="A3006" s="11">
        <v>3005.0</v>
      </c>
      <c r="B3006" s="12">
        <f t="shared" ref="B3006:B3010" si="478">DATE(2012,12,31)-944</f>
        <v>40330</v>
      </c>
      <c r="C3006" s="11" t="s">
        <v>1103</v>
      </c>
      <c r="D3006" s="11" t="s">
        <v>66</v>
      </c>
    </row>
    <row r="3007">
      <c r="A3007" s="11">
        <v>3006.0</v>
      </c>
      <c r="B3007" s="12">
        <f t="shared" si="478"/>
        <v>40330</v>
      </c>
      <c r="C3007" s="11" t="s">
        <v>1249</v>
      </c>
      <c r="D3007" s="11" t="s">
        <v>28</v>
      </c>
    </row>
    <row r="3008">
      <c r="A3008" s="11">
        <v>3007.0</v>
      </c>
      <c r="B3008" s="12">
        <f t="shared" si="478"/>
        <v>40330</v>
      </c>
      <c r="C3008" s="11" t="s">
        <v>1249</v>
      </c>
      <c r="D3008" s="11" t="s">
        <v>49</v>
      </c>
    </row>
    <row r="3009">
      <c r="A3009" s="11">
        <v>3008.0</v>
      </c>
      <c r="B3009" s="12">
        <f t="shared" si="478"/>
        <v>40330</v>
      </c>
      <c r="C3009" s="11" t="s">
        <v>2267</v>
      </c>
      <c r="D3009" s="11" t="s">
        <v>28</v>
      </c>
    </row>
    <row r="3010">
      <c r="A3010" s="11">
        <v>3009.0</v>
      </c>
      <c r="B3010" s="12">
        <f t="shared" si="478"/>
        <v>40330</v>
      </c>
      <c r="C3010" s="11" t="s">
        <v>2267</v>
      </c>
      <c r="D3010" s="11" t="s">
        <v>28</v>
      </c>
    </row>
    <row r="3011">
      <c r="A3011" s="11">
        <v>3010.0</v>
      </c>
      <c r="B3011" s="12">
        <f t="shared" ref="B3011:B3014" si="479">DATE(2012,12,31)-943</f>
        <v>40331</v>
      </c>
      <c r="C3011" s="11" t="s">
        <v>329</v>
      </c>
      <c r="D3011" s="11" t="s">
        <v>66</v>
      </c>
    </row>
    <row r="3012">
      <c r="A3012" s="11">
        <v>3011.0</v>
      </c>
      <c r="B3012" s="12">
        <f t="shared" si="479"/>
        <v>40331</v>
      </c>
      <c r="C3012" s="11" t="s">
        <v>329</v>
      </c>
      <c r="D3012" s="11" t="s">
        <v>49</v>
      </c>
    </row>
    <row r="3013">
      <c r="A3013" s="11">
        <v>3012.0</v>
      </c>
      <c r="B3013" s="12">
        <f t="shared" si="479"/>
        <v>40331</v>
      </c>
      <c r="C3013" s="11" t="s">
        <v>2285</v>
      </c>
      <c r="D3013" s="11" t="s">
        <v>66</v>
      </c>
    </row>
    <row r="3014">
      <c r="A3014" s="11">
        <v>3013.0</v>
      </c>
      <c r="B3014" s="12">
        <f t="shared" si="479"/>
        <v>40331</v>
      </c>
      <c r="C3014" s="11" t="s">
        <v>2285</v>
      </c>
      <c r="D3014" s="11" t="s">
        <v>28</v>
      </c>
    </row>
    <row r="3015">
      <c r="A3015" s="11">
        <v>3014.0</v>
      </c>
      <c r="B3015" s="12">
        <f t="shared" ref="B3015:B3019" si="480">DATE(2012,12,31)-942</f>
        <v>40332</v>
      </c>
      <c r="C3015" s="11" t="s">
        <v>895</v>
      </c>
      <c r="D3015" s="11" t="s">
        <v>28</v>
      </c>
    </row>
    <row r="3016">
      <c r="A3016" s="11">
        <v>3015.0</v>
      </c>
      <c r="B3016" s="12">
        <f t="shared" si="480"/>
        <v>40332</v>
      </c>
      <c r="C3016" s="11" t="s">
        <v>703</v>
      </c>
      <c r="D3016" s="11" t="s">
        <v>49</v>
      </c>
    </row>
    <row r="3017">
      <c r="A3017" s="11">
        <v>3016.0</v>
      </c>
      <c r="B3017" s="12">
        <f t="shared" si="480"/>
        <v>40332</v>
      </c>
      <c r="C3017" s="11" t="s">
        <v>806</v>
      </c>
      <c r="D3017" s="11" t="s">
        <v>28</v>
      </c>
    </row>
    <row r="3018">
      <c r="A3018" s="11">
        <v>3017.0</v>
      </c>
      <c r="B3018" s="12">
        <f t="shared" si="480"/>
        <v>40332</v>
      </c>
      <c r="C3018" s="11" t="s">
        <v>819</v>
      </c>
      <c r="D3018" s="11" t="s">
        <v>28</v>
      </c>
    </row>
    <row r="3019">
      <c r="A3019" s="11">
        <v>3018.0</v>
      </c>
      <c r="B3019" s="12">
        <f t="shared" si="480"/>
        <v>40332</v>
      </c>
      <c r="C3019" s="11" t="s">
        <v>819</v>
      </c>
      <c r="D3019" s="11" t="s">
        <v>28</v>
      </c>
    </row>
    <row r="3020">
      <c r="A3020" s="11">
        <v>3019.0</v>
      </c>
      <c r="B3020" s="12">
        <f t="shared" ref="B3020:B3023" si="481">DATE(2012,12,31)-941</f>
        <v>40333</v>
      </c>
      <c r="C3020" s="11" t="s">
        <v>2346</v>
      </c>
      <c r="D3020" s="11" t="s">
        <v>28</v>
      </c>
    </row>
    <row r="3021">
      <c r="A3021" s="11">
        <v>3020.0</v>
      </c>
      <c r="B3021" s="12">
        <f t="shared" si="481"/>
        <v>40333</v>
      </c>
      <c r="C3021" s="11" t="s">
        <v>2347</v>
      </c>
      <c r="D3021" s="11" t="s">
        <v>49</v>
      </c>
    </row>
    <row r="3022">
      <c r="A3022" s="11">
        <v>3021.0</v>
      </c>
      <c r="B3022" s="12">
        <f t="shared" si="481"/>
        <v>40333</v>
      </c>
      <c r="C3022" s="11" t="s">
        <v>1108</v>
      </c>
      <c r="D3022" s="11" t="s">
        <v>66</v>
      </c>
    </row>
    <row r="3023">
      <c r="A3023" s="11">
        <v>3022.0</v>
      </c>
      <c r="B3023" s="12">
        <f t="shared" si="481"/>
        <v>40333</v>
      </c>
      <c r="C3023" s="11" t="s">
        <v>76</v>
      </c>
      <c r="D3023" s="11" t="s">
        <v>28</v>
      </c>
    </row>
    <row r="3024">
      <c r="A3024" s="11">
        <v>3023.0</v>
      </c>
      <c r="B3024" s="12">
        <f t="shared" ref="B3024:B3029" si="482">DATE(2012,12,31)-940</f>
        <v>40334</v>
      </c>
      <c r="C3024" s="11" t="s">
        <v>2348</v>
      </c>
      <c r="D3024" s="11" t="s">
        <v>66</v>
      </c>
    </row>
    <row r="3025">
      <c r="A3025" s="11">
        <v>3024.0</v>
      </c>
      <c r="B3025" s="12">
        <f t="shared" si="482"/>
        <v>40334</v>
      </c>
      <c r="C3025" s="11" t="s">
        <v>2348</v>
      </c>
      <c r="D3025" s="11" t="s">
        <v>66</v>
      </c>
    </row>
    <row r="3026">
      <c r="A3026" s="11">
        <v>3025.0</v>
      </c>
      <c r="B3026" s="12">
        <f t="shared" si="482"/>
        <v>40334</v>
      </c>
      <c r="C3026" s="11" t="s">
        <v>1682</v>
      </c>
      <c r="D3026" s="11" t="s">
        <v>66</v>
      </c>
    </row>
    <row r="3027">
      <c r="A3027" s="11">
        <v>3026.0</v>
      </c>
      <c r="B3027" s="12">
        <f t="shared" si="482"/>
        <v>40334</v>
      </c>
      <c r="C3027" s="11" t="s">
        <v>1682</v>
      </c>
      <c r="D3027" s="11" t="s">
        <v>28</v>
      </c>
    </row>
    <row r="3028">
      <c r="A3028" s="11">
        <v>3027.0</v>
      </c>
      <c r="B3028" s="12">
        <f t="shared" si="482"/>
        <v>40334</v>
      </c>
      <c r="C3028" s="11" t="s">
        <v>2350</v>
      </c>
      <c r="D3028" s="11" t="s">
        <v>28</v>
      </c>
    </row>
    <row r="3029">
      <c r="A3029" s="11">
        <v>3028.0</v>
      </c>
      <c r="B3029" s="12">
        <f t="shared" si="482"/>
        <v>40334</v>
      </c>
      <c r="C3029" s="11" t="s">
        <v>1212</v>
      </c>
      <c r="D3029" s="11" t="s">
        <v>66</v>
      </c>
    </row>
    <row r="3030">
      <c r="A3030" s="11">
        <v>3029.0</v>
      </c>
      <c r="B3030" s="12">
        <f t="shared" ref="B3030:B3034" si="483">DATE(2012,12,31)-939</f>
        <v>40335</v>
      </c>
      <c r="C3030" s="11" t="s">
        <v>1607</v>
      </c>
      <c r="D3030" s="11" t="s">
        <v>66</v>
      </c>
    </row>
    <row r="3031">
      <c r="A3031" s="11">
        <v>3030.0</v>
      </c>
      <c r="B3031" s="12">
        <f t="shared" si="483"/>
        <v>40335</v>
      </c>
      <c r="C3031" s="11" t="s">
        <v>1607</v>
      </c>
      <c r="D3031" s="11" t="s">
        <v>66</v>
      </c>
    </row>
    <row r="3032">
      <c r="A3032" s="11">
        <v>3031.0</v>
      </c>
      <c r="B3032" s="12">
        <f t="shared" si="483"/>
        <v>40335</v>
      </c>
      <c r="C3032" s="11" t="s">
        <v>2064</v>
      </c>
      <c r="D3032" s="11" t="s">
        <v>28</v>
      </c>
    </row>
    <row r="3033">
      <c r="A3033" s="11">
        <v>3032.0</v>
      </c>
      <c r="B3033" s="12">
        <f t="shared" si="483"/>
        <v>40335</v>
      </c>
      <c r="C3033" s="11" t="s">
        <v>2351</v>
      </c>
      <c r="D3033" s="11" t="s">
        <v>28</v>
      </c>
    </row>
    <row r="3034">
      <c r="A3034" s="11">
        <v>3033.0</v>
      </c>
      <c r="B3034" s="12">
        <f t="shared" si="483"/>
        <v>40335</v>
      </c>
      <c r="C3034" s="11" t="s">
        <v>2297</v>
      </c>
      <c r="D3034" s="11" t="s">
        <v>66</v>
      </c>
    </row>
    <row r="3035">
      <c r="A3035" s="11">
        <v>3034.0</v>
      </c>
      <c r="B3035" s="12">
        <f t="shared" ref="B3035:B3041" si="484">DATE(2012,12,31)-938</f>
        <v>40336</v>
      </c>
      <c r="C3035" s="11" t="s">
        <v>973</v>
      </c>
      <c r="D3035" s="11" t="s">
        <v>66</v>
      </c>
    </row>
    <row r="3036">
      <c r="A3036" s="11">
        <v>3035.0</v>
      </c>
      <c r="B3036" s="12">
        <f t="shared" si="484"/>
        <v>40336</v>
      </c>
      <c r="C3036" s="11" t="s">
        <v>2105</v>
      </c>
      <c r="D3036" s="11" t="s">
        <v>28</v>
      </c>
    </row>
    <row r="3037">
      <c r="A3037" s="11">
        <v>3036.0</v>
      </c>
      <c r="B3037" s="12">
        <f t="shared" si="484"/>
        <v>40336</v>
      </c>
      <c r="C3037" s="11" t="s">
        <v>855</v>
      </c>
      <c r="D3037" s="11" t="s">
        <v>28</v>
      </c>
    </row>
    <row r="3038">
      <c r="A3038" s="11">
        <v>3037.0</v>
      </c>
      <c r="B3038" s="12">
        <f t="shared" si="484"/>
        <v>40336</v>
      </c>
      <c r="C3038" s="11" t="s">
        <v>855</v>
      </c>
      <c r="D3038" s="11" t="s">
        <v>66</v>
      </c>
    </row>
    <row r="3039">
      <c r="A3039" s="11">
        <v>3038.0</v>
      </c>
      <c r="B3039" s="12">
        <f t="shared" si="484"/>
        <v>40336</v>
      </c>
      <c r="C3039" s="11" t="s">
        <v>844</v>
      </c>
      <c r="D3039" s="11" t="s">
        <v>66</v>
      </c>
    </row>
    <row r="3040">
      <c r="A3040" s="11">
        <v>3039.0</v>
      </c>
      <c r="B3040" s="12">
        <f t="shared" si="484"/>
        <v>40336</v>
      </c>
      <c r="C3040" s="11" t="s">
        <v>786</v>
      </c>
      <c r="D3040" s="11" t="s">
        <v>49</v>
      </c>
    </row>
    <row r="3041">
      <c r="A3041" s="11">
        <v>3040.0</v>
      </c>
      <c r="B3041" s="12">
        <f t="shared" si="484"/>
        <v>40336</v>
      </c>
      <c r="C3041" s="11" t="s">
        <v>786</v>
      </c>
      <c r="D3041" s="11" t="s">
        <v>66</v>
      </c>
    </row>
    <row r="3042">
      <c r="A3042" s="11">
        <v>3041.0</v>
      </c>
      <c r="B3042" s="12">
        <f t="shared" ref="B3042:B3050" si="485">DATE(2012,12,31)-937</f>
        <v>40337</v>
      </c>
      <c r="C3042" s="11" t="s">
        <v>919</v>
      </c>
      <c r="D3042" s="11" t="s">
        <v>28</v>
      </c>
    </row>
    <row r="3043">
      <c r="A3043" s="11">
        <v>3042.0</v>
      </c>
      <c r="B3043" s="12">
        <f t="shared" si="485"/>
        <v>40337</v>
      </c>
      <c r="C3043" s="11" t="s">
        <v>2352</v>
      </c>
      <c r="D3043" s="11" t="s">
        <v>49</v>
      </c>
    </row>
    <row r="3044">
      <c r="A3044" s="11">
        <v>3043.0</v>
      </c>
      <c r="B3044" s="12">
        <f t="shared" si="485"/>
        <v>40337</v>
      </c>
      <c r="C3044" s="11" t="s">
        <v>588</v>
      </c>
      <c r="D3044" s="11" t="s">
        <v>49</v>
      </c>
    </row>
    <row r="3045">
      <c r="A3045" s="11">
        <v>3044.0</v>
      </c>
      <c r="B3045" s="12">
        <f t="shared" si="485"/>
        <v>40337</v>
      </c>
      <c r="C3045" s="11" t="s">
        <v>588</v>
      </c>
      <c r="D3045" s="11" t="s">
        <v>66</v>
      </c>
    </row>
    <row r="3046">
      <c r="A3046" s="11">
        <v>3045.0</v>
      </c>
      <c r="B3046" s="12">
        <f t="shared" si="485"/>
        <v>40337</v>
      </c>
      <c r="C3046" s="11" t="s">
        <v>588</v>
      </c>
      <c r="D3046" s="11" t="s">
        <v>28</v>
      </c>
    </row>
    <row r="3047">
      <c r="A3047" s="11">
        <v>3046.0</v>
      </c>
      <c r="B3047" s="12">
        <f t="shared" si="485"/>
        <v>40337</v>
      </c>
      <c r="C3047" s="11" t="s">
        <v>2081</v>
      </c>
      <c r="D3047" s="11" t="s">
        <v>28</v>
      </c>
    </row>
    <row r="3048">
      <c r="A3048" s="11">
        <v>3047.0</v>
      </c>
      <c r="B3048" s="12">
        <f t="shared" si="485"/>
        <v>40337</v>
      </c>
      <c r="C3048" s="11" t="s">
        <v>897</v>
      </c>
      <c r="D3048" s="11" t="s">
        <v>28</v>
      </c>
    </row>
    <row r="3049">
      <c r="A3049" s="11">
        <v>3048.0</v>
      </c>
      <c r="B3049" s="12">
        <f t="shared" si="485"/>
        <v>40337</v>
      </c>
      <c r="C3049" s="11" t="s">
        <v>897</v>
      </c>
      <c r="D3049" s="11" t="s">
        <v>28</v>
      </c>
    </row>
    <row r="3050">
      <c r="A3050" s="11">
        <v>3049.0</v>
      </c>
      <c r="B3050" s="12">
        <f t="shared" si="485"/>
        <v>40337</v>
      </c>
      <c r="C3050" s="11" t="s">
        <v>897</v>
      </c>
      <c r="D3050" s="11" t="s">
        <v>28</v>
      </c>
    </row>
    <row r="3051">
      <c r="A3051" s="11">
        <v>3050.0</v>
      </c>
      <c r="B3051" s="12">
        <f t="shared" ref="B3051:B3059" si="486">DATE(2012,12,31)-936</f>
        <v>40338</v>
      </c>
      <c r="C3051" s="11" t="s">
        <v>1979</v>
      </c>
      <c r="D3051" s="11" t="s">
        <v>28</v>
      </c>
    </row>
    <row r="3052">
      <c r="A3052" s="11">
        <v>3051.0</v>
      </c>
      <c r="B3052" s="12">
        <f t="shared" si="486"/>
        <v>40338</v>
      </c>
      <c r="C3052" s="11" t="s">
        <v>1357</v>
      </c>
      <c r="D3052" s="11" t="s">
        <v>28</v>
      </c>
    </row>
    <row r="3053">
      <c r="A3053" s="11">
        <v>3052.0</v>
      </c>
      <c r="B3053" s="12">
        <f t="shared" si="486"/>
        <v>40338</v>
      </c>
      <c r="C3053" s="11" t="s">
        <v>1499</v>
      </c>
      <c r="D3053" s="11" t="s">
        <v>28</v>
      </c>
    </row>
    <row r="3054">
      <c r="A3054" s="11">
        <v>3053.0</v>
      </c>
      <c r="B3054" s="12">
        <f t="shared" si="486"/>
        <v>40338</v>
      </c>
      <c r="C3054" s="11" t="s">
        <v>1629</v>
      </c>
      <c r="D3054" s="11" t="s">
        <v>49</v>
      </c>
    </row>
    <row r="3055">
      <c r="A3055" s="11">
        <v>3054.0</v>
      </c>
      <c r="B3055" s="12">
        <f t="shared" si="486"/>
        <v>40338</v>
      </c>
      <c r="C3055" s="11" t="s">
        <v>1629</v>
      </c>
      <c r="D3055" s="11" t="s">
        <v>28</v>
      </c>
    </row>
    <row r="3056">
      <c r="A3056" s="11">
        <v>3055.0</v>
      </c>
      <c r="B3056" s="12">
        <f t="shared" si="486"/>
        <v>40338</v>
      </c>
      <c r="C3056" s="11" t="s">
        <v>1629</v>
      </c>
      <c r="D3056" s="11" t="s">
        <v>28</v>
      </c>
    </row>
    <row r="3057">
      <c r="A3057" s="11">
        <v>3056.0</v>
      </c>
      <c r="B3057" s="12">
        <f t="shared" si="486"/>
        <v>40338</v>
      </c>
      <c r="C3057" s="11" t="s">
        <v>648</v>
      </c>
      <c r="D3057" s="11" t="s">
        <v>28</v>
      </c>
    </row>
    <row r="3058">
      <c r="A3058" s="11">
        <v>3057.0</v>
      </c>
      <c r="B3058" s="12">
        <f t="shared" si="486"/>
        <v>40338</v>
      </c>
      <c r="C3058" s="11" t="s">
        <v>648</v>
      </c>
      <c r="D3058" s="11" t="s">
        <v>28</v>
      </c>
    </row>
    <row r="3059">
      <c r="A3059" s="11">
        <v>3058.0</v>
      </c>
      <c r="B3059" s="12">
        <f t="shared" si="486"/>
        <v>40338</v>
      </c>
      <c r="C3059" s="11" t="s">
        <v>604</v>
      </c>
      <c r="D3059" s="11" t="s">
        <v>28</v>
      </c>
    </row>
    <row r="3060">
      <c r="A3060" s="11">
        <v>3059.0</v>
      </c>
      <c r="B3060" s="12">
        <f t="shared" ref="B3060:B3066" si="487">DATE(2012,12,31)-935</f>
        <v>40339</v>
      </c>
      <c r="C3060" s="11" t="s">
        <v>932</v>
      </c>
      <c r="D3060" s="11" t="s">
        <v>66</v>
      </c>
    </row>
    <row r="3061">
      <c r="A3061" s="11">
        <v>3060.0</v>
      </c>
      <c r="B3061" s="12">
        <f t="shared" si="487"/>
        <v>40339</v>
      </c>
      <c r="C3061" s="11" t="s">
        <v>932</v>
      </c>
      <c r="D3061" s="11" t="s">
        <v>49</v>
      </c>
    </row>
    <row r="3062">
      <c r="A3062" s="11">
        <v>3061.0</v>
      </c>
      <c r="B3062" s="12">
        <f t="shared" si="487"/>
        <v>40339</v>
      </c>
      <c r="C3062" s="11" t="s">
        <v>1264</v>
      </c>
      <c r="D3062" s="11" t="s">
        <v>28</v>
      </c>
    </row>
    <row r="3063">
      <c r="A3063" s="11">
        <v>3062.0</v>
      </c>
      <c r="B3063" s="12">
        <f t="shared" si="487"/>
        <v>40339</v>
      </c>
      <c r="C3063" s="11" t="s">
        <v>1264</v>
      </c>
      <c r="D3063" s="11" t="s">
        <v>28</v>
      </c>
    </row>
    <row r="3064">
      <c r="A3064" s="11">
        <v>3063.0</v>
      </c>
      <c r="B3064" s="12">
        <f t="shared" si="487"/>
        <v>40339</v>
      </c>
      <c r="C3064" s="11" t="s">
        <v>1264</v>
      </c>
      <c r="D3064" s="11" t="s">
        <v>49</v>
      </c>
    </row>
    <row r="3065">
      <c r="A3065" s="11">
        <v>3064.0</v>
      </c>
      <c r="B3065" s="12">
        <f t="shared" si="487"/>
        <v>40339</v>
      </c>
      <c r="C3065" s="11" t="s">
        <v>1507</v>
      </c>
      <c r="D3065" s="11" t="s">
        <v>66</v>
      </c>
    </row>
    <row r="3066">
      <c r="A3066" s="11">
        <v>3065.0</v>
      </c>
      <c r="B3066" s="12">
        <f t="shared" si="487"/>
        <v>40339</v>
      </c>
      <c r="C3066" s="11" t="s">
        <v>1507</v>
      </c>
      <c r="D3066" s="11" t="s">
        <v>28</v>
      </c>
    </row>
    <row r="3067">
      <c r="A3067" s="11">
        <v>3066.0</v>
      </c>
      <c r="B3067" s="12">
        <f>DATE(2012,12,31)-934</f>
        <v>40340</v>
      </c>
      <c r="C3067" s="11" t="s">
        <v>1961</v>
      </c>
      <c r="D3067" s="11" t="s">
        <v>49</v>
      </c>
    </row>
    <row r="3068">
      <c r="A3068" s="11">
        <v>3067.0</v>
      </c>
      <c r="B3068" s="12">
        <f t="shared" ref="B3068:B3072" si="488">DATE(2012,12,31)-932</f>
        <v>40342</v>
      </c>
      <c r="C3068" s="11" t="s">
        <v>465</v>
      </c>
      <c r="D3068" s="11" t="s">
        <v>28</v>
      </c>
    </row>
    <row r="3069">
      <c r="A3069" s="11">
        <v>3068.0</v>
      </c>
      <c r="B3069" s="12">
        <f t="shared" si="488"/>
        <v>40342</v>
      </c>
      <c r="C3069" s="11" t="s">
        <v>465</v>
      </c>
      <c r="D3069" s="11" t="s">
        <v>49</v>
      </c>
    </row>
    <row r="3070">
      <c r="A3070" s="11">
        <v>3069.0</v>
      </c>
      <c r="B3070" s="12">
        <f t="shared" si="488"/>
        <v>40342</v>
      </c>
      <c r="C3070" s="11" t="s">
        <v>34</v>
      </c>
      <c r="D3070" s="11" t="s">
        <v>66</v>
      </c>
    </row>
    <row r="3071">
      <c r="A3071" s="11">
        <v>3070.0</v>
      </c>
      <c r="B3071" s="12">
        <f t="shared" si="488"/>
        <v>40342</v>
      </c>
      <c r="C3071" s="11" t="s">
        <v>34</v>
      </c>
      <c r="D3071" s="11" t="s">
        <v>28</v>
      </c>
    </row>
    <row r="3072">
      <c r="A3072" s="11">
        <v>3071.0</v>
      </c>
      <c r="B3072" s="12">
        <f t="shared" si="488"/>
        <v>40342</v>
      </c>
      <c r="C3072" s="11" t="s">
        <v>1941</v>
      </c>
      <c r="D3072" s="11" t="s">
        <v>49</v>
      </c>
    </row>
    <row r="3073">
      <c r="A3073" s="11">
        <v>3072.0</v>
      </c>
      <c r="B3073" s="12">
        <f t="shared" ref="B3073:B3080" si="489">DATE(2012,12,31)-931</f>
        <v>40343</v>
      </c>
      <c r="C3073" s="11" t="s">
        <v>2357</v>
      </c>
      <c r="D3073" s="11" t="s">
        <v>28</v>
      </c>
    </row>
    <row r="3074">
      <c r="A3074" s="11">
        <v>3073.0</v>
      </c>
      <c r="B3074" s="12">
        <f t="shared" si="489"/>
        <v>40343</v>
      </c>
      <c r="C3074" s="11" t="s">
        <v>1884</v>
      </c>
      <c r="D3074" s="11" t="s">
        <v>28</v>
      </c>
    </row>
    <row r="3075">
      <c r="A3075" s="11">
        <v>3074.0</v>
      </c>
      <c r="B3075" s="12">
        <f t="shared" si="489"/>
        <v>40343</v>
      </c>
      <c r="C3075" s="11" t="s">
        <v>1884</v>
      </c>
      <c r="D3075" s="11" t="s">
        <v>28</v>
      </c>
    </row>
    <row r="3076">
      <c r="A3076" s="11">
        <v>3075.0</v>
      </c>
      <c r="B3076" s="12">
        <f t="shared" si="489"/>
        <v>40343</v>
      </c>
      <c r="C3076" s="11" t="s">
        <v>1884</v>
      </c>
      <c r="D3076" s="11" t="s">
        <v>66</v>
      </c>
    </row>
    <row r="3077">
      <c r="A3077" s="11">
        <v>3076.0</v>
      </c>
      <c r="B3077" s="12">
        <f t="shared" si="489"/>
        <v>40343</v>
      </c>
      <c r="C3077" s="11" t="s">
        <v>1884</v>
      </c>
      <c r="D3077" s="11" t="s">
        <v>66</v>
      </c>
    </row>
    <row r="3078">
      <c r="A3078" s="11">
        <v>3077.0</v>
      </c>
      <c r="B3078" s="12">
        <f t="shared" si="489"/>
        <v>40343</v>
      </c>
      <c r="C3078" s="11" t="s">
        <v>2256</v>
      </c>
      <c r="D3078" s="11" t="s">
        <v>28</v>
      </c>
    </row>
    <row r="3079">
      <c r="A3079" s="11">
        <v>3078.0</v>
      </c>
      <c r="B3079" s="12">
        <f t="shared" si="489"/>
        <v>40343</v>
      </c>
      <c r="C3079" s="11" t="s">
        <v>2256</v>
      </c>
      <c r="D3079" s="11" t="s">
        <v>66</v>
      </c>
    </row>
    <row r="3080">
      <c r="A3080" s="11">
        <v>3079.0</v>
      </c>
      <c r="B3080" s="12">
        <f t="shared" si="489"/>
        <v>40343</v>
      </c>
      <c r="C3080" s="11" t="s">
        <v>808</v>
      </c>
      <c r="D3080" s="11" t="s">
        <v>28</v>
      </c>
    </row>
    <row r="3081">
      <c r="A3081" s="11">
        <v>3080.0</v>
      </c>
      <c r="B3081" s="12">
        <f t="shared" ref="B3081:B3088" si="490">DATE(2012,12,31)-930</f>
        <v>40344</v>
      </c>
      <c r="C3081" s="11" t="s">
        <v>841</v>
      </c>
      <c r="D3081" s="11" t="s">
        <v>66</v>
      </c>
    </row>
    <row r="3082">
      <c r="A3082" s="11">
        <v>3081.0</v>
      </c>
      <c r="B3082" s="12">
        <f t="shared" si="490"/>
        <v>40344</v>
      </c>
      <c r="C3082" s="11" t="s">
        <v>897</v>
      </c>
      <c r="D3082" s="11" t="s">
        <v>66</v>
      </c>
    </row>
    <row r="3083">
      <c r="A3083" s="11">
        <v>3082.0</v>
      </c>
      <c r="B3083" s="12">
        <f t="shared" si="490"/>
        <v>40344</v>
      </c>
      <c r="C3083" s="11" t="s">
        <v>942</v>
      </c>
      <c r="D3083" s="11" t="s">
        <v>66</v>
      </c>
    </row>
    <row r="3084">
      <c r="A3084" s="11">
        <v>3083.0</v>
      </c>
      <c r="B3084" s="12">
        <f t="shared" si="490"/>
        <v>40344</v>
      </c>
      <c r="C3084" s="11" t="s">
        <v>1848</v>
      </c>
      <c r="D3084" s="11" t="s">
        <v>28</v>
      </c>
    </row>
    <row r="3085">
      <c r="A3085" s="11">
        <v>3084.0</v>
      </c>
      <c r="B3085" s="12">
        <f t="shared" si="490"/>
        <v>40344</v>
      </c>
      <c r="C3085" s="11" t="s">
        <v>1221</v>
      </c>
      <c r="D3085" s="11" t="s">
        <v>28</v>
      </c>
    </row>
    <row r="3086">
      <c r="A3086" s="11">
        <v>3085.0</v>
      </c>
      <c r="B3086" s="12">
        <f t="shared" si="490"/>
        <v>40344</v>
      </c>
      <c r="C3086" s="11" t="s">
        <v>1221</v>
      </c>
      <c r="D3086" s="11" t="s">
        <v>49</v>
      </c>
    </row>
    <row r="3087">
      <c r="A3087" s="11">
        <v>3086.0</v>
      </c>
      <c r="B3087" s="12">
        <f t="shared" si="490"/>
        <v>40344</v>
      </c>
      <c r="C3087" s="11" t="s">
        <v>1221</v>
      </c>
      <c r="D3087" s="11" t="s">
        <v>28</v>
      </c>
    </row>
    <row r="3088">
      <c r="A3088" s="11">
        <v>3087.0</v>
      </c>
      <c r="B3088" s="12">
        <f t="shared" si="490"/>
        <v>40344</v>
      </c>
      <c r="C3088" s="11" t="s">
        <v>546</v>
      </c>
      <c r="D3088" s="11" t="s">
        <v>28</v>
      </c>
    </row>
    <row r="3089">
      <c r="A3089" s="11">
        <v>3088.0</v>
      </c>
      <c r="B3089" s="12">
        <f t="shared" ref="B3089:B3094" si="491">DATE(2012,12,31)-929</f>
        <v>40345</v>
      </c>
      <c r="C3089" s="11" t="s">
        <v>1010</v>
      </c>
      <c r="D3089" s="11" t="s">
        <v>28</v>
      </c>
    </row>
    <row r="3090">
      <c r="A3090" s="11">
        <v>3089.0</v>
      </c>
      <c r="B3090" s="12">
        <f t="shared" si="491"/>
        <v>40345</v>
      </c>
      <c r="C3090" s="11" t="s">
        <v>1010</v>
      </c>
      <c r="D3090" s="11" t="s">
        <v>66</v>
      </c>
    </row>
    <row r="3091">
      <c r="A3091" s="11">
        <v>3090.0</v>
      </c>
      <c r="B3091" s="12">
        <f t="shared" si="491"/>
        <v>40345</v>
      </c>
      <c r="C3091" s="11" t="s">
        <v>1288</v>
      </c>
      <c r="D3091" s="11" t="s">
        <v>66</v>
      </c>
    </row>
    <row r="3092">
      <c r="A3092" s="11">
        <v>3091.0</v>
      </c>
      <c r="B3092" s="12">
        <f t="shared" si="491"/>
        <v>40345</v>
      </c>
      <c r="C3092" s="11" t="s">
        <v>462</v>
      </c>
      <c r="D3092" s="11" t="s">
        <v>49</v>
      </c>
    </row>
    <row r="3093">
      <c r="A3093" s="11">
        <v>3092.0</v>
      </c>
      <c r="B3093" s="12">
        <f t="shared" si="491"/>
        <v>40345</v>
      </c>
      <c r="C3093" s="11" t="s">
        <v>2262</v>
      </c>
      <c r="D3093" s="11" t="s">
        <v>49</v>
      </c>
    </row>
    <row r="3094">
      <c r="A3094" s="11">
        <v>3093.0</v>
      </c>
      <c r="B3094" s="12">
        <f t="shared" si="491"/>
        <v>40345</v>
      </c>
      <c r="C3094" s="11" t="s">
        <v>2358</v>
      </c>
      <c r="D3094" s="11" t="s">
        <v>28</v>
      </c>
    </row>
    <row r="3095">
      <c r="A3095" s="11">
        <v>3094.0</v>
      </c>
      <c r="B3095" s="12">
        <f t="shared" ref="B3095:B3104" si="492">DATE(2012,12,31)-928</f>
        <v>40346</v>
      </c>
      <c r="C3095" s="11" t="s">
        <v>2099</v>
      </c>
      <c r="D3095" s="11" t="s">
        <v>28</v>
      </c>
    </row>
    <row r="3096">
      <c r="A3096" s="11">
        <v>3095.0</v>
      </c>
      <c r="B3096" s="12">
        <f t="shared" si="492"/>
        <v>40346</v>
      </c>
      <c r="C3096" s="11" t="s">
        <v>2099</v>
      </c>
      <c r="D3096" s="11" t="s">
        <v>28</v>
      </c>
    </row>
    <row r="3097">
      <c r="A3097" s="11">
        <v>3096.0</v>
      </c>
      <c r="B3097" s="12">
        <f t="shared" si="492"/>
        <v>40346</v>
      </c>
      <c r="C3097" s="11" t="s">
        <v>1045</v>
      </c>
      <c r="D3097" s="11" t="s">
        <v>66</v>
      </c>
    </row>
    <row r="3098">
      <c r="A3098" s="11">
        <v>3097.0</v>
      </c>
      <c r="B3098" s="12">
        <f t="shared" si="492"/>
        <v>40346</v>
      </c>
      <c r="C3098" s="11" t="s">
        <v>1045</v>
      </c>
      <c r="D3098" s="11" t="s">
        <v>28</v>
      </c>
    </row>
    <row r="3099">
      <c r="A3099" s="11">
        <v>3098.0</v>
      </c>
      <c r="B3099" s="12">
        <f t="shared" si="492"/>
        <v>40346</v>
      </c>
      <c r="C3099" s="11" t="s">
        <v>647</v>
      </c>
      <c r="D3099" s="11" t="s">
        <v>66</v>
      </c>
    </row>
    <row r="3100">
      <c r="A3100" s="11">
        <v>3099.0</v>
      </c>
      <c r="B3100" s="12">
        <f t="shared" si="492"/>
        <v>40346</v>
      </c>
      <c r="C3100" s="11" t="s">
        <v>647</v>
      </c>
      <c r="D3100" s="11" t="s">
        <v>66</v>
      </c>
    </row>
    <row r="3101">
      <c r="A3101" s="11">
        <v>3100.0</v>
      </c>
      <c r="B3101" s="12">
        <f t="shared" si="492"/>
        <v>40346</v>
      </c>
      <c r="C3101" s="11" t="s">
        <v>648</v>
      </c>
      <c r="D3101" s="11" t="s">
        <v>28</v>
      </c>
    </row>
    <row r="3102">
      <c r="A3102" s="11">
        <v>3101.0</v>
      </c>
      <c r="B3102" s="12">
        <f t="shared" si="492"/>
        <v>40346</v>
      </c>
      <c r="C3102" s="11" t="s">
        <v>925</v>
      </c>
      <c r="D3102" s="11" t="s">
        <v>66</v>
      </c>
    </row>
    <row r="3103">
      <c r="A3103" s="11">
        <v>3102.0</v>
      </c>
      <c r="B3103" s="12">
        <f t="shared" si="492"/>
        <v>40346</v>
      </c>
      <c r="C3103" s="11" t="s">
        <v>925</v>
      </c>
      <c r="D3103" s="11" t="s">
        <v>28</v>
      </c>
    </row>
    <row r="3104">
      <c r="A3104" s="11">
        <v>3103.0</v>
      </c>
      <c r="B3104" s="12">
        <f t="shared" si="492"/>
        <v>40346</v>
      </c>
      <c r="C3104" s="11" t="s">
        <v>1199</v>
      </c>
      <c r="D3104" s="11" t="s">
        <v>28</v>
      </c>
    </row>
    <row r="3105">
      <c r="A3105" s="11">
        <v>3104.0</v>
      </c>
      <c r="B3105" s="12">
        <f>DATE(2012,12,31)-927</f>
        <v>40347</v>
      </c>
      <c r="C3105" s="11" t="s">
        <v>803</v>
      </c>
      <c r="D3105" s="11" t="s">
        <v>66</v>
      </c>
    </row>
    <row r="3106">
      <c r="A3106" s="11">
        <v>3105.0</v>
      </c>
      <c r="B3106" s="12">
        <f t="shared" ref="B3106:B3113" si="493">DATE(2012,12,31)-926</f>
        <v>40348</v>
      </c>
      <c r="C3106" s="11" t="s">
        <v>104</v>
      </c>
      <c r="D3106" s="11" t="s">
        <v>28</v>
      </c>
    </row>
    <row r="3107">
      <c r="A3107" s="11">
        <v>3106.0</v>
      </c>
      <c r="B3107" s="12">
        <f t="shared" si="493"/>
        <v>40348</v>
      </c>
      <c r="C3107" s="11" t="s">
        <v>507</v>
      </c>
      <c r="D3107" s="11" t="s">
        <v>28</v>
      </c>
    </row>
    <row r="3108">
      <c r="A3108" s="11">
        <v>3107.0</v>
      </c>
      <c r="B3108" s="12">
        <f t="shared" si="493"/>
        <v>40348</v>
      </c>
      <c r="C3108" s="11" t="s">
        <v>507</v>
      </c>
      <c r="D3108" s="11" t="s">
        <v>28</v>
      </c>
    </row>
    <row r="3109">
      <c r="A3109" s="11">
        <v>3108.0</v>
      </c>
      <c r="B3109" s="12">
        <f t="shared" si="493"/>
        <v>40348</v>
      </c>
      <c r="C3109" s="11" t="s">
        <v>507</v>
      </c>
      <c r="D3109" s="11" t="s">
        <v>66</v>
      </c>
    </row>
    <row r="3110">
      <c r="A3110" s="11">
        <v>3109.0</v>
      </c>
      <c r="B3110" s="12">
        <f t="shared" si="493"/>
        <v>40348</v>
      </c>
      <c r="C3110" s="11" t="s">
        <v>1861</v>
      </c>
      <c r="D3110" s="11" t="s">
        <v>66</v>
      </c>
    </row>
    <row r="3111">
      <c r="A3111" s="11">
        <v>3110.0</v>
      </c>
      <c r="B3111" s="12">
        <f t="shared" si="493"/>
        <v>40348</v>
      </c>
      <c r="C3111" s="11" t="s">
        <v>940</v>
      </c>
      <c r="D3111" s="11" t="s">
        <v>28</v>
      </c>
    </row>
    <row r="3112">
      <c r="A3112" s="11">
        <v>3111.0</v>
      </c>
      <c r="B3112" s="12">
        <f t="shared" si="493"/>
        <v>40348</v>
      </c>
      <c r="C3112" s="11" t="s">
        <v>1409</v>
      </c>
      <c r="D3112" s="11" t="s">
        <v>28</v>
      </c>
    </row>
    <row r="3113">
      <c r="A3113" s="11">
        <v>3112.0</v>
      </c>
      <c r="B3113" s="12">
        <f t="shared" si="493"/>
        <v>40348</v>
      </c>
      <c r="C3113" s="11" t="s">
        <v>2360</v>
      </c>
      <c r="D3113" s="11" t="s">
        <v>66</v>
      </c>
    </row>
    <row r="3114">
      <c r="A3114" s="11">
        <v>3113.0</v>
      </c>
      <c r="B3114" s="12">
        <f t="shared" ref="B3114:B3115" si="494">DATE(2012,12,31)-925</f>
        <v>40349</v>
      </c>
      <c r="C3114" s="11" t="s">
        <v>1214</v>
      </c>
      <c r="D3114" s="11" t="s">
        <v>66</v>
      </c>
    </row>
    <row r="3115">
      <c r="A3115" s="11">
        <v>3114.0</v>
      </c>
      <c r="B3115" s="12">
        <f t="shared" si="494"/>
        <v>40349</v>
      </c>
      <c r="C3115" s="11" t="s">
        <v>494</v>
      </c>
      <c r="D3115" s="11" t="s">
        <v>66</v>
      </c>
    </row>
    <row r="3116">
      <c r="A3116" s="11">
        <v>3115.0</v>
      </c>
      <c r="B3116" s="12">
        <f t="shared" ref="B3116:B3123" si="495">DATE(2012,12,31)-924</f>
        <v>40350</v>
      </c>
      <c r="C3116" s="11" t="s">
        <v>724</v>
      </c>
      <c r="D3116" s="11" t="s">
        <v>28</v>
      </c>
    </row>
    <row r="3117">
      <c r="A3117" s="11">
        <v>3116.0</v>
      </c>
      <c r="B3117" s="12">
        <f t="shared" si="495"/>
        <v>40350</v>
      </c>
      <c r="C3117" s="11" t="s">
        <v>2080</v>
      </c>
      <c r="D3117" s="11" t="s">
        <v>28</v>
      </c>
    </row>
    <row r="3118">
      <c r="A3118" s="11">
        <v>3117.0</v>
      </c>
      <c r="B3118" s="12">
        <f t="shared" si="495"/>
        <v>40350</v>
      </c>
      <c r="C3118" s="11" t="s">
        <v>2080</v>
      </c>
      <c r="D3118" s="11" t="s">
        <v>28</v>
      </c>
    </row>
    <row r="3119">
      <c r="A3119" s="11">
        <v>3118.0</v>
      </c>
      <c r="B3119" s="12">
        <f t="shared" si="495"/>
        <v>40350</v>
      </c>
      <c r="C3119" s="11" t="s">
        <v>2080</v>
      </c>
      <c r="D3119" s="11" t="s">
        <v>28</v>
      </c>
    </row>
    <row r="3120">
      <c r="A3120" s="11">
        <v>3119.0</v>
      </c>
      <c r="B3120" s="12">
        <f t="shared" si="495"/>
        <v>40350</v>
      </c>
      <c r="C3120" s="11" t="s">
        <v>771</v>
      </c>
      <c r="D3120" s="11" t="s">
        <v>28</v>
      </c>
    </row>
    <row r="3121">
      <c r="A3121" s="11">
        <v>3120.0</v>
      </c>
      <c r="B3121" s="12">
        <f t="shared" si="495"/>
        <v>40350</v>
      </c>
      <c r="C3121" s="11" t="s">
        <v>2361</v>
      </c>
      <c r="D3121" s="11" t="s">
        <v>66</v>
      </c>
    </row>
    <row r="3122">
      <c r="A3122" s="11">
        <v>3121.0</v>
      </c>
      <c r="B3122" s="12">
        <f t="shared" si="495"/>
        <v>40350</v>
      </c>
      <c r="C3122" s="11" t="s">
        <v>2361</v>
      </c>
      <c r="D3122" s="11" t="s">
        <v>28</v>
      </c>
    </row>
    <row r="3123">
      <c r="A3123" s="11">
        <v>3122.0</v>
      </c>
      <c r="B3123" s="12">
        <f t="shared" si="495"/>
        <v>40350</v>
      </c>
      <c r="C3123" s="11" t="s">
        <v>1653</v>
      </c>
      <c r="D3123" s="11" t="s">
        <v>28</v>
      </c>
    </row>
    <row r="3124">
      <c r="A3124" s="11">
        <v>3123.0</v>
      </c>
      <c r="B3124" s="12">
        <f t="shared" ref="B3124:B3125" si="496">DATE(2012,12,31)-923</f>
        <v>40351</v>
      </c>
      <c r="C3124" s="11" t="s">
        <v>636</v>
      </c>
      <c r="D3124" s="11" t="s">
        <v>66</v>
      </c>
    </row>
    <row r="3125">
      <c r="A3125" s="11">
        <v>3124.0</v>
      </c>
      <c r="B3125" s="12">
        <f t="shared" si="496"/>
        <v>40351</v>
      </c>
      <c r="C3125" s="11" t="s">
        <v>2295</v>
      </c>
      <c r="D3125" s="11" t="s">
        <v>28</v>
      </c>
    </row>
    <row r="3126">
      <c r="A3126" s="11">
        <v>3125.0</v>
      </c>
      <c r="B3126" s="12">
        <f t="shared" ref="B3126:B3134" si="497">DATE(2012,12,31)-922</f>
        <v>40352</v>
      </c>
      <c r="C3126" s="11" t="s">
        <v>1831</v>
      </c>
      <c r="D3126" s="11" t="s">
        <v>66</v>
      </c>
    </row>
    <row r="3127">
      <c r="A3127" s="11">
        <v>3126.0</v>
      </c>
      <c r="B3127" s="12">
        <f t="shared" si="497"/>
        <v>40352</v>
      </c>
      <c r="C3127" s="11" t="s">
        <v>613</v>
      </c>
      <c r="D3127" s="11" t="s">
        <v>49</v>
      </c>
    </row>
    <row r="3128">
      <c r="A3128" s="11">
        <v>3127.0</v>
      </c>
      <c r="B3128" s="12">
        <f t="shared" si="497"/>
        <v>40352</v>
      </c>
      <c r="C3128" s="11" t="s">
        <v>613</v>
      </c>
      <c r="D3128" s="11" t="s">
        <v>28</v>
      </c>
    </row>
    <row r="3129">
      <c r="A3129" s="11">
        <v>3128.0</v>
      </c>
      <c r="B3129" s="12">
        <f t="shared" si="497"/>
        <v>40352</v>
      </c>
      <c r="C3129" s="11" t="s">
        <v>251</v>
      </c>
      <c r="D3129" s="11" t="s">
        <v>28</v>
      </c>
    </row>
    <row r="3130">
      <c r="A3130" s="11">
        <v>3129.0</v>
      </c>
      <c r="B3130" s="12">
        <f t="shared" si="497"/>
        <v>40352</v>
      </c>
      <c r="C3130" s="11" t="s">
        <v>251</v>
      </c>
      <c r="D3130" s="11" t="s">
        <v>28</v>
      </c>
    </row>
    <row r="3131">
      <c r="A3131" s="11">
        <v>3130.0</v>
      </c>
      <c r="B3131" s="12">
        <f t="shared" si="497"/>
        <v>40352</v>
      </c>
      <c r="C3131" s="11" t="s">
        <v>1482</v>
      </c>
      <c r="D3131" s="11" t="s">
        <v>66</v>
      </c>
    </row>
    <row r="3132">
      <c r="A3132" s="11">
        <v>3131.0</v>
      </c>
      <c r="B3132" s="12">
        <f t="shared" si="497"/>
        <v>40352</v>
      </c>
      <c r="C3132" s="11" t="s">
        <v>1482</v>
      </c>
      <c r="D3132" s="11" t="s">
        <v>49</v>
      </c>
    </row>
    <row r="3133">
      <c r="A3133" s="11">
        <v>3132.0</v>
      </c>
      <c r="B3133" s="12">
        <f t="shared" si="497"/>
        <v>40352</v>
      </c>
      <c r="C3133" s="11" t="s">
        <v>1482</v>
      </c>
      <c r="D3133" s="11" t="s">
        <v>28</v>
      </c>
    </row>
    <row r="3134">
      <c r="A3134" s="11">
        <v>3133.0</v>
      </c>
      <c r="B3134" s="12">
        <f t="shared" si="497"/>
        <v>40352</v>
      </c>
      <c r="C3134" s="11" t="s">
        <v>1482</v>
      </c>
      <c r="D3134" s="11" t="s">
        <v>66</v>
      </c>
    </row>
    <row r="3135">
      <c r="A3135" s="11">
        <v>3134.0</v>
      </c>
      <c r="B3135" s="12">
        <f t="shared" ref="B3135:B3137" si="498">DATE(2012,12,31)-921</f>
        <v>40353</v>
      </c>
      <c r="C3135" s="11" t="s">
        <v>2365</v>
      </c>
      <c r="D3135" s="11" t="s">
        <v>28</v>
      </c>
    </row>
    <row r="3136">
      <c r="A3136" s="11">
        <v>3135.0</v>
      </c>
      <c r="B3136" s="12">
        <f t="shared" si="498"/>
        <v>40353</v>
      </c>
      <c r="C3136" s="11" t="s">
        <v>2365</v>
      </c>
      <c r="D3136" s="11" t="s">
        <v>49</v>
      </c>
    </row>
    <row r="3137">
      <c r="A3137" s="11">
        <v>3136.0</v>
      </c>
      <c r="B3137" s="12">
        <f t="shared" si="498"/>
        <v>40353</v>
      </c>
      <c r="C3137" s="11" t="s">
        <v>436</v>
      </c>
      <c r="D3137" s="11" t="s">
        <v>28</v>
      </c>
    </row>
    <row r="3138">
      <c r="A3138" s="11">
        <v>3137.0</v>
      </c>
      <c r="B3138" s="12">
        <f t="shared" ref="B3138:B3150" si="499">DATE(2012,12,31)-920</f>
        <v>40354</v>
      </c>
      <c r="C3138" s="11" t="s">
        <v>703</v>
      </c>
      <c r="D3138" s="11" t="s">
        <v>28</v>
      </c>
    </row>
    <row r="3139">
      <c r="A3139" s="11">
        <v>3138.0</v>
      </c>
      <c r="B3139" s="12">
        <f t="shared" si="499"/>
        <v>40354</v>
      </c>
      <c r="C3139" s="11" t="s">
        <v>1515</v>
      </c>
      <c r="D3139" s="11" t="s">
        <v>28</v>
      </c>
    </row>
    <row r="3140">
      <c r="A3140" s="11">
        <v>3139.0</v>
      </c>
      <c r="B3140" s="12">
        <f t="shared" si="499"/>
        <v>40354</v>
      </c>
      <c r="C3140" s="11" t="s">
        <v>1515</v>
      </c>
      <c r="D3140" s="11" t="s">
        <v>28</v>
      </c>
    </row>
    <row r="3141">
      <c r="A3141" s="11">
        <v>3140.0</v>
      </c>
      <c r="B3141" s="12">
        <f t="shared" si="499"/>
        <v>40354</v>
      </c>
      <c r="C3141" s="11" t="s">
        <v>232</v>
      </c>
      <c r="D3141" s="11" t="s">
        <v>28</v>
      </c>
    </row>
    <row r="3142">
      <c r="A3142" s="11">
        <v>3141.0</v>
      </c>
      <c r="B3142" s="12">
        <f t="shared" si="499"/>
        <v>40354</v>
      </c>
      <c r="C3142" s="11" t="s">
        <v>232</v>
      </c>
      <c r="D3142" s="11" t="s">
        <v>49</v>
      </c>
    </row>
    <row r="3143">
      <c r="A3143" s="11">
        <v>3142.0</v>
      </c>
      <c r="B3143" s="12">
        <f t="shared" si="499"/>
        <v>40354</v>
      </c>
      <c r="C3143" s="11" t="s">
        <v>232</v>
      </c>
      <c r="D3143" s="11" t="s">
        <v>66</v>
      </c>
    </row>
    <row r="3144">
      <c r="A3144" s="11">
        <v>3143.0</v>
      </c>
      <c r="B3144" s="12">
        <f t="shared" si="499"/>
        <v>40354</v>
      </c>
      <c r="C3144" s="11" t="s">
        <v>1529</v>
      </c>
      <c r="D3144" s="11" t="s">
        <v>66</v>
      </c>
    </row>
    <row r="3145">
      <c r="A3145" s="11">
        <v>3144.0</v>
      </c>
      <c r="B3145" s="12">
        <f t="shared" si="499"/>
        <v>40354</v>
      </c>
      <c r="C3145" s="11" t="s">
        <v>1529</v>
      </c>
      <c r="D3145" s="11" t="s">
        <v>28</v>
      </c>
    </row>
    <row r="3146">
      <c r="A3146" s="11">
        <v>3145.0</v>
      </c>
      <c r="B3146" s="12">
        <f t="shared" si="499"/>
        <v>40354</v>
      </c>
      <c r="C3146" s="11" t="s">
        <v>1529</v>
      </c>
      <c r="D3146" s="11" t="s">
        <v>28</v>
      </c>
    </row>
    <row r="3147">
      <c r="A3147" s="11">
        <v>3146.0</v>
      </c>
      <c r="B3147" s="12">
        <f t="shared" si="499"/>
        <v>40354</v>
      </c>
      <c r="C3147" s="11" t="s">
        <v>1529</v>
      </c>
      <c r="D3147" s="11" t="s">
        <v>28</v>
      </c>
    </row>
    <row r="3148">
      <c r="A3148" s="11">
        <v>3147.0</v>
      </c>
      <c r="B3148" s="12">
        <f t="shared" si="499"/>
        <v>40354</v>
      </c>
      <c r="C3148" s="11" t="s">
        <v>1364</v>
      </c>
      <c r="D3148" s="11" t="s">
        <v>28</v>
      </c>
    </row>
    <row r="3149">
      <c r="A3149" s="11">
        <v>3148.0</v>
      </c>
      <c r="B3149" s="12">
        <f t="shared" si="499"/>
        <v>40354</v>
      </c>
      <c r="C3149" s="11" t="s">
        <v>1364</v>
      </c>
      <c r="D3149" s="11" t="s">
        <v>28</v>
      </c>
    </row>
    <row r="3150">
      <c r="A3150" s="11">
        <v>3149.0</v>
      </c>
      <c r="B3150" s="12">
        <f t="shared" si="499"/>
        <v>40354</v>
      </c>
      <c r="C3150" s="11" t="s">
        <v>1772</v>
      </c>
      <c r="D3150" s="11" t="s">
        <v>28</v>
      </c>
    </row>
    <row r="3151">
      <c r="A3151" s="11">
        <v>3150.0</v>
      </c>
      <c r="B3151" s="12">
        <f t="shared" ref="B3151:B3154" si="500">DATE(2012,12,31)-919</f>
        <v>40355</v>
      </c>
      <c r="C3151" s="11" t="s">
        <v>97</v>
      </c>
      <c r="D3151" s="11" t="s">
        <v>28</v>
      </c>
    </row>
    <row r="3152">
      <c r="A3152" s="11">
        <v>3151.0</v>
      </c>
      <c r="B3152" s="12">
        <f t="shared" si="500"/>
        <v>40355</v>
      </c>
      <c r="C3152" s="11" t="s">
        <v>1653</v>
      </c>
      <c r="D3152" s="11" t="s">
        <v>49</v>
      </c>
    </row>
    <row r="3153">
      <c r="A3153" s="11">
        <v>3152.0</v>
      </c>
      <c r="B3153" s="12">
        <f t="shared" si="500"/>
        <v>40355</v>
      </c>
      <c r="C3153" s="11" t="s">
        <v>106</v>
      </c>
      <c r="D3153" s="11" t="s">
        <v>66</v>
      </c>
    </row>
    <row r="3154">
      <c r="A3154" s="11">
        <v>3153.0</v>
      </c>
      <c r="B3154" s="12">
        <f t="shared" si="500"/>
        <v>40355</v>
      </c>
      <c r="C3154" s="11" t="s">
        <v>106</v>
      </c>
      <c r="D3154" s="11" t="s">
        <v>66</v>
      </c>
    </row>
    <row r="3155">
      <c r="A3155" s="11">
        <v>3154.0</v>
      </c>
      <c r="B3155" s="12">
        <f t="shared" ref="B3155:B3161" si="501">DATE(2012,12,31)-918</f>
        <v>40356</v>
      </c>
      <c r="C3155" s="11" t="s">
        <v>2361</v>
      </c>
      <c r="D3155" s="11" t="s">
        <v>28</v>
      </c>
    </row>
    <row r="3156">
      <c r="A3156" s="11">
        <v>3155.0</v>
      </c>
      <c r="B3156" s="12">
        <f t="shared" si="501"/>
        <v>40356</v>
      </c>
      <c r="C3156" s="11" t="s">
        <v>2361</v>
      </c>
      <c r="D3156" s="11" t="s">
        <v>66</v>
      </c>
    </row>
    <row r="3157">
      <c r="A3157" s="11">
        <v>3156.0</v>
      </c>
      <c r="B3157" s="12">
        <f t="shared" si="501"/>
        <v>40356</v>
      </c>
      <c r="C3157" s="11" t="s">
        <v>2372</v>
      </c>
      <c r="D3157" s="11" t="s">
        <v>49</v>
      </c>
    </row>
    <row r="3158">
      <c r="A3158" s="11">
        <v>3157.0</v>
      </c>
      <c r="B3158" s="12">
        <f t="shared" si="501"/>
        <v>40356</v>
      </c>
      <c r="C3158" s="11" t="s">
        <v>2372</v>
      </c>
      <c r="D3158" s="11" t="s">
        <v>66</v>
      </c>
    </row>
    <row r="3159">
      <c r="A3159" s="11">
        <v>3158.0</v>
      </c>
      <c r="B3159" s="12">
        <f t="shared" si="501"/>
        <v>40356</v>
      </c>
      <c r="C3159" s="11" t="s">
        <v>1754</v>
      </c>
      <c r="D3159" s="11" t="s">
        <v>49</v>
      </c>
    </row>
    <row r="3160">
      <c r="A3160" s="11">
        <v>3159.0</v>
      </c>
      <c r="B3160" s="12">
        <f t="shared" si="501"/>
        <v>40356</v>
      </c>
      <c r="C3160" s="11" t="s">
        <v>1754</v>
      </c>
      <c r="D3160" s="11" t="s">
        <v>66</v>
      </c>
    </row>
    <row r="3161">
      <c r="A3161" s="11">
        <v>3160.0</v>
      </c>
      <c r="B3161" s="12">
        <f t="shared" si="501"/>
        <v>40356</v>
      </c>
      <c r="C3161" s="11" t="s">
        <v>1754</v>
      </c>
      <c r="D3161" s="11" t="s">
        <v>28</v>
      </c>
    </row>
    <row r="3162">
      <c r="A3162" s="11">
        <v>3161.0</v>
      </c>
      <c r="B3162" s="12">
        <f t="shared" ref="B3162:B3165" si="502">DATE(2012,12,31)-917</f>
        <v>40357</v>
      </c>
      <c r="C3162" s="11" t="s">
        <v>546</v>
      </c>
      <c r="D3162" s="11" t="s">
        <v>66</v>
      </c>
    </row>
    <row r="3163">
      <c r="A3163" s="11">
        <v>3162.0</v>
      </c>
      <c r="B3163" s="12">
        <f t="shared" si="502"/>
        <v>40357</v>
      </c>
      <c r="C3163" s="11" t="s">
        <v>859</v>
      </c>
      <c r="D3163" s="11" t="s">
        <v>28</v>
      </c>
    </row>
    <row r="3164">
      <c r="A3164" s="11">
        <v>3163.0</v>
      </c>
      <c r="B3164" s="12">
        <f t="shared" si="502"/>
        <v>40357</v>
      </c>
      <c r="C3164" s="11" t="s">
        <v>746</v>
      </c>
      <c r="D3164" s="11" t="s">
        <v>66</v>
      </c>
    </row>
    <row r="3165">
      <c r="A3165" s="11">
        <v>3164.0</v>
      </c>
      <c r="B3165" s="12">
        <f t="shared" si="502"/>
        <v>40357</v>
      </c>
      <c r="C3165" s="11" t="s">
        <v>1961</v>
      </c>
      <c r="D3165" s="11" t="s">
        <v>49</v>
      </c>
    </row>
    <row r="3166">
      <c r="A3166" s="11">
        <v>3165.0</v>
      </c>
      <c r="B3166" s="12">
        <f t="shared" ref="B3166:B3169" si="503">DATE(2012,12,31)-916</f>
        <v>40358</v>
      </c>
      <c r="C3166" s="11" t="s">
        <v>1069</v>
      </c>
      <c r="D3166" s="11" t="s">
        <v>28</v>
      </c>
    </row>
    <row r="3167">
      <c r="A3167" s="11">
        <v>3166.0</v>
      </c>
      <c r="B3167" s="12">
        <f t="shared" si="503"/>
        <v>40358</v>
      </c>
      <c r="C3167" s="11" t="s">
        <v>1069</v>
      </c>
      <c r="D3167" s="11" t="s">
        <v>66</v>
      </c>
    </row>
    <row r="3168">
      <c r="A3168" s="11">
        <v>3167.0</v>
      </c>
      <c r="B3168" s="12">
        <f t="shared" si="503"/>
        <v>40358</v>
      </c>
      <c r="C3168" s="11" t="s">
        <v>1257</v>
      </c>
      <c r="D3168" s="11" t="s">
        <v>28</v>
      </c>
    </row>
    <row r="3169">
      <c r="A3169" s="11">
        <v>3168.0</v>
      </c>
      <c r="B3169" s="12">
        <f t="shared" si="503"/>
        <v>40358</v>
      </c>
      <c r="C3169" s="11" t="s">
        <v>1257</v>
      </c>
      <c r="D3169" s="11" t="s">
        <v>49</v>
      </c>
    </row>
    <row r="3170">
      <c r="A3170" s="11">
        <v>3169.0</v>
      </c>
      <c r="B3170" s="12">
        <f t="shared" ref="B3170:B3174" si="504">DATE(2012,12,31)-915</f>
        <v>40359</v>
      </c>
      <c r="C3170" s="11" t="s">
        <v>2373</v>
      </c>
      <c r="D3170" s="11" t="s">
        <v>66</v>
      </c>
    </row>
    <row r="3171">
      <c r="A3171" s="11">
        <v>3170.0</v>
      </c>
      <c r="B3171" s="12">
        <f t="shared" si="504"/>
        <v>40359</v>
      </c>
      <c r="C3171" s="11" t="s">
        <v>2373</v>
      </c>
      <c r="D3171" s="11" t="s">
        <v>28</v>
      </c>
    </row>
    <row r="3172">
      <c r="A3172" s="11">
        <v>3171.0</v>
      </c>
      <c r="B3172" s="12">
        <f t="shared" si="504"/>
        <v>40359</v>
      </c>
      <c r="C3172" s="11" t="s">
        <v>2374</v>
      </c>
      <c r="D3172" s="11" t="s">
        <v>28</v>
      </c>
    </row>
    <row r="3173">
      <c r="A3173" s="11">
        <v>3172.0</v>
      </c>
      <c r="B3173" s="12">
        <f t="shared" si="504"/>
        <v>40359</v>
      </c>
      <c r="C3173" s="11" t="s">
        <v>1353</v>
      </c>
      <c r="D3173" s="11" t="s">
        <v>28</v>
      </c>
    </row>
    <row r="3174">
      <c r="A3174" s="11">
        <v>3173.0</v>
      </c>
      <c r="B3174" s="12">
        <f t="shared" si="504"/>
        <v>40359</v>
      </c>
      <c r="C3174" s="11" t="s">
        <v>1353</v>
      </c>
      <c r="D3174" s="11" t="s">
        <v>28</v>
      </c>
    </row>
    <row r="3175">
      <c r="A3175" s="11">
        <v>3174.0</v>
      </c>
      <c r="B3175" s="12">
        <f t="shared" ref="B3175:B3188" si="505">DATE(2012,12,31)-912</f>
        <v>40362</v>
      </c>
      <c r="C3175" s="11" t="s">
        <v>1276</v>
      </c>
      <c r="D3175" s="11" t="s">
        <v>66</v>
      </c>
    </row>
    <row r="3176">
      <c r="A3176" s="11">
        <v>3175.0</v>
      </c>
      <c r="B3176" s="12">
        <f t="shared" si="505"/>
        <v>40362</v>
      </c>
      <c r="C3176" s="11" t="s">
        <v>1276</v>
      </c>
      <c r="D3176" s="11" t="s">
        <v>28</v>
      </c>
    </row>
    <row r="3177">
      <c r="A3177" s="11">
        <v>3176.0</v>
      </c>
      <c r="B3177" s="12">
        <f t="shared" si="505"/>
        <v>40362</v>
      </c>
      <c r="C3177" s="11" t="s">
        <v>2375</v>
      </c>
      <c r="D3177" s="11" t="s">
        <v>28</v>
      </c>
    </row>
    <row r="3178">
      <c r="A3178" s="11">
        <v>3177.0</v>
      </c>
      <c r="B3178" s="12">
        <f t="shared" si="505"/>
        <v>40362</v>
      </c>
      <c r="C3178" s="11" t="s">
        <v>2375</v>
      </c>
      <c r="D3178" s="11" t="s">
        <v>28</v>
      </c>
    </row>
    <row r="3179">
      <c r="A3179" s="11">
        <v>3178.0</v>
      </c>
      <c r="B3179" s="12">
        <f t="shared" si="505"/>
        <v>40362</v>
      </c>
      <c r="C3179" s="11" t="s">
        <v>213</v>
      </c>
      <c r="D3179" s="11" t="s">
        <v>28</v>
      </c>
    </row>
    <row r="3180">
      <c r="A3180" s="11">
        <v>3179.0</v>
      </c>
      <c r="B3180" s="12">
        <f t="shared" si="505"/>
        <v>40362</v>
      </c>
      <c r="C3180" s="11" t="s">
        <v>213</v>
      </c>
      <c r="D3180" s="11" t="s">
        <v>28</v>
      </c>
    </row>
    <row r="3181">
      <c r="A3181" s="11">
        <v>3180.0</v>
      </c>
      <c r="B3181" s="12">
        <f t="shared" si="505"/>
        <v>40362</v>
      </c>
      <c r="C3181" s="11" t="s">
        <v>213</v>
      </c>
      <c r="D3181" s="11" t="s">
        <v>66</v>
      </c>
    </row>
    <row r="3182">
      <c r="A3182" s="11">
        <v>3181.0</v>
      </c>
      <c r="B3182" s="12">
        <f t="shared" si="505"/>
        <v>40362</v>
      </c>
      <c r="C3182" s="11" t="s">
        <v>2365</v>
      </c>
      <c r="D3182" s="11" t="s">
        <v>49</v>
      </c>
    </row>
    <row r="3183">
      <c r="A3183" s="11">
        <v>3182.0</v>
      </c>
      <c r="B3183" s="12">
        <f t="shared" si="505"/>
        <v>40362</v>
      </c>
      <c r="C3183" s="11" t="s">
        <v>2361</v>
      </c>
      <c r="D3183" s="11" t="s">
        <v>66</v>
      </c>
    </row>
    <row r="3184">
      <c r="A3184" s="11">
        <v>3183.0</v>
      </c>
      <c r="B3184" s="12">
        <f t="shared" si="505"/>
        <v>40362</v>
      </c>
      <c r="C3184" s="11" t="s">
        <v>555</v>
      </c>
      <c r="D3184" s="11" t="s">
        <v>49</v>
      </c>
    </row>
    <row r="3185">
      <c r="A3185" s="11">
        <v>3184.0</v>
      </c>
      <c r="B3185" s="12">
        <f t="shared" si="505"/>
        <v>40362</v>
      </c>
      <c r="C3185" s="11" t="s">
        <v>1876</v>
      </c>
      <c r="D3185" s="11" t="s">
        <v>28</v>
      </c>
    </row>
    <row r="3186">
      <c r="A3186" s="11">
        <v>3185.0</v>
      </c>
      <c r="B3186" s="12">
        <f t="shared" si="505"/>
        <v>40362</v>
      </c>
      <c r="C3186" s="11" t="s">
        <v>2358</v>
      </c>
      <c r="D3186" s="11" t="s">
        <v>66</v>
      </c>
    </row>
    <row r="3187">
      <c r="A3187" s="11">
        <v>3186.0</v>
      </c>
      <c r="B3187" s="12">
        <f t="shared" si="505"/>
        <v>40362</v>
      </c>
      <c r="C3187" s="11" t="s">
        <v>2358</v>
      </c>
      <c r="D3187" s="11" t="s">
        <v>28</v>
      </c>
    </row>
    <row r="3188">
      <c r="A3188" s="11">
        <v>3187.0</v>
      </c>
      <c r="B3188" s="12">
        <f t="shared" si="505"/>
        <v>40362</v>
      </c>
      <c r="C3188" s="11" t="s">
        <v>934</v>
      </c>
      <c r="D3188" s="11" t="s">
        <v>28</v>
      </c>
    </row>
    <row r="3189">
      <c r="A3189" s="11">
        <v>3188.0</v>
      </c>
      <c r="B3189" s="12">
        <f t="shared" ref="B3189:B3195" si="506">DATE(2012,12,31)-911</f>
        <v>40363</v>
      </c>
      <c r="C3189" s="11" t="s">
        <v>1108</v>
      </c>
      <c r="D3189" s="11" t="s">
        <v>66</v>
      </c>
    </row>
    <row r="3190">
      <c r="A3190" s="11">
        <v>3189.0</v>
      </c>
      <c r="B3190" s="12">
        <f t="shared" si="506"/>
        <v>40363</v>
      </c>
      <c r="C3190" s="11" t="s">
        <v>1737</v>
      </c>
      <c r="D3190" s="11" t="s">
        <v>28</v>
      </c>
    </row>
    <row r="3191">
      <c r="A3191" s="11">
        <v>3190.0</v>
      </c>
      <c r="B3191" s="12">
        <f t="shared" si="506"/>
        <v>40363</v>
      </c>
      <c r="C3191" s="11" t="s">
        <v>690</v>
      </c>
      <c r="D3191" s="11" t="s">
        <v>28</v>
      </c>
    </row>
    <row r="3192">
      <c r="A3192" s="11">
        <v>3191.0</v>
      </c>
      <c r="B3192" s="12">
        <f t="shared" si="506"/>
        <v>40363</v>
      </c>
      <c r="C3192" s="11" t="s">
        <v>1979</v>
      </c>
      <c r="D3192" s="11" t="s">
        <v>28</v>
      </c>
    </row>
    <row r="3193">
      <c r="A3193" s="11">
        <v>3192.0</v>
      </c>
      <c r="B3193" s="12">
        <f t="shared" si="506"/>
        <v>40363</v>
      </c>
      <c r="C3193" s="11" t="s">
        <v>1979</v>
      </c>
      <c r="D3193" s="11" t="s">
        <v>28</v>
      </c>
    </row>
    <row r="3194">
      <c r="A3194" s="11">
        <v>3193.0</v>
      </c>
      <c r="B3194" s="12">
        <f t="shared" si="506"/>
        <v>40363</v>
      </c>
      <c r="C3194" s="11" t="s">
        <v>1020</v>
      </c>
      <c r="D3194" s="11" t="s">
        <v>66</v>
      </c>
    </row>
    <row r="3195">
      <c r="A3195" s="11">
        <v>3194.0</v>
      </c>
      <c r="B3195" s="12">
        <f t="shared" si="506"/>
        <v>40363</v>
      </c>
      <c r="C3195" s="11" t="s">
        <v>2075</v>
      </c>
      <c r="D3195" s="11" t="s">
        <v>28</v>
      </c>
    </row>
    <row r="3196">
      <c r="A3196" s="11">
        <v>3195.0</v>
      </c>
      <c r="B3196" s="12">
        <f t="shared" ref="B3196:B3197" si="507">DATE(2012,12,31)-910</f>
        <v>40364</v>
      </c>
      <c r="C3196" s="11" t="s">
        <v>1409</v>
      </c>
      <c r="D3196" s="11" t="s">
        <v>28</v>
      </c>
    </row>
    <row r="3197">
      <c r="A3197" s="11">
        <v>3196.0</v>
      </c>
      <c r="B3197" s="12">
        <f t="shared" si="507"/>
        <v>40364</v>
      </c>
      <c r="C3197" s="11" t="s">
        <v>1409</v>
      </c>
      <c r="D3197" s="11" t="s">
        <v>28</v>
      </c>
    </row>
    <row r="3198">
      <c r="A3198" s="11">
        <v>3197.0</v>
      </c>
      <c r="B3198" s="12">
        <f t="shared" ref="B3198:B3200" si="508">DATE(2012,12,31)-908</f>
        <v>40366</v>
      </c>
      <c r="C3198" s="11" t="s">
        <v>1108</v>
      </c>
      <c r="D3198" s="11" t="s">
        <v>66</v>
      </c>
    </row>
    <row r="3199">
      <c r="A3199" s="11">
        <v>3198.0</v>
      </c>
      <c r="B3199" s="12">
        <f t="shared" si="508"/>
        <v>40366</v>
      </c>
      <c r="C3199" s="11" t="s">
        <v>2069</v>
      </c>
      <c r="D3199" s="11" t="s">
        <v>28</v>
      </c>
    </row>
    <row r="3200">
      <c r="A3200" s="11">
        <v>3199.0</v>
      </c>
      <c r="B3200" s="12">
        <f t="shared" si="508"/>
        <v>40366</v>
      </c>
      <c r="C3200" s="11" t="s">
        <v>2221</v>
      </c>
      <c r="D3200" s="11" t="s">
        <v>49</v>
      </c>
    </row>
    <row r="3201">
      <c r="A3201" s="11">
        <v>3200.0</v>
      </c>
      <c r="B3201" s="12">
        <f t="shared" ref="B3201:B3204" si="509">DATE(2012,12,31)-906</f>
        <v>40368</v>
      </c>
      <c r="C3201" s="11" t="s">
        <v>1816</v>
      </c>
      <c r="D3201" s="11" t="s">
        <v>49</v>
      </c>
    </row>
    <row r="3202">
      <c r="A3202" s="11">
        <v>3201.0</v>
      </c>
      <c r="B3202" s="12">
        <f t="shared" si="509"/>
        <v>40368</v>
      </c>
      <c r="C3202" s="11" t="s">
        <v>1196</v>
      </c>
      <c r="D3202" s="11" t="s">
        <v>28</v>
      </c>
    </row>
    <row r="3203">
      <c r="A3203" s="11">
        <v>3202.0</v>
      </c>
      <c r="B3203" s="12">
        <f t="shared" si="509"/>
        <v>40368</v>
      </c>
      <c r="C3203" s="11" t="s">
        <v>1196</v>
      </c>
      <c r="D3203" s="11" t="s">
        <v>49</v>
      </c>
    </row>
    <row r="3204">
      <c r="A3204" s="11">
        <v>3203.0</v>
      </c>
      <c r="B3204" s="12">
        <f t="shared" si="509"/>
        <v>40368</v>
      </c>
      <c r="C3204" s="11" t="s">
        <v>1643</v>
      </c>
      <c r="D3204" s="11" t="s">
        <v>28</v>
      </c>
    </row>
    <row r="3205">
      <c r="A3205" s="11">
        <v>3204.0</v>
      </c>
      <c r="B3205" s="12">
        <f>DATE(2012,12,31)-905</f>
        <v>40369</v>
      </c>
      <c r="C3205" s="11" t="s">
        <v>863</v>
      </c>
      <c r="D3205" s="11" t="s">
        <v>28</v>
      </c>
    </row>
    <row r="3206">
      <c r="A3206" s="11">
        <v>3205.0</v>
      </c>
      <c r="B3206" s="12">
        <f>DATE(2012,12,31)-902</f>
        <v>40372</v>
      </c>
      <c r="C3206" s="11" t="s">
        <v>1650</v>
      </c>
      <c r="D3206" s="11" t="s">
        <v>28</v>
      </c>
    </row>
    <row r="3207">
      <c r="A3207" s="11">
        <v>3206.0</v>
      </c>
      <c r="B3207" s="12">
        <f t="shared" ref="B3207:B3213" si="510">DATE(2012,12,31)-901</f>
        <v>40373</v>
      </c>
      <c r="C3207" s="11" t="s">
        <v>418</v>
      </c>
      <c r="D3207" s="11" t="s">
        <v>28</v>
      </c>
    </row>
    <row r="3208">
      <c r="A3208" s="11">
        <v>3207.0</v>
      </c>
      <c r="B3208" s="12">
        <f t="shared" si="510"/>
        <v>40373</v>
      </c>
      <c r="C3208" s="11" t="s">
        <v>418</v>
      </c>
      <c r="D3208" s="11" t="s">
        <v>66</v>
      </c>
    </row>
    <row r="3209">
      <c r="A3209" s="11">
        <v>3208.0</v>
      </c>
      <c r="B3209" s="12">
        <f t="shared" si="510"/>
        <v>40373</v>
      </c>
      <c r="C3209" s="11" t="s">
        <v>94</v>
      </c>
      <c r="D3209" s="11" t="s">
        <v>28</v>
      </c>
    </row>
    <row r="3210">
      <c r="A3210" s="11">
        <v>3209.0</v>
      </c>
      <c r="B3210" s="12">
        <f t="shared" si="510"/>
        <v>40373</v>
      </c>
      <c r="C3210" s="11" t="s">
        <v>2383</v>
      </c>
      <c r="D3210" s="11" t="s">
        <v>28</v>
      </c>
    </row>
    <row r="3211">
      <c r="A3211" s="11">
        <v>3210.0</v>
      </c>
      <c r="B3211" s="12">
        <f t="shared" si="510"/>
        <v>40373</v>
      </c>
      <c r="C3211" s="11" t="s">
        <v>2383</v>
      </c>
      <c r="D3211" s="11" t="s">
        <v>28</v>
      </c>
    </row>
    <row r="3212">
      <c r="A3212" s="11">
        <v>3211.0</v>
      </c>
      <c r="B3212" s="12">
        <f t="shared" si="510"/>
        <v>40373</v>
      </c>
      <c r="C3212" s="11" t="s">
        <v>64</v>
      </c>
      <c r="D3212" s="11" t="s">
        <v>66</v>
      </c>
    </row>
    <row r="3213">
      <c r="A3213" s="11">
        <v>3212.0</v>
      </c>
      <c r="B3213" s="12">
        <f t="shared" si="510"/>
        <v>40373</v>
      </c>
      <c r="C3213" s="11" t="s">
        <v>1802</v>
      </c>
      <c r="D3213" s="11" t="s">
        <v>28</v>
      </c>
    </row>
    <row r="3214">
      <c r="A3214" s="11">
        <v>3213.0</v>
      </c>
      <c r="B3214" s="12">
        <f t="shared" ref="B3214:B3217" si="511">DATE(2012,12,31)-900</f>
        <v>40374</v>
      </c>
      <c r="C3214" s="11" t="s">
        <v>2384</v>
      </c>
      <c r="D3214" s="11" t="s">
        <v>28</v>
      </c>
    </row>
    <row r="3215">
      <c r="A3215" s="11">
        <v>3214.0</v>
      </c>
      <c r="B3215" s="12">
        <f t="shared" si="511"/>
        <v>40374</v>
      </c>
      <c r="C3215" s="11" t="s">
        <v>1110</v>
      </c>
      <c r="D3215" s="11" t="s">
        <v>66</v>
      </c>
    </row>
    <row r="3216">
      <c r="A3216" s="11">
        <v>3215.0</v>
      </c>
      <c r="B3216" s="12">
        <f t="shared" si="511"/>
        <v>40374</v>
      </c>
      <c r="C3216" s="11" t="s">
        <v>857</v>
      </c>
      <c r="D3216" s="11" t="s">
        <v>49</v>
      </c>
    </row>
    <row r="3217">
      <c r="A3217" s="11">
        <v>3216.0</v>
      </c>
      <c r="B3217" s="12">
        <f t="shared" si="511"/>
        <v>40374</v>
      </c>
      <c r="C3217" s="11" t="s">
        <v>285</v>
      </c>
      <c r="D3217" s="11" t="s">
        <v>66</v>
      </c>
    </row>
    <row r="3218">
      <c r="A3218" s="11">
        <v>3217.0</v>
      </c>
      <c r="B3218" s="12">
        <f t="shared" ref="B3218:B3228" si="512">DATE(2012,12,31)-899</f>
        <v>40375</v>
      </c>
      <c r="C3218" s="11" t="s">
        <v>613</v>
      </c>
      <c r="D3218" s="11" t="s">
        <v>49</v>
      </c>
    </row>
    <row r="3219">
      <c r="A3219" s="11">
        <v>3218.0</v>
      </c>
      <c r="B3219" s="12">
        <f t="shared" si="512"/>
        <v>40375</v>
      </c>
      <c r="C3219" s="11" t="s">
        <v>2315</v>
      </c>
      <c r="D3219" s="11" t="s">
        <v>28</v>
      </c>
    </row>
    <row r="3220">
      <c r="A3220" s="11">
        <v>3219.0</v>
      </c>
      <c r="B3220" s="12">
        <f t="shared" si="512"/>
        <v>40375</v>
      </c>
      <c r="C3220" s="11" t="s">
        <v>2315</v>
      </c>
      <c r="D3220" s="11" t="s">
        <v>66</v>
      </c>
    </row>
    <row r="3221">
      <c r="A3221" s="11">
        <v>3220.0</v>
      </c>
      <c r="B3221" s="12">
        <f t="shared" si="512"/>
        <v>40375</v>
      </c>
      <c r="C3221" s="11" t="s">
        <v>2315</v>
      </c>
      <c r="D3221" s="11" t="s">
        <v>66</v>
      </c>
    </row>
    <row r="3222">
      <c r="A3222" s="11">
        <v>3221.0</v>
      </c>
      <c r="B3222" s="12">
        <f t="shared" si="512"/>
        <v>40375</v>
      </c>
      <c r="C3222" s="11" t="s">
        <v>2315</v>
      </c>
      <c r="D3222" s="11" t="s">
        <v>66</v>
      </c>
    </row>
    <row r="3223">
      <c r="A3223" s="11">
        <v>3222.0</v>
      </c>
      <c r="B3223" s="12">
        <f t="shared" si="512"/>
        <v>40375</v>
      </c>
      <c r="C3223" s="11" t="s">
        <v>1578</v>
      </c>
      <c r="D3223" s="11" t="s">
        <v>49</v>
      </c>
    </row>
    <row r="3224">
      <c r="A3224" s="11">
        <v>3223.0</v>
      </c>
      <c r="B3224" s="12">
        <f t="shared" si="512"/>
        <v>40375</v>
      </c>
      <c r="C3224" s="11" t="s">
        <v>1221</v>
      </c>
      <c r="D3224" s="11" t="s">
        <v>49</v>
      </c>
    </row>
    <row r="3225">
      <c r="A3225" s="11">
        <v>3224.0</v>
      </c>
      <c r="B3225" s="12">
        <f t="shared" si="512"/>
        <v>40375</v>
      </c>
      <c r="C3225" s="11" t="s">
        <v>2386</v>
      </c>
      <c r="D3225" s="11" t="s">
        <v>66</v>
      </c>
    </row>
    <row r="3226">
      <c r="A3226" s="11">
        <v>3225.0</v>
      </c>
      <c r="B3226" s="12">
        <f t="shared" si="512"/>
        <v>40375</v>
      </c>
      <c r="C3226" s="11" t="s">
        <v>563</v>
      </c>
      <c r="D3226" s="11" t="s">
        <v>28</v>
      </c>
    </row>
    <row r="3227">
      <c r="A3227" s="11">
        <v>3226.0</v>
      </c>
      <c r="B3227" s="12">
        <f t="shared" si="512"/>
        <v>40375</v>
      </c>
      <c r="C3227" s="11" t="s">
        <v>563</v>
      </c>
      <c r="D3227" s="11" t="s">
        <v>66</v>
      </c>
    </row>
    <row r="3228">
      <c r="A3228" s="11">
        <v>3227.0</v>
      </c>
      <c r="B3228" s="12">
        <f t="shared" si="512"/>
        <v>40375</v>
      </c>
      <c r="C3228" s="11" t="s">
        <v>563</v>
      </c>
      <c r="D3228" s="11" t="s">
        <v>28</v>
      </c>
    </row>
    <row r="3229">
      <c r="A3229" s="11">
        <v>3228.0</v>
      </c>
      <c r="B3229" s="12">
        <f t="shared" ref="B3229:B3235" si="513">DATE(2012,12,31)-898</f>
        <v>40376</v>
      </c>
      <c r="C3229" s="11" t="s">
        <v>2387</v>
      </c>
      <c r="D3229" s="11" t="s">
        <v>28</v>
      </c>
    </row>
    <row r="3230">
      <c r="A3230" s="11">
        <v>3229.0</v>
      </c>
      <c r="B3230" s="12">
        <f t="shared" si="513"/>
        <v>40376</v>
      </c>
      <c r="C3230" s="11" t="s">
        <v>2387</v>
      </c>
      <c r="D3230" s="11" t="s">
        <v>28</v>
      </c>
    </row>
    <row r="3231">
      <c r="A3231" s="11">
        <v>3230.0</v>
      </c>
      <c r="B3231" s="12">
        <f t="shared" si="513"/>
        <v>40376</v>
      </c>
      <c r="C3231" s="11" t="s">
        <v>357</v>
      </c>
      <c r="D3231" s="11" t="s">
        <v>66</v>
      </c>
    </row>
    <row r="3232">
      <c r="A3232" s="11">
        <v>3231.0</v>
      </c>
      <c r="B3232" s="12">
        <f t="shared" si="513"/>
        <v>40376</v>
      </c>
      <c r="C3232" s="11" t="s">
        <v>357</v>
      </c>
      <c r="D3232" s="11" t="s">
        <v>49</v>
      </c>
    </row>
    <row r="3233">
      <c r="A3233" s="11">
        <v>3232.0</v>
      </c>
      <c r="B3233" s="12">
        <f t="shared" si="513"/>
        <v>40376</v>
      </c>
      <c r="C3233" s="11" t="s">
        <v>345</v>
      </c>
      <c r="D3233" s="11" t="s">
        <v>28</v>
      </c>
    </row>
    <row r="3234">
      <c r="A3234" s="11">
        <v>3233.0</v>
      </c>
      <c r="B3234" s="12">
        <f t="shared" si="513"/>
        <v>40376</v>
      </c>
      <c r="C3234" s="11" t="s">
        <v>345</v>
      </c>
      <c r="D3234" s="11" t="s">
        <v>28</v>
      </c>
    </row>
    <row r="3235">
      <c r="A3235" s="11">
        <v>3234.0</v>
      </c>
      <c r="B3235" s="12">
        <f t="shared" si="513"/>
        <v>40376</v>
      </c>
      <c r="C3235" s="11" t="s">
        <v>2292</v>
      </c>
      <c r="D3235" s="11" t="s">
        <v>28</v>
      </c>
    </row>
    <row r="3236">
      <c r="A3236" s="11">
        <v>3235.0</v>
      </c>
      <c r="B3236" s="12">
        <f t="shared" ref="B3236:B3240" si="514">DATE(2012,12,31)-897</f>
        <v>40377</v>
      </c>
      <c r="C3236" s="11" t="s">
        <v>104</v>
      </c>
      <c r="D3236" s="11" t="s">
        <v>66</v>
      </c>
    </row>
    <row r="3237">
      <c r="A3237" s="11">
        <v>3236.0</v>
      </c>
      <c r="B3237" s="12">
        <f t="shared" si="514"/>
        <v>40377</v>
      </c>
      <c r="C3237" s="11" t="s">
        <v>595</v>
      </c>
      <c r="D3237" s="11" t="s">
        <v>28</v>
      </c>
    </row>
    <row r="3238">
      <c r="A3238" s="11">
        <v>3237.0</v>
      </c>
      <c r="B3238" s="12">
        <f t="shared" si="514"/>
        <v>40377</v>
      </c>
      <c r="C3238" s="11" t="s">
        <v>395</v>
      </c>
      <c r="D3238" s="11" t="s">
        <v>28</v>
      </c>
    </row>
    <row r="3239">
      <c r="A3239" s="11">
        <v>3238.0</v>
      </c>
      <c r="B3239" s="12">
        <f t="shared" si="514"/>
        <v>40377</v>
      </c>
      <c r="C3239" s="11" t="s">
        <v>395</v>
      </c>
      <c r="D3239" s="11" t="s">
        <v>66</v>
      </c>
    </row>
    <row r="3240">
      <c r="A3240" s="11">
        <v>3239.0</v>
      </c>
      <c r="B3240" s="12">
        <f t="shared" si="514"/>
        <v>40377</v>
      </c>
      <c r="C3240" s="11" t="s">
        <v>363</v>
      </c>
      <c r="D3240" s="11" t="s">
        <v>49</v>
      </c>
    </row>
    <row r="3241">
      <c r="A3241" s="11">
        <v>3240.0</v>
      </c>
      <c r="B3241" s="12">
        <f t="shared" ref="B3241:B3248" si="515">DATE(2012,12,31)-896</f>
        <v>40378</v>
      </c>
      <c r="C3241" s="11" t="s">
        <v>1605</v>
      </c>
      <c r="D3241" s="11" t="s">
        <v>66</v>
      </c>
    </row>
    <row r="3242">
      <c r="A3242" s="11">
        <v>3241.0</v>
      </c>
      <c r="B3242" s="12">
        <f t="shared" si="515"/>
        <v>40378</v>
      </c>
      <c r="C3242" s="11" t="s">
        <v>2293</v>
      </c>
      <c r="D3242" s="11" t="s">
        <v>28</v>
      </c>
    </row>
    <row r="3243">
      <c r="A3243" s="11">
        <v>3242.0</v>
      </c>
      <c r="B3243" s="12">
        <f t="shared" si="515"/>
        <v>40378</v>
      </c>
      <c r="C3243" s="11" t="s">
        <v>2293</v>
      </c>
      <c r="D3243" s="11" t="s">
        <v>66</v>
      </c>
    </row>
    <row r="3244">
      <c r="A3244" s="11">
        <v>3243.0</v>
      </c>
      <c r="B3244" s="12">
        <f t="shared" si="515"/>
        <v>40378</v>
      </c>
      <c r="C3244" s="11" t="s">
        <v>1857</v>
      </c>
      <c r="D3244" s="11" t="s">
        <v>28</v>
      </c>
    </row>
    <row r="3245">
      <c r="A3245" s="11">
        <v>3244.0</v>
      </c>
      <c r="B3245" s="12">
        <f t="shared" si="515"/>
        <v>40378</v>
      </c>
      <c r="C3245" s="11" t="s">
        <v>1857</v>
      </c>
      <c r="D3245" s="11" t="s">
        <v>28</v>
      </c>
    </row>
    <row r="3246">
      <c r="A3246" s="11">
        <v>3245.0</v>
      </c>
      <c r="B3246" s="12">
        <f t="shared" si="515"/>
        <v>40378</v>
      </c>
      <c r="C3246" s="11" t="s">
        <v>1842</v>
      </c>
      <c r="D3246" s="11" t="s">
        <v>66</v>
      </c>
    </row>
    <row r="3247">
      <c r="A3247" s="11">
        <v>3246.0</v>
      </c>
      <c r="B3247" s="12">
        <f t="shared" si="515"/>
        <v>40378</v>
      </c>
      <c r="C3247" s="11" t="s">
        <v>78</v>
      </c>
      <c r="D3247" s="11" t="s">
        <v>28</v>
      </c>
    </row>
    <row r="3248">
      <c r="A3248" s="11">
        <v>3247.0</v>
      </c>
      <c r="B3248" s="12">
        <f t="shared" si="515"/>
        <v>40378</v>
      </c>
      <c r="C3248" s="11" t="s">
        <v>78</v>
      </c>
      <c r="D3248" s="11" t="s">
        <v>28</v>
      </c>
    </row>
    <row r="3249">
      <c r="A3249" s="11">
        <v>3248.0</v>
      </c>
      <c r="B3249" s="12">
        <f t="shared" ref="B3249:B3258" si="516">DATE(2012,12,31)-895</f>
        <v>40379</v>
      </c>
      <c r="C3249" s="11" t="s">
        <v>727</v>
      </c>
      <c r="D3249" s="11" t="s">
        <v>66</v>
      </c>
    </row>
    <row r="3250">
      <c r="A3250" s="11">
        <v>3249.0</v>
      </c>
      <c r="B3250" s="12">
        <f t="shared" si="516"/>
        <v>40379</v>
      </c>
      <c r="C3250" s="11" t="s">
        <v>727</v>
      </c>
      <c r="D3250" s="11" t="s">
        <v>28</v>
      </c>
    </row>
    <row r="3251">
      <c r="A3251" s="11">
        <v>3250.0</v>
      </c>
      <c r="B3251" s="12">
        <f t="shared" si="516"/>
        <v>40379</v>
      </c>
      <c r="C3251" s="11" t="s">
        <v>2285</v>
      </c>
      <c r="D3251" s="11" t="s">
        <v>28</v>
      </c>
    </row>
    <row r="3252">
      <c r="A3252" s="11">
        <v>3251.0</v>
      </c>
      <c r="B3252" s="12">
        <f t="shared" si="516"/>
        <v>40379</v>
      </c>
      <c r="C3252" s="11" t="s">
        <v>2285</v>
      </c>
      <c r="D3252" s="11" t="s">
        <v>28</v>
      </c>
    </row>
    <row r="3253">
      <c r="A3253" s="11">
        <v>3252.0</v>
      </c>
      <c r="B3253" s="12">
        <f t="shared" si="516"/>
        <v>40379</v>
      </c>
      <c r="C3253" s="11" t="s">
        <v>2285</v>
      </c>
      <c r="D3253" s="11" t="s">
        <v>49</v>
      </c>
    </row>
    <row r="3254">
      <c r="A3254" s="11">
        <v>3253.0</v>
      </c>
      <c r="B3254" s="12">
        <f t="shared" si="516"/>
        <v>40379</v>
      </c>
      <c r="C3254" s="11" t="s">
        <v>1240</v>
      </c>
      <c r="D3254" s="11" t="s">
        <v>66</v>
      </c>
    </row>
    <row r="3255">
      <c r="A3255" s="11">
        <v>3254.0</v>
      </c>
      <c r="B3255" s="12">
        <f t="shared" si="516"/>
        <v>40379</v>
      </c>
      <c r="C3255" s="11" t="s">
        <v>1240</v>
      </c>
      <c r="D3255" s="11" t="s">
        <v>49</v>
      </c>
    </row>
    <row r="3256">
      <c r="A3256" s="11">
        <v>3255.0</v>
      </c>
      <c r="B3256" s="12">
        <f t="shared" si="516"/>
        <v>40379</v>
      </c>
      <c r="C3256" s="11" t="s">
        <v>1529</v>
      </c>
      <c r="D3256" s="11" t="s">
        <v>28</v>
      </c>
    </row>
    <row r="3257">
      <c r="A3257" s="11">
        <v>3256.0</v>
      </c>
      <c r="B3257" s="12">
        <f t="shared" si="516"/>
        <v>40379</v>
      </c>
      <c r="C3257" s="11" t="s">
        <v>1529</v>
      </c>
      <c r="D3257" s="11" t="s">
        <v>66</v>
      </c>
    </row>
    <row r="3258">
      <c r="A3258" s="11">
        <v>3257.0</v>
      </c>
      <c r="B3258" s="12">
        <f t="shared" si="516"/>
        <v>40379</v>
      </c>
      <c r="C3258" s="11" t="s">
        <v>1114</v>
      </c>
      <c r="D3258" s="11" t="s">
        <v>49</v>
      </c>
    </row>
    <row r="3259">
      <c r="A3259" s="11">
        <v>3258.0</v>
      </c>
      <c r="B3259" s="12">
        <f t="shared" ref="B3259:B3268" si="517">DATE(2012,12,31)-894</f>
        <v>40380</v>
      </c>
      <c r="C3259" s="11" t="s">
        <v>1490</v>
      </c>
      <c r="D3259" s="11" t="s">
        <v>49</v>
      </c>
    </row>
    <row r="3260">
      <c r="A3260" s="11">
        <v>3259.0</v>
      </c>
      <c r="B3260" s="12">
        <f t="shared" si="517"/>
        <v>40380</v>
      </c>
      <c r="C3260" s="11" t="s">
        <v>1702</v>
      </c>
      <c r="D3260" s="11" t="s">
        <v>49</v>
      </c>
    </row>
    <row r="3261">
      <c r="A3261" s="11">
        <v>3260.0</v>
      </c>
      <c r="B3261" s="12">
        <f t="shared" si="517"/>
        <v>40380</v>
      </c>
      <c r="C3261" s="11" t="s">
        <v>1702</v>
      </c>
      <c r="D3261" s="11" t="s">
        <v>28</v>
      </c>
    </row>
    <row r="3262">
      <c r="A3262" s="11">
        <v>3261.0</v>
      </c>
      <c r="B3262" s="12">
        <f t="shared" si="517"/>
        <v>40380</v>
      </c>
      <c r="C3262" s="11" t="s">
        <v>2000</v>
      </c>
      <c r="D3262" s="11" t="s">
        <v>28</v>
      </c>
    </row>
    <row r="3263">
      <c r="A3263" s="11">
        <v>3262.0</v>
      </c>
      <c r="B3263" s="12">
        <f t="shared" si="517"/>
        <v>40380</v>
      </c>
      <c r="C3263" s="11" t="s">
        <v>426</v>
      </c>
      <c r="D3263" s="11" t="s">
        <v>49</v>
      </c>
    </row>
    <row r="3264">
      <c r="A3264" s="11">
        <v>3263.0</v>
      </c>
      <c r="B3264" s="12">
        <f t="shared" si="517"/>
        <v>40380</v>
      </c>
      <c r="C3264" s="11" t="s">
        <v>919</v>
      </c>
      <c r="D3264" s="11" t="s">
        <v>28</v>
      </c>
    </row>
    <row r="3265">
      <c r="A3265" s="11">
        <v>3264.0</v>
      </c>
      <c r="B3265" s="12">
        <f t="shared" si="517"/>
        <v>40380</v>
      </c>
      <c r="C3265" s="11" t="s">
        <v>2064</v>
      </c>
      <c r="D3265" s="11" t="s">
        <v>28</v>
      </c>
    </row>
    <row r="3266">
      <c r="A3266" s="11">
        <v>3265.0</v>
      </c>
      <c r="B3266" s="12">
        <f t="shared" si="517"/>
        <v>40380</v>
      </c>
      <c r="C3266" s="11" t="s">
        <v>2064</v>
      </c>
      <c r="D3266" s="11" t="s">
        <v>28</v>
      </c>
    </row>
    <row r="3267">
      <c r="A3267" s="11">
        <v>3266.0</v>
      </c>
      <c r="B3267" s="12">
        <f t="shared" si="517"/>
        <v>40380</v>
      </c>
      <c r="C3267" s="11" t="s">
        <v>2064</v>
      </c>
      <c r="D3267" s="11" t="s">
        <v>28</v>
      </c>
    </row>
    <row r="3268">
      <c r="A3268" s="11">
        <v>3267.0</v>
      </c>
      <c r="B3268" s="12">
        <f t="shared" si="517"/>
        <v>40380</v>
      </c>
      <c r="C3268" s="11" t="s">
        <v>1621</v>
      </c>
      <c r="D3268" s="11" t="s">
        <v>49</v>
      </c>
    </row>
    <row r="3269">
      <c r="A3269" s="11">
        <v>3268.0</v>
      </c>
      <c r="B3269" s="12">
        <f t="shared" ref="B3269:B3273" si="518">DATE(2012,12,31)-893</f>
        <v>40381</v>
      </c>
      <c r="C3269" s="11" t="s">
        <v>2276</v>
      </c>
      <c r="D3269" s="11" t="s">
        <v>66</v>
      </c>
    </row>
    <row r="3270">
      <c r="A3270" s="11">
        <v>3269.0</v>
      </c>
      <c r="B3270" s="12">
        <f t="shared" si="518"/>
        <v>40381</v>
      </c>
      <c r="C3270" s="11" t="s">
        <v>2276</v>
      </c>
      <c r="D3270" s="11" t="s">
        <v>49</v>
      </c>
    </row>
    <row r="3271">
      <c r="A3271" s="11">
        <v>3270.0</v>
      </c>
      <c r="B3271" s="12">
        <f t="shared" si="518"/>
        <v>40381</v>
      </c>
      <c r="C3271" s="11" t="s">
        <v>2276</v>
      </c>
      <c r="D3271" s="11" t="s">
        <v>28</v>
      </c>
    </row>
    <row r="3272">
      <c r="A3272" s="11">
        <v>3271.0</v>
      </c>
      <c r="B3272" s="12">
        <f t="shared" si="518"/>
        <v>40381</v>
      </c>
      <c r="C3272" s="11" t="s">
        <v>1887</v>
      </c>
      <c r="D3272" s="11" t="s">
        <v>28</v>
      </c>
    </row>
    <row r="3273">
      <c r="A3273" s="11">
        <v>3272.0</v>
      </c>
      <c r="B3273" s="12">
        <f t="shared" si="518"/>
        <v>40381</v>
      </c>
      <c r="C3273" s="11" t="s">
        <v>2318</v>
      </c>
      <c r="D3273" s="11" t="s">
        <v>28</v>
      </c>
    </row>
    <row r="3274">
      <c r="A3274" s="11">
        <v>3273.0</v>
      </c>
      <c r="B3274" s="12">
        <f t="shared" ref="B3274:B3282" si="519">DATE(2012,12,31)-892</f>
        <v>40382</v>
      </c>
      <c r="C3274" s="11" t="s">
        <v>494</v>
      </c>
      <c r="D3274" s="11" t="s">
        <v>49</v>
      </c>
    </row>
    <row r="3275">
      <c r="A3275" s="11">
        <v>3274.0</v>
      </c>
      <c r="B3275" s="12">
        <f t="shared" si="519"/>
        <v>40382</v>
      </c>
      <c r="C3275" s="11" t="s">
        <v>494</v>
      </c>
      <c r="D3275" s="11" t="s">
        <v>66</v>
      </c>
    </row>
    <row r="3276">
      <c r="A3276" s="11">
        <v>3275.0</v>
      </c>
      <c r="B3276" s="12">
        <f t="shared" si="519"/>
        <v>40382</v>
      </c>
      <c r="C3276" s="11" t="s">
        <v>1196</v>
      </c>
      <c r="D3276" s="11" t="s">
        <v>49</v>
      </c>
    </row>
    <row r="3277">
      <c r="A3277" s="11">
        <v>3276.0</v>
      </c>
      <c r="B3277" s="12">
        <f t="shared" si="519"/>
        <v>40382</v>
      </c>
      <c r="C3277" s="11" t="s">
        <v>1196</v>
      </c>
      <c r="D3277" s="11" t="s">
        <v>66</v>
      </c>
    </row>
    <row r="3278">
      <c r="A3278" s="11">
        <v>3277.0</v>
      </c>
      <c r="B3278" s="12">
        <f t="shared" si="519"/>
        <v>40382</v>
      </c>
      <c r="C3278" s="11" t="s">
        <v>2095</v>
      </c>
      <c r="D3278" s="11" t="s">
        <v>66</v>
      </c>
    </row>
    <row r="3279">
      <c r="A3279" s="11">
        <v>3278.0</v>
      </c>
      <c r="B3279" s="12">
        <f t="shared" si="519"/>
        <v>40382</v>
      </c>
      <c r="C3279" s="11" t="s">
        <v>2095</v>
      </c>
      <c r="D3279" s="11" t="s">
        <v>28</v>
      </c>
    </row>
    <row r="3280">
      <c r="A3280" s="11">
        <v>3279.0</v>
      </c>
      <c r="B3280" s="12">
        <f t="shared" si="519"/>
        <v>40382</v>
      </c>
      <c r="C3280" s="11" t="s">
        <v>2095</v>
      </c>
      <c r="D3280" s="11" t="s">
        <v>66</v>
      </c>
    </row>
    <row r="3281">
      <c r="A3281" s="11">
        <v>3280.0</v>
      </c>
      <c r="B3281" s="12">
        <f t="shared" si="519"/>
        <v>40382</v>
      </c>
      <c r="C3281" s="11" t="s">
        <v>370</v>
      </c>
      <c r="D3281" s="11" t="s">
        <v>28</v>
      </c>
    </row>
    <row r="3282">
      <c r="A3282" s="11">
        <v>3281.0</v>
      </c>
      <c r="B3282" s="12">
        <f t="shared" si="519"/>
        <v>40382</v>
      </c>
      <c r="C3282" s="11" t="s">
        <v>1527</v>
      </c>
      <c r="D3282" s="11" t="s">
        <v>66</v>
      </c>
    </row>
    <row r="3283">
      <c r="A3283" s="11">
        <v>3282.0</v>
      </c>
      <c r="B3283" s="12">
        <f t="shared" ref="B3283:B3291" si="520">DATE(2012,12,31)-891</f>
        <v>40383</v>
      </c>
      <c r="C3283" s="11" t="s">
        <v>780</v>
      </c>
      <c r="D3283" s="11" t="s">
        <v>28</v>
      </c>
    </row>
    <row r="3284">
      <c r="A3284" s="11">
        <v>3283.0</v>
      </c>
      <c r="B3284" s="12">
        <f t="shared" si="520"/>
        <v>40383</v>
      </c>
      <c r="C3284" s="11" t="s">
        <v>488</v>
      </c>
      <c r="D3284" s="11" t="s">
        <v>28</v>
      </c>
    </row>
    <row r="3285">
      <c r="A3285" s="11">
        <v>3284.0</v>
      </c>
      <c r="B3285" s="12">
        <f t="shared" si="520"/>
        <v>40383</v>
      </c>
      <c r="C3285" s="11" t="s">
        <v>488</v>
      </c>
      <c r="D3285" s="11" t="s">
        <v>49</v>
      </c>
    </row>
    <row r="3286">
      <c r="A3286" s="11">
        <v>3285.0</v>
      </c>
      <c r="B3286" s="12">
        <f t="shared" si="520"/>
        <v>40383</v>
      </c>
      <c r="C3286" s="11" t="s">
        <v>488</v>
      </c>
      <c r="D3286" s="11" t="s">
        <v>49</v>
      </c>
    </row>
    <row r="3287">
      <c r="A3287" s="11">
        <v>3286.0</v>
      </c>
      <c r="B3287" s="12">
        <f t="shared" si="520"/>
        <v>40383</v>
      </c>
      <c r="C3287" s="11" t="s">
        <v>232</v>
      </c>
      <c r="D3287" s="11" t="s">
        <v>28</v>
      </c>
    </row>
    <row r="3288">
      <c r="A3288" s="11">
        <v>3287.0</v>
      </c>
      <c r="B3288" s="12">
        <f t="shared" si="520"/>
        <v>40383</v>
      </c>
      <c r="C3288" s="11" t="s">
        <v>851</v>
      </c>
      <c r="D3288" s="11" t="s">
        <v>28</v>
      </c>
    </row>
    <row r="3289">
      <c r="A3289" s="11">
        <v>3288.0</v>
      </c>
      <c r="B3289" s="12">
        <f t="shared" si="520"/>
        <v>40383</v>
      </c>
      <c r="C3289" s="11" t="s">
        <v>851</v>
      </c>
      <c r="D3289" s="11" t="s">
        <v>28</v>
      </c>
    </row>
    <row r="3290">
      <c r="A3290" s="11">
        <v>3289.0</v>
      </c>
      <c r="B3290" s="12">
        <f t="shared" si="520"/>
        <v>40383</v>
      </c>
      <c r="C3290" s="11" t="s">
        <v>851</v>
      </c>
      <c r="D3290" s="11" t="s">
        <v>28</v>
      </c>
    </row>
    <row r="3291">
      <c r="A3291" s="11">
        <v>3290.0</v>
      </c>
      <c r="B3291" s="12">
        <f t="shared" si="520"/>
        <v>40383</v>
      </c>
      <c r="C3291" s="11" t="s">
        <v>851</v>
      </c>
      <c r="D3291" s="11" t="s">
        <v>28</v>
      </c>
    </row>
    <row r="3292">
      <c r="A3292" s="11">
        <v>3291.0</v>
      </c>
      <c r="B3292" s="12">
        <f t="shared" ref="B3292:B3302" si="521">DATE(2012,12,31)-890</f>
        <v>40384</v>
      </c>
      <c r="C3292" s="11" t="s">
        <v>456</v>
      </c>
      <c r="D3292" s="11" t="s">
        <v>28</v>
      </c>
    </row>
    <row r="3293">
      <c r="A3293" s="11">
        <v>3292.0</v>
      </c>
      <c r="B3293" s="12">
        <f t="shared" si="521"/>
        <v>40384</v>
      </c>
      <c r="C3293" s="11" t="s">
        <v>456</v>
      </c>
      <c r="D3293" s="11" t="s">
        <v>28</v>
      </c>
    </row>
    <row r="3294">
      <c r="A3294" s="11">
        <v>3293.0</v>
      </c>
      <c r="B3294" s="12">
        <f t="shared" si="521"/>
        <v>40384</v>
      </c>
      <c r="C3294" s="11" t="s">
        <v>1410</v>
      </c>
      <c r="D3294" s="11" t="s">
        <v>49</v>
      </c>
    </row>
    <row r="3295">
      <c r="A3295" s="11">
        <v>3294.0</v>
      </c>
      <c r="B3295" s="12">
        <f t="shared" si="521"/>
        <v>40384</v>
      </c>
      <c r="C3295" s="11" t="s">
        <v>1410</v>
      </c>
      <c r="D3295" s="11" t="s">
        <v>66</v>
      </c>
    </row>
    <row r="3296">
      <c r="A3296" s="11">
        <v>3295.0</v>
      </c>
      <c r="B3296" s="12">
        <f t="shared" si="521"/>
        <v>40384</v>
      </c>
      <c r="C3296" s="11" t="s">
        <v>279</v>
      </c>
      <c r="D3296" s="11" t="s">
        <v>28</v>
      </c>
    </row>
    <row r="3297">
      <c r="A3297" s="11">
        <v>3296.0</v>
      </c>
      <c r="B3297" s="12">
        <f t="shared" si="521"/>
        <v>40384</v>
      </c>
      <c r="C3297" s="11" t="s">
        <v>2384</v>
      </c>
      <c r="D3297" s="11" t="s">
        <v>66</v>
      </c>
    </row>
    <row r="3298">
      <c r="A3298" s="11">
        <v>3297.0</v>
      </c>
      <c r="B3298" s="12">
        <f t="shared" si="521"/>
        <v>40384</v>
      </c>
      <c r="C3298" s="11" t="s">
        <v>398</v>
      </c>
      <c r="D3298" s="11" t="s">
        <v>49</v>
      </c>
    </row>
    <row r="3299">
      <c r="A3299" s="11">
        <v>3298.0</v>
      </c>
      <c r="B3299" s="12">
        <f t="shared" si="521"/>
        <v>40384</v>
      </c>
      <c r="C3299" s="11" t="s">
        <v>398</v>
      </c>
      <c r="D3299" s="11" t="s">
        <v>28</v>
      </c>
    </row>
    <row r="3300">
      <c r="A3300" s="11">
        <v>3299.0</v>
      </c>
      <c r="B3300" s="12">
        <f t="shared" si="521"/>
        <v>40384</v>
      </c>
      <c r="C3300" s="11" t="s">
        <v>1653</v>
      </c>
      <c r="D3300" s="11" t="s">
        <v>49</v>
      </c>
    </row>
    <row r="3301">
      <c r="A3301" s="11">
        <v>3300.0</v>
      </c>
      <c r="B3301" s="12">
        <f t="shared" si="521"/>
        <v>40384</v>
      </c>
      <c r="C3301" s="11" t="s">
        <v>1653</v>
      </c>
      <c r="D3301" s="11" t="s">
        <v>28</v>
      </c>
    </row>
    <row r="3302">
      <c r="A3302" s="11">
        <v>3301.0</v>
      </c>
      <c r="B3302" s="12">
        <f t="shared" si="521"/>
        <v>40384</v>
      </c>
      <c r="C3302" s="11" t="s">
        <v>2262</v>
      </c>
      <c r="D3302" s="11" t="s">
        <v>66</v>
      </c>
    </row>
    <row r="3303">
      <c r="A3303" s="11">
        <v>3302.0</v>
      </c>
      <c r="B3303" s="12">
        <f t="shared" ref="B3303:B3309" si="522">DATE(2012,12,31)-889</f>
        <v>40385</v>
      </c>
      <c r="C3303" s="11" t="s">
        <v>679</v>
      </c>
      <c r="D3303" s="11" t="s">
        <v>28</v>
      </c>
    </row>
    <row r="3304">
      <c r="A3304" s="11">
        <v>3303.0</v>
      </c>
      <c r="B3304" s="12">
        <f t="shared" si="522"/>
        <v>40385</v>
      </c>
      <c r="C3304" s="11" t="s">
        <v>1045</v>
      </c>
      <c r="D3304" s="11" t="s">
        <v>28</v>
      </c>
    </row>
    <row r="3305">
      <c r="A3305" s="11">
        <v>3304.0</v>
      </c>
      <c r="B3305" s="12">
        <f t="shared" si="522"/>
        <v>40385</v>
      </c>
      <c r="C3305" s="11" t="s">
        <v>1045</v>
      </c>
      <c r="D3305" s="11" t="s">
        <v>28</v>
      </c>
    </row>
    <row r="3306">
      <c r="A3306" s="11">
        <v>3305.0</v>
      </c>
      <c r="B3306" s="12">
        <f t="shared" si="522"/>
        <v>40385</v>
      </c>
      <c r="C3306" s="11" t="s">
        <v>2391</v>
      </c>
      <c r="D3306" s="11" t="s">
        <v>28</v>
      </c>
    </row>
    <row r="3307">
      <c r="A3307" s="11">
        <v>3306.0</v>
      </c>
      <c r="B3307" s="12">
        <f t="shared" si="522"/>
        <v>40385</v>
      </c>
      <c r="C3307" s="11" t="s">
        <v>2391</v>
      </c>
      <c r="D3307" s="11" t="s">
        <v>28</v>
      </c>
    </row>
    <row r="3308">
      <c r="A3308" s="11">
        <v>3307.0</v>
      </c>
      <c r="B3308" s="12">
        <f t="shared" si="522"/>
        <v>40385</v>
      </c>
      <c r="C3308" s="11" t="s">
        <v>1939</v>
      </c>
      <c r="D3308" s="11" t="s">
        <v>66</v>
      </c>
    </row>
    <row r="3309">
      <c r="A3309" s="11">
        <v>3308.0</v>
      </c>
      <c r="B3309" s="12">
        <f t="shared" si="522"/>
        <v>40385</v>
      </c>
      <c r="C3309" s="11" t="s">
        <v>1067</v>
      </c>
      <c r="D3309" s="11" t="s">
        <v>49</v>
      </c>
    </row>
    <row r="3310">
      <c r="A3310" s="11">
        <v>3309.0</v>
      </c>
      <c r="B3310" s="12">
        <f t="shared" ref="B3310:B3318" si="523">DATE(2012,12,31)-888</f>
        <v>40386</v>
      </c>
      <c r="C3310" s="11" t="s">
        <v>2392</v>
      </c>
      <c r="D3310" s="11" t="s">
        <v>49</v>
      </c>
    </row>
    <row r="3311">
      <c r="A3311" s="11">
        <v>3310.0</v>
      </c>
      <c r="B3311" s="12">
        <f t="shared" si="523"/>
        <v>40386</v>
      </c>
      <c r="C3311" s="11" t="s">
        <v>861</v>
      </c>
      <c r="D3311" s="11" t="s">
        <v>66</v>
      </c>
    </row>
    <row r="3312">
      <c r="A3312" s="11">
        <v>3311.0</v>
      </c>
      <c r="B3312" s="12">
        <f t="shared" si="523"/>
        <v>40386</v>
      </c>
      <c r="C3312" s="11" t="s">
        <v>861</v>
      </c>
      <c r="D3312" s="11" t="s">
        <v>49</v>
      </c>
    </row>
    <row r="3313">
      <c r="A3313" s="11">
        <v>3312.0</v>
      </c>
      <c r="B3313" s="12">
        <f t="shared" si="523"/>
        <v>40386</v>
      </c>
      <c r="C3313" s="11" t="s">
        <v>1543</v>
      </c>
      <c r="D3313" s="11" t="s">
        <v>28</v>
      </c>
    </row>
    <row r="3314">
      <c r="A3314" s="11">
        <v>3313.0</v>
      </c>
      <c r="B3314" s="12">
        <f t="shared" si="523"/>
        <v>40386</v>
      </c>
      <c r="C3314" s="11" t="s">
        <v>1543</v>
      </c>
      <c r="D3314" s="11" t="s">
        <v>28</v>
      </c>
    </row>
    <row r="3315">
      <c r="A3315" s="11">
        <v>3314.0</v>
      </c>
      <c r="B3315" s="12">
        <f t="shared" si="523"/>
        <v>40386</v>
      </c>
      <c r="C3315" s="11" t="s">
        <v>1543</v>
      </c>
      <c r="D3315" s="11" t="s">
        <v>66</v>
      </c>
    </row>
    <row r="3316">
      <c r="A3316" s="11">
        <v>3315.0</v>
      </c>
      <c r="B3316" s="12">
        <f t="shared" si="523"/>
        <v>40386</v>
      </c>
      <c r="C3316" s="11" t="s">
        <v>2311</v>
      </c>
      <c r="D3316" s="11" t="s">
        <v>28</v>
      </c>
    </row>
    <row r="3317">
      <c r="A3317" s="11">
        <v>3316.0</v>
      </c>
      <c r="B3317" s="12">
        <f t="shared" si="523"/>
        <v>40386</v>
      </c>
      <c r="C3317" s="11" t="s">
        <v>2311</v>
      </c>
      <c r="D3317" s="11" t="s">
        <v>28</v>
      </c>
    </row>
    <row r="3318">
      <c r="A3318" s="11">
        <v>3317.0</v>
      </c>
      <c r="B3318" s="12">
        <f t="shared" si="523"/>
        <v>40386</v>
      </c>
      <c r="C3318" s="11" t="s">
        <v>1578</v>
      </c>
      <c r="D3318" s="11" t="s">
        <v>49</v>
      </c>
    </row>
    <row r="3319">
      <c r="A3319" s="11">
        <v>3318.0</v>
      </c>
      <c r="B3319" s="12">
        <f t="shared" ref="B3319:B3322" si="524">DATE(2012,12,31)-887</f>
        <v>40387</v>
      </c>
      <c r="C3319" s="11" t="s">
        <v>1326</v>
      </c>
      <c r="D3319" s="11" t="s">
        <v>49</v>
      </c>
    </row>
    <row r="3320">
      <c r="A3320" s="11">
        <v>3319.0</v>
      </c>
      <c r="B3320" s="12">
        <f t="shared" si="524"/>
        <v>40387</v>
      </c>
      <c r="C3320" s="11" t="s">
        <v>1802</v>
      </c>
      <c r="D3320" s="11" t="s">
        <v>28</v>
      </c>
    </row>
    <row r="3321">
      <c r="A3321" s="11">
        <v>3320.0</v>
      </c>
      <c r="B3321" s="12">
        <f t="shared" si="524"/>
        <v>40387</v>
      </c>
      <c r="C3321" s="11" t="s">
        <v>2394</v>
      </c>
      <c r="D3321" s="11" t="s">
        <v>66</v>
      </c>
    </row>
    <row r="3322">
      <c r="A3322" s="11">
        <v>3321.0</v>
      </c>
      <c r="B3322" s="12">
        <f t="shared" si="524"/>
        <v>40387</v>
      </c>
      <c r="C3322" s="11" t="s">
        <v>2394</v>
      </c>
      <c r="D3322" s="11" t="s">
        <v>28</v>
      </c>
    </row>
    <row r="3323">
      <c r="A3323" s="11">
        <v>3322.0</v>
      </c>
      <c r="B3323" s="12">
        <f t="shared" ref="B3323:B3330" si="525">DATE(2012,12,31)-886</f>
        <v>40388</v>
      </c>
      <c r="C3323" s="11" t="s">
        <v>1170</v>
      </c>
      <c r="D3323" s="11" t="s">
        <v>66</v>
      </c>
    </row>
    <row r="3324">
      <c r="A3324" s="11">
        <v>3323.0</v>
      </c>
      <c r="B3324" s="12">
        <f t="shared" si="525"/>
        <v>40388</v>
      </c>
      <c r="C3324" s="11" t="s">
        <v>2075</v>
      </c>
      <c r="D3324" s="11" t="s">
        <v>49</v>
      </c>
    </row>
    <row r="3325">
      <c r="A3325" s="11">
        <v>3324.0</v>
      </c>
      <c r="B3325" s="12">
        <f t="shared" si="525"/>
        <v>40388</v>
      </c>
      <c r="C3325" s="11" t="s">
        <v>1799</v>
      </c>
      <c r="D3325" s="11" t="s">
        <v>66</v>
      </c>
    </row>
    <row r="3326">
      <c r="A3326" s="11">
        <v>3325.0</v>
      </c>
      <c r="B3326" s="12">
        <f t="shared" si="525"/>
        <v>40388</v>
      </c>
      <c r="C3326" s="11" t="s">
        <v>1799</v>
      </c>
      <c r="D3326" s="11" t="s">
        <v>28</v>
      </c>
    </row>
    <row r="3327">
      <c r="A3327" s="11">
        <v>3326.0</v>
      </c>
      <c r="B3327" s="12">
        <f t="shared" si="525"/>
        <v>40388</v>
      </c>
      <c r="C3327" s="11" t="s">
        <v>1018</v>
      </c>
      <c r="D3327" s="11" t="s">
        <v>28</v>
      </c>
    </row>
    <row r="3328">
      <c r="A3328" s="11">
        <v>3327.0</v>
      </c>
      <c r="B3328" s="12">
        <f t="shared" si="525"/>
        <v>40388</v>
      </c>
      <c r="C3328" s="11" t="s">
        <v>1554</v>
      </c>
      <c r="D3328" s="11" t="s">
        <v>66</v>
      </c>
    </row>
    <row r="3329">
      <c r="A3329" s="11">
        <v>3328.0</v>
      </c>
      <c r="B3329" s="12">
        <f t="shared" si="525"/>
        <v>40388</v>
      </c>
      <c r="C3329" s="11" t="s">
        <v>193</v>
      </c>
      <c r="D3329" s="11" t="s">
        <v>49</v>
      </c>
    </row>
    <row r="3330">
      <c r="A3330" s="11">
        <v>3329.0</v>
      </c>
      <c r="B3330" s="12">
        <f t="shared" si="525"/>
        <v>40388</v>
      </c>
      <c r="C3330" s="11" t="s">
        <v>193</v>
      </c>
      <c r="D3330" s="11" t="s">
        <v>28</v>
      </c>
    </row>
    <row r="3331">
      <c r="A3331" s="11">
        <v>3330.0</v>
      </c>
      <c r="B3331" s="12">
        <f t="shared" ref="B3331:B3338" si="526">DATE(2012,12,31)-885</f>
        <v>40389</v>
      </c>
      <c r="C3331" s="11" t="s">
        <v>1170</v>
      </c>
      <c r="D3331" s="11" t="s">
        <v>28</v>
      </c>
    </row>
    <row r="3332">
      <c r="A3332" s="11">
        <v>3331.0</v>
      </c>
      <c r="B3332" s="12">
        <f t="shared" si="526"/>
        <v>40389</v>
      </c>
      <c r="C3332" s="11" t="s">
        <v>1170</v>
      </c>
      <c r="D3332" s="11" t="s">
        <v>28</v>
      </c>
    </row>
    <row r="3333">
      <c r="A3333" s="11">
        <v>3332.0</v>
      </c>
      <c r="B3333" s="12">
        <f t="shared" si="526"/>
        <v>40389</v>
      </c>
      <c r="C3333" s="11" t="s">
        <v>958</v>
      </c>
      <c r="D3333" s="11" t="s">
        <v>28</v>
      </c>
    </row>
    <row r="3334">
      <c r="A3334" s="11">
        <v>3333.0</v>
      </c>
      <c r="B3334" s="12">
        <f t="shared" si="526"/>
        <v>40389</v>
      </c>
      <c r="C3334" s="11" t="s">
        <v>958</v>
      </c>
      <c r="D3334" s="11" t="s">
        <v>28</v>
      </c>
    </row>
    <row r="3335">
      <c r="A3335" s="11">
        <v>3334.0</v>
      </c>
      <c r="B3335" s="12">
        <f t="shared" si="526"/>
        <v>40389</v>
      </c>
      <c r="C3335" s="11" t="s">
        <v>34</v>
      </c>
      <c r="D3335" s="11" t="s">
        <v>49</v>
      </c>
    </row>
    <row r="3336">
      <c r="A3336" s="11">
        <v>3335.0</v>
      </c>
      <c r="B3336" s="12">
        <f t="shared" si="526"/>
        <v>40389</v>
      </c>
      <c r="C3336" s="11" t="s">
        <v>34</v>
      </c>
      <c r="D3336" s="11" t="s">
        <v>49</v>
      </c>
    </row>
    <row r="3337">
      <c r="A3337" s="11">
        <v>3336.0</v>
      </c>
      <c r="B3337" s="12">
        <f t="shared" si="526"/>
        <v>40389</v>
      </c>
      <c r="C3337" s="11" t="s">
        <v>2276</v>
      </c>
      <c r="D3337" s="11" t="s">
        <v>28</v>
      </c>
    </row>
    <row r="3338">
      <c r="A3338" s="11">
        <v>3337.0</v>
      </c>
      <c r="B3338" s="12">
        <f t="shared" si="526"/>
        <v>40389</v>
      </c>
      <c r="C3338" s="11" t="s">
        <v>2276</v>
      </c>
      <c r="D3338" s="11" t="s">
        <v>49</v>
      </c>
    </row>
    <row r="3339">
      <c r="A3339" s="11">
        <v>3338.0</v>
      </c>
      <c r="B3339" s="12">
        <f t="shared" ref="B3339:B3344" si="527">DATE(2012,12,31)-884</f>
        <v>40390</v>
      </c>
      <c r="C3339" s="11" t="s">
        <v>2148</v>
      </c>
      <c r="D3339" s="11" t="s">
        <v>28</v>
      </c>
    </row>
    <row r="3340">
      <c r="A3340" s="11">
        <v>3339.0</v>
      </c>
      <c r="B3340" s="12">
        <f t="shared" si="527"/>
        <v>40390</v>
      </c>
      <c r="C3340" s="11" t="s">
        <v>910</v>
      </c>
      <c r="D3340" s="11" t="s">
        <v>49</v>
      </c>
    </row>
    <row r="3341">
      <c r="A3341" s="11">
        <v>3340.0</v>
      </c>
      <c r="B3341" s="12">
        <f t="shared" si="527"/>
        <v>40390</v>
      </c>
      <c r="C3341" s="11" t="s">
        <v>910</v>
      </c>
      <c r="D3341" s="11" t="s">
        <v>28</v>
      </c>
    </row>
    <row r="3342">
      <c r="A3342" s="11">
        <v>3341.0</v>
      </c>
      <c r="B3342" s="12">
        <f t="shared" si="527"/>
        <v>40390</v>
      </c>
      <c r="C3342" s="11" t="s">
        <v>1963</v>
      </c>
      <c r="D3342" s="11" t="s">
        <v>28</v>
      </c>
    </row>
    <row r="3343">
      <c r="A3343" s="11">
        <v>3342.0</v>
      </c>
      <c r="B3343" s="12">
        <f t="shared" si="527"/>
        <v>40390</v>
      </c>
      <c r="C3343" s="11" t="s">
        <v>1276</v>
      </c>
      <c r="D3343" s="11" t="s">
        <v>28</v>
      </c>
    </row>
    <row r="3344">
      <c r="A3344" s="11">
        <v>3343.0</v>
      </c>
      <c r="B3344" s="12">
        <f t="shared" si="527"/>
        <v>40390</v>
      </c>
      <c r="C3344" s="11" t="s">
        <v>1276</v>
      </c>
      <c r="D3344" s="11" t="s">
        <v>66</v>
      </c>
    </row>
    <row r="3345">
      <c r="A3345" s="11">
        <v>3344.0</v>
      </c>
      <c r="B3345" s="12">
        <f>DATE(2012,12,31)-883</f>
        <v>40391</v>
      </c>
      <c r="C3345" s="11" t="s">
        <v>1264</v>
      </c>
      <c r="D3345" s="11" t="s">
        <v>28</v>
      </c>
    </row>
    <row r="3346">
      <c r="A3346" s="11">
        <v>3345.0</v>
      </c>
      <c r="B3346" s="12">
        <f t="shared" ref="B3346:B3351" si="528">DATE(2012,12,31)-882</f>
        <v>40392</v>
      </c>
      <c r="C3346" s="11" t="s">
        <v>771</v>
      </c>
      <c r="D3346" s="11" t="s">
        <v>49</v>
      </c>
    </row>
    <row r="3347">
      <c r="A3347" s="11">
        <v>3346.0</v>
      </c>
      <c r="B3347" s="12">
        <f t="shared" si="528"/>
        <v>40392</v>
      </c>
      <c r="C3347" s="11" t="s">
        <v>771</v>
      </c>
      <c r="D3347" s="11" t="s">
        <v>28</v>
      </c>
    </row>
    <row r="3348">
      <c r="A3348" s="11">
        <v>3347.0</v>
      </c>
      <c r="B3348" s="12">
        <f t="shared" si="528"/>
        <v>40392</v>
      </c>
      <c r="C3348" s="11" t="s">
        <v>771</v>
      </c>
      <c r="D3348" s="11" t="s">
        <v>28</v>
      </c>
    </row>
    <row r="3349">
      <c r="A3349" s="11">
        <v>3348.0</v>
      </c>
      <c r="B3349" s="12">
        <f t="shared" si="528"/>
        <v>40392</v>
      </c>
      <c r="C3349" s="11" t="s">
        <v>781</v>
      </c>
      <c r="D3349" s="11" t="s">
        <v>28</v>
      </c>
    </row>
    <row r="3350">
      <c r="A3350" s="11">
        <v>3349.0</v>
      </c>
      <c r="B3350" s="12">
        <f t="shared" si="528"/>
        <v>40392</v>
      </c>
      <c r="C3350" s="11" t="s">
        <v>781</v>
      </c>
      <c r="D3350" s="11" t="s">
        <v>28</v>
      </c>
    </row>
    <row r="3351">
      <c r="A3351" s="11">
        <v>3350.0</v>
      </c>
      <c r="B3351" s="12">
        <f t="shared" si="528"/>
        <v>40392</v>
      </c>
      <c r="C3351" s="11" t="s">
        <v>781</v>
      </c>
      <c r="D3351" s="11" t="s">
        <v>66</v>
      </c>
    </row>
    <row r="3352">
      <c r="A3352" s="11">
        <v>3351.0</v>
      </c>
      <c r="B3352" s="12">
        <f t="shared" ref="B3352:B3360" si="529">DATE(2012,12,31)-881</f>
        <v>40393</v>
      </c>
      <c r="C3352" s="11" t="s">
        <v>456</v>
      </c>
      <c r="D3352" s="11" t="s">
        <v>66</v>
      </c>
    </row>
    <row r="3353">
      <c r="A3353" s="11">
        <v>3352.0</v>
      </c>
      <c r="B3353" s="12">
        <f t="shared" si="529"/>
        <v>40393</v>
      </c>
      <c r="C3353" s="11" t="s">
        <v>1835</v>
      </c>
      <c r="D3353" s="11" t="s">
        <v>28</v>
      </c>
    </row>
    <row r="3354">
      <c r="A3354" s="11">
        <v>3353.0</v>
      </c>
      <c r="B3354" s="12">
        <f t="shared" si="529"/>
        <v>40393</v>
      </c>
      <c r="C3354" s="11" t="s">
        <v>1010</v>
      </c>
      <c r="D3354" s="11" t="s">
        <v>28</v>
      </c>
    </row>
    <row r="3355">
      <c r="A3355" s="11">
        <v>3354.0</v>
      </c>
      <c r="B3355" s="12">
        <f t="shared" si="529"/>
        <v>40393</v>
      </c>
      <c r="C3355" s="11" t="s">
        <v>1010</v>
      </c>
      <c r="D3355" s="11" t="s">
        <v>49</v>
      </c>
    </row>
    <row r="3356">
      <c r="A3356" s="11">
        <v>3355.0</v>
      </c>
      <c r="B3356" s="12">
        <f t="shared" si="529"/>
        <v>40393</v>
      </c>
      <c r="C3356" s="11" t="s">
        <v>1054</v>
      </c>
      <c r="D3356" s="11" t="s">
        <v>66</v>
      </c>
    </row>
    <row r="3357">
      <c r="A3357" s="11">
        <v>3356.0</v>
      </c>
      <c r="B3357" s="12">
        <f t="shared" si="529"/>
        <v>40393</v>
      </c>
      <c r="C3357" s="11" t="s">
        <v>1731</v>
      </c>
      <c r="D3357" s="11" t="s">
        <v>28</v>
      </c>
    </row>
    <row r="3358">
      <c r="A3358" s="11">
        <v>3357.0</v>
      </c>
      <c r="B3358" s="12">
        <f t="shared" si="529"/>
        <v>40393</v>
      </c>
      <c r="C3358" s="11" t="s">
        <v>1027</v>
      </c>
      <c r="D3358" s="11" t="s">
        <v>28</v>
      </c>
    </row>
    <row r="3359">
      <c r="A3359" s="11">
        <v>3358.0</v>
      </c>
      <c r="B3359" s="12">
        <f t="shared" si="529"/>
        <v>40393</v>
      </c>
      <c r="C3359" s="11" t="s">
        <v>1027</v>
      </c>
      <c r="D3359" s="11" t="s">
        <v>49</v>
      </c>
    </row>
    <row r="3360">
      <c r="A3360" s="11">
        <v>3359.0</v>
      </c>
      <c r="B3360" s="12">
        <f t="shared" si="529"/>
        <v>40393</v>
      </c>
      <c r="C3360" s="11" t="s">
        <v>1027</v>
      </c>
      <c r="D3360" s="11" t="s">
        <v>49</v>
      </c>
    </row>
    <row r="3361">
      <c r="A3361" s="11">
        <v>3360.0</v>
      </c>
      <c r="B3361" s="12">
        <f t="shared" ref="B3361:B3377" si="530">DATE(2012,12,31)-880</f>
        <v>40394</v>
      </c>
      <c r="C3361" s="11" t="s">
        <v>1865</v>
      </c>
      <c r="D3361" s="11" t="s">
        <v>28</v>
      </c>
    </row>
    <row r="3362">
      <c r="A3362" s="11">
        <v>3361.0</v>
      </c>
      <c r="B3362" s="12">
        <f t="shared" si="530"/>
        <v>40394</v>
      </c>
      <c r="C3362" s="11" t="s">
        <v>1736</v>
      </c>
      <c r="D3362" s="11" t="s">
        <v>28</v>
      </c>
    </row>
    <row r="3363">
      <c r="A3363" s="11">
        <v>3362.0</v>
      </c>
      <c r="B3363" s="12">
        <f t="shared" si="530"/>
        <v>40394</v>
      </c>
      <c r="C3363" s="11" t="s">
        <v>1736</v>
      </c>
      <c r="D3363" s="11" t="s">
        <v>49</v>
      </c>
    </row>
    <row r="3364">
      <c r="A3364" s="11">
        <v>3363.0</v>
      </c>
      <c r="B3364" s="12">
        <f t="shared" si="530"/>
        <v>40394</v>
      </c>
      <c r="C3364" s="11" t="s">
        <v>1736</v>
      </c>
      <c r="D3364" s="11" t="s">
        <v>28</v>
      </c>
    </row>
    <row r="3365">
      <c r="A3365" s="11">
        <v>3364.0</v>
      </c>
      <c r="B3365" s="12">
        <f t="shared" si="530"/>
        <v>40394</v>
      </c>
      <c r="C3365" s="11" t="s">
        <v>528</v>
      </c>
      <c r="D3365" s="11" t="s">
        <v>28</v>
      </c>
    </row>
    <row r="3366">
      <c r="A3366" s="11">
        <v>3365.0</v>
      </c>
      <c r="B3366" s="12">
        <f t="shared" si="530"/>
        <v>40394</v>
      </c>
      <c r="C3366" s="11" t="s">
        <v>528</v>
      </c>
      <c r="D3366" s="11" t="s">
        <v>28</v>
      </c>
    </row>
    <row r="3367">
      <c r="A3367" s="11">
        <v>3366.0</v>
      </c>
      <c r="B3367" s="12">
        <f t="shared" si="530"/>
        <v>40394</v>
      </c>
      <c r="C3367" s="11" t="s">
        <v>528</v>
      </c>
      <c r="D3367" s="11" t="s">
        <v>66</v>
      </c>
    </row>
    <row r="3368">
      <c r="A3368" s="11">
        <v>3367.0</v>
      </c>
      <c r="B3368" s="12">
        <f t="shared" si="530"/>
        <v>40394</v>
      </c>
      <c r="C3368" s="11" t="s">
        <v>222</v>
      </c>
      <c r="D3368" s="11" t="s">
        <v>66</v>
      </c>
    </row>
    <row r="3369">
      <c r="A3369" s="11">
        <v>3368.0</v>
      </c>
      <c r="B3369" s="12">
        <f t="shared" si="530"/>
        <v>40394</v>
      </c>
      <c r="C3369" s="11" t="s">
        <v>832</v>
      </c>
      <c r="D3369" s="11" t="s">
        <v>28</v>
      </c>
    </row>
    <row r="3370">
      <c r="A3370" s="11">
        <v>3369.0</v>
      </c>
      <c r="B3370" s="12">
        <f t="shared" si="530"/>
        <v>40394</v>
      </c>
      <c r="C3370" s="11" t="s">
        <v>576</v>
      </c>
      <c r="D3370" s="11" t="s">
        <v>66</v>
      </c>
    </row>
    <row r="3371">
      <c r="A3371" s="11">
        <v>3370.0</v>
      </c>
      <c r="B3371" s="12">
        <f t="shared" si="530"/>
        <v>40394</v>
      </c>
      <c r="C3371" s="11" t="s">
        <v>576</v>
      </c>
      <c r="D3371" s="11" t="s">
        <v>66</v>
      </c>
    </row>
    <row r="3372">
      <c r="A3372" s="11">
        <v>3371.0</v>
      </c>
      <c r="B3372" s="12">
        <f t="shared" si="530"/>
        <v>40394</v>
      </c>
      <c r="C3372" s="11" t="s">
        <v>576</v>
      </c>
      <c r="D3372" s="11" t="s">
        <v>28</v>
      </c>
    </row>
    <row r="3373">
      <c r="A3373" s="11">
        <v>3372.0</v>
      </c>
      <c r="B3373" s="12">
        <f t="shared" si="530"/>
        <v>40394</v>
      </c>
      <c r="C3373" s="11" t="s">
        <v>2398</v>
      </c>
      <c r="D3373" s="11" t="s">
        <v>28</v>
      </c>
    </row>
    <row r="3374">
      <c r="A3374" s="11">
        <v>3373.0</v>
      </c>
      <c r="B3374" s="12">
        <f t="shared" si="530"/>
        <v>40394</v>
      </c>
      <c r="C3374" s="11" t="s">
        <v>2398</v>
      </c>
      <c r="D3374" s="11" t="s">
        <v>28</v>
      </c>
    </row>
    <row r="3375">
      <c r="A3375" s="11">
        <v>3374.0</v>
      </c>
      <c r="B3375" s="12">
        <f t="shared" si="530"/>
        <v>40394</v>
      </c>
      <c r="C3375" s="11" t="s">
        <v>823</v>
      </c>
      <c r="D3375" s="11" t="s">
        <v>28</v>
      </c>
    </row>
    <row r="3376">
      <c r="A3376" s="11">
        <v>3375.0</v>
      </c>
      <c r="B3376" s="12">
        <f t="shared" si="530"/>
        <v>40394</v>
      </c>
      <c r="C3376" s="11" t="s">
        <v>617</v>
      </c>
      <c r="D3376" s="11" t="s">
        <v>28</v>
      </c>
    </row>
    <row r="3377">
      <c r="A3377" s="11">
        <v>3376.0</v>
      </c>
      <c r="B3377" s="12">
        <f t="shared" si="530"/>
        <v>40394</v>
      </c>
      <c r="C3377" s="11" t="s">
        <v>617</v>
      </c>
      <c r="D3377" s="11" t="s">
        <v>49</v>
      </c>
    </row>
    <row r="3378">
      <c r="A3378" s="11">
        <v>3377.0</v>
      </c>
      <c r="B3378" s="12">
        <f t="shared" ref="B3378:B3382" si="531">DATE(2012,12,31)-879</f>
        <v>40395</v>
      </c>
      <c r="C3378" s="11" t="s">
        <v>1089</v>
      </c>
      <c r="D3378" s="11" t="s">
        <v>28</v>
      </c>
    </row>
    <row r="3379">
      <c r="A3379" s="11">
        <v>3378.0</v>
      </c>
      <c r="B3379" s="12">
        <f t="shared" si="531"/>
        <v>40395</v>
      </c>
      <c r="C3379" s="11" t="s">
        <v>1089</v>
      </c>
      <c r="D3379" s="11" t="s">
        <v>28</v>
      </c>
    </row>
    <row r="3380">
      <c r="A3380" s="11">
        <v>3379.0</v>
      </c>
      <c r="B3380" s="12">
        <f t="shared" si="531"/>
        <v>40395</v>
      </c>
      <c r="C3380" s="11" t="s">
        <v>2224</v>
      </c>
      <c r="D3380" s="11" t="s">
        <v>66</v>
      </c>
    </row>
    <row r="3381">
      <c r="A3381" s="11">
        <v>3380.0</v>
      </c>
      <c r="B3381" s="12">
        <f t="shared" si="531"/>
        <v>40395</v>
      </c>
      <c r="C3381" s="11" t="s">
        <v>567</v>
      </c>
      <c r="D3381" s="11" t="s">
        <v>28</v>
      </c>
    </row>
    <row r="3382">
      <c r="A3382" s="11">
        <v>3381.0</v>
      </c>
      <c r="B3382" s="12">
        <f t="shared" si="531"/>
        <v>40395</v>
      </c>
      <c r="C3382" s="11" t="s">
        <v>567</v>
      </c>
      <c r="D3382" s="11" t="s">
        <v>49</v>
      </c>
    </row>
    <row r="3383">
      <c r="A3383" s="11">
        <v>3382.0</v>
      </c>
      <c r="B3383" s="12">
        <f t="shared" ref="B3383:B3387" si="532">DATE(2012,12,31)-878</f>
        <v>40396</v>
      </c>
      <c r="C3383" s="11" t="s">
        <v>2399</v>
      </c>
      <c r="D3383" s="11" t="s">
        <v>28</v>
      </c>
    </row>
    <row r="3384">
      <c r="A3384" s="11">
        <v>3383.0</v>
      </c>
      <c r="B3384" s="12">
        <f t="shared" si="532"/>
        <v>40396</v>
      </c>
      <c r="C3384" s="11" t="s">
        <v>1256</v>
      </c>
      <c r="D3384" s="11" t="s">
        <v>28</v>
      </c>
    </row>
    <row r="3385">
      <c r="A3385" s="11">
        <v>3384.0</v>
      </c>
      <c r="B3385" s="12">
        <f t="shared" si="532"/>
        <v>40396</v>
      </c>
      <c r="C3385" s="11" t="s">
        <v>1256</v>
      </c>
      <c r="D3385" s="11" t="s">
        <v>28</v>
      </c>
    </row>
    <row r="3386">
      <c r="A3386" s="11">
        <v>3385.0</v>
      </c>
      <c r="B3386" s="12">
        <f t="shared" si="532"/>
        <v>40396</v>
      </c>
      <c r="C3386" s="11" t="s">
        <v>1021</v>
      </c>
      <c r="D3386" s="11" t="s">
        <v>28</v>
      </c>
    </row>
    <row r="3387">
      <c r="A3387" s="11">
        <v>3386.0</v>
      </c>
      <c r="B3387" s="12">
        <f t="shared" si="532"/>
        <v>40396</v>
      </c>
      <c r="C3387" s="11" t="s">
        <v>1021</v>
      </c>
      <c r="D3387" s="11" t="s">
        <v>49</v>
      </c>
    </row>
    <row r="3388">
      <c r="A3388" s="11">
        <v>3387.0</v>
      </c>
      <c r="B3388" s="12">
        <f t="shared" ref="B3388:B3392" si="533">DATE(2012,12,31)-877</f>
        <v>40397</v>
      </c>
      <c r="C3388" s="11" t="s">
        <v>1685</v>
      </c>
      <c r="D3388" s="11" t="s">
        <v>28</v>
      </c>
    </row>
    <row r="3389">
      <c r="A3389" s="11">
        <v>3388.0</v>
      </c>
      <c r="B3389" s="12">
        <f t="shared" si="533"/>
        <v>40397</v>
      </c>
      <c r="C3389" s="11" t="s">
        <v>819</v>
      </c>
      <c r="D3389" s="11" t="s">
        <v>28</v>
      </c>
    </row>
    <row r="3390">
      <c r="A3390" s="11">
        <v>3389.0</v>
      </c>
      <c r="B3390" s="12">
        <f t="shared" si="533"/>
        <v>40397</v>
      </c>
      <c r="C3390" s="11" t="s">
        <v>2061</v>
      </c>
      <c r="D3390" s="11" t="s">
        <v>49</v>
      </c>
    </row>
    <row r="3391">
      <c r="A3391" s="11">
        <v>3390.0</v>
      </c>
      <c r="B3391" s="12">
        <f t="shared" si="533"/>
        <v>40397</v>
      </c>
      <c r="C3391" s="11" t="s">
        <v>504</v>
      </c>
      <c r="D3391" s="11" t="s">
        <v>49</v>
      </c>
    </row>
    <row r="3392">
      <c r="A3392" s="11">
        <v>3391.0</v>
      </c>
      <c r="B3392" s="12">
        <f t="shared" si="533"/>
        <v>40397</v>
      </c>
      <c r="C3392" s="11" t="s">
        <v>945</v>
      </c>
      <c r="D3392" s="11" t="s">
        <v>66</v>
      </c>
    </row>
    <row r="3393">
      <c r="A3393" s="11">
        <v>3392.0</v>
      </c>
      <c r="B3393" s="12">
        <f>DATE(2012,12,31)-876</f>
        <v>40398</v>
      </c>
      <c r="C3393" s="11" t="s">
        <v>2401</v>
      </c>
      <c r="D3393" s="11" t="s">
        <v>28</v>
      </c>
    </row>
    <row r="3394">
      <c r="A3394" s="11">
        <v>3393.0</v>
      </c>
      <c r="B3394" s="12">
        <f t="shared" ref="B3394:B3400" si="534">DATE(2012,12,31)-875</f>
        <v>40399</v>
      </c>
      <c r="C3394" s="11" t="s">
        <v>1607</v>
      </c>
      <c r="D3394" s="11" t="s">
        <v>28</v>
      </c>
    </row>
    <row r="3395">
      <c r="A3395" s="11">
        <v>3394.0</v>
      </c>
      <c r="B3395" s="12">
        <f t="shared" si="534"/>
        <v>40399</v>
      </c>
      <c r="C3395" s="11" t="s">
        <v>793</v>
      </c>
      <c r="D3395" s="11" t="s">
        <v>49</v>
      </c>
    </row>
    <row r="3396">
      <c r="A3396" s="11">
        <v>3395.0</v>
      </c>
      <c r="B3396" s="12">
        <f t="shared" si="534"/>
        <v>40399</v>
      </c>
      <c r="C3396" s="11" t="s">
        <v>370</v>
      </c>
      <c r="D3396" s="11" t="s">
        <v>66</v>
      </c>
    </row>
    <row r="3397">
      <c r="A3397" s="11">
        <v>3396.0</v>
      </c>
      <c r="B3397" s="12">
        <f t="shared" si="534"/>
        <v>40399</v>
      </c>
      <c r="C3397" s="11" t="s">
        <v>2402</v>
      </c>
      <c r="D3397" s="11" t="s">
        <v>28</v>
      </c>
    </row>
    <row r="3398">
      <c r="A3398" s="11">
        <v>3397.0</v>
      </c>
      <c r="B3398" s="12">
        <f t="shared" si="534"/>
        <v>40399</v>
      </c>
      <c r="C3398" s="11" t="s">
        <v>2324</v>
      </c>
      <c r="D3398" s="11" t="s">
        <v>66</v>
      </c>
    </row>
    <row r="3399">
      <c r="A3399" s="11">
        <v>3398.0</v>
      </c>
      <c r="B3399" s="12">
        <f t="shared" si="534"/>
        <v>40399</v>
      </c>
      <c r="C3399" s="11" t="s">
        <v>662</v>
      </c>
      <c r="D3399" s="11" t="s">
        <v>49</v>
      </c>
    </row>
    <row r="3400">
      <c r="A3400" s="11">
        <v>3399.0</v>
      </c>
      <c r="B3400" s="12">
        <f t="shared" si="534"/>
        <v>40399</v>
      </c>
      <c r="C3400" s="11" t="s">
        <v>662</v>
      </c>
      <c r="D3400" s="11" t="s">
        <v>28</v>
      </c>
    </row>
    <row r="3401">
      <c r="A3401" s="11">
        <v>3400.0</v>
      </c>
      <c r="B3401" s="12">
        <f t="shared" ref="B3401:B3403" si="535">DATE(2012,12,31)-874</f>
        <v>40400</v>
      </c>
      <c r="C3401" s="11" t="s">
        <v>780</v>
      </c>
      <c r="D3401" s="11" t="s">
        <v>28</v>
      </c>
    </row>
    <row r="3402">
      <c r="A3402" s="11">
        <v>3401.0</v>
      </c>
      <c r="B3402" s="12">
        <f t="shared" si="535"/>
        <v>40400</v>
      </c>
      <c r="C3402" s="11" t="s">
        <v>780</v>
      </c>
      <c r="D3402" s="11" t="s">
        <v>28</v>
      </c>
    </row>
    <row r="3403">
      <c r="A3403" s="11">
        <v>3402.0</v>
      </c>
      <c r="B3403" s="12">
        <f t="shared" si="535"/>
        <v>40400</v>
      </c>
      <c r="C3403" s="11" t="s">
        <v>803</v>
      </c>
      <c r="D3403" s="11" t="s">
        <v>66</v>
      </c>
    </row>
    <row r="3404">
      <c r="A3404" s="11">
        <v>3403.0</v>
      </c>
      <c r="B3404" s="12">
        <f t="shared" ref="B3404:B3405" si="536">DATE(2012,12,31)-873</f>
        <v>40401</v>
      </c>
      <c r="C3404" s="11" t="s">
        <v>2292</v>
      </c>
      <c r="D3404" s="11" t="s">
        <v>28</v>
      </c>
    </row>
    <row r="3405">
      <c r="A3405" s="11">
        <v>3404.0</v>
      </c>
      <c r="B3405" s="12">
        <f t="shared" si="536"/>
        <v>40401</v>
      </c>
      <c r="C3405" s="11" t="s">
        <v>55</v>
      </c>
      <c r="D3405" s="11" t="s">
        <v>66</v>
      </c>
    </row>
    <row r="3406">
      <c r="A3406" s="11">
        <v>3405.0</v>
      </c>
      <c r="B3406" s="12">
        <f t="shared" ref="B3406:B3409" si="537">DATE(2012,12,31)-872</f>
        <v>40402</v>
      </c>
      <c r="C3406" s="11" t="s">
        <v>1466</v>
      </c>
      <c r="D3406" s="11" t="s">
        <v>28</v>
      </c>
    </row>
    <row r="3407">
      <c r="A3407" s="11">
        <v>3406.0</v>
      </c>
      <c r="B3407" s="12">
        <f t="shared" si="537"/>
        <v>40402</v>
      </c>
      <c r="C3407" s="11" t="s">
        <v>1466</v>
      </c>
      <c r="D3407" s="11" t="s">
        <v>28</v>
      </c>
    </row>
    <row r="3408">
      <c r="A3408" s="11">
        <v>3407.0</v>
      </c>
      <c r="B3408" s="12">
        <f t="shared" si="537"/>
        <v>40402</v>
      </c>
      <c r="C3408" s="11" t="s">
        <v>1636</v>
      </c>
      <c r="D3408" s="11" t="s">
        <v>28</v>
      </c>
    </row>
    <row r="3409">
      <c r="A3409" s="11">
        <v>3408.0</v>
      </c>
      <c r="B3409" s="12">
        <f t="shared" si="537"/>
        <v>40402</v>
      </c>
      <c r="C3409" s="11" t="s">
        <v>2099</v>
      </c>
      <c r="D3409" s="11" t="s">
        <v>49</v>
      </c>
    </row>
    <row r="3410">
      <c r="A3410" s="11">
        <v>3409.0</v>
      </c>
      <c r="B3410" s="12">
        <f t="shared" ref="B3410:B3416" si="538">DATE(2012,12,31)-871</f>
        <v>40403</v>
      </c>
      <c r="C3410" s="11" t="s">
        <v>235</v>
      </c>
      <c r="D3410" s="11" t="s">
        <v>28</v>
      </c>
    </row>
    <row r="3411">
      <c r="A3411" s="11">
        <v>3410.0</v>
      </c>
      <c r="B3411" s="12">
        <f t="shared" si="538"/>
        <v>40403</v>
      </c>
      <c r="C3411" s="11" t="s">
        <v>174</v>
      </c>
      <c r="D3411" s="11" t="s">
        <v>28</v>
      </c>
    </row>
    <row r="3412">
      <c r="A3412" s="11">
        <v>3411.0</v>
      </c>
      <c r="B3412" s="12">
        <f t="shared" si="538"/>
        <v>40403</v>
      </c>
      <c r="C3412" s="11" t="s">
        <v>174</v>
      </c>
      <c r="D3412" s="11" t="s">
        <v>66</v>
      </c>
    </row>
    <row r="3413">
      <c r="A3413" s="11">
        <v>3412.0</v>
      </c>
      <c r="B3413" s="12">
        <f t="shared" si="538"/>
        <v>40403</v>
      </c>
      <c r="C3413" s="11" t="s">
        <v>571</v>
      </c>
      <c r="D3413" s="11" t="s">
        <v>28</v>
      </c>
    </row>
    <row r="3414">
      <c r="A3414" s="11">
        <v>3413.0</v>
      </c>
      <c r="B3414" s="12">
        <f t="shared" si="538"/>
        <v>40403</v>
      </c>
      <c r="C3414" s="11" t="s">
        <v>571</v>
      </c>
      <c r="D3414" s="11" t="s">
        <v>66</v>
      </c>
    </row>
    <row r="3415">
      <c r="A3415" s="11">
        <v>3414.0</v>
      </c>
      <c r="B3415" s="12">
        <f t="shared" si="538"/>
        <v>40403</v>
      </c>
      <c r="C3415" s="11" t="s">
        <v>1623</v>
      </c>
      <c r="D3415" s="11" t="s">
        <v>28</v>
      </c>
    </row>
    <row r="3416">
      <c r="A3416" s="11">
        <v>3415.0</v>
      </c>
      <c r="B3416" s="12">
        <f t="shared" si="538"/>
        <v>40403</v>
      </c>
      <c r="C3416" s="11" t="s">
        <v>1623</v>
      </c>
      <c r="D3416" s="11" t="s">
        <v>28</v>
      </c>
    </row>
    <row r="3417">
      <c r="A3417" s="11">
        <v>3416.0</v>
      </c>
      <c r="B3417" s="12">
        <f t="shared" ref="B3417:B3420" si="539">DATE(2012,12,31)-870</f>
        <v>40404</v>
      </c>
      <c r="C3417" s="11" t="s">
        <v>613</v>
      </c>
      <c r="D3417" s="11" t="s">
        <v>28</v>
      </c>
    </row>
    <row r="3418">
      <c r="A3418" s="11">
        <v>3417.0</v>
      </c>
      <c r="B3418" s="12">
        <f t="shared" si="539"/>
        <v>40404</v>
      </c>
      <c r="C3418" s="11" t="s">
        <v>1372</v>
      </c>
      <c r="D3418" s="11" t="s">
        <v>28</v>
      </c>
    </row>
    <row r="3419">
      <c r="A3419" s="11">
        <v>3418.0</v>
      </c>
      <c r="B3419" s="12">
        <f t="shared" si="539"/>
        <v>40404</v>
      </c>
      <c r="C3419" s="11" t="s">
        <v>120</v>
      </c>
      <c r="D3419" s="11" t="s">
        <v>49</v>
      </c>
    </row>
    <row r="3420">
      <c r="A3420" s="11">
        <v>3419.0</v>
      </c>
      <c r="B3420" s="12">
        <f t="shared" si="539"/>
        <v>40404</v>
      </c>
      <c r="C3420" s="11" t="s">
        <v>120</v>
      </c>
      <c r="D3420" s="11" t="s">
        <v>49</v>
      </c>
    </row>
    <row r="3421">
      <c r="A3421" s="11">
        <v>3420.0</v>
      </c>
      <c r="B3421" s="12">
        <f t="shared" ref="B3421:B3425" si="540">DATE(2012,12,31)-869</f>
        <v>40405</v>
      </c>
      <c r="C3421" s="11" t="s">
        <v>1123</v>
      </c>
      <c r="D3421" s="11" t="s">
        <v>49</v>
      </c>
    </row>
    <row r="3422">
      <c r="A3422" s="11">
        <v>3421.0</v>
      </c>
      <c r="B3422" s="12">
        <f t="shared" si="540"/>
        <v>40405</v>
      </c>
      <c r="C3422" s="11" t="s">
        <v>248</v>
      </c>
      <c r="D3422" s="11" t="s">
        <v>66</v>
      </c>
    </row>
    <row r="3423">
      <c r="A3423" s="11">
        <v>3422.0</v>
      </c>
      <c r="B3423" s="12">
        <f t="shared" si="540"/>
        <v>40405</v>
      </c>
      <c r="C3423" s="11" t="s">
        <v>248</v>
      </c>
      <c r="D3423" s="11" t="s">
        <v>28</v>
      </c>
    </row>
    <row r="3424">
      <c r="A3424" s="11">
        <v>3423.0</v>
      </c>
      <c r="B3424" s="12">
        <f t="shared" si="540"/>
        <v>40405</v>
      </c>
      <c r="C3424" s="11" t="s">
        <v>429</v>
      </c>
      <c r="D3424" s="11" t="s">
        <v>28</v>
      </c>
    </row>
    <row r="3425">
      <c r="A3425" s="11">
        <v>3424.0</v>
      </c>
      <c r="B3425" s="12">
        <f t="shared" si="540"/>
        <v>40405</v>
      </c>
      <c r="C3425" s="11" t="s">
        <v>429</v>
      </c>
      <c r="D3425" s="11" t="s">
        <v>28</v>
      </c>
    </row>
    <row r="3426">
      <c r="A3426" s="11">
        <v>3425.0</v>
      </c>
      <c r="B3426" s="12">
        <f t="shared" ref="B3426:B3431" si="541">DATE(2012,12,31)-868</f>
        <v>40406</v>
      </c>
      <c r="C3426" s="11" t="s">
        <v>2405</v>
      </c>
      <c r="D3426" s="11" t="s">
        <v>66</v>
      </c>
    </row>
    <row r="3427">
      <c r="A3427" s="11">
        <v>3426.0</v>
      </c>
      <c r="B3427" s="12">
        <f t="shared" si="541"/>
        <v>40406</v>
      </c>
      <c r="C3427" s="11" t="s">
        <v>2405</v>
      </c>
      <c r="D3427" s="11" t="s">
        <v>28</v>
      </c>
    </row>
    <row r="3428">
      <c r="A3428" s="11">
        <v>3427.0</v>
      </c>
      <c r="B3428" s="12">
        <f t="shared" si="541"/>
        <v>40406</v>
      </c>
      <c r="C3428" s="11" t="s">
        <v>2405</v>
      </c>
      <c r="D3428" s="11" t="s">
        <v>49</v>
      </c>
    </row>
    <row r="3429">
      <c r="A3429" s="11">
        <v>3428.0</v>
      </c>
      <c r="B3429" s="12">
        <f t="shared" si="541"/>
        <v>40406</v>
      </c>
      <c r="C3429" s="11" t="s">
        <v>1027</v>
      </c>
      <c r="D3429" s="11" t="s">
        <v>66</v>
      </c>
    </row>
    <row r="3430">
      <c r="A3430" s="11">
        <v>3429.0</v>
      </c>
      <c r="B3430" s="12">
        <f t="shared" si="541"/>
        <v>40406</v>
      </c>
      <c r="C3430" s="11" t="s">
        <v>2169</v>
      </c>
      <c r="D3430" s="11" t="s">
        <v>66</v>
      </c>
    </row>
    <row r="3431">
      <c r="A3431" s="11">
        <v>3430.0</v>
      </c>
      <c r="B3431" s="12">
        <f t="shared" si="541"/>
        <v>40406</v>
      </c>
      <c r="C3431" s="11" t="s">
        <v>851</v>
      </c>
      <c r="D3431" s="11" t="s">
        <v>28</v>
      </c>
    </row>
    <row r="3432">
      <c r="A3432" s="11">
        <v>3431.0</v>
      </c>
      <c r="B3432" s="12">
        <f t="shared" ref="B3432:B3439" si="542">DATE(2012,12,31)-867</f>
        <v>40407</v>
      </c>
      <c r="C3432" s="11" t="s">
        <v>1629</v>
      </c>
      <c r="D3432" s="11" t="s">
        <v>28</v>
      </c>
    </row>
    <row r="3433">
      <c r="A3433" s="11">
        <v>3432.0</v>
      </c>
      <c r="B3433" s="12">
        <f t="shared" si="542"/>
        <v>40407</v>
      </c>
      <c r="C3433" s="11" t="s">
        <v>120</v>
      </c>
      <c r="D3433" s="11" t="s">
        <v>66</v>
      </c>
    </row>
    <row r="3434">
      <c r="A3434" s="11">
        <v>3433.0</v>
      </c>
      <c r="B3434" s="12">
        <f t="shared" si="542"/>
        <v>40407</v>
      </c>
      <c r="C3434" s="11" t="s">
        <v>120</v>
      </c>
      <c r="D3434" s="11" t="s">
        <v>49</v>
      </c>
    </row>
    <row r="3435">
      <c r="A3435" s="11">
        <v>3434.0</v>
      </c>
      <c r="B3435" s="12">
        <f t="shared" si="542"/>
        <v>40407</v>
      </c>
      <c r="C3435" s="11" t="s">
        <v>1621</v>
      </c>
      <c r="D3435" s="11" t="s">
        <v>28</v>
      </c>
    </row>
    <row r="3436">
      <c r="A3436" s="11">
        <v>3435.0</v>
      </c>
      <c r="B3436" s="12">
        <f t="shared" si="542"/>
        <v>40407</v>
      </c>
      <c r="C3436" s="11" t="s">
        <v>2081</v>
      </c>
      <c r="D3436" s="11" t="s">
        <v>66</v>
      </c>
    </row>
    <row r="3437">
      <c r="A3437" s="11">
        <v>3436.0</v>
      </c>
      <c r="B3437" s="12">
        <f t="shared" si="542"/>
        <v>40407</v>
      </c>
      <c r="C3437" s="11" t="s">
        <v>2165</v>
      </c>
      <c r="D3437" s="11" t="s">
        <v>66</v>
      </c>
    </row>
    <row r="3438">
      <c r="A3438" s="11">
        <v>3437.0</v>
      </c>
      <c r="B3438" s="12">
        <f t="shared" si="542"/>
        <v>40407</v>
      </c>
      <c r="C3438" s="11" t="s">
        <v>2165</v>
      </c>
      <c r="D3438" s="11" t="s">
        <v>28</v>
      </c>
    </row>
    <row r="3439">
      <c r="A3439" s="11">
        <v>3438.0</v>
      </c>
      <c r="B3439" s="12">
        <f t="shared" si="542"/>
        <v>40407</v>
      </c>
      <c r="C3439" s="11" t="s">
        <v>724</v>
      </c>
      <c r="D3439" s="11" t="s">
        <v>28</v>
      </c>
    </row>
    <row r="3440">
      <c r="A3440" s="11">
        <v>3439.0</v>
      </c>
      <c r="B3440" s="12">
        <f t="shared" ref="B3440:B3446" si="543">DATE(2012,12,31)-866</f>
        <v>40408</v>
      </c>
      <c r="C3440" s="11" t="s">
        <v>138</v>
      </c>
      <c r="D3440" s="11" t="s">
        <v>28</v>
      </c>
    </row>
    <row r="3441">
      <c r="A3441" s="11">
        <v>3440.0</v>
      </c>
      <c r="B3441" s="12">
        <f t="shared" si="543"/>
        <v>40408</v>
      </c>
      <c r="C3441" s="11" t="s">
        <v>1934</v>
      </c>
      <c r="D3441" s="11" t="s">
        <v>28</v>
      </c>
    </row>
    <row r="3442">
      <c r="A3442" s="11">
        <v>3441.0</v>
      </c>
      <c r="B3442" s="12">
        <f t="shared" si="543"/>
        <v>40408</v>
      </c>
      <c r="C3442" s="11" t="s">
        <v>1934</v>
      </c>
      <c r="D3442" s="11" t="s">
        <v>28</v>
      </c>
    </row>
    <row r="3443">
      <c r="A3443" s="11">
        <v>3442.0</v>
      </c>
      <c r="B3443" s="12">
        <f t="shared" si="543"/>
        <v>40408</v>
      </c>
      <c r="C3443" s="11" t="s">
        <v>1387</v>
      </c>
      <c r="D3443" s="11" t="s">
        <v>28</v>
      </c>
    </row>
    <row r="3444">
      <c r="A3444" s="11">
        <v>3443.0</v>
      </c>
      <c r="B3444" s="12">
        <f t="shared" si="543"/>
        <v>40408</v>
      </c>
      <c r="C3444" s="11" t="s">
        <v>219</v>
      </c>
      <c r="D3444" s="11" t="s">
        <v>28</v>
      </c>
    </row>
    <row r="3445">
      <c r="A3445" s="11">
        <v>3444.0</v>
      </c>
      <c r="B3445" s="12">
        <f t="shared" si="543"/>
        <v>40408</v>
      </c>
      <c r="C3445" s="11" t="s">
        <v>382</v>
      </c>
      <c r="D3445" s="11" t="s">
        <v>66</v>
      </c>
    </row>
    <row r="3446">
      <c r="A3446" s="11">
        <v>3445.0</v>
      </c>
      <c r="B3446" s="12">
        <f t="shared" si="543"/>
        <v>40408</v>
      </c>
      <c r="C3446" s="11" t="s">
        <v>382</v>
      </c>
      <c r="D3446" s="11" t="s">
        <v>28</v>
      </c>
    </row>
    <row r="3447">
      <c r="A3447" s="11">
        <v>3446.0</v>
      </c>
      <c r="B3447" s="12">
        <f t="shared" ref="B3447:B3448" si="544">DATE(2012,12,31)-865</f>
        <v>40409</v>
      </c>
      <c r="C3447" s="11" t="s">
        <v>703</v>
      </c>
      <c r="D3447" s="11" t="s">
        <v>28</v>
      </c>
    </row>
    <row r="3448">
      <c r="A3448" s="11">
        <v>3447.0</v>
      </c>
      <c r="B3448" s="12">
        <f t="shared" si="544"/>
        <v>40409</v>
      </c>
      <c r="C3448" s="11" t="s">
        <v>485</v>
      </c>
      <c r="D3448" s="11" t="s">
        <v>28</v>
      </c>
    </row>
    <row r="3449">
      <c r="A3449" s="11">
        <v>3448.0</v>
      </c>
      <c r="B3449" s="12">
        <f t="shared" ref="B3449:B3454" si="545">DATE(2012,12,31)-864</f>
        <v>40410</v>
      </c>
      <c r="C3449" s="11" t="s">
        <v>2407</v>
      </c>
      <c r="D3449" s="11" t="s">
        <v>66</v>
      </c>
    </row>
    <row r="3450">
      <c r="A3450" s="11">
        <v>3449.0</v>
      </c>
      <c r="B3450" s="12">
        <f t="shared" si="545"/>
        <v>40410</v>
      </c>
      <c r="C3450" s="11" t="s">
        <v>2408</v>
      </c>
      <c r="D3450" s="11" t="s">
        <v>49</v>
      </c>
    </row>
    <row r="3451">
      <c r="A3451" s="11">
        <v>3450.0</v>
      </c>
      <c r="B3451" s="12">
        <f t="shared" si="545"/>
        <v>40410</v>
      </c>
      <c r="C3451" s="11" t="s">
        <v>2409</v>
      </c>
      <c r="D3451" s="11" t="s">
        <v>28</v>
      </c>
    </row>
    <row r="3452">
      <c r="A3452" s="11">
        <v>3451.0</v>
      </c>
      <c r="B3452" s="12">
        <f t="shared" si="545"/>
        <v>40410</v>
      </c>
      <c r="C3452" s="11" t="s">
        <v>2383</v>
      </c>
      <c r="D3452" s="11" t="s">
        <v>28</v>
      </c>
    </row>
    <row r="3453">
      <c r="A3453" s="11">
        <v>3452.0</v>
      </c>
      <c r="B3453" s="12">
        <f t="shared" si="545"/>
        <v>40410</v>
      </c>
      <c r="C3453" s="11" t="s">
        <v>2099</v>
      </c>
      <c r="D3453" s="11" t="s">
        <v>49</v>
      </c>
    </row>
    <row r="3454">
      <c r="A3454" s="11">
        <v>3453.0</v>
      </c>
      <c r="B3454" s="12">
        <f t="shared" si="545"/>
        <v>40410</v>
      </c>
      <c r="C3454" s="11" t="s">
        <v>2099</v>
      </c>
      <c r="D3454" s="11" t="s">
        <v>49</v>
      </c>
    </row>
    <row r="3455">
      <c r="A3455" s="11">
        <v>3454.0</v>
      </c>
      <c r="B3455" s="12">
        <f t="shared" ref="B3455:B3461" si="546">DATE(2012,12,31)-863</f>
        <v>40411</v>
      </c>
      <c r="C3455" s="11" t="s">
        <v>235</v>
      </c>
      <c r="D3455" s="11" t="s">
        <v>28</v>
      </c>
    </row>
    <row r="3456">
      <c r="A3456" s="11">
        <v>3455.0</v>
      </c>
      <c r="B3456" s="12">
        <f t="shared" si="546"/>
        <v>40411</v>
      </c>
      <c r="C3456" s="11" t="s">
        <v>953</v>
      </c>
      <c r="D3456" s="11" t="s">
        <v>66</v>
      </c>
    </row>
    <row r="3457">
      <c r="A3457" s="11">
        <v>3456.0</v>
      </c>
      <c r="B3457" s="12">
        <f t="shared" si="546"/>
        <v>40411</v>
      </c>
      <c r="C3457" s="11" t="s">
        <v>1972</v>
      </c>
      <c r="D3457" s="11" t="s">
        <v>28</v>
      </c>
    </row>
    <row r="3458">
      <c r="A3458" s="11">
        <v>3457.0</v>
      </c>
      <c r="B3458" s="12">
        <f t="shared" si="546"/>
        <v>40411</v>
      </c>
      <c r="C3458" s="11" t="s">
        <v>973</v>
      </c>
      <c r="D3458" s="11" t="s">
        <v>49</v>
      </c>
    </row>
    <row r="3459">
      <c r="A3459" s="11">
        <v>3458.0</v>
      </c>
      <c r="B3459" s="12">
        <f t="shared" si="546"/>
        <v>40411</v>
      </c>
      <c r="C3459" s="11" t="s">
        <v>973</v>
      </c>
      <c r="D3459" s="11" t="s">
        <v>28</v>
      </c>
    </row>
    <row r="3460">
      <c r="A3460" s="11">
        <v>3459.0</v>
      </c>
      <c r="B3460" s="12">
        <f t="shared" si="546"/>
        <v>40411</v>
      </c>
      <c r="C3460" s="11" t="s">
        <v>1622</v>
      </c>
      <c r="D3460" s="11" t="s">
        <v>49</v>
      </c>
    </row>
    <row r="3461">
      <c r="A3461" s="11">
        <v>3460.0</v>
      </c>
      <c r="B3461" s="12">
        <f t="shared" si="546"/>
        <v>40411</v>
      </c>
      <c r="C3461" s="11" t="s">
        <v>2374</v>
      </c>
      <c r="D3461" s="11" t="s">
        <v>49</v>
      </c>
    </row>
    <row r="3462">
      <c r="A3462" s="11">
        <v>3461.0</v>
      </c>
      <c r="B3462" s="12">
        <f t="shared" ref="B3462:B3464" si="547">DATE(2012,12,31)-862</f>
        <v>40412</v>
      </c>
      <c r="C3462" s="11" t="s">
        <v>1634</v>
      </c>
      <c r="D3462" s="11" t="s">
        <v>28</v>
      </c>
    </row>
    <row r="3463">
      <c r="A3463" s="11">
        <v>3462.0</v>
      </c>
      <c r="B3463" s="12">
        <f t="shared" si="547"/>
        <v>40412</v>
      </c>
      <c r="C3463" s="11" t="s">
        <v>1490</v>
      </c>
      <c r="D3463" s="11" t="s">
        <v>28</v>
      </c>
    </row>
    <row r="3464">
      <c r="A3464" s="11">
        <v>3463.0</v>
      </c>
      <c r="B3464" s="12">
        <f t="shared" si="547"/>
        <v>40412</v>
      </c>
      <c r="C3464" s="11" t="s">
        <v>793</v>
      </c>
      <c r="D3464" s="11" t="s">
        <v>66</v>
      </c>
    </row>
    <row r="3465">
      <c r="A3465" s="11">
        <v>3464.0</v>
      </c>
      <c r="B3465" s="12">
        <f t="shared" ref="B3465:B3470" si="548">DATE(2012,12,31)-861</f>
        <v>40413</v>
      </c>
      <c r="C3465" s="11" t="s">
        <v>82</v>
      </c>
      <c r="D3465" s="11" t="s">
        <v>66</v>
      </c>
    </row>
    <row r="3466">
      <c r="A3466" s="11">
        <v>3465.0</v>
      </c>
      <c r="B3466" s="12">
        <f t="shared" si="548"/>
        <v>40413</v>
      </c>
      <c r="C3466" s="11" t="s">
        <v>2365</v>
      </c>
      <c r="D3466" s="11" t="s">
        <v>28</v>
      </c>
    </row>
    <row r="3467">
      <c r="A3467" s="11">
        <v>3466.0</v>
      </c>
      <c r="B3467" s="12">
        <f t="shared" si="548"/>
        <v>40413</v>
      </c>
      <c r="C3467" s="11" t="s">
        <v>1831</v>
      </c>
      <c r="D3467" s="11" t="s">
        <v>66</v>
      </c>
    </row>
    <row r="3468">
      <c r="A3468" s="11">
        <v>3467.0</v>
      </c>
      <c r="B3468" s="12">
        <f t="shared" si="548"/>
        <v>40413</v>
      </c>
      <c r="C3468" s="11" t="s">
        <v>1747</v>
      </c>
      <c r="D3468" s="11" t="s">
        <v>28</v>
      </c>
    </row>
    <row r="3469">
      <c r="A3469" s="11">
        <v>3468.0</v>
      </c>
      <c r="B3469" s="12">
        <f t="shared" si="548"/>
        <v>40413</v>
      </c>
      <c r="C3469" s="11" t="s">
        <v>2185</v>
      </c>
      <c r="D3469" s="11" t="s">
        <v>28</v>
      </c>
    </row>
    <row r="3470">
      <c r="A3470" s="11">
        <v>3469.0</v>
      </c>
      <c r="B3470" s="12">
        <f t="shared" si="548"/>
        <v>40413</v>
      </c>
      <c r="C3470" s="11" t="s">
        <v>1581</v>
      </c>
      <c r="D3470" s="11" t="s">
        <v>28</v>
      </c>
    </row>
    <row r="3471">
      <c r="A3471" s="11">
        <v>3470.0</v>
      </c>
      <c r="B3471" s="12">
        <f t="shared" ref="B3471:B3479" si="549">DATE(2012,12,31)-860</f>
        <v>40414</v>
      </c>
      <c r="C3471" s="11" t="s">
        <v>1205</v>
      </c>
      <c r="D3471" s="11" t="s">
        <v>28</v>
      </c>
    </row>
    <row r="3472">
      <c r="A3472" s="11">
        <v>3471.0</v>
      </c>
      <c r="B3472" s="12">
        <f t="shared" si="549"/>
        <v>40414</v>
      </c>
      <c r="C3472" s="11" t="s">
        <v>2162</v>
      </c>
      <c r="D3472" s="11" t="s">
        <v>28</v>
      </c>
    </row>
    <row r="3473">
      <c r="A3473" s="11">
        <v>3472.0</v>
      </c>
      <c r="B3473" s="12">
        <f t="shared" si="549"/>
        <v>40414</v>
      </c>
      <c r="C3473" s="11" t="s">
        <v>2271</v>
      </c>
      <c r="D3473" s="11" t="s">
        <v>49</v>
      </c>
    </row>
    <row r="3474">
      <c r="A3474" s="11">
        <v>3473.0</v>
      </c>
      <c r="B3474" s="12">
        <f t="shared" si="549"/>
        <v>40414</v>
      </c>
      <c r="C3474" s="11" t="s">
        <v>2271</v>
      </c>
      <c r="D3474" s="11" t="s">
        <v>28</v>
      </c>
    </row>
    <row r="3475">
      <c r="A3475" s="11">
        <v>3474.0</v>
      </c>
      <c r="B3475" s="12">
        <f t="shared" si="549"/>
        <v>40414</v>
      </c>
      <c r="C3475" s="11" t="s">
        <v>1257</v>
      </c>
      <c r="D3475" s="11" t="s">
        <v>66</v>
      </c>
    </row>
    <row r="3476">
      <c r="A3476" s="11">
        <v>3475.0</v>
      </c>
      <c r="B3476" s="12">
        <f t="shared" si="549"/>
        <v>40414</v>
      </c>
      <c r="C3476" s="11" t="s">
        <v>1257</v>
      </c>
      <c r="D3476" s="11" t="s">
        <v>28</v>
      </c>
    </row>
    <row r="3477">
      <c r="A3477" s="11">
        <v>3476.0</v>
      </c>
      <c r="B3477" s="12">
        <f t="shared" si="549"/>
        <v>40414</v>
      </c>
      <c r="C3477" s="11" t="s">
        <v>2413</v>
      </c>
      <c r="D3477" s="11" t="s">
        <v>28</v>
      </c>
    </row>
    <row r="3478">
      <c r="A3478" s="11">
        <v>3477.0</v>
      </c>
      <c r="B3478" s="12">
        <f t="shared" si="549"/>
        <v>40414</v>
      </c>
      <c r="C3478" s="11" t="s">
        <v>1756</v>
      </c>
      <c r="D3478" s="11" t="s">
        <v>49</v>
      </c>
    </row>
    <row r="3479">
      <c r="A3479" s="11">
        <v>3478.0</v>
      </c>
      <c r="B3479" s="12">
        <f t="shared" si="549"/>
        <v>40414</v>
      </c>
      <c r="C3479" s="11" t="s">
        <v>1756</v>
      </c>
      <c r="D3479" s="11" t="s">
        <v>28</v>
      </c>
    </row>
    <row r="3480">
      <c r="A3480" s="11">
        <v>3479.0</v>
      </c>
      <c r="B3480" s="12">
        <f>DATE(2012,12,31)-859</f>
        <v>40415</v>
      </c>
      <c r="C3480" s="11" t="s">
        <v>429</v>
      </c>
      <c r="D3480" s="11" t="s">
        <v>28</v>
      </c>
    </row>
    <row r="3481">
      <c r="A3481" s="11">
        <v>3480.0</v>
      </c>
      <c r="B3481" s="12">
        <f t="shared" ref="B3481:B3494" si="550">DATE(2012,12,31)-858</f>
        <v>40416</v>
      </c>
      <c r="C3481" s="11" t="s">
        <v>2017</v>
      </c>
      <c r="D3481" s="11" t="s">
        <v>28</v>
      </c>
    </row>
    <row r="3482">
      <c r="A3482" s="11">
        <v>3481.0</v>
      </c>
      <c r="B3482" s="12">
        <f t="shared" si="550"/>
        <v>40416</v>
      </c>
      <c r="C3482" s="11" t="s">
        <v>2017</v>
      </c>
      <c r="D3482" s="11" t="s">
        <v>66</v>
      </c>
    </row>
    <row r="3483">
      <c r="A3483" s="11">
        <v>3482.0</v>
      </c>
      <c r="B3483" s="12">
        <f t="shared" si="550"/>
        <v>40416</v>
      </c>
      <c r="C3483" s="11" t="s">
        <v>2017</v>
      </c>
      <c r="D3483" s="11" t="s">
        <v>66</v>
      </c>
    </row>
    <row r="3484">
      <c r="A3484" s="11">
        <v>3483.0</v>
      </c>
      <c r="B3484" s="12">
        <f t="shared" si="550"/>
        <v>40416</v>
      </c>
      <c r="C3484" s="11" t="s">
        <v>2017</v>
      </c>
      <c r="D3484" s="11" t="s">
        <v>49</v>
      </c>
    </row>
    <row r="3485">
      <c r="A3485" s="11">
        <v>3484.0</v>
      </c>
      <c r="B3485" s="12">
        <f t="shared" si="550"/>
        <v>40416</v>
      </c>
      <c r="C3485" s="11" t="s">
        <v>821</v>
      </c>
      <c r="D3485" s="11" t="s">
        <v>66</v>
      </c>
    </row>
    <row r="3486">
      <c r="A3486" s="11">
        <v>3485.0</v>
      </c>
      <c r="B3486" s="12">
        <f t="shared" si="550"/>
        <v>40416</v>
      </c>
      <c r="C3486" s="11" t="s">
        <v>821</v>
      </c>
      <c r="D3486" s="11" t="s">
        <v>28</v>
      </c>
    </row>
    <row r="3487">
      <c r="A3487" s="11">
        <v>3486.0</v>
      </c>
      <c r="B3487" s="12">
        <f t="shared" si="550"/>
        <v>40416</v>
      </c>
      <c r="C3487" s="11" t="s">
        <v>821</v>
      </c>
      <c r="D3487" s="11" t="s">
        <v>28</v>
      </c>
    </row>
    <row r="3488">
      <c r="A3488" s="11">
        <v>3487.0</v>
      </c>
      <c r="B3488" s="12">
        <f t="shared" si="550"/>
        <v>40416</v>
      </c>
      <c r="C3488" s="11" t="s">
        <v>2255</v>
      </c>
      <c r="D3488" s="11" t="s">
        <v>66</v>
      </c>
    </row>
    <row r="3489">
      <c r="A3489" s="11">
        <v>3488.0</v>
      </c>
      <c r="B3489" s="12">
        <f t="shared" si="550"/>
        <v>40416</v>
      </c>
      <c r="C3489" s="11" t="s">
        <v>2058</v>
      </c>
      <c r="D3489" s="11" t="s">
        <v>66</v>
      </c>
    </row>
    <row r="3490">
      <c r="A3490" s="11">
        <v>3489.0</v>
      </c>
      <c r="B3490" s="12">
        <f t="shared" si="550"/>
        <v>40416</v>
      </c>
      <c r="C3490" s="11" t="s">
        <v>1094</v>
      </c>
      <c r="D3490" s="11" t="s">
        <v>28</v>
      </c>
    </row>
    <row r="3491">
      <c r="A3491" s="11">
        <v>3490.0</v>
      </c>
      <c r="B3491" s="12">
        <f t="shared" si="550"/>
        <v>40416</v>
      </c>
      <c r="C3491" s="11" t="s">
        <v>1094</v>
      </c>
      <c r="D3491" s="11" t="s">
        <v>66</v>
      </c>
    </row>
    <row r="3492">
      <c r="A3492" s="11">
        <v>3491.0</v>
      </c>
      <c r="B3492" s="12">
        <f t="shared" si="550"/>
        <v>40416</v>
      </c>
      <c r="C3492" s="11" t="s">
        <v>357</v>
      </c>
      <c r="D3492" s="11" t="s">
        <v>28</v>
      </c>
    </row>
    <row r="3493">
      <c r="A3493" s="11">
        <v>3492.0</v>
      </c>
      <c r="B3493" s="12">
        <f t="shared" si="550"/>
        <v>40416</v>
      </c>
      <c r="C3493" s="11" t="s">
        <v>357</v>
      </c>
      <c r="D3493" s="11" t="s">
        <v>28</v>
      </c>
    </row>
    <row r="3494">
      <c r="A3494" s="11">
        <v>3493.0</v>
      </c>
      <c r="B3494" s="12">
        <f t="shared" si="550"/>
        <v>40416</v>
      </c>
      <c r="C3494" s="11" t="s">
        <v>271</v>
      </c>
      <c r="D3494" s="11" t="s">
        <v>28</v>
      </c>
    </row>
    <row r="3495">
      <c r="A3495" s="11">
        <v>3494.0</v>
      </c>
      <c r="B3495" s="12">
        <f t="shared" ref="B3495:B3498" si="551">DATE(2012,12,31)-857</f>
        <v>40417</v>
      </c>
      <c r="C3495" s="11" t="s">
        <v>1476</v>
      </c>
      <c r="D3495" s="11" t="s">
        <v>49</v>
      </c>
    </row>
    <row r="3496">
      <c r="A3496" s="11">
        <v>3495.0</v>
      </c>
      <c r="B3496" s="12">
        <f t="shared" si="551"/>
        <v>40417</v>
      </c>
      <c r="C3496" s="11" t="s">
        <v>913</v>
      </c>
      <c r="D3496" s="11" t="s">
        <v>66</v>
      </c>
    </row>
    <row r="3497">
      <c r="A3497" s="11">
        <v>3496.0</v>
      </c>
      <c r="B3497" s="12">
        <f t="shared" si="551"/>
        <v>40417</v>
      </c>
      <c r="C3497" s="11" t="s">
        <v>1799</v>
      </c>
      <c r="D3497" s="11" t="s">
        <v>49</v>
      </c>
    </row>
    <row r="3498">
      <c r="A3498" s="11">
        <v>3497.0</v>
      </c>
      <c r="B3498" s="12">
        <f t="shared" si="551"/>
        <v>40417</v>
      </c>
      <c r="C3498" s="11" t="s">
        <v>584</v>
      </c>
      <c r="D3498" s="11" t="s">
        <v>49</v>
      </c>
    </row>
    <row r="3499">
      <c r="A3499" s="11">
        <v>3498.0</v>
      </c>
      <c r="B3499" s="12">
        <f t="shared" ref="B3499:B3506" si="552">DATE(2012,12,31)-856</f>
        <v>40418</v>
      </c>
      <c r="C3499" s="11" t="s">
        <v>353</v>
      </c>
      <c r="D3499" s="11" t="s">
        <v>28</v>
      </c>
    </row>
    <row r="3500">
      <c r="A3500" s="11">
        <v>3499.0</v>
      </c>
      <c r="B3500" s="12">
        <f t="shared" si="552"/>
        <v>40418</v>
      </c>
      <c r="C3500" s="11" t="s">
        <v>353</v>
      </c>
      <c r="D3500" s="11" t="s">
        <v>49</v>
      </c>
    </row>
    <row r="3501">
      <c r="A3501" s="11">
        <v>3500.0</v>
      </c>
      <c r="B3501" s="12">
        <f t="shared" si="552"/>
        <v>40418</v>
      </c>
      <c r="C3501" s="11" t="s">
        <v>282</v>
      </c>
      <c r="D3501" s="11" t="s">
        <v>66</v>
      </c>
    </row>
    <row r="3502">
      <c r="A3502" s="11">
        <v>3501.0</v>
      </c>
      <c r="B3502" s="12">
        <f t="shared" si="552"/>
        <v>40418</v>
      </c>
      <c r="C3502" s="11" t="s">
        <v>2063</v>
      </c>
      <c r="D3502" s="11" t="s">
        <v>66</v>
      </c>
    </row>
    <row r="3503">
      <c r="A3503" s="11">
        <v>3502.0</v>
      </c>
      <c r="B3503" s="12">
        <f t="shared" si="552"/>
        <v>40418</v>
      </c>
      <c r="C3503" s="11" t="s">
        <v>329</v>
      </c>
      <c r="D3503" s="11" t="s">
        <v>28</v>
      </c>
    </row>
    <row r="3504">
      <c r="A3504" s="11">
        <v>3503.0</v>
      </c>
      <c r="B3504" s="12">
        <f t="shared" si="552"/>
        <v>40418</v>
      </c>
      <c r="C3504" s="11" t="s">
        <v>329</v>
      </c>
      <c r="D3504" s="11" t="s">
        <v>28</v>
      </c>
    </row>
    <row r="3505">
      <c r="A3505" s="11">
        <v>3504.0</v>
      </c>
      <c r="B3505" s="12">
        <f t="shared" si="552"/>
        <v>40418</v>
      </c>
      <c r="C3505" s="11" t="s">
        <v>345</v>
      </c>
      <c r="D3505" s="11" t="s">
        <v>28</v>
      </c>
    </row>
    <row r="3506">
      <c r="A3506" s="11">
        <v>3505.0</v>
      </c>
      <c r="B3506" s="12">
        <f t="shared" si="552"/>
        <v>40418</v>
      </c>
      <c r="C3506" s="11" t="s">
        <v>345</v>
      </c>
      <c r="D3506" s="11" t="s">
        <v>66</v>
      </c>
    </row>
    <row r="3507">
      <c r="A3507" s="11">
        <v>3506.0</v>
      </c>
      <c r="B3507" s="12">
        <f t="shared" ref="B3507:B3509" si="553">DATE(2012,12,31)-855</f>
        <v>40419</v>
      </c>
      <c r="C3507" s="11" t="s">
        <v>232</v>
      </c>
      <c r="D3507" s="11" t="s">
        <v>49</v>
      </c>
    </row>
    <row r="3508">
      <c r="A3508" s="11">
        <v>3507.0</v>
      </c>
      <c r="B3508" s="12">
        <f t="shared" si="553"/>
        <v>40419</v>
      </c>
      <c r="C3508" s="11" t="s">
        <v>288</v>
      </c>
      <c r="D3508" s="11" t="s">
        <v>66</v>
      </c>
    </row>
    <row r="3509">
      <c r="A3509" s="11">
        <v>3508.0</v>
      </c>
      <c r="B3509" s="12">
        <f t="shared" si="553"/>
        <v>40419</v>
      </c>
      <c r="C3509" s="11" t="s">
        <v>1209</v>
      </c>
      <c r="D3509" s="11" t="s">
        <v>49</v>
      </c>
    </row>
    <row r="3510">
      <c r="A3510" s="11">
        <v>3509.0</v>
      </c>
      <c r="B3510" s="12">
        <f t="shared" ref="B3510:B3522" si="554">DATE(2012,12,31)-854</f>
        <v>40420</v>
      </c>
      <c r="C3510" s="11" t="s">
        <v>796</v>
      </c>
      <c r="D3510" s="11" t="s">
        <v>49</v>
      </c>
    </row>
    <row r="3511">
      <c r="A3511" s="11">
        <v>3510.0</v>
      </c>
      <c r="B3511" s="12">
        <f t="shared" si="554"/>
        <v>40420</v>
      </c>
      <c r="C3511" s="11" t="s">
        <v>796</v>
      </c>
      <c r="D3511" s="11" t="s">
        <v>28</v>
      </c>
    </row>
    <row r="3512">
      <c r="A3512" s="11">
        <v>3511.0</v>
      </c>
      <c r="B3512" s="12">
        <f t="shared" si="554"/>
        <v>40420</v>
      </c>
      <c r="C3512" s="11" t="s">
        <v>1802</v>
      </c>
      <c r="D3512" s="11" t="s">
        <v>28</v>
      </c>
    </row>
    <row r="3513">
      <c r="A3513" s="11">
        <v>3512.0</v>
      </c>
      <c r="B3513" s="12">
        <f t="shared" si="554"/>
        <v>40420</v>
      </c>
      <c r="C3513" s="11" t="s">
        <v>1802</v>
      </c>
      <c r="D3513" s="11" t="s">
        <v>49</v>
      </c>
    </row>
    <row r="3514">
      <c r="A3514" s="11">
        <v>3513.0</v>
      </c>
      <c r="B3514" s="12">
        <f t="shared" si="554"/>
        <v>40420</v>
      </c>
      <c r="C3514" s="11" t="s">
        <v>993</v>
      </c>
      <c r="D3514" s="11" t="s">
        <v>49</v>
      </c>
    </row>
    <row r="3515">
      <c r="A3515" s="11">
        <v>3514.0</v>
      </c>
      <c r="B3515" s="12">
        <f t="shared" si="554"/>
        <v>40420</v>
      </c>
      <c r="C3515" s="11" t="s">
        <v>863</v>
      </c>
      <c r="D3515" s="11" t="s">
        <v>66</v>
      </c>
    </row>
    <row r="3516">
      <c r="A3516" s="11">
        <v>3515.0</v>
      </c>
      <c r="B3516" s="12">
        <f t="shared" si="554"/>
        <v>40420</v>
      </c>
      <c r="C3516" s="11" t="s">
        <v>863</v>
      </c>
      <c r="D3516" s="11" t="s">
        <v>28</v>
      </c>
    </row>
    <row r="3517">
      <c r="A3517" s="11">
        <v>3516.0</v>
      </c>
      <c r="B3517" s="12">
        <f t="shared" si="554"/>
        <v>40420</v>
      </c>
      <c r="C3517" s="11" t="s">
        <v>2168</v>
      </c>
      <c r="D3517" s="11" t="s">
        <v>28</v>
      </c>
    </row>
    <row r="3518">
      <c r="A3518" s="11">
        <v>3517.0</v>
      </c>
      <c r="B3518" s="12">
        <f t="shared" si="554"/>
        <v>40420</v>
      </c>
      <c r="C3518" s="11" t="s">
        <v>2168</v>
      </c>
      <c r="D3518" s="11" t="s">
        <v>66</v>
      </c>
    </row>
    <row r="3519">
      <c r="A3519" s="11">
        <v>3518.0</v>
      </c>
      <c r="B3519" s="12">
        <f t="shared" si="554"/>
        <v>40420</v>
      </c>
      <c r="C3519" s="11" t="s">
        <v>2168</v>
      </c>
      <c r="D3519" s="11" t="s">
        <v>49</v>
      </c>
    </row>
    <row r="3520">
      <c r="A3520" s="11">
        <v>3519.0</v>
      </c>
      <c r="B3520" s="12">
        <f t="shared" si="554"/>
        <v>40420</v>
      </c>
      <c r="C3520" s="11" t="s">
        <v>2417</v>
      </c>
      <c r="D3520" s="11" t="s">
        <v>28</v>
      </c>
    </row>
    <row r="3521">
      <c r="A3521" s="11">
        <v>3520.0</v>
      </c>
      <c r="B3521" s="12">
        <f t="shared" si="554"/>
        <v>40420</v>
      </c>
      <c r="C3521" s="11" t="s">
        <v>2417</v>
      </c>
      <c r="D3521" s="11" t="s">
        <v>66</v>
      </c>
    </row>
    <row r="3522">
      <c r="A3522" s="11">
        <v>3521.0</v>
      </c>
      <c r="B3522" s="12">
        <f t="shared" si="554"/>
        <v>40420</v>
      </c>
      <c r="C3522" s="11" t="s">
        <v>2417</v>
      </c>
      <c r="D3522" s="11" t="s">
        <v>28</v>
      </c>
    </row>
    <row r="3523">
      <c r="A3523" s="11">
        <v>3522.0</v>
      </c>
      <c r="B3523" s="12">
        <f t="shared" ref="B3523:B3525" si="555">DATE(2012,12,31)-853</f>
        <v>40421</v>
      </c>
      <c r="C3523" s="11" t="s">
        <v>657</v>
      </c>
      <c r="D3523" s="11" t="s">
        <v>28</v>
      </c>
    </row>
    <row r="3524">
      <c r="A3524" s="11">
        <v>3523.0</v>
      </c>
      <c r="B3524" s="12">
        <f t="shared" si="555"/>
        <v>40421</v>
      </c>
      <c r="C3524" s="11" t="s">
        <v>2097</v>
      </c>
      <c r="D3524" s="11" t="s">
        <v>28</v>
      </c>
    </row>
    <row r="3525">
      <c r="A3525" s="11">
        <v>3524.0</v>
      </c>
      <c r="B3525" s="12">
        <f t="shared" si="555"/>
        <v>40421</v>
      </c>
      <c r="C3525" s="11" t="s">
        <v>636</v>
      </c>
      <c r="D3525" s="11" t="s">
        <v>28</v>
      </c>
    </row>
    <row r="3526">
      <c r="A3526" s="11">
        <v>3525.0</v>
      </c>
      <c r="B3526" s="12">
        <f t="shared" ref="B3526:B3530" si="556">DATE(2012,12,31)-852</f>
        <v>40422</v>
      </c>
      <c r="C3526" s="11" t="s">
        <v>1252</v>
      </c>
      <c r="D3526" s="11" t="s">
        <v>66</v>
      </c>
    </row>
    <row r="3527">
      <c r="A3527" s="11">
        <v>3526.0</v>
      </c>
      <c r="B3527" s="12">
        <f t="shared" si="556"/>
        <v>40422</v>
      </c>
      <c r="C3527" s="11" t="s">
        <v>1252</v>
      </c>
      <c r="D3527" s="11" t="s">
        <v>28</v>
      </c>
    </row>
    <row r="3528">
      <c r="A3528" s="11">
        <v>3527.0</v>
      </c>
      <c r="B3528" s="12">
        <f t="shared" si="556"/>
        <v>40422</v>
      </c>
      <c r="C3528" s="11" t="s">
        <v>1784</v>
      </c>
      <c r="D3528" s="11" t="s">
        <v>66</v>
      </c>
    </row>
    <row r="3529">
      <c r="A3529" s="11">
        <v>3528.0</v>
      </c>
      <c r="B3529" s="12">
        <f t="shared" si="556"/>
        <v>40422</v>
      </c>
      <c r="C3529" s="11" t="s">
        <v>1054</v>
      </c>
      <c r="D3529" s="11" t="s">
        <v>28</v>
      </c>
    </row>
    <row r="3530">
      <c r="A3530" s="11">
        <v>3529.0</v>
      </c>
      <c r="B3530" s="12">
        <f t="shared" si="556"/>
        <v>40422</v>
      </c>
      <c r="C3530" s="11" t="s">
        <v>2399</v>
      </c>
      <c r="D3530" s="11" t="s">
        <v>28</v>
      </c>
    </row>
    <row r="3531">
      <c r="A3531" s="11">
        <v>3530.0</v>
      </c>
      <c r="B3531" s="12">
        <f t="shared" ref="B3531:B3532" si="557">DATE(2012,12,31)-851</f>
        <v>40423</v>
      </c>
      <c r="C3531" s="11" t="s">
        <v>398</v>
      </c>
      <c r="D3531" s="11" t="s">
        <v>28</v>
      </c>
    </row>
    <row r="3532">
      <c r="A3532" s="11">
        <v>3531.0</v>
      </c>
      <c r="B3532" s="12">
        <f t="shared" si="557"/>
        <v>40423</v>
      </c>
      <c r="C3532" s="11" t="s">
        <v>398</v>
      </c>
      <c r="D3532" s="11" t="s">
        <v>28</v>
      </c>
    </row>
    <row r="3533">
      <c r="A3533" s="11">
        <v>3532.0</v>
      </c>
      <c r="B3533" s="12">
        <f t="shared" ref="B3533:B3537" si="558">DATE(2012,12,31)-850</f>
        <v>40424</v>
      </c>
      <c r="C3533" s="11" t="s">
        <v>1014</v>
      </c>
      <c r="D3533" s="11" t="s">
        <v>28</v>
      </c>
    </row>
    <row r="3534">
      <c r="A3534" s="11">
        <v>3533.0</v>
      </c>
      <c r="B3534" s="12">
        <f t="shared" si="558"/>
        <v>40424</v>
      </c>
      <c r="C3534" s="11" t="s">
        <v>882</v>
      </c>
      <c r="D3534" s="11" t="s">
        <v>28</v>
      </c>
    </row>
    <row r="3535">
      <c r="A3535" s="11">
        <v>3534.0</v>
      </c>
      <c r="B3535" s="12">
        <f t="shared" si="558"/>
        <v>40424</v>
      </c>
      <c r="C3535" s="11" t="s">
        <v>882</v>
      </c>
      <c r="D3535" s="11" t="s">
        <v>49</v>
      </c>
    </row>
    <row r="3536">
      <c r="A3536" s="11">
        <v>3535.0</v>
      </c>
      <c r="B3536" s="12">
        <f t="shared" si="558"/>
        <v>40424</v>
      </c>
      <c r="C3536" s="11" t="s">
        <v>855</v>
      </c>
      <c r="D3536" s="11" t="s">
        <v>49</v>
      </c>
    </row>
    <row r="3537">
      <c r="A3537" s="11">
        <v>3536.0</v>
      </c>
      <c r="B3537" s="12">
        <f t="shared" si="558"/>
        <v>40424</v>
      </c>
      <c r="C3537" s="11" t="s">
        <v>1697</v>
      </c>
      <c r="D3537" s="11" t="s">
        <v>66</v>
      </c>
    </row>
    <row r="3538">
      <c r="A3538" s="11">
        <v>3537.0</v>
      </c>
      <c r="B3538" s="12">
        <f t="shared" ref="B3538:B3542" si="559">DATE(2012,12,31)-849</f>
        <v>40425</v>
      </c>
      <c r="C3538" s="11" t="s">
        <v>1648</v>
      </c>
      <c r="D3538" s="11" t="s">
        <v>28</v>
      </c>
    </row>
    <row r="3539">
      <c r="A3539" s="11">
        <v>3538.0</v>
      </c>
      <c r="B3539" s="12">
        <f t="shared" si="559"/>
        <v>40425</v>
      </c>
      <c r="C3539" s="11" t="s">
        <v>1802</v>
      </c>
      <c r="D3539" s="11" t="s">
        <v>28</v>
      </c>
    </row>
    <row r="3540">
      <c r="A3540" s="11">
        <v>3539.0</v>
      </c>
      <c r="B3540" s="12">
        <f t="shared" si="559"/>
        <v>40425</v>
      </c>
      <c r="C3540" s="11" t="s">
        <v>1802</v>
      </c>
      <c r="D3540" s="11" t="s">
        <v>66</v>
      </c>
    </row>
    <row r="3541">
      <c r="A3541" s="11">
        <v>3540.0</v>
      </c>
      <c r="B3541" s="12">
        <f t="shared" si="559"/>
        <v>40425</v>
      </c>
      <c r="C3541" s="11" t="s">
        <v>588</v>
      </c>
      <c r="D3541" s="11" t="s">
        <v>66</v>
      </c>
    </row>
    <row r="3542">
      <c r="A3542" s="11">
        <v>3541.0</v>
      </c>
      <c r="B3542" s="12">
        <f t="shared" si="559"/>
        <v>40425</v>
      </c>
      <c r="C3542" s="11" t="s">
        <v>1082</v>
      </c>
      <c r="D3542" s="11" t="s">
        <v>28</v>
      </c>
    </row>
    <row r="3543">
      <c r="A3543" s="11">
        <v>3542.0</v>
      </c>
      <c r="B3543" s="12">
        <f t="shared" ref="B3543:B3549" si="560">DATE(2012,12,31)-848</f>
        <v>40426</v>
      </c>
      <c r="C3543" s="11" t="s">
        <v>1245</v>
      </c>
      <c r="D3543" s="11" t="s">
        <v>49</v>
      </c>
    </row>
    <row r="3544">
      <c r="A3544" s="11">
        <v>3543.0</v>
      </c>
      <c r="B3544" s="12">
        <f t="shared" si="560"/>
        <v>40426</v>
      </c>
      <c r="C3544" s="11" t="s">
        <v>1245</v>
      </c>
      <c r="D3544" s="11" t="s">
        <v>28</v>
      </c>
    </row>
    <row r="3545">
      <c r="A3545" s="11">
        <v>3544.0</v>
      </c>
      <c r="B3545" s="12">
        <f t="shared" si="560"/>
        <v>40426</v>
      </c>
      <c r="C3545" s="11" t="s">
        <v>1245</v>
      </c>
      <c r="D3545" s="11" t="s">
        <v>66</v>
      </c>
    </row>
    <row r="3546">
      <c r="A3546" s="11">
        <v>3545.0</v>
      </c>
      <c r="B3546" s="12">
        <f t="shared" si="560"/>
        <v>40426</v>
      </c>
      <c r="C3546" s="11" t="s">
        <v>1737</v>
      </c>
      <c r="D3546" s="11" t="s">
        <v>66</v>
      </c>
    </row>
    <row r="3547">
      <c r="A3547" s="11">
        <v>3546.0</v>
      </c>
      <c r="B3547" s="12">
        <f t="shared" si="560"/>
        <v>40426</v>
      </c>
      <c r="C3547" s="11" t="s">
        <v>1942</v>
      </c>
      <c r="D3547" s="11" t="s">
        <v>49</v>
      </c>
    </row>
    <row r="3548">
      <c r="A3548" s="11">
        <v>3547.0</v>
      </c>
      <c r="B3548" s="12">
        <f t="shared" si="560"/>
        <v>40426</v>
      </c>
      <c r="C3548" s="11" t="s">
        <v>1942</v>
      </c>
      <c r="D3548" s="11" t="s">
        <v>49</v>
      </c>
    </row>
    <row r="3549">
      <c r="A3549" s="11">
        <v>3548.0</v>
      </c>
      <c r="B3549" s="12">
        <f t="shared" si="560"/>
        <v>40426</v>
      </c>
      <c r="C3549" s="11" t="s">
        <v>1942</v>
      </c>
      <c r="D3549" s="11" t="s">
        <v>28</v>
      </c>
    </row>
    <row r="3550">
      <c r="A3550" s="11">
        <v>3549.0</v>
      </c>
      <c r="B3550" s="12">
        <f t="shared" ref="B3550:B3555" si="561">DATE(2012,12,31)-847</f>
        <v>40427</v>
      </c>
      <c r="C3550" s="11" t="s">
        <v>1080</v>
      </c>
      <c r="D3550" s="11" t="s">
        <v>66</v>
      </c>
    </row>
    <row r="3551">
      <c r="A3551" s="11">
        <v>3550.0</v>
      </c>
      <c r="B3551" s="12">
        <f t="shared" si="561"/>
        <v>40427</v>
      </c>
      <c r="C3551" s="11" t="s">
        <v>448</v>
      </c>
      <c r="D3551" s="11" t="s">
        <v>28</v>
      </c>
    </row>
    <row r="3552">
      <c r="A3552" s="11">
        <v>3551.0</v>
      </c>
      <c r="B3552" s="12">
        <f t="shared" si="561"/>
        <v>40427</v>
      </c>
      <c r="C3552" s="11" t="s">
        <v>647</v>
      </c>
      <c r="D3552" s="11" t="s">
        <v>28</v>
      </c>
    </row>
    <row r="3553">
      <c r="A3553" s="11">
        <v>3552.0</v>
      </c>
      <c r="B3553" s="12">
        <f t="shared" si="561"/>
        <v>40427</v>
      </c>
      <c r="C3553" s="11" t="s">
        <v>647</v>
      </c>
      <c r="D3553" s="11" t="s">
        <v>49</v>
      </c>
    </row>
    <row r="3554">
      <c r="A3554" s="11">
        <v>3553.0</v>
      </c>
      <c r="B3554" s="12">
        <f t="shared" si="561"/>
        <v>40427</v>
      </c>
      <c r="C3554" s="11" t="s">
        <v>446</v>
      </c>
      <c r="D3554" s="11" t="s">
        <v>66</v>
      </c>
    </row>
    <row r="3555">
      <c r="A3555" s="11">
        <v>3554.0</v>
      </c>
      <c r="B3555" s="12">
        <f t="shared" si="561"/>
        <v>40427</v>
      </c>
      <c r="C3555" s="11" t="s">
        <v>446</v>
      </c>
      <c r="D3555" s="11" t="s">
        <v>28</v>
      </c>
    </row>
    <row r="3556">
      <c r="A3556" s="11">
        <v>3555.0</v>
      </c>
      <c r="B3556" s="12">
        <f t="shared" ref="B3556:B3562" si="562">DATE(2012,12,31)-846</f>
        <v>40428</v>
      </c>
      <c r="C3556" s="11" t="s">
        <v>771</v>
      </c>
      <c r="D3556" s="11" t="s">
        <v>28</v>
      </c>
    </row>
    <row r="3557">
      <c r="A3557" s="11">
        <v>3556.0</v>
      </c>
      <c r="B3557" s="12">
        <f t="shared" si="562"/>
        <v>40428</v>
      </c>
      <c r="C3557" s="11" t="s">
        <v>771</v>
      </c>
      <c r="D3557" s="11" t="s">
        <v>28</v>
      </c>
    </row>
    <row r="3558">
      <c r="A3558" s="11">
        <v>3557.0</v>
      </c>
      <c r="B3558" s="12">
        <f t="shared" si="562"/>
        <v>40428</v>
      </c>
      <c r="C3558" s="11" t="s">
        <v>1725</v>
      </c>
      <c r="D3558" s="11" t="s">
        <v>28</v>
      </c>
    </row>
    <row r="3559">
      <c r="A3559" s="11">
        <v>3558.0</v>
      </c>
      <c r="B3559" s="12">
        <f t="shared" si="562"/>
        <v>40428</v>
      </c>
      <c r="C3559" s="11" t="s">
        <v>1165</v>
      </c>
      <c r="D3559" s="11" t="s">
        <v>49</v>
      </c>
    </row>
    <row r="3560">
      <c r="A3560" s="11">
        <v>3559.0</v>
      </c>
      <c r="B3560" s="12">
        <f t="shared" si="562"/>
        <v>40428</v>
      </c>
      <c r="C3560" s="11" t="s">
        <v>1165</v>
      </c>
      <c r="D3560" s="11" t="s">
        <v>28</v>
      </c>
    </row>
    <row r="3561">
      <c r="A3561" s="11">
        <v>3560.0</v>
      </c>
      <c r="B3561" s="12">
        <f t="shared" si="562"/>
        <v>40428</v>
      </c>
      <c r="C3561" s="11" t="s">
        <v>82</v>
      </c>
      <c r="D3561" s="11" t="s">
        <v>28</v>
      </c>
    </row>
    <row r="3562">
      <c r="A3562" s="11">
        <v>3561.0</v>
      </c>
      <c r="B3562" s="12">
        <f t="shared" si="562"/>
        <v>40428</v>
      </c>
      <c r="C3562" s="11" t="s">
        <v>82</v>
      </c>
      <c r="D3562" s="11" t="s">
        <v>28</v>
      </c>
    </row>
    <row r="3563">
      <c r="A3563" s="11">
        <v>3562.0</v>
      </c>
      <c r="B3563" s="12">
        <f t="shared" ref="B3563:B3565" si="563">DATE(2012,12,31)-845</f>
        <v>40429</v>
      </c>
      <c r="C3563" s="11" t="s">
        <v>2148</v>
      </c>
      <c r="D3563" s="11" t="s">
        <v>28</v>
      </c>
    </row>
    <row r="3564">
      <c r="A3564" s="11">
        <v>3563.0</v>
      </c>
      <c r="B3564" s="12">
        <f t="shared" si="563"/>
        <v>40429</v>
      </c>
      <c r="C3564" s="11" t="s">
        <v>2148</v>
      </c>
      <c r="D3564" s="11" t="s">
        <v>28</v>
      </c>
    </row>
    <row r="3565">
      <c r="A3565" s="11">
        <v>3564.0</v>
      </c>
      <c r="B3565" s="12">
        <f t="shared" si="563"/>
        <v>40429</v>
      </c>
      <c r="C3565" s="11" t="s">
        <v>1468</v>
      </c>
      <c r="D3565" s="11" t="s">
        <v>28</v>
      </c>
    </row>
    <row r="3566">
      <c r="A3566" s="11">
        <v>3565.0</v>
      </c>
      <c r="B3566" s="12">
        <f t="shared" ref="B3566:B3572" si="564">DATE(2012,12,31)-844</f>
        <v>40430</v>
      </c>
      <c r="C3566" s="11" t="s">
        <v>82</v>
      </c>
      <c r="D3566" s="11" t="s">
        <v>28</v>
      </c>
    </row>
    <row r="3567">
      <c r="A3567" s="11">
        <v>3566.0</v>
      </c>
      <c r="B3567" s="12">
        <f t="shared" si="564"/>
        <v>40430</v>
      </c>
      <c r="C3567" s="11" t="s">
        <v>82</v>
      </c>
      <c r="D3567" s="11" t="s">
        <v>49</v>
      </c>
    </row>
    <row r="3568">
      <c r="A3568" s="11">
        <v>3567.0</v>
      </c>
      <c r="B3568" s="12">
        <f t="shared" si="564"/>
        <v>40430</v>
      </c>
      <c r="C3568" s="11" t="s">
        <v>82</v>
      </c>
      <c r="D3568" s="11" t="s">
        <v>28</v>
      </c>
    </row>
    <row r="3569">
      <c r="A3569" s="11">
        <v>3568.0</v>
      </c>
      <c r="B3569" s="12">
        <f t="shared" si="564"/>
        <v>40430</v>
      </c>
      <c r="C3569" s="11" t="s">
        <v>604</v>
      </c>
      <c r="D3569" s="11" t="s">
        <v>66</v>
      </c>
    </row>
    <row r="3570">
      <c r="A3570" s="11">
        <v>3569.0</v>
      </c>
      <c r="B3570" s="12">
        <f t="shared" si="564"/>
        <v>40430</v>
      </c>
      <c r="C3570" s="11" t="s">
        <v>604</v>
      </c>
      <c r="D3570" s="11" t="s">
        <v>28</v>
      </c>
    </row>
    <row r="3571">
      <c r="A3571" s="11">
        <v>3570.0</v>
      </c>
      <c r="B3571" s="12">
        <f t="shared" si="564"/>
        <v>40430</v>
      </c>
      <c r="C3571" s="11" t="s">
        <v>2167</v>
      </c>
      <c r="D3571" s="11" t="s">
        <v>49</v>
      </c>
    </row>
    <row r="3572">
      <c r="A3572" s="11">
        <v>3571.0</v>
      </c>
      <c r="B3572" s="12">
        <f t="shared" si="564"/>
        <v>40430</v>
      </c>
      <c r="C3572" s="11" t="s">
        <v>2167</v>
      </c>
      <c r="D3572" s="11" t="s">
        <v>49</v>
      </c>
    </row>
    <row r="3573">
      <c r="A3573" s="11">
        <v>3572.0</v>
      </c>
      <c r="B3573" s="12">
        <f t="shared" ref="B3573:B3580" si="565">DATE(2012,12,31)-843</f>
        <v>40431</v>
      </c>
      <c r="C3573" s="11" t="s">
        <v>1657</v>
      </c>
      <c r="D3573" s="11" t="s">
        <v>66</v>
      </c>
    </row>
    <row r="3574">
      <c r="A3574" s="11">
        <v>3573.0</v>
      </c>
      <c r="B3574" s="12">
        <f t="shared" si="565"/>
        <v>40431</v>
      </c>
      <c r="C3574" s="11" t="s">
        <v>423</v>
      </c>
      <c r="D3574" s="11" t="s">
        <v>28</v>
      </c>
    </row>
    <row r="3575">
      <c r="A3575" s="11">
        <v>3574.0</v>
      </c>
      <c r="B3575" s="12">
        <f t="shared" si="565"/>
        <v>40431</v>
      </c>
      <c r="C3575" s="11" t="s">
        <v>2422</v>
      </c>
      <c r="D3575" s="11" t="s">
        <v>28</v>
      </c>
    </row>
    <row r="3576">
      <c r="A3576" s="11">
        <v>3575.0</v>
      </c>
      <c r="B3576" s="12">
        <f t="shared" si="565"/>
        <v>40431</v>
      </c>
      <c r="C3576" s="11" t="s">
        <v>2422</v>
      </c>
      <c r="D3576" s="11" t="s">
        <v>28</v>
      </c>
    </row>
    <row r="3577">
      <c r="A3577" s="11">
        <v>3576.0</v>
      </c>
      <c r="B3577" s="12">
        <f t="shared" si="565"/>
        <v>40431</v>
      </c>
      <c r="C3577" s="11" t="s">
        <v>2092</v>
      </c>
      <c r="D3577" s="11" t="s">
        <v>28</v>
      </c>
    </row>
    <row r="3578">
      <c r="A3578" s="11">
        <v>3577.0</v>
      </c>
      <c r="B3578" s="12">
        <f t="shared" si="565"/>
        <v>40431</v>
      </c>
      <c r="C3578" s="11" t="s">
        <v>1303</v>
      </c>
      <c r="D3578" s="11" t="s">
        <v>28</v>
      </c>
    </row>
    <row r="3579">
      <c r="A3579" s="11">
        <v>3578.0</v>
      </c>
      <c r="B3579" s="12">
        <f t="shared" si="565"/>
        <v>40431</v>
      </c>
      <c r="C3579" s="11" t="s">
        <v>1303</v>
      </c>
      <c r="D3579" s="11" t="s">
        <v>28</v>
      </c>
    </row>
    <row r="3580">
      <c r="A3580" s="11">
        <v>3579.0</v>
      </c>
      <c r="B3580" s="12">
        <f t="shared" si="565"/>
        <v>40431</v>
      </c>
      <c r="C3580" s="11" t="s">
        <v>919</v>
      </c>
      <c r="D3580" s="11" t="s">
        <v>49</v>
      </c>
    </row>
    <row r="3581">
      <c r="A3581" s="11">
        <v>3580.0</v>
      </c>
      <c r="B3581" s="12">
        <f t="shared" ref="B3581:B3583" si="566">DATE(2012,12,31)-842</f>
        <v>40432</v>
      </c>
      <c r="C3581" s="11" t="s">
        <v>97</v>
      </c>
      <c r="D3581" s="11" t="s">
        <v>49</v>
      </c>
    </row>
    <row r="3582">
      <c r="A3582" s="11">
        <v>3581.0</v>
      </c>
      <c r="B3582" s="12">
        <f t="shared" si="566"/>
        <v>40432</v>
      </c>
      <c r="C3582" s="11" t="s">
        <v>174</v>
      </c>
      <c r="D3582" s="11" t="s">
        <v>66</v>
      </c>
    </row>
    <row r="3583">
      <c r="A3583" s="11">
        <v>3582.0</v>
      </c>
      <c r="B3583" s="12">
        <f t="shared" si="566"/>
        <v>40432</v>
      </c>
      <c r="C3583" s="11" t="s">
        <v>2023</v>
      </c>
      <c r="D3583" s="11" t="s">
        <v>28</v>
      </c>
    </row>
    <row r="3584">
      <c r="A3584" s="11">
        <v>3583.0</v>
      </c>
      <c r="B3584" s="12">
        <f t="shared" ref="B3584:B3589" si="567">DATE(2012,12,31)-841</f>
        <v>40433</v>
      </c>
      <c r="C3584" s="11" t="s">
        <v>2012</v>
      </c>
      <c r="D3584" s="11" t="s">
        <v>28</v>
      </c>
    </row>
    <row r="3585">
      <c r="A3585" s="11">
        <v>3584.0</v>
      </c>
      <c r="B3585" s="12">
        <f t="shared" si="567"/>
        <v>40433</v>
      </c>
      <c r="C3585" s="11" t="s">
        <v>2012</v>
      </c>
      <c r="D3585" s="11" t="s">
        <v>66</v>
      </c>
    </row>
    <row r="3586">
      <c r="A3586" s="11">
        <v>3585.0</v>
      </c>
      <c r="B3586" s="12">
        <f t="shared" si="567"/>
        <v>40433</v>
      </c>
      <c r="C3586" s="11" t="s">
        <v>2012</v>
      </c>
      <c r="D3586" s="11" t="s">
        <v>28</v>
      </c>
    </row>
    <row r="3587">
      <c r="A3587" s="11">
        <v>3586.0</v>
      </c>
      <c r="B3587" s="12">
        <f t="shared" si="567"/>
        <v>40433</v>
      </c>
      <c r="C3587" s="11" t="s">
        <v>1222</v>
      </c>
      <c r="D3587" s="11" t="s">
        <v>66</v>
      </c>
    </row>
    <row r="3588">
      <c r="A3588" s="11">
        <v>3587.0</v>
      </c>
      <c r="B3588" s="12">
        <f t="shared" si="567"/>
        <v>40433</v>
      </c>
      <c r="C3588" s="11" t="s">
        <v>1222</v>
      </c>
      <c r="D3588" s="11" t="s">
        <v>49</v>
      </c>
    </row>
    <row r="3589">
      <c r="A3589" s="11">
        <v>3588.0</v>
      </c>
      <c r="B3589" s="12">
        <f t="shared" si="567"/>
        <v>40433</v>
      </c>
      <c r="C3589" s="11" t="s">
        <v>1010</v>
      </c>
      <c r="D3589" s="11" t="s">
        <v>28</v>
      </c>
    </row>
    <row r="3590">
      <c r="A3590" s="11">
        <v>3589.0</v>
      </c>
      <c r="B3590" s="12">
        <f t="shared" ref="B3590:B3595" si="568">DATE(2012,12,31)-840</f>
        <v>40434</v>
      </c>
      <c r="C3590" s="11" t="s">
        <v>2238</v>
      </c>
      <c r="D3590" s="11" t="s">
        <v>28</v>
      </c>
    </row>
    <row r="3591">
      <c r="A3591" s="11">
        <v>3590.0</v>
      </c>
      <c r="B3591" s="12">
        <f t="shared" si="568"/>
        <v>40434</v>
      </c>
      <c r="C3591" s="11" t="s">
        <v>1021</v>
      </c>
      <c r="D3591" s="11" t="s">
        <v>28</v>
      </c>
    </row>
    <row r="3592">
      <c r="A3592" s="11">
        <v>3591.0</v>
      </c>
      <c r="B3592" s="12">
        <f t="shared" si="568"/>
        <v>40434</v>
      </c>
      <c r="C3592" s="11" t="s">
        <v>1021</v>
      </c>
      <c r="D3592" s="11" t="s">
        <v>66</v>
      </c>
    </row>
    <row r="3593">
      <c r="A3593" s="11">
        <v>3592.0</v>
      </c>
      <c r="B3593" s="12">
        <f t="shared" si="568"/>
        <v>40434</v>
      </c>
      <c r="C3593" s="11" t="s">
        <v>196</v>
      </c>
      <c r="D3593" s="11" t="s">
        <v>28</v>
      </c>
    </row>
    <row r="3594">
      <c r="A3594" s="11">
        <v>3593.0</v>
      </c>
      <c r="B3594" s="12">
        <f t="shared" si="568"/>
        <v>40434</v>
      </c>
      <c r="C3594" s="11" t="s">
        <v>2064</v>
      </c>
      <c r="D3594" s="11" t="s">
        <v>66</v>
      </c>
    </row>
    <row r="3595">
      <c r="A3595" s="11">
        <v>3594.0</v>
      </c>
      <c r="B3595" s="12">
        <f t="shared" si="568"/>
        <v>40434</v>
      </c>
      <c r="C3595" s="11" t="s">
        <v>444</v>
      </c>
      <c r="D3595" s="11" t="s">
        <v>49</v>
      </c>
    </row>
    <row r="3596">
      <c r="A3596" s="11">
        <v>3595.0</v>
      </c>
      <c r="B3596" s="12">
        <f t="shared" ref="B3596:B3606" si="569">DATE(2012,12,31)-839</f>
        <v>40435</v>
      </c>
      <c r="C3596" s="11" t="s">
        <v>2009</v>
      </c>
      <c r="D3596" s="11" t="s">
        <v>28</v>
      </c>
    </row>
    <row r="3597">
      <c r="A3597" s="11">
        <v>3596.0</v>
      </c>
      <c r="B3597" s="12">
        <f t="shared" si="569"/>
        <v>40435</v>
      </c>
      <c r="C3597" s="11" t="s">
        <v>2009</v>
      </c>
      <c r="D3597" s="11" t="s">
        <v>28</v>
      </c>
    </row>
    <row r="3598">
      <c r="A3598" s="11">
        <v>3597.0</v>
      </c>
      <c r="B3598" s="12">
        <f t="shared" si="569"/>
        <v>40435</v>
      </c>
      <c r="C3598" s="11" t="s">
        <v>1872</v>
      </c>
      <c r="D3598" s="11" t="s">
        <v>49</v>
      </c>
    </row>
    <row r="3599">
      <c r="A3599" s="11">
        <v>3598.0</v>
      </c>
      <c r="B3599" s="12">
        <f t="shared" si="569"/>
        <v>40435</v>
      </c>
      <c r="C3599" s="11" t="s">
        <v>1872</v>
      </c>
      <c r="D3599" s="11" t="s">
        <v>49</v>
      </c>
    </row>
    <row r="3600">
      <c r="A3600" s="11">
        <v>3599.0</v>
      </c>
      <c r="B3600" s="12">
        <f t="shared" si="569"/>
        <v>40435</v>
      </c>
      <c r="C3600" s="11" t="s">
        <v>1872</v>
      </c>
      <c r="D3600" s="11" t="s">
        <v>66</v>
      </c>
    </row>
    <row r="3601">
      <c r="A3601" s="11">
        <v>3600.0</v>
      </c>
      <c r="B3601" s="12">
        <f t="shared" si="569"/>
        <v>40435</v>
      </c>
      <c r="C3601" s="11" t="s">
        <v>2169</v>
      </c>
      <c r="D3601" s="11" t="s">
        <v>66</v>
      </c>
    </row>
    <row r="3602">
      <c r="A3602" s="11">
        <v>3601.0</v>
      </c>
      <c r="B3602" s="12">
        <f t="shared" si="569"/>
        <v>40435</v>
      </c>
      <c r="C3602" s="11" t="s">
        <v>2169</v>
      </c>
      <c r="D3602" s="11" t="s">
        <v>28</v>
      </c>
    </row>
    <row r="3603">
      <c r="A3603" s="11">
        <v>3602.0</v>
      </c>
      <c r="B3603" s="12">
        <f t="shared" si="569"/>
        <v>40435</v>
      </c>
      <c r="C3603" s="11" t="s">
        <v>2052</v>
      </c>
      <c r="D3603" s="11" t="s">
        <v>28</v>
      </c>
    </row>
    <row r="3604">
      <c r="A3604" s="11">
        <v>3603.0</v>
      </c>
      <c r="B3604" s="12">
        <f t="shared" si="569"/>
        <v>40435</v>
      </c>
      <c r="C3604" s="11" t="s">
        <v>2052</v>
      </c>
      <c r="D3604" s="11" t="s">
        <v>66</v>
      </c>
    </row>
    <row r="3605">
      <c r="A3605" s="11">
        <v>3604.0</v>
      </c>
      <c r="B3605" s="12">
        <f t="shared" si="569"/>
        <v>40435</v>
      </c>
      <c r="C3605" s="11" t="s">
        <v>2052</v>
      </c>
      <c r="D3605" s="11" t="s">
        <v>28</v>
      </c>
    </row>
    <row r="3606">
      <c r="A3606" s="11">
        <v>3605.0</v>
      </c>
      <c r="B3606" s="12">
        <f t="shared" si="569"/>
        <v>40435</v>
      </c>
      <c r="C3606" s="11" t="s">
        <v>2052</v>
      </c>
      <c r="D3606" s="11" t="s">
        <v>49</v>
      </c>
    </row>
    <row r="3607">
      <c r="A3607" s="11">
        <v>3606.0</v>
      </c>
      <c r="B3607" s="12">
        <f t="shared" ref="B3607:B3612" si="570">DATE(2012,12,31)-838</f>
        <v>40436</v>
      </c>
      <c r="C3607" s="11" t="s">
        <v>2215</v>
      </c>
      <c r="D3607" s="11" t="s">
        <v>28</v>
      </c>
    </row>
    <row r="3608">
      <c r="A3608" s="11">
        <v>3607.0</v>
      </c>
      <c r="B3608" s="12">
        <f t="shared" si="570"/>
        <v>40436</v>
      </c>
      <c r="C3608" s="11" t="s">
        <v>2215</v>
      </c>
      <c r="D3608" s="11" t="s">
        <v>28</v>
      </c>
    </row>
    <row r="3609">
      <c r="A3609" s="11">
        <v>3608.0</v>
      </c>
      <c r="B3609" s="12">
        <f t="shared" si="570"/>
        <v>40436</v>
      </c>
      <c r="C3609" s="11" t="s">
        <v>465</v>
      </c>
      <c r="D3609" s="11" t="s">
        <v>49</v>
      </c>
    </row>
    <row r="3610">
      <c r="A3610" s="11">
        <v>3609.0</v>
      </c>
      <c r="B3610" s="12">
        <f t="shared" si="570"/>
        <v>40436</v>
      </c>
      <c r="C3610" s="11" t="s">
        <v>1950</v>
      </c>
      <c r="D3610" s="11" t="s">
        <v>28</v>
      </c>
    </row>
    <row r="3611">
      <c r="A3611" s="11">
        <v>3610.0</v>
      </c>
      <c r="B3611" s="12">
        <f t="shared" si="570"/>
        <v>40436</v>
      </c>
      <c r="C3611" s="11" t="s">
        <v>120</v>
      </c>
      <c r="D3611" s="11" t="s">
        <v>66</v>
      </c>
    </row>
    <row r="3612">
      <c r="A3612" s="11">
        <v>3611.0</v>
      </c>
      <c r="B3612" s="12">
        <f t="shared" si="570"/>
        <v>40436</v>
      </c>
      <c r="C3612" s="11" t="s">
        <v>850</v>
      </c>
      <c r="D3612" s="11" t="s">
        <v>66</v>
      </c>
    </row>
    <row r="3613">
      <c r="A3613" s="11">
        <v>3612.0</v>
      </c>
      <c r="B3613" s="12">
        <f t="shared" ref="B3613:B3624" si="571">DATE(2012,12,31)-836</f>
        <v>40438</v>
      </c>
      <c r="C3613" s="11" t="s">
        <v>416</v>
      </c>
      <c r="D3613" s="11" t="s">
        <v>66</v>
      </c>
    </row>
    <row r="3614">
      <c r="A3614" s="11">
        <v>3613.0</v>
      </c>
      <c r="B3614" s="12">
        <f t="shared" si="571"/>
        <v>40438</v>
      </c>
      <c r="C3614" s="11" t="s">
        <v>2136</v>
      </c>
      <c r="D3614" s="11" t="s">
        <v>28</v>
      </c>
    </row>
    <row r="3615">
      <c r="A3615" s="11">
        <v>3614.0</v>
      </c>
      <c r="B3615" s="12">
        <f t="shared" si="571"/>
        <v>40438</v>
      </c>
      <c r="C3615" s="11" t="s">
        <v>1218</v>
      </c>
      <c r="D3615" s="11" t="s">
        <v>28</v>
      </c>
    </row>
    <row r="3616">
      <c r="A3616" s="11">
        <v>3615.0</v>
      </c>
      <c r="B3616" s="12">
        <f t="shared" si="571"/>
        <v>40438</v>
      </c>
      <c r="C3616" s="11" t="s">
        <v>2348</v>
      </c>
      <c r="D3616" s="11" t="s">
        <v>28</v>
      </c>
    </row>
    <row r="3617">
      <c r="A3617" s="11">
        <v>3616.0</v>
      </c>
      <c r="B3617" s="12">
        <f t="shared" si="571"/>
        <v>40438</v>
      </c>
      <c r="C3617" s="11" t="s">
        <v>2315</v>
      </c>
      <c r="D3617" s="11" t="s">
        <v>28</v>
      </c>
    </row>
    <row r="3618">
      <c r="A3618" s="11">
        <v>3617.0</v>
      </c>
      <c r="B3618" s="12">
        <f t="shared" si="571"/>
        <v>40438</v>
      </c>
      <c r="C3618" s="11" t="s">
        <v>1554</v>
      </c>
      <c r="D3618" s="11" t="s">
        <v>28</v>
      </c>
    </row>
    <row r="3619">
      <c r="A3619" s="11">
        <v>3618.0</v>
      </c>
      <c r="B3619" s="12">
        <f t="shared" si="571"/>
        <v>40438</v>
      </c>
      <c r="C3619" s="11" t="s">
        <v>1554</v>
      </c>
      <c r="D3619" s="11" t="s">
        <v>28</v>
      </c>
    </row>
    <row r="3620">
      <c r="A3620" s="11">
        <v>3619.0</v>
      </c>
      <c r="B3620" s="12">
        <f t="shared" si="571"/>
        <v>40438</v>
      </c>
      <c r="C3620" s="11" t="s">
        <v>2427</v>
      </c>
      <c r="D3620" s="11" t="s">
        <v>28</v>
      </c>
    </row>
    <row r="3621">
      <c r="A3621" s="11">
        <v>3620.0</v>
      </c>
      <c r="B3621" s="12">
        <f t="shared" si="571"/>
        <v>40438</v>
      </c>
      <c r="C3621" s="11" t="s">
        <v>1683</v>
      </c>
      <c r="D3621" s="11" t="s">
        <v>49</v>
      </c>
    </row>
    <row r="3622">
      <c r="A3622" s="11">
        <v>3621.0</v>
      </c>
      <c r="B3622" s="12">
        <f t="shared" si="571"/>
        <v>40438</v>
      </c>
      <c r="C3622" s="11" t="s">
        <v>2428</v>
      </c>
      <c r="D3622" s="11" t="s">
        <v>28</v>
      </c>
    </row>
    <row r="3623">
      <c r="A3623" s="11">
        <v>3622.0</v>
      </c>
      <c r="B3623" s="12">
        <f t="shared" si="571"/>
        <v>40438</v>
      </c>
      <c r="C3623" s="11" t="s">
        <v>2428</v>
      </c>
      <c r="D3623" s="11" t="s">
        <v>49</v>
      </c>
    </row>
    <row r="3624">
      <c r="A3624" s="11">
        <v>3623.0</v>
      </c>
      <c r="B3624" s="12">
        <f t="shared" si="571"/>
        <v>40438</v>
      </c>
      <c r="C3624" s="11" t="s">
        <v>2427</v>
      </c>
      <c r="D3624" s="11" t="s">
        <v>49</v>
      </c>
    </row>
    <row r="3625">
      <c r="A3625" s="11">
        <v>3624.0</v>
      </c>
      <c r="B3625" s="12">
        <f t="shared" ref="B3625:B3628" si="572">DATE(2012,12,31)-835</f>
        <v>40439</v>
      </c>
      <c r="C3625" s="11" t="s">
        <v>282</v>
      </c>
      <c r="D3625" s="11" t="s">
        <v>28</v>
      </c>
    </row>
    <row r="3626">
      <c r="A3626" s="11">
        <v>3625.0</v>
      </c>
      <c r="B3626" s="12">
        <f t="shared" si="572"/>
        <v>40439</v>
      </c>
      <c r="C3626" s="11" t="s">
        <v>282</v>
      </c>
      <c r="D3626" s="11" t="s">
        <v>66</v>
      </c>
    </row>
    <row r="3627">
      <c r="A3627" s="11">
        <v>3626.0</v>
      </c>
      <c r="B3627" s="12">
        <f t="shared" si="572"/>
        <v>40439</v>
      </c>
      <c r="C3627" s="11" t="s">
        <v>282</v>
      </c>
      <c r="D3627" s="11" t="s">
        <v>49</v>
      </c>
    </row>
    <row r="3628">
      <c r="A3628" s="11">
        <v>3627.0</v>
      </c>
      <c r="B3628" s="12">
        <f t="shared" si="572"/>
        <v>40439</v>
      </c>
      <c r="C3628" s="11" t="s">
        <v>1415</v>
      </c>
      <c r="D3628" s="11" t="s">
        <v>66</v>
      </c>
    </row>
    <row r="3629">
      <c r="A3629" s="11">
        <v>3628.0</v>
      </c>
      <c r="B3629" s="12">
        <f t="shared" ref="B3629:B3640" si="573">DATE(2012,12,31)-834</f>
        <v>40440</v>
      </c>
      <c r="C3629" s="11" t="s">
        <v>574</v>
      </c>
      <c r="D3629" s="11" t="s">
        <v>49</v>
      </c>
    </row>
    <row r="3630">
      <c r="A3630" s="11">
        <v>3629.0</v>
      </c>
      <c r="B3630" s="12">
        <f t="shared" si="573"/>
        <v>40440</v>
      </c>
      <c r="C3630" s="11" t="s">
        <v>574</v>
      </c>
      <c r="D3630" s="11" t="s">
        <v>66</v>
      </c>
    </row>
    <row r="3631">
      <c r="A3631" s="11">
        <v>3630.0</v>
      </c>
      <c r="B3631" s="12">
        <f t="shared" si="573"/>
        <v>40440</v>
      </c>
      <c r="C3631" s="11" t="s">
        <v>796</v>
      </c>
      <c r="D3631" s="11" t="s">
        <v>28</v>
      </c>
    </row>
    <row r="3632">
      <c r="A3632" s="11">
        <v>3631.0</v>
      </c>
      <c r="B3632" s="12">
        <f t="shared" si="573"/>
        <v>40440</v>
      </c>
      <c r="C3632" s="11" t="s">
        <v>1888</v>
      </c>
      <c r="D3632" s="11" t="s">
        <v>28</v>
      </c>
    </row>
    <row r="3633">
      <c r="A3633" s="11">
        <v>3632.0</v>
      </c>
      <c r="B3633" s="12">
        <f t="shared" si="573"/>
        <v>40440</v>
      </c>
      <c r="C3633" s="11" t="s">
        <v>1888</v>
      </c>
      <c r="D3633" s="11" t="s">
        <v>28</v>
      </c>
    </row>
    <row r="3634">
      <c r="A3634" s="11">
        <v>3633.0</v>
      </c>
      <c r="B3634" s="12">
        <f t="shared" si="573"/>
        <v>40440</v>
      </c>
      <c r="C3634" s="11" t="s">
        <v>1170</v>
      </c>
      <c r="D3634" s="11" t="s">
        <v>66</v>
      </c>
    </row>
    <row r="3635">
      <c r="A3635" s="11">
        <v>3634.0</v>
      </c>
      <c r="B3635" s="12">
        <f t="shared" si="573"/>
        <v>40440</v>
      </c>
      <c r="C3635" s="11" t="s">
        <v>1715</v>
      </c>
      <c r="D3635" s="11" t="s">
        <v>28</v>
      </c>
    </row>
    <row r="3636">
      <c r="A3636" s="11">
        <v>3635.0</v>
      </c>
      <c r="B3636" s="12">
        <f t="shared" si="573"/>
        <v>40440</v>
      </c>
      <c r="C3636" s="11" t="s">
        <v>1715</v>
      </c>
      <c r="D3636" s="11" t="s">
        <v>66</v>
      </c>
    </row>
    <row r="3637">
      <c r="A3637" s="11">
        <v>3636.0</v>
      </c>
      <c r="B3637" s="12">
        <f t="shared" si="573"/>
        <v>40440</v>
      </c>
      <c r="C3637" s="11" t="s">
        <v>82</v>
      </c>
      <c r="D3637" s="11" t="s">
        <v>66</v>
      </c>
    </row>
    <row r="3638">
      <c r="A3638" s="11">
        <v>3637.0</v>
      </c>
      <c r="B3638" s="12">
        <f t="shared" si="573"/>
        <v>40440</v>
      </c>
      <c r="C3638" s="11" t="s">
        <v>488</v>
      </c>
      <c r="D3638" s="11" t="s">
        <v>49</v>
      </c>
    </row>
    <row r="3639">
      <c r="A3639" s="11">
        <v>3638.0</v>
      </c>
      <c r="B3639" s="12">
        <f t="shared" si="573"/>
        <v>40440</v>
      </c>
      <c r="C3639" s="11" t="s">
        <v>488</v>
      </c>
      <c r="D3639" s="11" t="s">
        <v>49</v>
      </c>
    </row>
    <row r="3640">
      <c r="A3640" s="11">
        <v>3639.0</v>
      </c>
      <c r="B3640" s="12">
        <f t="shared" si="573"/>
        <v>40440</v>
      </c>
      <c r="C3640" s="11" t="s">
        <v>2434</v>
      </c>
      <c r="D3640" s="11" t="s">
        <v>49</v>
      </c>
    </row>
    <row r="3641">
      <c r="A3641" s="11">
        <v>3640.0</v>
      </c>
      <c r="B3641" s="12">
        <f t="shared" ref="B3641:B3647" si="574">DATE(2012,12,31)-833</f>
        <v>40441</v>
      </c>
      <c r="C3641" s="11" t="s">
        <v>2435</v>
      </c>
      <c r="D3641" s="11" t="s">
        <v>49</v>
      </c>
    </row>
    <row r="3642">
      <c r="A3642" s="11">
        <v>3641.0</v>
      </c>
      <c r="B3642" s="12">
        <f t="shared" si="574"/>
        <v>40441</v>
      </c>
      <c r="C3642" s="11" t="s">
        <v>2435</v>
      </c>
      <c r="D3642" s="11" t="s">
        <v>49</v>
      </c>
    </row>
    <row r="3643">
      <c r="A3643" s="11">
        <v>3642.0</v>
      </c>
      <c r="B3643" s="12">
        <f t="shared" si="574"/>
        <v>40441</v>
      </c>
      <c r="C3643" s="11" t="s">
        <v>2250</v>
      </c>
      <c r="D3643" s="11" t="s">
        <v>28</v>
      </c>
    </row>
    <row r="3644">
      <c r="A3644" s="11">
        <v>3643.0</v>
      </c>
      <c r="B3644" s="12">
        <f t="shared" si="574"/>
        <v>40441</v>
      </c>
      <c r="C3644" s="11" t="s">
        <v>1108</v>
      </c>
      <c r="D3644" s="11" t="s">
        <v>49</v>
      </c>
    </row>
    <row r="3645">
      <c r="A3645" s="11">
        <v>3644.0</v>
      </c>
      <c r="B3645" s="12">
        <f t="shared" si="574"/>
        <v>40441</v>
      </c>
      <c r="C3645" s="11" t="s">
        <v>900</v>
      </c>
      <c r="D3645" s="11" t="s">
        <v>28</v>
      </c>
    </row>
    <row r="3646">
      <c r="A3646" s="11">
        <v>3645.0</v>
      </c>
      <c r="B3646" s="12">
        <f t="shared" si="574"/>
        <v>40441</v>
      </c>
      <c r="C3646" s="11" t="s">
        <v>1578</v>
      </c>
      <c r="D3646" s="11" t="s">
        <v>28</v>
      </c>
    </row>
    <row r="3647">
      <c r="A3647" s="11">
        <v>3646.0</v>
      </c>
      <c r="B3647" s="12">
        <f t="shared" si="574"/>
        <v>40441</v>
      </c>
      <c r="C3647" s="11" t="s">
        <v>1578</v>
      </c>
      <c r="D3647" s="11" t="s">
        <v>28</v>
      </c>
    </row>
    <row r="3648">
      <c r="A3648" s="11">
        <v>3647.0</v>
      </c>
      <c r="B3648" s="12">
        <f t="shared" ref="B3648:B3654" si="575">DATE(2012,12,31)-832</f>
        <v>40442</v>
      </c>
      <c r="C3648" s="11" t="s">
        <v>1444</v>
      </c>
      <c r="D3648" s="11" t="s">
        <v>28</v>
      </c>
    </row>
    <row r="3649">
      <c r="A3649" s="11">
        <v>3648.0</v>
      </c>
      <c r="B3649" s="12">
        <f t="shared" si="575"/>
        <v>40442</v>
      </c>
      <c r="C3649" s="11" t="s">
        <v>2081</v>
      </c>
      <c r="D3649" s="11" t="s">
        <v>49</v>
      </c>
    </row>
    <row r="3650">
      <c r="A3650" s="11">
        <v>3649.0</v>
      </c>
      <c r="B3650" s="12">
        <f t="shared" si="575"/>
        <v>40442</v>
      </c>
      <c r="C3650" s="11" t="s">
        <v>2436</v>
      </c>
      <c r="D3650" s="11" t="s">
        <v>28</v>
      </c>
    </row>
    <row r="3651">
      <c r="A3651" s="11">
        <v>3650.0</v>
      </c>
      <c r="B3651" s="12">
        <f t="shared" si="575"/>
        <v>40442</v>
      </c>
      <c r="C3651" s="11" t="s">
        <v>932</v>
      </c>
      <c r="D3651" s="11" t="s">
        <v>28</v>
      </c>
    </row>
    <row r="3652">
      <c r="A3652" s="11">
        <v>3651.0</v>
      </c>
      <c r="B3652" s="12">
        <f t="shared" si="575"/>
        <v>40442</v>
      </c>
      <c r="C3652" s="11" t="s">
        <v>613</v>
      </c>
      <c r="D3652" s="11" t="s">
        <v>49</v>
      </c>
    </row>
    <row r="3653">
      <c r="A3653" s="11">
        <v>3652.0</v>
      </c>
      <c r="B3653" s="12">
        <f t="shared" si="575"/>
        <v>40442</v>
      </c>
      <c r="C3653" s="11" t="s">
        <v>713</v>
      </c>
      <c r="D3653" s="11" t="s">
        <v>66</v>
      </c>
    </row>
    <row r="3654">
      <c r="A3654" s="11">
        <v>3653.0</v>
      </c>
      <c r="B3654" s="12">
        <f t="shared" si="575"/>
        <v>40442</v>
      </c>
      <c r="C3654" s="11" t="s">
        <v>713</v>
      </c>
      <c r="D3654" s="11" t="s">
        <v>28</v>
      </c>
    </row>
    <row r="3655">
      <c r="A3655" s="11">
        <v>3654.0</v>
      </c>
      <c r="B3655" s="12">
        <f t="shared" ref="B3655:B3657" si="576">DATE(2012,12,31)-831</f>
        <v>40443</v>
      </c>
      <c r="C3655" s="11" t="s">
        <v>2350</v>
      </c>
      <c r="D3655" s="11" t="s">
        <v>49</v>
      </c>
    </row>
    <row r="3656">
      <c r="A3656" s="11">
        <v>3655.0</v>
      </c>
      <c r="B3656" s="12">
        <f t="shared" si="576"/>
        <v>40443</v>
      </c>
      <c r="C3656" s="11" t="s">
        <v>1036</v>
      </c>
      <c r="D3656" s="11" t="s">
        <v>66</v>
      </c>
    </row>
    <row r="3657">
      <c r="A3657" s="11">
        <v>3656.0</v>
      </c>
      <c r="B3657" s="12">
        <f t="shared" si="576"/>
        <v>40443</v>
      </c>
      <c r="C3657" s="11" t="s">
        <v>345</v>
      </c>
      <c r="D3657" s="11" t="s">
        <v>28</v>
      </c>
    </row>
    <row r="3658">
      <c r="A3658" s="11">
        <v>3657.0</v>
      </c>
      <c r="B3658" s="12">
        <f t="shared" ref="B3658:B3664" si="577">DATE(2012,12,31)-830</f>
        <v>40444</v>
      </c>
      <c r="C3658" s="11" t="s">
        <v>1865</v>
      </c>
      <c r="D3658" s="11" t="s">
        <v>66</v>
      </c>
    </row>
    <row r="3659">
      <c r="A3659" s="11">
        <v>3658.0</v>
      </c>
      <c r="B3659" s="12">
        <f t="shared" si="577"/>
        <v>40444</v>
      </c>
      <c r="C3659" s="11" t="s">
        <v>829</v>
      </c>
      <c r="D3659" s="11" t="s">
        <v>49</v>
      </c>
    </row>
    <row r="3660">
      <c r="A3660" s="11">
        <v>3659.0</v>
      </c>
      <c r="B3660" s="12">
        <f t="shared" si="577"/>
        <v>40444</v>
      </c>
      <c r="C3660" s="11" t="s">
        <v>829</v>
      </c>
      <c r="D3660" s="11" t="s">
        <v>28</v>
      </c>
    </row>
    <row r="3661">
      <c r="A3661" s="11">
        <v>3660.0</v>
      </c>
      <c r="B3661" s="12">
        <f t="shared" si="577"/>
        <v>40444</v>
      </c>
      <c r="C3661" s="11" t="s">
        <v>1152</v>
      </c>
      <c r="D3661" s="11" t="s">
        <v>66</v>
      </c>
    </row>
    <row r="3662">
      <c r="A3662" s="11">
        <v>3661.0</v>
      </c>
      <c r="B3662" s="12">
        <f t="shared" si="577"/>
        <v>40444</v>
      </c>
      <c r="C3662" s="11" t="s">
        <v>780</v>
      </c>
      <c r="D3662" s="11" t="s">
        <v>66</v>
      </c>
    </row>
    <row r="3663">
      <c r="A3663" s="11">
        <v>3662.0</v>
      </c>
      <c r="B3663" s="12">
        <f t="shared" si="577"/>
        <v>40444</v>
      </c>
      <c r="C3663" s="11" t="s">
        <v>1907</v>
      </c>
      <c r="D3663" s="11" t="s">
        <v>28</v>
      </c>
    </row>
    <row r="3664">
      <c r="A3664" s="11">
        <v>3663.0</v>
      </c>
      <c r="B3664" s="12">
        <f t="shared" si="577"/>
        <v>40444</v>
      </c>
      <c r="C3664" s="11" t="s">
        <v>499</v>
      </c>
      <c r="D3664" s="11" t="s">
        <v>66</v>
      </c>
    </row>
    <row r="3665">
      <c r="A3665" s="11">
        <v>3664.0</v>
      </c>
      <c r="B3665" s="12">
        <f t="shared" ref="B3665:B3674" si="578">DATE(2012,12,31)-829</f>
        <v>40445</v>
      </c>
      <c r="C3665" s="11" t="s">
        <v>2304</v>
      </c>
      <c r="D3665" s="11" t="s">
        <v>28</v>
      </c>
    </row>
    <row r="3666">
      <c r="A3666" s="11">
        <v>3665.0</v>
      </c>
      <c r="B3666" s="12">
        <f t="shared" si="578"/>
        <v>40445</v>
      </c>
      <c r="C3666" s="11" t="s">
        <v>2304</v>
      </c>
      <c r="D3666" s="11" t="s">
        <v>28</v>
      </c>
    </row>
    <row r="3667">
      <c r="A3667" s="11">
        <v>3666.0</v>
      </c>
      <c r="B3667" s="12">
        <f t="shared" si="578"/>
        <v>40445</v>
      </c>
      <c r="C3667" s="11" t="s">
        <v>2304</v>
      </c>
      <c r="D3667" s="11" t="s">
        <v>28</v>
      </c>
    </row>
    <row r="3668">
      <c r="A3668" s="11">
        <v>3667.0</v>
      </c>
      <c r="B3668" s="12">
        <f t="shared" si="578"/>
        <v>40445</v>
      </c>
      <c r="C3668" s="11" t="s">
        <v>2329</v>
      </c>
      <c r="D3668" s="11" t="s">
        <v>28</v>
      </c>
    </row>
    <row r="3669">
      <c r="A3669" s="11">
        <v>3668.0</v>
      </c>
      <c r="B3669" s="12">
        <f t="shared" si="578"/>
        <v>40445</v>
      </c>
      <c r="C3669" s="11" t="s">
        <v>992</v>
      </c>
      <c r="D3669" s="11" t="s">
        <v>28</v>
      </c>
    </row>
    <row r="3670">
      <c r="A3670" s="11">
        <v>3669.0</v>
      </c>
      <c r="B3670" s="12">
        <f t="shared" si="578"/>
        <v>40445</v>
      </c>
      <c r="C3670" s="11" t="s">
        <v>992</v>
      </c>
      <c r="D3670" s="11" t="s">
        <v>28</v>
      </c>
    </row>
    <row r="3671">
      <c r="A3671" s="11">
        <v>3670.0</v>
      </c>
      <c r="B3671" s="12">
        <f t="shared" si="578"/>
        <v>40445</v>
      </c>
      <c r="C3671" s="11" t="s">
        <v>326</v>
      </c>
      <c r="D3671" s="11" t="s">
        <v>28</v>
      </c>
    </row>
    <row r="3672">
      <c r="A3672" s="11">
        <v>3671.0</v>
      </c>
      <c r="B3672" s="12">
        <f t="shared" si="578"/>
        <v>40445</v>
      </c>
      <c r="C3672" s="11" t="s">
        <v>1560</v>
      </c>
      <c r="D3672" s="11" t="s">
        <v>49</v>
      </c>
    </row>
    <row r="3673">
      <c r="A3673" s="11">
        <v>3672.0</v>
      </c>
      <c r="B3673" s="12">
        <f t="shared" si="578"/>
        <v>40445</v>
      </c>
      <c r="C3673" s="11" t="s">
        <v>1572</v>
      </c>
      <c r="D3673" s="11" t="s">
        <v>28</v>
      </c>
    </row>
    <row r="3674">
      <c r="A3674" s="11">
        <v>3673.0</v>
      </c>
      <c r="B3674" s="12">
        <f t="shared" si="578"/>
        <v>40445</v>
      </c>
      <c r="C3674" s="11" t="s">
        <v>337</v>
      </c>
      <c r="D3674" s="11" t="s">
        <v>66</v>
      </c>
    </row>
    <row r="3675">
      <c r="A3675" s="11">
        <v>3674.0</v>
      </c>
      <c r="B3675" s="12">
        <f t="shared" ref="B3675:B3683" si="579">DATE(2012,12,31)-828</f>
        <v>40446</v>
      </c>
      <c r="C3675" s="11" t="s">
        <v>2301</v>
      </c>
      <c r="D3675" s="11" t="s">
        <v>66</v>
      </c>
    </row>
    <row r="3676">
      <c r="A3676" s="11">
        <v>3675.0</v>
      </c>
      <c r="B3676" s="12">
        <f t="shared" si="579"/>
        <v>40446</v>
      </c>
      <c r="C3676" s="11" t="s">
        <v>1137</v>
      </c>
      <c r="D3676" s="11" t="s">
        <v>28</v>
      </c>
    </row>
    <row r="3677">
      <c r="A3677" s="11">
        <v>3676.0</v>
      </c>
      <c r="B3677" s="12">
        <f t="shared" si="579"/>
        <v>40446</v>
      </c>
      <c r="C3677" s="11" t="s">
        <v>1137</v>
      </c>
      <c r="D3677" s="11" t="s">
        <v>49</v>
      </c>
    </row>
    <row r="3678">
      <c r="A3678" s="11">
        <v>3677.0</v>
      </c>
      <c r="B3678" s="12">
        <f t="shared" si="579"/>
        <v>40446</v>
      </c>
      <c r="C3678" s="11" t="s">
        <v>1165</v>
      </c>
      <c r="D3678" s="11" t="s">
        <v>66</v>
      </c>
    </row>
    <row r="3679">
      <c r="A3679" s="11">
        <v>3678.0</v>
      </c>
      <c r="B3679" s="12">
        <f t="shared" si="579"/>
        <v>40446</v>
      </c>
      <c r="C3679" s="11" t="s">
        <v>2062</v>
      </c>
      <c r="D3679" s="11" t="s">
        <v>66</v>
      </c>
    </row>
    <row r="3680">
      <c r="A3680" s="11">
        <v>3679.0</v>
      </c>
      <c r="B3680" s="12">
        <f t="shared" si="579"/>
        <v>40446</v>
      </c>
      <c r="C3680" s="11" t="s">
        <v>2062</v>
      </c>
      <c r="D3680" s="11" t="s">
        <v>66</v>
      </c>
    </row>
    <row r="3681">
      <c r="A3681" s="11">
        <v>3680.0</v>
      </c>
      <c r="B3681" s="12">
        <f t="shared" si="579"/>
        <v>40446</v>
      </c>
      <c r="C3681" s="11" t="s">
        <v>2062</v>
      </c>
      <c r="D3681" s="11" t="s">
        <v>49</v>
      </c>
    </row>
    <row r="3682">
      <c r="A3682" s="11">
        <v>3681.0</v>
      </c>
      <c r="B3682" s="12">
        <f t="shared" si="579"/>
        <v>40446</v>
      </c>
      <c r="C3682" s="11" t="s">
        <v>2439</v>
      </c>
      <c r="D3682" s="11" t="s">
        <v>28</v>
      </c>
    </row>
    <row r="3683">
      <c r="A3683" s="11">
        <v>3682.0</v>
      </c>
      <c r="B3683" s="12">
        <f t="shared" si="579"/>
        <v>40446</v>
      </c>
      <c r="C3683" s="11" t="s">
        <v>2439</v>
      </c>
      <c r="D3683" s="11" t="s">
        <v>66</v>
      </c>
    </row>
    <row r="3684">
      <c r="A3684" s="11">
        <v>3683.0</v>
      </c>
      <c r="B3684" s="12">
        <f t="shared" ref="B3684:B3695" si="580">DATE(2012,12,31)-827</f>
        <v>40447</v>
      </c>
      <c r="C3684" s="11" t="s">
        <v>385</v>
      </c>
      <c r="D3684" s="11" t="s">
        <v>66</v>
      </c>
    </row>
    <row r="3685">
      <c r="A3685" s="11">
        <v>3684.0</v>
      </c>
      <c r="B3685" s="12">
        <f t="shared" si="580"/>
        <v>40447</v>
      </c>
      <c r="C3685" s="11" t="s">
        <v>563</v>
      </c>
      <c r="D3685" s="11" t="s">
        <v>49</v>
      </c>
    </row>
    <row r="3686">
      <c r="A3686" s="11">
        <v>3685.0</v>
      </c>
      <c r="B3686" s="12">
        <f t="shared" si="580"/>
        <v>40447</v>
      </c>
      <c r="C3686" s="11" t="s">
        <v>232</v>
      </c>
      <c r="D3686" s="11" t="s">
        <v>28</v>
      </c>
    </row>
    <row r="3687">
      <c r="A3687" s="11">
        <v>3686.0</v>
      </c>
      <c r="B3687" s="12">
        <f t="shared" si="580"/>
        <v>40447</v>
      </c>
      <c r="C3687" s="11" t="s">
        <v>251</v>
      </c>
      <c r="D3687" s="11" t="s">
        <v>28</v>
      </c>
    </row>
    <row r="3688">
      <c r="A3688" s="11">
        <v>3687.0</v>
      </c>
      <c r="B3688" s="12">
        <f t="shared" si="580"/>
        <v>40447</v>
      </c>
      <c r="C3688" s="11" t="s">
        <v>1377</v>
      </c>
      <c r="D3688" s="11" t="s">
        <v>28</v>
      </c>
    </row>
    <row r="3689">
      <c r="A3689" s="11">
        <v>3688.0</v>
      </c>
      <c r="B3689" s="12">
        <f t="shared" si="580"/>
        <v>40447</v>
      </c>
      <c r="C3689" s="11" t="s">
        <v>1288</v>
      </c>
      <c r="D3689" s="11" t="s">
        <v>49</v>
      </c>
    </row>
    <row r="3690">
      <c r="A3690" s="11">
        <v>3689.0</v>
      </c>
      <c r="B3690" s="12">
        <f t="shared" si="580"/>
        <v>40447</v>
      </c>
      <c r="C3690" s="11" t="s">
        <v>2319</v>
      </c>
      <c r="D3690" s="11" t="s">
        <v>66</v>
      </c>
    </row>
    <row r="3691">
      <c r="A3691" s="11">
        <v>3690.0</v>
      </c>
      <c r="B3691" s="12">
        <f t="shared" si="580"/>
        <v>40447</v>
      </c>
      <c r="C3691" s="11" t="s">
        <v>2319</v>
      </c>
      <c r="D3691" s="11" t="s">
        <v>66</v>
      </c>
    </row>
    <row r="3692">
      <c r="A3692" s="11">
        <v>3691.0</v>
      </c>
      <c r="B3692" s="12">
        <f t="shared" si="580"/>
        <v>40447</v>
      </c>
      <c r="C3692" s="11" t="s">
        <v>2441</v>
      </c>
      <c r="D3692" s="11" t="s">
        <v>28</v>
      </c>
    </row>
    <row r="3693">
      <c r="A3693" s="11">
        <v>3692.0</v>
      </c>
      <c r="B3693" s="12">
        <f t="shared" si="580"/>
        <v>40447</v>
      </c>
      <c r="C3693" s="11" t="s">
        <v>2084</v>
      </c>
      <c r="D3693" s="11" t="s">
        <v>28</v>
      </c>
    </row>
    <row r="3694">
      <c r="A3694" s="11">
        <v>3693.0</v>
      </c>
      <c r="B3694" s="12">
        <f t="shared" si="580"/>
        <v>40447</v>
      </c>
      <c r="C3694" s="11" t="s">
        <v>588</v>
      </c>
      <c r="D3694" s="11" t="s">
        <v>28</v>
      </c>
    </row>
    <row r="3695">
      <c r="A3695" s="11">
        <v>3694.0</v>
      </c>
      <c r="B3695" s="12">
        <f t="shared" si="580"/>
        <v>40447</v>
      </c>
      <c r="C3695" s="11" t="s">
        <v>588</v>
      </c>
      <c r="D3695" s="11" t="s">
        <v>66</v>
      </c>
    </row>
    <row r="3696">
      <c r="A3696" s="11">
        <v>3695.0</v>
      </c>
      <c r="B3696" s="12">
        <f t="shared" ref="B3696:B3697" si="581">DATE(2012,12,31)-826</f>
        <v>40448</v>
      </c>
      <c r="C3696" s="11" t="s">
        <v>1842</v>
      </c>
      <c r="D3696" s="11" t="s">
        <v>66</v>
      </c>
    </row>
    <row r="3697">
      <c r="A3697" s="11">
        <v>3696.0</v>
      </c>
      <c r="B3697" s="12">
        <f t="shared" si="581"/>
        <v>40448</v>
      </c>
      <c r="C3697" s="11" t="s">
        <v>934</v>
      </c>
      <c r="D3697" s="11" t="s">
        <v>49</v>
      </c>
    </row>
    <row r="3698">
      <c r="A3698" s="11">
        <v>3697.0</v>
      </c>
      <c r="B3698" s="12">
        <f t="shared" ref="B3698:B3701" si="582">DATE(2012,12,31)-825</f>
        <v>40449</v>
      </c>
      <c r="C3698" s="11" t="s">
        <v>2318</v>
      </c>
      <c r="D3698" s="11" t="s">
        <v>49</v>
      </c>
    </row>
    <row r="3699">
      <c r="A3699" s="11">
        <v>3698.0</v>
      </c>
      <c r="B3699" s="12">
        <f t="shared" si="582"/>
        <v>40449</v>
      </c>
      <c r="C3699" s="11" t="s">
        <v>803</v>
      </c>
      <c r="D3699" s="11" t="s">
        <v>66</v>
      </c>
    </row>
    <row r="3700">
      <c r="A3700" s="11">
        <v>3699.0</v>
      </c>
      <c r="B3700" s="12">
        <f t="shared" si="582"/>
        <v>40449</v>
      </c>
      <c r="C3700" s="11" t="s">
        <v>211</v>
      </c>
      <c r="D3700" s="11" t="s">
        <v>28</v>
      </c>
    </row>
    <row r="3701">
      <c r="A3701" s="11">
        <v>3700.0</v>
      </c>
      <c r="B3701" s="12">
        <f t="shared" si="582"/>
        <v>40449</v>
      </c>
      <c r="C3701" s="11" t="s">
        <v>211</v>
      </c>
      <c r="D3701" s="11" t="s">
        <v>28</v>
      </c>
    </row>
    <row r="3702">
      <c r="A3702" s="11">
        <v>3701.0</v>
      </c>
      <c r="B3702" s="12">
        <f t="shared" ref="B3702:B3711" si="583">DATE(2012,12,31)-824</f>
        <v>40450</v>
      </c>
      <c r="C3702" s="11" t="s">
        <v>152</v>
      </c>
      <c r="D3702" s="11" t="s">
        <v>28</v>
      </c>
    </row>
    <row r="3703">
      <c r="A3703" s="11">
        <v>3702.0</v>
      </c>
      <c r="B3703" s="12">
        <f t="shared" si="583"/>
        <v>40450</v>
      </c>
      <c r="C3703" s="11" t="s">
        <v>152</v>
      </c>
      <c r="D3703" s="11" t="s">
        <v>28</v>
      </c>
    </row>
    <row r="3704">
      <c r="A3704" s="11">
        <v>3703.0</v>
      </c>
      <c r="B3704" s="12">
        <f t="shared" si="583"/>
        <v>40450</v>
      </c>
      <c r="C3704" s="11" t="s">
        <v>2039</v>
      </c>
      <c r="D3704" s="11" t="s">
        <v>66</v>
      </c>
    </row>
    <row r="3705">
      <c r="A3705" s="11">
        <v>3704.0</v>
      </c>
      <c r="B3705" s="12">
        <f t="shared" si="583"/>
        <v>40450</v>
      </c>
      <c r="C3705" s="11" t="s">
        <v>274</v>
      </c>
      <c r="D3705" s="11" t="s">
        <v>49</v>
      </c>
    </row>
    <row r="3706">
      <c r="A3706" s="11">
        <v>3705.0</v>
      </c>
      <c r="B3706" s="12">
        <f t="shared" si="583"/>
        <v>40450</v>
      </c>
      <c r="C3706" s="11" t="s">
        <v>1332</v>
      </c>
      <c r="D3706" s="11" t="s">
        <v>66</v>
      </c>
    </row>
    <row r="3707">
      <c r="A3707" s="11">
        <v>3706.0</v>
      </c>
      <c r="B3707" s="12">
        <f t="shared" si="583"/>
        <v>40450</v>
      </c>
      <c r="C3707" s="11" t="s">
        <v>1332</v>
      </c>
      <c r="D3707" s="11" t="s">
        <v>66</v>
      </c>
    </row>
    <row r="3708">
      <c r="A3708" s="11">
        <v>3707.0</v>
      </c>
      <c r="B3708" s="12">
        <f t="shared" si="583"/>
        <v>40450</v>
      </c>
      <c r="C3708" s="11" t="s">
        <v>2063</v>
      </c>
      <c r="D3708" s="11" t="s">
        <v>28</v>
      </c>
    </row>
    <row r="3709">
      <c r="A3709" s="11">
        <v>3708.0</v>
      </c>
      <c r="B3709" s="12">
        <f t="shared" si="583"/>
        <v>40450</v>
      </c>
      <c r="C3709" s="11" t="s">
        <v>2271</v>
      </c>
      <c r="D3709" s="11" t="s">
        <v>49</v>
      </c>
    </row>
    <row r="3710">
      <c r="A3710" s="11">
        <v>3709.0</v>
      </c>
      <c r="B3710" s="12">
        <f t="shared" si="583"/>
        <v>40450</v>
      </c>
      <c r="C3710" s="11" t="s">
        <v>2271</v>
      </c>
      <c r="D3710" s="11" t="s">
        <v>66</v>
      </c>
    </row>
    <row r="3711">
      <c r="A3711" s="11">
        <v>3710.0</v>
      </c>
      <c r="B3711" s="12">
        <f t="shared" si="583"/>
        <v>40450</v>
      </c>
      <c r="C3711" s="11" t="s">
        <v>2052</v>
      </c>
      <c r="D3711" s="11" t="s">
        <v>66</v>
      </c>
    </row>
    <row r="3712">
      <c r="A3712" s="11">
        <v>3711.0</v>
      </c>
      <c r="B3712" s="12">
        <f t="shared" ref="B3712:B3718" si="584">DATE(2012,12,31)-823</f>
        <v>40451</v>
      </c>
      <c r="C3712" s="11" t="s">
        <v>1825</v>
      </c>
      <c r="D3712" s="11" t="s">
        <v>28</v>
      </c>
    </row>
    <row r="3713">
      <c r="A3713" s="11">
        <v>3712.0</v>
      </c>
      <c r="B3713" s="12">
        <f t="shared" si="584"/>
        <v>40451</v>
      </c>
      <c r="C3713" s="11" t="s">
        <v>1825</v>
      </c>
      <c r="D3713" s="11" t="s">
        <v>28</v>
      </c>
    </row>
    <row r="3714">
      <c r="A3714" s="11">
        <v>3713.0</v>
      </c>
      <c r="B3714" s="12">
        <f t="shared" si="584"/>
        <v>40451</v>
      </c>
      <c r="C3714" s="11" t="s">
        <v>904</v>
      </c>
      <c r="D3714" s="11" t="s">
        <v>49</v>
      </c>
    </row>
    <row r="3715">
      <c r="A3715" s="11">
        <v>3714.0</v>
      </c>
      <c r="B3715" s="12">
        <f t="shared" si="584"/>
        <v>40451</v>
      </c>
      <c r="C3715" s="11" t="s">
        <v>689</v>
      </c>
      <c r="D3715" s="11" t="s">
        <v>28</v>
      </c>
    </row>
    <row r="3716">
      <c r="A3716" s="11">
        <v>3715.0</v>
      </c>
      <c r="B3716" s="12">
        <f t="shared" si="584"/>
        <v>40451</v>
      </c>
      <c r="C3716" s="11" t="s">
        <v>1707</v>
      </c>
      <c r="D3716" s="11" t="s">
        <v>28</v>
      </c>
    </row>
    <row r="3717">
      <c r="A3717" s="11">
        <v>3716.0</v>
      </c>
      <c r="B3717" s="12">
        <f t="shared" si="584"/>
        <v>40451</v>
      </c>
      <c r="C3717" s="11" t="s">
        <v>1564</v>
      </c>
      <c r="D3717" s="11" t="s">
        <v>28</v>
      </c>
    </row>
    <row r="3718">
      <c r="A3718" s="11">
        <v>3717.0</v>
      </c>
      <c r="B3718" s="12">
        <f t="shared" si="584"/>
        <v>40451</v>
      </c>
      <c r="C3718" s="11" t="s">
        <v>1564</v>
      </c>
      <c r="D3718" s="11" t="s">
        <v>28</v>
      </c>
    </row>
    <row r="3719">
      <c r="A3719" s="11">
        <v>3718.0</v>
      </c>
      <c r="B3719" s="12">
        <f t="shared" ref="B3719:B3720" si="585">DATE(2012,12,31)-822</f>
        <v>40452</v>
      </c>
      <c r="C3719" s="11" t="s">
        <v>465</v>
      </c>
      <c r="D3719" s="11" t="s">
        <v>28</v>
      </c>
    </row>
    <row r="3720">
      <c r="A3720" s="11">
        <v>3719.0</v>
      </c>
      <c r="B3720" s="12">
        <f t="shared" si="585"/>
        <v>40452</v>
      </c>
      <c r="C3720" s="11" t="s">
        <v>1731</v>
      </c>
      <c r="D3720" s="11" t="s">
        <v>28</v>
      </c>
    </row>
    <row r="3721">
      <c r="A3721" s="11">
        <v>3720.0</v>
      </c>
      <c r="B3721" s="12">
        <f t="shared" ref="B3721:B3725" si="586">DATE(2012,12,31)-821</f>
        <v>40453</v>
      </c>
      <c r="C3721" s="11" t="s">
        <v>1744</v>
      </c>
      <c r="D3721" s="11" t="s">
        <v>28</v>
      </c>
    </row>
    <row r="3722">
      <c r="A3722" s="11">
        <v>3721.0</v>
      </c>
      <c r="B3722" s="12">
        <f t="shared" si="586"/>
        <v>40453</v>
      </c>
      <c r="C3722" s="11" t="s">
        <v>1550</v>
      </c>
      <c r="D3722" s="11" t="s">
        <v>28</v>
      </c>
    </row>
    <row r="3723">
      <c r="A3723" s="11">
        <v>3722.0</v>
      </c>
      <c r="B3723" s="12">
        <f t="shared" si="586"/>
        <v>40453</v>
      </c>
      <c r="C3723" s="11" t="s">
        <v>882</v>
      </c>
      <c r="D3723" s="11" t="s">
        <v>28</v>
      </c>
    </row>
    <row r="3724">
      <c r="A3724" s="11">
        <v>3723.0</v>
      </c>
      <c r="B3724" s="12">
        <f t="shared" si="586"/>
        <v>40453</v>
      </c>
      <c r="C3724" s="11" t="s">
        <v>2434</v>
      </c>
      <c r="D3724" s="11" t="s">
        <v>66</v>
      </c>
    </row>
    <row r="3725">
      <c r="A3725" s="11">
        <v>3724.0</v>
      </c>
      <c r="B3725" s="12">
        <f t="shared" si="586"/>
        <v>40453</v>
      </c>
      <c r="C3725" s="11" t="s">
        <v>2434</v>
      </c>
      <c r="D3725" s="11" t="s">
        <v>66</v>
      </c>
    </row>
    <row r="3726">
      <c r="A3726" s="11">
        <v>3725.0</v>
      </c>
      <c r="B3726" s="12">
        <f t="shared" ref="B3726:B3730" si="587">DATE(2012,12,31)-820</f>
        <v>40454</v>
      </c>
      <c r="C3726" s="11" t="s">
        <v>1224</v>
      </c>
      <c r="D3726" s="11" t="s">
        <v>28</v>
      </c>
    </row>
    <row r="3727">
      <c r="A3727" s="11">
        <v>3726.0</v>
      </c>
      <c r="B3727" s="12">
        <f t="shared" si="587"/>
        <v>40454</v>
      </c>
      <c r="C3727" s="11" t="s">
        <v>1841</v>
      </c>
      <c r="D3727" s="11" t="s">
        <v>28</v>
      </c>
    </row>
    <row r="3728">
      <c r="A3728" s="11">
        <v>3727.0</v>
      </c>
      <c r="B3728" s="12">
        <f t="shared" si="587"/>
        <v>40454</v>
      </c>
      <c r="C3728" s="11" t="s">
        <v>1294</v>
      </c>
      <c r="D3728" s="11" t="s">
        <v>28</v>
      </c>
    </row>
    <row r="3729">
      <c r="A3729" s="11">
        <v>3728.0</v>
      </c>
      <c r="B3729" s="12">
        <f t="shared" si="587"/>
        <v>40454</v>
      </c>
      <c r="C3729" s="11" t="s">
        <v>2405</v>
      </c>
      <c r="D3729" s="11" t="s">
        <v>49</v>
      </c>
    </row>
    <row r="3730">
      <c r="A3730" s="11">
        <v>3729.0</v>
      </c>
      <c r="B3730" s="12">
        <f t="shared" si="587"/>
        <v>40454</v>
      </c>
      <c r="C3730" s="11" t="s">
        <v>2427</v>
      </c>
      <c r="D3730" s="11" t="s">
        <v>28</v>
      </c>
    </row>
    <row r="3731">
      <c r="A3731" s="11">
        <v>3730.0</v>
      </c>
      <c r="B3731" s="12">
        <f t="shared" ref="B3731:B3738" si="588">DATE(2012,12,31)-819</f>
        <v>40455</v>
      </c>
      <c r="C3731" s="11" t="s">
        <v>1722</v>
      </c>
      <c r="D3731" s="11" t="s">
        <v>28</v>
      </c>
    </row>
    <row r="3732">
      <c r="A3732" s="11">
        <v>3731.0</v>
      </c>
      <c r="B3732" s="12">
        <f t="shared" si="588"/>
        <v>40455</v>
      </c>
      <c r="C3732" s="11" t="s">
        <v>639</v>
      </c>
      <c r="D3732" s="11" t="s">
        <v>49</v>
      </c>
    </row>
    <row r="3733">
      <c r="A3733" s="11">
        <v>3732.0</v>
      </c>
      <c r="B3733" s="12">
        <f t="shared" si="588"/>
        <v>40455</v>
      </c>
      <c r="C3733" s="11" t="s">
        <v>2447</v>
      </c>
      <c r="D3733" s="11" t="s">
        <v>49</v>
      </c>
    </row>
    <row r="3734">
      <c r="A3734" s="11">
        <v>3733.0</v>
      </c>
      <c r="B3734" s="12">
        <f t="shared" si="588"/>
        <v>40455</v>
      </c>
      <c r="C3734" s="11" t="s">
        <v>1384</v>
      </c>
      <c r="D3734" s="11" t="s">
        <v>28</v>
      </c>
    </row>
    <row r="3735">
      <c r="A3735" s="11">
        <v>3734.0</v>
      </c>
      <c r="B3735" s="12">
        <f t="shared" si="588"/>
        <v>40455</v>
      </c>
      <c r="C3735" s="11" t="s">
        <v>928</v>
      </c>
      <c r="D3735" s="11" t="s">
        <v>28</v>
      </c>
    </row>
    <row r="3736">
      <c r="A3736" s="11">
        <v>3735.0</v>
      </c>
      <c r="B3736" s="12">
        <f t="shared" si="588"/>
        <v>40455</v>
      </c>
      <c r="C3736" s="11" t="s">
        <v>928</v>
      </c>
      <c r="D3736" s="11" t="s">
        <v>28</v>
      </c>
    </row>
    <row r="3737">
      <c r="A3737" s="11">
        <v>3736.0</v>
      </c>
      <c r="B3737" s="12">
        <f t="shared" si="588"/>
        <v>40455</v>
      </c>
      <c r="C3737" s="11" t="s">
        <v>928</v>
      </c>
      <c r="D3737" s="11" t="s">
        <v>28</v>
      </c>
    </row>
    <row r="3738">
      <c r="A3738" s="11">
        <v>3737.0</v>
      </c>
      <c r="B3738" s="12">
        <f t="shared" si="588"/>
        <v>40455</v>
      </c>
      <c r="C3738" s="11" t="s">
        <v>928</v>
      </c>
      <c r="D3738" s="11" t="s">
        <v>28</v>
      </c>
    </row>
    <row r="3739">
      <c r="A3739" s="11">
        <v>3738.0</v>
      </c>
      <c r="B3739" s="12">
        <f t="shared" ref="B3739:B3740" si="589">DATE(2012,12,31)-818</f>
        <v>40456</v>
      </c>
      <c r="C3739" s="11" t="s">
        <v>222</v>
      </c>
      <c r="D3739" s="11" t="s">
        <v>28</v>
      </c>
    </row>
    <row r="3740">
      <c r="A3740" s="11">
        <v>3739.0</v>
      </c>
      <c r="B3740" s="12">
        <f t="shared" si="589"/>
        <v>40456</v>
      </c>
      <c r="C3740" s="11" t="s">
        <v>222</v>
      </c>
      <c r="D3740" s="11" t="s">
        <v>28</v>
      </c>
    </row>
    <row r="3741">
      <c r="A3741" s="11">
        <v>3740.0</v>
      </c>
      <c r="B3741" s="12">
        <f t="shared" ref="B3741:B3748" si="590">DATE(2012,12,31)-817</f>
        <v>40457</v>
      </c>
      <c r="C3741" s="11" t="s">
        <v>1938</v>
      </c>
      <c r="D3741" s="11" t="s">
        <v>49</v>
      </c>
    </row>
    <row r="3742">
      <c r="A3742" s="11">
        <v>3741.0</v>
      </c>
      <c r="B3742" s="12">
        <f t="shared" si="590"/>
        <v>40457</v>
      </c>
      <c r="C3742" s="11" t="s">
        <v>541</v>
      </c>
      <c r="D3742" s="11" t="s">
        <v>66</v>
      </c>
    </row>
    <row r="3743">
      <c r="A3743" s="11">
        <v>3742.0</v>
      </c>
      <c r="B3743" s="12">
        <f t="shared" si="590"/>
        <v>40457</v>
      </c>
      <c r="C3743" s="11" t="s">
        <v>719</v>
      </c>
      <c r="D3743" s="11" t="s">
        <v>28</v>
      </c>
    </row>
    <row r="3744">
      <c r="A3744" s="11">
        <v>3743.0</v>
      </c>
      <c r="B3744" s="12">
        <f t="shared" si="590"/>
        <v>40457</v>
      </c>
      <c r="C3744" s="11" t="s">
        <v>546</v>
      </c>
      <c r="D3744" s="11" t="s">
        <v>28</v>
      </c>
    </row>
    <row r="3745">
      <c r="A3745" s="11">
        <v>3744.0</v>
      </c>
      <c r="B3745" s="12">
        <f t="shared" si="590"/>
        <v>40457</v>
      </c>
      <c r="C3745" s="11" t="s">
        <v>1715</v>
      </c>
      <c r="D3745" s="11" t="s">
        <v>49</v>
      </c>
    </row>
    <row r="3746">
      <c r="A3746" s="11">
        <v>3745.0</v>
      </c>
      <c r="B3746" s="12">
        <f t="shared" si="590"/>
        <v>40457</v>
      </c>
      <c r="C3746" s="11" t="s">
        <v>1715</v>
      </c>
      <c r="D3746" s="11" t="s">
        <v>66</v>
      </c>
    </row>
    <row r="3747">
      <c r="A3747" s="11">
        <v>3746.0</v>
      </c>
      <c r="B3747" s="12">
        <f t="shared" si="590"/>
        <v>40457</v>
      </c>
      <c r="C3747" s="11" t="s">
        <v>1715</v>
      </c>
      <c r="D3747" s="11" t="s">
        <v>66</v>
      </c>
    </row>
    <row r="3748">
      <c r="A3748" s="11">
        <v>3747.0</v>
      </c>
      <c r="B3748" s="12">
        <f t="shared" si="590"/>
        <v>40457</v>
      </c>
      <c r="C3748" s="11" t="s">
        <v>2449</v>
      </c>
      <c r="D3748" s="11" t="s">
        <v>66</v>
      </c>
    </row>
    <row r="3749">
      <c r="A3749" s="11">
        <v>3748.0</v>
      </c>
      <c r="B3749" s="12">
        <f t="shared" ref="B3749:B3757" si="591">DATE(2012,12,31)-816</f>
        <v>40458</v>
      </c>
      <c r="C3749" s="11" t="s">
        <v>2241</v>
      </c>
      <c r="D3749" s="11" t="s">
        <v>28</v>
      </c>
    </row>
    <row r="3750">
      <c r="A3750" s="11">
        <v>3749.0</v>
      </c>
      <c r="B3750" s="12">
        <f t="shared" si="591"/>
        <v>40458</v>
      </c>
      <c r="C3750" s="11" t="s">
        <v>2241</v>
      </c>
      <c r="D3750" s="11" t="s">
        <v>49</v>
      </c>
    </row>
    <row r="3751">
      <c r="A3751" s="11">
        <v>3750.0</v>
      </c>
      <c r="B3751" s="12">
        <f t="shared" si="591"/>
        <v>40458</v>
      </c>
      <c r="C3751" s="11" t="s">
        <v>180</v>
      </c>
      <c r="D3751" s="11" t="s">
        <v>66</v>
      </c>
    </row>
    <row r="3752">
      <c r="A3752" s="11">
        <v>3751.0</v>
      </c>
      <c r="B3752" s="12">
        <f t="shared" si="591"/>
        <v>40458</v>
      </c>
      <c r="C3752" s="11" t="s">
        <v>510</v>
      </c>
      <c r="D3752" s="11" t="s">
        <v>49</v>
      </c>
    </row>
    <row r="3753">
      <c r="A3753" s="11">
        <v>3752.0</v>
      </c>
      <c r="B3753" s="12">
        <f t="shared" si="591"/>
        <v>40458</v>
      </c>
      <c r="C3753" s="11" t="s">
        <v>510</v>
      </c>
      <c r="D3753" s="11" t="s">
        <v>49</v>
      </c>
    </row>
    <row r="3754">
      <c r="A3754" s="11">
        <v>3753.0</v>
      </c>
      <c r="B3754" s="12">
        <f t="shared" si="591"/>
        <v>40458</v>
      </c>
      <c r="C3754" s="11" t="s">
        <v>510</v>
      </c>
      <c r="D3754" s="11" t="s">
        <v>66</v>
      </c>
    </row>
    <row r="3755">
      <c r="A3755" s="11">
        <v>3754.0</v>
      </c>
      <c r="B3755" s="12">
        <f t="shared" si="591"/>
        <v>40458</v>
      </c>
      <c r="C3755" s="11" t="s">
        <v>1674</v>
      </c>
      <c r="D3755" s="11" t="s">
        <v>28</v>
      </c>
    </row>
    <row r="3756">
      <c r="A3756" s="11">
        <v>3755.0</v>
      </c>
      <c r="B3756" s="12">
        <f t="shared" si="591"/>
        <v>40458</v>
      </c>
      <c r="C3756" s="11" t="s">
        <v>1674</v>
      </c>
      <c r="D3756" s="11" t="s">
        <v>66</v>
      </c>
    </row>
    <row r="3757">
      <c r="A3757" s="11">
        <v>3756.0</v>
      </c>
      <c r="B3757" s="12">
        <f t="shared" si="591"/>
        <v>40458</v>
      </c>
      <c r="C3757" s="11" t="s">
        <v>1674</v>
      </c>
      <c r="D3757" s="11" t="s">
        <v>28</v>
      </c>
    </row>
    <row r="3758">
      <c r="A3758" s="11">
        <v>3757.0</v>
      </c>
      <c r="B3758" s="12">
        <f t="shared" ref="B3758:B3762" si="592">DATE(2012,12,31)-815</f>
        <v>40459</v>
      </c>
      <c r="C3758" s="11" t="s">
        <v>703</v>
      </c>
      <c r="D3758" s="11" t="s">
        <v>66</v>
      </c>
    </row>
    <row r="3759">
      <c r="A3759" s="11">
        <v>3758.0</v>
      </c>
      <c r="B3759" s="12">
        <f t="shared" si="592"/>
        <v>40459</v>
      </c>
      <c r="C3759" s="11" t="s">
        <v>1108</v>
      </c>
      <c r="D3759" s="11" t="s">
        <v>66</v>
      </c>
    </row>
    <row r="3760">
      <c r="A3760" s="11">
        <v>3759.0</v>
      </c>
      <c r="B3760" s="12">
        <f t="shared" si="592"/>
        <v>40459</v>
      </c>
      <c r="C3760" s="11" t="s">
        <v>2452</v>
      </c>
      <c r="D3760" s="11" t="s">
        <v>28</v>
      </c>
    </row>
    <row r="3761">
      <c r="A3761" s="11">
        <v>3760.0</v>
      </c>
      <c r="B3761" s="12">
        <f t="shared" si="592"/>
        <v>40459</v>
      </c>
      <c r="C3761" s="11" t="s">
        <v>626</v>
      </c>
      <c r="D3761" s="11" t="s">
        <v>49</v>
      </c>
    </row>
    <row r="3762">
      <c r="A3762" s="11">
        <v>3761.0</v>
      </c>
      <c r="B3762" s="12">
        <f t="shared" si="592"/>
        <v>40459</v>
      </c>
      <c r="C3762" s="11" t="s">
        <v>1629</v>
      </c>
      <c r="D3762" s="11" t="s">
        <v>66</v>
      </c>
    </row>
    <row r="3763">
      <c r="A3763" s="11">
        <v>3762.0</v>
      </c>
      <c r="B3763" s="12">
        <f t="shared" ref="B3763:B3777" si="593">DATE(2012,12,31)-814</f>
        <v>40460</v>
      </c>
      <c r="C3763" s="11" t="s">
        <v>800</v>
      </c>
      <c r="D3763" s="11" t="s">
        <v>28</v>
      </c>
    </row>
    <row r="3764">
      <c r="A3764" s="11">
        <v>3763.0</v>
      </c>
      <c r="B3764" s="12">
        <f t="shared" si="593"/>
        <v>40460</v>
      </c>
      <c r="C3764" s="11" t="s">
        <v>800</v>
      </c>
      <c r="D3764" s="11" t="s">
        <v>28</v>
      </c>
    </row>
    <row r="3765">
      <c r="A3765" s="11">
        <v>3764.0</v>
      </c>
      <c r="B3765" s="12">
        <f t="shared" si="593"/>
        <v>40460</v>
      </c>
      <c r="C3765" s="11" t="s">
        <v>2236</v>
      </c>
      <c r="D3765" s="11" t="s">
        <v>28</v>
      </c>
    </row>
    <row r="3766">
      <c r="A3766" s="11">
        <v>3765.0</v>
      </c>
      <c r="B3766" s="12">
        <f t="shared" si="593"/>
        <v>40460</v>
      </c>
      <c r="C3766" s="11" t="s">
        <v>2016</v>
      </c>
      <c r="D3766" s="11" t="s">
        <v>49</v>
      </c>
    </row>
    <row r="3767">
      <c r="A3767" s="11">
        <v>3766.0</v>
      </c>
      <c r="B3767" s="12">
        <f t="shared" si="593"/>
        <v>40460</v>
      </c>
      <c r="C3767" s="11" t="s">
        <v>2016</v>
      </c>
      <c r="D3767" s="11" t="s">
        <v>28</v>
      </c>
    </row>
    <row r="3768">
      <c r="A3768" s="11">
        <v>3767.0</v>
      </c>
      <c r="B3768" s="12">
        <f t="shared" si="593"/>
        <v>40460</v>
      </c>
      <c r="C3768" s="11" t="s">
        <v>2016</v>
      </c>
      <c r="D3768" s="11" t="s">
        <v>49</v>
      </c>
    </row>
    <row r="3769">
      <c r="A3769" s="11">
        <v>3768.0</v>
      </c>
      <c r="B3769" s="12">
        <f t="shared" si="593"/>
        <v>40460</v>
      </c>
      <c r="C3769" s="11" t="s">
        <v>1527</v>
      </c>
      <c r="D3769" s="11" t="s">
        <v>28</v>
      </c>
    </row>
    <row r="3770">
      <c r="A3770" s="11">
        <v>3769.0</v>
      </c>
      <c r="B3770" s="12">
        <f t="shared" si="593"/>
        <v>40460</v>
      </c>
      <c r="C3770" s="11" t="s">
        <v>235</v>
      </c>
      <c r="D3770" s="11" t="s">
        <v>66</v>
      </c>
    </row>
    <row r="3771">
      <c r="A3771" s="11">
        <v>3770.0</v>
      </c>
      <c r="B3771" s="12">
        <f t="shared" si="593"/>
        <v>40460</v>
      </c>
      <c r="C3771" s="11" t="s">
        <v>235</v>
      </c>
      <c r="D3771" s="11" t="s">
        <v>66</v>
      </c>
    </row>
    <row r="3772">
      <c r="A3772" s="11">
        <v>3771.0</v>
      </c>
      <c r="B3772" s="12">
        <f t="shared" si="593"/>
        <v>40460</v>
      </c>
      <c r="C3772" s="11" t="s">
        <v>323</v>
      </c>
      <c r="D3772" s="11" t="s">
        <v>49</v>
      </c>
    </row>
    <row r="3773">
      <c r="A3773" s="11">
        <v>3772.0</v>
      </c>
      <c r="B3773" s="12">
        <f t="shared" si="593"/>
        <v>40460</v>
      </c>
      <c r="C3773" s="11" t="s">
        <v>323</v>
      </c>
      <c r="D3773" s="11" t="s">
        <v>66</v>
      </c>
    </row>
    <row r="3774">
      <c r="A3774" s="11">
        <v>3773.0</v>
      </c>
      <c r="B3774" s="12">
        <f t="shared" si="593"/>
        <v>40460</v>
      </c>
      <c r="C3774" s="11" t="s">
        <v>323</v>
      </c>
      <c r="D3774" s="11" t="s">
        <v>49</v>
      </c>
    </row>
    <row r="3775">
      <c r="A3775" s="11">
        <v>3774.0</v>
      </c>
      <c r="B3775" s="12">
        <f t="shared" si="593"/>
        <v>40460</v>
      </c>
      <c r="C3775" s="11" t="s">
        <v>323</v>
      </c>
      <c r="D3775" s="11" t="s">
        <v>28</v>
      </c>
    </row>
    <row r="3776">
      <c r="A3776" s="11">
        <v>3775.0</v>
      </c>
      <c r="B3776" s="12">
        <f t="shared" si="593"/>
        <v>40460</v>
      </c>
      <c r="C3776" s="11" t="s">
        <v>323</v>
      </c>
      <c r="D3776" s="11" t="s">
        <v>28</v>
      </c>
    </row>
    <row r="3777">
      <c r="A3777" s="11">
        <v>3776.0</v>
      </c>
      <c r="B3777" s="12">
        <f t="shared" si="593"/>
        <v>40460</v>
      </c>
      <c r="C3777" s="11" t="s">
        <v>953</v>
      </c>
      <c r="D3777" s="11" t="s">
        <v>28</v>
      </c>
    </row>
    <row r="3778">
      <c r="A3778" s="11">
        <v>3777.0</v>
      </c>
      <c r="B3778" s="12">
        <f t="shared" ref="B3778:B3784" si="594">DATE(2012,12,31)-813</f>
        <v>40461</v>
      </c>
      <c r="C3778" s="11" t="s">
        <v>2187</v>
      </c>
      <c r="D3778" s="11" t="s">
        <v>49</v>
      </c>
    </row>
    <row r="3779">
      <c r="A3779" s="11">
        <v>3778.0</v>
      </c>
      <c r="B3779" s="12">
        <f t="shared" si="594"/>
        <v>40461</v>
      </c>
      <c r="C3779" s="11" t="s">
        <v>904</v>
      </c>
      <c r="D3779" s="11" t="s">
        <v>66</v>
      </c>
    </row>
    <row r="3780">
      <c r="A3780" s="11">
        <v>3779.0</v>
      </c>
      <c r="B3780" s="12">
        <f t="shared" si="594"/>
        <v>40461</v>
      </c>
      <c r="C3780" s="11" t="s">
        <v>581</v>
      </c>
      <c r="D3780" s="11" t="s">
        <v>28</v>
      </c>
    </row>
    <row r="3781">
      <c r="A3781" s="11">
        <v>3780.0</v>
      </c>
      <c r="B3781" s="12">
        <f t="shared" si="594"/>
        <v>40461</v>
      </c>
      <c r="C3781" s="11" t="s">
        <v>581</v>
      </c>
      <c r="D3781" s="11" t="s">
        <v>28</v>
      </c>
    </row>
    <row r="3782">
      <c r="A3782" s="11">
        <v>3781.0</v>
      </c>
      <c r="B3782" s="12">
        <f t="shared" si="594"/>
        <v>40461</v>
      </c>
      <c r="C3782" s="11" t="s">
        <v>581</v>
      </c>
      <c r="D3782" s="11" t="s">
        <v>28</v>
      </c>
    </row>
    <row r="3783">
      <c r="A3783" s="11">
        <v>3782.0</v>
      </c>
      <c r="B3783" s="12">
        <f t="shared" si="594"/>
        <v>40461</v>
      </c>
      <c r="C3783" s="11" t="s">
        <v>2365</v>
      </c>
      <c r="D3783" s="11" t="s">
        <v>28</v>
      </c>
    </row>
    <row r="3784">
      <c r="A3784" s="11">
        <v>3783.0</v>
      </c>
      <c r="B3784" s="12">
        <f t="shared" si="594"/>
        <v>40461</v>
      </c>
      <c r="C3784" s="11" t="s">
        <v>1625</v>
      </c>
      <c r="D3784" s="11" t="s">
        <v>28</v>
      </c>
    </row>
    <row r="3785">
      <c r="A3785" s="11">
        <v>3784.0</v>
      </c>
      <c r="B3785" s="12">
        <f t="shared" ref="B3785:B3789" si="595">DATE(2012,12,31)-812</f>
        <v>40462</v>
      </c>
      <c r="C3785" s="11" t="s">
        <v>1581</v>
      </c>
      <c r="D3785" s="11" t="s">
        <v>28</v>
      </c>
    </row>
    <row r="3786">
      <c r="A3786" s="11">
        <v>3785.0</v>
      </c>
      <c r="B3786" s="12">
        <f t="shared" si="595"/>
        <v>40462</v>
      </c>
      <c r="C3786" s="11" t="s">
        <v>2099</v>
      </c>
      <c r="D3786" s="11" t="s">
        <v>28</v>
      </c>
    </row>
    <row r="3787">
      <c r="A3787" s="11">
        <v>3786.0</v>
      </c>
      <c r="B3787" s="12">
        <f t="shared" si="595"/>
        <v>40462</v>
      </c>
      <c r="C3787" s="11" t="s">
        <v>2099</v>
      </c>
      <c r="D3787" s="11" t="s">
        <v>49</v>
      </c>
    </row>
    <row r="3788">
      <c r="A3788" s="11">
        <v>3787.0</v>
      </c>
      <c r="B3788" s="12">
        <f t="shared" si="595"/>
        <v>40462</v>
      </c>
      <c r="C3788" s="11" t="s">
        <v>2099</v>
      </c>
      <c r="D3788" s="11" t="s">
        <v>66</v>
      </c>
    </row>
    <row r="3789">
      <c r="A3789" s="11">
        <v>3788.0</v>
      </c>
      <c r="B3789" s="12">
        <f t="shared" si="595"/>
        <v>40462</v>
      </c>
      <c r="C3789" s="11" t="s">
        <v>900</v>
      </c>
      <c r="D3789" s="11" t="s">
        <v>28</v>
      </c>
    </row>
    <row r="3790">
      <c r="A3790" s="11">
        <v>3789.0</v>
      </c>
      <c r="B3790" s="12">
        <f t="shared" ref="B3790:B3800" si="596">DATE(2012,12,31)-811</f>
        <v>40463</v>
      </c>
      <c r="C3790" s="11" t="s">
        <v>514</v>
      </c>
      <c r="D3790" s="11" t="s">
        <v>66</v>
      </c>
    </row>
    <row r="3791">
      <c r="A3791" s="11">
        <v>3790.0</v>
      </c>
      <c r="B3791" s="12">
        <f t="shared" si="596"/>
        <v>40463</v>
      </c>
      <c r="C3791" s="11" t="s">
        <v>514</v>
      </c>
      <c r="D3791" s="11" t="s">
        <v>66</v>
      </c>
    </row>
    <row r="3792">
      <c r="A3792" s="11">
        <v>3791.0</v>
      </c>
      <c r="B3792" s="12">
        <f t="shared" si="596"/>
        <v>40463</v>
      </c>
      <c r="C3792" s="11" t="s">
        <v>1145</v>
      </c>
      <c r="D3792" s="11" t="s">
        <v>28</v>
      </c>
    </row>
    <row r="3793">
      <c r="A3793" s="11">
        <v>3792.0</v>
      </c>
      <c r="B3793" s="12">
        <f t="shared" si="596"/>
        <v>40463</v>
      </c>
      <c r="C3793" s="11" t="s">
        <v>1145</v>
      </c>
      <c r="D3793" s="11" t="s">
        <v>66</v>
      </c>
    </row>
    <row r="3794">
      <c r="A3794" s="11">
        <v>3793.0</v>
      </c>
      <c r="B3794" s="12">
        <f t="shared" si="596"/>
        <v>40463</v>
      </c>
      <c r="C3794" s="11" t="s">
        <v>2052</v>
      </c>
      <c r="D3794" s="11" t="s">
        <v>28</v>
      </c>
    </row>
    <row r="3795">
      <c r="A3795" s="11">
        <v>3794.0</v>
      </c>
      <c r="B3795" s="12">
        <f t="shared" si="596"/>
        <v>40463</v>
      </c>
      <c r="C3795" s="11" t="s">
        <v>2052</v>
      </c>
      <c r="D3795" s="11" t="s">
        <v>28</v>
      </c>
    </row>
    <row r="3796">
      <c r="A3796" s="11">
        <v>3795.0</v>
      </c>
      <c r="B3796" s="12">
        <f t="shared" si="596"/>
        <v>40463</v>
      </c>
      <c r="C3796" s="11" t="s">
        <v>2052</v>
      </c>
      <c r="D3796" s="11" t="s">
        <v>28</v>
      </c>
    </row>
    <row r="3797">
      <c r="A3797" s="11">
        <v>3796.0</v>
      </c>
      <c r="B3797" s="12">
        <f t="shared" si="596"/>
        <v>40463</v>
      </c>
      <c r="C3797" s="11" t="s">
        <v>1773</v>
      </c>
      <c r="D3797" s="11" t="s">
        <v>66</v>
      </c>
    </row>
    <row r="3798">
      <c r="A3798" s="11">
        <v>3797.0</v>
      </c>
      <c r="B3798" s="12">
        <f t="shared" si="596"/>
        <v>40463</v>
      </c>
      <c r="C3798" s="11" t="s">
        <v>1450</v>
      </c>
      <c r="D3798" s="11" t="s">
        <v>66</v>
      </c>
    </row>
    <row r="3799">
      <c r="A3799" s="11">
        <v>3798.0</v>
      </c>
      <c r="B3799" s="12">
        <f t="shared" si="596"/>
        <v>40463</v>
      </c>
      <c r="C3799" s="11" t="s">
        <v>2058</v>
      </c>
      <c r="D3799" s="11" t="s">
        <v>28</v>
      </c>
    </row>
    <row r="3800">
      <c r="A3800" s="11">
        <v>3799.0</v>
      </c>
      <c r="B3800" s="12">
        <f t="shared" si="596"/>
        <v>40463</v>
      </c>
      <c r="C3800" s="11" t="s">
        <v>2058</v>
      </c>
      <c r="D3800" s="11" t="s">
        <v>66</v>
      </c>
    </row>
    <row r="3801">
      <c r="A3801" s="11">
        <v>3800.0</v>
      </c>
      <c r="B3801" s="12">
        <f t="shared" ref="B3801:B3804" si="597">DATE(2012,12,31)-810</f>
        <v>40464</v>
      </c>
      <c r="C3801" s="11" t="s">
        <v>2081</v>
      </c>
      <c r="D3801" s="11" t="s">
        <v>28</v>
      </c>
    </row>
    <row r="3802">
      <c r="A3802" s="11">
        <v>3801.0</v>
      </c>
      <c r="B3802" s="12">
        <f t="shared" si="597"/>
        <v>40464</v>
      </c>
      <c r="C3802" s="11" t="s">
        <v>412</v>
      </c>
      <c r="D3802" s="11" t="s">
        <v>66</v>
      </c>
    </row>
    <row r="3803">
      <c r="A3803" s="11">
        <v>3802.0</v>
      </c>
      <c r="B3803" s="12">
        <f t="shared" si="597"/>
        <v>40464</v>
      </c>
      <c r="C3803" s="11" t="s">
        <v>1712</v>
      </c>
      <c r="D3803" s="11" t="s">
        <v>66</v>
      </c>
    </row>
    <row r="3804">
      <c r="A3804" s="11">
        <v>3803.0</v>
      </c>
      <c r="B3804" s="12">
        <f t="shared" si="597"/>
        <v>40464</v>
      </c>
      <c r="C3804" s="11" t="s">
        <v>1061</v>
      </c>
      <c r="D3804" s="11" t="s">
        <v>28</v>
      </c>
    </row>
    <row r="3805">
      <c r="A3805" s="11">
        <v>3804.0</v>
      </c>
      <c r="B3805" s="12">
        <f t="shared" ref="B3805:B3809" si="598">DATE(2012,12,31)-809</f>
        <v>40465</v>
      </c>
      <c r="C3805" s="11" t="s">
        <v>34</v>
      </c>
      <c r="D3805" s="11" t="s">
        <v>49</v>
      </c>
    </row>
    <row r="3806">
      <c r="A3806" s="11">
        <v>3805.0</v>
      </c>
      <c r="B3806" s="12">
        <f t="shared" si="598"/>
        <v>40465</v>
      </c>
      <c r="C3806" s="11" t="s">
        <v>152</v>
      </c>
      <c r="D3806" s="11" t="s">
        <v>28</v>
      </c>
    </row>
    <row r="3807">
      <c r="A3807" s="11">
        <v>3806.0</v>
      </c>
      <c r="B3807" s="12">
        <f t="shared" si="598"/>
        <v>40465</v>
      </c>
      <c r="C3807" s="11" t="s">
        <v>152</v>
      </c>
      <c r="D3807" s="11" t="s">
        <v>66</v>
      </c>
    </row>
    <row r="3808">
      <c r="A3808" s="11">
        <v>3807.0</v>
      </c>
      <c r="B3808" s="12">
        <f t="shared" si="598"/>
        <v>40465</v>
      </c>
      <c r="C3808" s="11" t="s">
        <v>152</v>
      </c>
      <c r="D3808" s="11" t="s">
        <v>66</v>
      </c>
    </row>
    <row r="3809">
      <c r="A3809" s="11">
        <v>3808.0</v>
      </c>
      <c r="B3809" s="12">
        <f t="shared" si="598"/>
        <v>40465</v>
      </c>
      <c r="C3809" s="11" t="s">
        <v>1634</v>
      </c>
      <c r="D3809" s="11" t="s">
        <v>28</v>
      </c>
    </row>
    <row r="3810">
      <c r="A3810" s="11">
        <v>3809.0</v>
      </c>
      <c r="B3810" s="12">
        <f t="shared" ref="B3810:B3818" si="599">DATE(2012,12,31)-808</f>
        <v>40466</v>
      </c>
      <c r="C3810" s="11" t="s">
        <v>232</v>
      </c>
      <c r="D3810" s="11" t="s">
        <v>66</v>
      </c>
    </row>
    <row r="3811">
      <c r="A3811" s="11">
        <v>3810.0</v>
      </c>
      <c r="B3811" s="12">
        <f t="shared" si="599"/>
        <v>40466</v>
      </c>
      <c r="C3811" s="11" t="s">
        <v>232</v>
      </c>
      <c r="D3811" s="11" t="s">
        <v>28</v>
      </c>
    </row>
    <row r="3812">
      <c r="A3812" s="11">
        <v>3811.0</v>
      </c>
      <c r="B3812" s="12">
        <f t="shared" si="599"/>
        <v>40466</v>
      </c>
      <c r="C3812" s="11" t="s">
        <v>232</v>
      </c>
      <c r="D3812" s="11" t="s">
        <v>66</v>
      </c>
    </row>
    <row r="3813">
      <c r="A3813" s="11">
        <v>3812.0</v>
      </c>
      <c r="B3813" s="12">
        <f t="shared" si="599"/>
        <v>40466</v>
      </c>
      <c r="C3813" s="11" t="s">
        <v>232</v>
      </c>
      <c r="D3813" s="11" t="s">
        <v>28</v>
      </c>
    </row>
    <row r="3814">
      <c r="A3814" s="11">
        <v>3813.0</v>
      </c>
      <c r="B3814" s="12">
        <f t="shared" si="599"/>
        <v>40466</v>
      </c>
      <c r="C3814" s="11" t="s">
        <v>689</v>
      </c>
      <c r="D3814" s="11" t="s">
        <v>28</v>
      </c>
    </row>
    <row r="3815">
      <c r="A3815" s="11">
        <v>3814.0</v>
      </c>
      <c r="B3815" s="12">
        <f t="shared" si="599"/>
        <v>40466</v>
      </c>
      <c r="C3815" s="11" t="s">
        <v>689</v>
      </c>
      <c r="D3815" s="11" t="s">
        <v>28</v>
      </c>
    </row>
    <row r="3816">
      <c r="A3816" s="11">
        <v>3815.0</v>
      </c>
      <c r="B3816" s="12">
        <f t="shared" si="599"/>
        <v>40466</v>
      </c>
      <c r="C3816" s="11" t="s">
        <v>689</v>
      </c>
      <c r="D3816" s="11" t="s">
        <v>28</v>
      </c>
    </row>
    <row r="3817">
      <c r="A3817" s="11">
        <v>3816.0</v>
      </c>
      <c r="B3817" s="12">
        <f t="shared" si="599"/>
        <v>40466</v>
      </c>
      <c r="C3817" s="11" t="s">
        <v>533</v>
      </c>
      <c r="D3817" s="11" t="s">
        <v>66</v>
      </c>
    </row>
    <row r="3818">
      <c r="A3818" s="11">
        <v>3817.0</v>
      </c>
      <c r="B3818" s="12">
        <f t="shared" si="599"/>
        <v>40466</v>
      </c>
      <c r="C3818" s="11" t="s">
        <v>533</v>
      </c>
      <c r="D3818" s="11" t="s">
        <v>28</v>
      </c>
    </row>
    <row r="3819">
      <c r="A3819" s="11">
        <v>3818.0</v>
      </c>
      <c r="B3819" s="12">
        <f t="shared" ref="B3819:B3825" si="600">DATE(2012,12,31)-807</f>
        <v>40467</v>
      </c>
      <c r="C3819" s="11" t="s">
        <v>2165</v>
      </c>
      <c r="D3819" s="11" t="s">
        <v>66</v>
      </c>
    </row>
    <row r="3820">
      <c r="A3820" s="11">
        <v>3819.0</v>
      </c>
      <c r="B3820" s="12">
        <f t="shared" si="600"/>
        <v>40467</v>
      </c>
      <c r="C3820" s="11" t="s">
        <v>1252</v>
      </c>
      <c r="D3820" s="11" t="s">
        <v>28</v>
      </c>
    </row>
    <row r="3821">
      <c r="A3821" s="11">
        <v>3820.0</v>
      </c>
      <c r="B3821" s="12">
        <f t="shared" si="600"/>
        <v>40467</v>
      </c>
      <c r="C3821" s="11" t="s">
        <v>1252</v>
      </c>
      <c r="D3821" s="11" t="s">
        <v>66</v>
      </c>
    </row>
    <row r="3822">
      <c r="A3822" s="11">
        <v>3821.0</v>
      </c>
      <c r="B3822" s="12">
        <f t="shared" si="600"/>
        <v>40467</v>
      </c>
      <c r="C3822" s="11" t="s">
        <v>1252</v>
      </c>
      <c r="D3822" s="11" t="s">
        <v>28</v>
      </c>
    </row>
    <row r="3823">
      <c r="A3823" s="11">
        <v>3822.0</v>
      </c>
      <c r="B3823" s="12">
        <f t="shared" si="600"/>
        <v>40467</v>
      </c>
      <c r="C3823" s="11" t="s">
        <v>2084</v>
      </c>
      <c r="D3823" s="11" t="s">
        <v>28</v>
      </c>
    </row>
    <row r="3824">
      <c r="A3824" s="11">
        <v>3823.0</v>
      </c>
      <c r="B3824" s="12">
        <f t="shared" si="600"/>
        <v>40467</v>
      </c>
      <c r="C3824" s="11" t="s">
        <v>873</v>
      </c>
      <c r="D3824" s="11" t="s">
        <v>49</v>
      </c>
    </row>
    <row r="3825">
      <c r="A3825" s="11">
        <v>3824.0</v>
      </c>
      <c r="B3825" s="12">
        <f t="shared" si="600"/>
        <v>40467</v>
      </c>
      <c r="C3825" s="11" t="s">
        <v>873</v>
      </c>
      <c r="D3825" s="11" t="s">
        <v>49</v>
      </c>
    </row>
    <row r="3826">
      <c r="A3826" s="11">
        <v>3825.0</v>
      </c>
      <c r="B3826" s="12">
        <f>DATE(2012,12,31)-806</f>
        <v>40468</v>
      </c>
      <c r="C3826" s="11" t="s">
        <v>239</v>
      </c>
      <c r="D3826" s="11" t="s">
        <v>49</v>
      </c>
    </row>
    <row r="3827">
      <c r="A3827" s="11">
        <v>3826.0</v>
      </c>
      <c r="B3827" s="12">
        <f t="shared" ref="B3827:B3832" si="601">DATE(2012,12,31)-805</f>
        <v>40469</v>
      </c>
      <c r="C3827" s="11" t="s">
        <v>1332</v>
      </c>
      <c r="D3827" s="11" t="s">
        <v>28</v>
      </c>
    </row>
    <row r="3828">
      <c r="A3828" s="11">
        <v>3827.0</v>
      </c>
      <c r="B3828" s="12">
        <f t="shared" si="601"/>
        <v>40469</v>
      </c>
      <c r="C3828" s="11" t="s">
        <v>1056</v>
      </c>
      <c r="D3828" s="11" t="s">
        <v>66</v>
      </c>
    </row>
    <row r="3829">
      <c r="A3829" s="11">
        <v>3828.0</v>
      </c>
      <c r="B3829" s="12">
        <f t="shared" si="601"/>
        <v>40469</v>
      </c>
      <c r="C3829" s="11" t="s">
        <v>2043</v>
      </c>
      <c r="D3829" s="11" t="s">
        <v>66</v>
      </c>
    </row>
    <row r="3830">
      <c r="A3830" s="11">
        <v>3829.0</v>
      </c>
      <c r="B3830" s="12">
        <f t="shared" si="601"/>
        <v>40469</v>
      </c>
      <c r="C3830" s="11" t="s">
        <v>253</v>
      </c>
      <c r="D3830" s="11" t="s">
        <v>28</v>
      </c>
    </row>
    <row r="3831">
      <c r="A3831" s="11">
        <v>3830.0</v>
      </c>
      <c r="B3831" s="12">
        <f t="shared" si="601"/>
        <v>40469</v>
      </c>
      <c r="C3831" s="11" t="s">
        <v>253</v>
      </c>
      <c r="D3831" s="11" t="s">
        <v>49</v>
      </c>
    </row>
    <row r="3832">
      <c r="A3832" s="11">
        <v>3831.0</v>
      </c>
      <c r="B3832" s="12">
        <f t="shared" si="601"/>
        <v>40469</v>
      </c>
      <c r="C3832" s="11" t="s">
        <v>253</v>
      </c>
      <c r="D3832" s="11" t="s">
        <v>28</v>
      </c>
    </row>
    <row r="3833">
      <c r="A3833" s="11">
        <v>3832.0</v>
      </c>
      <c r="B3833" s="12">
        <f t="shared" ref="B3833:B3835" si="602">DATE(2012,12,31)-804</f>
        <v>40470</v>
      </c>
      <c r="C3833" s="11" t="s">
        <v>366</v>
      </c>
      <c r="D3833" s="11" t="s">
        <v>28</v>
      </c>
    </row>
    <row r="3834">
      <c r="A3834" s="11">
        <v>3833.0</v>
      </c>
      <c r="B3834" s="12">
        <f t="shared" si="602"/>
        <v>40470</v>
      </c>
      <c r="C3834" s="11" t="s">
        <v>1133</v>
      </c>
      <c r="D3834" s="11" t="s">
        <v>28</v>
      </c>
    </row>
    <row r="3835">
      <c r="A3835" s="11">
        <v>3834.0</v>
      </c>
      <c r="B3835" s="12">
        <f t="shared" si="602"/>
        <v>40470</v>
      </c>
      <c r="C3835" s="11" t="s">
        <v>1989</v>
      </c>
      <c r="D3835" s="11" t="s">
        <v>28</v>
      </c>
    </row>
    <row r="3836">
      <c r="A3836" s="11">
        <v>3835.0</v>
      </c>
      <c r="B3836" s="12">
        <f t="shared" ref="B3836:B3843" si="603">DATE(2012,12,31)-803</f>
        <v>40471</v>
      </c>
      <c r="C3836" s="11" t="s">
        <v>1310</v>
      </c>
      <c r="D3836" s="11" t="s">
        <v>28</v>
      </c>
    </row>
    <row r="3837">
      <c r="A3837" s="11">
        <v>3836.0</v>
      </c>
      <c r="B3837" s="12">
        <f t="shared" si="603"/>
        <v>40471</v>
      </c>
      <c r="C3837" s="11" t="s">
        <v>1310</v>
      </c>
      <c r="D3837" s="11" t="s">
        <v>28</v>
      </c>
    </row>
    <row r="3838">
      <c r="A3838" s="11">
        <v>3837.0</v>
      </c>
      <c r="B3838" s="12">
        <f t="shared" si="603"/>
        <v>40471</v>
      </c>
      <c r="C3838" s="11" t="s">
        <v>1938</v>
      </c>
      <c r="D3838" s="11" t="s">
        <v>49</v>
      </c>
    </row>
    <row r="3839">
      <c r="A3839" s="11">
        <v>3838.0</v>
      </c>
      <c r="B3839" s="12">
        <f t="shared" si="603"/>
        <v>40471</v>
      </c>
      <c r="C3839" s="11" t="s">
        <v>1938</v>
      </c>
      <c r="D3839" s="11" t="s">
        <v>28</v>
      </c>
    </row>
    <row r="3840">
      <c r="A3840" s="11">
        <v>3839.0</v>
      </c>
      <c r="B3840" s="12">
        <f t="shared" si="603"/>
        <v>40471</v>
      </c>
      <c r="C3840" s="11" t="s">
        <v>494</v>
      </c>
      <c r="D3840" s="11" t="s">
        <v>66</v>
      </c>
    </row>
    <row r="3841">
      <c r="A3841" s="11">
        <v>3840.0</v>
      </c>
      <c r="B3841" s="12">
        <f t="shared" si="603"/>
        <v>40471</v>
      </c>
      <c r="C3841" s="11" t="s">
        <v>2232</v>
      </c>
      <c r="D3841" s="11" t="s">
        <v>49</v>
      </c>
    </row>
    <row r="3842">
      <c r="A3842" s="11">
        <v>3841.0</v>
      </c>
      <c r="B3842" s="12">
        <f t="shared" si="603"/>
        <v>40471</v>
      </c>
      <c r="C3842" s="11" t="s">
        <v>2183</v>
      </c>
      <c r="D3842" s="11" t="s">
        <v>28</v>
      </c>
    </row>
    <row r="3843">
      <c r="A3843" s="11">
        <v>3842.0</v>
      </c>
      <c r="B3843" s="12">
        <f t="shared" si="603"/>
        <v>40471</v>
      </c>
      <c r="C3843" s="11" t="s">
        <v>2183</v>
      </c>
      <c r="D3843" s="11" t="s">
        <v>28</v>
      </c>
    </row>
    <row r="3844">
      <c r="A3844" s="11">
        <v>3843.0</v>
      </c>
      <c r="B3844" s="12">
        <f t="shared" ref="B3844:B3846" si="604">DATE(2012,12,31)-802</f>
        <v>40472</v>
      </c>
      <c r="C3844" s="11" t="s">
        <v>1013</v>
      </c>
      <c r="D3844" s="11" t="s">
        <v>28</v>
      </c>
    </row>
    <row r="3845">
      <c r="A3845" s="11">
        <v>3844.0</v>
      </c>
      <c r="B3845" s="12">
        <f t="shared" si="604"/>
        <v>40472</v>
      </c>
      <c r="C3845" s="11" t="s">
        <v>1013</v>
      </c>
      <c r="D3845" s="11" t="s">
        <v>49</v>
      </c>
    </row>
    <row r="3846">
      <c r="A3846" s="11">
        <v>3845.0</v>
      </c>
      <c r="B3846" s="12">
        <f t="shared" si="604"/>
        <v>40472</v>
      </c>
      <c r="C3846" s="11" t="s">
        <v>525</v>
      </c>
      <c r="D3846" s="11" t="s">
        <v>28</v>
      </c>
    </row>
    <row r="3847">
      <c r="A3847" s="11">
        <v>3846.0</v>
      </c>
      <c r="B3847" s="12">
        <f t="shared" ref="B3847:B3854" si="605">DATE(2012,12,31)-801</f>
        <v>40473</v>
      </c>
      <c r="C3847" s="11" t="s">
        <v>1496</v>
      </c>
      <c r="D3847" s="11" t="s">
        <v>28</v>
      </c>
    </row>
    <row r="3848">
      <c r="A3848" s="11">
        <v>3847.0</v>
      </c>
      <c r="B3848" s="12">
        <f t="shared" si="605"/>
        <v>40473</v>
      </c>
      <c r="C3848" s="11" t="s">
        <v>1094</v>
      </c>
      <c r="D3848" s="11" t="s">
        <v>66</v>
      </c>
    </row>
    <row r="3849">
      <c r="A3849" s="11">
        <v>3848.0</v>
      </c>
      <c r="B3849" s="12">
        <f t="shared" si="605"/>
        <v>40473</v>
      </c>
      <c r="C3849" s="11" t="s">
        <v>1196</v>
      </c>
      <c r="D3849" s="11" t="s">
        <v>28</v>
      </c>
    </row>
    <row r="3850">
      <c r="A3850" s="11">
        <v>3849.0</v>
      </c>
      <c r="B3850" s="12">
        <f t="shared" si="605"/>
        <v>40473</v>
      </c>
      <c r="C3850" s="11" t="s">
        <v>648</v>
      </c>
      <c r="D3850" s="11" t="s">
        <v>28</v>
      </c>
    </row>
    <row r="3851">
      <c r="A3851" s="11">
        <v>3850.0</v>
      </c>
      <c r="B3851" s="12">
        <f t="shared" si="605"/>
        <v>40473</v>
      </c>
      <c r="C3851" s="11" t="s">
        <v>648</v>
      </c>
      <c r="D3851" s="11" t="s">
        <v>49</v>
      </c>
    </row>
    <row r="3852">
      <c r="A3852" s="11">
        <v>3851.0</v>
      </c>
      <c r="B3852" s="12">
        <f t="shared" si="605"/>
        <v>40473</v>
      </c>
      <c r="C3852" s="11" t="s">
        <v>648</v>
      </c>
      <c r="D3852" s="11" t="s">
        <v>28</v>
      </c>
    </row>
    <row r="3853">
      <c r="A3853" s="11">
        <v>3852.0</v>
      </c>
      <c r="B3853" s="12">
        <f t="shared" si="605"/>
        <v>40473</v>
      </c>
      <c r="C3853" s="11" t="s">
        <v>648</v>
      </c>
      <c r="D3853" s="11" t="s">
        <v>28</v>
      </c>
    </row>
    <row r="3854">
      <c r="A3854" s="11">
        <v>3853.0</v>
      </c>
      <c r="B3854" s="12">
        <f t="shared" si="605"/>
        <v>40473</v>
      </c>
      <c r="C3854" s="11" t="s">
        <v>648</v>
      </c>
      <c r="D3854" s="11" t="s">
        <v>49</v>
      </c>
    </row>
    <row r="3855">
      <c r="A3855" s="11">
        <v>3854.0</v>
      </c>
      <c r="B3855" s="12">
        <f t="shared" ref="B3855:B3863" si="606">DATE(2012,12,31)-800</f>
        <v>40474</v>
      </c>
      <c r="C3855" s="11" t="s">
        <v>1492</v>
      </c>
      <c r="D3855" s="11" t="s">
        <v>28</v>
      </c>
    </row>
    <row r="3856">
      <c r="A3856" s="11">
        <v>3855.0</v>
      </c>
      <c r="B3856" s="12">
        <f t="shared" si="606"/>
        <v>40474</v>
      </c>
      <c r="C3856" s="11" t="s">
        <v>2271</v>
      </c>
      <c r="D3856" s="11" t="s">
        <v>49</v>
      </c>
    </row>
    <row r="3857">
      <c r="A3857" s="11">
        <v>3856.0</v>
      </c>
      <c r="B3857" s="12">
        <f t="shared" si="606"/>
        <v>40474</v>
      </c>
      <c r="C3857" s="11" t="s">
        <v>2271</v>
      </c>
      <c r="D3857" s="11" t="s">
        <v>28</v>
      </c>
    </row>
    <row r="3858">
      <c r="A3858" s="11">
        <v>3857.0</v>
      </c>
      <c r="B3858" s="12">
        <f t="shared" si="606"/>
        <v>40474</v>
      </c>
      <c r="C3858" s="11" t="s">
        <v>2271</v>
      </c>
      <c r="D3858" s="11" t="s">
        <v>28</v>
      </c>
    </row>
    <row r="3859">
      <c r="A3859" s="11">
        <v>3858.0</v>
      </c>
      <c r="B3859" s="12">
        <f t="shared" si="606"/>
        <v>40474</v>
      </c>
      <c r="C3859" s="11" t="s">
        <v>2271</v>
      </c>
      <c r="D3859" s="11" t="s">
        <v>28</v>
      </c>
    </row>
    <row r="3860">
      <c r="A3860" s="11">
        <v>3859.0</v>
      </c>
      <c r="B3860" s="12">
        <f t="shared" si="606"/>
        <v>40474</v>
      </c>
      <c r="C3860" s="11" t="s">
        <v>2271</v>
      </c>
      <c r="D3860" s="11" t="s">
        <v>28</v>
      </c>
    </row>
    <row r="3861">
      <c r="A3861" s="11">
        <v>3860.0</v>
      </c>
      <c r="B3861" s="12">
        <f t="shared" si="606"/>
        <v>40474</v>
      </c>
      <c r="C3861" s="11" t="s">
        <v>1858</v>
      </c>
      <c r="D3861" s="11" t="s">
        <v>28</v>
      </c>
    </row>
    <row r="3862">
      <c r="A3862" s="11">
        <v>3861.0</v>
      </c>
      <c r="B3862" s="12">
        <f t="shared" si="606"/>
        <v>40474</v>
      </c>
      <c r="C3862" s="11" t="s">
        <v>1858</v>
      </c>
      <c r="D3862" s="11" t="s">
        <v>28</v>
      </c>
    </row>
    <row r="3863">
      <c r="A3863" s="11">
        <v>3862.0</v>
      </c>
      <c r="B3863" s="12">
        <f t="shared" si="606"/>
        <v>40474</v>
      </c>
      <c r="C3863" s="11" t="s">
        <v>1602</v>
      </c>
      <c r="D3863" s="11" t="s">
        <v>66</v>
      </c>
    </row>
    <row r="3864">
      <c r="A3864" s="11">
        <v>3863.0</v>
      </c>
      <c r="B3864" s="12">
        <f t="shared" ref="B3864:B3869" si="607">DATE(2012,12,31)-799</f>
        <v>40475</v>
      </c>
      <c r="C3864" s="11" t="s">
        <v>1941</v>
      </c>
      <c r="D3864" s="11" t="s">
        <v>28</v>
      </c>
    </row>
    <row r="3865">
      <c r="A3865" s="11">
        <v>3864.0</v>
      </c>
      <c r="B3865" s="12">
        <f t="shared" si="607"/>
        <v>40475</v>
      </c>
      <c r="C3865" s="11" t="s">
        <v>373</v>
      </c>
      <c r="D3865" s="11" t="s">
        <v>66</v>
      </c>
    </row>
    <row r="3866">
      <c r="A3866" s="11">
        <v>3865.0</v>
      </c>
      <c r="B3866" s="12">
        <f t="shared" si="607"/>
        <v>40475</v>
      </c>
      <c r="C3866" s="11" t="s">
        <v>373</v>
      </c>
      <c r="D3866" s="11" t="s">
        <v>28</v>
      </c>
    </row>
    <row r="3867">
      <c r="A3867" s="11">
        <v>3866.0</v>
      </c>
      <c r="B3867" s="12">
        <f t="shared" si="607"/>
        <v>40475</v>
      </c>
      <c r="C3867" s="11" t="s">
        <v>1405</v>
      </c>
      <c r="D3867" s="11" t="s">
        <v>28</v>
      </c>
    </row>
    <row r="3868">
      <c r="A3868" s="11">
        <v>3867.0</v>
      </c>
      <c r="B3868" s="12">
        <f t="shared" si="607"/>
        <v>40475</v>
      </c>
      <c r="C3868" s="11" t="s">
        <v>1405</v>
      </c>
      <c r="D3868" s="11" t="s">
        <v>28</v>
      </c>
    </row>
    <row r="3869">
      <c r="A3869" s="11">
        <v>3868.0</v>
      </c>
      <c r="B3869" s="12">
        <f t="shared" si="607"/>
        <v>40475</v>
      </c>
      <c r="C3869" s="11" t="s">
        <v>1024</v>
      </c>
      <c r="D3869" s="11" t="s">
        <v>28</v>
      </c>
    </row>
    <row r="3870">
      <c r="A3870" s="11">
        <v>3869.0</v>
      </c>
      <c r="B3870" s="12">
        <f t="shared" ref="B3870:B3872" si="608">DATE(2012,12,31)-798</f>
        <v>40476</v>
      </c>
      <c r="C3870" s="11" t="s">
        <v>1572</v>
      </c>
      <c r="D3870" s="11" t="s">
        <v>66</v>
      </c>
    </row>
    <row r="3871">
      <c r="A3871" s="11">
        <v>3870.0</v>
      </c>
      <c r="B3871" s="12">
        <f t="shared" si="608"/>
        <v>40476</v>
      </c>
      <c r="C3871" s="11" t="s">
        <v>1018</v>
      </c>
      <c r="D3871" s="11" t="s">
        <v>49</v>
      </c>
    </row>
    <row r="3872">
      <c r="A3872" s="11">
        <v>3871.0</v>
      </c>
      <c r="B3872" s="12">
        <f t="shared" si="608"/>
        <v>40476</v>
      </c>
      <c r="C3872" s="11" t="s">
        <v>1018</v>
      </c>
      <c r="D3872" s="11" t="s">
        <v>66</v>
      </c>
    </row>
    <row r="3873">
      <c r="A3873" s="11">
        <v>3872.0</v>
      </c>
      <c r="B3873" s="12">
        <f t="shared" ref="B3873:B3883" si="609">DATE(2012,12,31)-797</f>
        <v>40477</v>
      </c>
      <c r="C3873" s="11" t="s">
        <v>1664</v>
      </c>
      <c r="D3873" s="11" t="s">
        <v>28</v>
      </c>
    </row>
    <row r="3874">
      <c r="A3874" s="11">
        <v>3873.0</v>
      </c>
      <c r="B3874" s="12">
        <f t="shared" si="609"/>
        <v>40477</v>
      </c>
      <c r="C3874" s="11" t="s">
        <v>1664</v>
      </c>
      <c r="D3874" s="11" t="s">
        <v>66</v>
      </c>
    </row>
    <row r="3875">
      <c r="A3875" s="11">
        <v>3874.0</v>
      </c>
      <c r="B3875" s="12">
        <f t="shared" si="609"/>
        <v>40477</v>
      </c>
      <c r="C3875" s="11" t="s">
        <v>2039</v>
      </c>
      <c r="D3875" s="11" t="s">
        <v>28</v>
      </c>
    </row>
    <row r="3876">
      <c r="A3876" s="11">
        <v>3875.0</v>
      </c>
      <c r="B3876" s="12">
        <f t="shared" si="609"/>
        <v>40477</v>
      </c>
      <c r="C3876" s="11" t="s">
        <v>2039</v>
      </c>
      <c r="D3876" s="11" t="s">
        <v>49</v>
      </c>
    </row>
    <row r="3877">
      <c r="A3877" s="11">
        <v>3876.0</v>
      </c>
      <c r="B3877" s="12">
        <f t="shared" si="609"/>
        <v>40477</v>
      </c>
      <c r="C3877" s="11" t="s">
        <v>588</v>
      </c>
      <c r="D3877" s="11" t="s">
        <v>28</v>
      </c>
    </row>
    <row r="3878">
      <c r="A3878" s="11">
        <v>3877.0</v>
      </c>
      <c r="B3878" s="12">
        <f t="shared" si="609"/>
        <v>40477</v>
      </c>
      <c r="C3878" s="11" t="s">
        <v>588</v>
      </c>
      <c r="D3878" s="11" t="s">
        <v>49</v>
      </c>
    </row>
    <row r="3879">
      <c r="A3879" s="11">
        <v>3878.0</v>
      </c>
      <c r="B3879" s="12">
        <f t="shared" si="609"/>
        <v>40477</v>
      </c>
      <c r="C3879" s="11" t="s">
        <v>196</v>
      </c>
      <c r="D3879" s="11" t="s">
        <v>28</v>
      </c>
    </row>
    <row r="3880">
      <c r="A3880" s="11">
        <v>3879.0</v>
      </c>
      <c r="B3880" s="12">
        <f t="shared" si="609"/>
        <v>40477</v>
      </c>
      <c r="C3880" s="11" t="s">
        <v>196</v>
      </c>
      <c r="D3880" s="11" t="s">
        <v>28</v>
      </c>
    </row>
    <row r="3881">
      <c r="A3881" s="11">
        <v>3880.0</v>
      </c>
      <c r="B3881" s="12">
        <f t="shared" si="609"/>
        <v>40477</v>
      </c>
      <c r="C3881" s="11" t="s">
        <v>196</v>
      </c>
      <c r="D3881" s="11" t="s">
        <v>49</v>
      </c>
    </row>
    <row r="3882">
      <c r="A3882" s="11">
        <v>3881.0</v>
      </c>
      <c r="B3882" s="12">
        <f t="shared" si="609"/>
        <v>40477</v>
      </c>
      <c r="C3882" s="11" t="s">
        <v>2086</v>
      </c>
      <c r="D3882" s="11" t="s">
        <v>49</v>
      </c>
    </row>
    <row r="3883">
      <c r="A3883" s="11">
        <v>3882.0</v>
      </c>
      <c r="B3883" s="12">
        <f t="shared" si="609"/>
        <v>40477</v>
      </c>
      <c r="C3883" s="11" t="s">
        <v>673</v>
      </c>
      <c r="D3883" s="11" t="s">
        <v>28</v>
      </c>
    </row>
    <row r="3884">
      <c r="A3884" s="11">
        <v>3883.0</v>
      </c>
      <c r="B3884" s="12">
        <f t="shared" ref="B3884:B3886" si="610">DATE(2012,12,31)-796</f>
        <v>40478</v>
      </c>
      <c r="C3884" s="11" t="s">
        <v>456</v>
      </c>
      <c r="D3884" s="11" t="s">
        <v>28</v>
      </c>
    </row>
    <row r="3885">
      <c r="A3885" s="11">
        <v>3884.0</v>
      </c>
      <c r="B3885" s="12">
        <f t="shared" si="610"/>
        <v>40478</v>
      </c>
      <c r="C3885" s="11" t="s">
        <v>1222</v>
      </c>
      <c r="D3885" s="11" t="s">
        <v>28</v>
      </c>
    </row>
    <row r="3886">
      <c r="A3886" s="11">
        <v>3885.0</v>
      </c>
      <c r="B3886" s="12">
        <f t="shared" si="610"/>
        <v>40478</v>
      </c>
      <c r="C3886" s="11" t="s">
        <v>1222</v>
      </c>
      <c r="D3886" s="11" t="s">
        <v>28</v>
      </c>
    </row>
    <row r="3887">
      <c r="A3887" s="11">
        <v>3886.0</v>
      </c>
      <c r="B3887" s="12">
        <f>DATE(2012,12,31)-795</f>
        <v>40479</v>
      </c>
      <c r="C3887" s="11" t="s">
        <v>2295</v>
      </c>
      <c r="D3887" s="11" t="s">
        <v>28</v>
      </c>
    </row>
    <row r="3888">
      <c r="A3888" s="11">
        <v>3887.0</v>
      </c>
      <c r="B3888" s="12">
        <f t="shared" ref="B3888:B3895" si="611">DATE(2012,12,31)-794</f>
        <v>40480</v>
      </c>
      <c r="C3888" s="11" t="s">
        <v>879</v>
      </c>
      <c r="D3888" s="11" t="s">
        <v>66</v>
      </c>
    </row>
    <row r="3889">
      <c r="A3889" s="11">
        <v>3888.0</v>
      </c>
      <c r="B3889" s="12">
        <f t="shared" si="611"/>
        <v>40480</v>
      </c>
      <c r="C3889" s="11" t="s">
        <v>879</v>
      </c>
      <c r="D3889" s="11" t="s">
        <v>49</v>
      </c>
    </row>
    <row r="3890">
      <c r="A3890" s="11">
        <v>3889.0</v>
      </c>
      <c r="B3890" s="12">
        <f t="shared" si="611"/>
        <v>40480</v>
      </c>
      <c r="C3890" s="11" t="s">
        <v>535</v>
      </c>
      <c r="D3890" s="11" t="s">
        <v>28</v>
      </c>
    </row>
    <row r="3891">
      <c r="A3891" s="11">
        <v>3890.0</v>
      </c>
      <c r="B3891" s="12">
        <f t="shared" si="611"/>
        <v>40480</v>
      </c>
      <c r="C3891" s="11" t="s">
        <v>535</v>
      </c>
      <c r="D3891" s="11" t="s">
        <v>28</v>
      </c>
    </row>
    <row r="3892">
      <c r="A3892" s="11">
        <v>3891.0</v>
      </c>
      <c r="B3892" s="12">
        <f t="shared" si="611"/>
        <v>40480</v>
      </c>
      <c r="C3892" s="11" t="s">
        <v>535</v>
      </c>
      <c r="D3892" s="11" t="s">
        <v>28</v>
      </c>
    </row>
    <row r="3893">
      <c r="A3893" s="11">
        <v>3892.0</v>
      </c>
      <c r="B3893" s="12">
        <f t="shared" si="611"/>
        <v>40480</v>
      </c>
      <c r="C3893" s="11" t="s">
        <v>1903</v>
      </c>
      <c r="D3893" s="11" t="s">
        <v>28</v>
      </c>
    </row>
    <row r="3894">
      <c r="A3894" s="11">
        <v>3893.0</v>
      </c>
      <c r="B3894" s="12">
        <f t="shared" si="611"/>
        <v>40480</v>
      </c>
      <c r="C3894" s="11" t="s">
        <v>2185</v>
      </c>
      <c r="D3894" s="11" t="s">
        <v>49</v>
      </c>
    </row>
    <row r="3895">
      <c r="A3895" s="11">
        <v>3894.0</v>
      </c>
      <c r="B3895" s="12">
        <f t="shared" si="611"/>
        <v>40480</v>
      </c>
      <c r="C3895" s="11" t="s">
        <v>823</v>
      </c>
      <c r="D3895" s="11" t="s">
        <v>28</v>
      </c>
    </row>
    <row r="3896">
      <c r="A3896" s="11">
        <v>3895.0</v>
      </c>
      <c r="B3896" s="12">
        <f t="shared" ref="B3896:B3905" si="612">DATE(2012,12,31)-793</f>
        <v>40481</v>
      </c>
      <c r="C3896" s="11" t="s">
        <v>2391</v>
      </c>
      <c r="D3896" s="11" t="s">
        <v>49</v>
      </c>
    </row>
    <row r="3897">
      <c r="A3897" s="11">
        <v>3896.0</v>
      </c>
      <c r="B3897" s="12">
        <f t="shared" si="612"/>
        <v>40481</v>
      </c>
      <c r="C3897" s="11" t="s">
        <v>2391</v>
      </c>
      <c r="D3897" s="11" t="s">
        <v>28</v>
      </c>
    </row>
    <row r="3898">
      <c r="A3898" s="11">
        <v>3897.0</v>
      </c>
      <c r="B3898" s="12">
        <f t="shared" si="612"/>
        <v>40481</v>
      </c>
      <c r="C3898" s="11" t="s">
        <v>563</v>
      </c>
      <c r="D3898" s="11" t="s">
        <v>28</v>
      </c>
    </row>
    <row r="3899">
      <c r="A3899" s="11">
        <v>3898.0</v>
      </c>
      <c r="B3899" s="12">
        <f t="shared" si="612"/>
        <v>40481</v>
      </c>
      <c r="C3899" s="11" t="s">
        <v>563</v>
      </c>
      <c r="D3899" s="11" t="s">
        <v>28</v>
      </c>
    </row>
    <row r="3900">
      <c r="A3900" s="11">
        <v>3899.0</v>
      </c>
      <c r="B3900" s="12">
        <f t="shared" si="612"/>
        <v>40481</v>
      </c>
      <c r="C3900" s="11" t="s">
        <v>563</v>
      </c>
      <c r="D3900" s="11" t="s">
        <v>28</v>
      </c>
    </row>
    <row r="3901">
      <c r="A3901" s="11">
        <v>3900.0</v>
      </c>
      <c r="B3901" s="12">
        <f t="shared" si="612"/>
        <v>40481</v>
      </c>
      <c r="C3901" s="11" t="s">
        <v>563</v>
      </c>
      <c r="D3901" s="11" t="s">
        <v>28</v>
      </c>
    </row>
    <row r="3902">
      <c r="A3902" s="11">
        <v>3901.0</v>
      </c>
      <c r="B3902" s="12">
        <f t="shared" si="612"/>
        <v>40481</v>
      </c>
      <c r="C3902" s="11" t="s">
        <v>681</v>
      </c>
      <c r="D3902" s="11" t="s">
        <v>28</v>
      </c>
    </row>
    <row r="3903">
      <c r="A3903" s="11">
        <v>3902.0</v>
      </c>
      <c r="B3903" s="12">
        <f t="shared" si="612"/>
        <v>40481</v>
      </c>
      <c r="C3903" s="11" t="s">
        <v>703</v>
      </c>
      <c r="D3903" s="11" t="s">
        <v>28</v>
      </c>
    </row>
    <row r="3904">
      <c r="A3904" s="11">
        <v>3903.0</v>
      </c>
      <c r="B3904" s="12">
        <f t="shared" si="612"/>
        <v>40481</v>
      </c>
      <c r="C3904" s="11" t="s">
        <v>703</v>
      </c>
      <c r="D3904" s="11" t="s">
        <v>28</v>
      </c>
    </row>
    <row r="3905">
      <c r="A3905" s="11">
        <v>3904.0</v>
      </c>
      <c r="B3905" s="12">
        <f t="shared" si="612"/>
        <v>40481</v>
      </c>
      <c r="C3905" s="11" t="s">
        <v>602</v>
      </c>
      <c r="D3905" s="11" t="s">
        <v>28</v>
      </c>
    </row>
    <row r="3906">
      <c r="A3906" s="11">
        <v>3905.0</v>
      </c>
      <c r="B3906" s="12">
        <f t="shared" ref="B3906:B3914" si="613">DATE(2012,12,31)-792</f>
        <v>40482</v>
      </c>
      <c r="C3906" s="11" t="s">
        <v>340</v>
      </c>
      <c r="D3906" s="11" t="s">
        <v>49</v>
      </c>
    </row>
    <row r="3907">
      <c r="A3907" s="11">
        <v>3906.0</v>
      </c>
      <c r="B3907" s="12">
        <f t="shared" si="613"/>
        <v>40482</v>
      </c>
      <c r="C3907" s="11" t="s">
        <v>1061</v>
      </c>
      <c r="D3907" s="11" t="s">
        <v>49</v>
      </c>
    </row>
    <row r="3908">
      <c r="A3908" s="11">
        <v>3907.0</v>
      </c>
      <c r="B3908" s="12">
        <f t="shared" si="613"/>
        <v>40482</v>
      </c>
      <c r="C3908" s="11" t="s">
        <v>1061</v>
      </c>
      <c r="D3908" s="11" t="s">
        <v>66</v>
      </c>
    </row>
    <row r="3909">
      <c r="A3909" s="11">
        <v>3908.0</v>
      </c>
      <c r="B3909" s="12">
        <f t="shared" si="613"/>
        <v>40482</v>
      </c>
      <c r="C3909" s="11" t="s">
        <v>1061</v>
      </c>
      <c r="D3909" s="11" t="s">
        <v>66</v>
      </c>
    </row>
    <row r="3910">
      <c r="A3910" s="11">
        <v>3909.0</v>
      </c>
      <c r="B3910" s="12">
        <f t="shared" si="613"/>
        <v>40482</v>
      </c>
      <c r="C3910" s="11" t="s">
        <v>2009</v>
      </c>
      <c r="D3910" s="11" t="s">
        <v>28</v>
      </c>
    </row>
    <row r="3911">
      <c r="A3911" s="11">
        <v>3910.0</v>
      </c>
      <c r="B3911" s="12">
        <f t="shared" si="613"/>
        <v>40482</v>
      </c>
      <c r="C3911" s="11" t="s">
        <v>2009</v>
      </c>
      <c r="D3911" s="11" t="s">
        <v>28</v>
      </c>
    </row>
    <row r="3912">
      <c r="A3912" s="11">
        <v>3911.0</v>
      </c>
      <c r="B3912" s="12">
        <f t="shared" si="613"/>
        <v>40482</v>
      </c>
      <c r="C3912" s="11" t="s">
        <v>2441</v>
      </c>
      <c r="D3912" s="11" t="s">
        <v>28</v>
      </c>
    </row>
    <row r="3913">
      <c r="A3913" s="11">
        <v>3912.0</v>
      </c>
      <c r="B3913" s="12">
        <f t="shared" si="613"/>
        <v>40482</v>
      </c>
      <c r="C3913" s="11" t="s">
        <v>1210</v>
      </c>
      <c r="D3913" s="11" t="s">
        <v>66</v>
      </c>
    </row>
    <row r="3914">
      <c r="A3914" s="11">
        <v>3913.0</v>
      </c>
      <c r="B3914" s="12">
        <f t="shared" si="613"/>
        <v>40482</v>
      </c>
      <c r="C3914" s="11" t="s">
        <v>1636</v>
      </c>
      <c r="D3914" s="11" t="s">
        <v>49</v>
      </c>
    </row>
    <row r="3915">
      <c r="A3915" s="11">
        <v>3914.0</v>
      </c>
      <c r="B3915" s="12">
        <f t="shared" ref="B3915:B3925" si="614">DATE(2012,12,31)-791</f>
        <v>40483</v>
      </c>
      <c r="C3915" s="11" t="s">
        <v>1636</v>
      </c>
      <c r="D3915" s="11" t="s">
        <v>28</v>
      </c>
    </row>
    <row r="3916">
      <c r="A3916" s="11">
        <v>3915.0</v>
      </c>
      <c r="B3916" s="12">
        <f t="shared" si="614"/>
        <v>40483</v>
      </c>
      <c r="C3916" s="11" t="s">
        <v>525</v>
      </c>
      <c r="D3916" s="11" t="s">
        <v>66</v>
      </c>
    </row>
    <row r="3917">
      <c r="A3917" s="11">
        <v>3916.0</v>
      </c>
      <c r="B3917" s="12">
        <f t="shared" si="614"/>
        <v>40483</v>
      </c>
      <c r="C3917" s="11" t="s">
        <v>525</v>
      </c>
      <c r="D3917" s="11" t="s">
        <v>66</v>
      </c>
    </row>
    <row r="3918">
      <c r="A3918" s="11">
        <v>3917.0</v>
      </c>
      <c r="B3918" s="12">
        <f t="shared" si="614"/>
        <v>40483</v>
      </c>
      <c r="C3918" s="11" t="s">
        <v>2402</v>
      </c>
      <c r="D3918" s="11" t="s">
        <v>28</v>
      </c>
    </row>
    <row r="3919">
      <c r="A3919" s="11">
        <v>3918.0</v>
      </c>
      <c r="B3919" s="12">
        <f t="shared" si="614"/>
        <v>40483</v>
      </c>
      <c r="C3919" s="11" t="s">
        <v>2043</v>
      </c>
      <c r="D3919" s="11" t="s">
        <v>28</v>
      </c>
    </row>
    <row r="3920">
      <c r="A3920" s="11">
        <v>3919.0</v>
      </c>
      <c r="B3920" s="12">
        <f t="shared" si="614"/>
        <v>40483</v>
      </c>
      <c r="C3920" s="11" t="s">
        <v>2043</v>
      </c>
      <c r="D3920" s="11" t="s">
        <v>66</v>
      </c>
    </row>
    <row r="3921">
      <c r="A3921" s="11">
        <v>3920.0</v>
      </c>
      <c r="B3921" s="12">
        <f t="shared" si="614"/>
        <v>40483</v>
      </c>
      <c r="C3921" s="11" t="s">
        <v>2043</v>
      </c>
      <c r="D3921" s="11" t="s">
        <v>28</v>
      </c>
    </row>
    <row r="3922">
      <c r="A3922" s="11">
        <v>3921.0</v>
      </c>
      <c r="B3922" s="12">
        <f t="shared" si="614"/>
        <v>40483</v>
      </c>
      <c r="C3922" s="11" t="s">
        <v>2043</v>
      </c>
      <c r="D3922" s="11" t="s">
        <v>66</v>
      </c>
    </row>
    <row r="3923">
      <c r="A3923" s="11">
        <v>3922.0</v>
      </c>
      <c r="B3923" s="12">
        <f t="shared" si="614"/>
        <v>40483</v>
      </c>
      <c r="C3923" s="11" t="s">
        <v>2043</v>
      </c>
      <c r="D3923" s="11" t="s">
        <v>28</v>
      </c>
    </row>
    <row r="3924">
      <c r="A3924" s="11">
        <v>3923.0</v>
      </c>
      <c r="B3924" s="12">
        <f t="shared" si="614"/>
        <v>40483</v>
      </c>
      <c r="C3924" s="11" t="s">
        <v>2043</v>
      </c>
      <c r="D3924" s="11" t="s">
        <v>28</v>
      </c>
    </row>
    <row r="3925">
      <c r="A3925" s="11">
        <v>3924.0</v>
      </c>
      <c r="B3925" s="12">
        <f t="shared" si="614"/>
        <v>40483</v>
      </c>
      <c r="C3925" s="11" t="s">
        <v>803</v>
      </c>
      <c r="D3925" s="11" t="s">
        <v>28</v>
      </c>
    </row>
    <row r="3926">
      <c r="A3926" s="11">
        <v>3925.0</v>
      </c>
      <c r="B3926" s="12">
        <f t="shared" ref="B3926:B3928" si="615">DATE(2012,12,31)-789</f>
        <v>40485</v>
      </c>
      <c r="C3926" s="11" t="s">
        <v>613</v>
      </c>
      <c r="D3926" s="11" t="s">
        <v>28</v>
      </c>
    </row>
    <row r="3927">
      <c r="A3927" s="11">
        <v>3926.0</v>
      </c>
      <c r="B3927" s="12">
        <f t="shared" si="615"/>
        <v>40485</v>
      </c>
      <c r="C3927" s="11" t="s">
        <v>613</v>
      </c>
      <c r="D3927" s="11" t="s">
        <v>28</v>
      </c>
    </row>
    <row r="3928">
      <c r="A3928" s="11">
        <v>3927.0</v>
      </c>
      <c r="B3928" s="12">
        <f t="shared" si="615"/>
        <v>40485</v>
      </c>
      <c r="C3928" s="11" t="s">
        <v>711</v>
      </c>
      <c r="D3928" s="11" t="s">
        <v>66</v>
      </c>
    </row>
    <row r="3929">
      <c r="A3929" s="11">
        <v>3928.0</v>
      </c>
      <c r="B3929" s="12">
        <f t="shared" ref="B3929:B3935" si="616">DATE(2012,12,31)-788</f>
        <v>40486</v>
      </c>
      <c r="C3929" s="11" t="s">
        <v>2472</v>
      </c>
      <c r="D3929" s="11" t="s">
        <v>49</v>
      </c>
    </row>
    <row r="3930">
      <c r="A3930" s="11">
        <v>3929.0</v>
      </c>
      <c r="B3930" s="12">
        <f t="shared" si="616"/>
        <v>40486</v>
      </c>
      <c r="C3930" s="11" t="s">
        <v>878</v>
      </c>
      <c r="D3930" s="11" t="s">
        <v>28</v>
      </c>
    </row>
    <row r="3931">
      <c r="A3931" s="11">
        <v>3930.0</v>
      </c>
      <c r="B3931" s="12">
        <f t="shared" si="616"/>
        <v>40486</v>
      </c>
      <c r="C3931" s="11" t="s">
        <v>2384</v>
      </c>
      <c r="D3931" s="11" t="s">
        <v>49</v>
      </c>
    </row>
    <row r="3932">
      <c r="A3932" s="11">
        <v>3931.0</v>
      </c>
      <c r="B3932" s="12">
        <f t="shared" si="616"/>
        <v>40486</v>
      </c>
      <c r="C3932" s="11" t="s">
        <v>2384</v>
      </c>
      <c r="D3932" s="11" t="s">
        <v>28</v>
      </c>
    </row>
    <row r="3933">
      <c r="A3933" s="11">
        <v>3932.0</v>
      </c>
      <c r="B3933" s="12">
        <f t="shared" si="616"/>
        <v>40486</v>
      </c>
      <c r="C3933" s="11" t="s">
        <v>2384</v>
      </c>
      <c r="D3933" s="11" t="s">
        <v>66</v>
      </c>
    </row>
    <row r="3934">
      <c r="A3934" s="11">
        <v>3933.0</v>
      </c>
      <c r="B3934" s="12">
        <f t="shared" si="616"/>
        <v>40486</v>
      </c>
      <c r="C3934" s="11" t="s">
        <v>1550</v>
      </c>
      <c r="D3934" s="11" t="s">
        <v>28</v>
      </c>
    </row>
    <row r="3935">
      <c r="A3935" s="11">
        <v>3934.0</v>
      </c>
      <c r="B3935" s="12">
        <f t="shared" si="616"/>
        <v>40486</v>
      </c>
      <c r="C3935" s="11" t="s">
        <v>1623</v>
      </c>
      <c r="D3935" s="11" t="s">
        <v>66</v>
      </c>
    </row>
    <row r="3936">
      <c r="A3936" s="11">
        <v>3935.0</v>
      </c>
      <c r="B3936" s="12">
        <f t="shared" ref="B3936:B3939" si="617">DATE(2012,12,31)-787</f>
        <v>40487</v>
      </c>
      <c r="C3936" s="11" t="s">
        <v>1221</v>
      </c>
      <c r="D3936" s="11" t="s">
        <v>28</v>
      </c>
    </row>
    <row r="3937">
      <c r="A3937" s="11">
        <v>3936.0</v>
      </c>
      <c r="B3937" s="12">
        <f t="shared" si="617"/>
        <v>40487</v>
      </c>
      <c r="C3937" s="11" t="s">
        <v>1221</v>
      </c>
      <c r="D3937" s="11" t="s">
        <v>28</v>
      </c>
    </row>
    <row r="3938">
      <c r="A3938" s="11">
        <v>3937.0</v>
      </c>
      <c r="B3938" s="12">
        <f t="shared" si="617"/>
        <v>40487</v>
      </c>
      <c r="C3938" s="11" t="s">
        <v>1507</v>
      </c>
      <c r="D3938" s="11" t="s">
        <v>28</v>
      </c>
    </row>
    <row r="3939">
      <c r="A3939" s="11">
        <v>3938.0</v>
      </c>
      <c r="B3939" s="12">
        <f t="shared" si="617"/>
        <v>40487</v>
      </c>
      <c r="C3939" s="11" t="s">
        <v>823</v>
      </c>
      <c r="D3939" s="11" t="s">
        <v>28</v>
      </c>
    </row>
    <row r="3940">
      <c r="A3940" s="11">
        <v>3939.0</v>
      </c>
      <c r="B3940" s="12">
        <f t="shared" ref="B3940:B3945" si="618">DATE(2012,12,31)-786</f>
        <v>40488</v>
      </c>
      <c r="C3940" s="11" t="s">
        <v>2475</v>
      </c>
      <c r="D3940" s="11" t="s">
        <v>49</v>
      </c>
    </row>
    <row r="3941">
      <c r="A3941" s="11">
        <v>3940.0</v>
      </c>
      <c r="B3941" s="12">
        <f t="shared" si="618"/>
        <v>40488</v>
      </c>
      <c r="C3941" s="11" t="s">
        <v>1472</v>
      </c>
      <c r="D3941" s="11" t="s">
        <v>28</v>
      </c>
    </row>
    <row r="3942">
      <c r="A3942" s="11">
        <v>3941.0</v>
      </c>
      <c r="B3942" s="12">
        <f t="shared" si="618"/>
        <v>40488</v>
      </c>
      <c r="C3942" s="11" t="s">
        <v>567</v>
      </c>
      <c r="D3942" s="11" t="s">
        <v>28</v>
      </c>
    </row>
    <row r="3943">
      <c r="A3943" s="11">
        <v>3942.0</v>
      </c>
      <c r="B3943" s="12">
        <f t="shared" si="618"/>
        <v>40488</v>
      </c>
      <c r="C3943" s="11" t="s">
        <v>567</v>
      </c>
      <c r="D3943" s="11" t="s">
        <v>28</v>
      </c>
    </row>
    <row r="3944">
      <c r="A3944" s="11">
        <v>3943.0</v>
      </c>
      <c r="B3944" s="12">
        <f t="shared" si="618"/>
        <v>40488</v>
      </c>
      <c r="C3944" s="11" t="s">
        <v>567</v>
      </c>
      <c r="D3944" s="11" t="s">
        <v>28</v>
      </c>
    </row>
    <row r="3945">
      <c r="A3945" s="11">
        <v>3944.0</v>
      </c>
      <c r="B3945" s="12">
        <f t="shared" si="618"/>
        <v>40488</v>
      </c>
      <c r="C3945" s="11" t="s">
        <v>567</v>
      </c>
      <c r="D3945" s="11" t="s">
        <v>28</v>
      </c>
    </row>
    <row r="3946">
      <c r="A3946" s="11">
        <v>3945.0</v>
      </c>
      <c r="B3946" s="12">
        <f t="shared" ref="B3946:B3948" si="619">DATE(2012,12,31)-785</f>
        <v>40489</v>
      </c>
      <c r="C3946" s="11" t="s">
        <v>910</v>
      </c>
      <c r="D3946" s="11" t="s">
        <v>28</v>
      </c>
    </row>
    <row r="3947">
      <c r="A3947" s="11">
        <v>3946.0</v>
      </c>
      <c r="B3947" s="12">
        <f t="shared" si="619"/>
        <v>40489</v>
      </c>
      <c r="C3947" s="11" t="s">
        <v>1240</v>
      </c>
      <c r="D3947" s="11" t="s">
        <v>28</v>
      </c>
    </row>
    <row r="3948">
      <c r="A3948" s="11">
        <v>3947.0</v>
      </c>
      <c r="B3948" s="12">
        <f t="shared" si="619"/>
        <v>40489</v>
      </c>
      <c r="C3948" s="11" t="s">
        <v>2476</v>
      </c>
      <c r="D3948" s="11" t="s">
        <v>28</v>
      </c>
    </row>
    <row r="3949">
      <c r="A3949" s="11">
        <v>3948.0</v>
      </c>
      <c r="B3949" s="12">
        <f t="shared" ref="B3949:B3955" si="620">DATE(2012,12,31)-784</f>
        <v>40490</v>
      </c>
      <c r="C3949" s="11" t="s">
        <v>353</v>
      </c>
      <c r="D3949" s="11" t="s">
        <v>28</v>
      </c>
    </row>
    <row r="3950">
      <c r="A3950" s="11">
        <v>3949.0</v>
      </c>
      <c r="B3950" s="12">
        <f t="shared" si="620"/>
        <v>40490</v>
      </c>
      <c r="C3950" s="11" t="s">
        <v>1906</v>
      </c>
      <c r="D3950" s="11" t="s">
        <v>66</v>
      </c>
    </row>
    <row r="3951">
      <c r="A3951" s="11">
        <v>3950.0</v>
      </c>
      <c r="B3951" s="12">
        <f t="shared" si="620"/>
        <v>40490</v>
      </c>
      <c r="C3951" s="11" t="s">
        <v>1906</v>
      </c>
      <c r="D3951" s="11" t="s">
        <v>49</v>
      </c>
    </row>
    <row r="3952">
      <c r="A3952" s="11">
        <v>3951.0</v>
      </c>
      <c r="B3952" s="12">
        <f t="shared" si="620"/>
        <v>40490</v>
      </c>
      <c r="C3952" s="11" t="s">
        <v>1907</v>
      </c>
      <c r="D3952" s="11" t="s">
        <v>28</v>
      </c>
    </row>
    <row r="3953">
      <c r="A3953" s="11">
        <v>3952.0</v>
      </c>
      <c r="B3953" s="12">
        <f t="shared" si="620"/>
        <v>40490</v>
      </c>
      <c r="C3953" s="11" t="s">
        <v>1907</v>
      </c>
      <c r="D3953" s="11" t="s">
        <v>66</v>
      </c>
    </row>
    <row r="3954">
      <c r="A3954" s="11">
        <v>3953.0</v>
      </c>
      <c r="B3954" s="12">
        <f t="shared" si="620"/>
        <v>40490</v>
      </c>
      <c r="C3954" s="11" t="s">
        <v>1907</v>
      </c>
      <c r="D3954" s="11" t="s">
        <v>28</v>
      </c>
    </row>
    <row r="3955">
      <c r="A3955" s="11">
        <v>3954.0</v>
      </c>
      <c r="B3955" s="12">
        <f t="shared" si="620"/>
        <v>40490</v>
      </c>
      <c r="C3955" s="11" t="s">
        <v>1972</v>
      </c>
      <c r="D3955" s="11" t="s">
        <v>28</v>
      </c>
    </row>
    <row r="3956">
      <c r="A3956" s="11">
        <v>3955.0</v>
      </c>
      <c r="B3956" s="12">
        <f t="shared" ref="B3956:B3964" si="621">DATE(2012,12,31)-783</f>
        <v>40491</v>
      </c>
      <c r="C3956" s="11" t="s">
        <v>1476</v>
      </c>
      <c r="D3956" s="11" t="s">
        <v>28</v>
      </c>
    </row>
    <row r="3957">
      <c r="A3957" s="11">
        <v>3956.0</v>
      </c>
      <c r="B3957" s="12">
        <f t="shared" si="621"/>
        <v>40491</v>
      </c>
      <c r="C3957" s="11" t="s">
        <v>1811</v>
      </c>
      <c r="D3957" s="11" t="s">
        <v>49</v>
      </c>
    </row>
    <row r="3958">
      <c r="A3958" s="11">
        <v>3957.0</v>
      </c>
      <c r="B3958" s="12">
        <f t="shared" si="621"/>
        <v>40491</v>
      </c>
      <c r="C3958" s="11" t="s">
        <v>392</v>
      </c>
      <c r="D3958" s="11" t="s">
        <v>28</v>
      </c>
    </row>
    <row r="3959">
      <c r="A3959" s="11">
        <v>3958.0</v>
      </c>
      <c r="B3959" s="12">
        <f t="shared" si="621"/>
        <v>40491</v>
      </c>
      <c r="C3959" s="11" t="s">
        <v>392</v>
      </c>
      <c r="D3959" s="11" t="s">
        <v>66</v>
      </c>
    </row>
    <row r="3960">
      <c r="A3960" s="11">
        <v>3959.0</v>
      </c>
      <c r="B3960" s="12">
        <f t="shared" si="621"/>
        <v>40491</v>
      </c>
      <c r="C3960" s="11" t="s">
        <v>1901</v>
      </c>
      <c r="D3960" s="11" t="s">
        <v>28</v>
      </c>
    </row>
    <row r="3961">
      <c r="A3961" s="11">
        <v>3960.0</v>
      </c>
      <c r="B3961" s="12">
        <f t="shared" si="621"/>
        <v>40491</v>
      </c>
      <c r="C3961" s="11" t="s">
        <v>1681</v>
      </c>
      <c r="D3961" s="11" t="s">
        <v>66</v>
      </c>
    </row>
    <row r="3962">
      <c r="A3962" s="11">
        <v>3961.0</v>
      </c>
      <c r="B3962" s="12">
        <f t="shared" si="621"/>
        <v>40491</v>
      </c>
      <c r="C3962" s="11" t="s">
        <v>1543</v>
      </c>
      <c r="D3962" s="11" t="s">
        <v>28</v>
      </c>
    </row>
    <row r="3963">
      <c r="A3963" s="11">
        <v>3962.0</v>
      </c>
      <c r="B3963" s="12">
        <f t="shared" si="621"/>
        <v>40491</v>
      </c>
      <c r="C3963" s="11" t="s">
        <v>659</v>
      </c>
      <c r="D3963" s="11" t="s">
        <v>49</v>
      </c>
    </row>
    <row r="3964">
      <c r="A3964" s="11">
        <v>3963.0</v>
      </c>
      <c r="B3964" s="12">
        <f t="shared" si="621"/>
        <v>40491</v>
      </c>
      <c r="C3964" s="11" t="s">
        <v>1240</v>
      </c>
      <c r="D3964" s="11" t="s">
        <v>28</v>
      </c>
    </row>
    <row r="3965">
      <c r="A3965" s="11">
        <v>3964.0</v>
      </c>
      <c r="B3965" s="12">
        <f t="shared" ref="B3965:B3966" si="622">DATE(2012,12,31)-782</f>
        <v>40492</v>
      </c>
      <c r="C3965" s="11" t="s">
        <v>1546</v>
      </c>
      <c r="D3965" s="11" t="s">
        <v>28</v>
      </c>
    </row>
    <row r="3966">
      <c r="A3966" s="11">
        <v>3965.0</v>
      </c>
      <c r="B3966" s="12">
        <f t="shared" si="622"/>
        <v>40492</v>
      </c>
      <c r="C3966" s="11" t="s">
        <v>1235</v>
      </c>
      <c r="D3966" s="11" t="s">
        <v>28</v>
      </c>
    </row>
    <row r="3967">
      <c r="A3967" s="11">
        <v>3966.0</v>
      </c>
      <c r="B3967" s="12">
        <f t="shared" ref="B3967:B3968" si="623">DATE(2012,12,31)-781</f>
        <v>40493</v>
      </c>
      <c r="C3967" s="11" t="s">
        <v>491</v>
      </c>
      <c r="D3967" s="11" t="s">
        <v>49</v>
      </c>
    </row>
    <row r="3968">
      <c r="A3968" s="11">
        <v>3967.0</v>
      </c>
      <c r="B3968" s="12">
        <f t="shared" si="623"/>
        <v>40493</v>
      </c>
      <c r="C3968" s="11" t="s">
        <v>491</v>
      </c>
      <c r="D3968" s="11" t="s">
        <v>28</v>
      </c>
    </row>
    <row r="3969">
      <c r="A3969" s="11">
        <v>3968.0</v>
      </c>
      <c r="B3969" s="12">
        <f t="shared" ref="B3969:B3973" si="624">DATE(2012,12,31)-780</f>
        <v>40494</v>
      </c>
      <c r="C3969" s="11" t="s">
        <v>1110</v>
      </c>
      <c r="D3969" s="11" t="s">
        <v>49</v>
      </c>
    </row>
    <row r="3970">
      <c r="A3970" s="11">
        <v>3969.0</v>
      </c>
      <c r="B3970" s="12">
        <f t="shared" si="624"/>
        <v>40494</v>
      </c>
      <c r="C3970" s="11" t="s">
        <v>1110</v>
      </c>
      <c r="D3970" s="11" t="s">
        <v>66</v>
      </c>
    </row>
    <row r="3971">
      <c r="A3971" s="11">
        <v>3970.0</v>
      </c>
      <c r="B3971" s="12">
        <f t="shared" si="624"/>
        <v>40494</v>
      </c>
      <c r="C3971" s="11" t="s">
        <v>1110</v>
      </c>
      <c r="D3971" s="11" t="s">
        <v>66</v>
      </c>
    </row>
    <row r="3972">
      <c r="A3972" s="11">
        <v>3971.0</v>
      </c>
      <c r="B3972" s="12">
        <f t="shared" si="624"/>
        <v>40494</v>
      </c>
      <c r="C3972" s="11" t="s">
        <v>1130</v>
      </c>
      <c r="D3972" s="11" t="s">
        <v>28</v>
      </c>
    </row>
    <row r="3973">
      <c r="A3973" s="11">
        <v>3972.0</v>
      </c>
      <c r="B3973" s="12">
        <f t="shared" si="624"/>
        <v>40494</v>
      </c>
      <c r="C3973" s="11" t="s">
        <v>1130</v>
      </c>
      <c r="D3973" s="11" t="s">
        <v>66</v>
      </c>
    </row>
    <row r="3974">
      <c r="A3974" s="11">
        <v>3973.0</v>
      </c>
      <c r="B3974" s="12">
        <f t="shared" ref="B3974:B3983" si="625">DATE(2012,12,31)-779</f>
        <v>40495</v>
      </c>
      <c r="C3974" s="11" t="s">
        <v>561</v>
      </c>
      <c r="D3974" s="11" t="s">
        <v>49</v>
      </c>
    </row>
    <row r="3975">
      <c r="A3975" s="11">
        <v>3974.0</v>
      </c>
      <c r="B3975" s="12">
        <f t="shared" si="625"/>
        <v>40495</v>
      </c>
      <c r="C3975" s="11" t="s">
        <v>561</v>
      </c>
      <c r="D3975" s="11" t="s">
        <v>49</v>
      </c>
    </row>
    <row r="3976">
      <c r="A3976" s="11">
        <v>3975.0</v>
      </c>
      <c r="B3976" s="12">
        <f t="shared" si="625"/>
        <v>40495</v>
      </c>
      <c r="C3976" s="11" t="s">
        <v>2079</v>
      </c>
      <c r="D3976" s="11" t="s">
        <v>28</v>
      </c>
    </row>
    <row r="3977">
      <c r="A3977" s="11">
        <v>3976.0</v>
      </c>
      <c r="B3977" s="12">
        <f t="shared" si="625"/>
        <v>40495</v>
      </c>
      <c r="C3977" s="11" t="s">
        <v>588</v>
      </c>
      <c r="D3977" s="11" t="s">
        <v>66</v>
      </c>
    </row>
    <row r="3978">
      <c r="A3978" s="11">
        <v>3977.0</v>
      </c>
      <c r="B3978" s="12">
        <f t="shared" si="625"/>
        <v>40495</v>
      </c>
      <c r="C3978" s="11" t="s">
        <v>588</v>
      </c>
      <c r="D3978" s="11" t="s">
        <v>49</v>
      </c>
    </row>
    <row r="3979">
      <c r="A3979" s="11">
        <v>3978.0</v>
      </c>
      <c r="B3979" s="12">
        <f t="shared" si="625"/>
        <v>40495</v>
      </c>
      <c r="C3979" s="11" t="s">
        <v>588</v>
      </c>
      <c r="D3979" s="11" t="s">
        <v>49</v>
      </c>
    </row>
    <row r="3980">
      <c r="A3980" s="11">
        <v>3979.0</v>
      </c>
      <c r="B3980" s="12">
        <f t="shared" si="625"/>
        <v>40495</v>
      </c>
      <c r="C3980" s="11" t="s">
        <v>2478</v>
      </c>
      <c r="D3980" s="11" t="s">
        <v>28</v>
      </c>
    </row>
    <row r="3981">
      <c r="A3981" s="11">
        <v>3980.0</v>
      </c>
      <c r="B3981" s="12">
        <f t="shared" si="625"/>
        <v>40495</v>
      </c>
      <c r="C3981" s="11" t="s">
        <v>1884</v>
      </c>
      <c r="D3981" s="11" t="s">
        <v>49</v>
      </c>
    </row>
    <row r="3982">
      <c r="A3982" s="11">
        <v>3981.0</v>
      </c>
      <c r="B3982" s="12">
        <f t="shared" si="625"/>
        <v>40495</v>
      </c>
      <c r="C3982" s="11" t="s">
        <v>1450</v>
      </c>
      <c r="D3982" s="11" t="s">
        <v>49</v>
      </c>
    </row>
    <row r="3983">
      <c r="A3983" s="11">
        <v>3982.0</v>
      </c>
      <c r="B3983" s="12">
        <f t="shared" si="625"/>
        <v>40495</v>
      </c>
      <c r="C3983" s="11" t="s">
        <v>1450</v>
      </c>
      <c r="D3983" s="11" t="s">
        <v>28</v>
      </c>
    </row>
    <row r="3984">
      <c r="A3984" s="11">
        <v>3983.0</v>
      </c>
      <c r="B3984" s="12">
        <f t="shared" ref="B3984:B3989" si="626">DATE(2012,12,31)-778</f>
        <v>40496</v>
      </c>
      <c r="C3984" s="11" t="s">
        <v>1684</v>
      </c>
      <c r="D3984" s="11" t="s">
        <v>28</v>
      </c>
    </row>
    <row r="3985">
      <c r="A3985" s="11">
        <v>3984.0</v>
      </c>
      <c r="B3985" s="12">
        <f t="shared" si="626"/>
        <v>40496</v>
      </c>
      <c r="C3985" s="11" t="s">
        <v>1684</v>
      </c>
      <c r="D3985" s="11" t="s">
        <v>28</v>
      </c>
    </row>
    <row r="3986">
      <c r="A3986" s="11">
        <v>3985.0</v>
      </c>
      <c r="B3986" s="12">
        <f t="shared" si="626"/>
        <v>40496</v>
      </c>
      <c r="C3986" s="11" t="s">
        <v>1288</v>
      </c>
      <c r="D3986" s="11" t="s">
        <v>49</v>
      </c>
    </row>
    <row r="3987">
      <c r="A3987" s="11">
        <v>3986.0</v>
      </c>
      <c r="B3987" s="12">
        <f t="shared" si="626"/>
        <v>40496</v>
      </c>
      <c r="C3987" s="11" t="s">
        <v>2360</v>
      </c>
      <c r="D3987" s="11" t="s">
        <v>66</v>
      </c>
    </row>
    <row r="3988">
      <c r="A3988" s="11">
        <v>3987.0</v>
      </c>
      <c r="B3988" s="12">
        <f t="shared" si="626"/>
        <v>40496</v>
      </c>
      <c r="C3988" s="11" t="s">
        <v>1353</v>
      </c>
      <c r="D3988" s="11" t="s">
        <v>49</v>
      </c>
    </row>
    <row r="3989">
      <c r="A3989" s="11">
        <v>3988.0</v>
      </c>
      <c r="B3989" s="12">
        <f t="shared" si="626"/>
        <v>40496</v>
      </c>
      <c r="C3989" s="11" t="s">
        <v>1353</v>
      </c>
      <c r="D3989" s="11" t="s">
        <v>49</v>
      </c>
    </row>
    <row r="3990">
      <c r="A3990" s="11">
        <v>3989.0</v>
      </c>
      <c r="B3990" s="12">
        <f t="shared" ref="B3990:B3993" si="627">DATE(2012,12,31)-776</f>
        <v>40498</v>
      </c>
      <c r="C3990" s="11" t="s">
        <v>279</v>
      </c>
      <c r="D3990" s="11" t="s">
        <v>28</v>
      </c>
    </row>
    <row r="3991">
      <c r="A3991" s="11">
        <v>3990.0</v>
      </c>
      <c r="B3991" s="12">
        <f t="shared" si="627"/>
        <v>40498</v>
      </c>
      <c r="C3991" s="11" t="s">
        <v>279</v>
      </c>
      <c r="D3991" s="11" t="s">
        <v>66</v>
      </c>
    </row>
    <row r="3992">
      <c r="A3992" s="11">
        <v>3991.0</v>
      </c>
      <c r="B3992" s="12">
        <f t="shared" si="627"/>
        <v>40498</v>
      </c>
      <c r="C3992" s="11" t="s">
        <v>1884</v>
      </c>
      <c r="D3992" s="11" t="s">
        <v>49</v>
      </c>
    </row>
    <row r="3993">
      <c r="A3993" s="11">
        <v>3992.0</v>
      </c>
      <c r="B3993" s="12">
        <f t="shared" si="627"/>
        <v>40498</v>
      </c>
      <c r="C3993" s="11" t="s">
        <v>1863</v>
      </c>
      <c r="D3993" s="11" t="s">
        <v>49</v>
      </c>
    </row>
    <row r="3994">
      <c r="A3994" s="11">
        <v>3993.0</v>
      </c>
      <c r="B3994" s="12">
        <f t="shared" ref="B3994:B4002" si="628">DATE(2012,12,31)-775</f>
        <v>40499</v>
      </c>
      <c r="C3994" s="11" t="s">
        <v>1256</v>
      </c>
      <c r="D3994" s="11" t="s">
        <v>28</v>
      </c>
    </row>
    <row r="3995">
      <c r="A3995" s="11">
        <v>3994.0</v>
      </c>
      <c r="B3995" s="12">
        <f t="shared" si="628"/>
        <v>40499</v>
      </c>
      <c r="C3995" s="11" t="s">
        <v>1256</v>
      </c>
      <c r="D3995" s="11" t="s">
        <v>49</v>
      </c>
    </row>
    <row r="3996">
      <c r="A3996" s="11">
        <v>3995.0</v>
      </c>
      <c r="B3996" s="12">
        <f t="shared" si="628"/>
        <v>40499</v>
      </c>
      <c r="C3996" s="11" t="s">
        <v>1896</v>
      </c>
      <c r="D3996" s="11" t="s">
        <v>66</v>
      </c>
    </row>
    <row r="3997">
      <c r="A3997" s="11">
        <v>3996.0</v>
      </c>
      <c r="B3997" s="12">
        <f t="shared" si="628"/>
        <v>40499</v>
      </c>
      <c r="C3997" s="11" t="s">
        <v>1896</v>
      </c>
      <c r="D3997" s="11" t="s">
        <v>28</v>
      </c>
    </row>
    <row r="3998">
      <c r="A3998" s="11">
        <v>3997.0</v>
      </c>
      <c r="B3998" s="12">
        <f t="shared" si="628"/>
        <v>40499</v>
      </c>
      <c r="C3998" s="11" t="s">
        <v>961</v>
      </c>
      <c r="D3998" s="11" t="s">
        <v>66</v>
      </c>
    </row>
    <row r="3999">
      <c r="A3999" s="11">
        <v>3998.0</v>
      </c>
      <c r="B3999" s="12">
        <f t="shared" si="628"/>
        <v>40499</v>
      </c>
      <c r="C3999" s="11" t="s">
        <v>494</v>
      </c>
      <c r="D3999" s="11" t="s">
        <v>49</v>
      </c>
    </row>
    <row r="4000">
      <c r="A4000" s="11">
        <v>3999.0</v>
      </c>
      <c r="B4000" s="12">
        <f t="shared" si="628"/>
        <v>40499</v>
      </c>
      <c r="C4000" s="11" t="s">
        <v>382</v>
      </c>
      <c r="D4000" s="11" t="s">
        <v>28</v>
      </c>
    </row>
    <row r="4001">
      <c r="A4001" s="11">
        <v>4000.0</v>
      </c>
      <c r="B4001" s="12">
        <f t="shared" si="628"/>
        <v>40499</v>
      </c>
      <c r="C4001" s="11" t="s">
        <v>382</v>
      </c>
      <c r="D4001" s="11" t="s">
        <v>28</v>
      </c>
    </row>
    <row r="4002">
      <c r="A4002" s="11">
        <v>4001.0</v>
      </c>
      <c r="B4002" s="12">
        <f t="shared" si="628"/>
        <v>40499</v>
      </c>
      <c r="C4002" s="11" t="s">
        <v>382</v>
      </c>
      <c r="D4002" s="11" t="s">
        <v>28</v>
      </c>
    </row>
    <row r="4003">
      <c r="A4003" s="11">
        <v>4002.0</v>
      </c>
      <c r="B4003" s="12">
        <f t="shared" ref="B4003:B4013" si="629">DATE(2012,12,31)-774</f>
        <v>40500</v>
      </c>
      <c r="C4003" s="11" t="s">
        <v>2185</v>
      </c>
      <c r="D4003" s="11" t="s">
        <v>28</v>
      </c>
    </row>
    <row r="4004">
      <c r="A4004" s="11">
        <v>4003.0</v>
      </c>
      <c r="B4004" s="12">
        <f t="shared" si="629"/>
        <v>40500</v>
      </c>
      <c r="C4004" s="11" t="s">
        <v>2185</v>
      </c>
      <c r="D4004" s="11" t="s">
        <v>28</v>
      </c>
    </row>
    <row r="4005">
      <c r="A4005" s="11">
        <v>4004.0</v>
      </c>
      <c r="B4005" s="12">
        <f t="shared" si="629"/>
        <v>40500</v>
      </c>
      <c r="C4005" s="11" t="s">
        <v>1625</v>
      </c>
      <c r="D4005" s="11" t="s">
        <v>66</v>
      </c>
    </row>
    <row r="4006">
      <c r="A4006" s="11">
        <v>4005.0</v>
      </c>
      <c r="B4006" s="12">
        <f t="shared" si="629"/>
        <v>40500</v>
      </c>
      <c r="C4006" s="11" t="s">
        <v>1625</v>
      </c>
      <c r="D4006" s="11" t="s">
        <v>28</v>
      </c>
    </row>
    <row r="4007">
      <c r="A4007" s="11">
        <v>4006.0</v>
      </c>
      <c r="B4007" s="12">
        <f t="shared" si="629"/>
        <v>40500</v>
      </c>
      <c r="C4007" s="11" t="s">
        <v>1625</v>
      </c>
      <c r="D4007" s="11" t="s">
        <v>28</v>
      </c>
    </row>
    <row r="4008">
      <c r="A4008" s="11">
        <v>4007.0</v>
      </c>
      <c r="B4008" s="12">
        <f t="shared" si="629"/>
        <v>40500</v>
      </c>
      <c r="C4008" s="11" t="s">
        <v>1625</v>
      </c>
      <c r="D4008" s="11" t="s">
        <v>66</v>
      </c>
    </row>
    <row r="4009">
      <c r="A4009" s="11">
        <v>4008.0</v>
      </c>
      <c r="B4009" s="12">
        <f t="shared" si="629"/>
        <v>40500</v>
      </c>
      <c r="C4009" s="11" t="s">
        <v>1747</v>
      </c>
      <c r="D4009" s="11" t="s">
        <v>66</v>
      </c>
    </row>
    <row r="4010">
      <c r="A4010" s="11">
        <v>4009.0</v>
      </c>
      <c r="B4010" s="12">
        <f t="shared" si="629"/>
        <v>40500</v>
      </c>
      <c r="C4010" s="11" t="s">
        <v>1747</v>
      </c>
      <c r="D4010" s="11" t="s">
        <v>28</v>
      </c>
    </row>
    <row r="4011">
      <c r="A4011" s="11">
        <v>4010.0</v>
      </c>
      <c r="B4011" s="12">
        <f t="shared" si="629"/>
        <v>40500</v>
      </c>
      <c r="C4011" s="11" t="s">
        <v>1747</v>
      </c>
      <c r="D4011" s="11" t="s">
        <v>28</v>
      </c>
    </row>
    <row r="4012">
      <c r="A4012" s="11">
        <v>4011.0</v>
      </c>
      <c r="B4012" s="12">
        <f t="shared" si="629"/>
        <v>40500</v>
      </c>
      <c r="C4012" s="11" t="s">
        <v>1170</v>
      </c>
      <c r="D4012" s="11" t="s">
        <v>49</v>
      </c>
    </row>
    <row r="4013">
      <c r="A4013" s="11">
        <v>4012.0</v>
      </c>
      <c r="B4013" s="12">
        <f t="shared" si="629"/>
        <v>40500</v>
      </c>
      <c r="C4013" s="11" t="s">
        <v>786</v>
      </c>
      <c r="D4013" s="11" t="s">
        <v>49</v>
      </c>
    </row>
    <row r="4014">
      <c r="A4014" s="11">
        <v>4013.0</v>
      </c>
      <c r="B4014" s="12">
        <f t="shared" ref="B4014:B4018" si="630">DATE(2012,12,31)-773</f>
        <v>40501</v>
      </c>
      <c r="C4014" s="11" t="s">
        <v>657</v>
      </c>
      <c r="D4014" s="11" t="s">
        <v>28</v>
      </c>
    </row>
    <row r="4015">
      <c r="A4015" s="11">
        <v>4014.0</v>
      </c>
      <c r="B4015" s="12">
        <f t="shared" si="630"/>
        <v>40501</v>
      </c>
      <c r="C4015" s="11" t="s">
        <v>657</v>
      </c>
      <c r="D4015" s="11" t="s">
        <v>28</v>
      </c>
    </row>
    <row r="4016">
      <c r="A4016" s="11">
        <v>4015.0</v>
      </c>
      <c r="B4016" s="12">
        <f t="shared" si="630"/>
        <v>40501</v>
      </c>
      <c r="C4016" s="11" t="s">
        <v>2104</v>
      </c>
      <c r="D4016" s="11" t="s">
        <v>49</v>
      </c>
    </row>
    <row r="4017">
      <c r="A4017" s="11">
        <v>4016.0</v>
      </c>
      <c r="B4017" s="12">
        <f t="shared" si="630"/>
        <v>40501</v>
      </c>
      <c r="C4017" s="11" t="s">
        <v>2104</v>
      </c>
      <c r="D4017" s="11" t="s">
        <v>28</v>
      </c>
    </row>
    <row r="4018">
      <c r="A4018" s="11">
        <v>4017.0</v>
      </c>
      <c r="B4018" s="12">
        <f t="shared" si="630"/>
        <v>40501</v>
      </c>
      <c r="C4018" s="11" t="s">
        <v>174</v>
      </c>
      <c r="D4018" s="11" t="s">
        <v>49</v>
      </c>
    </row>
    <row r="4019">
      <c r="A4019" s="11">
        <v>4018.0</v>
      </c>
      <c r="B4019" s="12">
        <f t="shared" ref="B4019:B4021" si="631">DATE(2012,12,31)-772</f>
        <v>40502</v>
      </c>
      <c r="C4019" s="11" t="s">
        <v>1114</v>
      </c>
      <c r="D4019" s="11" t="s">
        <v>49</v>
      </c>
    </row>
    <row r="4020">
      <c r="A4020" s="11">
        <v>4019.0</v>
      </c>
      <c r="B4020" s="12">
        <f t="shared" si="631"/>
        <v>40502</v>
      </c>
      <c r="C4020" s="11" t="s">
        <v>1068</v>
      </c>
      <c r="D4020" s="11" t="s">
        <v>28</v>
      </c>
    </row>
    <row r="4021">
      <c r="A4021" s="11">
        <v>4020.0</v>
      </c>
      <c r="B4021" s="12">
        <f t="shared" si="631"/>
        <v>40502</v>
      </c>
      <c r="C4021" s="11" t="s">
        <v>1529</v>
      </c>
      <c r="D4021" s="11" t="s">
        <v>28</v>
      </c>
    </row>
    <row r="4022">
      <c r="A4022" s="11">
        <v>4021.0</v>
      </c>
      <c r="B4022" s="12">
        <f t="shared" ref="B4022:B4027" si="632">DATE(2012,12,31)-771</f>
        <v>40503</v>
      </c>
      <c r="C4022" s="11" t="s">
        <v>274</v>
      </c>
      <c r="D4022" s="11" t="s">
        <v>49</v>
      </c>
    </row>
    <row r="4023">
      <c r="A4023" s="11">
        <v>4022.0</v>
      </c>
      <c r="B4023" s="12">
        <f t="shared" si="632"/>
        <v>40503</v>
      </c>
      <c r="C4023" s="11" t="s">
        <v>2384</v>
      </c>
      <c r="D4023" s="11" t="s">
        <v>66</v>
      </c>
    </row>
    <row r="4024">
      <c r="A4024" s="11">
        <v>4023.0</v>
      </c>
      <c r="B4024" s="12">
        <f t="shared" si="632"/>
        <v>40503</v>
      </c>
      <c r="C4024" s="11" t="s">
        <v>561</v>
      </c>
      <c r="D4024" s="11" t="s">
        <v>28</v>
      </c>
    </row>
    <row r="4025">
      <c r="A4025" s="11">
        <v>4024.0</v>
      </c>
      <c r="B4025" s="12">
        <f t="shared" si="632"/>
        <v>40503</v>
      </c>
      <c r="C4025" s="11" t="s">
        <v>561</v>
      </c>
      <c r="D4025" s="11" t="s">
        <v>28</v>
      </c>
    </row>
    <row r="4026">
      <c r="A4026" s="11">
        <v>4025.0</v>
      </c>
      <c r="B4026" s="12">
        <f t="shared" si="632"/>
        <v>40503</v>
      </c>
      <c r="C4026" s="11" t="s">
        <v>2169</v>
      </c>
      <c r="D4026" s="11" t="s">
        <v>66</v>
      </c>
    </row>
    <row r="4027">
      <c r="A4027" s="11">
        <v>4026.0</v>
      </c>
      <c r="B4027" s="12">
        <f t="shared" si="632"/>
        <v>40503</v>
      </c>
      <c r="C4027" s="11" t="s">
        <v>1634</v>
      </c>
      <c r="D4027" s="11" t="s">
        <v>66</v>
      </c>
    </row>
    <row r="4028">
      <c r="A4028" s="11">
        <v>4027.0</v>
      </c>
      <c r="B4028" s="12">
        <f t="shared" ref="B4028:B4034" si="633">DATE(2012,12,31)-770</f>
        <v>40504</v>
      </c>
      <c r="C4028" s="11" t="s">
        <v>1948</v>
      </c>
      <c r="D4028" s="11" t="s">
        <v>66</v>
      </c>
    </row>
    <row r="4029">
      <c r="A4029" s="11">
        <v>4028.0</v>
      </c>
      <c r="B4029" s="12">
        <f t="shared" si="633"/>
        <v>40504</v>
      </c>
      <c r="C4029" s="11" t="s">
        <v>1948</v>
      </c>
      <c r="D4029" s="11" t="s">
        <v>28</v>
      </c>
    </row>
    <row r="4030">
      <c r="A4030" s="11">
        <v>4029.0</v>
      </c>
      <c r="B4030" s="12">
        <f t="shared" si="633"/>
        <v>40504</v>
      </c>
      <c r="C4030" s="11" t="s">
        <v>1017</v>
      </c>
      <c r="D4030" s="11" t="s">
        <v>66</v>
      </c>
    </row>
    <row r="4031">
      <c r="A4031" s="11">
        <v>4030.0</v>
      </c>
      <c r="B4031" s="12">
        <f t="shared" si="633"/>
        <v>40504</v>
      </c>
      <c r="C4031" s="11" t="s">
        <v>1314</v>
      </c>
      <c r="D4031" s="11" t="s">
        <v>66</v>
      </c>
    </row>
    <row r="4032">
      <c r="A4032" s="11">
        <v>4031.0</v>
      </c>
      <c r="B4032" s="12">
        <f t="shared" si="633"/>
        <v>40504</v>
      </c>
      <c r="C4032" s="11" t="s">
        <v>1314</v>
      </c>
      <c r="D4032" s="11" t="s">
        <v>28</v>
      </c>
    </row>
    <row r="4033">
      <c r="A4033" s="11">
        <v>4032.0</v>
      </c>
      <c r="B4033" s="12">
        <f t="shared" si="633"/>
        <v>40504</v>
      </c>
      <c r="C4033" s="11" t="s">
        <v>930</v>
      </c>
      <c r="D4033" s="11" t="s">
        <v>66</v>
      </c>
    </row>
    <row r="4034">
      <c r="A4034" s="11">
        <v>4033.0</v>
      </c>
      <c r="B4034" s="12">
        <f t="shared" si="633"/>
        <v>40504</v>
      </c>
      <c r="C4034" s="11" t="s">
        <v>329</v>
      </c>
      <c r="D4034" s="11" t="s">
        <v>66</v>
      </c>
    </row>
    <row r="4035">
      <c r="A4035" s="11">
        <v>4034.0</v>
      </c>
      <c r="B4035" s="12">
        <f t="shared" ref="B4035:B4045" si="634">DATE(2012,12,31)-769</f>
        <v>40505</v>
      </c>
      <c r="C4035" s="11" t="s">
        <v>713</v>
      </c>
      <c r="D4035" s="11" t="s">
        <v>28</v>
      </c>
    </row>
    <row r="4036">
      <c r="A4036" s="11">
        <v>4035.0</v>
      </c>
      <c r="B4036" s="12">
        <f t="shared" si="634"/>
        <v>40505</v>
      </c>
      <c r="C4036" s="11" t="s">
        <v>713</v>
      </c>
      <c r="D4036" s="11" t="s">
        <v>28</v>
      </c>
    </row>
    <row r="4037">
      <c r="A4037" s="11">
        <v>4036.0</v>
      </c>
      <c r="B4037" s="12">
        <f t="shared" si="634"/>
        <v>40505</v>
      </c>
      <c r="C4037" s="11" t="s">
        <v>504</v>
      </c>
      <c r="D4037" s="11" t="s">
        <v>28</v>
      </c>
    </row>
    <row r="4038">
      <c r="A4038" s="11">
        <v>4037.0</v>
      </c>
      <c r="B4038" s="12">
        <f t="shared" si="634"/>
        <v>40505</v>
      </c>
      <c r="C4038" s="11" t="s">
        <v>504</v>
      </c>
      <c r="D4038" s="11" t="s">
        <v>66</v>
      </c>
    </row>
    <row r="4039">
      <c r="A4039" s="11">
        <v>4038.0</v>
      </c>
      <c r="B4039" s="12">
        <f t="shared" si="634"/>
        <v>40505</v>
      </c>
      <c r="C4039" s="11" t="s">
        <v>960</v>
      </c>
      <c r="D4039" s="11" t="s">
        <v>28</v>
      </c>
    </row>
    <row r="4040">
      <c r="A4040" s="11">
        <v>4039.0</v>
      </c>
      <c r="B4040" s="12">
        <f t="shared" si="634"/>
        <v>40505</v>
      </c>
      <c r="C4040" s="11" t="s">
        <v>960</v>
      </c>
      <c r="D4040" s="11" t="s">
        <v>28</v>
      </c>
    </row>
    <row r="4041">
      <c r="A4041" s="11">
        <v>4040.0</v>
      </c>
      <c r="B4041" s="12">
        <f t="shared" si="634"/>
        <v>40505</v>
      </c>
      <c r="C4041" s="11" t="s">
        <v>960</v>
      </c>
      <c r="D4041" s="11" t="s">
        <v>49</v>
      </c>
    </row>
    <row r="4042">
      <c r="A4042" s="11">
        <v>4041.0</v>
      </c>
      <c r="B4042" s="12">
        <f t="shared" si="634"/>
        <v>40505</v>
      </c>
      <c r="C4042" s="11" t="s">
        <v>145</v>
      </c>
      <c r="D4042" s="11" t="s">
        <v>49</v>
      </c>
    </row>
    <row r="4043">
      <c r="A4043" s="11">
        <v>4042.0</v>
      </c>
      <c r="B4043" s="12">
        <f t="shared" si="634"/>
        <v>40505</v>
      </c>
      <c r="C4043" s="11" t="s">
        <v>145</v>
      </c>
      <c r="D4043" s="11" t="s">
        <v>66</v>
      </c>
    </row>
    <row r="4044">
      <c r="A4044" s="11">
        <v>4043.0</v>
      </c>
      <c r="B4044" s="12">
        <f t="shared" si="634"/>
        <v>40505</v>
      </c>
      <c r="C4044" s="11" t="s">
        <v>353</v>
      </c>
      <c r="D4044" s="11" t="s">
        <v>66</v>
      </c>
    </row>
    <row r="4045">
      <c r="A4045" s="11">
        <v>4044.0</v>
      </c>
      <c r="B4045" s="12">
        <f t="shared" si="634"/>
        <v>40505</v>
      </c>
      <c r="C4045" s="11" t="s">
        <v>1633</v>
      </c>
      <c r="D4045" s="11" t="s">
        <v>28</v>
      </c>
    </row>
    <row r="4046">
      <c r="A4046" s="11">
        <v>4045.0</v>
      </c>
      <c r="B4046" s="12">
        <f t="shared" ref="B4046:B4058" si="635">DATE(2012,12,31)-768</f>
        <v>40506</v>
      </c>
      <c r="C4046" s="11" t="s">
        <v>2185</v>
      </c>
      <c r="D4046" s="11" t="s">
        <v>66</v>
      </c>
    </row>
    <row r="4047">
      <c r="A4047" s="11">
        <v>4046.0</v>
      </c>
      <c r="B4047" s="12">
        <f t="shared" si="635"/>
        <v>40506</v>
      </c>
      <c r="C4047" s="11" t="s">
        <v>613</v>
      </c>
      <c r="D4047" s="11" t="s">
        <v>28</v>
      </c>
    </row>
    <row r="4048">
      <c r="A4048" s="11">
        <v>4047.0</v>
      </c>
      <c r="B4048" s="12">
        <f t="shared" si="635"/>
        <v>40506</v>
      </c>
      <c r="C4048" s="11" t="s">
        <v>839</v>
      </c>
      <c r="D4048" s="11" t="s">
        <v>28</v>
      </c>
    </row>
    <row r="4049">
      <c r="A4049" s="11">
        <v>4048.0</v>
      </c>
      <c r="B4049" s="12">
        <f t="shared" si="635"/>
        <v>40506</v>
      </c>
      <c r="C4049" s="11" t="s">
        <v>839</v>
      </c>
      <c r="D4049" s="11" t="s">
        <v>28</v>
      </c>
    </row>
    <row r="4050">
      <c r="A4050" s="11">
        <v>4049.0</v>
      </c>
      <c r="B4050" s="12">
        <f t="shared" si="635"/>
        <v>40506</v>
      </c>
      <c r="C4050" s="11" t="s">
        <v>1118</v>
      </c>
      <c r="D4050" s="11" t="s">
        <v>66</v>
      </c>
    </row>
    <row r="4051">
      <c r="A4051" s="11">
        <v>4050.0</v>
      </c>
      <c r="B4051" s="12">
        <f t="shared" si="635"/>
        <v>40506</v>
      </c>
      <c r="C4051" s="11" t="s">
        <v>91</v>
      </c>
      <c r="D4051" s="11" t="s">
        <v>28</v>
      </c>
    </row>
    <row r="4052">
      <c r="A4052" s="11">
        <v>4051.0</v>
      </c>
      <c r="B4052" s="12">
        <f t="shared" si="635"/>
        <v>40506</v>
      </c>
      <c r="C4052" s="11" t="s">
        <v>91</v>
      </c>
      <c r="D4052" s="11" t="s">
        <v>28</v>
      </c>
    </row>
    <row r="4053">
      <c r="A4053" s="11">
        <v>4052.0</v>
      </c>
      <c r="B4053" s="12">
        <f t="shared" si="635"/>
        <v>40506</v>
      </c>
      <c r="C4053" s="11" t="s">
        <v>1123</v>
      </c>
      <c r="D4053" s="11" t="s">
        <v>49</v>
      </c>
    </row>
    <row r="4054">
      <c r="A4054" s="11">
        <v>4053.0</v>
      </c>
      <c r="B4054" s="12">
        <f t="shared" si="635"/>
        <v>40506</v>
      </c>
      <c r="C4054" s="11" t="s">
        <v>375</v>
      </c>
      <c r="D4054" s="11" t="s">
        <v>66</v>
      </c>
    </row>
    <row r="4055">
      <c r="A4055" s="11">
        <v>4054.0</v>
      </c>
      <c r="B4055" s="12">
        <f t="shared" si="635"/>
        <v>40506</v>
      </c>
      <c r="C4055" s="11" t="s">
        <v>375</v>
      </c>
      <c r="D4055" s="11" t="s">
        <v>28</v>
      </c>
    </row>
    <row r="4056">
      <c r="A4056" s="11">
        <v>4055.0</v>
      </c>
      <c r="B4056" s="12">
        <f t="shared" si="635"/>
        <v>40506</v>
      </c>
      <c r="C4056" s="11" t="s">
        <v>375</v>
      </c>
      <c r="D4056" s="11" t="s">
        <v>66</v>
      </c>
    </row>
    <row r="4057">
      <c r="A4057" s="11">
        <v>4056.0</v>
      </c>
      <c r="B4057" s="12">
        <f t="shared" si="635"/>
        <v>40506</v>
      </c>
      <c r="C4057" s="11" t="s">
        <v>271</v>
      </c>
      <c r="D4057" s="11" t="s">
        <v>66</v>
      </c>
    </row>
    <row r="4058">
      <c r="A4058" s="11">
        <v>4057.0</v>
      </c>
      <c r="B4058" s="12">
        <f t="shared" si="635"/>
        <v>40506</v>
      </c>
      <c r="C4058" s="11" t="s">
        <v>271</v>
      </c>
      <c r="D4058" s="11" t="s">
        <v>66</v>
      </c>
    </row>
    <row r="4059">
      <c r="A4059" s="11">
        <v>4058.0</v>
      </c>
      <c r="B4059" s="12">
        <f t="shared" ref="B4059:B4066" si="636">DATE(2012,12,31)-767</f>
        <v>40507</v>
      </c>
      <c r="C4059" s="11" t="s">
        <v>1099</v>
      </c>
      <c r="D4059" s="11" t="s">
        <v>66</v>
      </c>
    </row>
    <row r="4060">
      <c r="A4060" s="11">
        <v>4059.0</v>
      </c>
      <c r="B4060" s="12">
        <f t="shared" si="636"/>
        <v>40507</v>
      </c>
      <c r="C4060" s="11" t="s">
        <v>1099</v>
      </c>
      <c r="D4060" s="11" t="s">
        <v>28</v>
      </c>
    </row>
    <row r="4061">
      <c r="A4061" s="11">
        <v>4060.0</v>
      </c>
      <c r="B4061" s="12">
        <f t="shared" si="636"/>
        <v>40507</v>
      </c>
      <c r="C4061" s="11" t="s">
        <v>1099</v>
      </c>
      <c r="D4061" s="11" t="s">
        <v>28</v>
      </c>
    </row>
    <row r="4062">
      <c r="A4062" s="11">
        <v>4061.0</v>
      </c>
      <c r="B4062" s="12">
        <f t="shared" si="636"/>
        <v>40507</v>
      </c>
      <c r="C4062" s="11" t="s">
        <v>1747</v>
      </c>
      <c r="D4062" s="11" t="s">
        <v>49</v>
      </c>
    </row>
    <row r="4063">
      <c r="A4063" s="11">
        <v>4062.0</v>
      </c>
      <c r="B4063" s="12">
        <f t="shared" si="636"/>
        <v>40507</v>
      </c>
      <c r="C4063" s="11" t="s">
        <v>1133</v>
      </c>
      <c r="D4063" s="11" t="s">
        <v>49</v>
      </c>
    </row>
    <row r="4064">
      <c r="A4064" s="11">
        <v>4063.0</v>
      </c>
      <c r="B4064" s="12">
        <f t="shared" si="636"/>
        <v>40507</v>
      </c>
      <c r="C4064" s="11" t="s">
        <v>1936</v>
      </c>
      <c r="D4064" s="11" t="s">
        <v>66</v>
      </c>
    </row>
    <row r="4065">
      <c r="A4065" s="11">
        <v>4064.0</v>
      </c>
      <c r="B4065" s="12">
        <f t="shared" si="636"/>
        <v>40507</v>
      </c>
      <c r="C4065" s="11" t="s">
        <v>1936</v>
      </c>
      <c r="D4065" s="11" t="s">
        <v>66</v>
      </c>
    </row>
    <row r="4066">
      <c r="A4066" s="11">
        <v>4065.0</v>
      </c>
      <c r="B4066" s="12">
        <f t="shared" si="636"/>
        <v>40507</v>
      </c>
      <c r="C4066" s="11" t="s">
        <v>2346</v>
      </c>
      <c r="D4066" s="11" t="s">
        <v>28</v>
      </c>
    </row>
    <row r="4067">
      <c r="A4067" s="11">
        <v>4066.0</v>
      </c>
      <c r="B4067" s="12">
        <f t="shared" ref="B4067:B4068" si="637">DATE(2012,12,31)-766</f>
        <v>40508</v>
      </c>
      <c r="C4067" s="11" t="s">
        <v>2486</v>
      </c>
      <c r="D4067" s="11" t="s">
        <v>28</v>
      </c>
    </row>
    <row r="4068">
      <c r="A4068" s="11">
        <v>4067.0</v>
      </c>
      <c r="B4068" s="12">
        <f t="shared" si="637"/>
        <v>40508</v>
      </c>
      <c r="C4068" s="11" t="s">
        <v>1294</v>
      </c>
      <c r="D4068" s="11" t="s">
        <v>66</v>
      </c>
    </row>
    <row r="4069">
      <c r="A4069" s="11">
        <v>4068.0</v>
      </c>
      <c r="B4069" s="12">
        <f t="shared" ref="B4069:B4075" si="638">DATE(2012,12,31)-765</f>
        <v>40509</v>
      </c>
      <c r="C4069" s="11" t="s">
        <v>1524</v>
      </c>
      <c r="D4069" s="11" t="s">
        <v>28</v>
      </c>
    </row>
    <row r="4070">
      <c r="A4070" s="11">
        <v>4069.0</v>
      </c>
      <c r="B4070" s="12">
        <f t="shared" si="638"/>
        <v>40509</v>
      </c>
      <c r="C4070" s="11" t="s">
        <v>2017</v>
      </c>
      <c r="D4070" s="11" t="s">
        <v>66</v>
      </c>
    </row>
    <row r="4071">
      <c r="A4071" s="11">
        <v>4070.0</v>
      </c>
      <c r="B4071" s="12">
        <f t="shared" si="638"/>
        <v>40509</v>
      </c>
      <c r="C4071" s="11" t="s">
        <v>2017</v>
      </c>
      <c r="D4071" s="11" t="s">
        <v>66</v>
      </c>
    </row>
    <row r="4072">
      <c r="A4072" s="11">
        <v>4071.0</v>
      </c>
      <c r="B4072" s="12">
        <f t="shared" si="638"/>
        <v>40509</v>
      </c>
      <c r="C4072" s="11" t="s">
        <v>1861</v>
      </c>
      <c r="D4072" s="11" t="s">
        <v>66</v>
      </c>
    </row>
    <row r="4073">
      <c r="A4073" s="11">
        <v>4072.0</v>
      </c>
      <c r="B4073" s="12">
        <f t="shared" si="638"/>
        <v>40509</v>
      </c>
      <c r="C4073" s="11" t="s">
        <v>727</v>
      </c>
      <c r="D4073" s="11" t="s">
        <v>66</v>
      </c>
    </row>
    <row r="4074">
      <c r="A4074" s="11">
        <v>4073.0</v>
      </c>
      <c r="B4074" s="12">
        <f t="shared" si="638"/>
        <v>40509</v>
      </c>
      <c r="C4074" s="11" t="s">
        <v>727</v>
      </c>
      <c r="D4074" s="11" t="s">
        <v>66</v>
      </c>
    </row>
    <row r="4075">
      <c r="A4075" s="11">
        <v>4074.0</v>
      </c>
      <c r="B4075" s="12">
        <f t="shared" si="638"/>
        <v>40509</v>
      </c>
      <c r="C4075" s="11" t="s">
        <v>727</v>
      </c>
      <c r="D4075" s="11" t="s">
        <v>66</v>
      </c>
    </row>
    <row r="4076">
      <c r="A4076" s="11">
        <v>4075.0</v>
      </c>
      <c r="B4076" s="12">
        <f t="shared" ref="B4076:B4086" si="639">DATE(2012,12,31)-763</f>
        <v>40511</v>
      </c>
      <c r="C4076" s="11" t="s">
        <v>1454</v>
      </c>
      <c r="D4076" s="11" t="s">
        <v>28</v>
      </c>
    </row>
    <row r="4077">
      <c r="A4077" s="11">
        <v>4076.0</v>
      </c>
      <c r="B4077" s="12">
        <f t="shared" si="639"/>
        <v>40511</v>
      </c>
      <c r="C4077" s="11" t="s">
        <v>2092</v>
      </c>
      <c r="D4077" s="11" t="s">
        <v>49</v>
      </c>
    </row>
    <row r="4078">
      <c r="A4078" s="11">
        <v>4077.0</v>
      </c>
      <c r="B4078" s="12">
        <f t="shared" si="639"/>
        <v>40511</v>
      </c>
      <c r="C4078" s="11" t="s">
        <v>2092</v>
      </c>
      <c r="D4078" s="11" t="s">
        <v>28</v>
      </c>
    </row>
    <row r="4079">
      <c r="A4079" s="11">
        <v>4078.0</v>
      </c>
      <c r="B4079" s="12">
        <f t="shared" si="639"/>
        <v>40511</v>
      </c>
      <c r="C4079" s="11" t="s">
        <v>1681</v>
      </c>
      <c r="D4079" s="11" t="s">
        <v>28</v>
      </c>
    </row>
    <row r="4080">
      <c r="A4080" s="11">
        <v>4079.0</v>
      </c>
      <c r="B4080" s="12">
        <f t="shared" si="639"/>
        <v>40511</v>
      </c>
      <c r="C4080" s="11" t="s">
        <v>1681</v>
      </c>
      <c r="D4080" s="11" t="s">
        <v>28</v>
      </c>
    </row>
    <row r="4081">
      <c r="A4081" s="11">
        <v>4080.0</v>
      </c>
      <c r="B4081" s="12">
        <f t="shared" si="639"/>
        <v>40511</v>
      </c>
      <c r="C4081" s="11" t="s">
        <v>479</v>
      </c>
      <c r="D4081" s="11" t="s">
        <v>28</v>
      </c>
    </row>
    <row r="4082">
      <c r="A4082" s="11">
        <v>4081.0</v>
      </c>
      <c r="B4082" s="12">
        <f t="shared" si="639"/>
        <v>40511</v>
      </c>
      <c r="C4082" s="11" t="s">
        <v>1750</v>
      </c>
      <c r="D4082" s="11" t="s">
        <v>28</v>
      </c>
    </row>
    <row r="4083">
      <c r="A4083" s="11">
        <v>4082.0</v>
      </c>
      <c r="B4083" s="12">
        <f t="shared" si="639"/>
        <v>40511</v>
      </c>
      <c r="C4083" s="11" t="s">
        <v>1750</v>
      </c>
      <c r="D4083" s="11" t="s">
        <v>49</v>
      </c>
    </row>
    <row r="4084">
      <c r="A4084" s="11">
        <v>4083.0</v>
      </c>
      <c r="B4084" s="12">
        <f t="shared" si="639"/>
        <v>40511</v>
      </c>
      <c r="C4084" s="11" t="s">
        <v>1750</v>
      </c>
      <c r="D4084" s="11" t="s">
        <v>66</v>
      </c>
    </row>
    <row r="4085">
      <c r="A4085" s="11">
        <v>4084.0</v>
      </c>
      <c r="B4085" s="12">
        <f t="shared" si="639"/>
        <v>40511</v>
      </c>
      <c r="C4085" s="11" t="s">
        <v>763</v>
      </c>
      <c r="D4085" s="11" t="s">
        <v>28</v>
      </c>
    </row>
    <row r="4086">
      <c r="A4086" s="11">
        <v>4085.0</v>
      </c>
      <c r="B4086" s="12">
        <f t="shared" si="639"/>
        <v>40511</v>
      </c>
      <c r="C4086" s="11" t="s">
        <v>1425</v>
      </c>
      <c r="D4086" s="11" t="s">
        <v>49</v>
      </c>
    </row>
    <row r="4087">
      <c r="A4087" s="11">
        <v>4086.0</v>
      </c>
      <c r="B4087" s="12">
        <f t="shared" ref="B4087:B4090" si="640">DATE(2012,12,31)-762</f>
        <v>40512</v>
      </c>
      <c r="C4087" s="11" t="s">
        <v>2101</v>
      </c>
      <c r="D4087" s="11" t="s">
        <v>28</v>
      </c>
    </row>
    <row r="4088">
      <c r="A4088" s="11">
        <v>4087.0</v>
      </c>
      <c r="B4088" s="12">
        <f t="shared" si="640"/>
        <v>40512</v>
      </c>
      <c r="C4088" s="11" t="s">
        <v>2315</v>
      </c>
      <c r="D4088" s="11" t="s">
        <v>28</v>
      </c>
    </row>
    <row r="4089">
      <c r="A4089" s="11">
        <v>4088.0</v>
      </c>
      <c r="B4089" s="12">
        <f t="shared" si="640"/>
        <v>40512</v>
      </c>
      <c r="C4089" s="11" t="s">
        <v>239</v>
      </c>
      <c r="D4089" s="11" t="s">
        <v>49</v>
      </c>
    </row>
    <row r="4090">
      <c r="A4090" s="11">
        <v>4089.0</v>
      </c>
      <c r="B4090" s="12">
        <f t="shared" si="640"/>
        <v>40512</v>
      </c>
      <c r="C4090" s="11" t="s">
        <v>1051</v>
      </c>
      <c r="D4090" s="11" t="s">
        <v>28</v>
      </c>
    </row>
    <row r="4091">
      <c r="A4091" s="11">
        <v>4090.0</v>
      </c>
      <c r="B4091" s="12">
        <f t="shared" ref="B4091:B4097" si="641">DATE(2012,12,31)-761</f>
        <v>40513</v>
      </c>
      <c r="C4091" s="11" t="s">
        <v>462</v>
      </c>
      <c r="D4091" s="11" t="s">
        <v>28</v>
      </c>
    </row>
    <row r="4092">
      <c r="A4092" s="11">
        <v>4091.0</v>
      </c>
      <c r="B4092" s="12">
        <f t="shared" si="641"/>
        <v>40513</v>
      </c>
      <c r="C4092" s="11" t="s">
        <v>2105</v>
      </c>
      <c r="D4092" s="11" t="s">
        <v>49</v>
      </c>
    </row>
    <row r="4093">
      <c r="A4093" s="11">
        <v>4092.0</v>
      </c>
      <c r="B4093" s="12">
        <f t="shared" si="641"/>
        <v>40513</v>
      </c>
      <c r="C4093" s="11" t="s">
        <v>2167</v>
      </c>
      <c r="D4093" s="11" t="s">
        <v>28</v>
      </c>
    </row>
    <row r="4094">
      <c r="A4094" s="11">
        <v>4093.0</v>
      </c>
      <c r="B4094" s="12">
        <f t="shared" si="641"/>
        <v>40513</v>
      </c>
      <c r="C4094" s="11" t="s">
        <v>2167</v>
      </c>
      <c r="D4094" s="11" t="s">
        <v>28</v>
      </c>
    </row>
    <row r="4095">
      <c r="A4095" s="11">
        <v>4094.0</v>
      </c>
      <c r="B4095" s="12">
        <f t="shared" si="641"/>
        <v>40513</v>
      </c>
      <c r="C4095" s="11" t="s">
        <v>2167</v>
      </c>
      <c r="D4095" s="11" t="s">
        <v>28</v>
      </c>
    </row>
    <row r="4096">
      <c r="A4096" s="11">
        <v>4095.0</v>
      </c>
      <c r="B4096" s="12">
        <f t="shared" si="641"/>
        <v>40513</v>
      </c>
      <c r="C4096" s="11" t="s">
        <v>82</v>
      </c>
      <c r="D4096" s="11" t="s">
        <v>66</v>
      </c>
    </row>
    <row r="4097">
      <c r="A4097" s="11">
        <v>4096.0</v>
      </c>
      <c r="B4097" s="12">
        <f t="shared" si="641"/>
        <v>40513</v>
      </c>
      <c r="C4097" s="11" t="s">
        <v>2026</v>
      </c>
      <c r="D4097" s="11" t="s">
        <v>66</v>
      </c>
    </row>
    <row r="4098">
      <c r="A4098" s="11">
        <v>4097.0</v>
      </c>
      <c r="B4098" s="12">
        <f t="shared" ref="B4098:B4104" si="642">DATE(2012,12,31)-760</f>
        <v>40514</v>
      </c>
      <c r="C4098" s="11" t="s">
        <v>528</v>
      </c>
      <c r="D4098" s="11" t="s">
        <v>28</v>
      </c>
    </row>
    <row r="4099">
      <c r="A4099" s="11">
        <v>4098.0</v>
      </c>
      <c r="B4099" s="12">
        <f t="shared" si="642"/>
        <v>40514</v>
      </c>
      <c r="C4099" s="11" t="s">
        <v>528</v>
      </c>
      <c r="D4099" s="11" t="s">
        <v>28</v>
      </c>
    </row>
    <row r="4100">
      <c r="A4100" s="11">
        <v>4099.0</v>
      </c>
      <c r="B4100" s="12">
        <f t="shared" si="642"/>
        <v>40514</v>
      </c>
      <c r="C4100" s="11" t="s">
        <v>528</v>
      </c>
      <c r="D4100" s="11" t="s">
        <v>49</v>
      </c>
    </row>
    <row r="4101">
      <c r="A4101" s="11">
        <v>4100.0</v>
      </c>
      <c r="B4101" s="12">
        <f t="shared" si="642"/>
        <v>40514</v>
      </c>
      <c r="C4101" s="11" t="s">
        <v>1648</v>
      </c>
      <c r="D4101" s="11" t="s">
        <v>28</v>
      </c>
    </row>
    <row r="4102">
      <c r="A4102" s="11">
        <v>4101.0</v>
      </c>
      <c r="B4102" s="12">
        <f t="shared" si="642"/>
        <v>40514</v>
      </c>
      <c r="C4102" s="11" t="s">
        <v>1648</v>
      </c>
      <c r="D4102" s="11" t="s">
        <v>49</v>
      </c>
    </row>
    <row r="4103">
      <c r="A4103" s="11">
        <v>4102.0</v>
      </c>
      <c r="B4103" s="12">
        <f t="shared" si="642"/>
        <v>40514</v>
      </c>
      <c r="C4103" s="11" t="s">
        <v>456</v>
      </c>
      <c r="D4103" s="11" t="s">
        <v>66</v>
      </c>
    </row>
    <row r="4104">
      <c r="A4104" s="11">
        <v>4103.0</v>
      </c>
      <c r="B4104" s="12">
        <f t="shared" si="642"/>
        <v>40514</v>
      </c>
      <c r="C4104" s="11" t="s">
        <v>1142</v>
      </c>
      <c r="D4104" s="11" t="s">
        <v>49</v>
      </c>
    </row>
    <row r="4105">
      <c r="A4105" s="11">
        <v>4104.0</v>
      </c>
      <c r="B4105" s="12">
        <f t="shared" ref="B4105:B4110" si="643">DATE(2012,12,31)-759</f>
        <v>40515</v>
      </c>
      <c r="C4105" s="11" t="s">
        <v>597</v>
      </c>
      <c r="D4105" s="11" t="s">
        <v>28</v>
      </c>
    </row>
    <row r="4106">
      <c r="A4106" s="11">
        <v>4105.0</v>
      </c>
      <c r="B4106" s="12">
        <f t="shared" si="643"/>
        <v>40515</v>
      </c>
      <c r="C4106" s="11" t="s">
        <v>1586</v>
      </c>
      <c r="D4106" s="11" t="s">
        <v>28</v>
      </c>
    </row>
    <row r="4107">
      <c r="A4107" s="11">
        <v>4106.0</v>
      </c>
      <c r="B4107" s="12">
        <f t="shared" si="643"/>
        <v>40515</v>
      </c>
      <c r="C4107" s="11" t="s">
        <v>1586</v>
      </c>
      <c r="D4107" s="11" t="s">
        <v>28</v>
      </c>
    </row>
    <row r="4108">
      <c r="A4108" s="11">
        <v>4107.0</v>
      </c>
      <c r="B4108" s="12">
        <f t="shared" si="643"/>
        <v>40515</v>
      </c>
      <c r="C4108" s="11" t="s">
        <v>2039</v>
      </c>
      <c r="D4108" s="11" t="s">
        <v>28</v>
      </c>
    </row>
    <row r="4109">
      <c r="A4109" s="11">
        <v>4108.0</v>
      </c>
      <c r="B4109" s="12">
        <f t="shared" si="643"/>
        <v>40515</v>
      </c>
      <c r="C4109" s="11" t="s">
        <v>1252</v>
      </c>
      <c r="D4109" s="11" t="s">
        <v>49</v>
      </c>
    </row>
    <row r="4110">
      <c r="A4110" s="11">
        <v>4109.0</v>
      </c>
      <c r="B4110" s="12">
        <f t="shared" si="643"/>
        <v>40515</v>
      </c>
      <c r="C4110" s="11" t="s">
        <v>1901</v>
      </c>
      <c r="D4110" s="11" t="s">
        <v>66</v>
      </c>
    </row>
    <row r="4111">
      <c r="A4111" s="11">
        <v>4110.0</v>
      </c>
      <c r="B4111" s="12">
        <f t="shared" ref="B4111:B4120" si="644">DATE(2012,12,31)-758</f>
        <v>40516</v>
      </c>
      <c r="C4111" s="11" t="s">
        <v>407</v>
      </c>
      <c r="D4111" s="11" t="s">
        <v>28</v>
      </c>
    </row>
    <row r="4112">
      <c r="A4112" s="11">
        <v>4111.0</v>
      </c>
      <c r="B4112" s="12">
        <f t="shared" si="644"/>
        <v>40516</v>
      </c>
      <c r="C4112" s="11" t="s">
        <v>936</v>
      </c>
      <c r="D4112" s="11" t="s">
        <v>49</v>
      </c>
    </row>
    <row r="4113">
      <c r="A4113" s="11">
        <v>4112.0</v>
      </c>
      <c r="B4113" s="12">
        <f t="shared" si="644"/>
        <v>40516</v>
      </c>
      <c r="C4113" s="11" t="s">
        <v>936</v>
      </c>
      <c r="D4113" s="11" t="s">
        <v>49</v>
      </c>
    </row>
    <row r="4114">
      <c r="A4114" s="11">
        <v>4113.0</v>
      </c>
      <c r="B4114" s="12">
        <f t="shared" si="644"/>
        <v>40516</v>
      </c>
      <c r="C4114" s="11" t="s">
        <v>1058</v>
      </c>
      <c r="D4114" s="11" t="s">
        <v>49</v>
      </c>
    </row>
    <row r="4115">
      <c r="A4115" s="11">
        <v>4114.0</v>
      </c>
      <c r="B4115" s="12">
        <f t="shared" si="644"/>
        <v>40516</v>
      </c>
      <c r="C4115" s="11" t="s">
        <v>1058</v>
      </c>
      <c r="D4115" s="11" t="s">
        <v>28</v>
      </c>
    </row>
    <row r="4116">
      <c r="A4116" s="11">
        <v>4115.0</v>
      </c>
      <c r="B4116" s="12">
        <f t="shared" si="644"/>
        <v>40516</v>
      </c>
      <c r="C4116" s="11" t="s">
        <v>1058</v>
      </c>
      <c r="D4116" s="11" t="s">
        <v>66</v>
      </c>
    </row>
    <row r="4117">
      <c r="A4117" s="11">
        <v>4116.0</v>
      </c>
      <c r="B4117" s="12">
        <f t="shared" si="644"/>
        <v>40516</v>
      </c>
      <c r="C4117" s="11" t="s">
        <v>1643</v>
      </c>
      <c r="D4117" s="11" t="s">
        <v>28</v>
      </c>
    </row>
    <row r="4118">
      <c r="A4118" s="11">
        <v>4117.0</v>
      </c>
      <c r="B4118" s="12">
        <f t="shared" si="644"/>
        <v>40516</v>
      </c>
      <c r="C4118" s="11" t="s">
        <v>1643</v>
      </c>
      <c r="D4118" s="11" t="s">
        <v>28</v>
      </c>
    </row>
    <row r="4119">
      <c r="A4119" s="11">
        <v>4118.0</v>
      </c>
      <c r="B4119" s="12">
        <f t="shared" si="644"/>
        <v>40516</v>
      </c>
      <c r="C4119" s="11" t="s">
        <v>1980</v>
      </c>
      <c r="D4119" s="11" t="s">
        <v>28</v>
      </c>
    </row>
    <row r="4120">
      <c r="A4120" s="11">
        <v>4119.0</v>
      </c>
      <c r="B4120" s="12">
        <f t="shared" si="644"/>
        <v>40516</v>
      </c>
      <c r="C4120" s="11" t="s">
        <v>1980</v>
      </c>
      <c r="D4120" s="11" t="s">
        <v>49</v>
      </c>
    </row>
    <row r="4121">
      <c r="A4121" s="11">
        <v>4120.0</v>
      </c>
      <c r="B4121" s="12">
        <f t="shared" ref="B4121:B4135" si="645">DATE(2012,12,31)-757</f>
        <v>40517</v>
      </c>
      <c r="C4121" s="11" t="s">
        <v>1008</v>
      </c>
      <c r="D4121" s="11" t="s">
        <v>66</v>
      </c>
    </row>
    <row r="4122">
      <c r="A4122" s="11">
        <v>4121.0</v>
      </c>
      <c r="B4122" s="12">
        <f t="shared" si="645"/>
        <v>40517</v>
      </c>
      <c r="C4122" s="11" t="s">
        <v>1008</v>
      </c>
      <c r="D4122" s="11" t="s">
        <v>28</v>
      </c>
    </row>
    <row r="4123">
      <c r="A4123" s="11">
        <v>4122.0</v>
      </c>
      <c r="B4123" s="12">
        <f t="shared" si="645"/>
        <v>40517</v>
      </c>
      <c r="C4123" s="11" t="s">
        <v>2012</v>
      </c>
      <c r="D4123" s="11" t="s">
        <v>28</v>
      </c>
    </row>
    <row r="4124">
      <c r="A4124" s="11">
        <v>4123.0</v>
      </c>
      <c r="B4124" s="12">
        <f t="shared" si="645"/>
        <v>40517</v>
      </c>
      <c r="C4124" s="11" t="s">
        <v>501</v>
      </c>
      <c r="D4124" s="11" t="s">
        <v>66</v>
      </c>
    </row>
    <row r="4125">
      <c r="A4125" s="11">
        <v>4124.0</v>
      </c>
      <c r="B4125" s="12">
        <f t="shared" si="645"/>
        <v>40517</v>
      </c>
      <c r="C4125" s="11" t="s">
        <v>357</v>
      </c>
      <c r="D4125" s="11" t="s">
        <v>49</v>
      </c>
    </row>
    <row r="4126">
      <c r="A4126" s="11">
        <v>4125.0</v>
      </c>
      <c r="B4126" s="12">
        <f t="shared" si="645"/>
        <v>40517</v>
      </c>
      <c r="C4126" s="11" t="s">
        <v>357</v>
      </c>
      <c r="D4126" s="11" t="s">
        <v>66</v>
      </c>
    </row>
    <row r="4127">
      <c r="A4127" s="11">
        <v>4126.0</v>
      </c>
      <c r="B4127" s="12">
        <f t="shared" si="645"/>
        <v>40517</v>
      </c>
      <c r="C4127" s="11" t="s">
        <v>357</v>
      </c>
      <c r="D4127" s="11" t="s">
        <v>28</v>
      </c>
    </row>
    <row r="4128">
      <c r="A4128" s="11">
        <v>4127.0</v>
      </c>
      <c r="B4128" s="12">
        <f t="shared" si="645"/>
        <v>40517</v>
      </c>
      <c r="C4128" s="11" t="s">
        <v>357</v>
      </c>
      <c r="D4128" s="11" t="s">
        <v>66</v>
      </c>
    </row>
    <row r="4129">
      <c r="A4129" s="11">
        <v>4128.0</v>
      </c>
      <c r="B4129" s="12">
        <f t="shared" si="645"/>
        <v>40517</v>
      </c>
      <c r="C4129" s="11" t="s">
        <v>1018</v>
      </c>
      <c r="D4129" s="11" t="s">
        <v>28</v>
      </c>
    </row>
    <row r="4130">
      <c r="A4130" s="11">
        <v>4129.0</v>
      </c>
      <c r="B4130" s="12">
        <f t="shared" si="645"/>
        <v>40517</v>
      </c>
      <c r="C4130" s="11" t="s">
        <v>1648</v>
      </c>
      <c r="D4130" s="11" t="s">
        <v>28</v>
      </c>
    </row>
    <row r="4131">
      <c r="A4131" s="11">
        <v>4130.0</v>
      </c>
      <c r="B4131" s="12">
        <f t="shared" si="645"/>
        <v>40517</v>
      </c>
      <c r="C4131" s="11" t="s">
        <v>1185</v>
      </c>
      <c r="D4131" s="11" t="s">
        <v>28</v>
      </c>
    </row>
    <row r="4132">
      <c r="A4132" s="11">
        <v>4131.0</v>
      </c>
      <c r="B4132" s="12">
        <f t="shared" si="645"/>
        <v>40517</v>
      </c>
      <c r="C4132" s="11" t="s">
        <v>1185</v>
      </c>
      <c r="D4132" s="11" t="s">
        <v>49</v>
      </c>
    </row>
    <row r="4133">
      <c r="A4133" s="11">
        <v>4132.0</v>
      </c>
      <c r="B4133" s="12">
        <f t="shared" si="645"/>
        <v>40517</v>
      </c>
      <c r="C4133" s="11" t="s">
        <v>1185</v>
      </c>
      <c r="D4133" s="11" t="s">
        <v>49</v>
      </c>
    </row>
    <row r="4134">
      <c r="A4134" s="11">
        <v>4133.0</v>
      </c>
      <c r="B4134" s="12">
        <f t="shared" si="645"/>
        <v>40517</v>
      </c>
      <c r="C4134" s="11" t="s">
        <v>1235</v>
      </c>
      <c r="D4134" s="11" t="s">
        <v>28</v>
      </c>
    </row>
    <row r="4135">
      <c r="A4135" s="11">
        <v>4134.0</v>
      </c>
      <c r="B4135" s="12">
        <f t="shared" si="645"/>
        <v>40517</v>
      </c>
      <c r="C4135" s="11" t="s">
        <v>1235</v>
      </c>
      <c r="D4135" s="11" t="s">
        <v>49</v>
      </c>
    </row>
    <row r="4136">
      <c r="A4136" s="11">
        <v>4135.0</v>
      </c>
      <c r="B4136" s="12">
        <f t="shared" ref="B4136:B4138" si="646">DATE(2012,12,31)-756</f>
        <v>40518</v>
      </c>
      <c r="C4136" s="11" t="s">
        <v>2490</v>
      </c>
      <c r="D4136" s="11" t="s">
        <v>28</v>
      </c>
    </row>
    <row r="4137">
      <c r="A4137" s="11">
        <v>4136.0</v>
      </c>
      <c r="B4137" s="12">
        <f t="shared" si="646"/>
        <v>40518</v>
      </c>
      <c r="C4137" s="11" t="s">
        <v>1720</v>
      </c>
      <c r="D4137" s="11" t="s">
        <v>28</v>
      </c>
    </row>
    <row r="4138">
      <c r="A4138" s="11">
        <v>4137.0</v>
      </c>
      <c r="B4138" s="12">
        <f t="shared" si="646"/>
        <v>40518</v>
      </c>
      <c r="C4138" s="11" t="s">
        <v>900</v>
      </c>
      <c r="D4138" s="11" t="s">
        <v>66</v>
      </c>
    </row>
    <row r="4139">
      <c r="A4139" s="11">
        <v>4138.0</v>
      </c>
      <c r="B4139" s="12">
        <f t="shared" ref="B4139:B4147" si="647">DATE(2012,12,31)-755</f>
        <v>40519</v>
      </c>
      <c r="C4139" s="11" t="s">
        <v>2221</v>
      </c>
      <c r="D4139" s="11" t="s">
        <v>28</v>
      </c>
    </row>
    <row r="4140">
      <c r="A4140" s="11">
        <v>4139.0</v>
      </c>
      <c r="B4140" s="12">
        <f t="shared" si="647"/>
        <v>40519</v>
      </c>
      <c r="C4140" s="11" t="s">
        <v>2221</v>
      </c>
      <c r="D4140" s="11" t="s">
        <v>49</v>
      </c>
    </row>
    <row r="4141">
      <c r="A4141" s="11">
        <v>4140.0</v>
      </c>
      <c r="B4141" s="12">
        <f t="shared" si="647"/>
        <v>40519</v>
      </c>
      <c r="C4141" s="11" t="s">
        <v>78</v>
      </c>
      <c r="D4141" s="11" t="s">
        <v>28</v>
      </c>
    </row>
    <row r="4142">
      <c r="A4142" s="11">
        <v>4141.0</v>
      </c>
      <c r="B4142" s="12">
        <f t="shared" si="647"/>
        <v>40519</v>
      </c>
      <c r="C4142" s="11" t="s">
        <v>78</v>
      </c>
      <c r="D4142" s="11" t="s">
        <v>66</v>
      </c>
    </row>
    <row r="4143">
      <c r="A4143" s="11">
        <v>4142.0</v>
      </c>
      <c r="B4143" s="12">
        <f t="shared" si="647"/>
        <v>40519</v>
      </c>
      <c r="C4143" s="11" t="s">
        <v>78</v>
      </c>
      <c r="D4143" s="11" t="s">
        <v>28</v>
      </c>
    </row>
    <row r="4144">
      <c r="A4144" s="11">
        <v>4143.0</v>
      </c>
      <c r="B4144" s="12">
        <f t="shared" si="647"/>
        <v>40519</v>
      </c>
      <c r="C4144" s="11" t="s">
        <v>501</v>
      </c>
      <c r="D4144" s="11" t="s">
        <v>28</v>
      </c>
    </row>
    <row r="4145">
      <c r="A4145" s="11">
        <v>4144.0</v>
      </c>
      <c r="B4145" s="12">
        <f t="shared" si="647"/>
        <v>40519</v>
      </c>
      <c r="C4145" s="11" t="s">
        <v>501</v>
      </c>
      <c r="D4145" s="11" t="s">
        <v>28</v>
      </c>
    </row>
    <row r="4146">
      <c r="A4146" s="11">
        <v>4145.0</v>
      </c>
      <c r="B4146" s="12">
        <f t="shared" si="647"/>
        <v>40519</v>
      </c>
      <c r="C4146" s="11" t="s">
        <v>444</v>
      </c>
      <c r="D4146" s="11" t="s">
        <v>28</v>
      </c>
    </row>
    <row r="4147">
      <c r="A4147" s="11">
        <v>4146.0</v>
      </c>
      <c r="B4147" s="12">
        <f t="shared" si="647"/>
        <v>40519</v>
      </c>
      <c r="C4147" s="11" t="s">
        <v>444</v>
      </c>
      <c r="D4147" s="11" t="s">
        <v>66</v>
      </c>
    </row>
    <row r="4148">
      <c r="A4148" s="11">
        <v>4147.0</v>
      </c>
      <c r="B4148" s="12">
        <f t="shared" ref="B4148:B4149" si="648">DATE(2012,12,31)-754</f>
        <v>40520</v>
      </c>
      <c r="C4148" s="11" t="s">
        <v>1010</v>
      </c>
      <c r="D4148" s="11" t="s">
        <v>66</v>
      </c>
    </row>
    <row r="4149">
      <c r="A4149" s="11">
        <v>4148.0</v>
      </c>
      <c r="B4149" s="12">
        <f t="shared" si="648"/>
        <v>40520</v>
      </c>
      <c r="C4149" s="11" t="s">
        <v>235</v>
      </c>
      <c r="D4149" s="11" t="s">
        <v>49</v>
      </c>
    </row>
    <row r="4150">
      <c r="A4150" s="11">
        <v>4149.0</v>
      </c>
      <c r="B4150" s="12">
        <f t="shared" ref="B4150:B4153" si="649">DATE(2012,12,31)-753</f>
        <v>40521</v>
      </c>
      <c r="C4150" s="11" t="s">
        <v>1546</v>
      </c>
      <c r="D4150" s="11" t="s">
        <v>49</v>
      </c>
    </row>
    <row r="4151">
      <c r="A4151" s="11">
        <v>4150.0</v>
      </c>
      <c r="B4151" s="12">
        <f t="shared" si="649"/>
        <v>40521</v>
      </c>
      <c r="C4151" s="11" t="s">
        <v>2436</v>
      </c>
      <c r="D4151" s="11" t="s">
        <v>66</v>
      </c>
    </row>
    <row r="4152">
      <c r="A4152" s="11">
        <v>4151.0</v>
      </c>
      <c r="B4152" s="12">
        <f t="shared" si="649"/>
        <v>40521</v>
      </c>
      <c r="C4152" s="11" t="s">
        <v>510</v>
      </c>
      <c r="D4152" s="11" t="s">
        <v>66</v>
      </c>
    </row>
    <row r="4153">
      <c r="A4153" s="11">
        <v>4152.0</v>
      </c>
      <c r="B4153" s="12">
        <f t="shared" si="649"/>
        <v>40521</v>
      </c>
      <c r="C4153" s="11" t="s">
        <v>2228</v>
      </c>
      <c r="D4153" s="11" t="s">
        <v>28</v>
      </c>
    </row>
    <row r="4154">
      <c r="A4154" s="11">
        <v>4153.0</v>
      </c>
      <c r="B4154" s="12">
        <f t="shared" ref="B4154:B4155" si="650">DATE(2012,12,31)-752</f>
        <v>40522</v>
      </c>
      <c r="C4154" s="11" t="s">
        <v>604</v>
      </c>
      <c r="D4154" s="11" t="s">
        <v>28</v>
      </c>
    </row>
    <row r="4155">
      <c r="A4155" s="11">
        <v>4154.0</v>
      </c>
      <c r="B4155" s="12">
        <f t="shared" si="650"/>
        <v>40522</v>
      </c>
      <c r="C4155" s="11" t="s">
        <v>604</v>
      </c>
      <c r="D4155" s="11" t="s">
        <v>49</v>
      </c>
    </row>
    <row r="4156">
      <c r="A4156" s="11">
        <v>4155.0</v>
      </c>
      <c r="B4156" s="12">
        <f t="shared" ref="B4156:B4159" si="651">DATE(2012,12,31)-751</f>
        <v>40523</v>
      </c>
      <c r="C4156" s="11" t="s">
        <v>2358</v>
      </c>
      <c r="D4156" s="11" t="s">
        <v>28</v>
      </c>
    </row>
    <row r="4157">
      <c r="A4157" s="11">
        <v>4156.0</v>
      </c>
      <c r="B4157" s="12">
        <f t="shared" si="651"/>
        <v>40523</v>
      </c>
      <c r="C4157" s="11" t="s">
        <v>2039</v>
      </c>
      <c r="D4157" s="11" t="s">
        <v>28</v>
      </c>
    </row>
    <row r="4158">
      <c r="A4158" s="11">
        <v>4157.0</v>
      </c>
      <c r="B4158" s="12">
        <f t="shared" si="651"/>
        <v>40523</v>
      </c>
      <c r="C4158" s="11" t="s">
        <v>2493</v>
      </c>
      <c r="D4158" s="11" t="s">
        <v>28</v>
      </c>
    </row>
    <row r="4159">
      <c r="A4159" s="11">
        <v>4158.0</v>
      </c>
      <c r="B4159" s="12">
        <f t="shared" si="651"/>
        <v>40523</v>
      </c>
      <c r="C4159" s="11" t="s">
        <v>2493</v>
      </c>
      <c r="D4159" s="11" t="s">
        <v>49</v>
      </c>
    </row>
    <row r="4160">
      <c r="A4160" s="11">
        <v>4159.0</v>
      </c>
      <c r="B4160" s="12">
        <f t="shared" ref="B4160:B4177" si="652">DATE(2012,12,31)-750</f>
        <v>40524</v>
      </c>
      <c r="C4160" s="11" t="s">
        <v>227</v>
      </c>
      <c r="D4160" s="11" t="s">
        <v>49</v>
      </c>
    </row>
    <row r="4161">
      <c r="A4161" s="11">
        <v>4160.0</v>
      </c>
      <c r="B4161" s="12">
        <f t="shared" si="652"/>
        <v>40524</v>
      </c>
      <c r="C4161" s="11" t="s">
        <v>120</v>
      </c>
      <c r="D4161" s="11" t="s">
        <v>49</v>
      </c>
    </row>
    <row r="4162">
      <c r="A4162" s="11">
        <v>4161.0</v>
      </c>
      <c r="B4162" s="12">
        <f t="shared" si="652"/>
        <v>40524</v>
      </c>
      <c r="C4162" s="11" t="s">
        <v>120</v>
      </c>
      <c r="D4162" s="11" t="s">
        <v>49</v>
      </c>
    </row>
    <row r="4163">
      <c r="A4163" s="11">
        <v>4162.0</v>
      </c>
      <c r="B4163" s="12">
        <f t="shared" si="652"/>
        <v>40524</v>
      </c>
      <c r="C4163" s="11" t="s">
        <v>120</v>
      </c>
      <c r="D4163" s="11" t="s">
        <v>49</v>
      </c>
    </row>
    <row r="4164">
      <c r="A4164" s="11">
        <v>4163.0</v>
      </c>
      <c r="B4164" s="12">
        <f t="shared" si="652"/>
        <v>40524</v>
      </c>
      <c r="C4164" s="11" t="s">
        <v>2026</v>
      </c>
      <c r="D4164" s="11" t="s">
        <v>28</v>
      </c>
    </row>
    <row r="4165">
      <c r="A4165" s="11">
        <v>4164.0</v>
      </c>
      <c r="B4165" s="12">
        <f t="shared" si="652"/>
        <v>40524</v>
      </c>
      <c r="C4165" s="11" t="s">
        <v>2026</v>
      </c>
      <c r="D4165" s="11" t="s">
        <v>28</v>
      </c>
    </row>
    <row r="4166">
      <c r="A4166" s="11">
        <v>4165.0</v>
      </c>
      <c r="B4166" s="12">
        <f t="shared" si="652"/>
        <v>40524</v>
      </c>
      <c r="C4166" s="11" t="s">
        <v>1821</v>
      </c>
      <c r="D4166" s="11" t="s">
        <v>28</v>
      </c>
    </row>
    <row r="4167">
      <c r="A4167" s="11">
        <v>4166.0</v>
      </c>
      <c r="B4167" s="12">
        <f t="shared" si="652"/>
        <v>40524</v>
      </c>
      <c r="C4167" s="11" t="s">
        <v>2494</v>
      </c>
      <c r="D4167" s="11" t="s">
        <v>49</v>
      </c>
    </row>
    <row r="4168">
      <c r="A4168" s="11">
        <v>4167.0</v>
      </c>
      <c r="B4168" s="12">
        <f t="shared" si="652"/>
        <v>40524</v>
      </c>
      <c r="C4168" s="11" t="s">
        <v>2494</v>
      </c>
      <c r="D4168" s="11" t="s">
        <v>28</v>
      </c>
    </row>
    <row r="4169">
      <c r="A4169" s="11">
        <v>4168.0</v>
      </c>
      <c r="B4169" s="12">
        <f t="shared" si="652"/>
        <v>40524</v>
      </c>
      <c r="C4169" s="11" t="s">
        <v>1831</v>
      </c>
      <c r="D4169" s="11" t="s">
        <v>28</v>
      </c>
    </row>
    <row r="4170">
      <c r="A4170" s="11">
        <v>4169.0</v>
      </c>
      <c r="B4170" s="12">
        <f t="shared" si="652"/>
        <v>40524</v>
      </c>
      <c r="C4170" s="11" t="s">
        <v>1831</v>
      </c>
      <c r="D4170" s="11" t="s">
        <v>49</v>
      </c>
    </row>
    <row r="4171">
      <c r="A4171" s="11">
        <v>4170.0</v>
      </c>
      <c r="B4171" s="12">
        <f t="shared" si="652"/>
        <v>40524</v>
      </c>
      <c r="C4171" s="11" t="s">
        <v>1831</v>
      </c>
      <c r="D4171" s="11" t="s">
        <v>49</v>
      </c>
    </row>
    <row r="4172">
      <c r="A4172" s="11">
        <v>4171.0</v>
      </c>
      <c r="B4172" s="12">
        <f t="shared" si="652"/>
        <v>40524</v>
      </c>
      <c r="C4172" s="11" t="s">
        <v>1120</v>
      </c>
      <c r="D4172" s="11" t="s">
        <v>28</v>
      </c>
    </row>
    <row r="4173">
      <c r="A4173" s="11">
        <v>4172.0</v>
      </c>
      <c r="B4173" s="12">
        <f t="shared" si="652"/>
        <v>40524</v>
      </c>
      <c r="C4173" s="11" t="s">
        <v>1120</v>
      </c>
      <c r="D4173" s="11" t="s">
        <v>28</v>
      </c>
    </row>
    <row r="4174">
      <c r="A4174" s="11">
        <v>4173.0</v>
      </c>
      <c r="B4174" s="12">
        <f t="shared" si="652"/>
        <v>40524</v>
      </c>
      <c r="C4174" s="11" t="s">
        <v>1837</v>
      </c>
      <c r="D4174" s="11" t="s">
        <v>28</v>
      </c>
    </row>
    <row r="4175">
      <c r="A4175" s="11">
        <v>4174.0</v>
      </c>
      <c r="B4175" s="12">
        <f t="shared" si="652"/>
        <v>40524</v>
      </c>
      <c r="C4175" s="11" t="s">
        <v>1697</v>
      </c>
      <c r="D4175" s="11" t="s">
        <v>49</v>
      </c>
    </row>
    <row r="4176">
      <c r="A4176" s="11">
        <v>4175.0</v>
      </c>
      <c r="B4176" s="12">
        <f t="shared" si="652"/>
        <v>40524</v>
      </c>
      <c r="C4176" s="11" t="s">
        <v>392</v>
      </c>
      <c r="D4176" s="11" t="s">
        <v>49</v>
      </c>
    </row>
    <row r="4177">
      <c r="A4177" s="11">
        <v>4176.0</v>
      </c>
      <c r="B4177" s="12">
        <f t="shared" si="652"/>
        <v>40524</v>
      </c>
      <c r="C4177" s="11" t="s">
        <v>2148</v>
      </c>
      <c r="D4177" s="11" t="s">
        <v>66</v>
      </c>
    </row>
    <row r="4178">
      <c r="A4178" s="11">
        <v>4177.0</v>
      </c>
      <c r="B4178" s="12">
        <f t="shared" ref="B4178:B4182" si="653">DATE(2012,12,31)-749</f>
        <v>40525</v>
      </c>
      <c r="C4178" s="11" t="s">
        <v>1422</v>
      </c>
      <c r="D4178" s="11" t="s">
        <v>66</v>
      </c>
    </row>
    <row r="4179">
      <c r="A4179" s="11">
        <v>4178.0</v>
      </c>
      <c r="B4179" s="12">
        <f t="shared" si="653"/>
        <v>40525</v>
      </c>
      <c r="C4179" s="11" t="s">
        <v>1798</v>
      </c>
      <c r="D4179" s="11" t="s">
        <v>66</v>
      </c>
    </row>
    <row r="4180">
      <c r="A4180" s="11">
        <v>4179.0</v>
      </c>
      <c r="B4180" s="12">
        <f t="shared" si="653"/>
        <v>40525</v>
      </c>
      <c r="C4180" s="11" t="s">
        <v>253</v>
      </c>
      <c r="D4180" s="11" t="s">
        <v>28</v>
      </c>
    </row>
    <row r="4181">
      <c r="A4181" s="11">
        <v>4180.0</v>
      </c>
      <c r="B4181" s="12">
        <f t="shared" si="653"/>
        <v>40525</v>
      </c>
      <c r="C4181" s="11" t="s">
        <v>2023</v>
      </c>
      <c r="D4181" s="11" t="s">
        <v>28</v>
      </c>
    </row>
    <row r="4182">
      <c r="A4182" s="11">
        <v>4181.0</v>
      </c>
      <c r="B4182" s="12">
        <f t="shared" si="653"/>
        <v>40525</v>
      </c>
      <c r="C4182" s="11" t="s">
        <v>152</v>
      </c>
      <c r="D4182" s="11" t="s">
        <v>49</v>
      </c>
    </row>
    <row r="4183">
      <c r="A4183" s="11">
        <v>4182.0</v>
      </c>
      <c r="B4183" s="12">
        <f t="shared" ref="B4183:B4195" si="654">DATE(2012,12,31)-748</f>
        <v>40526</v>
      </c>
      <c r="C4183" s="11" t="s">
        <v>2023</v>
      </c>
      <c r="D4183" s="11" t="s">
        <v>28</v>
      </c>
    </row>
    <row r="4184">
      <c r="A4184" s="11">
        <v>4183.0</v>
      </c>
      <c r="B4184" s="12">
        <f t="shared" si="654"/>
        <v>40526</v>
      </c>
      <c r="C4184" s="11" t="s">
        <v>227</v>
      </c>
      <c r="D4184" s="11" t="s">
        <v>66</v>
      </c>
    </row>
    <row r="4185">
      <c r="A4185" s="11">
        <v>4184.0</v>
      </c>
      <c r="B4185" s="12">
        <f t="shared" si="654"/>
        <v>40526</v>
      </c>
      <c r="C4185" s="11" t="s">
        <v>227</v>
      </c>
      <c r="D4185" s="11" t="s">
        <v>28</v>
      </c>
    </row>
    <row r="4186">
      <c r="A4186" s="11">
        <v>4185.0</v>
      </c>
      <c r="B4186" s="12">
        <f t="shared" si="654"/>
        <v>40526</v>
      </c>
      <c r="C4186" s="11" t="s">
        <v>227</v>
      </c>
      <c r="D4186" s="11" t="s">
        <v>28</v>
      </c>
    </row>
    <row r="4187">
      <c r="A4187" s="11">
        <v>4186.0</v>
      </c>
      <c r="B4187" s="12">
        <f t="shared" si="654"/>
        <v>40526</v>
      </c>
      <c r="C4187" s="11" t="s">
        <v>227</v>
      </c>
      <c r="D4187" s="11" t="s">
        <v>28</v>
      </c>
    </row>
    <row r="4188">
      <c r="A4188" s="11">
        <v>4187.0</v>
      </c>
      <c r="B4188" s="12">
        <f t="shared" si="654"/>
        <v>40526</v>
      </c>
      <c r="C4188" s="11" t="s">
        <v>227</v>
      </c>
      <c r="D4188" s="11" t="s">
        <v>28</v>
      </c>
    </row>
    <row r="4189">
      <c r="A4189" s="11">
        <v>4188.0</v>
      </c>
      <c r="B4189" s="12">
        <f t="shared" si="654"/>
        <v>40526</v>
      </c>
      <c r="C4189" s="11" t="s">
        <v>78</v>
      </c>
      <c r="D4189" s="11" t="s">
        <v>49</v>
      </c>
    </row>
    <row r="4190">
      <c r="A4190" s="11">
        <v>4189.0</v>
      </c>
      <c r="B4190" s="12">
        <f t="shared" si="654"/>
        <v>40526</v>
      </c>
      <c r="C4190" s="11" t="s">
        <v>78</v>
      </c>
      <c r="D4190" s="11" t="s">
        <v>28</v>
      </c>
    </row>
    <row r="4191">
      <c r="A4191" s="11">
        <v>4190.0</v>
      </c>
      <c r="B4191" s="12">
        <f t="shared" si="654"/>
        <v>40526</v>
      </c>
      <c r="C4191" s="11" t="s">
        <v>78</v>
      </c>
      <c r="D4191" s="11" t="s">
        <v>66</v>
      </c>
    </row>
    <row r="4192">
      <c r="A4192" s="11">
        <v>4191.0</v>
      </c>
      <c r="B4192" s="12">
        <f t="shared" si="654"/>
        <v>40526</v>
      </c>
      <c r="C4192" s="11" t="s">
        <v>78</v>
      </c>
      <c r="D4192" s="11" t="s">
        <v>66</v>
      </c>
    </row>
    <row r="4193">
      <c r="A4193" s="11">
        <v>4192.0</v>
      </c>
      <c r="B4193" s="12">
        <f t="shared" si="654"/>
        <v>40526</v>
      </c>
      <c r="C4193" s="11" t="s">
        <v>1110</v>
      </c>
      <c r="D4193" s="11" t="s">
        <v>49</v>
      </c>
    </row>
    <row r="4194">
      <c r="A4194" s="11">
        <v>4193.0</v>
      </c>
      <c r="B4194" s="12">
        <f t="shared" si="654"/>
        <v>40526</v>
      </c>
      <c r="C4194" s="11" t="s">
        <v>1110</v>
      </c>
      <c r="D4194" s="11" t="s">
        <v>66</v>
      </c>
    </row>
    <row r="4195">
      <c r="A4195" s="11">
        <v>4194.0</v>
      </c>
      <c r="B4195" s="12">
        <f t="shared" si="654"/>
        <v>40526</v>
      </c>
      <c r="C4195" s="11" t="s">
        <v>1264</v>
      </c>
      <c r="D4195" s="11" t="s">
        <v>49</v>
      </c>
    </row>
    <row r="4196">
      <c r="A4196" s="11">
        <v>4195.0</v>
      </c>
      <c r="B4196" s="12">
        <f t="shared" ref="B4196:B4198" si="655">DATE(2012,12,31)-747</f>
        <v>40527</v>
      </c>
      <c r="C4196" s="11" t="s">
        <v>1355</v>
      </c>
      <c r="D4196" s="11" t="s">
        <v>66</v>
      </c>
    </row>
    <row r="4197">
      <c r="A4197" s="11">
        <v>4196.0</v>
      </c>
      <c r="B4197" s="12">
        <f t="shared" si="655"/>
        <v>40527</v>
      </c>
      <c r="C4197" s="11" t="s">
        <v>1018</v>
      </c>
      <c r="D4197" s="11" t="s">
        <v>66</v>
      </c>
    </row>
    <row r="4198">
      <c r="A4198" s="11">
        <v>4197.0</v>
      </c>
      <c r="B4198" s="12">
        <f t="shared" si="655"/>
        <v>40527</v>
      </c>
      <c r="C4198" s="11" t="s">
        <v>1196</v>
      </c>
      <c r="D4198" s="11" t="s">
        <v>28</v>
      </c>
    </row>
    <row r="4199">
      <c r="A4199" s="11">
        <v>4198.0</v>
      </c>
      <c r="B4199" s="12">
        <f t="shared" ref="B4199:B4200" si="656">DATE(2012,12,31)-746</f>
        <v>40528</v>
      </c>
      <c r="C4199" s="11" t="s">
        <v>1108</v>
      </c>
      <c r="D4199" s="11" t="s">
        <v>66</v>
      </c>
    </row>
    <row r="4200">
      <c r="A4200" s="11">
        <v>4199.0</v>
      </c>
      <c r="B4200" s="12">
        <f t="shared" si="656"/>
        <v>40528</v>
      </c>
      <c r="C4200" s="11" t="s">
        <v>2486</v>
      </c>
      <c r="D4200" s="11" t="s">
        <v>28</v>
      </c>
    </row>
    <row r="4201">
      <c r="A4201" s="11">
        <v>4200.0</v>
      </c>
      <c r="B4201" s="12">
        <f t="shared" ref="B4201:B4207" si="657">DATE(2012,12,31)-745</f>
        <v>40529</v>
      </c>
      <c r="C4201" s="11" t="s">
        <v>597</v>
      </c>
      <c r="D4201" s="11" t="s">
        <v>28</v>
      </c>
    </row>
    <row r="4202">
      <c r="A4202" s="11">
        <v>4201.0</v>
      </c>
      <c r="B4202" s="12">
        <f t="shared" si="657"/>
        <v>40529</v>
      </c>
      <c r="C4202" s="11" t="s">
        <v>597</v>
      </c>
      <c r="D4202" s="11" t="s">
        <v>66</v>
      </c>
    </row>
    <row r="4203">
      <c r="A4203" s="11">
        <v>4202.0</v>
      </c>
      <c r="B4203" s="12">
        <f t="shared" si="657"/>
        <v>40529</v>
      </c>
      <c r="C4203" s="11" t="s">
        <v>1594</v>
      </c>
      <c r="D4203" s="11" t="s">
        <v>28</v>
      </c>
    </row>
    <row r="4204">
      <c r="A4204" s="11">
        <v>4203.0</v>
      </c>
      <c r="B4204" s="12">
        <f t="shared" si="657"/>
        <v>40529</v>
      </c>
      <c r="C4204" s="11" t="s">
        <v>429</v>
      </c>
      <c r="D4204" s="11" t="s">
        <v>49</v>
      </c>
    </row>
    <row r="4205">
      <c r="A4205" s="11">
        <v>4204.0</v>
      </c>
      <c r="B4205" s="12">
        <f t="shared" si="657"/>
        <v>40529</v>
      </c>
      <c r="C4205" s="11" t="s">
        <v>653</v>
      </c>
      <c r="D4205" s="11" t="s">
        <v>49</v>
      </c>
    </row>
    <row r="4206">
      <c r="A4206" s="11">
        <v>4205.0</v>
      </c>
      <c r="B4206" s="12">
        <f t="shared" si="657"/>
        <v>40529</v>
      </c>
      <c r="C4206" s="11" t="s">
        <v>653</v>
      </c>
      <c r="D4206" s="11" t="s">
        <v>66</v>
      </c>
    </row>
    <row r="4207">
      <c r="A4207" s="11">
        <v>4206.0</v>
      </c>
      <c r="B4207" s="12">
        <f t="shared" si="657"/>
        <v>40529</v>
      </c>
      <c r="C4207" s="11" t="s">
        <v>1067</v>
      </c>
      <c r="D4207" s="11" t="s">
        <v>66</v>
      </c>
    </row>
    <row r="4208">
      <c r="A4208" s="11">
        <v>4207.0</v>
      </c>
      <c r="B4208" s="12">
        <f>DATE(2012,12,31)-744</f>
        <v>40530</v>
      </c>
      <c r="C4208" s="11" t="s">
        <v>1816</v>
      </c>
      <c r="D4208" s="11" t="s">
        <v>28</v>
      </c>
    </row>
    <row r="4209">
      <c r="A4209" s="11">
        <v>4208.0</v>
      </c>
      <c r="B4209" s="12">
        <f t="shared" ref="B4209:B4216" si="658">DATE(2012,12,31)-743</f>
        <v>40531</v>
      </c>
      <c r="C4209" s="11" t="s">
        <v>1020</v>
      </c>
      <c r="D4209" s="11" t="s">
        <v>49</v>
      </c>
    </row>
    <row r="4210">
      <c r="A4210" s="11">
        <v>4209.0</v>
      </c>
      <c r="B4210" s="12">
        <f t="shared" si="658"/>
        <v>40531</v>
      </c>
      <c r="C4210" s="11" t="s">
        <v>2447</v>
      </c>
      <c r="D4210" s="11" t="s">
        <v>28</v>
      </c>
    </row>
    <row r="4211">
      <c r="A4211" s="11">
        <v>4210.0</v>
      </c>
      <c r="B4211" s="12">
        <f t="shared" si="658"/>
        <v>40531</v>
      </c>
      <c r="C4211" s="11" t="s">
        <v>2447</v>
      </c>
      <c r="D4211" s="11" t="s">
        <v>66</v>
      </c>
    </row>
    <row r="4212">
      <c r="A4212" s="11">
        <v>4211.0</v>
      </c>
      <c r="B4212" s="12">
        <f t="shared" si="658"/>
        <v>40531</v>
      </c>
      <c r="C4212" s="11" t="s">
        <v>681</v>
      </c>
      <c r="D4212" s="11" t="s">
        <v>28</v>
      </c>
    </row>
    <row r="4213">
      <c r="A4213" s="11">
        <v>4212.0</v>
      </c>
      <c r="B4213" s="12">
        <f t="shared" si="658"/>
        <v>40531</v>
      </c>
      <c r="C4213" s="11" t="s">
        <v>681</v>
      </c>
      <c r="D4213" s="11" t="s">
        <v>28</v>
      </c>
    </row>
    <row r="4214">
      <c r="A4214" s="11">
        <v>4213.0</v>
      </c>
      <c r="B4214" s="12">
        <f t="shared" si="658"/>
        <v>40531</v>
      </c>
      <c r="C4214" s="11" t="s">
        <v>387</v>
      </c>
      <c r="D4214" s="11" t="s">
        <v>49</v>
      </c>
    </row>
    <row r="4215">
      <c r="A4215" s="11">
        <v>4214.0</v>
      </c>
      <c r="B4215" s="12">
        <f t="shared" si="658"/>
        <v>40531</v>
      </c>
      <c r="C4215" s="11" t="s">
        <v>387</v>
      </c>
      <c r="D4215" s="11" t="s">
        <v>66</v>
      </c>
    </row>
    <row r="4216">
      <c r="A4216" s="11">
        <v>4215.0</v>
      </c>
      <c r="B4216" s="12">
        <f t="shared" si="658"/>
        <v>40531</v>
      </c>
      <c r="C4216" s="11" t="s">
        <v>1524</v>
      </c>
      <c r="D4216" s="11" t="s">
        <v>66</v>
      </c>
    </row>
    <row r="4217">
      <c r="A4217" s="11">
        <v>4216.0</v>
      </c>
      <c r="B4217" s="12">
        <f t="shared" ref="B4217:B4223" si="659">DATE(2012,12,31)-742</f>
        <v>40532</v>
      </c>
      <c r="C4217" s="11" t="s">
        <v>1620</v>
      </c>
      <c r="D4217" s="11" t="s">
        <v>28</v>
      </c>
    </row>
    <row r="4218">
      <c r="A4218" s="11">
        <v>4217.0</v>
      </c>
      <c r="B4218" s="12">
        <f t="shared" si="659"/>
        <v>40532</v>
      </c>
      <c r="C4218" s="11" t="s">
        <v>2495</v>
      </c>
      <c r="D4218" s="11" t="s">
        <v>49</v>
      </c>
    </row>
    <row r="4219">
      <c r="A4219" s="11">
        <v>4218.0</v>
      </c>
      <c r="B4219" s="12">
        <f t="shared" si="659"/>
        <v>40532</v>
      </c>
      <c r="C4219" s="11" t="s">
        <v>665</v>
      </c>
      <c r="D4219" s="11" t="s">
        <v>28</v>
      </c>
    </row>
    <row r="4220">
      <c r="A4220" s="11">
        <v>4219.0</v>
      </c>
      <c r="B4220" s="12">
        <f t="shared" si="659"/>
        <v>40532</v>
      </c>
      <c r="C4220" s="11" t="s">
        <v>597</v>
      </c>
      <c r="D4220" s="11" t="s">
        <v>28</v>
      </c>
    </row>
    <row r="4221">
      <c r="A4221" s="11">
        <v>4220.0</v>
      </c>
      <c r="B4221" s="12">
        <f t="shared" si="659"/>
        <v>40532</v>
      </c>
      <c r="C4221" s="11" t="s">
        <v>597</v>
      </c>
      <c r="D4221" s="11" t="s">
        <v>49</v>
      </c>
    </row>
    <row r="4222">
      <c r="A4222" s="11">
        <v>4221.0</v>
      </c>
      <c r="B4222" s="12">
        <f t="shared" si="659"/>
        <v>40532</v>
      </c>
      <c r="C4222" s="11" t="s">
        <v>597</v>
      </c>
      <c r="D4222" s="11" t="s">
        <v>66</v>
      </c>
    </row>
    <row r="4223">
      <c r="A4223" s="11">
        <v>4222.0</v>
      </c>
      <c r="B4223" s="12">
        <f t="shared" si="659"/>
        <v>40532</v>
      </c>
      <c r="C4223" s="11" t="s">
        <v>288</v>
      </c>
      <c r="D4223" s="11" t="s">
        <v>49</v>
      </c>
    </row>
    <row r="4224">
      <c r="A4224" s="11">
        <v>4223.0</v>
      </c>
      <c r="B4224" s="12">
        <f t="shared" ref="B4224:B4231" si="660">DATE(2012,12,31)-741</f>
        <v>40533</v>
      </c>
      <c r="C4224" s="11" t="s">
        <v>815</v>
      </c>
      <c r="D4224" s="11" t="s">
        <v>66</v>
      </c>
    </row>
    <row r="4225">
      <c r="A4225" s="11">
        <v>4224.0</v>
      </c>
      <c r="B4225" s="12">
        <f t="shared" si="660"/>
        <v>40533</v>
      </c>
      <c r="C4225" s="11" t="s">
        <v>2093</v>
      </c>
      <c r="D4225" s="11" t="s">
        <v>66</v>
      </c>
    </row>
    <row r="4226">
      <c r="A4226" s="11">
        <v>4225.0</v>
      </c>
      <c r="B4226" s="12">
        <f t="shared" si="660"/>
        <v>40533</v>
      </c>
      <c r="C4226" s="11" t="s">
        <v>152</v>
      </c>
      <c r="D4226" s="11" t="s">
        <v>28</v>
      </c>
    </row>
    <row r="4227">
      <c r="A4227" s="11">
        <v>4226.0</v>
      </c>
      <c r="B4227" s="12">
        <f t="shared" si="660"/>
        <v>40533</v>
      </c>
      <c r="C4227" s="11" t="s">
        <v>152</v>
      </c>
      <c r="D4227" s="11" t="s">
        <v>28</v>
      </c>
    </row>
    <row r="4228">
      <c r="A4228" s="11">
        <v>4227.0</v>
      </c>
      <c r="B4228" s="12">
        <f t="shared" si="660"/>
        <v>40533</v>
      </c>
      <c r="C4228" s="11" t="s">
        <v>395</v>
      </c>
      <c r="D4228" s="11" t="s">
        <v>66</v>
      </c>
    </row>
    <row r="4229">
      <c r="A4229" s="11">
        <v>4228.0</v>
      </c>
      <c r="B4229" s="12">
        <f t="shared" si="660"/>
        <v>40533</v>
      </c>
      <c r="C4229" s="11" t="s">
        <v>1841</v>
      </c>
      <c r="D4229" s="11" t="s">
        <v>28</v>
      </c>
    </row>
    <row r="4230">
      <c r="A4230" s="11">
        <v>4229.0</v>
      </c>
      <c r="B4230" s="12">
        <f t="shared" si="660"/>
        <v>40533</v>
      </c>
      <c r="C4230" s="11" t="s">
        <v>88</v>
      </c>
      <c r="D4230" s="11" t="s">
        <v>28</v>
      </c>
    </row>
    <row r="4231">
      <c r="A4231" s="11">
        <v>4230.0</v>
      </c>
      <c r="B4231" s="12">
        <f t="shared" si="660"/>
        <v>40533</v>
      </c>
      <c r="C4231" s="11" t="s">
        <v>2043</v>
      </c>
      <c r="D4231" s="11" t="s">
        <v>28</v>
      </c>
    </row>
    <row r="4232">
      <c r="A4232" s="11">
        <v>4231.0</v>
      </c>
      <c r="B4232" s="12">
        <f t="shared" ref="B4232:B4237" si="661">DATE(2012,12,31)-740</f>
        <v>40534</v>
      </c>
      <c r="C4232" s="11" t="s">
        <v>780</v>
      </c>
      <c r="D4232" s="11" t="s">
        <v>66</v>
      </c>
    </row>
    <row r="4233">
      <c r="A4233" s="11">
        <v>4232.0</v>
      </c>
      <c r="B4233" s="12">
        <f t="shared" si="661"/>
        <v>40534</v>
      </c>
      <c r="C4233" s="11" t="s">
        <v>196</v>
      </c>
      <c r="D4233" s="11" t="s">
        <v>28</v>
      </c>
    </row>
    <row r="4234">
      <c r="A4234" s="11">
        <v>4233.0</v>
      </c>
      <c r="B4234" s="12">
        <f t="shared" si="661"/>
        <v>40534</v>
      </c>
      <c r="C4234" s="11" t="s">
        <v>196</v>
      </c>
      <c r="D4234" s="11" t="s">
        <v>28</v>
      </c>
    </row>
    <row r="4235">
      <c r="A4235" s="11">
        <v>4234.0</v>
      </c>
      <c r="B4235" s="12">
        <f t="shared" si="661"/>
        <v>40534</v>
      </c>
      <c r="C4235" s="11" t="s">
        <v>1501</v>
      </c>
      <c r="D4235" s="11" t="s">
        <v>66</v>
      </c>
    </row>
    <row r="4236">
      <c r="A4236" s="11">
        <v>4235.0</v>
      </c>
      <c r="B4236" s="12">
        <f t="shared" si="661"/>
        <v>40534</v>
      </c>
      <c r="C4236" s="11" t="s">
        <v>1501</v>
      </c>
      <c r="D4236" s="11" t="s">
        <v>28</v>
      </c>
    </row>
    <row r="4237">
      <c r="A4237" s="11">
        <v>4236.0</v>
      </c>
      <c r="B4237" s="12">
        <f t="shared" si="661"/>
        <v>40534</v>
      </c>
      <c r="C4237" s="11" t="s">
        <v>798</v>
      </c>
      <c r="D4237" s="11" t="s">
        <v>66</v>
      </c>
    </row>
    <row r="4238">
      <c r="A4238" s="11">
        <v>4237.0</v>
      </c>
      <c r="B4238" s="12">
        <f>DATE(2012,12,31)-739</f>
        <v>40535</v>
      </c>
      <c r="C4238" s="11" t="s">
        <v>2140</v>
      </c>
      <c r="D4238" s="11" t="s">
        <v>66</v>
      </c>
    </row>
    <row r="4239">
      <c r="A4239" s="11">
        <v>4238.0</v>
      </c>
      <c r="B4239" s="12">
        <f t="shared" ref="B4239:B4246" si="662">DATE(2012,12,31)-738</f>
        <v>40536</v>
      </c>
      <c r="C4239" s="11" t="s">
        <v>1629</v>
      </c>
      <c r="D4239" s="11" t="s">
        <v>28</v>
      </c>
    </row>
    <row r="4240">
      <c r="A4240" s="11">
        <v>4239.0</v>
      </c>
      <c r="B4240" s="12">
        <f t="shared" si="662"/>
        <v>40536</v>
      </c>
      <c r="C4240" s="11" t="s">
        <v>1629</v>
      </c>
      <c r="D4240" s="11" t="s">
        <v>49</v>
      </c>
    </row>
    <row r="4241">
      <c r="A4241" s="11">
        <v>4240.0</v>
      </c>
      <c r="B4241" s="12">
        <f t="shared" si="662"/>
        <v>40536</v>
      </c>
      <c r="C4241" s="11" t="s">
        <v>1629</v>
      </c>
      <c r="D4241" s="11" t="s">
        <v>66</v>
      </c>
    </row>
    <row r="4242">
      <c r="A4242" s="11">
        <v>4241.0</v>
      </c>
      <c r="B4242" s="12">
        <f t="shared" si="662"/>
        <v>40536</v>
      </c>
      <c r="C4242" s="11" t="s">
        <v>1364</v>
      </c>
      <c r="D4242" s="11" t="s">
        <v>49</v>
      </c>
    </row>
    <row r="4243">
      <c r="A4243" s="11">
        <v>4242.0</v>
      </c>
      <c r="B4243" s="12">
        <f t="shared" si="662"/>
        <v>40536</v>
      </c>
      <c r="C4243" s="11" t="s">
        <v>659</v>
      </c>
      <c r="D4243" s="11" t="s">
        <v>66</v>
      </c>
    </row>
    <row r="4244">
      <c r="A4244" s="11">
        <v>4243.0</v>
      </c>
      <c r="B4244" s="12">
        <f t="shared" si="662"/>
        <v>40536</v>
      </c>
      <c r="C4244" s="11" t="s">
        <v>2253</v>
      </c>
      <c r="D4244" s="11" t="s">
        <v>49</v>
      </c>
    </row>
    <row r="4245">
      <c r="A4245" s="11">
        <v>4244.0</v>
      </c>
      <c r="B4245" s="12">
        <f t="shared" si="662"/>
        <v>40536</v>
      </c>
      <c r="C4245" s="11" t="s">
        <v>958</v>
      </c>
      <c r="D4245" s="11" t="s">
        <v>28</v>
      </c>
    </row>
    <row r="4246">
      <c r="A4246" s="11">
        <v>4245.0</v>
      </c>
      <c r="B4246" s="12">
        <f t="shared" si="662"/>
        <v>40536</v>
      </c>
      <c r="C4246" s="11" t="s">
        <v>958</v>
      </c>
      <c r="D4246" s="11" t="s">
        <v>66</v>
      </c>
    </row>
    <row r="4247">
      <c r="A4247" s="11">
        <v>4246.0</v>
      </c>
      <c r="B4247" s="12">
        <f t="shared" ref="B4247:B4252" si="663">DATE(2012,12,31)-737</f>
        <v>40537</v>
      </c>
      <c r="C4247" s="11" t="s">
        <v>426</v>
      </c>
      <c r="D4247" s="11" t="s">
        <v>49</v>
      </c>
    </row>
    <row r="4248">
      <c r="A4248" s="11">
        <v>4247.0</v>
      </c>
      <c r="B4248" s="12">
        <f t="shared" si="663"/>
        <v>40537</v>
      </c>
      <c r="C4248" s="11" t="s">
        <v>426</v>
      </c>
      <c r="D4248" s="11" t="s">
        <v>49</v>
      </c>
    </row>
    <row r="4249">
      <c r="A4249" s="11">
        <v>4248.0</v>
      </c>
      <c r="B4249" s="12">
        <f t="shared" si="663"/>
        <v>40537</v>
      </c>
      <c r="C4249" s="11" t="s">
        <v>426</v>
      </c>
      <c r="D4249" s="11" t="s">
        <v>49</v>
      </c>
    </row>
    <row r="4250">
      <c r="A4250" s="11">
        <v>4249.0</v>
      </c>
      <c r="B4250" s="12">
        <f t="shared" si="663"/>
        <v>40537</v>
      </c>
      <c r="C4250" s="11" t="s">
        <v>1851</v>
      </c>
      <c r="D4250" s="11" t="s">
        <v>28</v>
      </c>
    </row>
    <row r="4251">
      <c r="A4251" s="11">
        <v>4250.0</v>
      </c>
      <c r="B4251" s="12">
        <f t="shared" si="663"/>
        <v>40537</v>
      </c>
      <c r="C4251" s="11" t="s">
        <v>1851</v>
      </c>
      <c r="D4251" s="11" t="s">
        <v>66</v>
      </c>
    </row>
    <row r="4252">
      <c r="A4252" s="11">
        <v>4251.0</v>
      </c>
      <c r="B4252" s="12">
        <f t="shared" si="663"/>
        <v>40537</v>
      </c>
      <c r="C4252" s="11" t="s">
        <v>839</v>
      </c>
      <c r="D4252" s="11" t="s">
        <v>28</v>
      </c>
    </row>
    <row r="4253">
      <c r="A4253" s="11">
        <v>4252.0</v>
      </c>
      <c r="B4253" s="12">
        <f t="shared" ref="B4253:B4266" si="664">DATE(2012,12,31)-736</f>
        <v>40538</v>
      </c>
      <c r="C4253" s="11" t="s">
        <v>604</v>
      </c>
      <c r="D4253" s="11" t="s">
        <v>28</v>
      </c>
    </row>
    <row r="4254">
      <c r="A4254" s="11">
        <v>4253.0</v>
      </c>
      <c r="B4254" s="12">
        <f t="shared" si="664"/>
        <v>40538</v>
      </c>
      <c r="C4254" s="11" t="s">
        <v>604</v>
      </c>
      <c r="D4254" s="11" t="s">
        <v>49</v>
      </c>
    </row>
    <row r="4255">
      <c r="A4255" s="11">
        <v>4254.0</v>
      </c>
      <c r="B4255" s="12">
        <f t="shared" si="664"/>
        <v>40538</v>
      </c>
      <c r="C4255" s="11" t="s">
        <v>604</v>
      </c>
      <c r="D4255" s="11" t="s">
        <v>66</v>
      </c>
    </row>
    <row r="4256">
      <c r="A4256" s="11">
        <v>4255.0</v>
      </c>
      <c r="B4256" s="12">
        <f t="shared" si="664"/>
        <v>40538</v>
      </c>
      <c r="C4256" s="11" t="s">
        <v>363</v>
      </c>
      <c r="D4256" s="11" t="s">
        <v>28</v>
      </c>
    </row>
    <row r="4257">
      <c r="A4257" s="11">
        <v>4256.0</v>
      </c>
      <c r="B4257" s="12">
        <f t="shared" si="664"/>
        <v>40538</v>
      </c>
      <c r="C4257" s="11" t="s">
        <v>363</v>
      </c>
      <c r="D4257" s="11" t="s">
        <v>28</v>
      </c>
    </row>
    <row r="4258">
      <c r="A4258" s="11">
        <v>4257.0</v>
      </c>
      <c r="B4258" s="12">
        <f t="shared" si="664"/>
        <v>40538</v>
      </c>
      <c r="C4258" s="11" t="s">
        <v>1024</v>
      </c>
      <c r="D4258" s="11" t="s">
        <v>28</v>
      </c>
    </row>
    <row r="4259">
      <c r="A4259" s="11">
        <v>4258.0</v>
      </c>
      <c r="B4259" s="12">
        <f t="shared" si="664"/>
        <v>40538</v>
      </c>
      <c r="C4259" s="11" t="s">
        <v>1024</v>
      </c>
      <c r="D4259" s="11" t="s">
        <v>66</v>
      </c>
    </row>
    <row r="4260">
      <c r="A4260" s="11">
        <v>4259.0</v>
      </c>
      <c r="B4260" s="12">
        <f t="shared" si="664"/>
        <v>40538</v>
      </c>
      <c r="C4260" s="11" t="s">
        <v>1024</v>
      </c>
      <c r="D4260" s="11" t="s">
        <v>66</v>
      </c>
    </row>
    <row r="4261">
      <c r="A4261" s="11">
        <v>4260.0</v>
      </c>
      <c r="B4261" s="12">
        <f t="shared" si="664"/>
        <v>40538</v>
      </c>
      <c r="C4261" s="11" t="s">
        <v>2496</v>
      </c>
      <c r="D4261" s="11" t="s">
        <v>66</v>
      </c>
    </row>
    <row r="4262">
      <c r="A4262" s="11">
        <v>4261.0</v>
      </c>
      <c r="B4262" s="12">
        <f t="shared" si="664"/>
        <v>40538</v>
      </c>
      <c r="C4262" s="11" t="s">
        <v>2496</v>
      </c>
      <c r="D4262" s="11" t="s">
        <v>66</v>
      </c>
    </row>
    <row r="4263">
      <c r="A4263" s="11">
        <v>4262.0</v>
      </c>
      <c r="B4263" s="12">
        <f t="shared" si="664"/>
        <v>40538</v>
      </c>
      <c r="C4263" s="11" t="s">
        <v>1292</v>
      </c>
      <c r="D4263" s="11" t="s">
        <v>28</v>
      </c>
    </row>
    <row r="4264">
      <c r="A4264" s="11">
        <v>4263.0</v>
      </c>
      <c r="B4264" s="12">
        <f t="shared" si="664"/>
        <v>40538</v>
      </c>
      <c r="C4264" s="11" t="s">
        <v>1292</v>
      </c>
      <c r="D4264" s="11" t="s">
        <v>28</v>
      </c>
    </row>
    <row r="4265">
      <c r="A4265" s="11">
        <v>4264.0</v>
      </c>
      <c r="B4265" s="12">
        <f t="shared" si="664"/>
        <v>40538</v>
      </c>
      <c r="C4265" s="11" t="s">
        <v>1462</v>
      </c>
      <c r="D4265" s="11" t="s">
        <v>66</v>
      </c>
    </row>
    <row r="4266">
      <c r="A4266" s="11">
        <v>4265.0</v>
      </c>
      <c r="B4266" s="12">
        <f t="shared" si="664"/>
        <v>40538</v>
      </c>
      <c r="C4266" s="11" t="s">
        <v>2026</v>
      </c>
      <c r="D4266" s="11" t="s">
        <v>66</v>
      </c>
    </row>
    <row r="4267">
      <c r="A4267" s="11">
        <v>4266.0</v>
      </c>
      <c r="B4267" s="12">
        <f t="shared" ref="B4267:B4268" si="665">DATE(2012,12,31)-735</f>
        <v>40539</v>
      </c>
      <c r="C4267" s="11" t="s">
        <v>1108</v>
      </c>
      <c r="D4267" s="11" t="s">
        <v>28</v>
      </c>
    </row>
    <row r="4268">
      <c r="A4268" s="11">
        <v>4267.0</v>
      </c>
      <c r="B4268" s="12">
        <f t="shared" si="665"/>
        <v>40539</v>
      </c>
      <c r="C4268" s="11" t="s">
        <v>630</v>
      </c>
      <c r="D4268" s="11" t="s">
        <v>28</v>
      </c>
    </row>
    <row r="4269">
      <c r="A4269" s="11">
        <v>4268.0</v>
      </c>
      <c r="B4269" s="12">
        <f t="shared" ref="B4269:B4276" si="666">DATE(2012,12,31)-734</f>
        <v>40540</v>
      </c>
      <c r="C4269" s="11" t="s">
        <v>514</v>
      </c>
      <c r="D4269" s="11" t="s">
        <v>49</v>
      </c>
    </row>
    <row r="4270">
      <c r="A4270" s="11">
        <v>4269.0</v>
      </c>
      <c r="B4270" s="12">
        <f t="shared" si="666"/>
        <v>40540</v>
      </c>
      <c r="C4270" s="11" t="s">
        <v>1152</v>
      </c>
      <c r="D4270" s="11" t="s">
        <v>28</v>
      </c>
    </row>
    <row r="4271">
      <c r="A4271" s="11">
        <v>4270.0</v>
      </c>
      <c r="B4271" s="12">
        <f t="shared" si="666"/>
        <v>40540</v>
      </c>
      <c r="C4271" s="11" t="s">
        <v>1560</v>
      </c>
      <c r="D4271" s="11" t="s">
        <v>28</v>
      </c>
    </row>
    <row r="4272">
      <c r="A4272" s="11">
        <v>4271.0</v>
      </c>
      <c r="B4272" s="12">
        <f t="shared" si="666"/>
        <v>40540</v>
      </c>
      <c r="C4272" s="11" t="s">
        <v>1560</v>
      </c>
      <c r="D4272" s="11" t="s">
        <v>28</v>
      </c>
    </row>
    <row r="4273">
      <c r="A4273" s="11">
        <v>4272.0</v>
      </c>
      <c r="B4273" s="12">
        <f t="shared" si="666"/>
        <v>40540</v>
      </c>
      <c r="C4273" s="11" t="s">
        <v>1560</v>
      </c>
      <c r="D4273" s="11" t="s">
        <v>28</v>
      </c>
    </row>
    <row r="4274">
      <c r="A4274" s="22">
        <v>4273.0</v>
      </c>
      <c r="B4274" s="23">
        <f t="shared" si="666"/>
        <v>40540</v>
      </c>
      <c r="C4274" s="22" t="s">
        <v>1524</v>
      </c>
      <c r="D4274" s="22" t="s">
        <v>66</v>
      </c>
    </row>
    <row r="4275">
      <c r="A4275" s="11">
        <v>4274.0</v>
      </c>
      <c r="B4275" s="12">
        <f t="shared" si="666"/>
        <v>40540</v>
      </c>
      <c r="C4275" s="11" t="s">
        <v>1640</v>
      </c>
      <c r="D4275" s="11" t="s">
        <v>28</v>
      </c>
    </row>
    <row r="4276">
      <c r="A4276" s="11">
        <v>4275.0</v>
      </c>
      <c r="B4276" s="12">
        <f t="shared" si="666"/>
        <v>40540</v>
      </c>
      <c r="C4276" s="11" t="s">
        <v>1387</v>
      </c>
      <c r="D4276" s="11" t="s">
        <v>28</v>
      </c>
    </row>
    <row r="4277">
      <c r="A4277" s="11">
        <v>4276.0</v>
      </c>
      <c r="B4277" s="12">
        <f t="shared" ref="B4277:B4284" si="667">DATE(2012,12,31)-733</f>
        <v>40541</v>
      </c>
      <c r="C4277" s="11" t="s">
        <v>2027</v>
      </c>
      <c r="D4277" s="11" t="s">
        <v>28</v>
      </c>
    </row>
    <row r="4278">
      <c r="A4278" s="11">
        <v>4277.0</v>
      </c>
      <c r="B4278" s="12">
        <f t="shared" si="667"/>
        <v>40541</v>
      </c>
      <c r="C4278" s="11" t="s">
        <v>1476</v>
      </c>
      <c r="D4278" s="11" t="s">
        <v>28</v>
      </c>
    </row>
    <row r="4279">
      <c r="A4279" s="11">
        <v>4278.0</v>
      </c>
      <c r="B4279" s="12">
        <f t="shared" si="667"/>
        <v>40541</v>
      </c>
      <c r="C4279" s="11" t="s">
        <v>1450</v>
      </c>
      <c r="D4279" s="11" t="s">
        <v>28</v>
      </c>
    </row>
    <row r="4280">
      <c r="A4280" s="11">
        <v>4279.0</v>
      </c>
      <c r="B4280" s="12">
        <f t="shared" si="667"/>
        <v>40541</v>
      </c>
      <c r="C4280" s="11" t="s">
        <v>1450</v>
      </c>
      <c r="D4280" s="11" t="s">
        <v>49</v>
      </c>
    </row>
    <row r="4281">
      <c r="A4281" s="11">
        <v>4280.0</v>
      </c>
      <c r="B4281" s="12">
        <f t="shared" si="667"/>
        <v>40541</v>
      </c>
      <c r="C4281" s="11" t="s">
        <v>1535</v>
      </c>
      <c r="D4281" s="11" t="s">
        <v>28</v>
      </c>
    </row>
    <row r="4282">
      <c r="A4282" s="11">
        <v>4281.0</v>
      </c>
      <c r="B4282" s="12">
        <f t="shared" si="667"/>
        <v>40541</v>
      </c>
      <c r="C4282" s="11" t="s">
        <v>1535</v>
      </c>
      <c r="D4282" s="11" t="s">
        <v>66</v>
      </c>
    </row>
    <row r="4283">
      <c r="A4283" s="11">
        <v>4282.0</v>
      </c>
      <c r="B4283" s="12">
        <f t="shared" si="667"/>
        <v>40541</v>
      </c>
      <c r="C4283" s="11" t="s">
        <v>1535</v>
      </c>
      <c r="D4283" s="11" t="s">
        <v>28</v>
      </c>
    </row>
    <row r="4284">
      <c r="A4284" s="11">
        <v>4283.0</v>
      </c>
      <c r="B4284" s="12">
        <f t="shared" si="667"/>
        <v>40541</v>
      </c>
      <c r="C4284" s="11" t="s">
        <v>1535</v>
      </c>
      <c r="D4284" s="11" t="s">
        <v>28</v>
      </c>
    </row>
    <row r="4285">
      <c r="A4285" s="11">
        <v>4284.0</v>
      </c>
      <c r="B4285" s="12">
        <f t="shared" ref="B4285:B4292" si="668">DATE(2012,12,31)-732</f>
        <v>40542</v>
      </c>
      <c r="C4285" s="11" t="s">
        <v>1939</v>
      </c>
      <c r="D4285" s="11" t="s">
        <v>28</v>
      </c>
    </row>
    <row r="4286">
      <c r="A4286" s="11">
        <v>4285.0</v>
      </c>
      <c r="B4286" s="12">
        <f t="shared" si="668"/>
        <v>40542</v>
      </c>
      <c r="C4286" s="11" t="s">
        <v>657</v>
      </c>
      <c r="D4286" s="11" t="s">
        <v>49</v>
      </c>
    </row>
    <row r="4287">
      <c r="A4287" s="11">
        <v>4286.0</v>
      </c>
      <c r="B4287" s="12">
        <f t="shared" si="668"/>
        <v>40542</v>
      </c>
      <c r="C4287" s="11" t="s">
        <v>657</v>
      </c>
      <c r="D4287" s="11" t="s">
        <v>28</v>
      </c>
    </row>
    <row r="4288">
      <c r="A4288" s="11">
        <v>4287.0</v>
      </c>
      <c r="B4288" s="12">
        <f t="shared" si="668"/>
        <v>40542</v>
      </c>
      <c r="C4288" s="11" t="s">
        <v>657</v>
      </c>
      <c r="D4288" s="11" t="s">
        <v>66</v>
      </c>
    </row>
    <row r="4289">
      <c r="A4289" s="11">
        <v>4288.0</v>
      </c>
      <c r="B4289" s="12">
        <f t="shared" si="668"/>
        <v>40542</v>
      </c>
      <c r="C4289" s="11" t="s">
        <v>2069</v>
      </c>
      <c r="D4289" s="11" t="s">
        <v>28</v>
      </c>
    </row>
    <row r="4290">
      <c r="A4290" s="11">
        <v>4289.0</v>
      </c>
      <c r="B4290" s="12">
        <f t="shared" si="668"/>
        <v>40542</v>
      </c>
      <c r="C4290" s="11" t="s">
        <v>1578</v>
      </c>
      <c r="D4290" s="11" t="s">
        <v>28</v>
      </c>
    </row>
    <row r="4291">
      <c r="A4291" s="11">
        <v>4290.0</v>
      </c>
      <c r="B4291" s="12">
        <f t="shared" si="668"/>
        <v>40542</v>
      </c>
      <c r="C4291" s="11" t="s">
        <v>353</v>
      </c>
      <c r="D4291" s="11" t="s">
        <v>66</v>
      </c>
    </row>
    <row r="4292">
      <c r="A4292" s="11">
        <v>4291.0</v>
      </c>
      <c r="B4292" s="12">
        <f t="shared" si="668"/>
        <v>40542</v>
      </c>
      <c r="C4292" s="11" t="s">
        <v>353</v>
      </c>
      <c r="D4292" s="11" t="s">
        <v>28</v>
      </c>
    </row>
    <row r="4293">
      <c r="A4293" s="11">
        <v>4292.0</v>
      </c>
      <c r="B4293" s="12">
        <f t="shared" ref="B4293:B4296" si="669">DATE(2012,12,31)-731</f>
        <v>40543</v>
      </c>
      <c r="C4293" s="11" t="s">
        <v>1080</v>
      </c>
      <c r="D4293" s="11" t="s">
        <v>49</v>
      </c>
    </row>
    <row r="4294">
      <c r="A4294" s="11">
        <v>4293.0</v>
      </c>
      <c r="B4294" s="12">
        <f t="shared" si="669"/>
        <v>40543</v>
      </c>
      <c r="C4294" s="11" t="s">
        <v>1080</v>
      </c>
      <c r="D4294" s="11" t="s">
        <v>66</v>
      </c>
    </row>
    <row r="4295">
      <c r="A4295" s="11">
        <v>4294.0</v>
      </c>
      <c r="B4295" s="12">
        <f t="shared" si="669"/>
        <v>40543</v>
      </c>
      <c r="C4295" s="11" t="s">
        <v>2097</v>
      </c>
      <c r="D4295" s="11" t="s">
        <v>28</v>
      </c>
    </row>
    <row r="4296">
      <c r="A4296" s="29">
        <v>4295.0</v>
      </c>
      <c r="B4296" s="30">
        <f t="shared" si="669"/>
        <v>40543</v>
      </c>
      <c r="C4296" s="29" t="s">
        <v>1884</v>
      </c>
      <c r="D4296" s="29" t="s">
        <v>28</v>
      </c>
    </row>
    <row r="4297">
      <c r="A4297" s="11">
        <v>4296.0</v>
      </c>
      <c r="B4297" s="12">
        <f t="shared" ref="B4297:B4301" si="670">DATE(2012,12,31)-730</f>
        <v>40544</v>
      </c>
      <c r="C4297" s="11" t="s">
        <v>1827</v>
      </c>
      <c r="D4297" s="11" t="s">
        <v>66</v>
      </c>
    </row>
    <row r="4298">
      <c r="A4298" s="11">
        <v>4297.0</v>
      </c>
      <c r="B4298" s="12">
        <f t="shared" si="670"/>
        <v>40544</v>
      </c>
      <c r="C4298" s="11" t="s">
        <v>1827</v>
      </c>
      <c r="D4298" s="11" t="s">
        <v>28</v>
      </c>
    </row>
    <row r="4299">
      <c r="A4299" s="11">
        <v>4298.0</v>
      </c>
      <c r="B4299" s="12">
        <f t="shared" si="670"/>
        <v>40544</v>
      </c>
      <c r="C4299" s="11" t="s">
        <v>2009</v>
      </c>
      <c r="D4299" s="11" t="s">
        <v>28</v>
      </c>
    </row>
    <row r="4300">
      <c r="A4300" s="11">
        <v>4299.0</v>
      </c>
      <c r="B4300" s="12">
        <f t="shared" si="670"/>
        <v>40544</v>
      </c>
      <c r="C4300" s="11" t="s">
        <v>1961</v>
      </c>
      <c r="D4300" s="11" t="s">
        <v>28</v>
      </c>
    </row>
    <row r="4301">
      <c r="A4301" s="11">
        <v>4300.0</v>
      </c>
      <c r="B4301" s="12">
        <f t="shared" si="670"/>
        <v>40544</v>
      </c>
      <c r="C4301" s="11" t="s">
        <v>775</v>
      </c>
      <c r="D4301" s="11" t="s">
        <v>28</v>
      </c>
    </row>
    <row r="4302">
      <c r="A4302" s="11">
        <v>4301.0</v>
      </c>
      <c r="B4302" s="12">
        <f t="shared" ref="B4302:B4306" si="671">DATE(2012,12,31)-729</f>
        <v>40545</v>
      </c>
      <c r="C4302" s="11" t="s">
        <v>546</v>
      </c>
      <c r="D4302" s="11" t="s">
        <v>49</v>
      </c>
    </row>
    <row r="4303">
      <c r="A4303" s="11">
        <v>4302.0</v>
      </c>
      <c r="B4303" s="12">
        <f t="shared" si="671"/>
        <v>40545</v>
      </c>
      <c r="C4303" s="11" t="s">
        <v>546</v>
      </c>
      <c r="D4303" s="11" t="s">
        <v>49</v>
      </c>
    </row>
    <row r="4304">
      <c r="A4304" s="11">
        <v>4303.0</v>
      </c>
      <c r="B4304" s="12">
        <f t="shared" si="671"/>
        <v>40545</v>
      </c>
      <c r="C4304" s="11" t="s">
        <v>546</v>
      </c>
      <c r="D4304" s="11" t="s">
        <v>49</v>
      </c>
    </row>
    <row r="4305">
      <c r="A4305" s="11">
        <v>4304.0</v>
      </c>
      <c r="B4305" s="12">
        <f t="shared" si="671"/>
        <v>40545</v>
      </c>
      <c r="C4305" s="11" t="s">
        <v>1472</v>
      </c>
      <c r="D4305" s="11" t="s">
        <v>28</v>
      </c>
    </row>
    <row r="4306">
      <c r="A4306" s="11">
        <v>4305.0</v>
      </c>
      <c r="B4306" s="12">
        <f t="shared" si="671"/>
        <v>40545</v>
      </c>
      <c r="C4306" s="11" t="s">
        <v>775</v>
      </c>
      <c r="D4306" s="11" t="s">
        <v>49</v>
      </c>
    </row>
    <row r="4307">
      <c r="A4307" s="11">
        <v>4306.0</v>
      </c>
      <c r="B4307" s="12">
        <f t="shared" ref="B4307:B4310" si="672">DATE(2012,12,31)-728</f>
        <v>40546</v>
      </c>
      <c r="C4307" s="11" t="s">
        <v>1731</v>
      </c>
      <c r="D4307" s="11" t="s">
        <v>28</v>
      </c>
    </row>
    <row r="4308">
      <c r="A4308" s="11">
        <v>4307.0</v>
      </c>
      <c r="B4308" s="12">
        <f t="shared" si="672"/>
        <v>40546</v>
      </c>
      <c r="C4308" s="11" t="s">
        <v>930</v>
      </c>
      <c r="D4308" s="11" t="s">
        <v>28</v>
      </c>
    </row>
    <row r="4309">
      <c r="A4309" s="11">
        <v>4308.0</v>
      </c>
      <c r="B4309" s="12">
        <f t="shared" si="672"/>
        <v>40546</v>
      </c>
      <c r="C4309" s="11" t="s">
        <v>930</v>
      </c>
      <c r="D4309" s="11" t="s">
        <v>28</v>
      </c>
    </row>
    <row r="4310">
      <c r="A4310" s="11">
        <v>4309.0</v>
      </c>
      <c r="B4310" s="12">
        <f t="shared" si="672"/>
        <v>40546</v>
      </c>
      <c r="C4310" s="11" t="s">
        <v>2498</v>
      </c>
      <c r="D4310" s="11" t="s">
        <v>66</v>
      </c>
    </row>
    <row r="4311">
      <c r="A4311" s="11">
        <v>4310.0</v>
      </c>
      <c r="B4311" s="12">
        <f t="shared" ref="B4311:B4321" si="673">DATE(2012,12,31)-727</f>
        <v>40547</v>
      </c>
      <c r="C4311" s="11" t="s">
        <v>2000</v>
      </c>
      <c r="D4311" s="11" t="s">
        <v>28</v>
      </c>
    </row>
    <row r="4312">
      <c r="A4312" s="11">
        <v>4311.0</v>
      </c>
      <c r="B4312" s="12">
        <f t="shared" si="673"/>
        <v>40547</v>
      </c>
      <c r="C4312" s="11" t="s">
        <v>2000</v>
      </c>
      <c r="D4312" s="11" t="s">
        <v>66</v>
      </c>
    </row>
    <row r="4313">
      <c r="A4313" s="11">
        <v>4312.0</v>
      </c>
      <c r="B4313" s="12">
        <f t="shared" si="673"/>
        <v>40547</v>
      </c>
      <c r="C4313" s="11" t="s">
        <v>1655</v>
      </c>
      <c r="D4313" s="11" t="s">
        <v>28</v>
      </c>
    </row>
    <row r="4314">
      <c r="A4314" s="11">
        <v>4313.0</v>
      </c>
      <c r="B4314" s="12">
        <f t="shared" si="673"/>
        <v>40547</v>
      </c>
      <c r="C4314" s="11" t="s">
        <v>1655</v>
      </c>
      <c r="D4314" s="11" t="s">
        <v>49</v>
      </c>
    </row>
    <row r="4315">
      <c r="A4315" s="11">
        <v>4314.0</v>
      </c>
      <c r="B4315" s="12">
        <f t="shared" si="673"/>
        <v>40547</v>
      </c>
      <c r="C4315" s="11" t="s">
        <v>222</v>
      </c>
      <c r="D4315" s="11" t="s">
        <v>28</v>
      </c>
    </row>
    <row r="4316">
      <c r="A4316" s="11">
        <v>4315.0</v>
      </c>
      <c r="B4316" s="12">
        <f t="shared" si="673"/>
        <v>40547</v>
      </c>
      <c r="C4316" s="11" t="s">
        <v>262</v>
      </c>
      <c r="D4316" s="11" t="s">
        <v>66</v>
      </c>
    </row>
    <row r="4317">
      <c r="A4317" s="11">
        <v>4316.0</v>
      </c>
      <c r="B4317" s="12">
        <f t="shared" si="673"/>
        <v>40547</v>
      </c>
      <c r="C4317" s="11" t="s">
        <v>94</v>
      </c>
      <c r="D4317" s="11" t="s">
        <v>66</v>
      </c>
    </row>
    <row r="4318">
      <c r="A4318" s="11">
        <v>4317.0</v>
      </c>
      <c r="B4318" s="12">
        <f t="shared" si="673"/>
        <v>40547</v>
      </c>
      <c r="C4318" s="11" t="s">
        <v>1387</v>
      </c>
      <c r="D4318" s="11" t="s">
        <v>28</v>
      </c>
    </row>
    <row r="4319">
      <c r="A4319" s="11">
        <v>4318.0</v>
      </c>
      <c r="B4319" s="12">
        <f t="shared" si="673"/>
        <v>40547</v>
      </c>
      <c r="C4319" s="11" t="s">
        <v>1387</v>
      </c>
      <c r="D4319" s="11" t="s">
        <v>28</v>
      </c>
    </row>
    <row r="4320">
      <c r="A4320" s="11">
        <v>4319.0</v>
      </c>
      <c r="B4320" s="12">
        <f t="shared" si="673"/>
        <v>40547</v>
      </c>
      <c r="C4320" s="11" t="s">
        <v>1387</v>
      </c>
      <c r="D4320" s="11" t="s">
        <v>28</v>
      </c>
    </row>
    <row r="4321">
      <c r="A4321" s="11">
        <v>4320.0</v>
      </c>
      <c r="B4321" s="12">
        <f t="shared" si="673"/>
        <v>40547</v>
      </c>
      <c r="C4321" s="11" t="s">
        <v>40</v>
      </c>
      <c r="D4321" s="11" t="s">
        <v>49</v>
      </c>
    </row>
    <row r="4322">
      <c r="A4322" s="11">
        <v>4321.0</v>
      </c>
      <c r="B4322" s="12">
        <f t="shared" ref="B4322:B4323" si="674">DATE(2012,12,31)-726</f>
        <v>40548</v>
      </c>
      <c r="C4322" s="11" t="s">
        <v>2499</v>
      </c>
      <c r="D4322" s="11" t="s">
        <v>49</v>
      </c>
    </row>
    <row r="4323">
      <c r="A4323" s="11">
        <v>4322.0</v>
      </c>
      <c r="B4323" s="12">
        <f t="shared" si="674"/>
        <v>40548</v>
      </c>
      <c r="C4323" s="11" t="s">
        <v>2499</v>
      </c>
      <c r="D4323" s="11" t="s">
        <v>28</v>
      </c>
    </row>
    <row r="4324">
      <c r="A4324" s="11">
        <v>4323.0</v>
      </c>
      <c r="B4324" s="12">
        <f t="shared" ref="B4324:B4330" si="675">DATE(2012,12,31)-725</f>
        <v>40549</v>
      </c>
      <c r="C4324" s="11" t="s">
        <v>1387</v>
      </c>
      <c r="D4324" s="11" t="s">
        <v>28</v>
      </c>
    </row>
    <row r="4325">
      <c r="A4325" s="11">
        <v>4324.0</v>
      </c>
      <c r="B4325" s="12">
        <f t="shared" si="675"/>
        <v>40549</v>
      </c>
      <c r="C4325" s="11" t="s">
        <v>1387</v>
      </c>
      <c r="D4325" s="11" t="s">
        <v>49</v>
      </c>
    </row>
    <row r="4326">
      <c r="A4326" s="11">
        <v>4325.0</v>
      </c>
      <c r="B4326" s="12">
        <f t="shared" si="675"/>
        <v>40549</v>
      </c>
      <c r="C4326" s="11" t="s">
        <v>1387</v>
      </c>
      <c r="D4326" s="11" t="s">
        <v>28</v>
      </c>
    </row>
    <row r="4327">
      <c r="A4327" s="11">
        <v>4326.0</v>
      </c>
      <c r="B4327" s="12">
        <f t="shared" si="675"/>
        <v>40549</v>
      </c>
      <c r="C4327" s="11" t="s">
        <v>1715</v>
      </c>
      <c r="D4327" s="11" t="s">
        <v>28</v>
      </c>
    </row>
    <row r="4328">
      <c r="A4328" s="11">
        <v>4327.0</v>
      </c>
      <c r="B4328" s="12">
        <f t="shared" si="675"/>
        <v>40549</v>
      </c>
      <c r="C4328" s="11" t="s">
        <v>1715</v>
      </c>
      <c r="D4328" s="11" t="s">
        <v>49</v>
      </c>
    </row>
    <row r="4329">
      <c r="A4329" s="11">
        <v>4328.0</v>
      </c>
      <c r="B4329" s="12">
        <f t="shared" si="675"/>
        <v>40549</v>
      </c>
      <c r="C4329" s="11" t="s">
        <v>1684</v>
      </c>
      <c r="D4329" s="11" t="s">
        <v>49</v>
      </c>
    </row>
    <row r="4330">
      <c r="A4330" s="11">
        <v>4329.0</v>
      </c>
      <c r="B4330" s="12">
        <f t="shared" si="675"/>
        <v>40549</v>
      </c>
      <c r="C4330" s="11" t="s">
        <v>561</v>
      </c>
      <c r="D4330" s="11" t="s">
        <v>49</v>
      </c>
    </row>
    <row r="4331">
      <c r="A4331" s="11">
        <v>4330.0</v>
      </c>
      <c r="B4331" s="12">
        <f t="shared" ref="B4331:B4333" si="676">DATE(2012,12,31)-724</f>
        <v>40550</v>
      </c>
      <c r="C4331" s="11" t="s">
        <v>571</v>
      </c>
      <c r="D4331" s="11" t="s">
        <v>49</v>
      </c>
    </row>
    <row r="4332">
      <c r="A4332" s="11">
        <v>4331.0</v>
      </c>
      <c r="B4332" s="12">
        <f t="shared" si="676"/>
        <v>40550</v>
      </c>
      <c r="C4332" s="11" t="s">
        <v>571</v>
      </c>
      <c r="D4332" s="11" t="s">
        <v>28</v>
      </c>
    </row>
    <row r="4333">
      <c r="A4333" s="11">
        <v>4332.0</v>
      </c>
      <c r="B4333" s="12">
        <f t="shared" si="676"/>
        <v>40550</v>
      </c>
      <c r="C4333" s="11" t="s">
        <v>647</v>
      </c>
      <c r="D4333" s="11" t="s">
        <v>66</v>
      </c>
    </row>
    <row r="4334">
      <c r="A4334" s="11">
        <v>4333.0</v>
      </c>
      <c r="B4334" s="12">
        <f t="shared" ref="B4334:B4339" si="677">DATE(2012,12,31)-723</f>
        <v>40551</v>
      </c>
      <c r="C4334" s="11" t="s">
        <v>721</v>
      </c>
      <c r="D4334" s="11" t="s">
        <v>66</v>
      </c>
    </row>
    <row r="4335">
      <c r="A4335" s="11">
        <v>4334.0</v>
      </c>
      <c r="B4335" s="12">
        <f t="shared" si="677"/>
        <v>40551</v>
      </c>
      <c r="C4335" s="11" t="s">
        <v>795</v>
      </c>
      <c r="D4335" s="11" t="s">
        <v>49</v>
      </c>
    </row>
    <row r="4336">
      <c r="A4336" s="11">
        <v>4335.0</v>
      </c>
      <c r="B4336" s="12">
        <f t="shared" si="677"/>
        <v>40551</v>
      </c>
      <c r="C4336" s="11" t="s">
        <v>795</v>
      </c>
      <c r="D4336" s="11" t="s">
        <v>66</v>
      </c>
    </row>
    <row r="4337">
      <c r="A4337" s="11">
        <v>4336.0</v>
      </c>
      <c r="B4337" s="12">
        <f t="shared" si="677"/>
        <v>40551</v>
      </c>
      <c r="C4337" s="11" t="s">
        <v>795</v>
      </c>
      <c r="D4337" s="11" t="s">
        <v>66</v>
      </c>
    </row>
    <row r="4338">
      <c r="A4338" s="11">
        <v>4337.0</v>
      </c>
      <c r="B4338" s="12">
        <f t="shared" si="677"/>
        <v>40551</v>
      </c>
      <c r="C4338" s="11" t="s">
        <v>945</v>
      </c>
      <c r="D4338" s="11" t="s">
        <v>66</v>
      </c>
    </row>
    <row r="4339">
      <c r="A4339" s="11">
        <v>4338.0</v>
      </c>
      <c r="B4339" s="12">
        <f t="shared" si="677"/>
        <v>40551</v>
      </c>
      <c r="C4339" s="11" t="s">
        <v>337</v>
      </c>
      <c r="D4339" s="11" t="s">
        <v>28</v>
      </c>
    </row>
    <row r="4340">
      <c r="A4340" s="11">
        <v>4339.0</v>
      </c>
      <c r="B4340" s="12">
        <f t="shared" ref="B4340:B4349" si="678">DATE(2012,12,31)-722</f>
        <v>40552</v>
      </c>
      <c r="C4340" s="11" t="s">
        <v>1110</v>
      </c>
      <c r="D4340" s="11" t="s">
        <v>28</v>
      </c>
    </row>
    <row r="4341">
      <c r="A4341" s="11">
        <v>4340.0</v>
      </c>
      <c r="B4341" s="12">
        <f t="shared" si="678"/>
        <v>40552</v>
      </c>
      <c r="C4341" s="11" t="s">
        <v>1110</v>
      </c>
      <c r="D4341" s="11" t="s">
        <v>28</v>
      </c>
    </row>
    <row r="4342">
      <c r="A4342" s="11">
        <v>4341.0</v>
      </c>
      <c r="B4342" s="12">
        <f t="shared" si="678"/>
        <v>40552</v>
      </c>
      <c r="C4342" s="11" t="s">
        <v>219</v>
      </c>
      <c r="D4342" s="11" t="s">
        <v>28</v>
      </c>
    </row>
    <row r="4343">
      <c r="A4343" s="11">
        <v>4342.0</v>
      </c>
      <c r="B4343" s="12">
        <f t="shared" si="678"/>
        <v>40552</v>
      </c>
      <c r="C4343" s="11" t="s">
        <v>219</v>
      </c>
      <c r="D4343" s="11" t="s">
        <v>28</v>
      </c>
    </row>
    <row r="4344">
      <c r="A4344" s="11">
        <v>4343.0</v>
      </c>
      <c r="B4344" s="12">
        <f t="shared" si="678"/>
        <v>40552</v>
      </c>
      <c r="C4344" s="11" t="s">
        <v>2293</v>
      </c>
      <c r="D4344" s="11" t="s">
        <v>49</v>
      </c>
    </row>
    <row r="4345">
      <c r="A4345" s="11">
        <v>4344.0</v>
      </c>
      <c r="B4345" s="12">
        <f t="shared" si="678"/>
        <v>40552</v>
      </c>
      <c r="C4345" s="11" t="s">
        <v>1752</v>
      </c>
      <c r="D4345" s="11" t="s">
        <v>28</v>
      </c>
    </row>
    <row r="4346">
      <c r="A4346" s="11">
        <v>4345.0</v>
      </c>
      <c r="B4346" s="12">
        <f t="shared" si="678"/>
        <v>40552</v>
      </c>
      <c r="C4346" s="11" t="s">
        <v>2490</v>
      </c>
      <c r="D4346" s="11" t="s">
        <v>28</v>
      </c>
    </row>
    <row r="4347">
      <c r="A4347" s="11">
        <v>4346.0</v>
      </c>
      <c r="B4347" s="12">
        <f t="shared" si="678"/>
        <v>40552</v>
      </c>
      <c r="C4347" s="11" t="s">
        <v>2490</v>
      </c>
      <c r="D4347" s="11" t="s">
        <v>49</v>
      </c>
    </row>
    <row r="4348">
      <c r="A4348" s="11">
        <v>4347.0</v>
      </c>
      <c r="B4348" s="12">
        <f t="shared" si="678"/>
        <v>40552</v>
      </c>
      <c r="C4348" s="11" t="s">
        <v>1080</v>
      </c>
      <c r="D4348" s="11" t="s">
        <v>28</v>
      </c>
    </row>
    <row r="4349">
      <c r="A4349" s="11">
        <v>4348.0</v>
      </c>
      <c r="B4349" s="12">
        <f t="shared" si="678"/>
        <v>40552</v>
      </c>
      <c r="C4349" s="11" t="s">
        <v>1080</v>
      </c>
      <c r="D4349" s="11" t="s">
        <v>28</v>
      </c>
    </row>
    <row r="4350">
      <c r="A4350" s="11">
        <v>4349.0</v>
      </c>
      <c r="B4350" s="12">
        <f t="shared" ref="B4350:B4363" si="679">DATE(2012,12,31)-721</f>
        <v>40553</v>
      </c>
      <c r="C4350" s="11" t="s">
        <v>1214</v>
      </c>
      <c r="D4350" s="11" t="s">
        <v>28</v>
      </c>
    </row>
    <row r="4351">
      <c r="A4351" s="11">
        <v>4350.0</v>
      </c>
      <c r="B4351" s="12">
        <f t="shared" si="679"/>
        <v>40553</v>
      </c>
      <c r="C4351" s="11" t="s">
        <v>1214</v>
      </c>
      <c r="D4351" s="11" t="s">
        <v>49</v>
      </c>
    </row>
    <row r="4352">
      <c r="A4352" s="11">
        <v>4351.0</v>
      </c>
      <c r="B4352" s="12">
        <f t="shared" si="679"/>
        <v>40553</v>
      </c>
      <c r="C4352" s="11" t="s">
        <v>1214</v>
      </c>
      <c r="D4352" s="11" t="s">
        <v>28</v>
      </c>
    </row>
    <row r="4353">
      <c r="A4353" s="11">
        <v>4352.0</v>
      </c>
      <c r="B4353" s="12">
        <f t="shared" si="679"/>
        <v>40553</v>
      </c>
      <c r="C4353" s="11" t="s">
        <v>1214</v>
      </c>
      <c r="D4353" s="11" t="s">
        <v>28</v>
      </c>
    </row>
    <row r="4354">
      <c r="A4354" s="11">
        <v>4353.0</v>
      </c>
      <c r="B4354" s="12">
        <f t="shared" si="679"/>
        <v>40553</v>
      </c>
      <c r="C4354" s="11" t="s">
        <v>1209</v>
      </c>
      <c r="D4354" s="11" t="s">
        <v>28</v>
      </c>
    </row>
    <row r="4355">
      <c r="A4355" s="11">
        <v>4354.0</v>
      </c>
      <c r="B4355" s="12">
        <f t="shared" si="679"/>
        <v>40553</v>
      </c>
      <c r="C4355" s="11" t="s">
        <v>910</v>
      </c>
      <c r="D4355" s="11" t="s">
        <v>28</v>
      </c>
    </row>
    <row r="4356">
      <c r="A4356" s="11">
        <v>4355.0</v>
      </c>
      <c r="B4356" s="12">
        <f t="shared" si="679"/>
        <v>40553</v>
      </c>
      <c r="C4356" s="11" t="s">
        <v>910</v>
      </c>
      <c r="D4356" s="11" t="s">
        <v>49</v>
      </c>
    </row>
    <row r="4357">
      <c r="A4357" s="11">
        <v>4356.0</v>
      </c>
      <c r="B4357" s="12">
        <f t="shared" si="679"/>
        <v>40553</v>
      </c>
      <c r="C4357" s="11" t="s">
        <v>1636</v>
      </c>
      <c r="D4357" s="11" t="s">
        <v>28</v>
      </c>
    </row>
    <row r="4358">
      <c r="A4358" s="11">
        <v>4357.0</v>
      </c>
      <c r="B4358" s="12">
        <f t="shared" si="679"/>
        <v>40553</v>
      </c>
      <c r="C4358" s="11" t="s">
        <v>1636</v>
      </c>
      <c r="D4358" s="11" t="s">
        <v>66</v>
      </c>
    </row>
    <row r="4359">
      <c r="A4359" s="11">
        <v>4358.0</v>
      </c>
      <c r="B4359" s="12">
        <f t="shared" si="679"/>
        <v>40553</v>
      </c>
      <c r="C4359" s="11" t="s">
        <v>1374</v>
      </c>
      <c r="D4359" s="11" t="s">
        <v>49</v>
      </c>
    </row>
    <row r="4360">
      <c r="A4360" s="11">
        <v>4359.0</v>
      </c>
      <c r="B4360" s="12">
        <f t="shared" si="679"/>
        <v>40553</v>
      </c>
      <c r="C4360" s="11" t="s">
        <v>1520</v>
      </c>
      <c r="D4360" s="11" t="s">
        <v>66</v>
      </c>
    </row>
    <row r="4361">
      <c r="A4361" s="11">
        <v>4360.0</v>
      </c>
      <c r="B4361" s="12">
        <f t="shared" si="679"/>
        <v>40553</v>
      </c>
      <c r="C4361" s="11" t="s">
        <v>2348</v>
      </c>
      <c r="D4361" s="11" t="s">
        <v>28</v>
      </c>
    </row>
    <row r="4362">
      <c r="A4362" s="11">
        <v>4361.0</v>
      </c>
      <c r="B4362" s="12">
        <f t="shared" si="679"/>
        <v>40553</v>
      </c>
      <c r="C4362" s="11" t="s">
        <v>2348</v>
      </c>
      <c r="D4362" s="11" t="s">
        <v>28</v>
      </c>
    </row>
    <row r="4363">
      <c r="A4363" s="11">
        <v>4362.0</v>
      </c>
      <c r="B4363" s="12">
        <f t="shared" si="679"/>
        <v>40553</v>
      </c>
      <c r="C4363" s="11" t="s">
        <v>2348</v>
      </c>
      <c r="D4363" s="11" t="s">
        <v>66</v>
      </c>
    </row>
    <row r="4364">
      <c r="A4364" s="11">
        <v>4363.0</v>
      </c>
      <c r="B4364" s="12">
        <f t="shared" ref="B4364:B4373" si="680">DATE(2012,12,31)-720</f>
        <v>40554</v>
      </c>
      <c r="C4364" s="11" t="s">
        <v>1036</v>
      </c>
      <c r="D4364" s="11" t="s">
        <v>49</v>
      </c>
    </row>
    <row r="4365">
      <c r="A4365" s="11">
        <v>4364.0</v>
      </c>
      <c r="B4365" s="12">
        <f t="shared" si="680"/>
        <v>40554</v>
      </c>
      <c r="C4365" s="11" t="s">
        <v>1036</v>
      </c>
      <c r="D4365" s="11" t="s">
        <v>66</v>
      </c>
    </row>
    <row r="4366">
      <c r="A4366" s="11">
        <v>4365.0</v>
      </c>
      <c r="B4366" s="12">
        <f t="shared" si="680"/>
        <v>40554</v>
      </c>
      <c r="C4366" s="11" t="s">
        <v>1256</v>
      </c>
      <c r="D4366" s="11" t="s">
        <v>28</v>
      </c>
    </row>
    <row r="4367">
      <c r="A4367" s="11">
        <v>4366.0</v>
      </c>
      <c r="B4367" s="12">
        <f t="shared" si="680"/>
        <v>40554</v>
      </c>
      <c r="C4367" s="11" t="s">
        <v>1256</v>
      </c>
      <c r="D4367" s="11" t="s">
        <v>49</v>
      </c>
    </row>
    <row r="4368">
      <c r="A4368" s="11">
        <v>4367.0</v>
      </c>
      <c r="B4368" s="12">
        <f t="shared" si="680"/>
        <v>40554</v>
      </c>
      <c r="C4368" s="11" t="s">
        <v>1256</v>
      </c>
      <c r="D4368" s="11" t="s">
        <v>28</v>
      </c>
    </row>
    <row r="4369">
      <c r="A4369" s="11">
        <v>4368.0</v>
      </c>
      <c r="B4369" s="12">
        <f t="shared" si="680"/>
        <v>40554</v>
      </c>
      <c r="C4369" s="11" t="s">
        <v>1256</v>
      </c>
      <c r="D4369" s="11" t="s">
        <v>28</v>
      </c>
    </row>
    <row r="4370">
      <c r="A4370" s="11">
        <v>4369.0</v>
      </c>
      <c r="B4370" s="12">
        <f t="shared" si="680"/>
        <v>40554</v>
      </c>
      <c r="C4370" s="11" t="s">
        <v>202</v>
      </c>
      <c r="D4370" s="11" t="s">
        <v>49</v>
      </c>
    </row>
    <row r="4371">
      <c r="A4371" s="11">
        <v>4370.0</v>
      </c>
      <c r="B4371" s="12">
        <f t="shared" si="680"/>
        <v>40554</v>
      </c>
      <c r="C4371" s="11" t="s">
        <v>639</v>
      </c>
      <c r="D4371" s="11" t="s">
        <v>28</v>
      </c>
    </row>
    <row r="4372">
      <c r="A4372" s="11">
        <v>4371.0</v>
      </c>
      <c r="B4372" s="12">
        <f t="shared" si="680"/>
        <v>40554</v>
      </c>
      <c r="C4372" s="11" t="s">
        <v>639</v>
      </c>
      <c r="D4372" s="11" t="s">
        <v>66</v>
      </c>
    </row>
    <row r="4373">
      <c r="A4373" s="11">
        <v>4372.0</v>
      </c>
      <c r="B4373" s="12">
        <f t="shared" si="680"/>
        <v>40554</v>
      </c>
      <c r="C4373" s="11" t="s">
        <v>639</v>
      </c>
      <c r="D4373" s="11" t="s">
        <v>28</v>
      </c>
    </row>
    <row r="4374">
      <c r="A4374" s="11">
        <v>4373.0</v>
      </c>
      <c r="B4374" s="12">
        <f t="shared" ref="B4374:B4376" si="681">DATE(2012,12,31)-718</f>
        <v>40556</v>
      </c>
      <c r="C4374" s="11" t="s">
        <v>613</v>
      </c>
      <c r="D4374" s="11" t="s">
        <v>66</v>
      </c>
    </row>
    <row r="4375">
      <c r="A4375" s="11">
        <v>4374.0</v>
      </c>
      <c r="B4375" s="12">
        <f t="shared" si="681"/>
        <v>40556</v>
      </c>
      <c r="C4375" s="11" t="s">
        <v>421</v>
      </c>
      <c r="D4375" s="11" t="s">
        <v>66</v>
      </c>
    </row>
    <row r="4376">
      <c r="A4376" s="11">
        <v>4375.0</v>
      </c>
      <c r="B4376" s="12">
        <f t="shared" si="681"/>
        <v>40556</v>
      </c>
      <c r="C4376" s="11" t="s">
        <v>200</v>
      </c>
      <c r="D4376" s="11" t="s">
        <v>49</v>
      </c>
    </row>
    <row r="4377">
      <c r="A4377" s="11">
        <v>4376.0</v>
      </c>
      <c r="B4377" s="12">
        <f>DATE(2012,12,31)-717</f>
        <v>40557</v>
      </c>
      <c r="C4377" s="11" t="s">
        <v>1484</v>
      </c>
      <c r="D4377" s="11" t="s">
        <v>49</v>
      </c>
    </row>
    <row r="4378">
      <c r="A4378" s="11">
        <v>4377.0</v>
      </c>
      <c r="B4378" s="12">
        <f t="shared" ref="B4378:B4381" si="682">DATE(2012,12,31)-716</f>
        <v>40558</v>
      </c>
      <c r="C4378" s="11" t="s">
        <v>571</v>
      </c>
      <c r="D4378" s="11" t="s">
        <v>28</v>
      </c>
    </row>
    <row r="4379">
      <c r="A4379" s="11">
        <v>4378.0</v>
      </c>
      <c r="B4379" s="12">
        <f t="shared" si="682"/>
        <v>40558</v>
      </c>
      <c r="C4379" s="11" t="s">
        <v>571</v>
      </c>
      <c r="D4379" s="11" t="s">
        <v>28</v>
      </c>
    </row>
    <row r="4380">
      <c r="A4380" s="11">
        <v>4379.0</v>
      </c>
      <c r="B4380" s="12">
        <f t="shared" si="682"/>
        <v>40558</v>
      </c>
      <c r="C4380" s="11" t="s">
        <v>571</v>
      </c>
      <c r="D4380" s="11" t="s">
        <v>49</v>
      </c>
    </row>
    <row r="4381">
      <c r="A4381" s="11">
        <v>4380.0</v>
      </c>
      <c r="B4381" s="12">
        <f t="shared" si="682"/>
        <v>40558</v>
      </c>
      <c r="C4381" s="11" t="s">
        <v>2048</v>
      </c>
      <c r="D4381" s="11" t="s">
        <v>28</v>
      </c>
    </row>
    <row r="4382">
      <c r="A4382" s="11">
        <v>4381.0</v>
      </c>
      <c r="B4382" s="12">
        <f t="shared" ref="B4382:B4383" si="683">DATE(2012,12,31)-715</f>
        <v>40559</v>
      </c>
      <c r="C4382" s="11" t="s">
        <v>448</v>
      </c>
      <c r="D4382" s="11" t="s">
        <v>28</v>
      </c>
    </row>
    <row r="4383">
      <c r="A4383" s="11">
        <v>4382.0</v>
      </c>
      <c r="B4383" s="12">
        <f t="shared" si="683"/>
        <v>40559</v>
      </c>
      <c r="C4383" s="11" t="s">
        <v>711</v>
      </c>
      <c r="D4383" s="11" t="s">
        <v>28</v>
      </c>
    </row>
    <row r="4384">
      <c r="A4384" s="11">
        <v>4383.0</v>
      </c>
      <c r="B4384" s="12">
        <f t="shared" ref="B4384:B4387" si="684">DATE(2012,12,31)-714</f>
        <v>40560</v>
      </c>
      <c r="C4384" s="11" t="s">
        <v>423</v>
      </c>
      <c r="D4384" s="11" t="s">
        <v>49</v>
      </c>
    </row>
    <row r="4385">
      <c r="A4385" s="11">
        <v>4384.0</v>
      </c>
      <c r="B4385" s="12">
        <f t="shared" si="684"/>
        <v>40560</v>
      </c>
      <c r="C4385" s="11" t="s">
        <v>423</v>
      </c>
      <c r="D4385" s="11" t="s">
        <v>28</v>
      </c>
    </row>
    <row r="4386">
      <c r="A4386" s="11">
        <v>4385.0</v>
      </c>
      <c r="B4386" s="12">
        <f t="shared" si="684"/>
        <v>40560</v>
      </c>
      <c r="C4386" s="11" t="s">
        <v>2352</v>
      </c>
      <c r="D4386" s="11" t="s">
        <v>28</v>
      </c>
    </row>
    <row r="4387">
      <c r="A4387" s="11">
        <v>4386.0</v>
      </c>
      <c r="B4387" s="12">
        <f t="shared" si="684"/>
        <v>40560</v>
      </c>
      <c r="C4387" s="11" t="s">
        <v>1756</v>
      </c>
      <c r="D4387" s="11" t="s">
        <v>28</v>
      </c>
    </row>
    <row r="4388">
      <c r="A4388" s="11">
        <v>4387.0</v>
      </c>
      <c r="B4388" s="12">
        <f t="shared" ref="B4388:B4390" si="685">DATE(2012,12,31)-713</f>
        <v>40561</v>
      </c>
      <c r="C4388" s="11" t="s">
        <v>1586</v>
      </c>
      <c r="D4388" s="11" t="s">
        <v>49</v>
      </c>
    </row>
    <row r="4389">
      <c r="A4389" s="11">
        <v>4388.0</v>
      </c>
      <c r="B4389" s="12">
        <f t="shared" si="685"/>
        <v>40561</v>
      </c>
      <c r="C4389" s="11" t="s">
        <v>106</v>
      </c>
      <c r="D4389" s="11" t="s">
        <v>28</v>
      </c>
    </row>
    <row r="4390">
      <c r="A4390" s="11">
        <v>4389.0</v>
      </c>
      <c r="B4390" s="12">
        <f t="shared" si="685"/>
        <v>40561</v>
      </c>
      <c r="C4390" s="11" t="s">
        <v>106</v>
      </c>
      <c r="D4390" s="11" t="s">
        <v>66</v>
      </c>
    </row>
    <row r="4391">
      <c r="A4391" s="11">
        <v>4390.0</v>
      </c>
      <c r="B4391" s="12">
        <f t="shared" ref="B4391:B4396" si="686">DATE(2012,12,31)-712</f>
        <v>40562</v>
      </c>
      <c r="C4391" s="11" t="s">
        <v>94</v>
      </c>
      <c r="D4391" s="11" t="s">
        <v>28</v>
      </c>
    </row>
    <row r="4392">
      <c r="A4392" s="11">
        <v>4391.0</v>
      </c>
      <c r="B4392" s="12">
        <f t="shared" si="686"/>
        <v>40562</v>
      </c>
      <c r="C4392" s="11" t="s">
        <v>1103</v>
      </c>
      <c r="D4392" s="11" t="s">
        <v>28</v>
      </c>
    </row>
    <row r="4393">
      <c r="A4393" s="11">
        <v>4392.0</v>
      </c>
      <c r="B4393" s="12">
        <f t="shared" si="686"/>
        <v>40562</v>
      </c>
      <c r="C4393" s="11" t="s">
        <v>1020</v>
      </c>
      <c r="D4393" s="11" t="s">
        <v>28</v>
      </c>
    </row>
    <row r="4394">
      <c r="A4394" s="11">
        <v>4393.0</v>
      </c>
      <c r="B4394" s="12">
        <f t="shared" si="686"/>
        <v>40562</v>
      </c>
      <c r="C4394" s="11" t="s">
        <v>392</v>
      </c>
      <c r="D4394" s="11" t="s">
        <v>66</v>
      </c>
    </row>
    <row r="4395">
      <c r="A4395" s="11">
        <v>4394.0</v>
      </c>
      <c r="B4395" s="12">
        <f t="shared" si="686"/>
        <v>40562</v>
      </c>
      <c r="C4395" s="11" t="s">
        <v>392</v>
      </c>
      <c r="D4395" s="11" t="s">
        <v>49</v>
      </c>
    </row>
    <row r="4396">
      <c r="A4396" s="11">
        <v>4395.0</v>
      </c>
      <c r="B4396" s="12">
        <f t="shared" si="686"/>
        <v>40562</v>
      </c>
      <c r="C4396" s="11" t="s">
        <v>392</v>
      </c>
      <c r="D4396" s="11" t="s">
        <v>49</v>
      </c>
    </row>
    <row r="4397">
      <c r="A4397" s="11">
        <v>4396.0</v>
      </c>
      <c r="B4397" s="12">
        <f t="shared" ref="B4397:B4399" si="687">DATE(2012,12,31)-711</f>
        <v>40563</v>
      </c>
      <c r="C4397" s="11" t="s">
        <v>2215</v>
      </c>
      <c r="D4397" s="11" t="s">
        <v>49</v>
      </c>
    </row>
    <row r="4398">
      <c r="A4398" s="11">
        <v>4397.0</v>
      </c>
      <c r="B4398" s="12">
        <f t="shared" si="687"/>
        <v>40563</v>
      </c>
      <c r="C4398" s="11" t="s">
        <v>2215</v>
      </c>
      <c r="D4398" s="11" t="s">
        <v>28</v>
      </c>
    </row>
    <row r="4399">
      <c r="A4399" s="11">
        <v>4398.0</v>
      </c>
      <c r="B4399" s="12">
        <f t="shared" si="687"/>
        <v>40563</v>
      </c>
      <c r="C4399" s="11" t="s">
        <v>2215</v>
      </c>
      <c r="D4399" s="11" t="s">
        <v>66</v>
      </c>
    </row>
    <row r="4400">
      <c r="A4400" s="11">
        <v>4399.0</v>
      </c>
      <c r="B4400" s="12">
        <f t="shared" ref="B4400:B4403" si="688">DATE(2012,12,31)-710</f>
        <v>40564</v>
      </c>
      <c r="C4400" s="11" t="s">
        <v>2505</v>
      </c>
      <c r="D4400" s="11" t="s">
        <v>66</v>
      </c>
    </row>
    <row r="4401">
      <c r="A4401" s="11">
        <v>4400.0</v>
      </c>
      <c r="B4401" s="12">
        <f t="shared" si="688"/>
        <v>40564</v>
      </c>
      <c r="C4401" s="11" t="s">
        <v>2452</v>
      </c>
      <c r="D4401" s="11" t="s">
        <v>49</v>
      </c>
    </row>
    <row r="4402">
      <c r="A4402" s="11">
        <v>4401.0</v>
      </c>
      <c r="B4402" s="12">
        <f t="shared" si="688"/>
        <v>40564</v>
      </c>
      <c r="C4402" s="11" t="s">
        <v>836</v>
      </c>
      <c r="D4402" s="11" t="s">
        <v>28</v>
      </c>
    </row>
    <row r="4403">
      <c r="A4403" s="11">
        <v>4402.0</v>
      </c>
      <c r="B4403" s="12">
        <f t="shared" si="688"/>
        <v>40564</v>
      </c>
      <c r="C4403" s="11" t="s">
        <v>1938</v>
      </c>
      <c r="D4403" s="11" t="s">
        <v>28</v>
      </c>
    </row>
    <row r="4404">
      <c r="A4404" s="11">
        <v>4403.0</v>
      </c>
      <c r="B4404" s="12">
        <f t="shared" ref="B4404:B4410" si="689">DATE(2012,12,31)-709</f>
        <v>40565</v>
      </c>
      <c r="C4404" s="11" t="s">
        <v>239</v>
      </c>
      <c r="D4404" s="11" t="s">
        <v>28</v>
      </c>
    </row>
    <row r="4405">
      <c r="A4405" s="11">
        <v>4404.0</v>
      </c>
      <c r="B4405" s="12">
        <f t="shared" si="689"/>
        <v>40565</v>
      </c>
      <c r="C4405" s="11" t="s">
        <v>2297</v>
      </c>
      <c r="D4405" s="11" t="s">
        <v>28</v>
      </c>
    </row>
    <row r="4406">
      <c r="A4406" s="11">
        <v>4405.0</v>
      </c>
      <c r="B4406" s="12">
        <f t="shared" si="689"/>
        <v>40565</v>
      </c>
      <c r="C4406" s="11" t="s">
        <v>2297</v>
      </c>
      <c r="D4406" s="11" t="s">
        <v>28</v>
      </c>
    </row>
    <row r="4407">
      <c r="A4407" s="11">
        <v>4406.0</v>
      </c>
      <c r="B4407" s="12">
        <f t="shared" si="689"/>
        <v>40565</v>
      </c>
      <c r="C4407" s="11" t="s">
        <v>2297</v>
      </c>
      <c r="D4407" s="11" t="s">
        <v>28</v>
      </c>
    </row>
    <row r="4408">
      <c r="A4408" s="11">
        <v>4407.0</v>
      </c>
      <c r="B4408" s="12">
        <f t="shared" si="689"/>
        <v>40565</v>
      </c>
      <c r="C4408" s="11" t="s">
        <v>961</v>
      </c>
      <c r="D4408" s="11" t="s">
        <v>66</v>
      </c>
    </row>
    <row r="4409">
      <c r="A4409" s="11">
        <v>4408.0</v>
      </c>
      <c r="B4409" s="12">
        <f t="shared" si="689"/>
        <v>40565</v>
      </c>
      <c r="C4409" s="11" t="s">
        <v>961</v>
      </c>
      <c r="D4409" s="11" t="s">
        <v>66</v>
      </c>
    </row>
    <row r="4410">
      <c r="A4410" s="11">
        <v>4409.0</v>
      </c>
      <c r="B4410" s="12">
        <f t="shared" si="689"/>
        <v>40565</v>
      </c>
      <c r="C4410" s="11" t="s">
        <v>1798</v>
      </c>
      <c r="D4410" s="11" t="s">
        <v>28</v>
      </c>
    </row>
    <row r="4411">
      <c r="A4411" s="11">
        <v>4410.0</v>
      </c>
      <c r="B4411" s="12">
        <f>DATE(2012,12,31)-708</f>
        <v>40566</v>
      </c>
      <c r="C4411" s="11" t="s">
        <v>617</v>
      </c>
      <c r="D4411" s="11" t="s">
        <v>28</v>
      </c>
    </row>
    <row r="4412">
      <c r="A4412" s="11">
        <v>4411.0</v>
      </c>
      <c r="B4412" s="12">
        <f t="shared" ref="B4412:B4417" si="690">DATE(2012,12,31)-707</f>
        <v>40567</v>
      </c>
      <c r="C4412" s="11" t="s">
        <v>2441</v>
      </c>
      <c r="D4412" s="11" t="s">
        <v>28</v>
      </c>
    </row>
    <row r="4413">
      <c r="A4413" s="11">
        <v>4412.0</v>
      </c>
      <c r="B4413" s="12">
        <f t="shared" si="690"/>
        <v>40567</v>
      </c>
      <c r="C4413" s="11" t="s">
        <v>2441</v>
      </c>
      <c r="D4413" s="11" t="s">
        <v>28</v>
      </c>
    </row>
    <row r="4414">
      <c r="A4414" s="11">
        <v>4413.0</v>
      </c>
      <c r="B4414" s="12">
        <f t="shared" si="690"/>
        <v>40567</v>
      </c>
      <c r="C4414" s="11" t="s">
        <v>326</v>
      </c>
      <c r="D4414" s="11" t="s">
        <v>28</v>
      </c>
    </row>
    <row r="4415">
      <c r="A4415" s="11">
        <v>4414.0</v>
      </c>
      <c r="B4415" s="12">
        <f t="shared" si="690"/>
        <v>40567</v>
      </c>
      <c r="C4415" s="11" t="s">
        <v>326</v>
      </c>
      <c r="D4415" s="11" t="s">
        <v>28</v>
      </c>
    </row>
    <row r="4416">
      <c r="A4416" s="11">
        <v>4415.0</v>
      </c>
      <c r="B4416" s="12">
        <f t="shared" si="690"/>
        <v>40567</v>
      </c>
      <c r="C4416" s="11" t="s">
        <v>1210</v>
      </c>
      <c r="D4416" s="11" t="s">
        <v>28</v>
      </c>
    </row>
    <row r="4417">
      <c r="A4417" s="11">
        <v>4416.0</v>
      </c>
      <c r="B4417" s="12">
        <f t="shared" si="690"/>
        <v>40567</v>
      </c>
      <c r="C4417" s="11" t="s">
        <v>2069</v>
      </c>
      <c r="D4417" s="11" t="s">
        <v>66</v>
      </c>
    </row>
    <row r="4418">
      <c r="A4418" s="11">
        <v>4417.0</v>
      </c>
      <c r="B4418" s="12">
        <f t="shared" ref="B4418:B4420" si="691">DATE(2012,12,31)-706</f>
        <v>40568</v>
      </c>
      <c r="C4418" s="11" t="s">
        <v>279</v>
      </c>
      <c r="D4418" s="11" t="s">
        <v>28</v>
      </c>
    </row>
    <row r="4419">
      <c r="A4419" s="11">
        <v>4418.0</v>
      </c>
      <c r="B4419" s="12">
        <f t="shared" si="691"/>
        <v>40568</v>
      </c>
      <c r="C4419" s="11" t="s">
        <v>279</v>
      </c>
      <c r="D4419" s="11" t="s">
        <v>66</v>
      </c>
    </row>
    <row r="4420">
      <c r="A4420" s="11">
        <v>4419.0</v>
      </c>
      <c r="B4420" s="12">
        <f t="shared" si="691"/>
        <v>40568</v>
      </c>
      <c r="C4420" s="11" t="s">
        <v>131</v>
      </c>
      <c r="D4420" s="11" t="s">
        <v>28</v>
      </c>
    </row>
    <row r="4421">
      <c r="A4421" s="11">
        <v>4420.0</v>
      </c>
      <c r="B4421" s="12">
        <f t="shared" ref="B4421:B4425" si="692">DATE(2012,12,31)-705</f>
        <v>40569</v>
      </c>
      <c r="C4421" s="11" t="s">
        <v>373</v>
      </c>
      <c r="D4421" s="11" t="s">
        <v>66</v>
      </c>
    </row>
    <row r="4422">
      <c r="A4422" s="11">
        <v>4421.0</v>
      </c>
      <c r="B4422" s="12">
        <f t="shared" si="692"/>
        <v>40569</v>
      </c>
      <c r="C4422" s="11" t="s">
        <v>1831</v>
      </c>
      <c r="D4422" s="11" t="s">
        <v>49</v>
      </c>
    </row>
    <row r="4423">
      <c r="A4423" s="11">
        <v>4422.0</v>
      </c>
      <c r="B4423" s="12">
        <f t="shared" si="692"/>
        <v>40569</v>
      </c>
      <c r="C4423" s="11" t="s">
        <v>1950</v>
      </c>
      <c r="D4423" s="11" t="s">
        <v>28</v>
      </c>
    </row>
    <row r="4424">
      <c r="A4424" s="11">
        <v>4423.0</v>
      </c>
      <c r="B4424" s="12">
        <f t="shared" si="692"/>
        <v>40569</v>
      </c>
      <c r="C4424" s="11" t="s">
        <v>1950</v>
      </c>
      <c r="D4424" s="11" t="s">
        <v>28</v>
      </c>
    </row>
    <row r="4425">
      <c r="A4425" s="11">
        <v>4424.0</v>
      </c>
      <c r="B4425" s="12">
        <f t="shared" si="692"/>
        <v>40569</v>
      </c>
      <c r="C4425" s="11" t="s">
        <v>719</v>
      </c>
      <c r="D4425" s="11" t="s">
        <v>28</v>
      </c>
    </row>
    <row r="4426">
      <c r="A4426" s="11">
        <v>4425.0</v>
      </c>
      <c r="B4426" s="12">
        <f t="shared" ref="B4426:B4433" si="693">DATE(2012,12,31)-704</f>
        <v>40570</v>
      </c>
      <c r="C4426" s="11" t="s">
        <v>831</v>
      </c>
      <c r="D4426" s="11" t="s">
        <v>49</v>
      </c>
    </row>
    <row r="4427">
      <c r="A4427" s="11">
        <v>4426.0</v>
      </c>
      <c r="B4427" s="12">
        <f t="shared" si="693"/>
        <v>40570</v>
      </c>
      <c r="C4427" s="11" t="s">
        <v>831</v>
      </c>
      <c r="D4427" s="11" t="s">
        <v>66</v>
      </c>
    </row>
    <row r="4428">
      <c r="A4428" s="11">
        <v>4427.0</v>
      </c>
      <c r="B4428" s="12">
        <f t="shared" si="693"/>
        <v>40570</v>
      </c>
      <c r="C4428" s="11" t="s">
        <v>831</v>
      </c>
      <c r="D4428" s="11" t="s">
        <v>28</v>
      </c>
    </row>
    <row r="4429">
      <c r="A4429" s="11">
        <v>4428.0</v>
      </c>
      <c r="B4429" s="12">
        <f t="shared" si="693"/>
        <v>40570</v>
      </c>
      <c r="C4429" s="11" t="s">
        <v>395</v>
      </c>
      <c r="D4429" s="11" t="s">
        <v>66</v>
      </c>
    </row>
    <row r="4430">
      <c r="A4430" s="11">
        <v>4429.0</v>
      </c>
      <c r="B4430" s="12">
        <f t="shared" si="693"/>
        <v>40570</v>
      </c>
      <c r="C4430" s="11" t="s">
        <v>395</v>
      </c>
      <c r="D4430" s="11" t="s">
        <v>28</v>
      </c>
    </row>
    <row r="4431">
      <c r="A4431" s="11">
        <v>4430.0</v>
      </c>
      <c r="B4431" s="12">
        <f t="shared" si="693"/>
        <v>40570</v>
      </c>
      <c r="C4431" s="11" t="s">
        <v>395</v>
      </c>
      <c r="D4431" s="11" t="s">
        <v>28</v>
      </c>
    </row>
    <row r="4432">
      <c r="A4432" s="11">
        <v>4431.0</v>
      </c>
      <c r="B4432" s="12">
        <f t="shared" si="693"/>
        <v>40570</v>
      </c>
      <c r="C4432" s="11" t="s">
        <v>395</v>
      </c>
      <c r="D4432" s="11" t="s">
        <v>66</v>
      </c>
    </row>
    <row r="4433">
      <c r="A4433" s="11">
        <v>4432.0</v>
      </c>
      <c r="B4433" s="12">
        <f t="shared" si="693"/>
        <v>40570</v>
      </c>
      <c r="C4433" s="11" t="s">
        <v>907</v>
      </c>
      <c r="D4433" s="11" t="s">
        <v>66</v>
      </c>
    </row>
    <row r="4434">
      <c r="A4434" s="11">
        <v>4433.0</v>
      </c>
      <c r="B4434" s="12">
        <f t="shared" ref="B4434:B4437" si="694">DATE(2012,12,31)-703</f>
        <v>40571</v>
      </c>
      <c r="C4434" s="11" t="s">
        <v>1439</v>
      </c>
      <c r="D4434" s="11" t="s">
        <v>28</v>
      </c>
    </row>
    <row r="4435">
      <c r="A4435" s="11">
        <v>4434.0</v>
      </c>
      <c r="B4435" s="12">
        <f t="shared" si="694"/>
        <v>40571</v>
      </c>
      <c r="C4435" s="11" t="s">
        <v>1439</v>
      </c>
      <c r="D4435" s="11" t="s">
        <v>66</v>
      </c>
    </row>
    <row r="4436">
      <c r="A4436" s="11">
        <v>4435.0</v>
      </c>
      <c r="B4436" s="12">
        <f t="shared" si="694"/>
        <v>40571</v>
      </c>
      <c r="C4436" s="11" t="s">
        <v>910</v>
      </c>
      <c r="D4436" s="11" t="s">
        <v>66</v>
      </c>
    </row>
    <row r="4437">
      <c r="A4437" s="11">
        <v>4436.0</v>
      </c>
      <c r="B4437" s="12">
        <f t="shared" si="694"/>
        <v>40571</v>
      </c>
      <c r="C4437" s="11" t="s">
        <v>910</v>
      </c>
      <c r="D4437" s="11" t="s">
        <v>49</v>
      </c>
    </row>
    <row r="4438">
      <c r="A4438" s="11">
        <v>4437.0</v>
      </c>
      <c r="B4438" s="12">
        <f t="shared" ref="B4438:B4443" si="695">DATE(2012,12,31)-702</f>
        <v>40572</v>
      </c>
      <c r="C4438" s="11" t="s">
        <v>1405</v>
      </c>
      <c r="D4438" s="11" t="s">
        <v>28</v>
      </c>
    </row>
    <row r="4439">
      <c r="A4439" s="11">
        <v>4438.0</v>
      </c>
      <c r="B4439" s="12">
        <f t="shared" si="695"/>
        <v>40572</v>
      </c>
      <c r="C4439" s="11" t="s">
        <v>1405</v>
      </c>
      <c r="D4439" s="11" t="s">
        <v>66</v>
      </c>
    </row>
    <row r="4440">
      <c r="A4440" s="11">
        <v>4439.0</v>
      </c>
      <c r="B4440" s="12">
        <f t="shared" si="695"/>
        <v>40572</v>
      </c>
      <c r="C4440" s="11" t="s">
        <v>1767</v>
      </c>
      <c r="D4440" s="11" t="s">
        <v>49</v>
      </c>
    </row>
    <row r="4441">
      <c r="A4441" s="11">
        <v>4440.0</v>
      </c>
      <c r="B4441" s="12">
        <f t="shared" si="695"/>
        <v>40572</v>
      </c>
      <c r="C4441" s="11" t="s">
        <v>1472</v>
      </c>
      <c r="D4441" s="11" t="s">
        <v>28</v>
      </c>
    </row>
    <row r="4442">
      <c r="A4442" s="11">
        <v>4441.0</v>
      </c>
      <c r="B4442" s="12">
        <f t="shared" si="695"/>
        <v>40572</v>
      </c>
      <c r="C4442" s="11" t="s">
        <v>597</v>
      </c>
      <c r="D4442" s="11" t="s">
        <v>28</v>
      </c>
    </row>
    <row r="4443">
      <c r="A4443" s="11">
        <v>4442.0</v>
      </c>
      <c r="B4443" s="12">
        <f t="shared" si="695"/>
        <v>40572</v>
      </c>
      <c r="C4443" s="11" t="s">
        <v>597</v>
      </c>
      <c r="D4443" s="11" t="s">
        <v>28</v>
      </c>
    </row>
    <row r="4444">
      <c r="A4444" s="11">
        <v>4443.0</v>
      </c>
      <c r="B4444" s="12">
        <f>DATE(2012,12,31)-701</f>
        <v>40573</v>
      </c>
      <c r="C4444" s="11" t="s">
        <v>617</v>
      </c>
      <c r="D4444" s="11" t="s">
        <v>49</v>
      </c>
    </row>
    <row r="4445">
      <c r="A4445" s="11">
        <v>4444.0</v>
      </c>
      <c r="B4445" s="12">
        <f t="shared" ref="B4445:B4450" si="696">DATE(2012,12,31)-700</f>
        <v>40574</v>
      </c>
      <c r="C4445" s="11" t="s">
        <v>2101</v>
      </c>
      <c r="D4445" s="11" t="s">
        <v>28</v>
      </c>
    </row>
    <row r="4446">
      <c r="A4446" s="11">
        <v>4445.0</v>
      </c>
      <c r="B4446" s="12">
        <f t="shared" si="696"/>
        <v>40574</v>
      </c>
      <c r="C4446" s="11" t="s">
        <v>1036</v>
      </c>
      <c r="D4446" s="11" t="s">
        <v>28</v>
      </c>
    </row>
    <row r="4447">
      <c r="A4447" s="11">
        <v>4446.0</v>
      </c>
      <c r="B4447" s="12">
        <f t="shared" si="696"/>
        <v>40574</v>
      </c>
      <c r="C4447" s="11" t="s">
        <v>1036</v>
      </c>
      <c r="D4447" s="11" t="s">
        <v>49</v>
      </c>
    </row>
    <row r="4448">
      <c r="A4448" s="11">
        <v>4447.0</v>
      </c>
      <c r="B4448" s="12">
        <f t="shared" si="696"/>
        <v>40574</v>
      </c>
      <c r="C4448" s="11" t="s">
        <v>1256</v>
      </c>
      <c r="D4448" s="11" t="s">
        <v>28</v>
      </c>
    </row>
    <row r="4449">
      <c r="A4449" s="11">
        <v>4448.0</v>
      </c>
      <c r="B4449" s="12">
        <f t="shared" si="696"/>
        <v>40574</v>
      </c>
      <c r="C4449" s="11" t="s">
        <v>1256</v>
      </c>
      <c r="D4449" s="11" t="s">
        <v>49</v>
      </c>
    </row>
    <row r="4450">
      <c r="A4450" s="11">
        <v>4449.0</v>
      </c>
      <c r="B4450" s="12">
        <f t="shared" si="696"/>
        <v>40574</v>
      </c>
      <c r="C4450" s="11" t="s">
        <v>307</v>
      </c>
      <c r="D4450" s="11" t="s">
        <v>28</v>
      </c>
    </row>
    <row r="4451">
      <c r="A4451" s="11">
        <v>4450.0</v>
      </c>
      <c r="B4451" s="12">
        <f t="shared" ref="B4451:B4455" si="697">DATE(2012,12,31)-699</f>
        <v>40575</v>
      </c>
      <c r="C4451" s="11" t="s">
        <v>849</v>
      </c>
      <c r="D4451" s="11" t="s">
        <v>66</v>
      </c>
    </row>
    <row r="4452">
      <c r="A4452" s="11">
        <v>4451.0</v>
      </c>
      <c r="B4452" s="12">
        <f t="shared" si="697"/>
        <v>40575</v>
      </c>
      <c r="C4452" s="11" t="s">
        <v>370</v>
      </c>
      <c r="D4452" s="11" t="s">
        <v>66</v>
      </c>
    </row>
    <row r="4453">
      <c r="A4453" s="11">
        <v>4452.0</v>
      </c>
      <c r="B4453" s="12">
        <f t="shared" si="697"/>
        <v>40575</v>
      </c>
      <c r="C4453" s="11" t="s">
        <v>320</v>
      </c>
      <c r="D4453" s="11" t="s">
        <v>66</v>
      </c>
    </row>
    <row r="4454">
      <c r="A4454" s="11">
        <v>4453.0</v>
      </c>
      <c r="B4454" s="12">
        <f t="shared" si="697"/>
        <v>40575</v>
      </c>
      <c r="C4454" s="11" t="s">
        <v>1470</v>
      </c>
      <c r="D4454" s="11" t="s">
        <v>28</v>
      </c>
    </row>
    <row r="4455">
      <c r="A4455" s="11">
        <v>4454.0</v>
      </c>
      <c r="B4455" s="12">
        <f t="shared" si="697"/>
        <v>40575</v>
      </c>
      <c r="C4455" s="11" t="s">
        <v>2435</v>
      </c>
      <c r="D4455" s="11" t="s">
        <v>49</v>
      </c>
    </row>
    <row r="4456">
      <c r="A4456" s="11">
        <v>4455.0</v>
      </c>
      <c r="B4456" s="12">
        <f t="shared" ref="B4456:B4463" si="698">DATE(2012,12,31)-698</f>
        <v>40576</v>
      </c>
      <c r="C4456" s="11" t="s">
        <v>961</v>
      </c>
      <c r="D4456" s="11" t="s">
        <v>49</v>
      </c>
    </row>
    <row r="4457">
      <c r="A4457" s="11">
        <v>4456.0</v>
      </c>
      <c r="B4457" s="12">
        <f t="shared" si="698"/>
        <v>40576</v>
      </c>
      <c r="C4457" s="11" t="s">
        <v>2229</v>
      </c>
      <c r="D4457" s="11" t="s">
        <v>28</v>
      </c>
    </row>
    <row r="4458">
      <c r="A4458" s="11">
        <v>4457.0</v>
      </c>
      <c r="B4458" s="12">
        <f t="shared" si="698"/>
        <v>40576</v>
      </c>
      <c r="C4458" s="11" t="s">
        <v>2229</v>
      </c>
      <c r="D4458" s="11" t="s">
        <v>49</v>
      </c>
    </row>
    <row r="4459">
      <c r="A4459" s="11">
        <v>4458.0</v>
      </c>
      <c r="B4459" s="12">
        <f t="shared" si="698"/>
        <v>40576</v>
      </c>
      <c r="C4459" s="11" t="s">
        <v>2229</v>
      </c>
      <c r="D4459" s="11" t="s">
        <v>49</v>
      </c>
    </row>
    <row r="4460">
      <c r="A4460" s="11">
        <v>4459.0</v>
      </c>
      <c r="B4460" s="12">
        <f t="shared" si="698"/>
        <v>40576</v>
      </c>
      <c r="C4460" s="11" t="s">
        <v>2229</v>
      </c>
      <c r="D4460" s="11" t="s">
        <v>28</v>
      </c>
    </row>
    <row r="4461">
      <c r="A4461" s="11">
        <v>4460.0</v>
      </c>
      <c r="B4461" s="12">
        <f t="shared" si="698"/>
        <v>40576</v>
      </c>
      <c r="C4461" s="11" t="s">
        <v>205</v>
      </c>
      <c r="D4461" s="11" t="s">
        <v>66</v>
      </c>
    </row>
    <row r="4462">
      <c r="A4462" s="11">
        <v>4461.0</v>
      </c>
      <c r="B4462" s="12">
        <f t="shared" si="698"/>
        <v>40576</v>
      </c>
      <c r="C4462" s="11" t="s">
        <v>205</v>
      </c>
      <c r="D4462" s="11" t="s">
        <v>28</v>
      </c>
    </row>
    <row r="4463">
      <c r="A4463" s="11">
        <v>4462.0</v>
      </c>
      <c r="B4463" s="12">
        <f t="shared" si="698"/>
        <v>40576</v>
      </c>
      <c r="C4463" s="11" t="s">
        <v>2080</v>
      </c>
      <c r="D4463" s="11" t="s">
        <v>49</v>
      </c>
    </row>
    <row r="4464">
      <c r="A4464" s="11">
        <v>4463.0</v>
      </c>
      <c r="B4464" s="12">
        <f t="shared" ref="B4464:B4469" si="699">DATE(2012,12,31)-697</f>
        <v>40577</v>
      </c>
      <c r="C4464" s="11" t="s">
        <v>2131</v>
      </c>
      <c r="D4464" s="11" t="s">
        <v>66</v>
      </c>
    </row>
    <row r="4465">
      <c r="A4465" s="11">
        <v>4464.0</v>
      </c>
      <c r="B4465" s="12">
        <f t="shared" si="699"/>
        <v>40577</v>
      </c>
      <c r="C4465" s="11" t="s">
        <v>1831</v>
      </c>
      <c r="D4465" s="11" t="s">
        <v>28</v>
      </c>
    </row>
    <row r="4466">
      <c r="A4466" s="11">
        <v>4465.0</v>
      </c>
      <c r="B4466" s="12">
        <f t="shared" si="699"/>
        <v>40577</v>
      </c>
      <c r="C4466" s="11" t="s">
        <v>1594</v>
      </c>
      <c r="D4466" s="11" t="s">
        <v>28</v>
      </c>
    </row>
    <row r="4467">
      <c r="A4467" s="11">
        <v>4466.0</v>
      </c>
      <c r="B4467" s="12">
        <f t="shared" si="699"/>
        <v>40577</v>
      </c>
      <c r="C4467" s="11" t="s">
        <v>1520</v>
      </c>
      <c r="D4467" s="11" t="s">
        <v>28</v>
      </c>
    </row>
    <row r="4468">
      <c r="A4468" s="11">
        <v>4467.0</v>
      </c>
      <c r="B4468" s="12">
        <f t="shared" si="699"/>
        <v>40577</v>
      </c>
      <c r="C4468" s="11" t="s">
        <v>1520</v>
      </c>
      <c r="D4468" s="11" t="s">
        <v>28</v>
      </c>
    </row>
    <row r="4469">
      <c r="A4469" s="11">
        <v>4468.0</v>
      </c>
      <c r="B4469" s="12">
        <f t="shared" si="699"/>
        <v>40577</v>
      </c>
      <c r="C4469" s="11" t="s">
        <v>1520</v>
      </c>
      <c r="D4469" s="11" t="s">
        <v>66</v>
      </c>
    </row>
    <row r="4470">
      <c r="A4470" s="11">
        <v>4469.0</v>
      </c>
      <c r="B4470" s="12">
        <f t="shared" ref="B4470:B4473" si="700">DATE(2012,12,31)-696</f>
        <v>40578</v>
      </c>
      <c r="C4470" s="11" t="s">
        <v>953</v>
      </c>
      <c r="D4470" s="11" t="s">
        <v>49</v>
      </c>
    </row>
    <row r="4471">
      <c r="A4471" s="11">
        <v>4470.0</v>
      </c>
      <c r="B4471" s="12">
        <f t="shared" si="700"/>
        <v>40578</v>
      </c>
      <c r="C4471" s="11" t="s">
        <v>353</v>
      </c>
      <c r="D4471" s="11" t="s">
        <v>28</v>
      </c>
    </row>
    <row r="4472">
      <c r="A4472" s="11">
        <v>4471.0</v>
      </c>
      <c r="B4472" s="12">
        <f t="shared" si="700"/>
        <v>40578</v>
      </c>
      <c r="C4472" s="11" t="s">
        <v>274</v>
      </c>
      <c r="D4472" s="11" t="s">
        <v>28</v>
      </c>
    </row>
    <row r="4473">
      <c r="A4473" s="11">
        <v>4472.0</v>
      </c>
      <c r="B4473" s="12">
        <f t="shared" si="700"/>
        <v>40578</v>
      </c>
      <c r="C4473" s="11" t="s">
        <v>274</v>
      </c>
      <c r="D4473" s="11" t="s">
        <v>66</v>
      </c>
    </row>
    <row r="4474">
      <c r="A4474" s="11">
        <v>4473.0</v>
      </c>
      <c r="B4474" s="12">
        <f t="shared" ref="B4474:B4483" si="701">DATE(2012,12,31)-695</f>
        <v>40579</v>
      </c>
      <c r="C4474" s="11" t="s">
        <v>763</v>
      </c>
      <c r="D4474" s="11" t="s">
        <v>66</v>
      </c>
    </row>
    <row r="4475">
      <c r="A4475" s="11">
        <v>4474.0</v>
      </c>
      <c r="B4475" s="12">
        <f t="shared" si="701"/>
        <v>40579</v>
      </c>
      <c r="C4475" s="11" t="s">
        <v>763</v>
      </c>
      <c r="D4475" s="11" t="s">
        <v>28</v>
      </c>
    </row>
    <row r="4476">
      <c r="A4476" s="11">
        <v>4475.0</v>
      </c>
      <c r="B4476" s="12">
        <f t="shared" si="701"/>
        <v>40579</v>
      </c>
      <c r="C4476" s="11" t="s">
        <v>763</v>
      </c>
      <c r="D4476" s="11" t="s">
        <v>66</v>
      </c>
    </row>
    <row r="4477">
      <c r="A4477" s="11">
        <v>4476.0</v>
      </c>
      <c r="B4477" s="12">
        <f t="shared" si="701"/>
        <v>40579</v>
      </c>
      <c r="C4477" s="11" t="s">
        <v>1942</v>
      </c>
      <c r="D4477" s="11" t="s">
        <v>28</v>
      </c>
    </row>
    <row r="4478">
      <c r="A4478" s="11">
        <v>4477.0</v>
      </c>
      <c r="B4478" s="12">
        <f t="shared" si="701"/>
        <v>40579</v>
      </c>
      <c r="C4478" s="11" t="s">
        <v>145</v>
      </c>
      <c r="D4478" s="11" t="s">
        <v>28</v>
      </c>
    </row>
    <row r="4479">
      <c r="A4479" s="11">
        <v>4478.0</v>
      </c>
      <c r="B4479" s="12">
        <f t="shared" si="701"/>
        <v>40579</v>
      </c>
      <c r="C4479" s="11" t="s">
        <v>525</v>
      </c>
      <c r="D4479" s="11" t="s">
        <v>66</v>
      </c>
    </row>
    <row r="4480">
      <c r="A4480" s="11">
        <v>4479.0</v>
      </c>
      <c r="B4480" s="12">
        <f t="shared" si="701"/>
        <v>40579</v>
      </c>
      <c r="C4480" s="11" t="s">
        <v>1448</v>
      </c>
      <c r="D4480" s="11" t="s">
        <v>28</v>
      </c>
    </row>
    <row r="4481">
      <c r="A4481" s="11">
        <v>4480.0</v>
      </c>
      <c r="B4481" s="12">
        <f t="shared" si="701"/>
        <v>40579</v>
      </c>
      <c r="C4481" s="11" t="s">
        <v>934</v>
      </c>
      <c r="D4481" s="11" t="s">
        <v>49</v>
      </c>
    </row>
    <row r="4482">
      <c r="A4482" s="11">
        <v>4481.0</v>
      </c>
      <c r="B4482" s="12">
        <f t="shared" si="701"/>
        <v>40579</v>
      </c>
      <c r="C4482" s="11" t="s">
        <v>1447</v>
      </c>
      <c r="D4482" s="11" t="s">
        <v>28</v>
      </c>
    </row>
    <row r="4483">
      <c r="A4483" s="11">
        <v>4482.0</v>
      </c>
      <c r="B4483" s="12">
        <f t="shared" si="701"/>
        <v>40579</v>
      </c>
      <c r="C4483" s="11" t="s">
        <v>1447</v>
      </c>
      <c r="D4483" s="11" t="s">
        <v>28</v>
      </c>
    </row>
    <row r="4484">
      <c r="A4484" s="11">
        <v>4483.0</v>
      </c>
      <c r="B4484" s="12">
        <f t="shared" ref="B4484:B4498" si="702">DATE(2012,12,31)-694</f>
        <v>40580</v>
      </c>
      <c r="C4484" s="11" t="s">
        <v>1625</v>
      </c>
      <c r="D4484" s="11" t="s">
        <v>49</v>
      </c>
    </row>
    <row r="4485">
      <c r="A4485" s="11">
        <v>4484.0</v>
      </c>
      <c r="B4485" s="12">
        <f t="shared" si="702"/>
        <v>40580</v>
      </c>
      <c r="C4485" s="11" t="s">
        <v>1625</v>
      </c>
      <c r="D4485" s="11" t="s">
        <v>66</v>
      </c>
    </row>
    <row r="4486">
      <c r="A4486" s="11">
        <v>4485.0</v>
      </c>
      <c r="B4486" s="12">
        <f t="shared" si="702"/>
        <v>40580</v>
      </c>
      <c r="C4486" s="11" t="s">
        <v>1142</v>
      </c>
      <c r="D4486" s="11" t="s">
        <v>66</v>
      </c>
    </row>
    <row r="4487">
      <c r="A4487" s="11">
        <v>4486.0</v>
      </c>
      <c r="B4487" s="12">
        <f t="shared" si="702"/>
        <v>40580</v>
      </c>
      <c r="C4487" s="11" t="s">
        <v>1877</v>
      </c>
      <c r="D4487" s="11" t="s">
        <v>49</v>
      </c>
    </row>
    <row r="4488">
      <c r="A4488" s="11">
        <v>4487.0</v>
      </c>
      <c r="B4488" s="12">
        <f t="shared" si="702"/>
        <v>40580</v>
      </c>
      <c r="C4488" s="11" t="s">
        <v>1772</v>
      </c>
      <c r="D4488" s="11" t="s">
        <v>28</v>
      </c>
    </row>
    <row r="4489">
      <c r="A4489" s="11">
        <v>4488.0</v>
      </c>
      <c r="B4489" s="12">
        <f t="shared" si="702"/>
        <v>40580</v>
      </c>
      <c r="C4489" s="11" t="s">
        <v>1772</v>
      </c>
      <c r="D4489" s="11" t="s">
        <v>28</v>
      </c>
    </row>
    <row r="4490">
      <c r="A4490" s="11">
        <v>4489.0</v>
      </c>
      <c r="B4490" s="12">
        <f t="shared" si="702"/>
        <v>40580</v>
      </c>
      <c r="C4490" s="11" t="s">
        <v>262</v>
      </c>
      <c r="D4490" s="11" t="s">
        <v>28</v>
      </c>
    </row>
    <row r="4491">
      <c r="A4491" s="11">
        <v>4490.0</v>
      </c>
      <c r="B4491" s="12">
        <f t="shared" si="702"/>
        <v>40580</v>
      </c>
      <c r="C4491" s="11" t="s">
        <v>832</v>
      </c>
      <c r="D4491" s="11" t="s">
        <v>28</v>
      </c>
    </row>
    <row r="4492">
      <c r="A4492" s="11">
        <v>4491.0</v>
      </c>
      <c r="B4492" s="12">
        <f t="shared" si="702"/>
        <v>40580</v>
      </c>
      <c r="C4492" s="11" t="s">
        <v>832</v>
      </c>
      <c r="D4492" s="11" t="s">
        <v>66</v>
      </c>
    </row>
    <row r="4493">
      <c r="A4493" s="11">
        <v>4492.0</v>
      </c>
      <c r="B4493" s="12">
        <f t="shared" si="702"/>
        <v>40580</v>
      </c>
      <c r="C4493" s="11" t="s">
        <v>1707</v>
      </c>
      <c r="D4493" s="11" t="s">
        <v>28</v>
      </c>
    </row>
    <row r="4494">
      <c r="A4494" s="11">
        <v>4493.0</v>
      </c>
      <c r="B4494" s="12">
        <f t="shared" si="702"/>
        <v>40580</v>
      </c>
      <c r="C4494" s="11" t="s">
        <v>1707</v>
      </c>
      <c r="D4494" s="11" t="s">
        <v>28</v>
      </c>
    </row>
    <row r="4495">
      <c r="A4495" s="11">
        <v>4494.0</v>
      </c>
      <c r="B4495" s="12">
        <f t="shared" si="702"/>
        <v>40580</v>
      </c>
      <c r="C4495" s="11" t="s">
        <v>370</v>
      </c>
      <c r="D4495" s="11" t="s">
        <v>28</v>
      </c>
    </row>
    <row r="4496">
      <c r="A4496" s="11">
        <v>4495.0</v>
      </c>
      <c r="B4496" s="12">
        <f t="shared" si="702"/>
        <v>40580</v>
      </c>
      <c r="C4496" s="11" t="s">
        <v>370</v>
      </c>
      <c r="D4496" s="11" t="s">
        <v>28</v>
      </c>
    </row>
    <row r="4497">
      <c r="A4497" s="11">
        <v>4496.0</v>
      </c>
      <c r="B4497" s="12">
        <f t="shared" si="702"/>
        <v>40580</v>
      </c>
      <c r="C4497" s="11" t="s">
        <v>636</v>
      </c>
      <c r="D4497" s="11" t="s">
        <v>28</v>
      </c>
    </row>
    <row r="4498">
      <c r="A4498" s="11">
        <v>4497.0</v>
      </c>
      <c r="B4498" s="12">
        <f t="shared" si="702"/>
        <v>40580</v>
      </c>
      <c r="C4498" s="11" t="s">
        <v>1801</v>
      </c>
      <c r="D4498" s="11" t="s">
        <v>49</v>
      </c>
    </row>
    <row r="4499">
      <c r="A4499" s="11">
        <v>4498.0</v>
      </c>
      <c r="B4499" s="12">
        <f t="shared" ref="B4499:B4506" si="703">DATE(2012,12,31)-693</f>
        <v>40581</v>
      </c>
      <c r="C4499" s="11" t="s">
        <v>1314</v>
      </c>
      <c r="D4499" s="11" t="s">
        <v>28</v>
      </c>
    </row>
    <row r="4500">
      <c r="A4500" s="11">
        <v>4499.0</v>
      </c>
      <c r="B4500" s="12">
        <f t="shared" si="703"/>
        <v>40581</v>
      </c>
      <c r="C4500" s="11" t="s">
        <v>1314</v>
      </c>
      <c r="D4500" s="11" t="s">
        <v>66</v>
      </c>
    </row>
    <row r="4501">
      <c r="A4501" s="11">
        <v>4500.0</v>
      </c>
      <c r="B4501" s="12">
        <f t="shared" si="703"/>
        <v>40581</v>
      </c>
      <c r="C4501" s="11" t="s">
        <v>1314</v>
      </c>
      <c r="D4501" s="11" t="s">
        <v>28</v>
      </c>
    </row>
    <row r="4502">
      <c r="A4502" s="11">
        <v>4501.0</v>
      </c>
      <c r="B4502" s="12">
        <f t="shared" si="703"/>
        <v>40581</v>
      </c>
      <c r="C4502" s="11" t="s">
        <v>91</v>
      </c>
      <c r="D4502" s="11" t="s">
        <v>49</v>
      </c>
    </row>
    <row r="4503">
      <c r="A4503" s="11">
        <v>4502.0</v>
      </c>
      <c r="B4503" s="12">
        <f t="shared" si="703"/>
        <v>40581</v>
      </c>
      <c r="C4503" s="11" t="s">
        <v>2048</v>
      </c>
      <c r="D4503" s="11" t="s">
        <v>28</v>
      </c>
    </row>
    <row r="4504">
      <c r="A4504" s="11">
        <v>4503.0</v>
      </c>
      <c r="B4504" s="12">
        <f t="shared" si="703"/>
        <v>40581</v>
      </c>
      <c r="C4504" s="11" t="s">
        <v>1664</v>
      </c>
      <c r="D4504" s="11" t="s">
        <v>66</v>
      </c>
    </row>
    <row r="4505">
      <c r="A4505" s="11">
        <v>4504.0</v>
      </c>
      <c r="B4505" s="12">
        <f t="shared" si="703"/>
        <v>40581</v>
      </c>
      <c r="C4505" s="11" t="s">
        <v>1664</v>
      </c>
      <c r="D4505" s="11" t="s">
        <v>28</v>
      </c>
    </row>
    <row r="4506">
      <c r="A4506" s="11">
        <v>4505.0</v>
      </c>
      <c r="B4506" s="12">
        <f t="shared" si="703"/>
        <v>40581</v>
      </c>
      <c r="C4506" s="11" t="s">
        <v>2169</v>
      </c>
      <c r="D4506" s="11" t="s">
        <v>28</v>
      </c>
    </row>
    <row r="4507">
      <c r="A4507" s="11">
        <v>4506.0</v>
      </c>
      <c r="B4507" s="12">
        <f t="shared" ref="B4507:B4509" si="704">DATE(2012,12,31)-692</f>
        <v>40582</v>
      </c>
      <c r="C4507" s="11" t="s">
        <v>488</v>
      </c>
      <c r="D4507" s="11" t="s">
        <v>28</v>
      </c>
    </row>
    <row r="4508">
      <c r="A4508" s="11">
        <v>4507.0</v>
      </c>
      <c r="B4508" s="12">
        <f t="shared" si="704"/>
        <v>40582</v>
      </c>
      <c r="C4508" s="11" t="s">
        <v>353</v>
      </c>
      <c r="D4508" s="11" t="s">
        <v>28</v>
      </c>
    </row>
    <row r="4509">
      <c r="A4509" s="11">
        <v>4508.0</v>
      </c>
      <c r="B4509" s="12">
        <f t="shared" si="704"/>
        <v>40582</v>
      </c>
      <c r="C4509" s="11" t="s">
        <v>808</v>
      </c>
      <c r="D4509" s="11" t="s">
        <v>28</v>
      </c>
    </row>
    <row r="4510">
      <c r="A4510" s="11">
        <v>4509.0</v>
      </c>
      <c r="B4510" s="12">
        <f t="shared" ref="B4510:B4511" si="705">DATE(2012,12,31)-691</f>
        <v>40583</v>
      </c>
      <c r="C4510" s="11" t="s">
        <v>2105</v>
      </c>
      <c r="D4510" s="11" t="s">
        <v>66</v>
      </c>
    </row>
    <row r="4511">
      <c r="A4511" s="11">
        <v>4510.0</v>
      </c>
      <c r="B4511" s="12">
        <f t="shared" si="705"/>
        <v>40583</v>
      </c>
      <c r="C4511" s="11" t="s">
        <v>2105</v>
      </c>
      <c r="D4511" s="11" t="s">
        <v>66</v>
      </c>
    </row>
    <row r="4512">
      <c r="A4512" s="11">
        <v>4511.0</v>
      </c>
      <c r="B4512" s="12">
        <f t="shared" ref="B4512:B4519" si="706">DATE(2012,12,31)-690</f>
        <v>40584</v>
      </c>
      <c r="C4512" s="11" t="s">
        <v>648</v>
      </c>
      <c r="D4512" s="11" t="s">
        <v>49</v>
      </c>
    </row>
    <row r="4513">
      <c r="A4513" s="11">
        <v>4512.0</v>
      </c>
      <c r="B4513" s="12">
        <f t="shared" si="706"/>
        <v>40584</v>
      </c>
      <c r="C4513" s="11" t="s">
        <v>648</v>
      </c>
      <c r="D4513" s="11" t="s">
        <v>66</v>
      </c>
    </row>
    <row r="4514">
      <c r="A4514" s="11">
        <v>4513.0</v>
      </c>
      <c r="B4514" s="12">
        <f t="shared" si="706"/>
        <v>40584</v>
      </c>
      <c r="C4514" s="11" t="s">
        <v>1349</v>
      </c>
      <c r="D4514" s="11" t="s">
        <v>66</v>
      </c>
    </row>
    <row r="4515">
      <c r="A4515" s="11">
        <v>4514.0</v>
      </c>
      <c r="B4515" s="12">
        <f t="shared" si="706"/>
        <v>40584</v>
      </c>
      <c r="C4515" s="11" t="s">
        <v>928</v>
      </c>
      <c r="D4515" s="11" t="s">
        <v>28</v>
      </c>
    </row>
    <row r="4516">
      <c r="A4516" s="11">
        <v>4515.0</v>
      </c>
      <c r="B4516" s="12">
        <f t="shared" si="706"/>
        <v>40584</v>
      </c>
      <c r="C4516" s="11" t="s">
        <v>928</v>
      </c>
      <c r="D4516" s="11" t="s">
        <v>28</v>
      </c>
    </row>
    <row r="4517">
      <c r="A4517" s="11">
        <v>4516.0</v>
      </c>
      <c r="B4517" s="12">
        <f t="shared" si="706"/>
        <v>40584</v>
      </c>
      <c r="C4517" s="11" t="s">
        <v>928</v>
      </c>
      <c r="D4517" s="11" t="s">
        <v>66</v>
      </c>
    </row>
    <row r="4518">
      <c r="A4518" s="11">
        <v>4517.0</v>
      </c>
      <c r="B4518" s="12">
        <f t="shared" si="706"/>
        <v>40584</v>
      </c>
      <c r="C4518" s="11" t="s">
        <v>659</v>
      </c>
      <c r="D4518" s="11" t="s">
        <v>28</v>
      </c>
    </row>
    <row r="4519">
      <c r="A4519" s="11">
        <v>4518.0</v>
      </c>
      <c r="B4519" s="12">
        <f t="shared" si="706"/>
        <v>40584</v>
      </c>
      <c r="C4519" s="11" t="s">
        <v>1256</v>
      </c>
      <c r="D4519" s="11" t="s">
        <v>49</v>
      </c>
    </row>
    <row r="4520">
      <c r="A4520" s="11">
        <v>4519.0</v>
      </c>
      <c r="B4520" s="12">
        <f t="shared" ref="B4520:B4524" si="707">DATE(2012,12,31)-689</f>
        <v>40585</v>
      </c>
      <c r="C4520" s="11" t="s">
        <v>1257</v>
      </c>
      <c r="D4520" s="11" t="s">
        <v>28</v>
      </c>
    </row>
    <row r="4521">
      <c r="A4521" s="11">
        <v>4520.0</v>
      </c>
      <c r="B4521" s="12">
        <f t="shared" si="707"/>
        <v>40585</v>
      </c>
      <c r="C4521" s="11" t="s">
        <v>2035</v>
      </c>
      <c r="D4521" s="11" t="s">
        <v>49</v>
      </c>
    </row>
    <row r="4522">
      <c r="A4522" s="11">
        <v>4521.0</v>
      </c>
      <c r="B4522" s="12">
        <f t="shared" si="707"/>
        <v>40585</v>
      </c>
      <c r="C4522" s="11" t="s">
        <v>2229</v>
      </c>
      <c r="D4522" s="11" t="s">
        <v>49</v>
      </c>
    </row>
    <row r="4523">
      <c r="A4523" s="11">
        <v>4522.0</v>
      </c>
      <c r="B4523" s="12">
        <f t="shared" si="707"/>
        <v>40585</v>
      </c>
      <c r="C4523" s="11" t="s">
        <v>2229</v>
      </c>
      <c r="D4523" s="11" t="s">
        <v>28</v>
      </c>
    </row>
    <row r="4524">
      <c r="A4524" s="11">
        <v>4523.0</v>
      </c>
      <c r="B4524" s="12">
        <f t="shared" si="707"/>
        <v>40585</v>
      </c>
      <c r="C4524" s="11" t="s">
        <v>2229</v>
      </c>
      <c r="D4524" s="11" t="s">
        <v>28</v>
      </c>
    </row>
    <row r="4525">
      <c r="A4525" s="11">
        <v>4524.0</v>
      </c>
      <c r="B4525" s="12">
        <f t="shared" ref="B4525:B4528" si="708">DATE(2012,12,31)-688</f>
        <v>40586</v>
      </c>
      <c r="C4525" s="11" t="s">
        <v>196</v>
      </c>
      <c r="D4525" s="11" t="s">
        <v>28</v>
      </c>
    </row>
    <row r="4526">
      <c r="A4526" s="11">
        <v>4525.0</v>
      </c>
      <c r="B4526" s="12">
        <f t="shared" si="708"/>
        <v>40586</v>
      </c>
      <c r="C4526" s="11" t="s">
        <v>196</v>
      </c>
      <c r="D4526" s="11" t="s">
        <v>28</v>
      </c>
    </row>
    <row r="4527">
      <c r="A4527" s="11">
        <v>4526.0</v>
      </c>
      <c r="B4527" s="12">
        <f t="shared" si="708"/>
        <v>40586</v>
      </c>
      <c r="C4527" s="11" t="s">
        <v>196</v>
      </c>
      <c r="D4527" s="11" t="s">
        <v>28</v>
      </c>
    </row>
    <row r="4528">
      <c r="A4528" s="11">
        <v>4527.0</v>
      </c>
      <c r="B4528" s="12">
        <f t="shared" si="708"/>
        <v>40586</v>
      </c>
      <c r="C4528" s="11" t="s">
        <v>1578</v>
      </c>
      <c r="D4528" s="11" t="s">
        <v>49</v>
      </c>
    </row>
    <row r="4529">
      <c r="A4529" s="11">
        <v>4528.0</v>
      </c>
      <c r="B4529" s="12">
        <f t="shared" ref="B4529:B4539" si="709">DATE(2012,12,31)-687</f>
        <v>40587</v>
      </c>
      <c r="C4529" s="11" t="s">
        <v>251</v>
      </c>
      <c r="D4529" s="11" t="s">
        <v>66</v>
      </c>
    </row>
    <row r="4530">
      <c r="A4530" s="11">
        <v>4529.0</v>
      </c>
      <c r="B4530" s="12">
        <f t="shared" si="709"/>
        <v>40587</v>
      </c>
      <c r="C4530" s="11" t="s">
        <v>251</v>
      </c>
      <c r="D4530" s="11" t="s">
        <v>66</v>
      </c>
    </row>
    <row r="4531">
      <c r="A4531" s="11">
        <v>4530.0</v>
      </c>
      <c r="B4531" s="12">
        <f t="shared" si="709"/>
        <v>40587</v>
      </c>
      <c r="C4531" s="11" t="s">
        <v>2023</v>
      </c>
      <c r="D4531" s="11" t="s">
        <v>49</v>
      </c>
    </row>
    <row r="4532">
      <c r="A4532" s="11">
        <v>4531.0</v>
      </c>
      <c r="B4532" s="12">
        <f t="shared" si="709"/>
        <v>40587</v>
      </c>
      <c r="C4532" s="11" t="s">
        <v>2023</v>
      </c>
      <c r="D4532" s="11" t="s">
        <v>28</v>
      </c>
    </row>
    <row r="4533">
      <c r="A4533" s="11">
        <v>4532.0</v>
      </c>
      <c r="B4533" s="12">
        <f t="shared" si="709"/>
        <v>40587</v>
      </c>
      <c r="C4533" s="11" t="s">
        <v>1345</v>
      </c>
      <c r="D4533" s="11" t="s">
        <v>49</v>
      </c>
    </row>
    <row r="4534">
      <c r="A4534" s="11">
        <v>4533.0</v>
      </c>
      <c r="B4534" s="12">
        <f t="shared" si="709"/>
        <v>40587</v>
      </c>
      <c r="C4534" s="11" t="s">
        <v>1345</v>
      </c>
      <c r="D4534" s="11" t="s">
        <v>49</v>
      </c>
    </row>
    <row r="4535">
      <c r="A4535" s="11">
        <v>4534.0</v>
      </c>
      <c r="B4535" s="12">
        <f t="shared" si="709"/>
        <v>40587</v>
      </c>
      <c r="C4535" s="11" t="s">
        <v>1345</v>
      </c>
      <c r="D4535" s="11" t="s">
        <v>28</v>
      </c>
    </row>
    <row r="4536">
      <c r="A4536" s="11">
        <v>4535.0</v>
      </c>
      <c r="B4536" s="12">
        <f t="shared" si="709"/>
        <v>40587</v>
      </c>
      <c r="C4536" s="11" t="s">
        <v>738</v>
      </c>
      <c r="D4536" s="11" t="s">
        <v>49</v>
      </c>
    </row>
    <row r="4537">
      <c r="A4537" s="11">
        <v>4536.0</v>
      </c>
      <c r="B4537" s="12">
        <f t="shared" si="709"/>
        <v>40587</v>
      </c>
      <c r="C4537" s="11" t="s">
        <v>1518</v>
      </c>
      <c r="D4537" s="11" t="s">
        <v>28</v>
      </c>
    </row>
    <row r="4538">
      <c r="A4538" s="11">
        <v>4537.0</v>
      </c>
      <c r="B4538" s="12">
        <f t="shared" si="709"/>
        <v>40587</v>
      </c>
      <c r="C4538" s="11" t="s">
        <v>1518</v>
      </c>
      <c r="D4538" s="11" t="s">
        <v>49</v>
      </c>
    </row>
    <row r="4539">
      <c r="A4539" s="11">
        <v>4538.0</v>
      </c>
      <c r="B4539" s="12">
        <f t="shared" si="709"/>
        <v>40587</v>
      </c>
      <c r="C4539" s="11" t="s">
        <v>2183</v>
      </c>
      <c r="D4539" s="11" t="s">
        <v>28</v>
      </c>
    </row>
    <row r="4540">
      <c r="A4540" s="11">
        <v>4539.0</v>
      </c>
      <c r="B4540" s="12">
        <f t="shared" ref="B4540:B4550" si="710">DATE(2012,12,31)-686</f>
        <v>40588</v>
      </c>
      <c r="C4540" s="11" t="s">
        <v>1664</v>
      </c>
      <c r="D4540" s="11" t="s">
        <v>28</v>
      </c>
    </row>
    <row r="4541">
      <c r="A4541" s="11">
        <v>4540.0</v>
      </c>
      <c r="B4541" s="12">
        <f t="shared" si="710"/>
        <v>40588</v>
      </c>
      <c r="C4541" s="11" t="s">
        <v>1664</v>
      </c>
      <c r="D4541" s="11" t="s">
        <v>28</v>
      </c>
    </row>
    <row r="4542">
      <c r="A4542" s="11">
        <v>4541.0</v>
      </c>
      <c r="B4542" s="12">
        <f t="shared" si="710"/>
        <v>40588</v>
      </c>
      <c r="C4542" s="11" t="s">
        <v>1664</v>
      </c>
      <c r="D4542" s="11" t="s">
        <v>28</v>
      </c>
    </row>
    <row r="4543">
      <c r="A4543" s="11">
        <v>4542.0</v>
      </c>
      <c r="B4543" s="12">
        <f t="shared" si="710"/>
        <v>40588</v>
      </c>
      <c r="C4543" s="11" t="s">
        <v>1664</v>
      </c>
      <c r="D4543" s="11" t="s">
        <v>66</v>
      </c>
    </row>
    <row r="4544">
      <c r="A4544" s="11">
        <v>4543.0</v>
      </c>
      <c r="B4544" s="12">
        <f t="shared" si="710"/>
        <v>40588</v>
      </c>
      <c r="C4544" s="11" t="s">
        <v>1761</v>
      </c>
      <c r="D4544" s="11" t="s">
        <v>49</v>
      </c>
    </row>
    <row r="4545">
      <c r="A4545" s="11">
        <v>4544.0</v>
      </c>
      <c r="B4545" s="12">
        <f t="shared" si="710"/>
        <v>40588</v>
      </c>
      <c r="C4545" s="11" t="s">
        <v>174</v>
      </c>
      <c r="D4545" s="11" t="s">
        <v>49</v>
      </c>
    </row>
    <row r="4546">
      <c r="A4546" s="11">
        <v>4545.0</v>
      </c>
      <c r="B4546" s="12">
        <f t="shared" si="710"/>
        <v>40588</v>
      </c>
      <c r="C4546" s="11" t="s">
        <v>174</v>
      </c>
      <c r="D4546" s="11" t="s">
        <v>28</v>
      </c>
    </row>
    <row r="4547">
      <c r="A4547" s="11">
        <v>4546.0</v>
      </c>
      <c r="B4547" s="12">
        <f t="shared" si="710"/>
        <v>40588</v>
      </c>
      <c r="C4547" s="11" t="s">
        <v>2343</v>
      </c>
      <c r="D4547" s="11" t="s">
        <v>28</v>
      </c>
    </row>
    <row r="4548">
      <c r="A4548" s="11">
        <v>4547.0</v>
      </c>
      <c r="B4548" s="12">
        <f t="shared" si="710"/>
        <v>40588</v>
      </c>
      <c r="C4548" s="11" t="s">
        <v>588</v>
      </c>
      <c r="D4548" s="11" t="s">
        <v>49</v>
      </c>
    </row>
    <row r="4549">
      <c r="A4549" s="11">
        <v>4548.0</v>
      </c>
      <c r="B4549" s="12">
        <f t="shared" si="710"/>
        <v>40588</v>
      </c>
      <c r="C4549" s="11" t="s">
        <v>588</v>
      </c>
      <c r="D4549" s="11" t="s">
        <v>66</v>
      </c>
    </row>
    <row r="4550">
      <c r="A4550" s="11">
        <v>4549.0</v>
      </c>
      <c r="B4550" s="12">
        <f t="shared" si="710"/>
        <v>40588</v>
      </c>
      <c r="C4550" s="11" t="s">
        <v>806</v>
      </c>
      <c r="D4550" s="11" t="s">
        <v>66</v>
      </c>
    </row>
    <row r="4551">
      <c r="A4551" s="11">
        <v>4550.0</v>
      </c>
      <c r="B4551" s="12">
        <f t="shared" ref="B4551:B4556" si="711">DATE(2012,12,31)-685</f>
        <v>40589</v>
      </c>
      <c r="C4551" s="11" t="s">
        <v>855</v>
      </c>
      <c r="D4551" s="11" t="s">
        <v>28</v>
      </c>
    </row>
    <row r="4552">
      <c r="A4552" s="11">
        <v>4551.0</v>
      </c>
      <c r="B4552" s="12">
        <f t="shared" si="711"/>
        <v>40589</v>
      </c>
      <c r="C4552" s="11" t="s">
        <v>2104</v>
      </c>
      <c r="D4552" s="11" t="s">
        <v>66</v>
      </c>
    </row>
    <row r="4553">
      <c r="A4553" s="11">
        <v>4552.0</v>
      </c>
      <c r="B4553" s="12">
        <f t="shared" si="711"/>
        <v>40589</v>
      </c>
      <c r="C4553" s="11" t="s">
        <v>1357</v>
      </c>
      <c r="D4553" s="11" t="s">
        <v>28</v>
      </c>
    </row>
    <row r="4554">
      <c r="A4554" s="11">
        <v>4553.0</v>
      </c>
      <c r="B4554" s="12">
        <f t="shared" si="711"/>
        <v>40589</v>
      </c>
      <c r="C4554" s="11" t="s">
        <v>1357</v>
      </c>
      <c r="D4554" s="11" t="s">
        <v>49</v>
      </c>
    </row>
    <row r="4555">
      <c r="A4555" s="11">
        <v>4554.0</v>
      </c>
      <c r="B4555" s="12">
        <f t="shared" si="711"/>
        <v>40589</v>
      </c>
      <c r="C4555" s="11" t="s">
        <v>1496</v>
      </c>
      <c r="D4555" s="11" t="s">
        <v>28</v>
      </c>
    </row>
    <row r="4556">
      <c r="A4556" s="11">
        <v>4555.0</v>
      </c>
      <c r="B4556" s="12">
        <f t="shared" si="711"/>
        <v>40589</v>
      </c>
      <c r="C4556" s="11" t="s">
        <v>1496</v>
      </c>
      <c r="D4556" s="11" t="s">
        <v>28</v>
      </c>
    </row>
    <row r="4557">
      <c r="A4557" s="11">
        <v>4556.0</v>
      </c>
      <c r="B4557" s="12">
        <f t="shared" ref="B4557:B4561" si="712">DATE(2012,12,31)-684</f>
        <v>40590</v>
      </c>
      <c r="C4557" s="11" t="s">
        <v>1917</v>
      </c>
      <c r="D4557" s="11" t="s">
        <v>66</v>
      </c>
    </row>
    <row r="4558">
      <c r="A4558" s="11">
        <v>4557.0</v>
      </c>
      <c r="B4558" s="12">
        <f t="shared" si="712"/>
        <v>40590</v>
      </c>
      <c r="C4558" s="11" t="s">
        <v>1917</v>
      </c>
      <c r="D4558" s="11" t="s">
        <v>28</v>
      </c>
    </row>
    <row r="4559">
      <c r="A4559" s="11">
        <v>4558.0</v>
      </c>
      <c r="B4559" s="12">
        <f t="shared" si="712"/>
        <v>40590</v>
      </c>
      <c r="C4559" s="11" t="s">
        <v>2384</v>
      </c>
      <c r="D4559" s="11" t="s">
        <v>28</v>
      </c>
    </row>
    <row r="4560">
      <c r="A4560" s="11">
        <v>4559.0</v>
      </c>
      <c r="B4560" s="12">
        <f t="shared" si="712"/>
        <v>40590</v>
      </c>
      <c r="C4560" s="11" t="s">
        <v>2384</v>
      </c>
      <c r="D4560" s="11" t="s">
        <v>49</v>
      </c>
    </row>
    <row r="4561">
      <c r="A4561" s="11">
        <v>4560.0</v>
      </c>
      <c r="B4561" s="12">
        <f t="shared" si="712"/>
        <v>40590</v>
      </c>
      <c r="C4561" s="11" t="s">
        <v>2513</v>
      </c>
      <c r="D4561" s="11" t="s">
        <v>66</v>
      </c>
    </row>
    <row r="4562">
      <c r="A4562" s="11">
        <v>4561.0</v>
      </c>
      <c r="B4562" s="12">
        <f t="shared" ref="B4562:B4564" si="713">DATE(2012,12,31)-683</f>
        <v>40591</v>
      </c>
      <c r="C4562" s="11" t="s">
        <v>1377</v>
      </c>
      <c r="D4562" s="11" t="s">
        <v>66</v>
      </c>
    </row>
    <row r="4563">
      <c r="A4563" s="11">
        <v>4562.0</v>
      </c>
      <c r="B4563" s="12">
        <f t="shared" si="713"/>
        <v>40591</v>
      </c>
      <c r="C4563" s="11" t="s">
        <v>1393</v>
      </c>
      <c r="D4563" s="11" t="s">
        <v>66</v>
      </c>
    </row>
    <row r="4564">
      <c r="A4564" s="11">
        <v>4563.0</v>
      </c>
      <c r="B4564" s="12">
        <f t="shared" si="713"/>
        <v>40591</v>
      </c>
      <c r="C4564" s="11" t="s">
        <v>1393</v>
      </c>
      <c r="D4564" s="11" t="s">
        <v>28</v>
      </c>
    </row>
    <row r="4565">
      <c r="A4565" s="11">
        <v>4564.0</v>
      </c>
      <c r="B4565" s="12">
        <f t="shared" ref="B4565:B4568" si="714">DATE(2012,12,31)-682</f>
        <v>40592</v>
      </c>
      <c r="C4565" s="11" t="s">
        <v>1693</v>
      </c>
      <c r="D4565" s="11" t="s">
        <v>28</v>
      </c>
    </row>
    <row r="4566">
      <c r="A4566" s="11">
        <v>4565.0</v>
      </c>
      <c r="B4566" s="12">
        <f t="shared" si="714"/>
        <v>40592</v>
      </c>
      <c r="C4566" s="11" t="s">
        <v>1693</v>
      </c>
      <c r="D4566" s="11" t="s">
        <v>66</v>
      </c>
    </row>
    <row r="4567">
      <c r="A4567" s="11">
        <v>4566.0</v>
      </c>
      <c r="B4567" s="12">
        <f t="shared" si="714"/>
        <v>40592</v>
      </c>
      <c r="C4567" s="11" t="s">
        <v>1036</v>
      </c>
      <c r="D4567" s="11" t="s">
        <v>28</v>
      </c>
    </row>
    <row r="4568">
      <c r="A4568" s="11">
        <v>4567.0</v>
      </c>
      <c r="B4568" s="12">
        <f t="shared" si="714"/>
        <v>40592</v>
      </c>
      <c r="C4568" s="11" t="s">
        <v>1492</v>
      </c>
      <c r="D4568" s="11" t="s">
        <v>28</v>
      </c>
    </row>
    <row r="4569">
      <c r="A4569" s="11">
        <v>4568.0</v>
      </c>
      <c r="B4569" s="12">
        <f t="shared" ref="B4569:B4572" si="715">DATE(2012,12,31)-681</f>
        <v>40593</v>
      </c>
      <c r="C4569" s="11" t="s">
        <v>1054</v>
      </c>
      <c r="D4569" s="11" t="s">
        <v>28</v>
      </c>
    </row>
    <row r="4570">
      <c r="A4570" s="11">
        <v>4569.0</v>
      </c>
      <c r="B4570" s="12">
        <f t="shared" si="715"/>
        <v>40593</v>
      </c>
      <c r="C4570" s="11" t="s">
        <v>1054</v>
      </c>
      <c r="D4570" s="11" t="s">
        <v>49</v>
      </c>
    </row>
    <row r="4571">
      <c r="A4571" s="11">
        <v>4570.0</v>
      </c>
      <c r="B4571" s="12">
        <f t="shared" si="715"/>
        <v>40593</v>
      </c>
      <c r="C4571" s="11" t="s">
        <v>878</v>
      </c>
      <c r="D4571" s="11" t="s">
        <v>28</v>
      </c>
    </row>
    <row r="4572">
      <c r="A4572" s="11">
        <v>4571.0</v>
      </c>
      <c r="B4572" s="12">
        <f t="shared" si="715"/>
        <v>40593</v>
      </c>
      <c r="C4572" s="11" t="s">
        <v>878</v>
      </c>
      <c r="D4572" s="11" t="s">
        <v>66</v>
      </c>
    </row>
    <row r="4573">
      <c r="A4573" s="11">
        <v>4572.0</v>
      </c>
      <c r="B4573" s="12">
        <f t="shared" ref="B4573:B4580" si="716">DATE(2012,12,31)-680</f>
        <v>40594</v>
      </c>
      <c r="C4573" s="11" t="s">
        <v>2095</v>
      </c>
      <c r="D4573" s="11" t="s">
        <v>28</v>
      </c>
    </row>
    <row r="4574">
      <c r="A4574" s="11">
        <v>4573.0</v>
      </c>
      <c r="B4574" s="12">
        <f t="shared" si="716"/>
        <v>40594</v>
      </c>
      <c r="C4574" s="11" t="s">
        <v>992</v>
      </c>
      <c r="D4574" s="11" t="s">
        <v>49</v>
      </c>
    </row>
    <row r="4575">
      <c r="A4575" s="11">
        <v>4574.0</v>
      </c>
      <c r="B4575" s="12">
        <f t="shared" si="716"/>
        <v>40594</v>
      </c>
      <c r="C4575" s="11" t="s">
        <v>992</v>
      </c>
      <c r="D4575" s="11" t="s">
        <v>28</v>
      </c>
    </row>
    <row r="4576">
      <c r="A4576" s="11">
        <v>4575.0</v>
      </c>
      <c r="B4576" s="12">
        <f t="shared" si="716"/>
        <v>40594</v>
      </c>
      <c r="C4576" s="11" t="s">
        <v>232</v>
      </c>
      <c r="D4576" s="11" t="s">
        <v>66</v>
      </c>
    </row>
    <row r="4577">
      <c r="A4577" s="11">
        <v>4576.0</v>
      </c>
      <c r="B4577" s="12">
        <f t="shared" si="716"/>
        <v>40594</v>
      </c>
      <c r="C4577" s="11" t="s">
        <v>232</v>
      </c>
      <c r="D4577" s="11" t="s">
        <v>49</v>
      </c>
    </row>
    <row r="4578">
      <c r="A4578" s="11">
        <v>4577.0</v>
      </c>
      <c r="B4578" s="12">
        <f t="shared" si="716"/>
        <v>40594</v>
      </c>
      <c r="C4578" s="11" t="s">
        <v>1266</v>
      </c>
      <c r="D4578" s="11" t="s">
        <v>28</v>
      </c>
    </row>
    <row r="4579">
      <c r="A4579" s="11">
        <v>4578.0</v>
      </c>
      <c r="B4579" s="12">
        <f t="shared" si="716"/>
        <v>40594</v>
      </c>
      <c r="C4579" s="11" t="s">
        <v>1266</v>
      </c>
      <c r="D4579" s="11" t="s">
        <v>66</v>
      </c>
    </row>
    <row r="4580">
      <c r="A4580" s="11">
        <v>4579.0</v>
      </c>
      <c r="B4580" s="12">
        <f t="shared" si="716"/>
        <v>40594</v>
      </c>
      <c r="C4580" s="11" t="s">
        <v>373</v>
      </c>
      <c r="D4580" s="11" t="s">
        <v>28</v>
      </c>
    </row>
    <row r="4581">
      <c r="A4581" s="11">
        <v>4580.0</v>
      </c>
      <c r="B4581" s="12">
        <f t="shared" ref="B4581:B4586" si="717">DATE(2012,12,31)-679</f>
        <v>40595</v>
      </c>
      <c r="C4581" s="11" t="s">
        <v>2297</v>
      </c>
      <c r="D4581" s="11" t="s">
        <v>28</v>
      </c>
    </row>
    <row r="4582">
      <c r="A4582" s="11">
        <v>4581.0</v>
      </c>
      <c r="B4582" s="12">
        <f t="shared" si="717"/>
        <v>40595</v>
      </c>
      <c r="C4582" s="11" t="s">
        <v>942</v>
      </c>
      <c r="D4582" s="11" t="s">
        <v>66</v>
      </c>
    </row>
    <row r="4583">
      <c r="A4583" s="11">
        <v>4582.0</v>
      </c>
      <c r="B4583" s="12">
        <f t="shared" si="717"/>
        <v>40595</v>
      </c>
      <c r="C4583" s="11" t="s">
        <v>942</v>
      </c>
      <c r="D4583" s="11" t="s">
        <v>66</v>
      </c>
    </row>
    <row r="4584">
      <c r="A4584" s="11">
        <v>4583.0</v>
      </c>
      <c r="B4584" s="12">
        <f t="shared" si="717"/>
        <v>40595</v>
      </c>
      <c r="C4584" s="11" t="s">
        <v>942</v>
      </c>
      <c r="D4584" s="11" t="s">
        <v>66</v>
      </c>
    </row>
    <row r="4585">
      <c r="A4585" s="11">
        <v>4584.0</v>
      </c>
      <c r="B4585" s="12">
        <f t="shared" si="717"/>
        <v>40595</v>
      </c>
      <c r="C4585" s="11" t="s">
        <v>1684</v>
      </c>
      <c r="D4585" s="11" t="s">
        <v>28</v>
      </c>
    </row>
    <row r="4586">
      <c r="A4586" s="11">
        <v>4585.0</v>
      </c>
      <c r="B4586" s="12">
        <f t="shared" si="717"/>
        <v>40595</v>
      </c>
      <c r="C4586" s="11" t="s">
        <v>1684</v>
      </c>
      <c r="D4586" s="11" t="s">
        <v>49</v>
      </c>
    </row>
    <row r="4587">
      <c r="A4587" s="11">
        <v>4586.0</v>
      </c>
      <c r="B4587" s="12">
        <f t="shared" ref="B4587:B4591" si="718">DATE(2012,12,31)-678</f>
        <v>40596</v>
      </c>
      <c r="C4587" s="11" t="s">
        <v>674</v>
      </c>
      <c r="D4587" s="11" t="s">
        <v>28</v>
      </c>
    </row>
    <row r="4588">
      <c r="A4588" s="11">
        <v>4587.0</v>
      </c>
      <c r="B4588" s="12">
        <f t="shared" si="718"/>
        <v>40596</v>
      </c>
      <c r="C4588" s="11" t="s">
        <v>2064</v>
      </c>
      <c r="D4588" s="11" t="s">
        <v>28</v>
      </c>
    </row>
    <row r="4589">
      <c r="A4589" s="11">
        <v>4588.0</v>
      </c>
      <c r="B4589" s="12">
        <f t="shared" si="718"/>
        <v>40596</v>
      </c>
      <c r="C4589" s="11" t="s">
        <v>2064</v>
      </c>
      <c r="D4589" s="11" t="s">
        <v>28</v>
      </c>
    </row>
    <row r="4590">
      <c r="A4590" s="11">
        <v>4589.0</v>
      </c>
      <c r="B4590" s="12">
        <f t="shared" si="718"/>
        <v>40596</v>
      </c>
      <c r="C4590" s="11" t="s">
        <v>2064</v>
      </c>
      <c r="D4590" s="11" t="s">
        <v>28</v>
      </c>
    </row>
    <row r="4591">
      <c r="A4591" s="11">
        <v>4590.0</v>
      </c>
      <c r="B4591" s="12">
        <f t="shared" si="718"/>
        <v>40596</v>
      </c>
      <c r="C4591" s="11" t="s">
        <v>1009</v>
      </c>
      <c r="D4591" s="11" t="s">
        <v>49</v>
      </c>
    </row>
    <row r="4592">
      <c r="A4592" s="11">
        <v>4591.0</v>
      </c>
      <c r="B4592" s="12">
        <f>DATE(2012,12,31)-677</f>
        <v>40597</v>
      </c>
      <c r="C4592" s="11" t="s">
        <v>2163</v>
      </c>
      <c r="D4592" s="11" t="s">
        <v>28</v>
      </c>
    </row>
    <row r="4593">
      <c r="A4593" s="11">
        <v>4592.0</v>
      </c>
      <c r="B4593" s="12">
        <f t="shared" ref="B4593:B4602" si="719">DATE(2012,12,31)-676</f>
        <v>40598</v>
      </c>
      <c r="C4593" s="11" t="s">
        <v>2498</v>
      </c>
      <c r="D4593" s="11" t="s">
        <v>66</v>
      </c>
    </row>
    <row r="4594">
      <c r="A4594" s="11">
        <v>4593.0</v>
      </c>
      <c r="B4594" s="12">
        <f t="shared" si="719"/>
        <v>40598</v>
      </c>
      <c r="C4594" s="11" t="s">
        <v>2498</v>
      </c>
      <c r="D4594" s="11" t="s">
        <v>28</v>
      </c>
    </row>
    <row r="4595">
      <c r="A4595" s="11">
        <v>4594.0</v>
      </c>
      <c r="B4595" s="12">
        <f t="shared" si="719"/>
        <v>40598</v>
      </c>
      <c r="C4595" s="11" t="s">
        <v>1496</v>
      </c>
      <c r="D4595" s="11" t="s">
        <v>28</v>
      </c>
    </row>
    <row r="4596">
      <c r="A4596" s="11">
        <v>4595.0</v>
      </c>
      <c r="B4596" s="12">
        <f t="shared" si="719"/>
        <v>40598</v>
      </c>
      <c r="C4596" s="11" t="s">
        <v>2026</v>
      </c>
      <c r="D4596" s="11" t="s">
        <v>28</v>
      </c>
    </row>
    <row r="4597">
      <c r="A4597" s="11">
        <v>4596.0</v>
      </c>
      <c r="B4597" s="12">
        <f t="shared" si="719"/>
        <v>40598</v>
      </c>
      <c r="C4597" s="11" t="s">
        <v>2187</v>
      </c>
      <c r="D4597" s="11" t="s">
        <v>28</v>
      </c>
    </row>
    <row r="4598">
      <c r="A4598" s="11">
        <v>4597.0</v>
      </c>
      <c r="B4598" s="12">
        <f t="shared" si="719"/>
        <v>40598</v>
      </c>
      <c r="C4598" s="11" t="s">
        <v>2187</v>
      </c>
      <c r="D4598" s="11" t="s">
        <v>66</v>
      </c>
    </row>
    <row r="4599">
      <c r="A4599" s="11">
        <v>4598.0</v>
      </c>
      <c r="B4599" s="12">
        <f t="shared" si="719"/>
        <v>40598</v>
      </c>
      <c r="C4599" s="11" t="s">
        <v>1722</v>
      </c>
      <c r="D4599" s="11" t="s">
        <v>28</v>
      </c>
    </row>
    <row r="4600">
      <c r="A4600" s="11">
        <v>4599.0</v>
      </c>
      <c r="B4600" s="12">
        <f t="shared" si="719"/>
        <v>40598</v>
      </c>
      <c r="C4600" s="11" t="s">
        <v>2035</v>
      </c>
      <c r="D4600" s="11" t="s">
        <v>66</v>
      </c>
    </row>
    <row r="4601">
      <c r="A4601" s="11">
        <v>4600.0</v>
      </c>
      <c r="B4601" s="12">
        <f t="shared" si="719"/>
        <v>40598</v>
      </c>
      <c r="C4601" s="11" t="s">
        <v>2514</v>
      </c>
      <c r="D4601" s="11" t="s">
        <v>28</v>
      </c>
    </row>
    <row r="4602">
      <c r="A4602" s="11">
        <v>4601.0</v>
      </c>
      <c r="B4602" s="12">
        <f t="shared" si="719"/>
        <v>40598</v>
      </c>
      <c r="C4602" s="11" t="s">
        <v>2516</v>
      </c>
      <c r="D4602" s="11" t="s">
        <v>28</v>
      </c>
    </row>
    <row r="4603">
      <c r="A4603" s="11">
        <v>4602.0</v>
      </c>
      <c r="B4603" s="12">
        <f t="shared" ref="B4603:B4605" si="720">DATE(2012,12,31)-675</f>
        <v>40599</v>
      </c>
      <c r="C4603" s="11" t="s">
        <v>1501</v>
      </c>
      <c r="D4603" s="11" t="s">
        <v>28</v>
      </c>
    </row>
    <row r="4604">
      <c r="A4604" s="11">
        <v>4603.0</v>
      </c>
      <c r="B4604" s="12">
        <f t="shared" si="720"/>
        <v>40599</v>
      </c>
      <c r="C4604" s="11" t="s">
        <v>1501</v>
      </c>
      <c r="D4604" s="11" t="s">
        <v>49</v>
      </c>
    </row>
    <row r="4605">
      <c r="A4605" s="11">
        <v>4604.0</v>
      </c>
      <c r="B4605" s="12">
        <f t="shared" si="720"/>
        <v>40599</v>
      </c>
      <c r="C4605" s="11" t="s">
        <v>1118</v>
      </c>
      <c r="D4605" s="11" t="s">
        <v>28</v>
      </c>
    </row>
    <row r="4606">
      <c r="A4606" s="11">
        <v>4605.0</v>
      </c>
      <c r="B4606" s="12">
        <f t="shared" ref="B4606:B4615" si="721">DATE(2012,12,31)-674</f>
        <v>40600</v>
      </c>
      <c r="C4606" s="11" t="s">
        <v>1110</v>
      </c>
      <c r="D4606" s="11" t="s">
        <v>66</v>
      </c>
    </row>
    <row r="4607">
      <c r="A4607" s="11">
        <v>4606.0</v>
      </c>
      <c r="B4607" s="12">
        <f t="shared" si="721"/>
        <v>40600</v>
      </c>
      <c r="C4607" s="11" t="s">
        <v>1110</v>
      </c>
      <c r="D4607" s="11" t="s">
        <v>28</v>
      </c>
    </row>
    <row r="4608">
      <c r="A4608" s="11">
        <v>4607.0</v>
      </c>
      <c r="B4608" s="12">
        <f t="shared" si="721"/>
        <v>40600</v>
      </c>
      <c r="C4608" s="11" t="s">
        <v>1277</v>
      </c>
      <c r="D4608" s="11" t="s">
        <v>28</v>
      </c>
    </row>
    <row r="4609">
      <c r="A4609" s="11">
        <v>4608.0</v>
      </c>
      <c r="B4609" s="12">
        <f t="shared" si="721"/>
        <v>40600</v>
      </c>
      <c r="C4609" s="11" t="s">
        <v>196</v>
      </c>
      <c r="D4609" s="11" t="s">
        <v>28</v>
      </c>
    </row>
    <row r="4610">
      <c r="A4610" s="11">
        <v>4609.0</v>
      </c>
      <c r="B4610" s="12">
        <f t="shared" si="721"/>
        <v>40600</v>
      </c>
      <c r="C4610" s="11" t="s">
        <v>2519</v>
      </c>
      <c r="D4610" s="11" t="s">
        <v>28</v>
      </c>
    </row>
    <row r="4611">
      <c r="A4611" s="11">
        <v>4610.0</v>
      </c>
      <c r="B4611" s="12">
        <f t="shared" si="721"/>
        <v>40600</v>
      </c>
      <c r="C4611" s="11" t="s">
        <v>2009</v>
      </c>
      <c r="D4611" s="11" t="s">
        <v>28</v>
      </c>
    </row>
    <row r="4612">
      <c r="A4612" s="11">
        <v>4611.0</v>
      </c>
      <c r="B4612" s="12">
        <f t="shared" si="721"/>
        <v>40600</v>
      </c>
      <c r="C4612" s="11" t="s">
        <v>392</v>
      </c>
      <c r="D4612" s="11" t="s">
        <v>28</v>
      </c>
    </row>
    <row r="4613">
      <c r="A4613" s="11">
        <v>4612.0</v>
      </c>
      <c r="B4613" s="12">
        <f t="shared" si="721"/>
        <v>40600</v>
      </c>
      <c r="C4613" s="11" t="s">
        <v>392</v>
      </c>
      <c r="D4613" s="11" t="s">
        <v>28</v>
      </c>
    </row>
    <row r="4614">
      <c r="A4614" s="11">
        <v>4613.0</v>
      </c>
      <c r="B4614" s="12">
        <f t="shared" si="721"/>
        <v>40600</v>
      </c>
      <c r="C4614" s="11" t="s">
        <v>550</v>
      </c>
      <c r="D4614" s="11" t="s">
        <v>49</v>
      </c>
    </row>
    <row r="4615">
      <c r="A4615" s="11">
        <v>4614.0</v>
      </c>
      <c r="B4615" s="12">
        <f t="shared" si="721"/>
        <v>40600</v>
      </c>
      <c r="C4615" s="11" t="s">
        <v>550</v>
      </c>
      <c r="D4615" s="11" t="s">
        <v>49</v>
      </c>
    </row>
    <row r="4616">
      <c r="A4616" s="11">
        <v>4615.0</v>
      </c>
      <c r="B4616" s="12">
        <f>DATE(2012,12,31)-673</f>
        <v>40601</v>
      </c>
      <c r="C4616" s="11" t="s">
        <v>1653</v>
      </c>
      <c r="D4616" s="11" t="s">
        <v>66</v>
      </c>
    </row>
    <row r="4617">
      <c r="A4617" s="11">
        <v>4616.0</v>
      </c>
      <c r="B4617" s="12">
        <f t="shared" ref="B4617:B4620" si="722">DATE(2012,12,31)-672</f>
        <v>40602</v>
      </c>
      <c r="C4617" s="11" t="s">
        <v>871</v>
      </c>
      <c r="D4617" s="11" t="s">
        <v>28</v>
      </c>
    </row>
    <row r="4618">
      <c r="A4618" s="11">
        <v>4617.0</v>
      </c>
      <c r="B4618" s="12">
        <f t="shared" si="722"/>
        <v>40602</v>
      </c>
      <c r="C4618" s="11" t="s">
        <v>1960</v>
      </c>
      <c r="D4618" s="11" t="s">
        <v>28</v>
      </c>
    </row>
    <row r="4619">
      <c r="A4619" s="11">
        <v>4618.0</v>
      </c>
      <c r="B4619" s="12">
        <f t="shared" si="722"/>
        <v>40602</v>
      </c>
      <c r="C4619" s="11" t="s">
        <v>1960</v>
      </c>
      <c r="D4619" s="11" t="s">
        <v>28</v>
      </c>
    </row>
    <row r="4620">
      <c r="A4620" s="11">
        <v>4619.0</v>
      </c>
      <c r="B4620" s="12">
        <f t="shared" si="722"/>
        <v>40602</v>
      </c>
      <c r="C4620" s="11" t="s">
        <v>1697</v>
      </c>
      <c r="D4620" s="11" t="s">
        <v>28</v>
      </c>
    </row>
    <row r="4621">
      <c r="A4621" s="11">
        <v>4620.0</v>
      </c>
      <c r="B4621" s="12">
        <f t="shared" ref="B4621:B4626" si="723">DATE(2012,12,31)-671</f>
        <v>40603</v>
      </c>
      <c r="C4621" s="11" t="s">
        <v>716</v>
      </c>
      <c r="D4621" s="11" t="s">
        <v>28</v>
      </c>
    </row>
    <row r="4622">
      <c r="A4622" s="11">
        <v>4621.0</v>
      </c>
      <c r="B4622" s="12">
        <f t="shared" si="723"/>
        <v>40603</v>
      </c>
      <c r="C4622" s="11" t="s">
        <v>716</v>
      </c>
      <c r="D4622" s="11" t="s">
        <v>49</v>
      </c>
    </row>
    <row r="4623">
      <c r="A4623" s="11">
        <v>4622.0</v>
      </c>
      <c r="B4623" s="12">
        <f t="shared" si="723"/>
        <v>40603</v>
      </c>
      <c r="C4623" s="11" t="s">
        <v>253</v>
      </c>
      <c r="D4623" s="11" t="s">
        <v>28</v>
      </c>
    </row>
    <row r="4624">
      <c r="A4624" s="11">
        <v>4623.0</v>
      </c>
      <c r="B4624" s="12">
        <f t="shared" si="723"/>
        <v>40603</v>
      </c>
      <c r="C4624" s="11" t="s">
        <v>832</v>
      </c>
      <c r="D4624" s="11" t="s">
        <v>66</v>
      </c>
    </row>
    <row r="4625">
      <c r="A4625" s="11">
        <v>4624.0</v>
      </c>
      <c r="B4625" s="12">
        <f t="shared" si="723"/>
        <v>40603</v>
      </c>
      <c r="C4625" s="11" t="s">
        <v>2495</v>
      </c>
      <c r="D4625" s="11" t="s">
        <v>28</v>
      </c>
    </row>
    <row r="4626">
      <c r="A4626" s="11">
        <v>4625.0</v>
      </c>
      <c r="B4626" s="12">
        <f t="shared" si="723"/>
        <v>40603</v>
      </c>
      <c r="C4626" s="11" t="s">
        <v>2495</v>
      </c>
      <c r="D4626" s="11" t="s">
        <v>28</v>
      </c>
    </row>
    <row r="4627">
      <c r="A4627" s="11">
        <v>4626.0</v>
      </c>
      <c r="B4627" s="12">
        <f t="shared" ref="B4627:B4631" si="724">DATE(2012,12,31)-670</f>
        <v>40604</v>
      </c>
      <c r="C4627" s="11" t="s">
        <v>491</v>
      </c>
      <c r="D4627" s="11" t="s">
        <v>66</v>
      </c>
    </row>
    <row r="4628">
      <c r="A4628" s="11">
        <v>4627.0</v>
      </c>
      <c r="B4628" s="12">
        <f t="shared" si="724"/>
        <v>40604</v>
      </c>
      <c r="C4628" s="11" t="s">
        <v>2520</v>
      </c>
      <c r="D4628" s="11" t="s">
        <v>28</v>
      </c>
    </row>
    <row r="4629">
      <c r="A4629" s="11">
        <v>4628.0</v>
      </c>
      <c r="B4629" s="12">
        <f t="shared" si="724"/>
        <v>40604</v>
      </c>
      <c r="C4629" s="11" t="s">
        <v>595</v>
      </c>
      <c r="D4629" s="11" t="s">
        <v>28</v>
      </c>
    </row>
    <row r="4630">
      <c r="A4630" s="11">
        <v>4629.0</v>
      </c>
      <c r="B4630" s="12">
        <f t="shared" si="724"/>
        <v>40604</v>
      </c>
      <c r="C4630" s="11" t="s">
        <v>1024</v>
      </c>
      <c r="D4630" s="11" t="s">
        <v>66</v>
      </c>
    </row>
    <row r="4631">
      <c r="A4631" s="11">
        <v>4630.0</v>
      </c>
      <c r="B4631" s="12">
        <f t="shared" si="724"/>
        <v>40604</v>
      </c>
      <c r="C4631" s="11" t="s">
        <v>1024</v>
      </c>
      <c r="D4631" s="11" t="s">
        <v>28</v>
      </c>
    </row>
    <row r="4632">
      <c r="A4632" s="11">
        <v>4631.0</v>
      </c>
      <c r="B4632" s="12">
        <f t="shared" ref="B4632:B4635" si="725">DATE(2012,12,31)-669</f>
        <v>40605</v>
      </c>
      <c r="C4632" s="11" t="s">
        <v>2311</v>
      </c>
      <c r="D4632" s="11" t="s">
        <v>66</v>
      </c>
    </row>
    <row r="4633">
      <c r="A4633" s="11">
        <v>4632.0</v>
      </c>
      <c r="B4633" s="12">
        <f t="shared" si="725"/>
        <v>40605</v>
      </c>
      <c r="C4633" s="11" t="s">
        <v>403</v>
      </c>
      <c r="D4633" s="11" t="s">
        <v>66</v>
      </c>
    </row>
    <row r="4634">
      <c r="A4634" s="11">
        <v>4633.0</v>
      </c>
      <c r="B4634" s="12">
        <f t="shared" si="725"/>
        <v>40605</v>
      </c>
      <c r="C4634" s="11" t="s">
        <v>1168</v>
      </c>
      <c r="D4634" s="11" t="s">
        <v>66</v>
      </c>
    </row>
    <row r="4635">
      <c r="A4635" s="11">
        <v>4634.0</v>
      </c>
      <c r="B4635" s="12">
        <f t="shared" si="725"/>
        <v>40605</v>
      </c>
      <c r="C4635" s="11" t="s">
        <v>2303</v>
      </c>
      <c r="D4635" s="11" t="s">
        <v>49</v>
      </c>
    </row>
    <row r="4636">
      <c r="A4636" s="11">
        <v>4635.0</v>
      </c>
      <c r="B4636" s="12">
        <f t="shared" ref="B4636:B4644" si="726">DATE(2012,12,31)-668</f>
        <v>40606</v>
      </c>
      <c r="C4636" s="11" t="s">
        <v>97</v>
      </c>
      <c r="D4636" s="11" t="s">
        <v>28</v>
      </c>
    </row>
    <row r="4637">
      <c r="A4637" s="11">
        <v>4636.0</v>
      </c>
      <c r="B4637" s="12">
        <f t="shared" si="726"/>
        <v>40606</v>
      </c>
      <c r="C4637" s="11" t="s">
        <v>97</v>
      </c>
      <c r="D4637" s="11" t="s">
        <v>28</v>
      </c>
    </row>
    <row r="4638">
      <c r="A4638" s="11">
        <v>4637.0</v>
      </c>
      <c r="B4638" s="12">
        <f t="shared" si="726"/>
        <v>40606</v>
      </c>
      <c r="C4638" s="11" t="s">
        <v>2441</v>
      </c>
      <c r="D4638" s="11" t="s">
        <v>28</v>
      </c>
    </row>
    <row r="4639">
      <c r="A4639" s="11">
        <v>4638.0</v>
      </c>
      <c r="B4639" s="12">
        <f t="shared" si="726"/>
        <v>40606</v>
      </c>
      <c r="C4639" s="11" t="s">
        <v>1045</v>
      </c>
      <c r="D4639" s="11" t="s">
        <v>28</v>
      </c>
    </row>
    <row r="4640">
      <c r="A4640" s="11">
        <v>4639.0</v>
      </c>
      <c r="B4640" s="12">
        <f t="shared" si="726"/>
        <v>40606</v>
      </c>
      <c r="C4640" s="11" t="s">
        <v>1045</v>
      </c>
      <c r="D4640" s="11" t="s">
        <v>28</v>
      </c>
    </row>
    <row r="4641">
      <c r="A4641" s="11">
        <v>4640.0</v>
      </c>
      <c r="B4641" s="12">
        <f t="shared" si="726"/>
        <v>40606</v>
      </c>
      <c r="C4641" s="11" t="s">
        <v>769</v>
      </c>
      <c r="D4641" s="11" t="s">
        <v>49</v>
      </c>
    </row>
    <row r="4642">
      <c r="A4642" s="11">
        <v>4641.0</v>
      </c>
      <c r="B4642" s="12">
        <f t="shared" si="726"/>
        <v>40606</v>
      </c>
      <c r="C4642" s="11" t="s">
        <v>769</v>
      </c>
      <c r="D4642" s="11" t="s">
        <v>66</v>
      </c>
    </row>
    <row r="4643">
      <c r="A4643" s="11">
        <v>4642.0</v>
      </c>
      <c r="B4643" s="12">
        <f t="shared" si="726"/>
        <v>40606</v>
      </c>
      <c r="C4643" s="11" t="s">
        <v>769</v>
      </c>
      <c r="D4643" s="11" t="s">
        <v>28</v>
      </c>
    </row>
    <row r="4644">
      <c r="A4644" s="11">
        <v>4643.0</v>
      </c>
      <c r="B4644" s="12">
        <f t="shared" si="726"/>
        <v>40606</v>
      </c>
      <c r="C4644" s="11" t="s">
        <v>514</v>
      </c>
      <c r="D4644" s="11" t="s">
        <v>49</v>
      </c>
    </row>
    <row r="4645">
      <c r="A4645" s="11">
        <v>4644.0</v>
      </c>
      <c r="B4645" s="12">
        <f t="shared" ref="B4645:B4651" si="727">DATE(2012,12,31)-667</f>
        <v>40607</v>
      </c>
      <c r="C4645" s="11" t="s">
        <v>1355</v>
      </c>
      <c r="D4645" s="11" t="s">
        <v>28</v>
      </c>
    </row>
    <row r="4646">
      <c r="A4646" s="11">
        <v>4645.0</v>
      </c>
      <c r="B4646" s="12">
        <f t="shared" si="727"/>
        <v>40607</v>
      </c>
      <c r="C4646" s="11" t="s">
        <v>1355</v>
      </c>
      <c r="D4646" s="11" t="s">
        <v>28</v>
      </c>
    </row>
    <row r="4647">
      <c r="A4647" s="11">
        <v>4646.0</v>
      </c>
      <c r="B4647" s="12">
        <f t="shared" si="727"/>
        <v>40607</v>
      </c>
      <c r="C4647" s="11" t="s">
        <v>1355</v>
      </c>
      <c r="D4647" s="11" t="s">
        <v>66</v>
      </c>
    </row>
    <row r="4648">
      <c r="A4648" s="11">
        <v>4647.0</v>
      </c>
      <c r="B4648" s="12">
        <f t="shared" si="727"/>
        <v>40607</v>
      </c>
      <c r="C4648" s="11" t="s">
        <v>535</v>
      </c>
      <c r="D4648" s="11" t="s">
        <v>28</v>
      </c>
    </row>
    <row r="4649">
      <c r="A4649" s="11">
        <v>4648.0</v>
      </c>
      <c r="B4649" s="12">
        <f t="shared" si="727"/>
        <v>40607</v>
      </c>
      <c r="C4649" s="11" t="s">
        <v>535</v>
      </c>
      <c r="D4649" s="11" t="s">
        <v>28</v>
      </c>
    </row>
    <row r="4650">
      <c r="A4650" s="11">
        <v>4649.0</v>
      </c>
      <c r="B4650" s="12">
        <f t="shared" si="727"/>
        <v>40607</v>
      </c>
      <c r="C4650" s="11" t="s">
        <v>2250</v>
      </c>
      <c r="D4650" s="11" t="s">
        <v>28</v>
      </c>
    </row>
    <row r="4651">
      <c r="A4651" s="11">
        <v>4650.0</v>
      </c>
      <c r="B4651" s="12">
        <f t="shared" si="727"/>
        <v>40607</v>
      </c>
      <c r="C4651" s="11" t="s">
        <v>1390</v>
      </c>
      <c r="D4651" s="11" t="s">
        <v>49</v>
      </c>
    </row>
    <row r="4652">
      <c r="A4652" s="11">
        <v>4651.0</v>
      </c>
      <c r="B4652" s="12">
        <f t="shared" ref="B4652:B4657" si="728">DATE(2012,12,31)-665</f>
        <v>40609</v>
      </c>
      <c r="C4652" s="11" t="s">
        <v>2513</v>
      </c>
      <c r="D4652" s="11" t="s">
        <v>28</v>
      </c>
    </row>
    <row r="4653">
      <c r="A4653" s="11">
        <v>4652.0</v>
      </c>
      <c r="B4653" s="12">
        <f t="shared" si="728"/>
        <v>40609</v>
      </c>
      <c r="C4653" s="11" t="s">
        <v>2413</v>
      </c>
      <c r="D4653" s="11" t="s">
        <v>49</v>
      </c>
    </row>
    <row r="4654">
      <c r="A4654" s="11">
        <v>4653.0</v>
      </c>
      <c r="B4654" s="12">
        <f t="shared" si="728"/>
        <v>40609</v>
      </c>
      <c r="C4654" s="11" t="s">
        <v>697</v>
      </c>
      <c r="D4654" s="11" t="s">
        <v>28</v>
      </c>
    </row>
    <row r="4655">
      <c r="A4655" s="11">
        <v>4654.0</v>
      </c>
      <c r="B4655" s="12">
        <f t="shared" si="728"/>
        <v>40609</v>
      </c>
      <c r="C4655" s="11" t="s">
        <v>1586</v>
      </c>
      <c r="D4655" s="11" t="s">
        <v>28</v>
      </c>
    </row>
    <row r="4656">
      <c r="A4656" s="11">
        <v>4655.0</v>
      </c>
      <c r="B4656" s="12">
        <f t="shared" si="728"/>
        <v>40609</v>
      </c>
      <c r="C4656" s="11" t="s">
        <v>1439</v>
      </c>
      <c r="D4656" s="11" t="s">
        <v>49</v>
      </c>
    </row>
    <row r="4657">
      <c r="A4657" s="11">
        <v>4656.0</v>
      </c>
      <c r="B4657" s="12">
        <f t="shared" si="728"/>
        <v>40609</v>
      </c>
      <c r="C4657" s="11" t="s">
        <v>1439</v>
      </c>
      <c r="D4657" s="11" t="s">
        <v>49</v>
      </c>
    </row>
    <row r="4658">
      <c r="A4658" s="11">
        <v>4657.0</v>
      </c>
      <c r="B4658" s="12">
        <f t="shared" ref="B4658:B4665" si="729">DATE(2012,12,31)-664</f>
        <v>40610</v>
      </c>
      <c r="C4658" s="11" t="s">
        <v>798</v>
      </c>
      <c r="D4658" s="11" t="s">
        <v>28</v>
      </c>
    </row>
    <row r="4659">
      <c r="A4659" s="11">
        <v>4658.0</v>
      </c>
      <c r="B4659" s="12">
        <f t="shared" si="729"/>
        <v>40610</v>
      </c>
      <c r="C4659" s="11" t="s">
        <v>2095</v>
      </c>
      <c r="D4659" s="11" t="s">
        <v>28</v>
      </c>
    </row>
    <row r="4660">
      <c r="A4660" s="11">
        <v>4659.0</v>
      </c>
      <c r="B4660" s="12">
        <f t="shared" si="729"/>
        <v>40610</v>
      </c>
      <c r="C4660" s="11" t="s">
        <v>2095</v>
      </c>
      <c r="D4660" s="11" t="s">
        <v>28</v>
      </c>
    </row>
    <row r="4661">
      <c r="A4661" s="11">
        <v>4660.0</v>
      </c>
      <c r="B4661" s="12">
        <f t="shared" si="729"/>
        <v>40610</v>
      </c>
      <c r="C4661" s="11" t="s">
        <v>2295</v>
      </c>
      <c r="D4661" s="11" t="s">
        <v>28</v>
      </c>
    </row>
    <row r="4662">
      <c r="A4662" s="11">
        <v>4661.0</v>
      </c>
      <c r="B4662" s="12">
        <f t="shared" si="729"/>
        <v>40610</v>
      </c>
      <c r="C4662" s="11" t="s">
        <v>2295</v>
      </c>
      <c r="D4662" s="11" t="s">
        <v>28</v>
      </c>
    </row>
    <row r="4663">
      <c r="A4663" s="11">
        <v>4662.0</v>
      </c>
      <c r="B4663" s="12">
        <f t="shared" si="729"/>
        <v>40610</v>
      </c>
      <c r="C4663" s="11" t="s">
        <v>1697</v>
      </c>
      <c r="D4663" s="11" t="s">
        <v>28</v>
      </c>
    </row>
    <row r="4664">
      <c r="A4664" s="11">
        <v>4663.0</v>
      </c>
      <c r="B4664" s="12">
        <f t="shared" si="729"/>
        <v>40610</v>
      </c>
      <c r="C4664" s="11" t="s">
        <v>781</v>
      </c>
      <c r="D4664" s="11" t="s">
        <v>28</v>
      </c>
    </row>
    <row r="4665">
      <c r="A4665" s="11">
        <v>4664.0</v>
      </c>
      <c r="B4665" s="12">
        <f t="shared" si="729"/>
        <v>40610</v>
      </c>
      <c r="C4665" s="11" t="s">
        <v>781</v>
      </c>
      <c r="D4665" s="11" t="s">
        <v>66</v>
      </c>
    </row>
    <row r="4666">
      <c r="A4666" s="11">
        <v>4665.0</v>
      </c>
      <c r="B4666" s="12">
        <f t="shared" ref="B4666:B4667" si="730">DATE(2012,12,31)-663</f>
        <v>40611</v>
      </c>
      <c r="C4666" s="11" t="s">
        <v>2140</v>
      </c>
      <c r="D4666" s="11" t="s">
        <v>28</v>
      </c>
    </row>
    <row r="4667">
      <c r="A4667" s="11">
        <v>4666.0</v>
      </c>
      <c r="B4667" s="12">
        <f t="shared" si="730"/>
        <v>40611</v>
      </c>
      <c r="C4667" s="11" t="s">
        <v>2140</v>
      </c>
      <c r="D4667" s="11" t="s">
        <v>66</v>
      </c>
    </row>
    <row r="4668">
      <c r="A4668" s="11">
        <v>4667.0</v>
      </c>
      <c r="B4668" s="12">
        <f t="shared" ref="B4668:B4678" si="731">DATE(2012,12,31)-662</f>
        <v>40612</v>
      </c>
      <c r="C4668" s="11" t="s">
        <v>815</v>
      </c>
      <c r="D4668" s="11" t="s">
        <v>28</v>
      </c>
    </row>
    <row r="4669">
      <c r="A4669" s="11">
        <v>4668.0</v>
      </c>
      <c r="B4669" s="12">
        <f t="shared" si="731"/>
        <v>40612</v>
      </c>
      <c r="C4669" s="11" t="s">
        <v>1936</v>
      </c>
      <c r="D4669" s="11" t="s">
        <v>49</v>
      </c>
    </row>
    <row r="4670">
      <c r="A4670" s="11">
        <v>4669.0</v>
      </c>
      <c r="B4670" s="12">
        <f t="shared" si="731"/>
        <v>40612</v>
      </c>
      <c r="C4670" s="11" t="s">
        <v>1936</v>
      </c>
      <c r="D4670" s="11" t="s">
        <v>66</v>
      </c>
    </row>
    <row r="4671">
      <c r="A4671" s="11">
        <v>4670.0</v>
      </c>
      <c r="B4671" s="12">
        <f t="shared" si="731"/>
        <v>40612</v>
      </c>
      <c r="C4671" s="11" t="s">
        <v>180</v>
      </c>
      <c r="D4671" s="11" t="s">
        <v>49</v>
      </c>
    </row>
    <row r="4672">
      <c r="A4672" s="11">
        <v>4671.0</v>
      </c>
      <c r="B4672" s="12">
        <f t="shared" si="731"/>
        <v>40612</v>
      </c>
      <c r="C4672" s="11" t="s">
        <v>1218</v>
      </c>
      <c r="D4672" s="11" t="s">
        <v>28</v>
      </c>
    </row>
    <row r="4673">
      <c r="A4673" s="11">
        <v>4672.0</v>
      </c>
      <c r="B4673" s="12">
        <f t="shared" si="731"/>
        <v>40612</v>
      </c>
      <c r="C4673" s="11" t="s">
        <v>2076</v>
      </c>
      <c r="D4673" s="11" t="s">
        <v>28</v>
      </c>
    </row>
    <row r="4674">
      <c r="A4674" s="11">
        <v>4673.0</v>
      </c>
      <c r="B4674" s="12">
        <f t="shared" si="731"/>
        <v>40612</v>
      </c>
      <c r="C4674" s="11" t="s">
        <v>1010</v>
      </c>
      <c r="D4674" s="11" t="s">
        <v>28</v>
      </c>
    </row>
    <row r="4675">
      <c r="A4675" s="11">
        <v>4674.0</v>
      </c>
      <c r="B4675" s="12">
        <f t="shared" si="731"/>
        <v>40612</v>
      </c>
      <c r="C4675" s="11" t="s">
        <v>1010</v>
      </c>
      <c r="D4675" s="11" t="s">
        <v>49</v>
      </c>
    </row>
    <row r="4676">
      <c r="A4676" s="11">
        <v>4675.0</v>
      </c>
      <c r="B4676" s="12">
        <f t="shared" si="731"/>
        <v>40612</v>
      </c>
      <c r="C4676" s="11" t="s">
        <v>1529</v>
      </c>
      <c r="D4676" s="11" t="s">
        <v>66</v>
      </c>
    </row>
    <row r="4677">
      <c r="A4677" s="11">
        <v>4676.0</v>
      </c>
      <c r="B4677" s="12">
        <f t="shared" si="731"/>
        <v>40612</v>
      </c>
      <c r="C4677" s="11" t="s">
        <v>382</v>
      </c>
      <c r="D4677" s="11" t="s">
        <v>28</v>
      </c>
    </row>
    <row r="4678">
      <c r="A4678" s="11">
        <v>4677.0</v>
      </c>
      <c r="B4678" s="12">
        <f t="shared" si="731"/>
        <v>40612</v>
      </c>
      <c r="C4678" s="11" t="s">
        <v>382</v>
      </c>
      <c r="D4678" s="11" t="s">
        <v>28</v>
      </c>
    </row>
    <row r="4679">
      <c r="A4679" s="11">
        <v>4678.0</v>
      </c>
      <c r="B4679" s="12">
        <f t="shared" ref="B4679:B4681" si="732">DATE(2012,12,31)-661</f>
        <v>40613</v>
      </c>
      <c r="C4679" s="11" t="s">
        <v>611</v>
      </c>
      <c r="D4679" s="11" t="s">
        <v>66</v>
      </c>
    </row>
    <row r="4680">
      <c r="A4680" s="11">
        <v>4679.0</v>
      </c>
      <c r="B4680" s="12">
        <f t="shared" si="732"/>
        <v>40613</v>
      </c>
      <c r="C4680" s="11" t="s">
        <v>611</v>
      </c>
      <c r="D4680" s="11" t="s">
        <v>28</v>
      </c>
    </row>
    <row r="4681">
      <c r="A4681" s="11">
        <v>4680.0</v>
      </c>
      <c r="B4681" s="12">
        <f t="shared" si="732"/>
        <v>40613</v>
      </c>
      <c r="C4681" s="11" t="s">
        <v>353</v>
      </c>
      <c r="D4681" s="11" t="s">
        <v>49</v>
      </c>
    </row>
    <row r="4682">
      <c r="A4682" s="11">
        <v>4681.0</v>
      </c>
      <c r="B4682" s="12">
        <f t="shared" ref="B4682:B4688" si="733">DATE(2012,12,31)-660</f>
        <v>40614</v>
      </c>
      <c r="C4682" s="11" t="s">
        <v>2027</v>
      </c>
      <c r="D4682" s="11" t="s">
        <v>49</v>
      </c>
    </row>
    <row r="4683">
      <c r="A4683" s="11">
        <v>4682.0</v>
      </c>
      <c r="B4683" s="12">
        <f t="shared" si="733"/>
        <v>40614</v>
      </c>
      <c r="C4683" s="11" t="s">
        <v>2027</v>
      </c>
      <c r="D4683" s="11" t="s">
        <v>28</v>
      </c>
    </row>
    <row r="4684">
      <c r="A4684" s="11">
        <v>4683.0</v>
      </c>
      <c r="B4684" s="12">
        <f t="shared" si="733"/>
        <v>40614</v>
      </c>
      <c r="C4684" s="11" t="s">
        <v>2027</v>
      </c>
      <c r="D4684" s="11" t="s">
        <v>28</v>
      </c>
    </row>
    <row r="4685">
      <c r="A4685" s="11">
        <v>4684.0</v>
      </c>
      <c r="B4685" s="12">
        <f t="shared" si="733"/>
        <v>40614</v>
      </c>
      <c r="C4685" s="11" t="s">
        <v>2027</v>
      </c>
      <c r="D4685" s="11" t="s">
        <v>28</v>
      </c>
    </row>
    <row r="4686">
      <c r="A4686" s="11">
        <v>4685.0</v>
      </c>
      <c r="B4686" s="12">
        <f t="shared" si="733"/>
        <v>40614</v>
      </c>
      <c r="C4686" s="11" t="s">
        <v>769</v>
      </c>
      <c r="D4686" s="11" t="s">
        <v>66</v>
      </c>
    </row>
    <row r="4687">
      <c r="A4687" s="11">
        <v>4686.0</v>
      </c>
      <c r="B4687" s="12">
        <f t="shared" si="733"/>
        <v>40614</v>
      </c>
      <c r="C4687" s="11" t="s">
        <v>769</v>
      </c>
      <c r="D4687" s="11" t="s">
        <v>28</v>
      </c>
    </row>
    <row r="4688">
      <c r="A4688" s="11">
        <v>4687.0</v>
      </c>
      <c r="B4688" s="12">
        <f t="shared" si="733"/>
        <v>40614</v>
      </c>
      <c r="C4688" s="11" t="s">
        <v>148</v>
      </c>
      <c r="D4688" s="11" t="s">
        <v>28</v>
      </c>
    </row>
    <row r="4689">
      <c r="A4689" s="11">
        <v>4688.0</v>
      </c>
      <c r="B4689" s="12">
        <f t="shared" ref="B4689:B4693" si="734">DATE(2012,12,31)-659</f>
        <v>40615</v>
      </c>
      <c r="C4689" s="11" t="s">
        <v>1224</v>
      </c>
      <c r="D4689" s="11" t="s">
        <v>28</v>
      </c>
    </row>
    <row r="4690">
      <c r="A4690" s="11">
        <v>4689.0</v>
      </c>
      <c r="B4690" s="12">
        <f t="shared" si="734"/>
        <v>40615</v>
      </c>
      <c r="C4690" s="11" t="s">
        <v>571</v>
      </c>
      <c r="D4690" s="11" t="s">
        <v>28</v>
      </c>
    </row>
    <row r="4691">
      <c r="A4691" s="11">
        <v>4690.0</v>
      </c>
      <c r="B4691" s="12">
        <f t="shared" si="734"/>
        <v>40615</v>
      </c>
      <c r="C4691" s="11" t="s">
        <v>571</v>
      </c>
      <c r="D4691" s="11" t="s">
        <v>66</v>
      </c>
    </row>
    <row r="4692">
      <c r="A4692" s="11">
        <v>4691.0</v>
      </c>
      <c r="B4692" s="12">
        <f t="shared" si="734"/>
        <v>40615</v>
      </c>
      <c r="C4692" s="11" t="s">
        <v>94</v>
      </c>
      <c r="D4692" s="11" t="s">
        <v>28</v>
      </c>
    </row>
    <row r="4693">
      <c r="A4693" s="11">
        <v>4692.0</v>
      </c>
      <c r="B4693" s="12">
        <f t="shared" si="734"/>
        <v>40615</v>
      </c>
      <c r="C4693" s="11" t="s">
        <v>947</v>
      </c>
      <c r="D4693" s="11" t="s">
        <v>66</v>
      </c>
    </row>
    <row r="4694">
      <c r="A4694" s="11">
        <v>4693.0</v>
      </c>
      <c r="B4694" s="12">
        <f>DATE(2012,12,31)-658</f>
        <v>40616</v>
      </c>
      <c r="C4694" s="11" t="s">
        <v>1684</v>
      </c>
      <c r="D4694" s="11" t="s">
        <v>49</v>
      </c>
    </row>
    <row r="4695">
      <c r="A4695" s="11">
        <v>4694.0</v>
      </c>
      <c r="B4695" s="12">
        <f t="shared" ref="B4695:B4706" si="735">DATE(2012,12,31)-657</f>
        <v>40617</v>
      </c>
      <c r="C4695" s="11" t="s">
        <v>1444</v>
      </c>
      <c r="D4695" s="11" t="s">
        <v>49</v>
      </c>
    </row>
    <row r="4696">
      <c r="A4696" s="11">
        <v>4695.0</v>
      </c>
      <c r="B4696" s="12">
        <f t="shared" si="735"/>
        <v>40617</v>
      </c>
      <c r="C4696" s="11" t="s">
        <v>2026</v>
      </c>
      <c r="D4696" s="11" t="s">
        <v>28</v>
      </c>
    </row>
    <row r="4697">
      <c r="A4697" s="11">
        <v>4696.0</v>
      </c>
      <c r="B4697" s="12">
        <f t="shared" si="735"/>
        <v>40617</v>
      </c>
      <c r="C4697" s="11" t="s">
        <v>1210</v>
      </c>
      <c r="D4697" s="11" t="s">
        <v>66</v>
      </c>
    </row>
    <row r="4698">
      <c r="A4698" s="11">
        <v>4697.0</v>
      </c>
      <c r="B4698" s="12">
        <f t="shared" si="735"/>
        <v>40617</v>
      </c>
      <c r="C4698" s="11" t="s">
        <v>1210</v>
      </c>
      <c r="D4698" s="11" t="s">
        <v>66</v>
      </c>
    </row>
    <row r="4699">
      <c r="A4699" s="11">
        <v>4698.0</v>
      </c>
      <c r="B4699" s="12">
        <f t="shared" si="735"/>
        <v>40617</v>
      </c>
      <c r="C4699" s="11" t="s">
        <v>546</v>
      </c>
      <c r="D4699" s="11" t="s">
        <v>28</v>
      </c>
    </row>
    <row r="4700">
      <c r="A4700" s="11">
        <v>4699.0</v>
      </c>
      <c r="B4700" s="12">
        <f t="shared" si="735"/>
        <v>40617</v>
      </c>
      <c r="C4700" s="11" t="s">
        <v>546</v>
      </c>
      <c r="D4700" s="11" t="s">
        <v>49</v>
      </c>
    </row>
    <row r="4701">
      <c r="A4701" s="11">
        <v>4700.0</v>
      </c>
      <c r="B4701" s="12">
        <f t="shared" si="735"/>
        <v>40617</v>
      </c>
      <c r="C4701" s="11" t="s">
        <v>546</v>
      </c>
      <c r="D4701" s="11" t="s">
        <v>28</v>
      </c>
    </row>
    <row r="4702">
      <c r="A4702" s="11">
        <v>4701.0</v>
      </c>
      <c r="B4702" s="12">
        <f t="shared" si="735"/>
        <v>40617</v>
      </c>
      <c r="C4702" s="11" t="s">
        <v>78</v>
      </c>
      <c r="D4702" s="11" t="s">
        <v>49</v>
      </c>
    </row>
    <row r="4703">
      <c r="A4703" s="11">
        <v>4702.0</v>
      </c>
      <c r="B4703" s="12">
        <f t="shared" si="735"/>
        <v>40617</v>
      </c>
      <c r="C4703" s="11" t="s">
        <v>2093</v>
      </c>
      <c r="D4703" s="11" t="s">
        <v>28</v>
      </c>
    </row>
    <row r="4704">
      <c r="A4704" s="11">
        <v>4703.0</v>
      </c>
      <c r="B4704" s="12">
        <f t="shared" si="735"/>
        <v>40617</v>
      </c>
      <c r="C4704" s="11" t="s">
        <v>1209</v>
      </c>
      <c r="D4704" s="11" t="s">
        <v>49</v>
      </c>
    </row>
    <row r="4705">
      <c r="A4705" s="11">
        <v>4704.0</v>
      </c>
      <c r="B4705" s="12">
        <f t="shared" si="735"/>
        <v>40617</v>
      </c>
      <c r="C4705" s="11" t="s">
        <v>1209</v>
      </c>
      <c r="D4705" s="11" t="s">
        <v>28</v>
      </c>
    </row>
    <row r="4706">
      <c r="A4706" s="11">
        <v>4705.0</v>
      </c>
      <c r="B4706" s="12">
        <f t="shared" si="735"/>
        <v>40617</v>
      </c>
      <c r="C4706" s="11" t="s">
        <v>326</v>
      </c>
      <c r="D4706" s="11" t="s">
        <v>28</v>
      </c>
    </row>
    <row r="4707">
      <c r="A4707" s="11">
        <v>4706.0</v>
      </c>
      <c r="B4707" s="12">
        <f t="shared" ref="B4707:B4711" si="736">DATE(2012,12,31)-656</f>
        <v>40618</v>
      </c>
      <c r="C4707" s="11" t="s">
        <v>608</v>
      </c>
      <c r="D4707" s="11" t="s">
        <v>28</v>
      </c>
    </row>
    <row r="4708">
      <c r="A4708" s="11">
        <v>4707.0</v>
      </c>
      <c r="B4708" s="12">
        <f t="shared" si="736"/>
        <v>40618</v>
      </c>
      <c r="C4708" s="11" t="s">
        <v>581</v>
      </c>
      <c r="D4708" s="11" t="s">
        <v>28</v>
      </c>
    </row>
    <row r="4709">
      <c r="A4709" s="11">
        <v>4708.0</v>
      </c>
      <c r="B4709" s="12">
        <f t="shared" si="736"/>
        <v>40618</v>
      </c>
      <c r="C4709" s="11" t="s">
        <v>993</v>
      </c>
      <c r="D4709" s="11" t="s">
        <v>28</v>
      </c>
    </row>
    <row r="4710">
      <c r="A4710" s="11">
        <v>4709.0</v>
      </c>
      <c r="B4710" s="12">
        <f t="shared" si="736"/>
        <v>40618</v>
      </c>
      <c r="C4710" s="11" t="s">
        <v>1588</v>
      </c>
      <c r="D4710" s="11" t="s">
        <v>28</v>
      </c>
    </row>
    <row r="4711">
      <c r="A4711" s="11">
        <v>4710.0</v>
      </c>
      <c r="B4711" s="12">
        <f t="shared" si="736"/>
        <v>40618</v>
      </c>
      <c r="C4711" s="11" t="s">
        <v>2052</v>
      </c>
      <c r="D4711" s="11" t="s">
        <v>28</v>
      </c>
    </row>
    <row r="4712">
      <c r="A4712" s="11">
        <v>4711.0</v>
      </c>
      <c r="B4712" s="12">
        <f t="shared" ref="B4712:B4718" si="737">DATE(2012,12,31)-655</f>
        <v>40619</v>
      </c>
      <c r="C4712" s="11" t="s">
        <v>88</v>
      </c>
      <c r="D4712" s="11" t="s">
        <v>66</v>
      </c>
    </row>
    <row r="4713">
      <c r="A4713" s="11">
        <v>4712.0</v>
      </c>
      <c r="B4713" s="12">
        <f t="shared" si="737"/>
        <v>40619</v>
      </c>
      <c r="C4713" s="11" t="s">
        <v>735</v>
      </c>
      <c r="D4713" s="11" t="s">
        <v>28</v>
      </c>
    </row>
    <row r="4714">
      <c r="A4714" s="11">
        <v>4713.0</v>
      </c>
      <c r="B4714" s="12">
        <f t="shared" si="737"/>
        <v>40619</v>
      </c>
      <c r="C4714" s="11" t="s">
        <v>735</v>
      </c>
      <c r="D4714" s="11" t="s">
        <v>28</v>
      </c>
    </row>
    <row r="4715">
      <c r="A4715" s="11">
        <v>4714.0</v>
      </c>
      <c r="B4715" s="12">
        <f t="shared" si="737"/>
        <v>40619</v>
      </c>
      <c r="C4715" s="11" t="s">
        <v>2251</v>
      </c>
      <c r="D4715" s="11" t="s">
        <v>66</v>
      </c>
    </row>
    <row r="4716">
      <c r="A4716" s="11">
        <v>4715.0</v>
      </c>
      <c r="B4716" s="12">
        <f t="shared" si="737"/>
        <v>40619</v>
      </c>
      <c r="C4716" s="11" t="s">
        <v>155</v>
      </c>
      <c r="D4716" s="11" t="s">
        <v>49</v>
      </c>
    </row>
    <row r="4717">
      <c r="A4717" s="11">
        <v>4716.0</v>
      </c>
      <c r="B4717" s="12">
        <f t="shared" si="737"/>
        <v>40619</v>
      </c>
      <c r="C4717" s="11" t="s">
        <v>155</v>
      </c>
      <c r="D4717" s="11" t="s">
        <v>49</v>
      </c>
    </row>
    <row r="4718">
      <c r="A4718" s="11">
        <v>4717.0</v>
      </c>
      <c r="B4718" s="12">
        <f t="shared" si="737"/>
        <v>40619</v>
      </c>
      <c r="C4718" s="11" t="s">
        <v>1917</v>
      </c>
      <c r="D4718" s="11" t="s">
        <v>28</v>
      </c>
    </row>
    <row r="4719">
      <c r="A4719" s="11">
        <v>4718.0</v>
      </c>
      <c r="B4719" s="12">
        <f t="shared" ref="B4719:B4727" si="738">DATE(2012,12,31)-654</f>
        <v>40620</v>
      </c>
      <c r="C4719" s="11" t="s">
        <v>82</v>
      </c>
      <c r="D4719" s="11" t="s">
        <v>28</v>
      </c>
    </row>
    <row r="4720">
      <c r="A4720" s="11">
        <v>4719.0</v>
      </c>
      <c r="B4720" s="12">
        <f t="shared" si="738"/>
        <v>40620</v>
      </c>
      <c r="C4720" s="11" t="s">
        <v>82</v>
      </c>
      <c r="D4720" s="11" t="s">
        <v>66</v>
      </c>
    </row>
    <row r="4721">
      <c r="A4721" s="11">
        <v>4720.0</v>
      </c>
      <c r="B4721" s="12">
        <f t="shared" si="738"/>
        <v>40620</v>
      </c>
      <c r="C4721" s="11" t="s">
        <v>82</v>
      </c>
      <c r="D4721" s="11" t="s">
        <v>49</v>
      </c>
    </row>
    <row r="4722">
      <c r="A4722" s="11">
        <v>4721.0</v>
      </c>
      <c r="B4722" s="12">
        <f t="shared" si="738"/>
        <v>40620</v>
      </c>
      <c r="C4722" s="11" t="s">
        <v>82</v>
      </c>
      <c r="D4722" s="11" t="s">
        <v>66</v>
      </c>
    </row>
    <row r="4723">
      <c r="A4723" s="11">
        <v>4722.0</v>
      </c>
      <c r="B4723" s="12">
        <f t="shared" si="738"/>
        <v>40620</v>
      </c>
      <c r="C4723" s="11" t="s">
        <v>2493</v>
      </c>
      <c r="D4723" s="11" t="s">
        <v>28</v>
      </c>
    </row>
    <row r="4724">
      <c r="A4724" s="11">
        <v>4723.0</v>
      </c>
      <c r="B4724" s="12">
        <f t="shared" si="738"/>
        <v>40620</v>
      </c>
      <c r="C4724" s="11" t="s">
        <v>2493</v>
      </c>
      <c r="D4724" s="11" t="s">
        <v>66</v>
      </c>
    </row>
    <row r="4725">
      <c r="A4725" s="11">
        <v>4724.0</v>
      </c>
      <c r="B4725" s="12">
        <f t="shared" si="738"/>
        <v>40620</v>
      </c>
      <c r="C4725" s="11" t="s">
        <v>456</v>
      </c>
      <c r="D4725" s="11" t="s">
        <v>49</v>
      </c>
    </row>
    <row r="4726">
      <c r="A4726" s="11">
        <v>4725.0</v>
      </c>
      <c r="B4726" s="12">
        <f t="shared" si="738"/>
        <v>40620</v>
      </c>
      <c r="C4726" s="11" t="s">
        <v>1384</v>
      </c>
      <c r="D4726" s="11" t="s">
        <v>28</v>
      </c>
    </row>
    <row r="4727">
      <c r="A4727" s="11">
        <v>4726.0</v>
      </c>
      <c r="B4727" s="12">
        <f t="shared" si="738"/>
        <v>40620</v>
      </c>
      <c r="C4727" s="11" t="s">
        <v>1384</v>
      </c>
      <c r="D4727" s="11" t="s">
        <v>49</v>
      </c>
    </row>
    <row r="4728">
      <c r="A4728" s="11">
        <v>4727.0</v>
      </c>
      <c r="B4728" s="12">
        <f t="shared" ref="B4728:B4730" si="739">DATE(2012,12,31)-653</f>
        <v>40621</v>
      </c>
      <c r="C4728" s="11" t="s">
        <v>2027</v>
      </c>
      <c r="D4728" s="11" t="s">
        <v>66</v>
      </c>
    </row>
    <row r="4729">
      <c r="A4729" s="11">
        <v>4728.0</v>
      </c>
      <c r="B4729" s="12">
        <f t="shared" si="739"/>
        <v>40621</v>
      </c>
      <c r="C4729" s="11" t="s">
        <v>2383</v>
      </c>
      <c r="D4729" s="11" t="s">
        <v>28</v>
      </c>
    </row>
    <row r="4730">
      <c r="A4730" s="11">
        <v>4729.0</v>
      </c>
      <c r="B4730" s="12">
        <f t="shared" si="739"/>
        <v>40621</v>
      </c>
      <c r="C4730" s="11" t="s">
        <v>533</v>
      </c>
      <c r="D4730" s="11" t="s">
        <v>28</v>
      </c>
    </row>
    <row r="4731">
      <c r="A4731" s="11">
        <v>4730.0</v>
      </c>
      <c r="B4731" s="12">
        <f t="shared" ref="B4731:B4735" si="740">DATE(2012,12,31)-652</f>
        <v>40622</v>
      </c>
      <c r="C4731" s="11" t="s">
        <v>897</v>
      </c>
      <c r="D4731" s="11" t="s">
        <v>28</v>
      </c>
    </row>
    <row r="4732">
      <c r="A4732" s="11">
        <v>4731.0</v>
      </c>
      <c r="B4732" s="12">
        <f t="shared" si="740"/>
        <v>40622</v>
      </c>
      <c r="C4732" s="11" t="s">
        <v>897</v>
      </c>
      <c r="D4732" s="11" t="s">
        <v>49</v>
      </c>
    </row>
    <row r="4733">
      <c r="A4733" s="11">
        <v>4732.0</v>
      </c>
      <c r="B4733" s="12">
        <f t="shared" si="740"/>
        <v>40622</v>
      </c>
      <c r="C4733" s="11" t="s">
        <v>268</v>
      </c>
      <c r="D4733" s="11" t="s">
        <v>66</v>
      </c>
    </row>
    <row r="4734">
      <c r="A4734" s="11">
        <v>4733.0</v>
      </c>
      <c r="B4734" s="12">
        <f t="shared" si="740"/>
        <v>40622</v>
      </c>
      <c r="C4734" s="11" t="s">
        <v>268</v>
      </c>
      <c r="D4734" s="11" t="s">
        <v>28</v>
      </c>
    </row>
    <row r="4735">
      <c r="A4735" s="11">
        <v>4734.0</v>
      </c>
      <c r="B4735" s="12">
        <f t="shared" si="740"/>
        <v>40622</v>
      </c>
      <c r="C4735" s="11" t="s">
        <v>1468</v>
      </c>
      <c r="D4735" s="11" t="s">
        <v>28</v>
      </c>
    </row>
    <row r="4736">
      <c r="A4736" s="11">
        <v>4735.0</v>
      </c>
      <c r="B4736" s="12">
        <f t="shared" ref="B4736:B4739" si="741">DATE(2012,12,31)-651</f>
        <v>40623</v>
      </c>
      <c r="C4736" s="11" t="s">
        <v>1099</v>
      </c>
      <c r="D4736" s="11" t="s">
        <v>66</v>
      </c>
    </row>
    <row r="4737">
      <c r="A4737" s="11">
        <v>4736.0</v>
      </c>
      <c r="B4737" s="12">
        <f t="shared" si="741"/>
        <v>40623</v>
      </c>
      <c r="C4737" s="11" t="s">
        <v>711</v>
      </c>
      <c r="D4737" s="11" t="s">
        <v>28</v>
      </c>
    </row>
    <row r="4738">
      <c r="A4738" s="11">
        <v>4737.0</v>
      </c>
      <c r="B4738" s="12">
        <f t="shared" si="741"/>
        <v>40623</v>
      </c>
      <c r="C4738" s="11" t="s">
        <v>1773</v>
      </c>
      <c r="D4738" s="11" t="s">
        <v>28</v>
      </c>
    </row>
    <row r="4739">
      <c r="A4739" s="11">
        <v>4738.0</v>
      </c>
      <c r="B4739" s="12">
        <f t="shared" si="741"/>
        <v>40623</v>
      </c>
      <c r="C4739" s="11" t="s">
        <v>1773</v>
      </c>
      <c r="D4739" s="11" t="s">
        <v>49</v>
      </c>
    </row>
    <row r="4740">
      <c r="A4740" s="11">
        <v>4739.0</v>
      </c>
      <c r="B4740" s="12">
        <f t="shared" ref="B4740:B4743" si="742">DATE(2012,12,31)-650</f>
        <v>40624</v>
      </c>
      <c r="C4740" s="11" t="s">
        <v>1634</v>
      </c>
      <c r="D4740" s="11" t="s">
        <v>28</v>
      </c>
    </row>
    <row r="4741">
      <c r="A4741" s="11">
        <v>4740.0</v>
      </c>
      <c r="B4741" s="12">
        <f t="shared" si="742"/>
        <v>40624</v>
      </c>
      <c r="C4741" s="11" t="s">
        <v>1634</v>
      </c>
      <c r="D4741" s="11" t="s">
        <v>28</v>
      </c>
    </row>
    <row r="4742">
      <c r="A4742" s="11">
        <v>4741.0</v>
      </c>
      <c r="B4742" s="12">
        <f t="shared" si="742"/>
        <v>40624</v>
      </c>
      <c r="C4742" s="11" t="s">
        <v>1439</v>
      </c>
      <c r="D4742" s="11" t="s">
        <v>28</v>
      </c>
    </row>
    <row r="4743">
      <c r="A4743" s="11">
        <v>4742.0</v>
      </c>
      <c r="B4743" s="12">
        <f t="shared" si="742"/>
        <v>40624</v>
      </c>
      <c r="C4743" s="11" t="s">
        <v>1217</v>
      </c>
      <c r="D4743" s="11" t="s">
        <v>66</v>
      </c>
    </row>
    <row r="4744">
      <c r="A4744" s="11">
        <v>4743.0</v>
      </c>
      <c r="B4744" s="12">
        <f t="shared" ref="B4744:B4747" si="743">DATE(2012,12,31)-649</f>
        <v>40625</v>
      </c>
      <c r="C4744" s="11" t="s">
        <v>2140</v>
      </c>
      <c r="D4744" s="11" t="s">
        <v>49</v>
      </c>
    </row>
    <row r="4745">
      <c r="A4745" s="11">
        <v>4744.0</v>
      </c>
      <c r="B4745" s="12">
        <f t="shared" si="743"/>
        <v>40625</v>
      </c>
      <c r="C4745" s="11" t="s">
        <v>2145</v>
      </c>
      <c r="D4745" s="11" t="s">
        <v>49</v>
      </c>
    </row>
    <row r="4746">
      <c r="A4746" s="11">
        <v>4745.0</v>
      </c>
      <c r="B4746" s="12">
        <f t="shared" si="743"/>
        <v>40625</v>
      </c>
      <c r="C4746" s="11" t="s">
        <v>2145</v>
      </c>
      <c r="D4746" s="11" t="s">
        <v>28</v>
      </c>
    </row>
    <row r="4747">
      <c r="A4747" s="11">
        <v>4746.0</v>
      </c>
      <c r="B4747" s="12">
        <f t="shared" si="743"/>
        <v>40625</v>
      </c>
      <c r="C4747" s="11" t="s">
        <v>366</v>
      </c>
      <c r="D4747" s="11" t="s">
        <v>28</v>
      </c>
    </row>
    <row r="4748">
      <c r="A4748" s="11">
        <v>4747.0</v>
      </c>
      <c r="B4748" s="12">
        <f t="shared" ref="B4748:B4752" si="744">DATE(2012,12,31)-648</f>
        <v>40626</v>
      </c>
      <c r="C4748" s="11" t="s">
        <v>1756</v>
      </c>
      <c r="D4748" s="11" t="s">
        <v>28</v>
      </c>
    </row>
    <row r="4749">
      <c r="A4749" s="11">
        <v>4748.0</v>
      </c>
      <c r="B4749" s="12">
        <f t="shared" si="744"/>
        <v>40626</v>
      </c>
      <c r="C4749" s="11" t="s">
        <v>271</v>
      </c>
      <c r="D4749" s="11" t="s">
        <v>28</v>
      </c>
    </row>
    <row r="4750">
      <c r="A4750" s="11">
        <v>4749.0</v>
      </c>
      <c r="B4750" s="12">
        <f t="shared" si="744"/>
        <v>40626</v>
      </c>
      <c r="C4750" s="11" t="s">
        <v>861</v>
      </c>
      <c r="D4750" s="11" t="s">
        <v>28</v>
      </c>
    </row>
    <row r="4751">
      <c r="A4751" s="11">
        <v>4750.0</v>
      </c>
      <c r="B4751" s="12">
        <f t="shared" si="744"/>
        <v>40626</v>
      </c>
      <c r="C4751" s="11" t="s">
        <v>861</v>
      </c>
      <c r="D4751" s="11" t="s">
        <v>28</v>
      </c>
    </row>
    <row r="4752">
      <c r="A4752" s="11">
        <v>4751.0</v>
      </c>
      <c r="B4752" s="12">
        <f t="shared" si="744"/>
        <v>40626</v>
      </c>
      <c r="C4752" s="11" t="s">
        <v>1623</v>
      </c>
      <c r="D4752" s="11" t="s">
        <v>66</v>
      </c>
    </row>
    <row r="4753">
      <c r="A4753" s="11">
        <v>4752.0</v>
      </c>
      <c r="B4753" s="12">
        <f t="shared" ref="B4753:B4755" si="745">DATE(2012,12,31)-647</f>
        <v>40627</v>
      </c>
      <c r="C4753" s="11" t="s">
        <v>2101</v>
      </c>
      <c r="D4753" s="11" t="s">
        <v>66</v>
      </c>
    </row>
    <row r="4754">
      <c r="A4754" s="11">
        <v>4753.0</v>
      </c>
      <c r="B4754" s="12">
        <f t="shared" si="745"/>
        <v>40627</v>
      </c>
      <c r="C4754" s="11" t="s">
        <v>2101</v>
      </c>
      <c r="D4754" s="11" t="s">
        <v>28</v>
      </c>
    </row>
    <row r="4755">
      <c r="A4755" s="11">
        <v>4754.0</v>
      </c>
      <c r="B4755" s="12">
        <f t="shared" si="745"/>
        <v>40627</v>
      </c>
      <c r="C4755" s="11" t="s">
        <v>2101</v>
      </c>
      <c r="D4755" s="11" t="s">
        <v>28</v>
      </c>
    </row>
    <row r="4756">
      <c r="A4756" s="11">
        <v>4755.0</v>
      </c>
      <c r="B4756" s="12">
        <f t="shared" ref="B4756:B4764" si="746">DATE(2012,12,31)-646</f>
        <v>40628</v>
      </c>
      <c r="C4756" s="11" t="s">
        <v>2009</v>
      </c>
      <c r="D4756" s="11" t="s">
        <v>28</v>
      </c>
    </row>
    <row r="4757">
      <c r="A4757" s="11">
        <v>4756.0</v>
      </c>
      <c r="B4757" s="12">
        <f t="shared" si="746"/>
        <v>40628</v>
      </c>
      <c r="C4757" s="11" t="s">
        <v>2009</v>
      </c>
      <c r="D4757" s="11" t="s">
        <v>28</v>
      </c>
    </row>
    <row r="4758">
      <c r="A4758" s="11">
        <v>4757.0</v>
      </c>
      <c r="B4758" s="12">
        <f t="shared" si="746"/>
        <v>40628</v>
      </c>
      <c r="C4758" s="11" t="s">
        <v>2009</v>
      </c>
      <c r="D4758" s="11" t="s">
        <v>66</v>
      </c>
    </row>
    <row r="4759">
      <c r="A4759" s="11">
        <v>4758.0</v>
      </c>
      <c r="B4759" s="12">
        <f t="shared" si="746"/>
        <v>40628</v>
      </c>
      <c r="C4759" s="11" t="s">
        <v>1256</v>
      </c>
      <c r="D4759" s="11" t="s">
        <v>49</v>
      </c>
    </row>
    <row r="4760">
      <c r="A4760" s="11">
        <v>4759.0</v>
      </c>
      <c r="B4760" s="12">
        <f t="shared" si="746"/>
        <v>40628</v>
      </c>
      <c r="C4760" s="11" t="s">
        <v>2383</v>
      </c>
      <c r="D4760" s="11" t="s">
        <v>66</v>
      </c>
    </row>
    <row r="4761">
      <c r="A4761" s="11">
        <v>4760.0</v>
      </c>
      <c r="B4761" s="12">
        <f t="shared" si="746"/>
        <v>40628</v>
      </c>
      <c r="C4761" s="11" t="s">
        <v>2383</v>
      </c>
      <c r="D4761" s="11" t="s">
        <v>28</v>
      </c>
    </row>
    <row r="4762">
      <c r="A4762" s="11">
        <v>4761.0</v>
      </c>
      <c r="B4762" s="12">
        <f t="shared" si="746"/>
        <v>40628</v>
      </c>
      <c r="C4762" s="11" t="s">
        <v>1345</v>
      </c>
      <c r="D4762" s="11" t="s">
        <v>28</v>
      </c>
    </row>
    <row r="4763">
      <c r="A4763" s="11">
        <v>4762.0</v>
      </c>
      <c r="B4763" s="12">
        <f t="shared" si="746"/>
        <v>40628</v>
      </c>
      <c r="C4763" s="11" t="s">
        <v>808</v>
      </c>
      <c r="D4763" s="11" t="s">
        <v>28</v>
      </c>
    </row>
    <row r="4764">
      <c r="A4764" s="11">
        <v>4763.0</v>
      </c>
      <c r="B4764" s="12">
        <f t="shared" si="746"/>
        <v>40628</v>
      </c>
      <c r="C4764" s="11" t="s">
        <v>808</v>
      </c>
      <c r="D4764" s="11" t="s">
        <v>49</v>
      </c>
    </row>
    <row r="4765">
      <c r="A4765" s="11">
        <v>4764.0</v>
      </c>
      <c r="B4765" s="12">
        <f t="shared" ref="B4765:B4766" si="747">DATE(2012,12,31)-645</f>
        <v>40629</v>
      </c>
      <c r="C4765" s="11" t="s">
        <v>1466</v>
      </c>
      <c r="D4765" s="11" t="s">
        <v>28</v>
      </c>
    </row>
    <row r="4766">
      <c r="A4766" s="11">
        <v>4765.0</v>
      </c>
      <c r="B4766" s="12">
        <f t="shared" si="747"/>
        <v>40629</v>
      </c>
      <c r="C4766" s="11" t="s">
        <v>1466</v>
      </c>
      <c r="D4766" s="11" t="s">
        <v>28</v>
      </c>
    </row>
    <row r="4767">
      <c r="A4767" s="11">
        <v>4766.0</v>
      </c>
      <c r="B4767" s="12">
        <f t="shared" ref="B4767:B4769" si="748">DATE(2012,12,31)-644</f>
        <v>40630</v>
      </c>
      <c r="C4767" s="11" t="s">
        <v>993</v>
      </c>
      <c r="D4767" s="11" t="s">
        <v>49</v>
      </c>
    </row>
    <row r="4768">
      <c r="A4768" s="11">
        <v>4767.0</v>
      </c>
      <c r="B4768" s="12">
        <f t="shared" si="748"/>
        <v>40630</v>
      </c>
      <c r="C4768" s="11" t="s">
        <v>2524</v>
      </c>
      <c r="D4768" s="11" t="s">
        <v>28</v>
      </c>
    </row>
    <row r="4769">
      <c r="A4769" s="11">
        <v>4768.0</v>
      </c>
      <c r="B4769" s="12">
        <f t="shared" si="748"/>
        <v>40630</v>
      </c>
      <c r="C4769" s="11" t="s">
        <v>2524</v>
      </c>
      <c r="D4769" s="11" t="s">
        <v>28</v>
      </c>
    </row>
    <row r="4770">
      <c r="A4770" s="11">
        <v>4769.0</v>
      </c>
      <c r="B4770" s="12">
        <f t="shared" ref="B4770:B4771" si="749">DATE(2012,12,31)-643</f>
        <v>40631</v>
      </c>
      <c r="C4770" s="11" t="s">
        <v>2099</v>
      </c>
      <c r="D4770" s="11" t="s">
        <v>28</v>
      </c>
    </row>
    <row r="4771">
      <c r="A4771" s="11">
        <v>4770.0</v>
      </c>
      <c r="B4771" s="12">
        <f t="shared" si="749"/>
        <v>40631</v>
      </c>
      <c r="C4771" s="11" t="s">
        <v>2099</v>
      </c>
      <c r="D4771" s="11" t="s">
        <v>49</v>
      </c>
    </row>
    <row r="4772">
      <c r="A4772" s="11">
        <v>4771.0</v>
      </c>
      <c r="B4772" s="12">
        <f t="shared" ref="B4772:B4774" si="750">DATE(2012,12,31)-642</f>
        <v>40632</v>
      </c>
      <c r="C4772" s="11" t="s">
        <v>1802</v>
      </c>
      <c r="D4772" s="11" t="s">
        <v>66</v>
      </c>
    </row>
    <row r="4773">
      <c r="A4773" s="11">
        <v>4772.0</v>
      </c>
      <c r="B4773" s="12">
        <f t="shared" si="750"/>
        <v>40632</v>
      </c>
      <c r="C4773" s="11" t="s">
        <v>2105</v>
      </c>
      <c r="D4773" s="11" t="s">
        <v>66</v>
      </c>
    </row>
    <row r="4774">
      <c r="A4774" s="11">
        <v>4773.0</v>
      </c>
      <c r="B4774" s="12">
        <f t="shared" si="750"/>
        <v>40632</v>
      </c>
      <c r="C4774" s="11" t="s">
        <v>78</v>
      </c>
      <c r="D4774" s="11" t="s">
        <v>28</v>
      </c>
    </row>
    <row r="4775">
      <c r="A4775" s="11">
        <v>4774.0</v>
      </c>
      <c r="B4775" s="12">
        <f t="shared" ref="B4775:B4776" si="751">DATE(2012,12,31)-641</f>
        <v>40633</v>
      </c>
      <c r="C4775" s="11" t="s">
        <v>1948</v>
      </c>
      <c r="D4775" s="11" t="s">
        <v>28</v>
      </c>
    </row>
    <row r="4776">
      <c r="A4776" s="11">
        <v>4775.0</v>
      </c>
      <c r="B4776" s="12">
        <f t="shared" si="751"/>
        <v>40633</v>
      </c>
      <c r="C4776" s="11" t="s">
        <v>795</v>
      </c>
      <c r="D4776" s="11" t="s">
        <v>28</v>
      </c>
    </row>
    <row r="4777">
      <c r="A4777" s="11">
        <v>4776.0</v>
      </c>
      <c r="B4777" s="12">
        <f t="shared" ref="B4777:B4780" si="752">DATE(2012,12,31)-640</f>
        <v>40634</v>
      </c>
      <c r="C4777" s="11" t="s">
        <v>1021</v>
      </c>
      <c r="D4777" s="11" t="s">
        <v>49</v>
      </c>
    </row>
    <row r="4778">
      <c r="A4778" s="11">
        <v>4777.0</v>
      </c>
      <c r="B4778" s="12">
        <f t="shared" si="752"/>
        <v>40634</v>
      </c>
      <c r="C4778" s="11" t="s">
        <v>1021</v>
      </c>
      <c r="D4778" s="11" t="s">
        <v>28</v>
      </c>
    </row>
    <row r="4779">
      <c r="A4779" s="11">
        <v>4778.0</v>
      </c>
      <c r="B4779" s="12">
        <f t="shared" si="752"/>
        <v>40634</v>
      </c>
      <c r="C4779" s="11" t="s">
        <v>1021</v>
      </c>
      <c r="D4779" s="11" t="s">
        <v>28</v>
      </c>
    </row>
    <row r="4780">
      <c r="A4780" s="11">
        <v>4779.0</v>
      </c>
      <c r="B4780" s="12">
        <f t="shared" si="752"/>
        <v>40634</v>
      </c>
      <c r="C4780" s="11" t="s">
        <v>2478</v>
      </c>
      <c r="D4780" s="11" t="s">
        <v>66</v>
      </c>
    </row>
    <row r="4781">
      <c r="A4781" s="11">
        <v>4780.0</v>
      </c>
      <c r="B4781" s="12">
        <f t="shared" ref="B4781:B4788" si="753">DATE(2012,12,31)-639</f>
        <v>40635</v>
      </c>
      <c r="C4781" s="11" t="s">
        <v>2069</v>
      </c>
      <c r="D4781" s="11" t="s">
        <v>28</v>
      </c>
    </row>
    <row r="4782">
      <c r="A4782" s="11">
        <v>4781.0</v>
      </c>
      <c r="B4782" s="12">
        <f t="shared" si="753"/>
        <v>40635</v>
      </c>
      <c r="C4782" s="11" t="s">
        <v>2069</v>
      </c>
      <c r="D4782" s="11" t="s">
        <v>49</v>
      </c>
    </row>
    <row r="4783">
      <c r="A4783" s="11">
        <v>4782.0</v>
      </c>
      <c r="B4783" s="12">
        <f t="shared" si="753"/>
        <v>40635</v>
      </c>
      <c r="C4783" s="11" t="s">
        <v>1965</v>
      </c>
      <c r="D4783" s="11" t="s">
        <v>28</v>
      </c>
    </row>
    <row r="4784">
      <c r="A4784" s="11">
        <v>4783.0</v>
      </c>
      <c r="B4784" s="12">
        <f t="shared" si="753"/>
        <v>40635</v>
      </c>
      <c r="C4784" s="11" t="s">
        <v>1965</v>
      </c>
      <c r="D4784" s="11" t="s">
        <v>28</v>
      </c>
    </row>
    <row r="4785">
      <c r="A4785" s="11">
        <v>4784.0</v>
      </c>
      <c r="B4785" s="12">
        <f t="shared" si="753"/>
        <v>40635</v>
      </c>
      <c r="C4785" s="11" t="s">
        <v>1965</v>
      </c>
      <c r="D4785" s="11" t="s">
        <v>28</v>
      </c>
    </row>
    <row r="4786">
      <c r="A4786" s="11">
        <v>4785.0</v>
      </c>
      <c r="B4786" s="12">
        <f t="shared" si="753"/>
        <v>40635</v>
      </c>
      <c r="C4786" s="11" t="s">
        <v>504</v>
      </c>
      <c r="D4786" s="11" t="s">
        <v>28</v>
      </c>
    </row>
    <row r="4787">
      <c r="A4787" s="11">
        <v>4786.0</v>
      </c>
      <c r="B4787" s="12">
        <f t="shared" si="753"/>
        <v>40635</v>
      </c>
      <c r="C4787" s="11" t="s">
        <v>279</v>
      </c>
      <c r="D4787" s="11" t="s">
        <v>28</v>
      </c>
    </row>
    <row r="4788">
      <c r="A4788" s="11">
        <v>4787.0</v>
      </c>
      <c r="B4788" s="12">
        <f t="shared" si="753"/>
        <v>40635</v>
      </c>
      <c r="C4788" s="11" t="s">
        <v>279</v>
      </c>
      <c r="D4788" s="11" t="s">
        <v>28</v>
      </c>
    </row>
    <row r="4789">
      <c r="A4789" s="11">
        <v>4788.0</v>
      </c>
      <c r="B4789" s="12">
        <f t="shared" ref="B4789:B4794" si="754">DATE(2012,12,31)-638</f>
        <v>40636</v>
      </c>
      <c r="C4789" s="11" t="s">
        <v>934</v>
      </c>
      <c r="D4789" s="11" t="s">
        <v>28</v>
      </c>
    </row>
    <row r="4790">
      <c r="A4790" s="11">
        <v>4789.0</v>
      </c>
      <c r="B4790" s="12">
        <f t="shared" si="754"/>
        <v>40636</v>
      </c>
      <c r="C4790" s="11" t="s">
        <v>945</v>
      </c>
      <c r="D4790" s="11" t="s">
        <v>66</v>
      </c>
    </row>
    <row r="4791">
      <c r="A4791" s="11">
        <v>4790.0</v>
      </c>
      <c r="B4791" s="12">
        <f t="shared" si="754"/>
        <v>40636</v>
      </c>
      <c r="C4791" s="11" t="s">
        <v>945</v>
      </c>
      <c r="D4791" s="11" t="s">
        <v>66</v>
      </c>
    </row>
    <row r="4792">
      <c r="A4792" s="11">
        <v>4791.0</v>
      </c>
      <c r="B4792" s="12">
        <f t="shared" si="754"/>
        <v>40636</v>
      </c>
      <c r="C4792" s="11" t="s">
        <v>945</v>
      </c>
      <c r="D4792" s="11" t="s">
        <v>49</v>
      </c>
    </row>
    <row r="4793">
      <c r="A4793" s="11">
        <v>4792.0</v>
      </c>
      <c r="B4793" s="12">
        <f t="shared" si="754"/>
        <v>40636</v>
      </c>
      <c r="C4793" s="11" t="s">
        <v>479</v>
      </c>
      <c r="D4793" s="11" t="s">
        <v>28</v>
      </c>
    </row>
    <row r="4794">
      <c r="A4794" s="11">
        <v>4793.0</v>
      </c>
      <c r="B4794" s="12">
        <f t="shared" si="754"/>
        <v>40636</v>
      </c>
      <c r="C4794" s="11" t="s">
        <v>904</v>
      </c>
      <c r="D4794" s="11" t="s">
        <v>28</v>
      </c>
    </row>
    <row r="4795">
      <c r="A4795" s="11">
        <v>4794.0</v>
      </c>
      <c r="B4795" s="12">
        <f t="shared" ref="B4795:B4797" si="755">DATE(2012,12,31)-637</f>
        <v>40637</v>
      </c>
      <c r="C4795" s="11" t="s">
        <v>1448</v>
      </c>
      <c r="D4795" s="11" t="s">
        <v>28</v>
      </c>
    </row>
    <row r="4796">
      <c r="A4796" s="11">
        <v>4795.0</v>
      </c>
      <c r="B4796" s="12">
        <f t="shared" si="755"/>
        <v>40637</v>
      </c>
      <c r="C4796" s="11" t="s">
        <v>1448</v>
      </c>
      <c r="D4796" s="11" t="s">
        <v>28</v>
      </c>
    </row>
    <row r="4797">
      <c r="A4797" s="11">
        <v>4796.0</v>
      </c>
      <c r="B4797" s="12">
        <f t="shared" si="755"/>
        <v>40637</v>
      </c>
      <c r="C4797" s="11" t="s">
        <v>1448</v>
      </c>
      <c r="D4797" s="11" t="s">
        <v>66</v>
      </c>
    </row>
    <row r="4798">
      <c r="A4798" s="11">
        <v>4797.0</v>
      </c>
      <c r="B4798" s="12">
        <f t="shared" ref="B4798:B4803" si="756">DATE(2012,12,31)-636</f>
        <v>40638</v>
      </c>
      <c r="C4798" s="11" t="s">
        <v>2324</v>
      </c>
      <c r="D4798" s="11" t="s">
        <v>66</v>
      </c>
    </row>
    <row r="4799">
      <c r="A4799" s="11">
        <v>4798.0</v>
      </c>
      <c r="B4799" s="12">
        <f t="shared" si="756"/>
        <v>40638</v>
      </c>
      <c r="C4799" s="11" t="s">
        <v>2324</v>
      </c>
      <c r="D4799" s="11" t="s">
        <v>28</v>
      </c>
    </row>
    <row r="4800">
      <c r="A4800" s="11">
        <v>4799.0</v>
      </c>
      <c r="B4800" s="12">
        <f t="shared" si="756"/>
        <v>40638</v>
      </c>
      <c r="C4800" s="11" t="s">
        <v>2324</v>
      </c>
      <c r="D4800" s="11" t="s">
        <v>66</v>
      </c>
    </row>
    <row r="4801">
      <c r="A4801" s="11">
        <v>4800.0</v>
      </c>
      <c r="B4801" s="12">
        <f t="shared" si="756"/>
        <v>40638</v>
      </c>
      <c r="C4801" s="11" t="s">
        <v>574</v>
      </c>
      <c r="D4801" s="11" t="s">
        <v>28</v>
      </c>
    </row>
    <row r="4802">
      <c r="A4802" s="11">
        <v>4801.0</v>
      </c>
      <c r="B4802" s="12">
        <f t="shared" si="756"/>
        <v>40638</v>
      </c>
      <c r="C4802" s="11" t="s">
        <v>426</v>
      </c>
      <c r="D4802" s="11" t="s">
        <v>28</v>
      </c>
    </row>
    <row r="4803">
      <c r="A4803" s="11">
        <v>4802.0</v>
      </c>
      <c r="B4803" s="12">
        <f t="shared" si="756"/>
        <v>40638</v>
      </c>
      <c r="C4803" s="11" t="s">
        <v>1440</v>
      </c>
      <c r="D4803" s="11" t="s">
        <v>28</v>
      </c>
    </row>
    <row r="4804">
      <c r="A4804" s="11">
        <v>4803.0</v>
      </c>
      <c r="B4804" s="12">
        <f t="shared" ref="B4804:B4806" si="757">DATE(2012,12,31)-635</f>
        <v>40639</v>
      </c>
      <c r="C4804" s="11" t="s">
        <v>2156</v>
      </c>
      <c r="D4804" s="11" t="s">
        <v>28</v>
      </c>
    </row>
    <row r="4805">
      <c r="A4805" s="11">
        <v>4804.0</v>
      </c>
      <c r="B4805" s="12">
        <f t="shared" si="757"/>
        <v>40639</v>
      </c>
      <c r="C4805" s="11" t="s">
        <v>1308</v>
      </c>
      <c r="D4805" s="11" t="s">
        <v>28</v>
      </c>
    </row>
    <row r="4806">
      <c r="A4806" s="11">
        <v>4805.0</v>
      </c>
      <c r="B4806" s="12">
        <f t="shared" si="757"/>
        <v>40639</v>
      </c>
      <c r="C4806" s="11" t="s">
        <v>1442</v>
      </c>
      <c r="D4806" s="11" t="s">
        <v>28</v>
      </c>
    </row>
    <row r="4807">
      <c r="A4807" s="11">
        <v>4806.0</v>
      </c>
      <c r="B4807" s="12">
        <f t="shared" ref="B4807:B4808" si="758">DATE(2012,12,31)-634</f>
        <v>40640</v>
      </c>
      <c r="C4807" s="11" t="s">
        <v>603</v>
      </c>
      <c r="D4807" s="11" t="s">
        <v>28</v>
      </c>
    </row>
    <row r="4808">
      <c r="A4808" s="11">
        <v>4807.0</v>
      </c>
      <c r="B4808" s="12">
        <f t="shared" si="758"/>
        <v>40640</v>
      </c>
      <c r="C4808" s="11" t="s">
        <v>1773</v>
      </c>
      <c r="D4808" s="11" t="s">
        <v>28</v>
      </c>
    </row>
    <row r="4809">
      <c r="A4809" s="11">
        <v>4808.0</v>
      </c>
      <c r="B4809" s="12">
        <f t="shared" ref="B4809:B4820" si="759">DATE(2012,12,31)-633</f>
        <v>40641</v>
      </c>
      <c r="C4809" s="11" t="s">
        <v>2527</v>
      </c>
      <c r="D4809" s="11" t="s">
        <v>28</v>
      </c>
    </row>
    <row r="4810">
      <c r="A4810" s="11">
        <v>4809.0</v>
      </c>
      <c r="B4810" s="12">
        <f t="shared" si="759"/>
        <v>40641</v>
      </c>
      <c r="C4810" s="11" t="s">
        <v>2398</v>
      </c>
      <c r="D4810" s="11" t="s">
        <v>49</v>
      </c>
    </row>
    <row r="4811">
      <c r="A4811" s="11">
        <v>4810.0</v>
      </c>
      <c r="B4811" s="12">
        <f t="shared" si="759"/>
        <v>40641</v>
      </c>
      <c r="C4811" s="11" t="s">
        <v>426</v>
      </c>
      <c r="D4811" s="11" t="s">
        <v>28</v>
      </c>
    </row>
    <row r="4812">
      <c r="A4812" s="11">
        <v>4811.0</v>
      </c>
      <c r="B4812" s="12">
        <f t="shared" si="759"/>
        <v>40641</v>
      </c>
      <c r="C4812" s="11" t="s">
        <v>426</v>
      </c>
      <c r="D4812" s="11" t="s">
        <v>49</v>
      </c>
    </row>
    <row r="4813">
      <c r="A4813" s="11">
        <v>4812.0</v>
      </c>
      <c r="B4813" s="12">
        <f t="shared" si="759"/>
        <v>40641</v>
      </c>
      <c r="C4813" s="11" t="s">
        <v>1621</v>
      </c>
      <c r="D4813" s="11" t="s">
        <v>66</v>
      </c>
    </row>
    <row r="4814">
      <c r="A4814" s="11">
        <v>4813.0</v>
      </c>
      <c r="B4814" s="12">
        <f t="shared" si="759"/>
        <v>40641</v>
      </c>
      <c r="C4814" s="11" t="s">
        <v>2081</v>
      </c>
      <c r="D4814" s="11" t="s">
        <v>66</v>
      </c>
    </row>
    <row r="4815">
      <c r="A4815" s="11">
        <v>4814.0</v>
      </c>
      <c r="B4815" s="12">
        <f t="shared" si="759"/>
        <v>40641</v>
      </c>
      <c r="C4815" s="11" t="s">
        <v>2081</v>
      </c>
      <c r="D4815" s="11" t="s">
        <v>28</v>
      </c>
    </row>
    <row r="4816">
      <c r="A4816" s="11">
        <v>4815.0</v>
      </c>
      <c r="B4816" s="12">
        <f t="shared" si="759"/>
        <v>40641</v>
      </c>
      <c r="C4816" s="11" t="s">
        <v>2081</v>
      </c>
      <c r="D4816" s="11" t="s">
        <v>28</v>
      </c>
    </row>
    <row r="4817">
      <c r="A4817" s="11">
        <v>4816.0</v>
      </c>
      <c r="B4817" s="12">
        <f t="shared" si="759"/>
        <v>40641</v>
      </c>
      <c r="C4817" s="11" t="s">
        <v>2081</v>
      </c>
      <c r="D4817" s="11" t="s">
        <v>28</v>
      </c>
    </row>
    <row r="4818">
      <c r="A4818" s="11">
        <v>4817.0</v>
      </c>
      <c r="B4818" s="12">
        <f t="shared" si="759"/>
        <v>40641</v>
      </c>
      <c r="C4818" s="11" t="s">
        <v>626</v>
      </c>
      <c r="D4818" s="11" t="s">
        <v>49</v>
      </c>
    </row>
    <row r="4819">
      <c r="A4819" s="11">
        <v>4818.0</v>
      </c>
      <c r="B4819" s="12">
        <f t="shared" si="759"/>
        <v>40641</v>
      </c>
      <c r="C4819" s="11" t="s">
        <v>626</v>
      </c>
      <c r="D4819" s="11" t="s">
        <v>66</v>
      </c>
    </row>
    <row r="4820">
      <c r="A4820" s="11">
        <v>4819.0</v>
      </c>
      <c r="B4820" s="12">
        <f t="shared" si="759"/>
        <v>40641</v>
      </c>
      <c r="C4820" s="11" t="s">
        <v>626</v>
      </c>
      <c r="D4820" s="11" t="s">
        <v>28</v>
      </c>
    </row>
    <row r="4821">
      <c r="A4821" s="11">
        <v>4820.0</v>
      </c>
      <c r="B4821" s="12">
        <f t="shared" ref="B4821:B4830" si="760">DATE(2012,12,31)-632</f>
        <v>40642</v>
      </c>
      <c r="C4821" s="11" t="s">
        <v>2528</v>
      </c>
      <c r="D4821" s="11" t="s">
        <v>66</v>
      </c>
    </row>
    <row r="4822">
      <c r="A4822" s="11">
        <v>4821.0</v>
      </c>
      <c r="B4822" s="12">
        <f t="shared" si="760"/>
        <v>40642</v>
      </c>
      <c r="C4822" s="11" t="s">
        <v>2528</v>
      </c>
      <c r="D4822" s="11" t="s">
        <v>28</v>
      </c>
    </row>
    <row r="4823">
      <c r="A4823" s="11">
        <v>4822.0</v>
      </c>
      <c r="B4823" s="12">
        <f t="shared" si="760"/>
        <v>40642</v>
      </c>
      <c r="C4823" s="11" t="s">
        <v>2105</v>
      </c>
      <c r="D4823" s="11" t="s">
        <v>28</v>
      </c>
    </row>
    <row r="4824">
      <c r="A4824" s="11">
        <v>4823.0</v>
      </c>
      <c r="B4824" s="12">
        <f t="shared" si="760"/>
        <v>40642</v>
      </c>
      <c r="C4824" s="11" t="s">
        <v>2105</v>
      </c>
      <c r="D4824" s="11" t="s">
        <v>66</v>
      </c>
    </row>
    <row r="4825">
      <c r="A4825" s="11">
        <v>4824.0</v>
      </c>
      <c r="B4825" s="12">
        <f t="shared" si="760"/>
        <v>40642</v>
      </c>
      <c r="C4825" s="11" t="s">
        <v>1950</v>
      </c>
      <c r="D4825" s="11" t="s">
        <v>49</v>
      </c>
    </row>
    <row r="4826">
      <c r="A4826" s="11">
        <v>4825.0</v>
      </c>
      <c r="B4826" s="12">
        <f t="shared" si="760"/>
        <v>40642</v>
      </c>
      <c r="C4826" s="11" t="s">
        <v>1950</v>
      </c>
      <c r="D4826" s="11" t="s">
        <v>28</v>
      </c>
    </row>
    <row r="4827">
      <c r="A4827" s="11">
        <v>4826.0</v>
      </c>
      <c r="B4827" s="12">
        <f t="shared" si="760"/>
        <v>40642</v>
      </c>
      <c r="C4827" s="11" t="s">
        <v>395</v>
      </c>
      <c r="D4827" s="11" t="s">
        <v>28</v>
      </c>
    </row>
    <row r="4828">
      <c r="A4828" s="11">
        <v>4827.0</v>
      </c>
      <c r="B4828" s="12">
        <f t="shared" si="760"/>
        <v>40642</v>
      </c>
      <c r="C4828" s="11" t="s">
        <v>1963</v>
      </c>
      <c r="D4828" s="11" t="s">
        <v>28</v>
      </c>
    </row>
    <row r="4829">
      <c r="A4829" s="11">
        <v>4828.0</v>
      </c>
      <c r="B4829" s="12">
        <f t="shared" si="760"/>
        <v>40642</v>
      </c>
      <c r="C4829" s="11" t="s">
        <v>1963</v>
      </c>
      <c r="D4829" s="11" t="s">
        <v>28</v>
      </c>
    </row>
    <row r="4830">
      <c r="A4830" s="11">
        <v>4829.0</v>
      </c>
      <c r="B4830" s="12">
        <f t="shared" si="760"/>
        <v>40642</v>
      </c>
      <c r="C4830" s="11" t="s">
        <v>528</v>
      </c>
      <c r="D4830" s="11" t="s">
        <v>28</v>
      </c>
    </row>
    <row r="4831">
      <c r="A4831" s="11">
        <v>4830.0</v>
      </c>
      <c r="B4831" s="12">
        <f t="shared" ref="B4831:B4838" si="761">DATE(2012,12,31)-631</f>
        <v>40643</v>
      </c>
      <c r="C4831" s="11" t="s">
        <v>1288</v>
      </c>
      <c r="D4831" s="11" t="s">
        <v>28</v>
      </c>
    </row>
    <row r="4832">
      <c r="A4832" s="11">
        <v>4831.0</v>
      </c>
      <c r="B4832" s="12">
        <f t="shared" si="761"/>
        <v>40643</v>
      </c>
      <c r="C4832" s="11" t="s">
        <v>1288</v>
      </c>
      <c r="D4832" s="11" t="s">
        <v>28</v>
      </c>
    </row>
    <row r="4833">
      <c r="A4833" s="11">
        <v>4832.0</v>
      </c>
      <c r="B4833" s="12">
        <f t="shared" si="761"/>
        <v>40643</v>
      </c>
      <c r="C4833" s="11" t="s">
        <v>2081</v>
      </c>
      <c r="D4833" s="11" t="s">
        <v>28</v>
      </c>
    </row>
    <row r="4834">
      <c r="A4834" s="11">
        <v>4833.0</v>
      </c>
      <c r="B4834" s="12">
        <f t="shared" si="761"/>
        <v>40643</v>
      </c>
      <c r="C4834" s="11" t="s">
        <v>2081</v>
      </c>
      <c r="D4834" s="11" t="s">
        <v>28</v>
      </c>
    </row>
    <row r="4835">
      <c r="A4835" s="11">
        <v>4834.0</v>
      </c>
      <c r="B4835" s="12">
        <f t="shared" si="761"/>
        <v>40643</v>
      </c>
      <c r="C4835" s="11" t="s">
        <v>2081</v>
      </c>
      <c r="D4835" s="11" t="s">
        <v>28</v>
      </c>
    </row>
    <row r="4836">
      <c r="A4836" s="11">
        <v>4835.0</v>
      </c>
      <c r="B4836" s="12">
        <f t="shared" si="761"/>
        <v>40643</v>
      </c>
      <c r="C4836" s="11" t="s">
        <v>2321</v>
      </c>
      <c r="D4836" s="11" t="s">
        <v>66</v>
      </c>
    </row>
    <row r="4837">
      <c r="A4837" s="11">
        <v>4836.0</v>
      </c>
      <c r="B4837" s="12">
        <f t="shared" si="761"/>
        <v>40643</v>
      </c>
      <c r="C4837" s="11" t="s">
        <v>2321</v>
      </c>
      <c r="D4837" s="11" t="s">
        <v>49</v>
      </c>
    </row>
    <row r="4838">
      <c r="A4838" s="11">
        <v>4837.0</v>
      </c>
      <c r="B4838" s="12">
        <f t="shared" si="761"/>
        <v>40643</v>
      </c>
      <c r="C4838" s="11" t="s">
        <v>2321</v>
      </c>
      <c r="D4838" s="11" t="s">
        <v>28</v>
      </c>
    </row>
    <row r="4839">
      <c r="A4839" s="11">
        <v>4838.0</v>
      </c>
      <c r="B4839" s="12">
        <f t="shared" ref="B4839:B4851" si="762">DATE(2012,12,31)-630</f>
        <v>40644</v>
      </c>
      <c r="C4839" s="11" t="s">
        <v>88</v>
      </c>
      <c r="D4839" s="11" t="s">
        <v>66</v>
      </c>
    </row>
    <row r="4840">
      <c r="A4840" s="11">
        <v>4839.0</v>
      </c>
      <c r="B4840" s="12">
        <f t="shared" si="762"/>
        <v>40644</v>
      </c>
      <c r="C4840" s="11" t="s">
        <v>1848</v>
      </c>
      <c r="D4840" s="11" t="s">
        <v>66</v>
      </c>
    </row>
    <row r="4841">
      <c r="A4841" s="11">
        <v>4840.0</v>
      </c>
      <c r="B4841" s="12">
        <f t="shared" si="762"/>
        <v>40644</v>
      </c>
      <c r="C4841" s="11" t="s">
        <v>1674</v>
      </c>
      <c r="D4841" s="11" t="s">
        <v>49</v>
      </c>
    </row>
    <row r="4842">
      <c r="A4842" s="11">
        <v>4841.0</v>
      </c>
      <c r="B4842" s="12">
        <f t="shared" si="762"/>
        <v>40644</v>
      </c>
      <c r="C4842" s="11" t="s">
        <v>1674</v>
      </c>
      <c r="D4842" s="11" t="s">
        <v>49</v>
      </c>
    </row>
    <row r="4843">
      <c r="A4843" s="11">
        <v>4842.0</v>
      </c>
      <c r="B4843" s="12">
        <f t="shared" si="762"/>
        <v>40644</v>
      </c>
      <c r="C4843" s="11" t="s">
        <v>1674</v>
      </c>
      <c r="D4843" s="11" t="s">
        <v>28</v>
      </c>
    </row>
    <row r="4844">
      <c r="A4844" s="11">
        <v>4843.0</v>
      </c>
      <c r="B4844" s="12">
        <f t="shared" si="762"/>
        <v>40644</v>
      </c>
      <c r="C4844" s="11" t="s">
        <v>2529</v>
      </c>
      <c r="D4844" s="11" t="s">
        <v>49</v>
      </c>
    </row>
    <row r="4845">
      <c r="A4845" s="11">
        <v>4844.0</v>
      </c>
      <c r="B4845" s="12">
        <f t="shared" si="762"/>
        <v>40644</v>
      </c>
      <c r="C4845" s="11" t="s">
        <v>2529</v>
      </c>
      <c r="D4845" s="11" t="s">
        <v>66</v>
      </c>
    </row>
    <row r="4846">
      <c r="A4846" s="11">
        <v>4845.0</v>
      </c>
      <c r="B4846" s="12">
        <f t="shared" si="762"/>
        <v>40644</v>
      </c>
      <c r="C4846" s="11" t="s">
        <v>2529</v>
      </c>
      <c r="D4846" s="11" t="s">
        <v>66</v>
      </c>
    </row>
    <row r="4847">
      <c r="A4847" s="11">
        <v>4846.0</v>
      </c>
      <c r="B4847" s="12">
        <f t="shared" si="762"/>
        <v>40644</v>
      </c>
      <c r="C4847" s="11" t="s">
        <v>2529</v>
      </c>
      <c r="D4847" s="11" t="s">
        <v>28</v>
      </c>
    </row>
    <row r="4848">
      <c r="A4848" s="11">
        <v>4847.0</v>
      </c>
      <c r="B4848" s="12">
        <f t="shared" si="762"/>
        <v>40644</v>
      </c>
      <c r="C4848" s="11" t="s">
        <v>878</v>
      </c>
      <c r="D4848" s="11" t="s">
        <v>28</v>
      </c>
    </row>
    <row r="4849">
      <c r="A4849" s="11">
        <v>4848.0</v>
      </c>
      <c r="B4849" s="12">
        <f t="shared" si="762"/>
        <v>40644</v>
      </c>
      <c r="C4849" s="11" t="s">
        <v>1021</v>
      </c>
      <c r="D4849" s="11" t="s">
        <v>49</v>
      </c>
    </row>
    <row r="4850">
      <c r="A4850" s="11">
        <v>4849.0</v>
      </c>
      <c r="B4850" s="12">
        <f t="shared" si="762"/>
        <v>40644</v>
      </c>
      <c r="C4850" s="11" t="s">
        <v>1915</v>
      </c>
      <c r="D4850" s="11" t="s">
        <v>66</v>
      </c>
    </row>
    <row r="4851">
      <c r="A4851" s="11">
        <v>4850.0</v>
      </c>
      <c r="B4851" s="12">
        <f t="shared" si="762"/>
        <v>40644</v>
      </c>
      <c r="C4851" s="11" t="s">
        <v>1915</v>
      </c>
      <c r="D4851" s="11" t="s">
        <v>28</v>
      </c>
    </row>
    <row r="4852">
      <c r="A4852" s="11">
        <v>4851.0</v>
      </c>
      <c r="B4852" s="12">
        <f t="shared" ref="B4852:B4854" si="763">DATE(2012,12,31)-629</f>
        <v>40645</v>
      </c>
      <c r="C4852" s="11" t="s">
        <v>1112</v>
      </c>
      <c r="D4852" s="11" t="s">
        <v>49</v>
      </c>
    </row>
    <row r="4853">
      <c r="A4853" s="11">
        <v>4852.0</v>
      </c>
      <c r="B4853" s="12">
        <f t="shared" si="763"/>
        <v>40645</v>
      </c>
      <c r="C4853" s="11" t="s">
        <v>1112</v>
      </c>
      <c r="D4853" s="11" t="s">
        <v>66</v>
      </c>
    </row>
    <row r="4854">
      <c r="A4854" s="11">
        <v>4853.0</v>
      </c>
      <c r="B4854" s="12">
        <f t="shared" si="763"/>
        <v>40645</v>
      </c>
      <c r="C4854" s="11" t="s">
        <v>608</v>
      </c>
      <c r="D4854" s="11" t="s">
        <v>28</v>
      </c>
    </row>
    <row r="4855">
      <c r="A4855" s="11">
        <v>4854.0</v>
      </c>
      <c r="B4855" s="12">
        <f t="shared" ref="B4855:B4859" si="764">DATE(2012,12,31)-628</f>
        <v>40646</v>
      </c>
      <c r="C4855" s="11" t="s">
        <v>1440</v>
      </c>
      <c r="D4855" s="11" t="s">
        <v>28</v>
      </c>
    </row>
    <row r="4856">
      <c r="A4856" s="11">
        <v>4855.0</v>
      </c>
      <c r="B4856" s="12">
        <f t="shared" si="764"/>
        <v>40646</v>
      </c>
      <c r="C4856" s="11" t="s">
        <v>1648</v>
      </c>
      <c r="D4856" s="11" t="s">
        <v>28</v>
      </c>
    </row>
    <row r="4857">
      <c r="A4857" s="11">
        <v>4856.0</v>
      </c>
      <c r="B4857" s="12">
        <f t="shared" si="764"/>
        <v>40646</v>
      </c>
      <c r="C4857" s="11" t="s">
        <v>898</v>
      </c>
      <c r="D4857" s="11" t="s">
        <v>28</v>
      </c>
    </row>
    <row r="4858">
      <c r="A4858" s="11">
        <v>4857.0</v>
      </c>
      <c r="B4858" s="12">
        <f t="shared" si="764"/>
        <v>40646</v>
      </c>
      <c r="C4858" s="11" t="s">
        <v>2527</v>
      </c>
      <c r="D4858" s="11" t="s">
        <v>28</v>
      </c>
    </row>
    <row r="4859">
      <c r="A4859" s="11">
        <v>4858.0</v>
      </c>
      <c r="B4859" s="12">
        <f t="shared" si="764"/>
        <v>40646</v>
      </c>
      <c r="C4859" s="11" t="s">
        <v>2527</v>
      </c>
      <c r="D4859" s="11" t="s">
        <v>49</v>
      </c>
    </row>
    <row r="4860">
      <c r="A4860" s="11">
        <v>4859.0</v>
      </c>
      <c r="B4860" s="12">
        <f>DATE(2012,12,31)-627</f>
        <v>40647</v>
      </c>
      <c r="C4860" s="11" t="s">
        <v>1103</v>
      </c>
      <c r="D4860" s="11" t="s">
        <v>28</v>
      </c>
    </row>
    <row r="4861">
      <c r="A4861" s="11">
        <v>4860.0</v>
      </c>
      <c r="B4861" s="12">
        <f t="shared" ref="B4861:B4867" si="765">DATE(2012,12,31)-626</f>
        <v>40648</v>
      </c>
      <c r="C4861" s="11" t="s">
        <v>282</v>
      </c>
      <c r="D4861" s="11" t="s">
        <v>28</v>
      </c>
    </row>
    <row r="4862">
      <c r="A4862" s="11">
        <v>4861.0</v>
      </c>
      <c r="B4862" s="12">
        <f t="shared" si="765"/>
        <v>40648</v>
      </c>
      <c r="C4862" s="11" t="s">
        <v>282</v>
      </c>
      <c r="D4862" s="11" t="s">
        <v>49</v>
      </c>
    </row>
    <row r="4863">
      <c r="A4863" s="11">
        <v>4862.0</v>
      </c>
      <c r="B4863" s="12">
        <f t="shared" si="765"/>
        <v>40648</v>
      </c>
      <c r="C4863" s="11" t="s">
        <v>1056</v>
      </c>
      <c r="D4863" s="11" t="s">
        <v>28</v>
      </c>
    </row>
    <row r="4864">
      <c r="A4864" s="11">
        <v>4863.0</v>
      </c>
      <c r="B4864" s="12">
        <f t="shared" si="765"/>
        <v>40648</v>
      </c>
      <c r="C4864" s="11" t="s">
        <v>1950</v>
      </c>
      <c r="D4864" s="11" t="s">
        <v>28</v>
      </c>
    </row>
    <row r="4865">
      <c r="A4865" s="11">
        <v>4864.0</v>
      </c>
      <c r="B4865" s="12">
        <f t="shared" si="765"/>
        <v>40648</v>
      </c>
      <c r="C4865" s="11" t="s">
        <v>1950</v>
      </c>
      <c r="D4865" s="11" t="s">
        <v>28</v>
      </c>
    </row>
    <row r="4866">
      <c r="A4866" s="11">
        <v>4865.0</v>
      </c>
      <c r="B4866" s="12">
        <f t="shared" si="765"/>
        <v>40648</v>
      </c>
      <c r="C4866" s="11" t="s">
        <v>1827</v>
      </c>
      <c r="D4866" s="11" t="s">
        <v>49</v>
      </c>
    </row>
    <row r="4867">
      <c r="A4867" s="11">
        <v>4866.0</v>
      </c>
      <c r="B4867" s="12">
        <f t="shared" si="765"/>
        <v>40648</v>
      </c>
      <c r="C4867" s="11" t="s">
        <v>1906</v>
      </c>
      <c r="D4867" s="11" t="s">
        <v>28</v>
      </c>
    </row>
    <row r="4868">
      <c r="A4868" s="11">
        <v>4867.0</v>
      </c>
      <c r="B4868" s="12">
        <f t="shared" ref="B4868:B4873" si="766">DATE(2012,12,31)-625</f>
        <v>40649</v>
      </c>
      <c r="C4868" s="11" t="s">
        <v>2516</v>
      </c>
      <c r="D4868" s="11" t="s">
        <v>28</v>
      </c>
    </row>
    <row r="4869">
      <c r="A4869" s="11">
        <v>4868.0</v>
      </c>
      <c r="B4869" s="12">
        <f t="shared" si="766"/>
        <v>40649</v>
      </c>
      <c r="C4869" s="11" t="s">
        <v>617</v>
      </c>
      <c r="D4869" s="11" t="s">
        <v>49</v>
      </c>
    </row>
    <row r="4870">
      <c r="A4870" s="11">
        <v>4869.0</v>
      </c>
      <c r="B4870" s="12">
        <f t="shared" si="766"/>
        <v>40649</v>
      </c>
      <c r="C4870" s="11" t="s">
        <v>1831</v>
      </c>
      <c r="D4870" s="11" t="s">
        <v>28</v>
      </c>
    </row>
    <row r="4871">
      <c r="A4871" s="11">
        <v>4870.0</v>
      </c>
      <c r="B4871" s="12">
        <f t="shared" si="766"/>
        <v>40649</v>
      </c>
      <c r="C4871" s="11" t="s">
        <v>1831</v>
      </c>
      <c r="D4871" s="11" t="s">
        <v>66</v>
      </c>
    </row>
    <row r="4872">
      <c r="A4872" s="11">
        <v>4871.0</v>
      </c>
      <c r="B4872" s="12">
        <f t="shared" si="766"/>
        <v>40649</v>
      </c>
      <c r="C4872" s="11" t="s">
        <v>239</v>
      </c>
      <c r="D4872" s="11" t="s">
        <v>28</v>
      </c>
    </row>
    <row r="4873">
      <c r="A4873" s="11">
        <v>4872.0</v>
      </c>
      <c r="B4873" s="12">
        <f t="shared" si="766"/>
        <v>40649</v>
      </c>
      <c r="C4873" s="11" t="s">
        <v>239</v>
      </c>
      <c r="D4873" s="11" t="s">
        <v>28</v>
      </c>
    </row>
    <row r="4874">
      <c r="A4874" s="11">
        <v>4873.0</v>
      </c>
      <c r="B4874" s="12">
        <f t="shared" ref="B4874:B4880" si="767">DATE(2012,12,31)-624</f>
        <v>40650</v>
      </c>
      <c r="C4874" s="11" t="s">
        <v>1145</v>
      </c>
      <c r="D4874" s="11" t="s">
        <v>28</v>
      </c>
    </row>
    <row r="4875">
      <c r="A4875" s="11">
        <v>4874.0</v>
      </c>
      <c r="B4875" s="12">
        <f t="shared" si="767"/>
        <v>40650</v>
      </c>
      <c r="C4875" s="11" t="s">
        <v>91</v>
      </c>
      <c r="D4875" s="11" t="s">
        <v>28</v>
      </c>
    </row>
    <row r="4876">
      <c r="A4876" s="11">
        <v>4875.0</v>
      </c>
      <c r="B4876" s="12">
        <f t="shared" si="767"/>
        <v>40650</v>
      </c>
      <c r="C4876" s="11" t="s">
        <v>91</v>
      </c>
      <c r="D4876" s="11" t="s">
        <v>28</v>
      </c>
    </row>
    <row r="4877">
      <c r="A4877" s="11">
        <v>4876.0</v>
      </c>
      <c r="B4877" s="12">
        <f t="shared" si="767"/>
        <v>40650</v>
      </c>
      <c r="C4877" s="11" t="s">
        <v>1985</v>
      </c>
      <c r="D4877" s="11" t="s">
        <v>66</v>
      </c>
    </row>
    <row r="4878">
      <c r="A4878" s="11">
        <v>4877.0</v>
      </c>
      <c r="B4878" s="12">
        <f t="shared" si="767"/>
        <v>40650</v>
      </c>
      <c r="C4878" s="11" t="s">
        <v>1985</v>
      </c>
      <c r="D4878" s="11" t="s">
        <v>28</v>
      </c>
    </row>
    <row r="4879">
      <c r="A4879" s="11">
        <v>4878.0</v>
      </c>
      <c r="B4879" s="12">
        <f t="shared" si="767"/>
        <v>40650</v>
      </c>
      <c r="C4879" s="11" t="s">
        <v>1985</v>
      </c>
      <c r="D4879" s="11" t="s">
        <v>66</v>
      </c>
    </row>
    <row r="4880">
      <c r="A4880" s="11">
        <v>4879.0</v>
      </c>
      <c r="B4880" s="12">
        <f t="shared" si="767"/>
        <v>40650</v>
      </c>
      <c r="C4880" s="11" t="s">
        <v>429</v>
      </c>
      <c r="D4880" s="11" t="s">
        <v>28</v>
      </c>
    </row>
    <row r="4881">
      <c r="A4881" s="11">
        <v>4880.0</v>
      </c>
      <c r="B4881" s="12">
        <f t="shared" ref="B4881:B4886" si="768">DATE(2012,12,31)-623</f>
        <v>40651</v>
      </c>
      <c r="C4881" s="11" t="s">
        <v>595</v>
      </c>
      <c r="D4881" s="11" t="s">
        <v>66</v>
      </c>
    </row>
    <row r="4882">
      <c r="A4882" s="11">
        <v>4881.0</v>
      </c>
      <c r="B4882" s="12">
        <f t="shared" si="768"/>
        <v>40651</v>
      </c>
      <c r="C4882" s="11" t="s">
        <v>595</v>
      </c>
      <c r="D4882" s="11" t="s">
        <v>28</v>
      </c>
    </row>
    <row r="4883">
      <c r="A4883" s="11">
        <v>4882.0</v>
      </c>
      <c r="B4883" s="12">
        <f t="shared" si="768"/>
        <v>40651</v>
      </c>
      <c r="C4883" s="11" t="s">
        <v>491</v>
      </c>
      <c r="D4883" s="11" t="s">
        <v>66</v>
      </c>
    </row>
    <row r="4884">
      <c r="A4884" s="11">
        <v>4883.0</v>
      </c>
      <c r="B4884" s="12">
        <f t="shared" si="768"/>
        <v>40651</v>
      </c>
      <c r="C4884" s="11" t="s">
        <v>491</v>
      </c>
      <c r="D4884" s="11" t="s">
        <v>28</v>
      </c>
    </row>
    <row r="4885">
      <c r="A4885" s="11">
        <v>4884.0</v>
      </c>
      <c r="B4885" s="12">
        <f t="shared" si="768"/>
        <v>40651</v>
      </c>
      <c r="C4885" s="11" t="s">
        <v>215</v>
      </c>
      <c r="D4885" s="11" t="s">
        <v>28</v>
      </c>
    </row>
    <row r="4886">
      <c r="A4886" s="11">
        <v>4885.0</v>
      </c>
      <c r="B4886" s="12">
        <f t="shared" si="768"/>
        <v>40651</v>
      </c>
      <c r="C4886" s="11" t="s">
        <v>945</v>
      </c>
      <c r="D4886" s="11" t="s">
        <v>66</v>
      </c>
    </row>
    <row r="4887">
      <c r="A4887" s="11">
        <v>4886.0</v>
      </c>
      <c r="B4887" s="12">
        <f t="shared" ref="B4887:B4889" si="769">DATE(2012,12,31)-622</f>
        <v>40652</v>
      </c>
      <c r="C4887" s="11" t="s">
        <v>977</v>
      </c>
      <c r="D4887" s="11" t="s">
        <v>28</v>
      </c>
    </row>
    <row r="4888">
      <c r="A4888" s="11">
        <v>4887.0</v>
      </c>
      <c r="B4888" s="12">
        <f t="shared" si="769"/>
        <v>40652</v>
      </c>
      <c r="C4888" s="11" t="s">
        <v>1112</v>
      </c>
      <c r="D4888" s="11" t="s">
        <v>49</v>
      </c>
    </row>
    <row r="4889">
      <c r="A4889" s="11">
        <v>4888.0</v>
      </c>
      <c r="B4889" s="12">
        <f t="shared" si="769"/>
        <v>40652</v>
      </c>
      <c r="C4889" s="11" t="s">
        <v>1112</v>
      </c>
      <c r="D4889" s="11" t="s">
        <v>28</v>
      </c>
    </row>
    <row r="4890">
      <c r="A4890" s="11">
        <v>4889.0</v>
      </c>
      <c r="B4890" s="12">
        <f t="shared" ref="B4890:B4899" si="770">DATE(2012,12,31)-621</f>
        <v>40653</v>
      </c>
      <c r="C4890" s="11" t="s">
        <v>1472</v>
      </c>
      <c r="D4890" s="11" t="s">
        <v>49</v>
      </c>
    </row>
    <row r="4891">
      <c r="A4891" s="11">
        <v>4890.0</v>
      </c>
      <c r="B4891" s="12">
        <f t="shared" si="770"/>
        <v>40653</v>
      </c>
      <c r="C4891" s="11" t="s">
        <v>1472</v>
      </c>
      <c r="D4891" s="11" t="s">
        <v>49</v>
      </c>
    </row>
    <row r="4892">
      <c r="A4892" s="11">
        <v>4891.0</v>
      </c>
      <c r="B4892" s="12">
        <f t="shared" si="770"/>
        <v>40653</v>
      </c>
      <c r="C4892" s="11" t="s">
        <v>2116</v>
      </c>
      <c r="D4892" s="11" t="s">
        <v>66</v>
      </c>
    </row>
    <row r="4893">
      <c r="A4893" s="11">
        <v>4892.0</v>
      </c>
      <c r="B4893" s="12">
        <f t="shared" si="770"/>
        <v>40653</v>
      </c>
      <c r="C4893" s="11" t="s">
        <v>839</v>
      </c>
      <c r="D4893" s="11" t="s">
        <v>28</v>
      </c>
    </row>
    <row r="4894">
      <c r="A4894" s="11">
        <v>4893.0</v>
      </c>
      <c r="B4894" s="12">
        <f t="shared" si="770"/>
        <v>40653</v>
      </c>
      <c r="C4894" s="11" t="s">
        <v>839</v>
      </c>
      <c r="D4894" s="11" t="s">
        <v>28</v>
      </c>
    </row>
    <row r="4895">
      <c r="A4895" s="11">
        <v>4894.0</v>
      </c>
      <c r="B4895" s="12">
        <f t="shared" si="770"/>
        <v>40653</v>
      </c>
      <c r="C4895" s="11" t="s">
        <v>1951</v>
      </c>
      <c r="D4895" s="11" t="s">
        <v>49</v>
      </c>
    </row>
    <row r="4896">
      <c r="A4896" s="11">
        <v>4895.0</v>
      </c>
      <c r="B4896" s="12">
        <f t="shared" si="770"/>
        <v>40653</v>
      </c>
      <c r="C4896" s="11" t="s">
        <v>2531</v>
      </c>
      <c r="D4896" s="11" t="s">
        <v>66</v>
      </c>
    </row>
    <row r="4897">
      <c r="A4897" s="11">
        <v>4896.0</v>
      </c>
      <c r="B4897" s="12">
        <f t="shared" si="770"/>
        <v>40653</v>
      </c>
      <c r="C4897" s="11" t="s">
        <v>2531</v>
      </c>
      <c r="D4897" s="11" t="s">
        <v>28</v>
      </c>
    </row>
    <row r="4898">
      <c r="A4898" s="11">
        <v>4897.0</v>
      </c>
      <c r="B4898" s="12">
        <f t="shared" si="770"/>
        <v>40653</v>
      </c>
      <c r="C4898" s="11" t="s">
        <v>1342</v>
      </c>
      <c r="D4898" s="11" t="s">
        <v>28</v>
      </c>
    </row>
    <row r="4899">
      <c r="A4899" s="11">
        <v>4898.0</v>
      </c>
      <c r="B4899" s="12">
        <f t="shared" si="770"/>
        <v>40653</v>
      </c>
      <c r="C4899" s="11" t="s">
        <v>268</v>
      </c>
      <c r="D4899" s="11" t="s">
        <v>28</v>
      </c>
    </row>
    <row r="4900">
      <c r="A4900" s="11">
        <v>4899.0</v>
      </c>
      <c r="B4900" s="12">
        <f t="shared" ref="B4900:B4903" si="771">DATE(2012,12,31)-620</f>
        <v>40654</v>
      </c>
      <c r="C4900" s="11" t="s">
        <v>611</v>
      </c>
      <c r="D4900" s="11" t="s">
        <v>28</v>
      </c>
    </row>
    <row r="4901">
      <c r="A4901" s="11">
        <v>4900.0</v>
      </c>
      <c r="B4901" s="12">
        <f t="shared" si="771"/>
        <v>40654</v>
      </c>
      <c r="C4901" s="11" t="s">
        <v>611</v>
      </c>
      <c r="D4901" s="11" t="s">
        <v>49</v>
      </c>
    </row>
    <row r="4902">
      <c r="A4902" s="11">
        <v>4901.0</v>
      </c>
      <c r="B4902" s="12">
        <f t="shared" si="771"/>
        <v>40654</v>
      </c>
      <c r="C4902" s="11" t="s">
        <v>446</v>
      </c>
      <c r="D4902" s="11" t="s">
        <v>28</v>
      </c>
    </row>
    <row r="4903">
      <c r="A4903" s="11">
        <v>4902.0</v>
      </c>
      <c r="B4903" s="12">
        <f t="shared" si="771"/>
        <v>40654</v>
      </c>
      <c r="C4903" s="11" t="s">
        <v>1373</v>
      </c>
      <c r="D4903" s="11" t="s">
        <v>49</v>
      </c>
    </row>
    <row r="4904">
      <c r="A4904" s="11">
        <v>4903.0</v>
      </c>
      <c r="B4904" s="12">
        <f t="shared" ref="B4904:B4911" si="772">DATE(2012,12,31)-619</f>
        <v>40655</v>
      </c>
      <c r="C4904" s="11" t="s">
        <v>2439</v>
      </c>
      <c r="D4904" s="11" t="s">
        <v>66</v>
      </c>
    </row>
    <row r="4905">
      <c r="A4905" s="11">
        <v>4904.0</v>
      </c>
      <c r="B4905" s="12">
        <f t="shared" si="772"/>
        <v>40655</v>
      </c>
      <c r="C4905" s="11" t="s">
        <v>2439</v>
      </c>
      <c r="D4905" s="11" t="s">
        <v>28</v>
      </c>
    </row>
    <row r="4906">
      <c r="A4906" s="11">
        <v>4905.0</v>
      </c>
      <c r="B4906" s="12">
        <f t="shared" si="772"/>
        <v>40655</v>
      </c>
      <c r="C4906" s="11" t="s">
        <v>2256</v>
      </c>
      <c r="D4906" s="11" t="s">
        <v>66</v>
      </c>
    </row>
    <row r="4907">
      <c r="A4907" s="11">
        <v>4906.0</v>
      </c>
      <c r="B4907" s="12">
        <f t="shared" si="772"/>
        <v>40655</v>
      </c>
      <c r="C4907" s="11" t="s">
        <v>1205</v>
      </c>
      <c r="D4907" s="11" t="s">
        <v>66</v>
      </c>
    </row>
    <row r="4908">
      <c r="A4908" s="11">
        <v>4907.0</v>
      </c>
      <c r="B4908" s="12">
        <f t="shared" si="772"/>
        <v>40655</v>
      </c>
      <c r="C4908" s="11" t="s">
        <v>2358</v>
      </c>
      <c r="D4908" s="11" t="s">
        <v>28</v>
      </c>
    </row>
    <row r="4909">
      <c r="A4909" s="11">
        <v>4908.0</v>
      </c>
      <c r="B4909" s="12">
        <f t="shared" si="772"/>
        <v>40655</v>
      </c>
      <c r="C4909" s="11" t="s">
        <v>2358</v>
      </c>
      <c r="D4909" s="11" t="s">
        <v>28</v>
      </c>
    </row>
    <row r="4910">
      <c r="A4910" s="11">
        <v>4909.0</v>
      </c>
      <c r="B4910" s="12">
        <f t="shared" si="772"/>
        <v>40655</v>
      </c>
      <c r="C4910" s="11" t="s">
        <v>1802</v>
      </c>
      <c r="D4910" s="11" t="s">
        <v>49</v>
      </c>
    </row>
    <row r="4911">
      <c r="A4911" s="11">
        <v>4910.0</v>
      </c>
      <c r="B4911" s="12">
        <f t="shared" si="772"/>
        <v>40655</v>
      </c>
      <c r="C4911" s="11" t="s">
        <v>1802</v>
      </c>
      <c r="D4911" s="11" t="s">
        <v>28</v>
      </c>
    </row>
    <row r="4912">
      <c r="A4912" s="11">
        <v>4911.0</v>
      </c>
      <c r="B4912" s="12">
        <f t="shared" ref="B4912:B4915" si="773">DATE(2012,12,31)-618</f>
        <v>40656</v>
      </c>
      <c r="C4912" s="11" t="s">
        <v>429</v>
      </c>
      <c r="D4912" s="11" t="s">
        <v>28</v>
      </c>
    </row>
    <row r="4913">
      <c r="A4913" s="11">
        <v>4912.0</v>
      </c>
      <c r="B4913" s="12">
        <f t="shared" si="773"/>
        <v>40656</v>
      </c>
      <c r="C4913" s="11" t="s">
        <v>1277</v>
      </c>
      <c r="D4913" s="11" t="s">
        <v>28</v>
      </c>
    </row>
    <row r="4914">
      <c r="A4914" s="11">
        <v>4913.0</v>
      </c>
      <c r="B4914" s="12">
        <f t="shared" si="773"/>
        <v>40656</v>
      </c>
      <c r="C4914" s="11" t="s">
        <v>320</v>
      </c>
      <c r="D4914" s="11" t="s">
        <v>28</v>
      </c>
    </row>
    <row r="4915">
      <c r="A4915" s="11">
        <v>4914.0</v>
      </c>
      <c r="B4915" s="12">
        <f t="shared" si="773"/>
        <v>40656</v>
      </c>
      <c r="C4915" s="11" t="s">
        <v>138</v>
      </c>
      <c r="D4915" s="11" t="s">
        <v>28</v>
      </c>
    </row>
    <row r="4916">
      <c r="A4916" s="11">
        <v>4915.0</v>
      </c>
      <c r="B4916" s="12">
        <f t="shared" ref="B4916:B4917" si="774">DATE(2012,12,31)-617</f>
        <v>40657</v>
      </c>
      <c r="C4916" s="11" t="s">
        <v>1069</v>
      </c>
      <c r="D4916" s="11" t="s">
        <v>66</v>
      </c>
    </row>
    <row r="4917">
      <c r="A4917" s="11">
        <v>4916.0</v>
      </c>
      <c r="B4917" s="12">
        <f t="shared" si="774"/>
        <v>40657</v>
      </c>
      <c r="C4917" s="11" t="s">
        <v>357</v>
      </c>
      <c r="D4917" s="11" t="s">
        <v>49</v>
      </c>
    </row>
    <row r="4918">
      <c r="A4918" s="11">
        <v>4917.0</v>
      </c>
      <c r="B4918" s="12">
        <f t="shared" ref="B4918:B4923" si="775">DATE(2012,12,31)-616</f>
        <v>40658</v>
      </c>
      <c r="C4918" s="11" t="s">
        <v>2439</v>
      </c>
      <c r="D4918" s="11" t="s">
        <v>28</v>
      </c>
    </row>
    <row r="4919">
      <c r="A4919" s="11">
        <v>4918.0</v>
      </c>
      <c r="B4919" s="12">
        <f t="shared" si="775"/>
        <v>40658</v>
      </c>
      <c r="C4919" s="11" t="s">
        <v>429</v>
      </c>
      <c r="D4919" s="11" t="s">
        <v>28</v>
      </c>
    </row>
    <row r="4920">
      <c r="A4920" s="11">
        <v>4919.0</v>
      </c>
      <c r="B4920" s="12">
        <f t="shared" si="775"/>
        <v>40658</v>
      </c>
      <c r="C4920" s="11" t="s">
        <v>1941</v>
      </c>
      <c r="D4920" s="11" t="s">
        <v>28</v>
      </c>
    </row>
    <row r="4921">
      <c r="A4921" s="11">
        <v>4920.0</v>
      </c>
      <c r="B4921" s="12">
        <f t="shared" si="775"/>
        <v>40658</v>
      </c>
      <c r="C4921" s="11" t="s">
        <v>152</v>
      </c>
      <c r="D4921" s="11" t="s">
        <v>49</v>
      </c>
    </row>
    <row r="4922">
      <c r="A4922" s="11">
        <v>4921.0</v>
      </c>
      <c r="B4922" s="12">
        <f t="shared" si="775"/>
        <v>40658</v>
      </c>
      <c r="C4922" s="11" t="s">
        <v>977</v>
      </c>
      <c r="D4922" s="11" t="s">
        <v>28</v>
      </c>
    </row>
    <row r="4923">
      <c r="A4923" s="11">
        <v>4922.0</v>
      </c>
      <c r="B4923" s="12">
        <f t="shared" si="775"/>
        <v>40658</v>
      </c>
      <c r="C4923" s="11" t="s">
        <v>977</v>
      </c>
      <c r="D4923" s="11" t="s">
        <v>28</v>
      </c>
    </row>
    <row r="4924">
      <c r="A4924" s="11">
        <v>4923.0</v>
      </c>
      <c r="B4924" s="12">
        <f>DATE(2012,12,31)-615</f>
        <v>40659</v>
      </c>
      <c r="C4924" s="11" t="s">
        <v>202</v>
      </c>
      <c r="D4924" s="11" t="s">
        <v>66</v>
      </c>
    </row>
    <row r="4925">
      <c r="A4925" s="11">
        <v>4924.0</v>
      </c>
      <c r="B4925" s="12">
        <f t="shared" ref="B4925:B4930" si="776">DATE(2012,12,31)-613</f>
        <v>40661</v>
      </c>
      <c r="C4925" s="11" t="s">
        <v>597</v>
      </c>
      <c r="D4925" s="11" t="s">
        <v>49</v>
      </c>
    </row>
    <row r="4926">
      <c r="A4926" s="11">
        <v>4925.0</v>
      </c>
      <c r="B4926" s="12">
        <f t="shared" si="776"/>
        <v>40661</v>
      </c>
      <c r="C4926" s="11" t="s">
        <v>597</v>
      </c>
      <c r="D4926" s="11" t="s">
        <v>66</v>
      </c>
    </row>
    <row r="4927">
      <c r="A4927" s="11">
        <v>4926.0</v>
      </c>
      <c r="B4927" s="12">
        <f t="shared" si="776"/>
        <v>40661</v>
      </c>
      <c r="C4927" s="11" t="s">
        <v>659</v>
      </c>
      <c r="D4927" s="11" t="s">
        <v>66</v>
      </c>
    </row>
    <row r="4928">
      <c r="A4928" s="11">
        <v>4927.0</v>
      </c>
      <c r="B4928" s="12">
        <f t="shared" si="776"/>
        <v>40661</v>
      </c>
      <c r="C4928" s="11" t="s">
        <v>55</v>
      </c>
      <c r="D4928" s="11" t="s">
        <v>49</v>
      </c>
    </row>
    <row r="4929">
      <c r="A4929" s="11">
        <v>4928.0</v>
      </c>
      <c r="B4929" s="12">
        <f t="shared" si="776"/>
        <v>40661</v>
      </c>
      <c r="C4929" s="11" t="s">
        <v>945</v>
      </c>
      <c r="D4929" s="11" t="s">
        <v>66</v>
      </c>
    </row>
    <row r="4930">
      <c r="A4930" s="11">
        <v>4929.0</v>
      </c>
      <c r="B4930" s="12">
        <f t="shared" si="776"/>
        <v>40661</v>
      </c>
      <c r="C4930" s="11" t="s">
        <v>1817</v>
      </c>
      <c r="D4930" s="11" t="s">
        <v>49</v>
      </c>
    </row>
    <row r="4931">
      <c r="A4931" s="11">
        <v>4930.0</v>
      </c>
      <c r="B4931" s="12">
        <f t="shared" ref="B4931:B4938" si="777">DATE(2012,12,31)-612</f>
        <v>40662</v>
      </c>
      <c r="C4931" s="11" t="s">
        <v>407</v>
      </c>
      <c r="D4931" s="11" t="s">
        <v>28</v>
      </c>
    </row>
    <row r="4932">
      <c r="A4932" s="11">
        <v>4931.0</v>
      </c>
      <c r="B4932" s="12">
        <f t="shared" si="777"/>
        <v>40662</v>
      </c>
      <c r="C4932" s="11" t="s">
        <v>563</v>
      </c>
      <c r="D4932" s="11" t="s">
        <v>28</v>
      </c>
    </row>
    <row r="4933">
      <c r="A4933" s="11">
        <v>4932.0</v>
      </c>
      <c r="B4933" s="12">
        <f t="shared" si="777"/>
        <v>40662</v>
      </c>
      <c r="C4933" s="11" t="s">
        <v>563</v>
      </c>
      <c r="D4933" s="11" t="s">
        <v>49</v>
      </c>
    </row>
    <row r="4934">
      <c r="A4934" s="11">
        <v>4933.0</v>
      </c>
      <c r="B4934" s="12">
        <f t="shared" si="777"/>
        <v>40662</v>
      </c>
      <c r="C4934" s="11" t="s">
        <v>2475</v>
      </c>
      <c r="D4934" s="11" t="s">
        <v>28</v>
      </c>
    </row>
    <row r="4935">
      <c r="A4935" s="11">
        <v>4934.0</v>
      </c>
      <c r="B4935" s="12">
        <f t="shared" si="777"/>
        <v>40662</v>
      </c>
      <c r="C4935" s="11" t="s">
        <v>2475</v>
      </c>
      <c r="D4935" s="11" t="s">
        <v>49</v>
      </c>
    </row>
    <row r="4936">
      <c r="A4936" s="11">
        <v>4935.0</v>
      </c>
      <c r="B4936" s="12">
        <f t="shared" si="777"/>
        <v>40662</v>
      </c>
      <c r="C4936" s="11" t="s">
        <v>2039</v>
      </c>
      <c r="D4936" s="11" t="s">
        <v>28</v>
      </c>
    </row>
    <row r="4937">
      <c r="A4937" s="11">
        <v>4936.0</v>
      </c>
      <c r="B4937" s="12">
        <f t="shared" si="777"/>
        <v>40662</v>
      </c>
      <c r="C4937" s="11" t="s">
        <v>2026</v>
      </c>
      <c r="D4937" s="11" t="s">
        <v>49</v>
      </c>
    </row>
    <row r="4938">
      <c r="A4938" s="11">
        <v>4937.0</v>
      </c>
      <c r="B4938" s="12">
        <f t="shared" si="777"/>
        <v>40662</v>
      </c>
      <c r="C4938" s="11" t="s">
        <v>2026</v>
      </c>
      <c r="D4938" s="11" t="s">
        <v>28</v>
      </c>
    </row>
    <row r="4939">
      <c r="A4939" s="11">
        <v>4938.0</v>
      </c>
      <c r="B4939" s="12">
        <f t="shared" ref="B4939:B4945" si="778">DATE(2012,12,31)-611</f>
        <v>40663</v>
      </c>
      <c r="C4939" s="11" t="s">
        <v>398</v>
      </c>
      <c r="D4939" s="11" t="s">
        <v>49</v>
      </c>
    </row>
    <row r="4940">
      <c r="A4940" s="11">
        <v>4939.0</v>
      </c>
      <c r="B4940" s="12">
        <f t="shared" si="778"/>
        <v>40663</v>
      </c>
      <c r="C4940" s="11" t="s">
        <v>945</v>
      </c>
      <c r="D4940" s="11" t="s">
        <v>28</v>
      </c>
    </row>
    <row r="4941">
      <c r="A4941" s="11">
        <v>4940.0</v>
      </c>
      <c r="B4941" s="12">
        <f t="shared" si="778"/>
        <v>40663</v>
      </c>
      <c r="C4941" s="11" t="s">
        <v>945</v>
      </c>
      <c r="D4941" s="11" t="s">
        <v>66</v>
      </c>
    </row>
    <row r="4942">
      <c r="A4942" s="11">
        <v>4941.0</v>
      </c>
      <c r="B4942" s="12">
        <f t="shared" si="778"/>
        <v>40663</v>
      </c>
      <c r="C4942" s="11" t="s">
        <v>1731</v>
      </c>
      <c r="D4942" s="11" t="s">
        <v>28</v>
      </c>
    </row>
    <row r="4943">
      <c r="A4943" s="11">
        <v>4942.0</v>
      </c>
      <c r="B4943" s="12">
        <f t="shared" si="778"/>
        <v>40663</v>
      </c>
      <c r="C4943" s="11" t="s">
        <v>1731</v>
      </c>
      <c r="D4943" s="11" t="s">
        <v>28</v>
      </c>
    </row>
    <row r="4944">
      <c r="A4944" s="11">
        <v>4943.0</v>
      </c>
      <c r="B4944" s="12">
        <f t="shared" si="778"/>
        <v>40663</v>
      </c>
      <c r="C4944" s="11" t="s">
        <v>1915</v>
      </c>
      <c r="D4944" s="11" t="s">
        <v>66</v>
      </c>
    </row>
    <row r="4945">
      <c r="A4945" s="11">
        <v>4944.0</v>
      </c>
      <c r="B4945" s="12">
        <f t="shared" si="778"/>
        <v>40663</v>
      </c>
      <c r="C4945" s="11" t="s">
        <v>2112</v>
      </c>
      <c r="D4945" s="11" t="s">
        <v>66</v>
      </c>
    </row>
    <row r="4946">
      <c r="A4946" s="11">
        <v>4945.0</v>
      </c>
      <c r="B4946" s="12">
        <f t="shared" ref="B4946:B4954" si="779">DATE(2012,12,31)-610</f>
        <v>40664</v>
      </c>
      <c r="C4946" s="11" t="s">
        <v>1021</v>
      </c>
      <c r="D4946" s="11" t="s">
        <v>49</v>
      </c>
    </row>
    <row r="4947">
      <c r="A4947" s="11">
        <v>4946.0</v>
      </c>
      <c r="B4947" s="12">
        <f t="shared" si="779"/>
        <v>40664</v>
      </c>
      <c r="C4947" s="11" t="s">
        <v>1089</v>
      </c>
      <c r="D4947" s="11" t="s">
        <v>28</v>
      </c>
    </row>
    <row r="4948">
      <c r="A4948" s="11">
        <v>4947.0</v>
      </c>
      <c r="B4948" s="12">
        <f t="shared" si="779"/>
        <v>40664</v>
      </c>
      <c r="C4948" s="11" t="s">
        <v>1384</v>
      </c>
      <c r="D4948" s="11" t="s">
        <v>49</v>
      </c>
    </row>
    <row r="4949">
      <c r="A4949" s="11">
        <v>4948.0</v>
      </c>
      <c r="B4949" s="12">
        <f t="shared" si="779"/>
        <v>40664</v>
      </c>
      <c r="C4949" s="11" t="s">
        <v>1384</v>
      </c>
      <c r="D4949" s="11" t="s">
        <v>49</v>
      </c>
    </row>
    <row r="4950">
      <c r="A4950" s="11">
        <v>4949.0</v>
      </c>
      <c r="B4950" s="12">
        <f t="shared" si="779"/>
        <v>40664</v>
      </c>
      <c r="C4950" s="11" t="s">
        <v>1384</v>
      </c>
      <c r="D4950" s="11" t="s">
        <v>28</v>
      </c>
    </row>
    <row r="4951">
      <c r="A4951" s="11">
        <v>4950.0</v>
      </c>
      <c r="B4951" s="12">
        <f t="shared" si="779"/>
        <v>40664</v>
      </c>
      <c r="C4951" s="11" t="s">
        <v>1801</v>
      </c>
      <c r="D4951" s="11" t="s">
        <v>49</v>
      </c>
    </row>
    <row r="4952">
      <c r="A4952" s="11">
        <v>4951.0</v>
      </c>
      <c r="B4952" s="12">
        <f t="shared" si="779"/>
        <v>40664</v>
      </c>
      <c r="C4952" s="11" t="s">
        <v>832</v>
      </c>
      <c r="D4952" s="11" t="s">
        <v>49</v>
      </c>
    </row>
    <row r="4953">
      <c r="A4953" s="11">
        <v>4952.0</v>
      </c>
      <c r="B4953" s="12">
        <f t="shared" si="779"/>
        <v>40664</v>
      </c>
      <c r="C4953" s="11" t="s">
        <v>219</v>
      </c>
      <c r="D4953" s="11" t="s">
        <v>66</v>
      </c>
    </row>
    <row r="4954">
      <c r="A4954" s="11">
        <v>4953.0</v>
      </c>
      <c r="B4954" s="12">
        <f t="shared" si="779"/>
        <v>40664</v>
      </c>
      <c r="C4954" s="11" t="s">
        <v>219</v>
      </c>
      <c r="D4954" s="11" t="s">
        <v>28</v>
      </c>
    </row>
    <row r="4955">
      <c r="A4955" s="11">
        <v>4954.0</v>
      </c>
      <c r="B4955" s="12">
        <f t="shared" ref="B4955:B4961" si="780">DATE(2012,12,31)-609</f>
        <v>40665</v>
      </c>
      <c r="C4955" s="11" t="s">
        <v>46</v>
      </c>
      <c r="D4955" s="11" t="s">
        <v>66</v>
      </c>
    </row>
    <row r="4956">
      <c r="A4956" s="11">
        <v>4955.0</v>
      </c>
      <c r="B4956" s="12">
        <f t="shared" si="780"/>
        <v>40665</v>
      </c>
      <c r="C4956" s="11" t="s">
        <v>46</v>
      </c>
      <c r="D4956" s="11" t="s">
        <v>28</v>
      </c>
    </row>
    <row r="4957">
      <c r="A4957" s="11">
        <v>4956.0</v>
      </c>
      <c r="B4957" s="12">
        <f t="shared" si="780"/>
        <v>40665</v>
      </c>
      <c r="C4957" s="11" t="s">
        <v>46</v>
      </c>
      <c r="D4957" s="11" t="s">
        <v>66</v>
      </c>
    </row>
    <row r="4958">
      <c r="A4958" s="11">
        <v>4957.0</v>
      </c>
      <c r="B4958" s="12">
        <f t="shared" si="780"/>
        <v>40665</v>
      </c>
      <c r="C4958" s="11" t="s">
        <v>1210</v>
      </c>
      <c r="D4958" s="11" t="s">
        <v>66</v>
      </c>
    </row>
    <row r="4959">
      <c r="A4959" s="11">
        <v>4958.0</v>
      </c>
      <c r="B4959" s="12">
        <f t="shared" si="780"/>
        <v>40665</v>
      </c>
      <c r="C4959" s="11" t="s">
        <v>494</v>
      </c>
      <c r="D4959" s="11" t="s">
        <v>28</v>
      </c>
    </row>
    <row r="4960">
      <c r="A4960" s="11">
        <v>4959.0</v>
      </c>
      <c r="B4960" s="12">
        <f t="shared" si="780"/>
        <v>40665</v>
      </c>
      <c r="C4960" s="11" t="s">
        <v>494</v>
      </c>
      <c r="D4960" s="11" t="s">
        <v>28</v>
      </c>
    </row>
    <row r="4961">
      <c r="A4961" s="11">
        <v>4960.0</v>
      </c>
      <c r="B4961" s="12">
        <f t="shared" si="780"/>
        <v>40665</v>
      </c>
      <c r="C4961" s="11" t="s">
        <v>681</v>
      </c>
      <c r="D4961" s="11" t="s">
        <v>28</v>
      </c>
    </row>
    <row r="4962">
      <c r="A4962" s="11">
        <v>4961.0</v>
      </c>
      <c r="B4962" s="12">
        <f t="shared" ref="B4962:B4972" si="781">DATE(2012,12,31)-608</f>
        <v>40666</v>
      </c>
      <c r="C4962" s="11" t="s">
        <v>793</v>
      </c>
      <c r="D4962" s="11" t="s">
        <v>28</v>
      </c>
    </row>
    <row r="4963">
      <c r="A4963" s="11">
        <v>4962.0</v>
      </c>
      <c r="B4963" s="12">
        <f t="shared" si="781"/>
        <v>40666</v>
      </c>
      <c r="C4963" s="11" t="s">
        <v>793</v>
      </c>
      <c r="D4963" s="11" t="s">
        <v>28</v>
      </c>
    </row>
    <row r="4964">
      <c r="A4964" s="11">
        <v>4963.0</v>
      </c>
      <c r="B4964" s="12">
        <f t="shared" si="781"/>
        <v>40666</v>
      </c>
      <c r="C4964" s="11" t="s">
        <v>793</v>
      </c>
      <c r="D4964" s="11" t="s">
        <v>66</v>
      </c>
    </row>
    <row r="4965">
      <c r="A4965" s="11">
        <v>4964.0</v>
      </c>
      <c r="B4965" s="12">
        <f t="shared" si="781"/>
        <v>40666</v>
      </c>
      <c r="C4965" s="11" t="s">
        <v>2136</v>
      </c>
      <c r="D4965" s="11" t="s">
        <v>28</v>
      </c>
    </row>
    <row r="4966">
      <c r="A4966" s="11">
        <v>4965.0</v>
      </c>
      <c r="B4966" s="12">
        <f t="shared" si="781"/>
        <v>40666</v>
      </c>
      <c r="C4966" s="11" t="s">
        <v>2294</v>
      </c>
      <c r="D4966" s="11" t="s">
        <v>28</v>
      </c>
    </row>
    <row r="4967">
      <c r="A4967" s="11">
        <v>4966.0</v>
      </c>
      <c r="B4967" s="12">
        <f t="shared" si="781"/>
        <v>40666</v>
      </c>
      <c r="C4967" s="11" t="s">
        <v>657</v>
      </c>
      <c r="D4967" s="11" t="s">
        <v>28</v>
      </c>
    </row>
    <row r="4968">
      <c r="A4968" s="11">
        <v>4967.0</v>
      </c>
      <c r="B4968" s="12">
        <f t="shared" si="781"/>
        <v>40666</v>
      </c>
      <c r="C4968" s="11" t="s">
        <v>657</v>
      </c>
      <c r="D4968" s="11" t="s">
        <v>66</v>
      </c>
    </row>
    <row r="4969">
      <c r="A4969" s="11">
        <v>4968.0</v>
      </c>
      <c r="B4969" s="12">
        <f t="shared" si="781"/>
        <v>40666</v>
      </c>
      <c r="C4969" s="11" t="s">
        <v>781</v>
      </c>
      <c r="D4969" s="11" t="s">
        <v>28</v>
      </c>
    </row>
    <row r="4970">
      <c r="A4970" s="11">
        <v>4969.0</v>
      </c>
      <c r="B4970" s="12">
        <f t="shared" si="781"/>
        <v>40666</v>
      </c>
      <c r="C4970" s="11" t="s">
        <v>963</v>
      </c>
      <c r="D4970" s="11" t="s">
        <v>28</v>
      </c>
    </row>
    <row r="4971">
      <c r="A4971" s="11">
        <v>4970.0</v>
      </c>
      <c r="B4971" s="12">
        <f t="shared" si="781"/>
        <v>40666</v>
      </c>
      <c r="C4971" s="11" t="s">
        <v>963</v>
      </c>
      <c r="D4971" s="11" t="s">
        <v>28</v>
      </c>
    </row>
    <row r="4972">
      <c r="A4972" s="11">
        <v>4971.0</v>
      </c>
      <c r="B4972" s="12">
        <f t="shared" si="781"/>
        <v>40666</v>
      </c>
      <c r="C4972" s="11" t="s">
        <v>963</v>
      </c>
      <c r="D4972" s="11" t="s">
        <v>66</v>
      </c>
    </row>
    <row r="4973">
      <c r="A4973" s="11">
        <v>4972.0</v>
      </c>
      <c r="B4973" s="12">
        <f t="shared" ref="B4973:B4981" si="782">DATE(2012,12,31)-607</f>
        <v>40667</v>
      </c>
      <c r="C4973" s="11" t="s">
        <v>653</v>
      </c>
      <c r="D4973" s="11" t="s">
        <v>28</v>
      </c>
    </row>
    <row r="4974">
      <c r="A4974" s="11">
        <v>4973.0</v>
      </c>
      <c r="B4974" s="12">
        <f t="shared" si="782"/>
        <v>40667</v>
      </c>
      <c r="C4974" s="11" t="s">
        <v>653</v>
      </c>
      <c r="D4974" s="11" t="s">
        <v>49</v>
      </c>
    </row>
    <row r="4975">
      <c r="A4975" s="11">
        <v>4974.0</v>
      </c>
      <c r="B4975" s="12">
        <f t="shared" si="782"/>
        <v>40667</v>
      </c>
      <c r="C4975" s="11" t="s">
        <v>2360</v>
      </c>
      <c r="D4975" s="11" t="s">
        <v>28</v>
      </c>
    </row>
    <row r="4976">
      <c r="A4976" s="11">
        <v>4975.0</v>
      </c>
      <c r="B4976" s="12">
        <f t="shared" si="782"/>
        <v>40667</v>
      </c>
      <c r="C4976" s="11" t="s">
        <v>2360</v>
      </c>
      <c r="D4976" s="11" t="s">
        <v>28</v>
      </c>
    </row>
    <row r="4977">
      <c r="A4977" s="11">
        <v>4976.0</v>
      </c>
      <c r="B4977" s="12">
        <f t="shared" si="782"/>
        <v>40667</v>
      </c>
      <c r="C4977" s="11" t="s">
        <v>2360</v>
      </c>
      <c r="D4977" s="11" t="s">
        <v>66</v>
      </c>
    </row>
    <row r="4978">
      <c r="A4978" s="11">
        <v>4977.0</v>
      </c>
      <c r="B4978" s="12">
        <f t="shared" si="782"/>
        <v>40667</v>
      </c>
      <c r="C4978" s="11" t="s">
        <v>2360</v>
      </c>
      <c r="D4978" s="11" t="s">
        <v>28</v>
      </c>
    </row>
    <row r="4979">
      <c r="A4979" s="11">
        <v>4978.0</v>
      </c>
      <c r="B4979" s="12">
        <f t="shared" si="782"/>
        <v>40667</v>
      </c>
      <c r="C4979" s="11" t="s">
        <v>1222</v>
      </c>
      <c r="D4979" s="11" t="s">
        <v>28</v>
      </c>
    </row>
    <row r="4980">
      <c r="A4980" s="11">
        <v>4979.0</v>
      </c>
      <c r="B4980" s="12">
        <f t="shared" si="782"/>
        <v>40667</v>
      </c>
      <c r="C4980" s="11" t="s">
        <v>285</v>
      </c>
      <c r="D4980" s="11" t="s">
        <v>49</v>
      </c>
    </row>
    <row r="4981">
      <c r="A4981" s="11">
        <v>4980.0</v>
      </c>
      <c r="B4981" s="12">
        <f t="shared" si="782"/>
        <v>40667</v>
      </c>
      <c r="C4981" s="11" t="s">
        <v>1496</v>
      </c>
      <c r="D4981" s="11" t="s">
        <v>66</v>
      </c>
    </row>
    <row r="4982">
      <c r="A4982" s="11">
        <v>4981.0</v>
      </c>
      <c r="B4982" s="12">
        <f t="shared" ref="B4982:B4987" si="783">DATE(2012,12,31)-606</f>
        <v>40668</v>
      </c>
      <c r="C4982" s="11" t="s">
        <v>1681</v>
      </c>
      <c r="D4982" s="11" t="s">
        <v>66</v>
      </c>
    </row>
    <row r="4983">
      <c r="A4983" s="11">
        <v>4982.0</v>
      </c>
      <c r="B4983" s="12">
        <f t="shared" si="783"/>
        <v>40668</v>
      </c>
      <c r="C4983" s="11" t="s">
        <v>1681</v>
      </c>
      <c r="D4983" s="11" t="s">
        <v>66</v>
      </c>
    </row>
    <row r="4984">
      <c r="A4984" s="11">
        <v>4983.0</v>
      </c>
      <c r="B4984" s="12">
        <f t="shared" si="783"/>
        <v>40668</v>
      </c>
      <c r="C4984" s="11" t="s">
        <v>1196</v>
      </c>
      <c r="D4984" s="11" t="s">
        <v>28</v>
      </c>
    </row>
    <row r="4985">
      <c r="A4985" s="11">
        <v>4984.0</v>
      </c>
      <c r="B4985" s="12">
        <f t="shared" si="783"/>
        <v>40668</v>
      </c>
      <c r="C4985" s="11" t="s">
        <v>1906</v>
      </c>
      <c r="D4985" s="11" t="s">
        <v>49</v>
      </c>
    </row>
    <row r="4986">
      <c r="A4986" s="11">
        <v>4985.0</v>
      </c>
      <c r="B4986" s="12">
        <f t="shared" si="783"/>
        <v>40668</v>
      </c>
      <c r="C4986" s="11" t="s">
        <v>1466</v>
      </c>
      <c r="D4986" s="11" t="s">
        <v>49</v>
      </c>
    </row>
    <row r="4987">
      <c r="A4987" s="11">
        <v>4986.0</v>
      </c>
      <c r="B4987" s="12">
        <f t="shared" si="783"/>
        <v>40668</v>
      </c>
      <c r="C4987" s="11" t="s">
        <v>1466</v>
      </c>
      <c r="D4987" s="11" t="s">
        <v>28</v>
      </c>
    </row>
    <row r="4988">
      <c r="A4988" s="11">
        <v>4987.0</v>
      </c>
      <c r="B4988" s="12">
        <f t="shared" ref="B4988:B4992" si="784">DATE(2012,12,31)-605</f>
        <v>40669</v>
      </c>
      <c r="C4988" s="11" t="s">
        <v>2372</v>
      </c>
      <c r="D4988" s="11" t="s">
        <v>28</v>
      </c>
    </row>
    <row r="4989">
      <c r="A4989" s="11">
        <v>4988.0</v>
      </c>
      <c r="B4989" s="12">
        <f t="shared" si="784"/>
        <v>40669</v>
      </c>
      <c r="C4989" s="11" t="s">
        <v>1985</v>
      </c>
      <c r="D4989" s="11" t="s">
        <v>49</v>
      </c>
    </row>
    <row r="4990">
      <c r="A4990" s="11">
        <v>4989.0</v>
      </c>
      <c r="B4990" s="12">
        <f t="shared" si="784"/>
        <v>40669</v>
      </c>
      <c r="C4990" s="11" t="s">
        <v>1985</v>
      </c>
      <c r="D4990" s="11" t="s">
        <v>66</v>
      </c>
    </row>
    <row r="4991">
      <c r="A4991" s="11">
        <v>4990.0</v>
      </c>
      <c r="B4991" s="12">
        <f t="shared" si="784"/>
        <v>40669</v>
      </c>
      <c r="C4991" s="11" t="s">
        <v>2052</v>
      </c>
      <c r="D4991" s="11" t="s">
        <v>49</v>
      </c>
    </row>
    <row r="4992">
      <c r="A4992" s="11">
        <v>4991.0</v>
      </c>
      <c r="B4992" s="12">
        <f t="shared" si="784"/>
        <v>40669</v>
      </c>
      <c r="C4992" s="11" t="s">
        <v>2164</v>
      </c>
      <c r="D4992" s="11" t="s">
        <v>28</v>
      </c>
    </row>
    <row r="4993">
      <c r="A4993" s="11">
        <v>4992.0</v>
      </c>
      <c r="B4993" s="12">
        <f t="shared" ref="B4993:B4998" si="785">DATE(2012,12,31)-604</f>
        <v>40670</v>
      </c>
      <c r="C4993" s="11" t="s">
        <v>2538</v>
      </c>
      <c r="D4993" s="11" t="s">
        <v>66</v>
      </c>
    </row>
    <row r="4994">
      <c r="A4994" s="11">
        <v>4993.0</v>
      </c>
      <c r="B4994" s="12">
        <f t="shared" si="785"/>
        <v>40670</v>
      </c>
      <c r="C4994" s="11" t="s">
        <v>724</v>
      </c>
      <c r="D4994" s="11" t="s">
        <v>28</v>
      </c>
    </row>
    <row r="4995">
      <c r="A4995" s="11">
        <v>4994.0</v>
      </c>
      <c r="B4995" s="12">
        <f t="shared" si="785"/>
        <v>40670</v>
      </c>
      <c r="C4995" s="11" t="s">
        <v>732</v>
      </c>
      <c r="D4995" s="11" t="s">
        <v>49</v>
      </c>
    </row>
    <row r="4996">
      <c r="A4996" s="11">
        <v>4995.0</v>
      </c>
      <c r="B4996" s="12">
        <f t="shared" si="785"/>
        <v>40670</v>
      </c>
      <c r="C4996" s="11" t="s">
        <v>732</v>
      </c>
      <c r="D4996" s="11" t="s">
        <v>28</v>
      </c>
    </row>
    <row r="4997">
      <c r="A4997" s="11">
        <v>4996.0</v>
      </c>
      <c r="B4997" s="12">
        <f t="shared" si="785"/>
        <v>40670</v>
      </c>
      <c r="C4997" s="11" t="s">
        <v>1423</v>
      </c>
      <c r="D4997" s="11" t="s">
        <v>66</v>
      </c>
    </row>
    <row r="4998">
      <c r="A4998" s="11">
        <v>4997.0</v>
      </c>
      <c r="B4998" s="12">
        <f t="shared" si="785"/>
        <v>40670</v>
      </c>
      <c r="C4998" s="11" t="s">
        <v>968</v>
      </c>
      <c r="D4998" s="11" t="s">
        <v>66</v>
      </c>
    </row>
    <row r="4999">
      <c r="A4999" s="11">
        <v>4998.0</v>
      </c>
      <c r="B4999" s="12">
        <f t="shared" ref="B4999:B5005" si="786">DATE(2012,12,31)-603</f>
        <v>40671</v>
      </c>
      <c r="C4999" s="11" t="s">
        <v>2116</v>
      </c>
      <c r="D4999" s="11" t="s">
        <v>66</v>
      </c>
    </row>
    <row r="5000">
      <c r="A5000" s="11">
        <v>4999.0</v>
      </c>
      <c r="B5000" s="12">
        <f t="shared" si="786"/>
        <v>40671</v>
      </c>
      <c r="C5000" s="11" t="s">
        <v>550</v>
      </c>
      <c r="D5000" s="11" t="s">
        <v>49</v>
      </c>
    </row>
    <row r="5001">
      <c r="A5001" s="11">
        <v>5000.0</v>
      </c>
      <c r="B5001" s="12">
        <f t="shared" si="786"/>
        <v>40671</v>
      </c>
      <c r="C5001" s="11" t="s">
        <v>1827</v>
      </c>
      <c r="D5001" s="11" t="s">
        <v>28</v>
      </c>
    </row>
    <row r="5002">
      <c r="A5002" s="11">
        <v>5001.0</v>
      </c>
      <c r="B5002" s="12">
        <f t="shared" si="786"/>
        <v>40671</v>
      </c>
      <c r="C5002" s="11" t="s">
        <v>1353</v>
      </c>
      <c r="D5002" s="11" t="s">
        <v>28</v>
      </c>
    </row>
    <row r="5003">
      <c r="A5003" s="11">
        <v>5002.0</v>
      </c>
      <c r="B5003" s="12">
        <f t="shared" si="786"/>
        <v>40671</v>
      </c>
      <c r="C5003" s="11" t="s">
        <v>1353</v>
      </c>
      <c r="D5003" s="11" t="s">
        <v>66</v>
      </c>
    </row>
    <row r="5004">
      <c r="A5004" s="11">
        <v>5003.0</v>
      </c>
      <c r="B5004" s="12">
        <f t="shared" si="786"/>
        <v>40671</v>
      </c>
      <c r="C5004" s="11" t="s">
        <v>1761</v>
      </c>
      <c r="D5004" s="11" t="s">
        <v>66</v>
      </c>
    </row>
    <row r="5005">
      <c r="A5005" s="11">
        <v>5004.0</v>
      </c>
      <c r="B5005" s="12">
        <f t="shared" si="786"/>
        <v>40671</v>
      </c>
      <c r="C5005" s="11" t="s">
        <v>1761</v>
      </c>
      <c r="D5005" s="11" t="s">
        <v>66</v>
      </c>
    </row>
    <row r="5006">
      <c r="A5006" s="11">
        <v>5005.0</v>
      </c>
      <c r="B5006" s="12">
        <f t="shared" ref="B5006:B5009" si="787">DATE(2012,12,31)-602</f>
        <v>40672</v>
      </c>
      <c r="C5006" s="11" t="s">
        <v>525</v>
      </c>
      <c r="D5006" s="11" t="s">
        <v>28</v>
      </c>
    </row>
    <row r="5007">
      <c r="A5007" s="11">
        <v>5006.0</v>
      </c>
      <c r="B5007" s="12">
        <f t="shared" si="787"/>
        <v>40672</v>
      </c>
      <c r="C5007" s="11" t="s">
        <v>595</v>
      </c>
      <c r="D5007" s="11" t="s">
        <v>49</v>
      </c>
    </row>
    <row r="5008">
      <c r="A5008" s="11">
        <v>5007.0</v>
      </c>
      <c r="B5008" s="12">
        <f t="shared" si="787"/>
        <v>40672</v>
      </c>
      <c r="C5008" s="11" t="s">
        <v>1482</v>
      </c>
      <c r="D5008" s="11" t="s">
        <v>28</v>
      </c>
    </row>
    <row r="5009">
      <c r="A5009" s="11">
        <v>5008.0</v>
      </c>
      <c r="B5009" s="12">
        <f t="shared" si="787"/>
        <v>40672</v>
      </c>
      <c r="C5009" s="11" t="s">
        <v>1482</v>
      </c>
      <c r="D5009" s="11" t="s">
        <v>28</v>
      </c>
    </row>
    <row r="5010">
      <c r="A5010" s="11">
        <v>5009.0</v>
      </c>
      <c r="B5010" s="12">
        <f t="shared" ref="B5010:B5011" si="788">DATE(2012,12,31)-601</f>
        <v>40673</v>
      </c>
      <c r="C5010" s="11" t="s">
        <v>2267</v>
      </c>
      <c r="D5010" s="11" t="s">
        <v>66</v>
      </c>
    </row>
    <row r="5011">
      <c r="A5011" s="11">
        <v>5010.0</v>
      </c>
      <c r="B5011" s="12">
        <f t="shared" si="788"/>
        <v>40673</v>
      </c>
      <c r="C5011" s="11" t="s">
        <v>2267</v>
      </c>
      <c r="D5011" s="11" t="s">
        <v>66</v>
      </c>
    </row>
    <row r="5012">
      <c r="A5012" s="11">
        <v>5011.0</v>
      </c>
      <c r="B5012" s="12">
        <f t="shared" ref="B5012:B5014" si="789">DATE(2012,12,31)-600</f>
        <v>40674</v>
      </c>
      <c r="C5012" s="11" t="s">
        <v>2539</v>
      </c>
      <c r="D5012" s="11" t="s">
        <v>49</v>
      </c>
    </row>
    <row r="5013">
      <c r="A5013" s="11">
        <v>5012.0</v>
      </c>
      <c r="B5013" s="12">
        <f t="shared" si="789"/>
        <v>40674</v>
      </c>
      <c r="C5013" s="11" t="s">
        <v>1520</v>
      </c>
      <c r="D5013" s="11" t="s">
        <v>28</v>
      </c>
    </row>
    <row r="5014">
      <c r="A5014" s="11">
        <v>5013.0</v>
      </c>
      <c r="B5014" s="12">
        <f t="shared" si="789"/>
        <v>40674</v>
      </c>
      <c r="C5014" s="11" t="s">
        <v>1520</v>
      </c>
      <c r="D5014" s="11" t="s">
        <v>66</v>
      </c>
    </row>
    <row r="5015">
      <c r="A5015" s="11">
        <v>5014.0</v>
      </c>
      <c r="B5015" s="12">
        <f t="shared" ref="B5015:B5020" si="790">DATE(2012,12,31)-599</f>
        <v>40675</v>
      </c>
      <c r="C5015" s="11" t="s">
        <v>1650</v>
      </c>
      <c r="D5015" s="11" t="s">
        <v>49</v>
      </c>
    </row>
    <row r="5016">
      <c r="A5016" s="11">
        <v>5015.0</v>
      </c>
      <c r="B5016" s="12">
        <f t="shared" si="790"/>
        <v>40675</v>
      </c>
      <c r="C5016" s="11" t="s">
        <v>1722</v>
      </c>
      <c r="D5016" s="11" t="s">
        <v>28</v>
      </c>
    </row>
    <row r="5017">
      <c r="A5017" s="11">
        <v>5016.0</v>
      </c>
      <c r="B5017" s="12">
        <f t="shared" si="790"/>
        <v>40675</v>
      </c>
      <c r="C5017" s="11" t="s">
        <v>829</v>
      </c>
      <c r="D5017" s="11" t="s">
        <v>49</v>
      </c>
    </row>
    <row r="5018">
      <c r="A5018" s="11">
        <v>5017.0</v>
      </c>
      <c r="B5018" s="12">
        <f t="shared" si="790"/>
        <v>40675</v>
      </c>
      <c r="C5018" s="11" t="s">
        <v>829</v>
      </c>
      <c r="D5018" s="11" t="s">
        <v>28</v>
      </c>
    </row>
    <row r="5019">
      <c r="A5019" s="11">
        <v>5018.0</v>
      </c>
      <c r="B5019" s="12">
        <f t="shared" si="790"/>
        <v>40675</v>
      </c>
      <c r="C5019" s="11" t="s">
        <v>1929</v>
      </c>
      <c r="D5019" s="11" t="s">
        <v>49</v>
      </c>
    </row>
    <row r="5020">
      <c r="A5020" s="11">
        <v>5019.0</v>
      </c>
      <c r="B5020" s="12">
        <f t="shared" si="790"/>
        <v>40675</v>
      </c>
      <c r="C5020" s="11" t="s">
        <v>681</v>
      </c>
      <c r="D5020" s="11" t="s">
        <v>28</v>
      </c>
    </row>
    <row r="5021">
      <c r="A5021" s="11">
        <v>5020.0</v>
      </c>
      <c r="B5021" s="12">
        <f t="shared" ref="B5021:B5022" si="791">DATE(2012,12,31)-598</f>
        <v>40676</v>
      </c>
      <c r="C5021" s="11" t="s">
        <v>373</v>
      </c>
      <c r="D5021" s="11" t="s">
        <v>28</v>
      </c>
    </row>
    <row r="5022">
      <c r="A5022" s="11">
        <v>5021.0</v>
      </c>
      <c r="B5022" s="12">
        <f t="shared" si="791"/>
        <v>40676</v>
      </c>
      <c r="C5022" s="11" t="s">
        <v>373</v>
      </c>
      <c r="D5022" s="11" t="s">
        <v>28</v>
      </c>
    </row>
    <row r="5023">
      <c r="A5023" s="11">
        <v>5022.0</v>
      </c>
      <c r="B5023" s="12">
        <f t="shared" ref="B5023:B5027" si="792">DATE(2012,12,31)-597</f>
        <v>40677</v>
      </c>
      <c r="C5023" s="11" t="s">
        <v>1731</v>
      </c>
      <c r="D5023" s="11" t="s">
        <v>49</v>
      </c>
    </row>
    <row r="5024">
      <c r="A5024" s="11">
        <v>5023.0</v>
      </c>
      <c r="B5024" s="12">
        <f t="shared" si="792"/>
        <v>40677</v>
      </c>
      <c r="C5024" s="11" t="s">
        <v>320</v>
      </c>
      <c r="D5024" s="11" t="s">
        <v>28</v>
      </c>
    </row>
    <row r="5025">
      <c r="A5025" s="11">
        <v>5024.0</v>
      </c>
      <c r="B5025" s="12">
        <f t="shared" si="792"/>
        <v>40677</v>
      </c>
      <c r="C5025" s="11" t="s">
        <v>2253</v>
      </c>
      <c r="D5025" s="11" t="s">
        <v>28</v>
      </c>
    </row>
    <row r="5026">
      <c r="A5026" s="11">
        <v>5025.0</v>
      </c>
      <c r="B5026" s="12">
        <f t="shared" si="792"/>
        <v>40677</v>
      </c>
      <c r="C5026" s="11" t="s">
        <v>2494</v>
      </c>
      <c r="D5026" s="11" t="s">
        <v>28</v>
      </c>
    </row>
    <row r="5027">
      <c r="A5027" s="11">
        <v>5026.0</v>
      </c>
      <c r="B5027" s="12">
        <f t="shared" si="792"/>
        <v>40677</v>
      </c>
      <c r="C5027" s="11" t="s">
        <v>2314</v>
      </c>
      <c r="D5027" s="11" t="s">
        <v>28</v>
      </c>
    </row>
    <row r="5028">
      <c r="A5028" s="11">
        <v>5027.0</v>
      </c>
      <c r="B5028" s="12">
        <f t="shared" ref="B5028:B5030" si="793">DATE(2012,12,31)-596</f>
        <v>40678</v>
      </c>
      <c r="C5028" s="11" t="s">
        <v>823</v>
      </c>
      <c r="D5028" s="11" t="s">
        <v>28</v>
      </c>
    </row>
    <row r="5029">
      <c r="A5029" s="11">
        <v>5028.0</v>
      </c>
      <c r="B5029" s="12">
        <f t="shared" si="793"/>
        <v>40678</v>
      </c>
      <c r="C5029" s="11" t="s">
        <v>1308</v>
      </c>
      <c r="D5029" s="11" t="s">
        <v>28</v>
      </c>
    </row>
    <row r="5030">
      <c r="A5030" s="11">
        <v>5029.0</v>
      </c>
      <c r="B5030" s="12">
        <f t="shared" si="793"/>
        <v>40678</v>
      </c>
      <c r="C5030" s="11" t="s">
        <v>1308</v>
      </c>
      <c r="D5030" s="11" t="s">
        <v>28</v>
      </c>
    </row>
    <row r="5031">
      <c r="A5031" s="11">
        <v>5030.0</v>
      </c>
      <c r="B5031" s="12">
        <f t="shared" ref="B5031:B5032" si="794">DATE(2012,12,31)-595</f>
        <v>40679</v>
      </c>
      <c r="C5031" s="11" t="s">
        <v>1212</v>
      </c>
      <c r="D5031" s="11" t="s">
        <v>28</v>
      </c>
    </row>
    <row r="5032">
      <c r="A5032" s="11">
        <v>5031.0</v>
      </c>
      <c r="B5032" s="12">
        <f t="shared" si="794"/>
        <v>40679</v>
      </c>
      <c r="C5032" s="11" t="s">
        <v>945</v>
      </c>
      <c r="D5032" s="11" t="s">
        <v>66</v>
      </c>
    </row>
    <row r="5033">
      <c r="A5033" s="11">
        <v>5032.0</v>
      </c>
      <c r="B5033" s="12">
        <f t="shared" ref="B5033:B5040" si="795">DATE(2012,12,31)-594</f>
        <v>40680</v>
      </c>
      <c r="C5033" s="11" t="s">
        <v>1930</v>
      </c>
      <c r="D5033" s="11" t="s">
        <v>28</v>
      </c>
    </row>
    <row r="5034">
      <c r="A5034" s="11">
        <v>5033.0</v>
      </c>
      <c r="B5034" s="12">
        <f t="shared" si="795"/>
        <v>40680</v>
      </c>
      <c r="C5034" s="11" t="s">
        <v>1930</v>
      </c>
      <c r="D5034" s="11" t="s">
        <v>28</v>
      </c>
    </row>
    <row r="5035">
      <c r="A5035" s="11">
        <v>5034.0</v>
      </c>
      <c r="B5035" s="12">
        <f t="shared" si="795"/>
        <v>40680</v>
      </c>
      <c r="C5035" s="11" t="s">
        <v>1930</v>
      </c>
      <c r="D5035" s="11" t="s">
        <v>49</v>
      </c>
    </row>
    <row r="5036">
      <c r="A5036" s="11">
        <v>5035.0</v>
      </c>
      <c r="B5036" s="12">
        <f t="shared" si="795"/>
        <v>40680</v>
      </c>
      <c r="C5036" s="11" t="s">
        <v>1930</v>
      </c>
      <c r="D5036" s="11" t="s">
        <v>28</v>
      </c>
    </row>
    <row r="5037">
      <c r="A5037" s="11">
        <v>5036.0</v>
      </c>
      <c r="B5037" s="12">
        <f t="shared" si="795"/>
        <v>40680</v>
      </c>
      <c r="C5037" s="11" t="s">
        <v>1930</v>
      </c>
      <c r="D5037" s="11" t="s">
        <v>28</v>
      </c>
    </row>
    <row r="5038">
      <c r="A5038" s="11">
        <v>5037.0</v>
      </c>
      <c r="B5038" s="12">
        <f t="shared" si="795"/>
        <v>40680</v>
      </c>
      <c r="C5038" s="11" t="s">
        <v>781</v>
      </c>
      <c r="D5038" s="11" t="s">
        <v>66</v>
      </c>
    </row>
    <row r="5039">
      <c r="A5039" s="11">
        <v>5038.0</v>
      </c>
      <c r="B5039" s="12">
        <f t="shared" si="795"/>
        <v>40680</v>
      </c>
      <c r="C5039" s="11" t="s">
        <v>781</v>
      </c>
      <c r="D5039" s="11" t="s">
        <v>28</v>
      </c>
    </row>
    <row r="5040">
      <c r="A5040" s="11">
        <v>5039.0</v>
      </c>
      <c r="B5040" s="12">
        <f t="shared" si="795"/>
        <v>40680</v>
      </c>
      <c r="C5040" s="11" t="s">
        <v>796</v>
      </c>
      <c r="D5040" s="11" t="s">
        <v>66</v>
      </c>
    </row>
    <row r="5041">
      <c r="A5041" s="11">
        <v>5040.0</v>
      </c>
      <c r="B5041" s="12">
        <f t="shared" ref="B5041:B5043" si="796">DATE(2012,12,31)-593</f>
        <v>40681</v>
      </c>
      <c r="C5041" s="11" t="s">
        <v>653</v>
      </c>
      <c r="D5041" s="11" t="s">
        <v>28</v>
      </c>
    </row>
    <row r="5042">
      <c r="A5042" s="11">
        <v>5041.0</v>
      </c>
      <c r="B5042" s="12">
        <f t="shared" si="796"/>
        <v>40681</v>
      </c>
      <c r="C5042" s="11" t="s">
        <v>653</v>
      </c>
      <c r="D5042" s="11" t="s">
        <v>28</v>
      </c>
    </row>
    <row r="5043">
      <c r="A5043" s="11">
        <v>5042.0</v>
      </c>
      <c r="B5043" s="12">
        <f t="shared" si="796"/>
        <v>40681</v>
      </c>
      <c r="C5043" s="11" t="s">
        <v>653</v>
      </c>
      <c r="D5043" s="11" t="s">
        <v>28</v>
      </c>
    </row>
    <row r="5044">
      <c r="A5044" s="11">
        <v>5043.0</v>
      </c>
      <c r="B5044" s="12">
        <f t="shared" ref="B5044:B5050" si="797">DATE(2012,12,31)-592</f>
        <v>40682</v>
      </c>
      <c r="C5044" s="11" t="s">
        <v>2148</v>
      </c>
      <c r="D5044" s="11" t="s">
        <v>49</v>
      </c>
    </row>
    <row r="5045">
      <c r="A5045" s="11">
        <v>5044.0</v>
      </c>
      <c r="B5045" s="12">
        <f t="shared" si="797"/>
        <v>40682</v>
      </c>
      <c r="C5045" s="11" t="s">
        <v>2148</v>
      </c>
      <c r="D5045" s="11" t="s">
        <v>28</v>
      </c>
    </row>
    <row r="5046">
      <c r="A5046" s="11">
        <v>5045.0</v>
      </c>
      <c r="B5046" s="12">
        <f t="shared" si="797"/>
        <v>40682</v>
      </c>
      <c r="C5046" s="11" t="s">
        <v>1319</v>
      </c>
      <c r="D5046" s="11" t="s">
        <v>28</v>
      </c>
    </row>
    <row r="5047">
      <c r="A5047" s="11">
        <v>5046.0</v>
      </c>
      <c r="B5047" s="12">
        <f t="shared" si="797"/>
        <v>40682</v>
      </c>
      <c r="C5047" s="11" t="s">
        <v>1319</v>
      </c>
      <c r="D5047" s="11" t="s">
        <v>28</v>
      </c>
    </row>
    <row r="5048">
      <c r="A5048" s="11">
        <v>5047.0</v>
      </c>
      <c r="B5048" s="12">
        <f t="shared" si="797"/>
        <v>40682</v>
      </c>
      <c r="C5048" s="11" t="s">
        <v>2540</v>
      </c>
      <c r="D5048" s="11" t="s">
        <v>66</v>
      </c>
    </row>
    <row r="5049">
      <c r="A5049" s="11">
        <v>5048.0</v>
      </c>
      <c r="B5049" s="12">
        <f t="shared" si="797"/>
        <v>40682</v>
      </c>
      <c r="C5049" s="11" t="s">
        <v>1753</v>
      </c>
      <c r="D5049" s="11" t="s">
        <v>28</v>
      </c>
    </row>
    <row r="5050">
      <c r="A5050" s="11">
        <v>5049.0</v>
      </c>
      <c r="B5050" s="12">
        <f t="shared" si="797"/>
        <v>40682</v>
      </c>
      <c r="C5050" s="11" t="s">
        <v>1802</v>
      </c>
      <c r="D5050" s="11" t="s">
        <v>28</v>
      </c>
    </row>
    <row r="5051">
      <c r="A5051" s="11">
        <v>5050.0</v>
      </c>
      <c r="B5051" s="12">
        <f t="shared" ref="B5051:B5063" si="798">DATE(2012,12,31)-591</f>
        <v>40683</v>
      </c>
      <c r="C5051" s="11" t="s">
        <v>1364</v>
      </c>
      <c r="D5051" s="11" t="s">
        <v>28</v>
      </c>
    </row>
    <row r="5052">
      <c r="A5052" s="11">
        <v>5051.0</v>
      </c>
      <c r="B5052" s="12">
        <f t="shared" si="798"/>
        <v>40683</v>
      </c>
      <c r="C5052" s="11" t="s">
        <v>1364</v>
      </c>
      <c r="D5052" s="11" t="s">
        <v>66</v>
      </c>
    </row>
    <row r="5053">
      <c r="A5053" s="11">
        <v>5052.0</v>
      </c>
      <c r="B5053" s="12">
        <f t="shared" si="798"/>
        <v>40683</v>
      </c>
      <c r="C5053" s="11" t="s">
        <v>602</v>
      </c>
      <c r="D5053" s="11" t="s">
        <v>66</v>
      </c>
    </row>
    <row r="5054">
      <c r="A5054" s="11">
        <v>5053.0</v>
      </c>
      <c r="B5054" s="12">
        <f t="shared" si="798"/>
        <v>40683</v>
      </c>
      <c r="C5054" s="11" t="s">
        <v>602</v>
      </c>
      <c r="D5054" s="11" t="s">
        <v>28</v>
      </c>
    </row>
    <row r="5055">
      <c r="A5055" s="11">
        <v>5054.0</v>
      </c>
      <c r="B5055" s="12">
        <f t="shared" si="798"/>
        <v>40683</v>
      </c>
      <c r="C5055" s="11" t="s">
        <v>2541</v>
      </c>
      <c r="D5055" s="11" t="s">
        <v>28</v>
      </c>
    </row>
    <row r="5056">
      <c r="A5056" s="11">
        <v>5055.0</v>
      </c>
      <c r="B5056" s="12">
        <f t="shared" si="798"/>
        <v>40683</v>
      </c>
      <c r="C5056" s="11" t="s">
        <v>2541</v>
      </c>
      <c r="D5056" s="11" t="s">
        <v>49</v>
      </c>
    </row>
    <row r="5057">
      <c r="A5057" s="11">
        <v>5056.0</v>
      </c>
      <c r="B5057" s="12">
        <f t="shared" si="798"/>
        <v>40683</v>
      </c>
      <c r="C5057" s="11" t="s">
        <v>2541</v>
      </c>
      <c r="D5057" s="11" t="s">
        <v>66</v>
      </c>
    </row>
    <row r="5058">
      <c r="A5058" s="11">
        <v>5057.0</v>
      </c>
      <c r="B5058" s="12">
        <f t="shared" si="798"/>
        <v>40683</v>
      </c>
      <c r="C5058" s="11" t="s">
        <v>1634</v>
      </c>
      <c r="D5058" s="11" t="s">
        <v>28</v>
      </c>
    </row>
    <row r="5059">
      <c r="A5059" s="11">
        <v>5058.0</v>
      </c>
      <c r="B5059" s="12">
        <f t="shared" si="798"/>
        <v>40683</v>
      </c>
      <c r="C5059" s="11" t="s">
        <v>1634</v>
      </c>
      <c r="D5059" s="11" t="s">
        <v>66</v>
      </c>
    </row>
    <row r="5060">
      <c r="A5060" s="11">
        <v>5059.0</v>
      </c>
      <c r="B5060" s="12">
        <f t="shared" si="798"/>
        <v>40683</v>
      </c>
      <c r="C5060" s="11" t="s">
        <v>2217</v>
      </c>
      <c r="D5060" s="11" t="s">
        <v>28</v>
      </c>
    </row>
    <row r="5061">
      <c r="A5061" s="11">
        <v>5060.0</v>
      </c>
      <c r="B5061" s="12">
        <f t="shared" si="798"/>
        <v>40683</v>
      </c>
      <c r="C5061" s="11" t="s">
        <v>597</v>
      </c>
      <c r="D5061" s="11" t="s">
        <v>28</v>
      </c>
    </row>
    <row r="5062">
      <c r="A5062" s="11">
        <v>5061.0</v>
      </c>
      <c r="B5062" s="12">
        <f t="shared" si="798"/>
        <v>40683</v>
      </c>
      <c r="C5062" s="11" t="s">
        <v>1995</v>
      </c>
      <c r="D5062" s="11" t="s">
        <v>28</v>
      </c>
    </row>
    <row r="5063">
      <c r="A5063" s="11">
        <v>5062.0</v>
      </c>
      <c r="B5063" s="12">
        <f t="shared" si="798"/>
        <v>40683</v>
      </c>
      <c r="C5063" s="11" t="s">
        <v>1995</v>
      </c>
      <c r="D5063" s="11" t="s">
        <v>28</v>
      </c>
    </row>
    <row r="5064">
      <c r="A5064" s="11">
        <v>5063.0</v>
      </c>
      <c r="B5064" s="12">
        <f t="shared" ref="B5064:B5073" si="799">DATE(2012,12,31)-590</f>
        <v>40684</v>
      </c>
      <c r="C5064" s="11" t="s">
        <v>1179</v>
      </c>
      <c r="D5064" s="11" t="s">
        <v>49</v>
      </c>
    </row>
    <row r="5065">
      <c r="A5065" s="11">
        <v>5064.0</v>
      </c>
      <c r="B5065" s="12">
        <f t="shared" si="799"/>
        <v>40684</v>
      </c>
      <c r="C5065" s="11" t="s">
        <v>1179</v>
      </c>
      <c r="D5065" s="11" t="s">
        <v>28</v>
      </c>
    </row>
    <row r="5066">
      <c r="A5066" s="11">
        <v>5065.0</v>
      </c>
      <c r="B5066" s="12">
        <f t="shared" si="799"/>
        <v>40684</v>
      </c>
      <c r="C5066" s="11" t="s">
        <v>2391</v>
      </c>
      <c r="D5066" s="11" t="s">
        <v>66</v>
      </c>
    </row>
    <row r="5067">
      <c r="A5067" s="11">
        <v>5066.0</v>
      </c>
      <c r="B5067" s="12">
        <f t="shared" si="799"/>
        <v>40684</v>
      </c>
      <c r="C5067" s="11" t="s">
        <v>317</v>
      </c>
      <c r="D5067" s="11" t="s">
        <v>28</v>
      </c>
    </row>
    <row r="5068">
      <c r="A5068" s="11">
        <v>5067.0</v>
      </c>
      <c r="B5068" s="12">
        <f t="shared" si="799"/>
        <v>40684</v>
      </c>
      <c r="C5068" s="11" t="s">
        <v>317</v>
      </c>
      <c r="D5068" s="11" t="s">
        <v>28</v>
      </c>
    </row>
    <row r="5069">
      <c r="A5069" s="11">
        <v>5068.0</v>
      </c>
      <c r="B5069" s="12">
        <f t="shared" si="799"/>
        <v>40684</v>
      </c>
      <c r="C5069" s="11" t="s">
        <v>2373</v>
      </c>
      <c r="D5069" s="11" t="s">
        <v>28</v>
      </c>
    </row>
    <row r="5070">
      <c r="A5070" s="11">
        <v>5069.0</v>
      </c>
      <c r="B5070" s="12">
        <f t="shared" si="799"/>
        <v>40684</v>
      </c>
      <c r="C5070" s="11" t="s">
        <v>2373</v>
      </c>
      <c r="D5070" s="11" t="s">
        <v>49</v>
      </c>
    </row>
    <row r="5071">
      <c r="A5071" s="11">
        <v>5070.0</v>
      </c>
      <c r="B5071" s="12">
        <f t="shared" si="799"/>
        <v>40684</v>
      </c>
      <c r="C5071" s="11" t="s">
        <v>1319</v>
      </c>
      <c r="D5071" s="11" t="s">
        <v>28</v>
      </c>
    </row>
    <row r="5072">
      <c r="A5072" s="11">
        <v>5071.0</v>
      </c>
      <c r="B5072" s="12">
        <f t="shared" si="799"/>
        <v>40684</v>
      </c>
      <c r="C5072" s="11" t="s">
        <v>1319</v>
      </c>
      <c r="D5072" s="11" t="s">
        <v>28</v>
      </c>
    </row>
    <row r="5073">
      <c r="A5073" s="11">
        <v>5072.0</v>
      </c>
      <c r="B5073" s="12">
        <f t="shared" si="799"/>
        <v>40684</v>
      </c>
      <c r="C5073" s="11" t="s">
        <v>285</v>
      </c>
      <c r="D5073" s="11" t="s">
        <v>28</v>
      </c>
    </row>
    <row r="5074">
      <c r="A5074" s="11">
        <v>5073.0</v>
      </c>
      <c r="B5074" s="12">
        <f t="shared" ref="B5074:B5081" si="800">DATE(2012,12,31)-589</f>
        <v>40685</v>
      </c>
      <c r="C5074" s="11" t="s">
        <v>898</v>
      </c>
      <c r="D5074" s="11" t="s">
        <v>49</v>
      </c>
    </row>
    <row r="5075">
      <c r="A5075" s="11">
        <v>5074.0</v>
      </c>
      <c r="B5075" s="12">
        <f t="shared" si="800"/>
        <v>40685</v>
      </c>
      <c r="C5075" s="11" t="s">
        <v>898</v>
      </c>
      <c r="D5075" s="11" t="s">
        <v>66</v>
      </c>
    </row>
    <row r="5076">
      <c r="A5076" s="11">
        <v>5075.0</v>
      </c>
      <c r="B5076" s="12">
        <f t="shared" si="800"/>
        <v>40685</v>
      </c>
      <c r="C5076" s="11" t="s">
        <v>88</v>
      </c>
      <c r="D5076" s="11" t="s">
        <v>49</v>
      </c>
    </row>
    <row r="5077">
      <c r="A5077" s="11">
        <v>5076.0</v>
      </c>
      <c r="B5077" s="12">
        <f t="shared" si="800"/>
        <v>40685</v>
      </c>
      <c r="C5077" s="11" t="s">
        <v>1524</v>
      </c>
      <c r="D5077" s="11" t="s">
        <v>28</v>
      </c>
    </row>
    <row r="5078">
      <c r="A5078" s="11">
        <v>5077.0</v>
      </c>
      <c r="B5078" s="12">
        <f t="shared" si="800"/>
        <v>40685</v>
      </c>
      <c r="C5078" s="11" t="s">
        <v>1524</v>
      </c>
      <c r="D5078" s="11" t="s">
        <v>66</v>
      </c>
    </row>
    <row r="5079">
      <c r="A5079" s="11">
        <v>5078.0</v>
      </c>
      <c r="B5079" s="12">
        <f t="shared" si="800"/>
        <v>40685</v>
      </c>
      <c r="C5079" s="11" t="s">
        <v>1524</v>
      </c>
      <c r="D5079" s="11" t="s">
        <v>28</v>
      </c>
    </row>
    <row r="5080">
      <c r="A5080" s="11">
        <v>5079.0</v>
      </c>
      <c r="B5080" s="12">
        <f t="shared" si="800"/>
        <v>40685</v>
      </c>
      <c r="C5080" s="11" t="s">
        <v>227</v>
      </c>
      <c r="D5080" s="11" t="s">
        <v>49</v>
      </c>
    </row>
    <row r="5081">
      <c r="A5081" s="11">
        <v>5080.0</v>
      </c>
      <c r="B5081" s="12">
        <f t="shared" si="800"/>
        <v>40685</v>
      </c>
      <c r="C5081" s="11" t="s">
        <v>744</v>
      </c>
      <c r="D5081" s="11" t="s">
        <v>49</v>
      </c>
    </row>
    <row r="5082">
      <c r="A5082" s="11">
        <v>5081.0</v>
      </c>
      <c r="B5082" s="12">
        <f t="shared" ref="B5082:B5086" si="801">DATE(2012,12,31)-588</f>
        <v>40686</v>
      </c>
      <c r="C5082" s="11" t="s">
        <v>819</v>
      </c>
      <c r="D5082" s="11" t="s">
        <v>28</v>
      </c>
    </row>
    <row r="5083">
      <c r="A5083" s="11">
        <v>5082.0</v>
      </c>
      <c r="B5083" s="12">
        <f t="shared" si="801"/>
        <v>40686</v>
      </c>
      <c r="C5083" s="11" t="s">
        <v>1817</v>
      </c>
      <c r="D5083" s="11" t="s">
        <v>28</v>
      </c>
    </row>
    <row r="5084">
      <c r="A5084" s="11">
        <v>5083.0</v>
      </c>
      <c r="B5084" s="12">
        <f t="shared" si="801"/>
        <v>40686</v>
      </c>
      <c r="C5084" s="11" t="s">
        <v>1409</v>
      </c>
      <c r="D5084" s="11" t="s">
        <v>28</v>
      </c>
    </row>
    <row r="5085">
      <c r="A5085" s="11">
        <v>5084.0</v>
      </c>
      <c r="B5085" s="12">
        <f t="shared" si="801"/>
        <v>40686</v>
      </c>
      <c r="C5085" s="11" t="s">
        <v>1409</v>
      </c>
      <c r="D5085" s="11" t="s">
        <v>66</v>
      </c>
    </row>
    <row r="5086">
      <c r="A5086" s="11">
        <v>5085.0</v>
      </c>
      <c r="B5086" s="12">
        <f t="shared" si="801"/>
        <v>40686</v>
      </c>
      <c r="C5086" s="11" t="s">
        <v>1165</v>
      </c>
      <c r="D5086" s="11" t="s">
        <v>49</v>
      </c>
    </row>
    <row r="5087">
      <c r="A5087" s="11">
        <v>5086.0</v>
      </c>
      <c r="B5087" s="12">
        <f t="shared" ref="B5087:B5091" si="802">DATE(2012,12,31)-587</f>
        <v>40687</v>
      </c>
      <c r="C5087" s="11" t="s">
        <v>1326</v>
      </c>
      <c r="D5087" s="11" t="s">
        <v>28</v>
      </c>
    </row>
    <row r="5088">
      <c r="A5088" s="11">
        <v>5087.0</v>
      </c>
      <c r="B5088" s="12">
        <f t="shared" si="802"/>
        <v>40687</v>
      </c>
      <c r="C5088" s="11" t="s">
        <v>1326</v>
      </c>
      <c r="D5088" s="11" t="s">
        <v>28</v>
      </c>
    </row>
    <row r="5089">
      <c r="A5089" s="11">
        <v>5088.0</v>
      </c>
      <c r="B5089" s="12">
        <f t="shared" si="802"/>
        <v>40687</v>
      </c>
      <c r="C5089" s="11" t="s">
        <v>2321</v>
      </c>
      <c r="D5089" s="11" t="s">
        <v>28</v>
      </c>
    </row>
    <row r="5090">
      <c r="A5090" s="11">
        <v>5089.0</v>
      </c>
      <c r="B5090" s="12">
        <f t="shared" si="802"/>
        <v>40687</v>
      </c>
      <c r="C5090" s="11" t="s">
        <v>360</v>
      </c>
      <c r="D5090" s="11" t="s">
        <v>49</v>
      </c>
    </row>
    <row r="5091">
      <c r="A5091" s="11">
        <v>5090.0</v>
      </c>
      <c r="B5091" s="12">
        <f t="shared" si="802"/>
        <v>40687</v>
      </c>
      <c r="C5091" s="11" t="s">
        <v>360</v>
      </c>
      <c r="D5091" s="11" t="s">
        <v>28</v>
      </c>
    </row>
    <row r="5092">
      <c r="A5092" s="11">
        <v>5091.0</v>
      </c>
      <c r="B5092" s="12">
        <f t="shared" ref="B5092:B5098" si="803">DATE(2012,12,31)-586</f>
        <v>40688</v>
      </c>
      <c r="C5092" s="11" t="s">
        <v>2069</v>
      </c>
      <c r="D5092" s="11" t="s">
        <v>49</v>
      </c>
    </row>
    <row r="5093">
      <c r="A5093" s="11">
        <v>5092.0</v>
      </c>
      <c r="B5093" s="12">
        <f t="shared" si="803"/>
        <v>40688</v>
      </c>
      <c r="C5093" s="11" t="s">
        <v>968</v>
      </c>
      <c r="D5093" s="11" t="s">
        <v>66</v>
      </c>
    </row>
    <row r="5094">
      <c r="A5094" s="11">
        <v>5093.0</v>
      </c>
      <c r="B5094" s="12">
        <f t="shared" si="803"/>
        <v>40688</v>
      </c>
      <c r="C5094" s="11" t="s">
        <v>968</v>
      </c>
      <c r="D5094" s="11" t="s">
        <v>28</v>
      </c>
    </row>
    <row r="5095">
      <c r="A5095" s="11">
        <v>5094.0</v>
      </c>
      <c r="B5095" s="12">
        <f t="shared" si="803"/>
        <v>40688</v>
      </c>
      <c r="C5095" s="11" t="s">
        <v>1564</v>
      </c>
      <c r="D5095" s="11" t="s">
        <v>28</v>
      </c>
    </row>
    <row r="5096">
      <c r="A5096" s="11">
        <v>5095.0</v>
      </c>
      <c r="B5096" s="12">
        <f t="shared" si="803"/>
        <v>40688</v>
      </c>
      <c r="C5096" s="11" t="s">
        <v>1564</v>
      </c>
      <c r="D5096" s="11" t="s">
        <v>49</v>
      </c>
    </row>
    <row r="5097">
      <c r="A5097" s="11">
        <v>5096.0</v>
      </c>
      <c r="B5097" s="12">
        <f t="shared" si="803"/>
        <v>40688</v>
      </c>
      <c r="C5097" s="11" t="s">
        <v>1372</v>
      </c>
      <c r="D5097" s="11" t="s">
        <v>28</v>
      </c>
    </row>
    <row r="5098">
      <c r="A5098" s="11">
        <v>5097.0</v>
      </c>
      <c r="B5098" s="12">
        <f t="shared" si="803"/>
        <v>40688</v>
      </c>
      <c r="C5098" s="11" t="s">
        <v>1372</v>
      </c>
      <c r="D5098" s="11" t="s">
        <v>66</v>
      </c>
    </row>
    <row r="5099">
      <c r="A5099" s="11">
        <v>5098.0</v>
      </c>
      <c r="B5099" s="12">
        <f t="shared" ref="B5099:B5102" si="804">DATE(2012,12,31)-585</f>
        <v>40689</v>
      </c>
      <c r="C5099" s="11" t="s">
        <v>1496</v>
      </c>
      <c r="D5099" s="11" t="s">
        <v>49</v>
      </c>
    </row>
    <row r="5100">
      <c r="A5100" s="11">
        <v>5099.0</v>
      </c>
      <c r="B5100" s="12">
        <f t="shared" si="804"/>
        <v>40689</v>
      </c>
      <c r="C5100" s="11" t="s">
        <v>1496</v>
      </c>
      <c r="D5100" s="11" t="s">
        <v>28</v>
      </c>
    </row>
    <row r="5101">
      <c r="A5101" s="11">
        <v>5100.0</v>
      </c>
      <c r="B5101" s="12">
        <f t="shared" si="804"/>
        <v>40689</v>
      </c>
      <c r="C5101" s="11" t="s">
        <v>1625</v>
      </c>
      <c r="D5101" s="11" t="s">
        <v>28</v>
      </c>
    </row>
    <row r="5102">
      <c r="A5102" s="11">
        <v>5101.0</v>
      </c>
      <c r="B5102" s="12">
        <f t="shared" si="804"/>
        <v>40689</v>
      </c>
      <c r="C5102" s="11" t="s">
        <v>1145</v>
      </c>
      <c r="D5102" s="11" t="s">
        <v>28</v>
      </c>
    </row>
    <row r="5103">
      <c r="A5103" s="11">
        <v>5102.0</v>
      </c>
      <c r="B5103" s="12">
        <f t="shared" ref="B5103:B5110" si="805">DATE(2012,12,31)-584</f>
        <v>40690</v>
      </c>
      <c r="C5103" s="11" t="s">
        <v>1884</v>
      </c>
      <c r="D5103" s="11" t="s">
        <v>49</v>
      </c>
    </row>
    <row r="5104">
      <c r="A5104" s="11">
        <v>5103.0</v>
      </c>
      <c r="B5104" s="12">
        <f t="shared" si="805"/>
        <v>40690</v>
      </c>
      <c r="C5104" s="11" t="s">
        <v>1884</v>
      </c>
      <c r="D5104" s="11" t="s">
        <v>28</v>
      </c>
    </row>
    <row r="5105">
      <c r="A5105" s="11">
        <v>5104.0</v>
      </c>
      <c r="B5105" s="12">
        <f t="shared" si="805"/>
        <v>40690</v>
      </c>
      <c r="C5105" s="11" t="s">
        <v>2204</v>
      </c>
      <c r="D5105" s="11" t="s">
        <v>28</v>
      </c>
    </row>
    <row r="5106">
      <c r="A5106" s="11">
        <v>5105.0</v>
      </c>
      <c r="B5106" s="12">
        <f t="shared" si="805"/>
        <v>40690</v>
      </c>
      <c r="C5106" s="11" t="s">
        <v>72</v>
      </c>
      <c r="D5106" s="11" t="s">
        <v>28</v>
      </c>
    </row>
    <row r="5107">
      <c r="A5107" s="11">
        <v>5106.0</v>
      </c>
      <c r="B5107" s="12">
        <f t="shared" si="805"/>
        <v>40690</v>
      </c>
      <c r="C5107" s="11" t="s">
        <v>72</v>
      </c>
      <c r="D5107" s="11" t="s">
        <v>28</v>
      </c>
    </row>
    <row r="5108">
      <c r="A5108" s="11">
        <v>5107.0</v>
      </c>
      <c r="B5108" s="12">
        <f t="shared" si="805"/>
        <v>40690</v>
      </c>
      <c r="C5108" s="11" t="s">
        <v>72</v>
      </c>
      <c r="D5108" s="11" t="s">
        <v>66</v>
      </c>
    </row>
    <row r="5109">
      <c r="A5109" s="11">
        <v>5108.0</v>
      </c>
      <c r="B5109" s="12">
        <f t="shared" si="805"/>
        <v>40690</v>
      </c>
      <c r="C5109" s="11" t="s">
        <v>1276</v>
      </c>
      <c r="D5109" s="11" t="s">
        <v>49</v>
      </c>
    </row>
    <row r="5110">
      <c r="A5110" s="11">
        <v>5109.0</v>
      </c>
      <c r="B5110" s="12">
        <f t="shared" si="805"/>
        <v>40690</v>
      </c>
      <c r="C5110" s="11" t="s">
        <v>1276</v>
      </c>
      <c r="D5110" s="11" t="s">
        <v>28</v>
      </c>
    </row>
    <row r="5111">
      <c r="A5111" s="11">
        <v>5110.0</v>
      </c>
      <c r="B5111" s="12">
        <f t="shared" ref="B5111:B5117" si="806">DATE(2012,12,31)-583</f>
        <v>40691</v>
      </c>
      <c r="C5111" s="11" t="s">
        <v>1543</v>
      </c>
      <c r="D5111" s="11" t="s">
        <v>28</v>
      </c>
    </row>
    <row r="5112">
      <c r="A5112" s="11">
        <v>5111.0</v>
      </c>
      <c r="B5112" s="12">
        <f t="shared" si="806"/>
        <v>40691</v>
      </c>
      <c r="C5112" s="11" t="s">
        <v>2392</v>
      </c>
      <c r="D5112" s="11" t="s">
        <v>28</v>
      </c>
    </row>
    <row r="5113">
      <c r="A5113" s="11">
        <v>5112.0</v>
      </c>
      <c r="B5113" s="12">
        <f t="shared" si="806"/>
        <v>40691</v>
      </c>
      <c r="C5113" s="11" t="s">
        <v>2513</v>
      </c>
      <c r="D5113" s="11" t="s">
        <v>28</v>
      </c>
    </row>
    <row r="5114">
      <c r="A5114" s="11">
        <v>5113.0</v>
      </c>
      <c r="B5114" s="12">
        <f t="shared" si="806"/>
        <v>40691</v>
      </c>
      <c r="C5114" s="11" t="s">
        <v>2513</v>
      </c>
      <c r="D5114" s="11" t="s">
        <v>28</v>
      </c>
    </row>
    <row r="5115">
      <c r="A5115" s="11">
        <v>5114.0</v>
      </c>
      <c r="B5115" s="12">
        <f t="shared" si="806"/>
        <v>40691</v>
      </c>
      <c r="C5115" s="11" t="s">
        <v>2513</v>
      </c>
      <c r="D5115" s="11" t="s">
        <v>28</v>
      </c>
    </row>
    <row r="5116">
      <c r="A5116" s="11">
        <v>5115.0</v>
      </c>
      <c r="B5116" s="12">
        <f t="shared" si="806"/>
        <v>40691</v>
      </c>
      <c r="C5116" s="11" t="s">
        <v>2542</v>
      </c>
      <c r="D5116" s="11" t="s">
        <v>49</v>
      </c>
    </row>
    <row r="5117">
      <c r="A5117" s="11">
        <v>5116.0</v>
      </c>
      <c r="B5117" s="12">
        <f t="shared" si="806"/>
        <v>40691</v>
      </c>
      <c r="C5117" s="11" t="s">
        <v>1831</v>
      </c>
      <c r="D5117" s="11" t="s">
        <v>28</v>
      </c>
    </row>
    <row r="5118">
      <c r="A5118" s="11">
        <v>5117.0</v>
      </c>
      <c r="B5118" s="12">
        <f t="shared" ref="B5118:B5120" si="807">DATE(2012,12,31)-581</f>
        <v>40693</v>
      </c>
      <c r="C5118" s="11" t="s">
        <v>713</v>
      </c>
      <c r="D5118" s="11" t="s">
        <v>49</v>
      </c>
    </row>
    <row r="5119">
      <c r="A5119" s="11">
        <v>5118.0</v>
      </c>
      <c r="B5119" s="12">
        <f t="shared" si="807"/>
        <v>40693</v>
      </c>
      <c r="C5119" s="11" t="s">
        <v>1930</v>
      </c>
      <c r="D5119" s="11" t="s">
        <v>66</v>
      </c>
    </row>
    <row r="5120">
      <c r="A5120" s="11">
        <v>5119.0</v>
      </c>
      <c r="B5120" s="12">
        <f t="shared" si="807"/>
        <v>40693</v>
      </c>
      <c r="C5120" s="11" t="s">
        <v>1533</v>
      </c>
      <c r="D5120" s="11" t="s">
        <v>28</v>
      </c>
    </row>
    <row r="5121">
      <c r="A5121" s="11">
        <v>5120.0</v>
      </c>
      <c r="B5121" s="12">
        <f t="shared" ref="B5121:B5129" si="808">DATE(2012,12,31)-580</f>
        <v>40694</v>
      </c>
      <c r="C5121" s="11" t="s">
        <v>1058</v>
      </c>
      <c r="D5121" s="11" t="s">
        <v>28</v>
      </c>
    </row>
    <row r="5122">
      <c r="A5122" s="11">
        <v>5121.0</v>
      </c>
      <c r="B5122" s="12">
        <f t="shared" si="808"/>
        <v>40694</v>
      </c>
      <c r="C5122" s="11" t="s">
        <v>763</v>
      </c>
      <c r="D5122" s="11" t="s">
        <v>49</v>
      </c>
    </row>
    <row r="5123">
      <c r="A5123" s="11">
        <v>5122.0</v>
      </c>
      <c r="B5123" s="12">
        <f t="shared" si="808"/>
        <v>40694</v>
      </c>
      <c r="C5123" s="11" t="s">
        <v>1355</v>
      </c>
      <c r="D5123" s="11" t="s">
        <v>66</v>
      </c>
    </row>
    <row r="5124">
      <c r="A5124" s="11">
        <v>5123.0</v>
      </c>
      <c r="B5124" s="12">
        <f t="shared" si="808"/>
        <v>40694</v>
      </c>
      <c r="C5124" s="11" t="s">
        <v>1355</v>
      </c>
      <c r="D5124" s="11" t="s">
        <v>28</v>
      </c>
    </row>
    <row r="5125">
      <c r="A5125" s="11">
        <v>5124.0</v>
      </c>
      <c r="B5125" s="12">
        <f t="shared" si="808"/>
        <v>40694</v>
      </c>
      <c r="C5125" s="11" t="s">
        <v>1308</v>
      </c>
      <c r="D5125" s="11" t="s">
        <v>28</v>
      </c>
    </row>
    <row r="5126">
      <c r="A5126" s="11">
        <v>5125.0</v>
      </c>
      <c r="B5126" s="12">
        <f t="shared" si="808"/>
        <v>40694</v>
      </c>
      <c r="C5126" s="11" t="s">
        <v>1308</v>
      </c>
      <c r="D5126" s="11" t="s">
        <v>49</v>
      </c>
    </row>
    <row r="5127">
      <c r="A5127" s="11">
        <v>5126.0</v>
      </c>
      <c r="B5127" s="12">
        <f t="shared" si="808"/>
        <v>40694</v>
      </c>
      <c r="C5127" s="11" t="s">
        <v>1108</v>
      </c>
      <c r="D5127" s="11" t="s">
        <v>66</v>
      </c>
    </row>
    <row r="5128">
      <c r="A5128" s="11">
        <v>5127.0</v>
      </c>
      <c r="B5128" s="12">
        <f t="shared" si="808"/>
        <v>40694</v>
      </c>
      <c r="C5128" s="11" t="s">
        <v>1108</v>
      </c>
      <c r="D5128" s="11" t="s">
        <v>28</v>
      </c>
    </row>
    <row r="5129">
      <c r="A5129" s="11">
        <v>5128.0</v>
      </c>
      <c r="B5129" s="12">
        <f t="shared" si="808"/>
        <v>40694</v>
      </c>
      <c r="C5129" s="11" t="s">
        <v>1108</v>
      </c>
      <c r="D5129" s="11" t="s">
        <v>28</v>
      </c>
    </row>
    <row r="5130">
      <c r="A5130" s="11">
        <v>5129.0</v>
      </c>
      <c r="B5130" s="12">
        <f t="shared" ref="B5130:B5136" si="809">DATE(2012,12,31)-579</f>
        <v>40695</v>
      </c>
      <c r="C5130" s="11" t="s">
        <v>211</v>
      </c>
      <c r="D5130" s="11" t="s">
        <v>28</v>
      </c>
    </row>
    <row r="5131">
      <c r="A5131" s="11">
        <v>5130.0</v>
      </c>
      <c r="B5131" s="12">
        <f t="shared" si="809"/>
        <v>40695</v>
      </c>
      <c r="C5131" s="11" t="s">
        <v>211</v>
      </c>
      <c r="D5131" s="11" t="s">
        <v>28</v>
      </c>
    </row>
    <row r="5132">
      <c r="A5132" s="11">
        <v>5131.0</v>
      </c>
      <c r="B5132" s="12">
        <f t="shared" si="809"/>
        <v>40695</v>
      </c>
      <c r="C5132" s="11" t="s">
        <v>1963</v>
      </c>
      <c r="D5132" s="11" t="s">
        <v>28</v>
      </c>
    </row>
    <row r="5133">
      <c r="A5133" s="11">
        <v>5132.0</v>
      </c>
      <c r="B5133" s="12">
        <f t="shared" si="809"/>
        <v>40695</v>
      </c>
      <c r="C5133" s="11" t="s">
        <v>1963</v>
      </c>
      <c r="D5133" s="11" t="s">
        <v>66</v>
      </c>
    </row>
    <row r="5134">
      <c r="A5134" s="11">
        <v>5133.0</v>
      </c>
      <c r="B5134" s="12">
        <f t="shared" si="809"/>
        <v>40695</v>
      </c>
      <c r="C5134" s="11" t="s">
        <v>1963</v>
      </c>
      <c r="D5134" s="11" t="s">
        <v>28</v>
      </c>
    </row>
    <row r="5135">
      <c r="A5135" s="11">
        <v>5134.0</v>
      </c>
      <c r="B5135" s="12">
        <f t="shared" si="809"/>
        <v>40695</v>
      </c>
      <c r="C5135" s="11" t="s">
        <v>494</v>
      </c>
      <c r="D5135" s="11" t="s">
        <v>28</v>
      </c>
    </row>
    <row r="5136">
      <c r="A5136" s="11">
        <v>5135.0</v>
      </c>
      <c r="B5136" s="12">
        <f t="shared" si="809"/>
        <v>40695</v>
      </c>
      <c r="C5136" s="11" t="s">
        <v>494</v>
      </c>
      <c r="D5136" s="11" t="s">
        <v>28</v>
      </c>
    </row>
    <row r="5137">
      <c r="A5137" s="11">
        <v>5136.0</v>
      </c>
      <c r="B5137" s="12">
        <f t="shared" ref="B5137:B5140" si="810">DATE(2012,12,31)-578</f>
        <v>40696</v>
      </c>
      <c r="C5137" s="11" t="s">
        <v>392</v>
      </c>
      <c r="D5137" s="11" t="s">
        <v>66</v>
      </c>
    </row>
    <row r="5138">
      <c r="A5138" s="11">
        <v>5137.0</v>
      </c>
      <c r="B5138" s="12">
        <f t="shared" si="810"/>
        <v>40696</v>
      </c>
      <c r="C5138" s="11" t="s">
        <v>155</v>
      </c>
      <c r="D5138" s="11" t="s">
        <v>49</v>
      </c>
    </row>
    <row r="5139">
      <c r="A5139" s="11">
        <v>5138.0</v>
      </c>
      <c r="B5139" s="12">
        <f t="shared" si="810"/>
        <v>40696</v>
      </c>
      <c r="C5139" s="11" t="s">
        <v>1747</v>
      </c>
      <c r="D5139" s="11" t="s">
        <v>28</v>
      </c>
    </row>
    <row r="5140">
      <c r="A5140" s="11">
        <v>5139.0</v>
      </c>
      <c r="B5140" s="12">
        <f t="shared" si="810"/>
        <v>40696</v>
      </c>
      <c r="C5140" s="11" t="s">
        <v>1747</v>
      </c>
      <c r="D5140" s="11" t="s">
        <v>28</v>
      </c>
    </row>
    <row r="5141">
      <c r="A5141" s="11">
        <v>5140.0</v>
      </c>
      <c r="B5141" s="12">
        <f t="shared" ref="B5141:B5148" si="811">DATE(2012,12,31)-577</f>
        <v>40697</v>
      </c>
      <c r="C5141" s="11" t="s">
        <v>1877</v>
      </c>
      <c r="D5141" s="11" t="s">
        <v>28</v>
      </c>
    </row>
    <row r="5142">
      <c r="A5142" s="11">
        <v>5141.0</v>
      </c>
      <c r="B5142" s="12">
        <f t="shared" si="811"/>
        <v>40697</v>
      </c>
      <c r="C5142" s="11" t="s">
        <v>1877</v>
      </c>
      <c r="D5142" s="11" t="s">
        <v>28</v>
      </c>
    </row>
    <row r="5143">
      <c r="A5143" s="11">
        <v>5142.0</v>
      </c>
      <c r="B5143" s="12">
        <f t="shared" si="811"/>
        <v>40697</v>
      </c>
      <c r="C5143" s="11" t="s">
        <v>385</v>
      </c>
      <c r="D5143" s="11" t="s">
        <v>28</v>
      </c>
    </row>
    <row r="5144">
      <c r="A5144" s="11">
        <v>5143.0</v>
      </c>
      <c r="B5144" s="12">
        <f t="shared" si="811"/>
        <v>40697</v>
      </c>
      <c r="C5144" s="11" t="s">
        <v>2311</v>
      </c>
      <c r="D5144" s="11" t="s">
        <v>28</v>
      </c>
    </row>
    <row r="5145">
      <c r="A5145" s="11">
        <v>5144.0</v>
      </c>
      <c r="B5145" s="12">
        <f t="shared" si="811"/>
        <v>40697</v>
      </c>
      <c r="C5145" s="11" t="s">
        <v>2311</v>
      </c>
      <c r="D5145" s="11" t="s">
        <v>28</v>
      </c>
    </row>
    <row r="5146">
      <c r="A5146" s="11">
        <v>5145.0</v>
      </c>
      <c r="B5146" s="12">
        <f t="shared" si="811"/>
        <v>40697</v>
      </c>
      <c r="C5146" s="11" t="s">
        <v>2311</v>
      </c>
      <c r="D5146" s="11" t="s">
        <v>66</v>
      </c>
    </row>
    <row r="5147">
      <c r="A5147" s="11">
        <v>5146.0</v>
      </c>
      <c r="B5147" s="12">
        <f t="shared" si="811"/>
        <v>40697</v>
      </c>
      <c r="C5147" s="11" t="s">
        <v>300</v>
      </c>
      <c r="D5147" s="11" t="s">
        <v>49</v>
      </c>
    </row>
    <row r="5148">
      <c r="A5148" s="11">
        <v>5147.0</v>
      </c>
      <c r="B5148" s="12">
        <f t="shared" si="811"/>
        <v>40697</v>
      </c>
      <c r="C5148" s="11" t="s">
        <v>1654</v>
      </c>
      <c r="D5148" s="11" t="s">
        <v>28</v>
      </c>
    </row>
    <row r="5149">
      <c r="A5149" s="11">
        <v>5148.0</v>
      </c>
      <c r="B5149" s="12">
        <f>DATE(2012,12,31)-576</f>
        <v>40698</v>
      </c>
      <c r="C5149" s="11" t="s">
        <v>1982</v>
      </c>
      <c r="D5149" s="11" t="s">
        <v>49</v>
      </c>
    </row>
    <row r="5150">
      <c r="A5150" s="11">
        <v>5149.0</v>
      </c>
      <c r="B5150" s="12">
        <f t="shared" ref="B5150:B5154" si="812">DATE(2012,12,31)-575</f>
        <v>40699</v>
      </c>
      <c r="C5150" s="11" t="s">
        <v>1130</v>
      </c>
      <c r="D5150" s="11" t="s">
        <v>28</v>
      </c>
    </row>
    <row r="5151">
      <c r="A5151" s="11">
        <v>5150.0</v>
      </c>
      <c r="B5151" s="12">
        <f t="shared" si="812"/>
        <v>40699</v>
      </c>
      <c r="C5151" s="11" t="s">
        <v>1130</v>
      </c>
      <c r="D5151" s="11" t="s">
        <v>66</v>
      </c>
    </row>
    <row r="5152">
      <c r="A5152" s="11">
        <v>5151.0</v>
      </c>
      <c r="B5152" s="12">
        <f t="shared" si="812"/>
        <v>40699</v>
      </c>
      <c r="C5152" s="11" t="s">
        <v>561</v>
      </c>
      <c r="D5152" s="11" t="s">
        <v>66</v>
      </c>
    </row>
    <row r="5153">
      <c r="A5153" s="11">
        <v>5152.0</v>
      </c>
      <c r="B5153" s="12">
        <f t="shared" si="812"/>
        <v>40699</v>
      </c>
      <c r="C5153" s="11" t="s">
        <v>152</v>
      </c>
      <c r="D5153" s="11" t="s">
        <v>28</v>
      </c>
    </row>
    <row r="5154">
      <c r="A5154" s="11">
        <v>5153.0</v>
      </c>
      <c r="B5154" s="12">
        <f t="shared" si="812"/>
        <v>40699</v>
      </c>
      <c r="C5154" s="11" t="s">
        <v>152</v>
      </c>
      <c r="D5154" s="11" t="s">
        <v>66</v>
      </c>
    </row>
    <row r="5155">
      <c r="A5155" s="11">
        <v>5154.0</v>
      </c>
      <c r="B5155" s="12">
        <f t="shared" ref="B5155:B5158" si="813">DATE(2012,12,31)-574</f>
        <v>40700</v>
      </c>
      <c r="C5155" s="11" t="s">
        <v>360</v>
      </c>
      <c r="D5155" s="11" t="s">
        <v>49</v>
      </c>
    </row>
    <row r="5156">
      <c r="A5156" s="11">
        <v>5155.0</v>
      </c>
      <c r="B5156" s="12">
        <f t="shared" si="813"/>
        <v>40700</v>
      </c>
      <c r="C5156" s="11" t="s">
        <v>2520</v>
      </c>
      <c r="D5156" s="11" t="s">
        <v>28</v>
      </c>
    </row>
    <row r="5157">
      <c r="A5157" s="11">
        <v>5156.0</v>
      </c>
      <c r="B5157" s="12">
        <f t="shared" si="813"/>
        <v>40700</v>
      </c>
      <c r="C5157" s="11" t="s">
        <v>1715</v>
      </c>
      <c r="D5157" s="11" t="s">
        <v>28</v>
      </c>
    </row>
    <row r="5158">
      <c r="A5158" s="11">
        <v>5157.0</v>
      </c>
      <c r="B5158" s="12">
        <f t="shared" si="813"/>
        <v>40700</v>
      </c>
      <c r="C5158" s="11" t="s">
        <v>1901</v>
      </c>
      <c r="D5158" s="11" t="s">
        <v>28</v>
      </c>
    </row>
    <row r="5159">
      <c r="A5159" s="11">
        <v>5158.0</v>
      </c>
      <c r="B5159" s="12">
        <f t="shared" ref="B5159:B5166" si="814">DATE(2012,12,31)-573</f>
        <v>40701</v>
      </c>
      <c r="C5159" s="11" t="s">
        <v>1025</v>
      </c>
      <c r="D5159" s="11" t="s">
        <v>28</v>
      </c>
    </row>
    <row r="5160">
      <c r="A5160" s="11">
        <v>5159.0</v>
      </c>
      <c r="B5160" s="12">
        <f t="shared" si="814"/>
        <v>40701</v>
      </c>
      <c r="C5160" s="11" t="s">
        <v>1025</v>
      </c>
      <c r="D5160" s="11" t="s">
        <v>28</v>
      </c>
    </row>
    <row r="5161">
      <c r="A5161" s="11">
        <v>5160.0</v>
      </c>
      <c r="B5161" s="12">
        <f t="shared" si="814"/>
        <v>40701</v>
      </c>
      <c r="C5161" s="11" t="s">
        <v>1025</v>
      </c>
      <c r="D5161" s="11" t="s">
        <v>66</v>
      </c>
    </row>
    <row r="5162">
      <c r="A5162" s="11">
        <v>5161.0</v>
      </c>
      <c r="B5162" s="12">
        <f t="shared" si="814"/>
        <v>40701</v>
      </c>
      <c r="C5162" s="11" t="s">
        <v>1761</v>
      </c>
      <c r="D5162" s="11" t="s">
        <v>28</v>
      </c>
    </row>
    <row r="5163">
      <c r="A5163" s="11">
        <v>5162.0</v>
      </c>
      <c r="B5163" s="12">
        <f t="shared" si="814"/>
        <v>40701</v>
      </c>
      <c r="C5163" s="11" t="s">
        <v>1761</v>
      </c>
      <c r="D5163" s="11" t="s">
        <v>28</v>
      </c>
    </row>
    <row r="5164">
      <c r="A5164" s="11">
        <v>5163.0</v>
      </c>
      <c r="B5164" s="12">
        <f t="shared" si="814"/>
        <v>40701</v>
      </c>
      <c r="C5164" s="11" t="s">
        <v>878</v>
      </c>
      <c r="D5164" s="11" t="s">
        <v>49</v>
      </c>
    </row>
    <row r="5165">
      <c r="A5165" s="11">
        <v>5164.0</v>
      </c>
      <c r="B5165" s="12">
        <f t="shared" si="814"/>
        <v>40701</v>
      </c>
      <c r="C5165" s="11" t="s">
        <v>878</v>
      </c>
      <c r="D5165" s="11" t="s">
        <v>28</v>
      </c>
    </row>
    <row r="5166">
      <c r="A5166" s="11">
        <v>5165.0</v>
      </c>
      <c r="B5166" s="12">
        <f t="shared" si="814"/>
        <v>40701</v>
      </c>
      <c r="C5166" s="11" t="s">
        <v>878</v>
      </c>
      <c r="D5166" s="11" t="s">
        <v>49</v>
      </c>
    </row>
    <row r="5167">
      <c r="A5167" s="11">
        <v>5166.0</v>
      </c>
      <c r="B5167" s="12">
        <f t="shared" ref="B5167:B5172" si="815">DATE(2012,12,31)-572</f>
        <v>40702</v>
      </c>
      <c r="C5167" s="11" t="s">
        <v>593</v>
      </c>
      <c r="D5167" s="11" t="s">
        <v>66</v>
      </c>
    </row>
    <row r="5168">
      <c r="A5168" s="11">
        <v>5167.0</v>
      </c>
      <c r="B5168" s="12">
        <f t="shared" si="815"/>
        <v>40702</v>
      </c>
      <c r="C5168" s="11" t="s">
        <v>1862</v>
      </c>
      <c r="D5168" s="11" t="s">
        <v>28</v>
      </c>
    </row>
    <row r="5169">
      <c r="A5169" s="11">
        <v>5168.0</v>
      </c>
      <c r="B5169" s="12">
        <f t="shared" si="815"/>
        <v>40702</v>
      </c>
      <c r="C5169" s="11" t="s">
        <v>1862</v>
      </c>
      <c r="D5169" s="11" t="s">
        <v>28</v>
      </c>
    </row>
    <row r="5170">
      <c r="A5170" s="11">
        <v>5169.0</v>
      </c>
      <c r="B5170" s="12">
        <f t="shared" si="815"/>
        <v>40702</v>
      </c>
      <c r="C5170" s="11" t="s">
        <v>1862</v>
      </c>
      <c r="D5170" s="11" t="s">
        <v>28</v>
      </c>
    </row>
    <row r="5171">
      <c r="A5171" s="11">
        <v>5170.0</v>
      </c>
      <c r="B5171" s="12">
        <f t="shared" si="815"/>
        <v>40702</v>
      </c>
      <c r="C5171" s="11" t="s">
        <v>1862</v>
      </c>
      <c r="D5171" s="11" t="s">
        <v>28</v>
      </c>
    </row>
    <row r="5172">
      <c r="A5172" s="11">
        <v>5171.0</v>
      </c>
      <c r="B5172" s="12">
        <f t="shared" si="815"/>
        <v>40702</v>
      </c>
      <c r="C5172" s="11" t="s">
        <v>1862</v>
      </c>
      <c r="D5172" s="11" t="s">
        <v>28</v>
      </c>
    </row>
    <row r="5173">
      <c r="A5173" s="11">
        <v>5172.0</v>
      </c>
      <c r="B5173" s="12">
        <f t="shared" ref="B5173:B5178" si="816">DATE(2012,12,31)-571</f>
        <v>40703</v>
      </c>
      <c r="C5173" s="11" t="s">
        <v>446</v>
      </c>
      <c r="D5173" s="11" t="s">
        <v>28</v>
      </c>
    </row>
    <row r="5174">
      <c r="A5174" s="11">
        <v>5173.0</v>
      </c>
      <c r="B5174" s="12">
        <f t="shared" si="816"/>
        <v>40703</v>
      </c>
      <c r="C5174" s="11" t="s">
        <v>446</v>
      </c>
      <c r="D5174" s="11" t="s">
        <v>66</v>
      </c>
    </row>
    <row r="5175">
      <c r="A5175" s="11">
        <v>5174.0</v>
      </c>
      <c r="B5175" s="12">
        <f t="shared" si="816"/>
        <v>40703</v>
      </c>
      <c r="C5175" s="11" t="s">
        <v>2524</v>
      </c>
      <c r="D5175" s="11" t="s">
        <v>49</v>
      </c>
    </row>
    <row r="5176">
      <c r="A5176" s="11">
        <v>5175.0</v>
      </c>
      <c r="B5176" s="12">
        <f t="shared" si="816"/>
        <v>40703</v>
      </c>
      <c r="C5176" s="11" t="s">
        <v>116</v>
      </c>
      <c r="D5176" s="11" t="s">
        <v>28</v>
      </c>
    </row>
    <row r="5177">
      <c r="A5177" s="11">
        <v>5176.0</v>
      </c>
      <c r="B5177" s="12">
        <f t="shared" si="816"/>
        <v>40703</v>
      </c>
      <c r="C5177" s="11" t="s">
        <v>116</v>
      </c>
      <c r="D5177" s="11" t="s">
        <v>28</v>
      </c>
    </row>
    <row r="5178">
      <c r="A5178" s="11">
        <v>5177.0</v>
      </c>
      <c r="B5178" s="12">
        <f t="shared" si="816"/>
        <v>40703</v>
      </c>
      <c r="C5178" s="11" t="s">
        <v>116</v>
      </c>
      <c r="D5178" s="11" t="s">
        <v>28</v>
      </c>
    </row>
    <row r="5179">
      <c r="A5179" s="11">
        <v>5178.0</v>
      </c>
      <c r="B5179" s="12">
        <f t="shared" ref="B5179:B5188" si="817">DATE(2012,12,31)-570</f>
        <v>40704</v>
      </c>
      <c r="C5179" s="11" t="s">
        <v>1372</v>
      </c>
      <c r="D5179" s="11" t="s">
        <v>28</v>
      </c>
    </row>
    <row r="5180">
      <c r="A5180" s="11">
        <v>5179.0</v>
      </c>
      <c r="B5180" s="12">
        <f t="shared" si="817"/>
        <v>40704</v>
      </c>
      <c r="C5180" s="11" t="s">
        <v>786</v>
      </c>
      <c r="D5180" s="11" t="s">
        <v>28</v>
      </c>
    </row>
    <row r="5181">
      <c r="A5181" s="11">
        <v>5180.0</v>
      </c>
      <c r="B5181" s="12">
        <f t="shared" si="817"/>
        <v>40704</v>
      </c>
      <c r="C5181" s="11" t="s">
        <v>786</v>
      </c>
      <c r="D5181" s="11" t="s">
        <v>28</v>
      </c>
    </row>
    <row r="5182">
      <c r="A5182" s="11">
        <v>5181.0</v>
      </c>
      <c r="B5182" s="12">
        <f t="shared" si="817"/>
        <v>40704</v>
      </c>
      <c r="C5182" s="11" t="s">
        <v>2009</v>
      </c>
      <c r="D5182" s="11" t="s">
        <v>28</v>
      </c>
    </row>
    <row r="5183">
      <c r="A5183" s="11">
        <v>5182.0</v>
      </c>
      <c r="B5183" s="12">
        <f t="shared" si="817"/>
        <v>40704</v>
      </c>
      <c r="C5183" s="11" t="s">
        <v>2544</v>
      </c>
      <c r="D5183" s="11" t="s">
        <v>49</v>
      </c>
    </row>
    <row r="5184">
      <c r="A5184" s="11">
        <v>5183.0</v>
      </c>
      <c r="B5184" s="12">
        <f t="shared" si="817"/>
        <v>40704</v>
      </c>
      <c r="C5184" s="11" t="s">
        <v>2544</v>
      </c>
      <c r="D5184" s="11" t="s">
        <v>28</v>
      </c>
    </row>
    <row r="5185">
      <c r="A5185" s="11">
        <v>5184.0</v>
      </c>
      <c r="B5185" s="12">
        <f t="shared" si="817"/>
        <v>40704</v>
      </c>
      <c r="C5185" s="11" t="s">
        <v>2544</v>
      </c>
      <c r="D5185" s="11" t="s">
        <v>66</v>
      </c>
    </row>
    <row r="5186">
      <c r="A5186" s="11">
        <v>5185.0</v>
      </c>
      <c r="B5186" s="12">
        <f t="shared" si="817"/>
        <v>40704</v>
      </c>
      <c r="C5186" s="11" t="s">
        <v>857</v>
      </c>
      <c r="D5186" s="11" t="s">
        <v>28</v>
      </c>
    </row>
    <row r="5187">
      <c r="A5187" s="11">
        <v>5186.0</v>
      </c>
      <c r="B5187" s="12">
        <f t="shared" si="817"/>
        <v>40704</v>
      </c>
      <c r="C5187" s="11" t="s">
        <v>857</v>
      </c>
      <c r="D5187" s="11" t="s">
        <v>28</v>
      </c>
    </row>
    <row r="5188">
      <c r="A5188" s="11">
        <v>5187.0</v>
      </c>
      <c r="B5188" s="12">
        <f t="shared" si="817"/>
        <v>40704</v>
      </c>
      <c r="C5188" s="11" t="s">
        <v>857</v>
      </c>
      <c r="D5188" s="11" t="s">
        <v>28</v>
      </c>
    </row>
    <row r="5189">
      <c r="A5189" s="11">
        <v>5188.0</v>
      </c>
      <c r="B5189" s="12">
        <f t="shared" ref="B5189:B5194" si="818">DATE(2012,12,31)-569</f>
        <v>40705</v>
      </c>
      <c r="C5189" s="11" t="s">
        <v>345</v>
      </c>
      <c r="D5189" s="11" t="s">
        <v>66</v>
      </c>
    </row>
    <row r="5190">
      <c r="A5190" s="11">
        <v>5189.0</v>
      </c>
      <c r="B5190" s="12">
        <f t="shared" si="818"/>
        <v>40705</v>
      </c>
      <c r="C5190" s="11" t="s">
        <v>1277</v>
      </c>
      <c r="D5190" s="11" t="s">
        <v>49</v>
      </c>
    </row>
    <row r="5191">
      <c r="A5191" s="11">
        <v>5190.0</v>
      </c>
      <c r="B5191" s="12">
        <f t="shared" si="818"/>
        <v>40705</v>
      </c>
      <c r="C5191" s="11" t="s">
        <v>1277</v>
      </c>
      <c r="D5191" s="11" t="s">
        <v>28</v>
      </c>
    </row>
    <row r="5192">
      <c r="A5192" s="11">
        <v>5191.0</v>
      </c>
      <c r="B5192" s="12">
        <f t="shared" si="818"/>
        <v>40705</v>
      </c>
      <c r="C5192" s="11" t="s">
        <v>2241</v>
      </c>
      <c r="D5192" s="11" t="s">
        <v>28</v>
      </c>
    </row>
    <row r="5193">
      <c r="A5193" s="11">
        <v>5192.0</v>
      </c>
      <c r="B5193" s="12">
        <f t="shared" si="818"/>
        <v>40705</v>
      </c>
      <c r="C5193" s="11" t="s">
        <v>1332</v>
      </c>
      <c r="D5193" s="11" t="s">
        <v>28</v>
      </c>
    </row>
    <row r="5194">
      <c r="A5194" s="11">
        <v>5193.0</v>
      </c>
      <c r="B5194" s="12">
        <f t="shared" si="818"/>
        <v>40705</v>
      </c>
      <c r="C5194" s="11" t="s">
        <v>966</v>
      </c>
      <c r="D5194" s="11" t="s">
        <v>28</v>
      </c>
    </row>
    <row r="5195">
      <c r="A5195" s="11">
        <v>5194.0</v>
      </c>
      <c r="B5195" s="12">
        <f t="shared" ref="B5195:B5198" si="819">DATE(2012,12,31)-568</f>
        <v>40706</v>
      </c>
      <c r="C5195" s="11" t="s">
        <v>657</v>
      </c>
      <c r="D5195" s="11" t="s">
        <v>49</v>
      </c>
    </row>
    <row r="5196">
      <c r="A5196" s="11">
        <v>5195.0</v>
      </c>
      <c r="B5196" s="12">
        <f t="shared" si="819"/>
        <v>40706</v>
      </c>
      <c r="C5196" s="11" t="s">
        <v>584</v>
      </c>
      <c r="D5196" s="11" t="s">
        <v>28</v>
      </c>
    </row>
    <row r="5197">
      <c r="A5197" s="11">
        <v>5196.0</v>
      </c>
      <c r="B5197" s="12">
        <f t="shared" si="819"/>
        <v>40706</v>
      </c>
      <c r="C5197" s="11" t="s">
        <v>1217</v>
      </c>
      <c r="D5197" s="11" t="s">
        <v>49</v>
      </c>
    </row>
    <row r="5198">
      <c r="A5198" s="11">
        <v>5197.0</v>
      </c>
      <c r="B5198" s="12">
        <f t="shared" si="819"/>
        <v>40706</v>
      </c>
      <c r="C5198" s="11" t="s">
        <v>1217</v>
      </c>
      <c r="D5198" s="11" t="s">
        <v>49</v>
      </c>
    </row>
    <row r="5199">
      <c r="A5199" s="11">
        <v>5198.0</v>
      </c>
      <c r="B5199" s="12">
        <f t="shared" ref="B5199:B5201" si="820">DATE(2012,12,31)-567</f>
        <v>40707</v>
      </c>
      <c r="C5199" s="11" t="s">
        <v>2386</v>
      </c>
      <c r="D5199" s="11" t="s">
        <v>49</v>
      </c>
    </row>
    <row r="5200">
      <c r="A5200" s="11">
        <v>5199.0</v>
      </c>
      <c r="B5200" s="12">
        <f t="shared" si="820"/>
        <v>40707</v>
      </c>
      <c r="C5200" s="11" t="s">
        <v>2386</v>
      </c>
      <c r="D5200" s="11" t="s">
        <v>28</v>
      </c>
    </row>
    <row r="5201">
      <c r="A5201" s="11">
        <v>5200.0</v>
      </c>
      <c r="B5201" s="12">
        <f t="shared" si="820"/>
        <v>40707</v>
      </c>
      <c r="C5201" s="11" t="s">
        <v>2301</v>
      </c>
      <c r="D5201" s="11" t="s">
        <v>28</v>
      </c>
    </row>
    <row r="5202">
      <c r="A5202" s="11">
        <v>5201.0</v>
      </c>
      <c r="B5202" s="12">
        <f t="shared" ref="B5202:B5209" si="821">DATE(2012,12,31)-566</f>
        <v>40708</v>
      </c>
      <c r="C5202" s="11" t="s">
        <v>1179</v>
      </c>
      <c r="D5202" s="11" t="s">
        <v>28</v>
      </c>
    </row>
    <row r="5203">
      <c r="A5203" s="11">
        <v>5202.0</v>
      </c>
      <c r="B5203" s="12">
        <f t="shared" si="821"/>
        <v>40708</v>
      </c>
      <c r="C5203" s="11" t="s">
        <v>1179</v>
      </c>
      <c r="D5203" s="11" t="s">
        <v>28</v>
      </c>
    </row>
    <row r="5204">
      <c r="A5204" s="11">
        <v>5203.0</v>
      </c>
      <c r="B5204" s="12">
        <f t="shared" si="821"/>
        <v>40708</v>
      </c>
      <c r="C5204" s="11" t="s">
        <v>446</v>
      </c>
      <c r="D5204" s="11" t="s">
        <v>28</v>
      </c>
    </row>
    <row r="5205">
      <c r="A5205" s="11">
        <v>5204.0</v>
      </c>
      <c r="B5205" s="12">
        <f t="shared" si="821"/>
        <v>40708</v>
      </c>
      <c r="C5205" s="11" t="s">
        <v>2052</v>
      </c>
      <c r="D5205" s="11" t="s">
        <v>66</v>
      </c>
    </row>
    <row r="5206">
      <c r="A5206" s="11">
        <v>5205.0</v>
      </c>
      <c r="B5206" s="12">
        <f t="shared" si="821"/>
        <v>40708</v>
      </c>
      <c r="C5206" s="11" t="s">
        <v>2373</v>
      </c>
      <c r="D5206" s="11" t="s">
        <v>28</v>
      </c>
    </row>
    <row r="5207">
      <c r="A5207" s="11">
        <v>5206.0</v>
      </c>
      <c r="B5207" s="12">
        <f t="shared" si="821"/>
        <v>40708</v>
      </c>
      <c r="C5207" s="11" t="s">
        <v>1936</v>
      </c>
      <c r="D5207" s="11" t="s">
        <v>49</v>
      </c>
    </row>
    <row r="5208">
      <c r="A5208" s="11">
        <v>5207.0</v>
      </c>
      <c r="B5208" s="12">
        <f t="shared" si="821"/>
        <v>40708</v>
      </c>
      <c r="C5208" s="11" t="s">
        <v>1936</v>
      </c>
      <c r="D5208" s="11" t="s">
        <v>66</v>
      </c>
    </row>
    <row r="5209">
      <c r="A5209" s="11">
        <v>5208.0</v>
      </c>
      <c r="B5209" s="12">
        <f t="shared" si="821"/>
        <v>40708</v>
      </c>
      <c r="C5209" s="11" t="s">
        <v>1936</v>
      </c>
      <c r="D5209" s="11" t="s">
        <v>28</v>
      </c>
    </row>
    <row r="5210">
      <c r="A5210" s="11">
        <v>5209.0</v>
      </c>
      <c r="B5210" s="12">
        <f t="shared" ref="B5210:B5211" si="822">DATE(2012,12,31)-565</f>
        <v>40709</v>
      </c>
      <c r="C5210" s="11" t="s">
        <v>930</v>
      </c>
      <c r="D5210" s="11" t="s">
        <v>28</v>
      </c>
    </row>
    <row r="5211">
      <c r="A5211" s="11">
        <v>5210.0</v>
      </c>
      <c r="B5211" s="12">
        <f t="shared" si="822"/>
        <v>40709</v>
      </c>
      <c r="C5211" s="11" t="s">
        <v>2304</v>
      </c>
      <c r="D5211" s="11" t="s">
        <v>28</v>
      </c>
    </row>
    <row r="5212">
      <c r="A5212" s="11">
        <v>5211.0</v>
      </c>
      <c r="B5212" s="12">
        <f t="shared" ref="B5212:B5218" si="823">DATE(2012,12,31)-564</f>
        <v>40710</v>
      </c>
      <c r="C5212" s="11" t="s">
        <v>756</v>
      </c>
      <c r="D5212" s="11" t="s">
        <v>28</v>
      </c>
    </row>
    <row r="5213">
      <c r="A5213" s="11">
        <v>5212.0</v>
      </c>
      <c r="B5213" s="12">
        <f t="shared" si="823"/>
        <v>40710</v>
      </c>
      <c r="C5213" s="11" t="s">
        <v>2513</v>
      </c>
      <c r="D5213" s="11" t="s">
        <v>28</v>
      </c>
    </row>
    <row r="5214">
      <c r="A5214" s="11">
        <v>5213.0</v>
      </c>
      <c r="B5214" s="12">
        <f t="shared" si="823"/>
        <v>40710</v>
      </c>
      <c r="C5214" s="11" t="s">
        <v>2493</v>
      </c>
      <c r="D5214" s="11" t="s">
        <v>28</v>
      </c>
    </row>
    <row r="5215">
      <c r="A5215" s="11">
        <v>5214.0</v>
      </c>
      <c r="B5215" s="12">
        <f t="shared" si="823"/>
        <v>40710</v>
      </c>
      <c r="C5215" s="11" t="s">
        <v>2058</v>
      </c>
      <c r="D5215" s="11" t="s">
        <v>28</v>
      </c>
    </row>
    <row r="5216">
      <c r="A5216" s="11">
        <v>5215.0</v>
      </c>
      <c r="B5216" s="12">
        <f t="shared" si="823"/>
        <v>40710</v>
      </c>
      <c r="C5216" s="11" t="s">
        <v>1564</v>
      </c>
      <c r="D5216" s="11" t="s">
        <v>28</v>
      </c>
    </row>
    <row r="5217">
      <c r="A5217" s="11">
        <v>5216.0</v>
      </c>
      <c r="B5217" s="12">
        <f t="shared" si="823"/>
        <v>40710</v>
      </c>
      <c r="C5217" s="11" t="s">
        <v>2064</v>
      </c>
      <c r="D5217" s="11" t="s">
        <v>28</v>
      </c>
    </row>
    <row r="5218">
      <c r="A5218" s="11">
        <v>5217.0</v>
      </c>
      <c r="B5218" s="12">
        <f t="shared" si="823"/>
        <v>40710</v>
      </c>
      <c r="C5218" s="11" t="s">
        <v>2064</v>
      </c>
      <c r="D5218" s="11" t="s">
        <v>28</v>
      </c>
    </row>
    <row r="5219">
      <c r="A5219" s="11">
        <v>5218.0</v>
      </c>
      <c r="B5219" s="12">
        <f t="shared" ref="B5219:B5225" si="824">DATE(2012,12,31)-563</f>
        <v>40711</v>
      </c>
      <c r="C5219" s="11" t="s">
        <v>2162</v>
      </c>
      <c r="D5219" s="11" t="s">
        <v>28</v>
      </c>
    </row>
    <row r="5220">
      <c r="A5220" s="11">
        <v>5219.0</v>
      </c>
      <c r="B5220" s="12">
        <f t="shared" si="824"/>
        <v>40711</v>
      </c>
      <c r="C5220" s="11" t="s">
        <v>2162</v>
      </c>
      <c r="D5220" s="11" t="s">
        <v>28</v>
      </c>
    </row>
    <row r="5221">
      <c r="A5221" s="11">
        <v>5220.0</v>
      </c>
      <c r="B5221" s="12">
        <f t="shared" si="824"/>
        <v>40711</v>
      </c>
      <c r="C5221" s="11" t="s">
        <v>2191</v>
      </c>
      <c r="D5221" s="11" t="s">
        <v>66</v>
      </c>
    </row>
    <row r="5222">
      <c r="A5222" s="11">
        <v>5221.0</v>
      </c>
      <c r="B5222" s="12">
        <f t="shared" si="824"/>
        <v>40711</v>
      </c>
      <c r="C5222" s="11" t="s">
        <v>945</v>
      </c>
      <c r="D5222" s="11" t="s">
        <v>28</v>
      </c>
    </row>
    <row r="5223">
      <c r="A5223" s="11">
        <v>5222.0</v>
      </c>
      <c r="B5223" s="12">
        <f t="shared" si="824"/>
        <v>40711</v>
      </c>
      <c r="C5223" s="11" t="s">
        <v>945</v>
      </c>
      <c r="D5223" s="11" t="s">
        <v>28</v>
      </c>
    </row>
    <row r="5224">
      <c r="A5224" s="11">
        <v>5223.0</v>
      </c>
      <c r="B5224" s="12">
        <f t="shared" si="824"/>
        <v>40711</v>
      </c>
      <c r="C5224" s="11" t="s">
        <v>1349</v>
      </c>
      <c r="D5224" s="11" t="s">
        <v>49</v>
      </c>
    </row>
    <row r="5225">
      <c r="A5225" s="11">
        <v>5224.0</v>
      </c>
      <c r="B5225" s="12">
        <f t="shared" si="824"/>
        <v>40711</v>
      </c>
      <c r="C5225" s="11" t="s">
        <v>1152</v>
      </c>
      <c r="D5225" s="11" t="s">
        <v>49</v>
      </c>
    </row>
    <row r="5226">
      <c r="A5226" s="11">
        <v>5225.0</v>
      </c>
      <c r="B5226" s="12">
        <f t="shared" ref="B5226:B5229" si="825">DATE(2012,12,31)-562</f>
        <v>40712</v>
      </c>
      <c r="C5226" s="11" t="s">
        <v>2039</v>
      </c>
      <c r="D5226" s="11" t="s">
        <v>28</v>
      </c>
    </row>
    <row r="5227">
      <c r="A5227" s="11">
        <v>5226.0</v>
      </c>
      <c r="B5227" s="12">
        <f t="shared" si="825"/>
        <v>40712</v>
      </c>
      <c r="C5227" s="11" t="s">
        <v>841</v>
      </c>
      <c r="D5227" s="11" t="s">
        <v>49</v>
      </c>
    </row>
    <row r="5228">
      <c r="A5228" s="11">
        <v>5227.0</v>
      </c>
      <c r="B5228" s="12">
        <f t="shared" si="825"/>
        <v>40712</v>
      </c>
      <c r="C5228" s="11" t="s">
        <v>960</v>
      </c>
      <c r="D5228" s="11" t="s">
        <v>28</v>
      </c>
    </row>
    <row r="5229">
      <c r="A5229" s="11">
        <v>5228.0</v>
      </c>
      <c r="B5229" s="12">
        <f t="shared" si="825"/>
        <v>40712</v>
      </c>
      <c r="C5229" s="11" t="s">
        <v>960</v>
      </c>
      <c r="D5229" s="11" t="s">
        <v>28</v>
      </c>
    </row>
    <row r="5230">
      <c r="A5230" s="11">
        <v>5229.0</v>
      </c>
      <c r="B5230" s="12">
        <f t="shared" ref="B5230:B5233" si="826">DATE(2012,12,31)-561</f>
        <v>40713</v>
      </c>
      <c r="C5230" s="11" t="s">
        <v>1228</v>
      </c>
      <c r="D5230" s="11" t="s">
        <v>28</v>
      </c>
    </row>
    <row r="5231">
      <c r="A5231" s="11">
        <v>5230.0</v>
      </c>
      <c r="B5231" s="12">
        <f t="shared" si="826"/>
        <v>40713</v>
      </c>
      <c r="C5231" s="11" t="s">
        <v>507</v>
      </c>
      <c r="D5231" s="11" t="s">
        <v>28</v>
      </c>
    </row>
    <row r="5232">
      <c r="A5232" s="11">
        <v>5231.0</v>
      </c>
      <c r="B5232" s="12">
        <f t="shared" si="826"/>
        <v>40713</v>
      </c>
      <c r="C5232" s="11" t="s">
        <v>1205</v>
      </c>
      <c r="D5232" s="11" t="s">
        <v>49</v>
      </c>
    </row>
    <row r="5233">
      <c r="A5233" s="11">
        <v>5232.0</v>
      </c>
      <c r="B5233" s="12">
        <f t="shared" si="826"/>
        <v>40713</v>
      </c>
      <c r="C5233" s="11" t="s">
        <v>1205</v>
      </c>
      <c r="D5233" s="11" t="s">
        <v>66</v>
      </c>
    </row>
    <row r="5234">
      <c r="A5234" s="11">
        <v>5233.0</v>
      </c>
      <c r="B5234" s="12">
        <f t="shared" ref="B5234:B5238" si="827">DATE(2012,12,31)-560</f>
        <v>40714</v>
      </c>
      <c r="C5234" s="11" t="s">
        <v>2545</v>
      </c>
      <c r="D5234" s="11" t="s">
        <v>28</v>
      </c>
    </row>
    <row r="5235">
      <c r="A5235" s="11">
        <v>5234.0</v>
      </c>
      <c r="B5235" s="12">
        <f t="shared" si="827"/>
        <v>40714</v>
      </c>
      <c r="C5235" s="11" t="s">
        <v>2099</v>
      </c>
      <c r="D5235" s="11" t="s">
        <v>28</v>
      </c>
    </row>
    <row r="5236">
      <c r="A5236" s="11">
        <v>5235.0</v>
      </c>
      <c r="B5236" s="12">
        <f t="shared" si="827"/>
        <v>40714</v>
      </c>
      <c r="C5236" s="11" t="s">
        <v>2099</v>
      </c>
      <c r="D5236" s="11" t="s">
        <v>66</v>
      </c>
    </row>
    <row r="5237">
      <c r="A5237" s="11">
        <v>5236.0</v>
      </c>
      <c r="B5237" s="12">
        <f t="shared" si="827"/>
        <v>40714</v>
      </c>
      <c r="C5237" s="11" t="s">
        <v>2524</v>
      </c>
      <c r="D5237" s="11" t="s">
        <v>66</v>
      </c>
    </row>
    <row r="5238">
      <c r="A5238" s="11">
        <v>5237.0</v>
      </c>
      <c r="B5238" s="12">
        <f t="shared" si="827"/>
        <v>40714</v>
      </c>
      <c r="C5238" s="11" t="s">
        <v>945</v>
      </c>
      <c r="D5238" s="11" t="s">
        <v>28</v>
      </c>
    </row>
    <row r="5239">
      <c r="A5239" s="11">
        <v>5238.0</v>
      </c>
      <c r="B5239" s="12">
        <f t="shared" ref="B5239:B5242" si="828">DATE(2012,12,31)-559</f>
        <v>40715</v>
      </c>
      <c r="C5239" s="11" t="s">
        <v>155</v>
      </c>
      <c r="D5239" s="11" t="s">
        <v>49</v>
      </c>
    </row>
    <row r="5240">
      <c r="A5240" s="11">
        <v>5239.0</v>
      </c>
      <c r="B5240" s="12">
        <f t="shared" si="828"/>
        <v>40715</v>
      </c>
      <c r="C5240" s="11" t="s">
        <v>2052</v>
      </c>
      <c r="D5240" s="11" t="s">
        <v>28</v>
      </c>
    </row>
    <row r="5241">
      <c r="A5241" s="11">
        <v>5240.0</v>
      </c>
      <c r="B5241" s="12">
        <f t="shared" si="828"/>
        <v>40715</v>
      </c>
      <c r="C5241" s="11" t="s">
        <v>2052</v>
      </c>
      <c r="D5241" s="11" t="s">
        <v>28</v>
      </c>
    </row>
    <row r="5242">
      <c r="A5242" s="11">
        <v>5241.0</v>
      </c>
      <c r="B5242" s="12">
        <f t="shared" si="828"/>
        <v>40715</v>
      </c>
      <c r="C5242" s="11" t="s">
        <v>892</v>
      </c>
      <c r="D5242" s="11" t="s">
        <v>66</v>
      </c>
    </row>
    <row r="5243">
      <c r="A5243" s="11">
        <v>5242.0</v>
      </c>
      <c r="B5243" s="12">
        <f t="shared" ref="B5243:B5256" si="829">DATE(2012,12,31)-558</f>
        <v>40716</v>
      </c>
      <c r="C5243" s="11" t="s">
        <v>1214</v>
      </c>
      <c r="D5243" s="11" t="s">
        <v>49</v>
      </c>
    </row>
    <row r="5244">
      <c r="A5244" s="11">
        <v>5243.0</v>
      </c>
      <c r="B5244" s="12">
        <f t="shared" si="829"/>
        <v>40716</v>
      </c>
      <c r="C5244" s="11" t="s">
        <v>1214</v>
      </c>
      <c r="D5244" s="11" t="s">
        <v>49</v>
      </c>
    </row>
    <row r="5245">
      <c r="A5245" s="11">
        <v>5244.0</v>
      </c>
      <c r="B5245" s="12">
        <f t="shared" si="829"/>
        <v>40716</v>
      </c>
      <c r="C5245" s="11" t="s">
        <v>1214</v>
      </c>
      <c r="D5245" s="11" t="s">
        <v>28</v>
      </c>
    </row>
    <row r="5246">
      <c r="A5246" s="11">
        <v>5245.0</v>
      </c>
      <c r="B5246" s="12">
        <f t="shared" si="829"/>
        <v>40716</v>
      </c>
      <c r="C5246" s="11" t="s">
        <v>1948</v>
      </c>
      <c r="D5246" s="11" t="s">
        <v>28</v>
      </c>
    </row>
    <row r="5247">
      <c r="A5247" s="11">
        <v>5246.0</v>
      </c>
      <c r="B5247" s="12">
        <f t="shared" si="829"/>
        <v>40716</v>
      </c>
      <c r="C5247" s="11" t="s">
        <v>1948</v>
      </c>
      <c r="D5247" s="11" t="s">
        <v>66</v>
      </c>
    </row>
    <row r="5248">
      <c r="A5248" s="11">
        <v>5247.0</v>
      </c>
      <c r="B5248" s="12">
        <f t="shared" si="829"/>
        <v>40716</v>
      </c>
      <c r="C5248" s="11" t="s">
        <v>2026</v>
      </c>
      <c r="D5248" s="11" t="s">
        <v>28</v>
      </c>
    </row>
    <row r="5249">
      <c r="A5249" s="11">
        <v>5248.0</v>
      </c>
      <c r="B5249" s="12">
        <f t="shared" si="829"/>
        <v>40716</v>
      </c>
      <c r="C5249" s="11" t="s">
        <v>2043</v>
      </c>
      <c r="D5249" s="11" t="s">
        <v>28</v>
      </c>
    </row>
    <row r="5250">
      <c r="A5250" s="11">
        <v>5249.0</v>
      </c>
      <c r="B5250" s="12">
        <f t="shared" si="829"/>
        <v>40716</v>
      </c>
      <c r="C5250" s="11" t="s">
        <v>2043</v>
      </c>
      <c r="D5250" s="11" t="s">
        <v>49</v>
      </c>
    </row>
    <row r="5251">
      <c r="A5251" s="11">
        <v>5250.0</v>
      </c>
      <c r="B5251" s="12">
        <f t="shared" si="829"/>
        <v>40716</v>
      </c>
      <c r="C5251" s="11" t="s">
        <v>2043</v>
      </c>
      <c r="D5251" s="11" t="s">
        <v>28</v>
      </c>
    </row>
    <row r="5252">
      <c r="A5252" s="11">
        <v>5251.0</v>
      </c>
      <c r="B5252" s="12">
        <f t="shared" si="829"/>
        <v>40716</v>
      </c>
      <c r="C5252" s="11" t="s">
        <v>2546</v>
      </c>
      <c r="D5252" s="11" t="s">
        <v>28</v>
      </c>
    </row>
    <row r="5253">
      <c r="A5253" s="11">
        <v>5252.0</v>
      </c>
      <c r="B5253" s="12">
        <f t="shared" si="829"/>
        <v>40716</v>
      </c>
      <c r="C5253" s="11" t="s">
        <v>2402</v>
      </c>
      <c r="D5253" s="11" t="s">
        <v>66</v>
      </c>
    </row>
    <row r="5254">
      <c r="A5254" s="11">
        <v>5253.0</v>
      </c>
      <c r="B5254" s="12">
        <f t="shared" si="829"/>
        <v>40716</v>
      </c>
      <c r="C5254" s="11" t="s">
        <v>1753</v>
      </c>
      <c r="D5254" s="11" t="s">
        <v>49</v>
      </c>
    </row>
    <row r="5255">
      <c r="A5255" s="11">
        <v>5254.0</v>
      </c>
      <c r="B5255" s="12">
        <f t="shared" si="829"/>
        <v>40716</v>
      </c>
      <c r="C5255" s="11" t="s">
        <v>2495</v>
      </c>
      <c r="D5255" s="11" t="s">
        <v>28</v>
      </c>
    </row>
    <row r="5256">
      <c r="A5256" s="11">
        <v>5255.0</v>
      </c>
      <c r="B5256" s="12">
        <f t="shared" si="829"/>
        <v>40716</v>
      </c>
      <c r="C5256" s="11" t="s">
        <v>2495</v>
      </c>
      <c r="D5256" s="11" t="s">
        <v>49</v>
      </c>
    </row>
    <row r="5257">
      <c r="A5257" s="11">
        <v>5256.0</v>
      </c>
      <c r="B5257" s="12">
        <f t="shared" ref="B5257:B5261" si="830">DATE(2012,12,31)-557</f>
        <v>40717</v>
      </c>
      <c r="C5257" s="11" t="s">
        <v>239</v>
      </c>
      <c r="D5257" s="11" t="s">
        <v>66</v>
      </c>
    </row>
    <row r="5258">
      <c r="A5258" s="11">
        <v>5257.0</v>
      </c>
      <c r="B5258" s="12">
        <f t="shared" si="830"/>
        <v>40717</v>
      </c>
      <c r="C5258" s="11" t="s">
        <v>1620</v>
      </c>
      <c r="D5258" s="11" t="s">
        <v>66</v>
      </c>
    </row>
    <row r="5259">
      <c r="A5259" s="11">
        <v>5258.0</v>
      </c>
      <c r="B5259" s="12">
        <f t="shared" si="830"/>
        <v>40717</v>
      </c>
      <c r="C5259" s="11" t="s">
        <v>1472</v>
      </c>
      <c r="D5259" s="11" t="s">
        <v>28</v>
      </c>
    </row>
    <row r="5260">
      <c r="A5260" s="11">
        <v>5259.0</v>
      </c>
      <c r="B5260" s="12">
        <f t="shared" si="830"/>
        <v>40717</v>
      </c>
      <c r="C5260" s="11" t="s">
        <v>1472</v>
      </c>
      <c r="D5260" s="11" t="s">
        <v>66</v>
      </c>
    </row>
    <row r="5261">
      <c r="A5261" s="11">
        <v>5260.0</v>
      </c>
      <c r="B5261" s="12">
        <f t="shared" si="830"/>
        <v>40717</v>
      </c>
      <c r="C5261" s="11" t="s">
        <v>1425</v>
      </c>
      <c r="D5261" s="11" t="s">
        <v>28</v>
      </c>
    </row>
    <row r="5262">
      <c r="A5262" s="11">
        <v>5261.0</v>
      </c>
      <c r="B5262" s="12">
        <f t="shared" ref="B5262:B5265" si="831">DATE(2012,12,31)-556</f>
        <v>40718</v>
      </c>
      <c r="C5262" s="11" t="s">
        <v>148</v>
      </c>
      <c r="D5262" s="11" t="s">
        <v>28</v>
      </c>
    </row>
    <row r="5263">
      <c r="A5263" s="11">
        <v>5262.0</v>
      </c>
      <c r="B5263" s="12">
        <f t="shared" si="831"/>
        <v>40718</v>
      </c>
      <c r="C5263" s="11" t="s">
        <v>148</v>
      </c>
      <c r="D5263" s="11" t="s">
        <v>28</v>
      </c>
    </row>
    <row r="5264">
      <c r="A5264" s="11">
        <v>5263.0</v>
      </c>
      <c r="B5264" s="12">
        <f t="shared" si="831"/>
        <v>40718</v>
      </c>
      <c r="C5264" s="11" t="s">
        <v>1082</v>
      </c>
      <c r="D5264" s="11" t="s">
        <v>49</v>
      </c>
    </row>
    <row r="5265">
      <c r="A5265" s="11">
        <v>5264.0</v>
      </c>
      <c r="B5265" s="12">
        <f t="shared" si="831"/>
        <v>40718</v>
      </c>
      <c r="C5265" s="11" t="s">
        <v>1082</v>
      </c>
      <c r="D5265" s="11" t="s">
        <v>66</v>
      </c>
    </row>
    <row r="5266">
      <c r="A5266" s="11">
        <v>5265.0</v>
      </c>
      <c r="B5266" s="12">
        <f t="shared" ref="B5266:B5270" si="832">DATE(2012,12,31)-555</f>
        <v>40719</v>
      </c>
      <c r="C5266" s="11" t="s">
        <v>91</v>
      </c>
      <c r="D5266" s="11" t="s">
        <v>28</v>
      </c>
    </row>
    <row r="5267">
      <c r="A5267" s="11">
        <v>5266.0</v>
      </c>
      <c r="B5267" s="12">
        <f t="shared" si="832"/>
        <v>40719</v>
      </c>
      <c r="C5267" s="11" t="s">
        <v>91</v>
      </c>
      <c r="D5267" s="11" t="s">
        <v>28</v>
      </c>
    </row>
    <row r="5268">
      <c r="A5268" s="11">
        <v>5267.0</v>
      </c>
      <c r="B5268" s="12">
        <f t="shared" si="832"/>
        <v>40719</v>
      </c>
      <c r="C5268" s="11" t="s">
        <v>91</v>
      </c>
      <c r="D5268" s="11" t="s">
        <v>66</v>
      </c>
    </row>
    <row r="5269">
      <c r="A5269" s="11">
        <v>5268.0</v>
      </c>
      <c r="B5269" s="12">
        <f t="shared" si="832"/>
        <v>40719</v>
      </c>
      <c r="C5269" s="11" t="s">
        <v>91</v>
      </c>
      <c r="D5269" s="11" t="s">
        <v>49</v>
      </c>
    </row>
    <row r="5270">
      <c r="A5270" s="11">
        <v>5269.0</v>
      </c>
      <c r="B5270" s="12">
        <f t="shared" si="832"/>
        <v>40719</v>
      </c>
      <c r="C5270" s="11" t="s">
        <v>1020</v>
      </c>
      <c r="D5270" s="11" t="s">
        <v>66</v>
      </c>
    </row>
    <row r="5271">
      <c r="A5271" s="11">
        <v>5270.0</v>
      </c>
      <c r="B5271" s="12">
        <f t="shared" ref="B5271:B5272" si="833">DATE(2012,12,31)-554</f>
        <v>40720</v>
      </c>
      <c r="C5271" s="11" t="s">
        <v>613</v>
      </c>
      <c r="D5271" s="11" t="s">
        <v>66</v>
      </c>
    </row>
    <row r="5272">
      <c r="A5272" s="11">
        <v>5271.0</v>
      </c>
      <c r="B5272" s="12">
        <f t="shared" si="833"/>
        <v>40720</v>
      </c>
      <c r="C5272" s="11" t="s">
        <v>1821</v>
      </c>
      <c r="D5272" s="11" t="s">
        <v>49</v>
      </c>
    </row>
    <row r="5273">
      <c r="A5273" s="11">
        <v>5272.0</v>
      </c>
      <c r="B5273" s="12">
        <f t="shared" ref="B5273:B5275" si="834">DATE(2012,12,31)-553</f>
        <v>40721</v>
      </c>
      <c r="C5273" s="11" t="s">
        <v>1979</v>
      </c>
      <c r="D5273" s="11" t="s">
        <v>66</v>
      </c>
    </row>
    <row r="5274">
      <c r="A5274" s="11">
        <v>5273.0</v>
      </c>
      <c r="B5274" s="12">
        <f t="shared" si="834"/>
        <v>40721</v>
      </c>
      <c r="C5274" s="11" t="s">
        <v>491</v>
      </c>
      <c r="D5274" s="11" t="s">
        <v>28</v>
      </c>
    </row>
    <row r="5275">
      <c r="A5275" s="11">
        <v>5274.0</v>
      </c>
      <c r="B5275" s="12">
        <f t="shared" si="834"/>
        <v>40721</v>
      </c>
      <c r="C5275" s="11" t="s">
        <v>945</v>
      </c>
      <c r="D5275" s="11" t="s">
        <v>66</v>
      </c>
    </row>
    <row r="5276">
      <c r="A5276" s="11">
        <v>5275.0</v>
      </c>
      <c r="B5276" s="12">
        <f t="shared" ref="B5276:B5281" si="835">DATE(2012,12,31)-552</f>
        <v>40722</v>
      </c>
      <c r="C5276" s="11" t="s">
        <v>34</v>
      </c>
      <c r="D5276" s="11" t="s">
        <v>49</v>
      </c>
    </row>
    <row r="5277">
      <c r="A5277" s="11">
        <v>5276.0</v>
      </c>
      <c r="B5277" s="12">
        <f t="shared" si="835"/>
        <v>40722</v>
      </c>
      <c r="C5277" s="11" t="s">
        <v>34</v>
      </c>
      <c r="D5277" s="11" t="s">
        <v>66</v>
      </c>
    </row>
    <row r="5278">
      <c r="A5278" s="11">
        <v>5277.0</v>
      </c>
      <c r="B5278" s="12">
        <f t="shared" si="835"/>
        <v>40722</v>
      </c>
      <c r="C5278" s="11" t="s">
        <v>1324</v>
      </c>
      <c r="D5278" s="11" t="s">
        <v>28</v>
      </c>
    </row>
    <row r="5279">
      <c r="A5279" s="11">
        <v>5278.0</v>
      </c>
      <c r="B5279" s="12">
        <f t="shared" si="835"/>
        <v>40722</v>
      </c>
      <c r="C5279" s="11" t="s">
        <v>1324</v>
      </c>
      <c r="D5279" s="11" t="s">
        <v>49</v>
      </c>
    </row>
    <row r="5280">
      <c r="A5280" s="11">
        <v>5279.0</v>
      </c>
      <c r="B5280" s="12">
        <f t="shared" si="835"/>
        <v>40722</v>
      </c>
      <c r="C5280" s="11" t="s">
        <v>1373</v>
      </c>
      <c r="D5280" s="11" t="s">
        <v>28</v>
      </c>
    </row>
    <row r="5281">
      <c r="A5281" s="11">
        <v>5280.0</v>
      </c>
      <c r="B5281" s="12">
        <f t="shared" si="835"/>
        <v>40722</v>
      </c>
      <c r="C5281" s="11" t="s">
        <v>1373</v>
      </c>
      <c r="D5281" s="11" t="s">
        <v>28</v>
      </c>
    </row>
    <row r="5282">
      <c r="A5282" s="11">
        <v>5281.0</v>
      </c>
      <c r="B5282" s="12">
        <f t="shared" ref="B5282:B5287" si="836">DATE(2012,12,31)-551</f>
        <v>40723</v>
      </c>
      <c r="C5282" s="11" t="s">
        <v>843</v>
      </c>
      <c r="D5282" s="11" t="s">
        <v>28</v>
      </c>
    </row>
    <row r="5283">
      <c r="A5283" s="11">
        <v>5282.0</v>
      </c>
      <c r="B5283" s="12">
        <f t="shared" si="836"/>
        <v>40723</v>
      </c>
      <c r="C5283" s="11" t="s">
        <v>1345</v>
      </c>
      <c r="D5283" s="11" t="s">
        <v>28</v>
      </c>
    </row>
    <row r="5284">
      <c r="A5284" s="11">
        <v>5283.0</v>
      </c>
      <c r="B5284" s="12">
        <f t="shared" si="836"/>
        <v>40723</v>
      </c>
      <c r="C5284" s="11" t="s">
        <v>1345</v>
      </c>
      <c r="D5284" s="11" t="s">
        <v>66</v>
      </c>
    </row>
    <row r="5285">
      <c r="A5285" s="11">
        <v>5284.0</v>
      </c>
      <c r="B5285" s="12">
        <f t="shared" si="836"/>
        <v>40723</v>
      </c>
      <c r="C5285" s="11" t="s">
        <v>826</v>
      </c>
      <c r="D5285" s="11" t="s">
        <v>28</v>
      </c>
    </row>
    <row r="5286">
      <c r="A5286" s="11">
        <v>5285.0</v>
      </c>
      <c r="B5286" s="12">
        <f t="shared" si="836"/>
        <v>40723</v>
      </c>
      <c r="C5286" s="11" t="s">
        <v>826</v>
      </c>
      <c r="D5286" s="11" t="s">
        <v>28</v>
      </c>
    </row>
    <row r="5287">
      <c r="A5287" s="11">
        <v>5286.0</v>
      </c>
      <c r="B5287" s="12">
        <f t="shared" si="836"/>
        <v>40723</v>
      </c>
      <c r="C5287" s="11" t="s">
        <v>1550</v>
      </c>
      <c r="D5287" s="11" t="s">
        <v>28</v>
      </c>
    </row>
    <row r="5288">
      <c r="A5288" s="11">
        <v>5287.0</v>
      </c>
      <c r="B5288" s="12">
        <f t="shared" ref="B5288:B5293" si="837">DATE(2012,12,31)-550</f>
        <v>40724</v>
      </c>
      <c r="C5288" s="11" t="s">
        <v>803</v>
      </c>
      <c r="D5288" s="11" t="s">
        <v>28</v>
      </c>
    </row>
    <row r="5289">
      <c r="A5289" s="11">
        <v>5288.0</v>
      </c>
      <c r="B5289" s="12">
        <f t="shared" si="837"/>
        <v>40724</v>
      </c>
      <c r="C5289" s="11" t="s">
        <v>803</v>
      </c>
      <c r="D5289" s="11" t="s">
        <v>28</v>
      </c>
    </row>
    <row r="5290">
      <c r="A5290" s="11">
        <v>5289.0</v>
      </c>
      <c r="B5290" s="12">
        <f t="shared" si="837"/>
        <v>40724</v>
      </c>
      <c r="C5290" s="11" t="s">
        <v>392</v>
      </c>
      <c r="D5290" s="11" t="s">
        <v>28</v>
      </c>
    </row>
    <row r="5291">
      <c r="A5291" s="11">
        <v>5290.0</v>
      </c>
      <c r="B5291" s="12">
        <f t="shared" si="837"/>
        <v>40724</v>
      </c>
      <c r="C5291" s="11" t="s">
        <v>145</v>
      </c>
      <c r="D5291" s="11" t="s">
        <v>28</v>
      </c>
    </row>
    <row r="5292">
      <c r="A5292" s="11">
        <v>5291.0</v>
      </c>
      <c r="B5292" s="12">
        <f t="shared" si="837"/>
        <v>40724</v>
      </c>
      <c r="C5292" s="11" t="s">
        <v>1607</v>
      </c>
      <c r="D5292" s="11" t="s">
        <v>28</v>
      </c>
    </row>
    <row r="5293">
      <c r="A5293" s="11">
        <v>5292.0</v>
      </c>
      <c r="B5293" s="12">
        <f t="shared" si="837"/>
        <v>40724</v>
      </c>
      <c r="C5293" s="11" t="s">
        <v>1607</v>
      </c>
      <c r="D5293" s="11" t="s">
        <v>66</v>
      </c>
    </row>
    <row r="5294">
      <c r="A5294" s="11">
        <v>5293.0</v>
      </c>
      <c r="B5294" s="12">
        <f t="shared" ref="B5294:B5298" si="838">DATE(2012,12,31)-549</f>
        <v>40725</v>
      </c>
      <c r="C5294" s="11" t="s">
        <v>1917</v>
      </c>
      <c r="D5294" s="11" t="s">
        <v>66</v>
      </c>
    </row>
    <row r="5295">
      <c r="A5295" s="11">
        <v>5294.0</v>
      </c>
      <c r="B5295" s="12">
        <f t="shared" si="838"/>
        <v>40725</v>
      </c>
      <c r="C5295" s="11" t="s">
        <v>1862</v>
      </c>
      <c r="D5295" s="11" t="s">
        <v>28</v>
      </c>
    </row>
    <row r="5296">
      <c r="A5296" s="11">
        <v>5295.0</v>
      </c>
      <c r="B5296" s="12">
        <f t="shared" si="838"/>
        <v>40725</v>
      </c>
      <c r="C5296" s="11" t="s">
        <v>548</v>
      </c>
      <c r="D5296" s="11" t="s">
        <v>49</v>
      </c>
    </row>
    <row r="5297">
      <c r="A5297" s="11">
        <v>5296.0</v>
      </c>
      <c r="B5297" s="12">
        <f t="shared" si="838"/>
        <v>40725</v>
      </c>
      <c r="C5297" s="11" t="s">
        <v>548</v>
      </c>
      <c r="D5297" s="11" t="s">
        <v>28</v>
      </c>
    </row>
    <row r="5298">
      <c r="A5298" s="11">
        <v>5297.0</v>
      </c>
      <c r="B5298" s="12">
        <f t="shared" si="838"/>
        <v>40725</v>
      </c>
      <c r="C5298" s="11" t="s">
        <v>548</v>
      </c>
      <c r="D5298" s="11" t="s">
        <v>49</v>
      </c>
    </row>
    <row r="5299">
      <c r="A5299" s="11">
        <v>5298.0</v>
      </c>
      <c r="B5299" s="12">
        <f t="shared" ref="B5299:B5305" si="839">DATE(2012,12,31)-548</f>
        <v>40726</v>
      </c>
      <c r="C5299" s="11" t="s">
        <v>1447</v>
      </c>
      <c r="D5299" s="11" t="s">
        <v>49</v>
      </c>
    </row>
    <row r="5300">
      <c r="A5300" s="11">
        <v>5299.0</v>
      </c>
      <c r="B5300" s="12">
        <f t="shared" si="839"/>
        <v>40726</v>
      </c>
      <c r="C5300" s="11" t="s">
        <v>992</v>
      </c>
      <c r="D5300" s="11" t="s">
        <v>28</v>
      </c>
    </row>
    <row r="5301">
      <c r="A5301" s="11">
        <v>5300.0</v>
      </c>
      <c r="B5301" s="12">
        <f t="shared" si="839"/>
        <v>40726</v>
      </c>
      <c r="C5301" s="11" t="s">
        <v>992</v>
      </c>
      <c r="D5301" s="11" t="s">
        <v>66</v>
      </c>
    </row>
    <row r="5302">
      <c r="A5302" s="11">
        <v>5301.0</v>
      </c>
      <c r="B5302" s="12">
        <f t="shared" si="839"/>
        <v>40726</v>
      </c>
      <c r="C5302" s="11" t="s">
        <v>839</v>
      </c>
      <c r="D5302" s="11" t="s">
        <v>28</v>
      </c>
    </row>
    <row r="5303">
      <c r="A5303" s="11">
        <v>5302.0</v>
      </c>
      <c r="B5303" s="12">
        <f t="shared" si="839"/>
        <v>40726</v>
      </c>
      <c r="C5303" s="11" t="s">
        <v>839</v>
      </c>
      <c r="D5303" s="11" t="s">
        <v>28</v>
      </c>
    </row>
    <row r="5304">
      <c r="A5304" s="11">
        <v>5303.0</v>
      </c>
      <c r="B5304" s="12">
        <f t="shared" si="839"/>
        <v>40726</v>
      </c>
      <c r="C5304" s="11" t="s">
        <v>839</v>
      </c>
      <c r="D5304" s="11" t="s">
        <v>28</v>
      </c>
    </row>
    <row r="5305">
      <c r="A5305" s="11">
        <v>5304.0</v>
      </c>
      <c r="B5305" s="12">
        <f t="shared" si="839"/>
        <v>40726</v>
      </c>
      <c r="C5305" s="11" t="s">
        <v>793</v>
      </c>
      <c r="D5305" s="11" t="s">
        <v>28</v>
      </c>
    </row>
    <row r="5306">
      <c r="A5306" s="11">
        <v>5305.0</v>
      </c>
      <c r="B5306" s="12">
        <f t="shared" ref="B5306:B5315" si="840">DATE(2012,12,31)-547</f>
        <v>40727</v>
      </c>
      <c r="C5306" s="11" t="s">
        <v>1401</v>
      </c>
      <c r="D5306" s="11" t="s">
        <v>66</v>
      </c>
    </row>
    <row r="5307">
      <c r="A5307" s="11">
        <v>5306.0</v>
      </c>
      <c r="B5307" s="12">
        <f t="shared" si="840"/>
        <v>40727</v>
      </c>
      <c r="C5307" s="11" t="s">
        <v>1401</v>
      </c>
      <c r="D5307" s="11" t="s">
        <v>49</v>
      </c>
    </row>
    <row r="5308">
      <c r="A5308" s="11">
        <v>5307.0</v>
      </c>
      <c r="B5308" s="12">
        <f t="shared" si="840"/>
        <v>40727</v>
      </c>
      <c r="C5308" s="11" t="s">
        <v>202</v>
      </c>
      <c r="D5308" s="11" t="s">
        <v>49</v>
      </c>
    </row>
    <row r="5309">
      <c r="A5309" s="11">
        <v>5308.0</v>
      </c>
      <c r="B5309" s="12">
        <f t="shared" si="840"/>
        <v>40727</v>
      </c>
      <c r="C5309" s="11" t="s">
        <v>2052</v>
      </c>
      <c r="D5309" s="11" t="s">
        <v>28</v>
      </c>
    </row>
    <row r="5310">
      <c r="A5310" s="11">
        <v>5309.0</v>
      </c>
      <c r="B5310" s="12">
        <f t="shared" si="840"/>
        <v>40727</v>
      </c>
      <c r="C5310" s="11" t="s">
        <v>819</v>
      </c>
      <c r="D5310" s="11" t="s">
        <v>66</v>
      </c>
    </row>
    <row r="5311">
      <c r="A5311" s="11">
        <v>5310.0</v>
      </c>
      <c r="B5311" s="12">
        <f t="shared" si="840"/>
        <v>40727</v>
      </c>
      <c r="C5311" s="11" t="s">
        <v>819</v>
      </c>
      <c r="D5311" s="11" t="s">
        <v>28</v>
      </c>
    </row>
    <row r="5312">
      <c r="A5312" s="11">
        <v>5311.0</v>
      </c>
      <c r="B5312" s="12">
        <f t="shared" si="840"/>
        <v>40727</v>
      </c>
      <c r="C5312" s="11" t="s">
        <v>1605</v>
      </c>
      <c r="D5312" s="11" t="s">
        <v>28</v>
      </c>
    </row>
    <row r="5313">
      <c r="A5313" s="11">
        <v>5312.0</v>
      </c>
      <c r="B5313" s="12">
        <f t="shared" si="840"/>
        <v>40727</v>
      </c>
      <c r="C5313" s="11" t="s">
        <v>561</v>
      </c>
      <c r="D5313" s="11" t="s">
        <v>28</v>
      </c>
    </row>
    <row r="5314">
      <c r="A5314" s="11">
        <v>5313.0</v>
      </c>
      <c r="B5314" s="12">
        <f t="shared" si="840"/>
        <v>40727</v>
      </c>
      <c r="C5314" s="11" t="s">
        <v>1865</v>
      </c>
      <c r="D5314" s="11" t="s">
        <v>28</v>
      </c>
    </row>
    <row r="5315">
      <c r="A5315" s="11">
        <v>5314.0</v>
      </c>
      <c r="B5315" s="12">
        <f t="shared" si="840"/>
        <v>40727</v>
      </c>
      <c r="C5315" s="11" t="s">
        <v>1865</v>
      </c>
      <c r="D5315" s="11" t="s">
        <v>66</v>
      </c>
    </row>
    <row r="5316">
      <c r="A5316" s="11">
        <v>5315.0</v>
      </c>
      <c r="B5316" s="12">
        <f t="shared" ref="B5316:B5323" si="841">DATE(2012,12,31)-546</f>
        <v>40728</v>
      </c>
      <c r="C5316" s="11" t="s">
        <v>293</v>
      </c>
      <c r="D5316" s="11" t="s">
        <v>49</v>
      </c>
    </row>
    <row r="5317">
      <c r="A5317" s="11">
        <v>5316.0</v>
      </c>
      <c r="B5317" s="12">
        <f t="shared" si="841"/>
        <v>40728</v>
      </c>
      <c r="C5317" s="11" t="s">
        <v>1652</v>
      </c>
      <c r="D5317" s="11" t="s">
        <v>49</v>
      </c>
    </row>
    <row r="5318">
      <c r="A5318" s="11">
        <v>5317.0</v>
      </c>
      <c r="B5318" s="12">
        <f t="shared" si="841"/>
        <v>40728</v>
      </c>
      <c r="C5318" s="11" t="s">
        <v>2435</v>
      </c>
      <c r="D5318" s="11" t="s">
        <v>66</v>
      </c>
    </row>
    <row r="5319">
      <c r="A5319" s="11">
        <v>5318.0</v>
      </c>
      <c r="B5319" s="12">
        <f t="shared" si="841"/>
        <v>40728</v>
      </c>
      <c r="C5319" s="11" t="s">
        <v>2256</v>
      </c>
      <c r="D5319" s="11" t="s">
        <v>28</v>
      </c>
    </row>
    <row r="5320">
      <c r="A5320" s="11">
        <v>5319.0</v>
      </c>
      <c r="B5320" s="12">
        <f t="shared" si="841"/>
        <v>40728</v>
      </c>
      <c r="C5320" s="11" t="s">
        <v>2256</v>
      </c>
      <c r="D5320" s="11" t="s">
        <v>49</v>
      </c>
    </row>
    <row r="5321">
      <c r="A5321" s="11">
        <v>5320.0</v>
      </c>
      <c r="B5321" s="12">
        <f t="shared" si="841"/>
        <v>40728</v>
      </c>
      <c r="C5321" s="11" t="s">
        <v>2256</v>
      </c>
      <c r="D5321" s="11" t="s">
        <v>49</v>
      </c>
    </row>
    <row r="5322">
      <c r="A5322" s="11">
        <v>5321.0</v>
      </c>
      <c r="B5322" s="12">
        <f t="shared" si="841"/>
        <v>40728</v>
      </c>
      <c r="C5322" s="11" t="s">
        <v>1017</v>
      </c>
      <c r="D5322" s="11" t="s">
        <v>66</v>
      </c>
    </row>
    <row r="5323">
      <c r="A5323" s="11">
        <v>5322.0</v>
      </c>
      <c r="B5323" s="12">
        <f t="shared" si="841"/>
        <v>40728</v>
      </c>
      <c r="C5323" s="11" t="s">
        <v>1017</v>
      </c>
      <c r="D5323" s="11" t="s">
        <v>66</v>
      </c>
    </row>
    <row r="5324">
      <c r="A5324" s="11">
        <v>5323.0</v>
      </c>
      <c r="B5324" s="12">
        <f t="shared" ref="B5324:B5330" si="842">DATE(2012,12,31)-545</f>
        <v>40729</v>
      </c>
      <c r="C5324" s="11" t="s">
        <v>1716</v>
      </c>
      <c r="D5324" s="11" t="s">
        <v>28</v>
      </c>
    </row>
    <row r="5325">
      <c r="A5325" s="11">
        <v>5324.0</v>
      </c>
      <c r="B5325" s="12">
        <f t="shared" si="842"/>
        <v>40729</v>
      </c>
      <c r="C5325" s="11" t="s">
        <v>360</v>
      </c>
      <c r="D5325" s="11" t="s">
        <v>28</v>
      </c>
    </row>
    <row r="5326">
      <c r="A5326" s="11">
        <v>5325.0</v>
      </c>
      <c r="B5326" s="12">
        <f t="shared" si="842"/>
        <v>40729</v>
      </c>
      <c r="C5326" s="11" t="s">
        <v>360</v>
      </c>
      <c r="D5326" s="11" t="s">
        <v>28</v>
      </c>
    </row>
    <row r="5327">
      <c r="A5327" s="11">
        <v>5326.0</v>
      </c>
      <c r="B5327" s="12">
        <f t="shared" si="842"/>
        <v>40729</v>
      </c>
      <c r="C5327" s="11" t="s">
        <v>120</v>
      </c>
      <c r="D5327" s="11" t="s">
        <v>49</v>
      </c>
    </row>
    <row r="5328">
      <c r="A5328" s="11">
        <v>5327.0</v>
      </c>
      <c r="B5328" s="12">
        <f t="shared" si="842"/>
        <v>40729</v>
      </c>
      <c r="C5328" s="11" t="s">
        <v>674</v>
      </c>
      <c r="D5328" s="11" t="s">
        <v>28</v>
      </c>
    </row>
    <row r="5329">
      <c r="A5329" s="11">
        <v>5328.0</v>
      </c>
      <c r="B5329" s="12">
        <f t="shared" si="842"/>
        <v>40729</v>
      </c>
      <c r="C5329" s="11" t="s">
        <v>674</v>
      </c>
      <c r="D5329" s="11" t="s">
        <v>28</v>
      </c>
    </row>
    <row r="5330">
      <c r="A5330" s="11">
        <v>5329.0</v>
      </c>
      <c r="B5330" s="12">
        <f t="shared" si="842"/>
        <v>40729</v>
      </c>
      <c r="C5330" s="11" t="s">
        <v>674</v>
      </c>
      <c r="D5330" s="11" t="s">
        <v>49</v>
      </c>
    </row>
    <row r="5331">
      <c r="A5331" s="11">
        <v>5330.0</v>
      </c>
      <c r="B5331" s="12">
        <f t="shared" ref="B5331:B5335" si="843">DATE(2012,12,31)-544</f>
        <v>40730</v>
      </c>
      <c r="C5331" s="11" t="s">
        <v>1872</v>
      </c>
      <c r="D5331" s="11" t="s">
        <v>28</v>
      </c>
    </row>
    <row r="5332">
      <c r="A5332" s="11">
        <v>5331.0</v>
      </c>
      <c r="B5332" s="12">
        <f t="shared" si="843"/>
        <v>40730</v>
      </c>
      <c r="C5332" s="11" t="s">
        <v>2017</v>
      </c>
      <c r="D5332" s="11" t="s">
        <v>28</v>
      </c>
    </row>
    <row r="5333">
      <c r="A5333" s="11">
        <v>5332.0</v>
      </c>
      <c r="B5333" s="12">
        <f t="shared" si="843"/>
        <v>40730</v>
      </c>
      <c r="C5333" s="11" t="s">
        <v>2017</v>
      </c>
      <c r="D5333" s="11" t="s">
        <v>28</v>
      </c>
    </row>
    <row r="5334">
      <c r="A5334" s="11">
        <v>5333.0</v>
      </c>
      <c r="B5334" s="12">
        <f t="shared" si="843"/>
        <v>40730</v>
      </c>
      <c r="C5334" s="11" t="s">
        <v>1903</v>
      </c>
      <c r="D5334" s="11" t="s">
        <v>66</v>
      </c>
    </row>
    <row r="5335">
      <c r="A5335" s="11">
        <v>5334.0</v>
      </c>
      <c r="B5335" s="12">
        <f t="shared" si="843"/>
        <v>40730</v>
      </c>
      <c r="C5335" s="11" t="s">
        <v>2079</v>
      </c>
      <c r="D5335" s="11" t="s">
        <v>28</v>
      </c>
    </row>
    <row r="5336">
      <c r="A5336" s="11">
        <v>5335.0</v>
      </c>
      <c r="B5336" s="12">
        <f t="shared" ref="B5336:B5340" si="844">DATE(2012,12,31)-543</f>
        <v>40731</v>
      </c>
      <c r="C5336" s="11" t="s">
        <v>485</v>
      </c>
      <c r="D5336" s="11" t="s">
        <v>28</v>
      </c>
    </row>
    <row r="5337">
      <c r="A5337" s="11">
        <v>5336.0</v>
      </c>
      <c r="B5337" s="12">
        <f t="shared" si="844"/>
        <v>40731</v>
      </c>
      <c r="C5337" s="11" t="s">
        <v>1618</v>
      </c>
      <c r="D5337" s="11" t="s">
        <v>66</v>
      </c>
    </row>
    <row r="5338">
      <c r="A5338" s="11">
        <v>5337.0</v>
      </c>
      <c r="B5338" s="12">
        <f t="shared" si="844"/>
        <v>40731</v>
      </c>
      <c r="C5338" s="11" t="s">
        <v>1618</v>
      </c>
      <c r="D5338" s="11" t="s">
        <v>66</v>
      </c>
    </row>
    <row r="5339">
      <c r="A5339" s="11">
        <v>5338.0</v>
      </c>
      <c r="B5339" s="12">
        <f t="shared" si="844"/>
        <v>40731</v>
      </c>
      <c r="C5339" s="11" t="s">
        <v>1240</v>
      </c>
      <c r="D5339" s="11" t="s">
        <v>28</v>
      </c>
    </row>
    <row r="5340">
      <c r="A5340" s="11">
        <v>5339.0</v>
      </c>
      <c r="B5340" s="12">
        <f t="shared" si="844"/>
        <v>40731</v>
      </c>
      <c r="C5340" s="11" t="s">
        <v>1240</v>
      </c>
      <c r="D5340" s="11" t="s">
        <v>28</v>
      </c>
    </row>
    <row r="5341">
      <c r="A5341" s="11">
        <v>5340.0</v>
      </c>
      <c r="B5341" s="12">
        <f t="shared" ref="B5341:B5342" si="845">DATE(2012,12,31)-542</f>
        <v>40732</v>
      </c>
      <c r="C5341" s="11" t="s">
        <v>2372</v>
      </c>
      <c r="D5341" s="11" t="s">
        <v>28</v>
      </c>
    </row>
    <row r="5342">
      <c r="A5342" s="11">
        <v>5341.0</v>
      </c>
      <c r="B5342" s="12">
        <f t="shared" si="845"/>
        <v>40732</v>
      </c>
      <c r="C5342" s="11" t="s">
        <v>2374</v>
      </c>
      <c r="D5342" s="11" t="s">
        <v>28</v>
      </c>
    </row>
    <row r="5343">
      <c r="A5343" s="11">
        <v>5342.0</v>
      </c>
      <c r="B5343" s="12">
        <f t="shared" ref="B5343:B5350" si="846">DATE(2012,12,31)-540</f>
        <v>40734</v>
      </c>
      <c r="C5343" s="11" t="s">
        <v>501</v>
      </c>
      <c r="D5343" s="11" t="s">
        <v>66</v>
      </c>
    </row>
    <row r="5344">
      <c r="A5344" s="11">
        <v>5343.0</v>
      </c>
      <c r="B5344" s="12">
        <f t="shared" si="846"/>
        <v>40734</v>
      </c>
      <c r="C5344" s="11" t="s">
        <v>1773</v>
      </c>
      <c r="D5344" s="11" t="s">
        <v>66</v>
      </c>
    </row>
    <row r="5345">
      <c r="A5345" s="11">
        <v>5344.0</v>
      </c>
      <c r="B5345" s="12">
        <f t="shared" si="846"/>
        <v>40734</v>
      </c>
      <c r="C5345" s="11" t="s">
        <v>1773</v>
      </c>
      <c r="D5345" s="11" t="s">
        <v>66</v>
      </c>
    </row>
    <row r="5346">
      <c r="A5346" s="11">
        <v>5345.0</v>
      </c>
      <c r="B5346" s="12">
        <f t="shared" si="846"/>
        <v>40734</v>
      </c>
      <c r="C5346" s="11" t="s">
        <v>934</v>
      </c>
      <c r="D5346" s="11" t="s">
        <v>66</v>
      </c>
    </row>
    <row r="5347">
      <c r="A5347" s="11">
        <v>5346.0</v>
      </c>
      <c r="B5347" s="12">
        <f t="shared" si="846"/>
        <v>40734</v>
      </c>
      <c r="C5347" s="11" t="s">
        <v>934</v>
      </c>
      <c r="D5347" s="11" t="s">
        <v>28</v>
      </c>
    </row>
    <row r="5348">
      <c r="A5348" s="11">
        <v>5347.0</v>
      </c>
      <c r="B5348" s="12">
        <f t="shared" si="846"/>
        <v>40734</v>
      </c>
      <c r="C5348" s="11" t="s">
        <v>1831</v>
      </c>
      <c r="D5348" s="11" t="s">
        <v>49</v>
      </c>
    </row>
    <row r="5349">
      <c r="A5349" s="11">
        <v>5348.0</v>
      </c>
      <c r="B5349" s="12">
        <f t="shared" si="846"/>
        <v>40734</v>
      </c>
      <c r="C5349" s="11" t="s">
        <v>1876</v>
      </c>
      <c r="D5349" s="11" t="s">
        <v>28</v>
      </c>
    </row>
    <row r="5350">
      <c r="A5350" s="11">
        <v>5349.0</v>
      </c>
      <c r="B5350" s="12">
        <f t="shared" si="846"/>
        <v>40734</v>
      </c>
      <c r="C5350" s="11" t="s">
        <v>1876</v>
      </c>
      <c r="D5350" s="11" t="s">
        <v>28</v>
      </c>
    </row>
    <row r="5351">
      <c r="A5351" s="11">
        <v>5350.0</v>
      </c>
      <c r="B5351" s="12">
        <f>DATE(2012,12,31)-539</f>
        <v>40735</v>
      </c>
      <c r="C5351" s="11" t="s">
        <v>1123</v>
      </c>
      <c r="D5351" s="11" t="s">
        <v>28</v>
      </c>
    </row>
    <row r="5352">
      <c r="A5352" s="11">
        <v>5351.0</v>
      </c>
      <c r="B5352" s="12">
        <f t="shared" ref="B5352:B5361" si="847">DATE(2012,12,31)-538</f>
        <v>40736</v>
      </c>
      <c r="C5352" s="11" t="s">
        <v>819</v>
      </c>
      <c r="D5352" s="11" t="s">
        <v>28</v>
      </c>
    </row>
    <row r="5353">
      <c r="A5353" s="11">
        <v>5352.0</v>
      </c>
      <c r="B5353" s="12">
        <f t="shared" si="847"/>
        <v>40736</v>
      </c>
      <c r="C5353" s="11" t="s">
        <v>1625</v>
      </c>
      <c r="D5353" s="11" t="s">
        <v>28</v>
      </c>
    </row>
    <row r="5354">
      <c r="A5354" s="11">
        <v>5353.0</v>
      </c>
      <c r="B5354" s="12">
        <f t="shared" si="847"/>
        <v>40736</v>
      </c>
      <c r="C5354" s="11" t="s">
        <v>491</v>
      </c>
      <c r="D5354" s="11" t="s">
        <v>28</v>
      </c>
    </row>
    <row r="5355">
      <c r="A5355" s="11">
        <v>5354.0</v>
      </c>
      <c r="B5355" s="12">
        <f t="shared" si="847"/>
        <v>40736</v>
      </c>
      <c r="C5355" s="11" t="s">
        <v>491</v>
      </c>
      <c r="D5355" s="11" t="s">
        <v>28</v>
      </c>
    </row>
    <row r="5356">
      <c r="A5356" s="11">
        <v>5355.0</v>
      </c>
      <c r="B5356" s="12">
        <f t="shared" si="847"/>
        <v>40736</v>
      </c>
      <c r="C5356" s="11" t="s">
        <v>2048</v>
      </c>
      <c r="D5356" s="11" t="s">
        <v>28</v>
      </c>
    </row>
    <row r="5357">
      <c r="A5357" s="11">
        <v>5356.0</v>
      </c>
      <c r="B5357" s="12">
        <f t="shared" si="847"/>
        <v>40736</v>
      </c>
      <c r="C5357" s="11" t="s">
        <v>2048</v>
      </c>
      <c r="D5357" s="11" t="s">
        <v>28</v>
      </c>
    </row>
    <row r="5358">
      <c r="A5358" s="11">
        <v>5357.0</v>
      </c>
      <c r="B5358" s="12">
        <f t="shared" si="847"/>
        <v>40736</v>
      </c>
      <c r="C5358" s="11" t="s">
        <v>597</v>
      </c>
      <c r="D5358" s="11" t="s">
        <v>66</v>
      </c>
    </row>
    <row r="5359">
      <c r="A5359" s="11">
        <v>5358.0</v>
      </c>
      <c r="B5359" s="12">
        <f t="shared" si="847"/>
        <v>40736</v>
      </c>
      <c r="C5359" s="11" t="s">
        <v>597</v>
      </c>
      <c r="D5359" s="11" t="s">
        <v>28</v>
      </c>
    </row>
    <row r="5360">
      <c r="A5360" s="11">
        <v>5359.0</v>
      </c>
      <c r="B5360" s="12">
        <f t="shared" si="847"/>
        <v>40736</v>
      </c>
      <c r="C5360" s="11" t="s">
        <v>981</v>
      </c>
      <c r="D5360" s="11" t="s">
        <v>49</v>
      </c>
    </row>
    <row r="5361">
      <c r="A5361" s="11">
        <v>5360.0</v>
      </c>
      <c r="B5361" s="12">
        <f t="shared" si="847"/>
        <v>40736</v>
      </c>
      <c r="C5361" s="11" t="s">
        <v>981</v>
      </c>
      <c r="D5361" s="11" t="s">
        <v>28</v>
      </c>
    </row>
    <row r="5362">
      <c r="A5362" s="11">
        <v>5361.0</v>
      </c>
      <c r="B5362" s="12">
        <f t="shared" ref="B5362:B5366" si="848">DATE(2012,12,31)-537</f>
        <v>40737</v>
      </c>
      <c r="C5362" s="11" t="s">
        <v>462</v>
      </c>
      <c r="D5362" s="11" t="s">
        <v>28</v>
      </c>
    </row>
    <row r="5363">
      <c r="A5363" s="11">
        <v>5362.0</v>
      </c>
      <c r="B5363" s="12">
        <f t="shared" si="848"/>
        <v>40737</v>
      </c>
      <c r="C5363" s="11" t="s">
        <v>1082</v>
      </c>
      <c r="D5363" s="11" t="s">
        <v>28</v>
      </c>
    </row>
    <row r="5364">
      <c r="A5364" s="11">
        <v>5363.0</v>
      </c>
      <c r="B5364" s="12">
        <f t="shared" si="848"/>
        <v>40737</v>
      </c>
      <c r="C5364" s="11" t="s">
        <v>1082</v>
      </c>
      <c r="D5364" s="11" t="s">
        <v>28</v>
      </c>
    </row>
    <row r="5365">
      <c r="A5365" s="11">
        <v>5364.0</v>
      </c>
      <c r="B5365" s="12">
        <f t="shared" si="848"/>
        <v>40737</v>
      </c>
      <c r="C5365" s="11" t="s">
        <v>1960</v>
      </c>
      <c r="D5365" s="11" t="s">
        <v>28</v>
      </c>
    </row>
    <row r="5366">
      <c r="A5366" s="11">
        <v>5365.0</v>
      </c>
      <c r="B5366" s="12">
        <f t="shared" si="848"/>
        <v>40737</v>
      </c>
      <c r="C5366" s="11" t="s">
        <v>1533</v>
      </c>
      <c r="D5366" s="11" t="s">
        <v>28</v>
      </c>
    </row>
    <row r="5367">
      <c r="A5367" s="11">
        <v>5366.0</v>
      </c>
      <c r="B5367" s="12">
        <f t="shared" ref="B5367:B5372" si="849">DATE(2012,12,31)-536</f>
        <v>40738</v>
      </c>
      <c r="C5367" s="11" t="s">
        <v>2311</v>
      </c>
      <c r="D5367" s="11" t="s">
        <v>66</v>
      </c>
    </row>
    <row r="5368">
      <c r="A5368" s="11">
        <v>5367.0</v>
      </c>
      <c r="B5368" s="12">
        <f t="shared" si="849"/>
        <v>40738</v>
      </c>
      <c r="C5368" s="11" t="s">
        <v>1170</v>
      </c>
      <c r="D5368" s="11" t="s">
        <v>49</v>
      </c>
    </row>
    <row r="5369">
      <c r="A5369" s="11">
        <v>5368.0</v>
      </c>
      <c r="B5369" s="12">
        <f t="shared" si="849"/>
        <v>40738</v>
      </c>
      <c r="C5369" s="11" t="s">
        <v>2092</v>
      </c>
      <c r="D5369" s="11" t="s">
        <v>66</v>
      </c>
    </row>
    <row r="5370">
      <c r="A5370" s="11">
        <v>5369.0</v>
      </c>
      <c r="B5370" s="12">
        <f t="shared" si="849"/>
        <v>40738</v>
      </c>
      <c r="C5370" s="11" t="s">
        <v>2092</v>
      </c>
      <c r="D5370" s="11" t="s">
        <v>49</v>
      </c>
    </row>
    <row r="5371">
      <c r="A5371" s="11">
        <v>5370.0</v>
      </c>
      <c r="B5371" s="12">
        <f t="shared" si="849"/>
        <v>40738</v>
      </c>
      <c r="C5371" s="11" t="s">
        <v>2255</v>
      </c>
      <c r="D5371" s="11" t="s">
        <v>66</v>
      </c>
    </row>
    <row r="5372">
      <c r="A5372" s="11">
        <v>5371.0</v>
      </c>
      <c r="B5372" s="12">
        <f t="shared" si="849"/>
        <v>40738</v>
      </c>
      <c r="C5372" s="11" t="s">
        <v>819</v>
      </c>
      <c r="D5372" s="11" t="s">
        <v>66</v>
      </c>
    </row>
    <row r="5373">
      <c r="A5373" s="11">
        <v>5372.0</v>
      </c>
      <c r="B5373" s="12">
        <f t="shared" ref="B5373:B5381" si="850">DATE(2012,12,31)-535</f>
        <v>40739</v>
      </c>
      <c r="C5373" s="11" t="s">
        <v>982</v>
      </c>
      <c r="D5373" s="11" t="s">
        <v>49</v>
      </c>
    </row>
    <row r="5374">
      <c r="A5374" s="11">
        <v>5373.0</v>
      </c>
      <c r="B5374" s="12">
        <f t="shared" si="850"/>
        <v>40739</v>
      </c>
      <c r="C5374" s="11" t="s">
        <v>982</v>
      </c>
      <c r="D5374" s="11" t="s">
        <v>49</v>
      </c>
    </row>
    <row r="5375">
      <c r="A5375" s="11">
        <v>5374.0</v>
      </c>
      <c r="B5375" s="12">
        <f t="shared" si="850"/>
        <v>40739</v>
      </c>
      <c r="C5375" s="11" t="s">
        <v>982</v>
      </c>
      <c r="D5375" s="11" t="s">
        <v>66</v>
      </c>
    </row>
    <row r="5376">
      <c r="A5376" s="11">
        <v>5375.0</v>
      </c>
      <c r="B5376" s="12">
        <f t="shared" si="850"/>
        <v>40739</v>
      </c>
      <c r="C5376" s="11" t="s">
        <v>982</v>
      </c>
      <c r="D5376" s="11" t="s">
        <v>66</v>
      </c>
    </row>
    <row r="5377">
      <c r="A5377" s="11">
        <v>5376.0</v>
      </c>
      <c r="B5377" s="12">
        <f t="shared" si="850"/>
        <v>40739</v>
      </c>
      <c r="C5377" s="11" t="s">
        <v>898</v>
      </c>
      <c r="D5377" s="11" t="s">
        <v>28</v>
      </c>
    </row>
    <row r="5378">
      <c r="A5378" s="11">
        <v>5377.0</v>
      </c>
      <c r="B5378" s="12">
        <f t="shared" si="850"/>
        <v>40739</v>
      </c>
      <c r="C5378" s="11" t="s">
        <v>2169</v>
      </c>
      <c r="D5378" s="11" t="s">
        <v>66</v>
      </c>
    </row>
    <row r="5379">
      <c r="A5379" s="11">
        <v>5378.0</v>
      </c>
      <c r="B5379" s="12">
        <f t="shared" si="850"/>
        <v>40739</v>
      </c>
      <c r="C5379" s="11" t="s">
        <v>2315</v>
      </c>
      <c r="D5379" s="11" t="s">
        <v>66</v>
      </c>
    </row>
    <row r="5380">
      <c r="A5380" s="11">
        <v>5379.0</v>
      </c>
      <c r="B5380" s="12">
        <f t="shared" si="850"/>
        <v>40739</v>
      </c>
      <c r="C5380" s="11" t="s">
        <v>2315</v>
      </c>
      <c r="D5380" s="11" t="s">
        <v>28</v>
      </c>
    </row>
    <row r="5381">
      <c r="A5381" s="11">
        <v>5380.0</v>
      </c>
      <c r="B5381" s="12">
        <f t="shared" si="850"/>
        <v>40739</v>
      </c>
      <c r="C5381" s="11" t="s">
        <v>2498</v>
      </c>
      <c r="D5381" s="11" t="s">
        <v>28</v>
      </c>
    </row>
    <row r="5382">
      <c r="A5382" s="11">
        <v>5381.0</v>
      </c>
      <c r="B5382" s="12">
        <f t="shared" ref="B5382:B5386" si="851">DATE(2012,12,31)-534</f>
        <v>40740</v>
      </c>
      <c r="C5382" s="11" t="s">
        <v>744</v>
      </c>
      <c r="D5382" s="11" t="s">
        <v>28</v>
      </c>
    </row>
    <row r="5383">
      <c r="A5383" s="11">
        <v>5382.0</v>
      </c>
      <c r="B5383" s="12">
        <f t="shared" si="851"/>
        <v>40740</v>
      </c>
      <c r="C5383" s="11" t="s">
        <v>2063</v>
      </c>
      <c r="D5383" s="11" t="s">
        <v>28</v>
      </c>
    </row>
    <row r="5384">
      <c r="A5384" s="11">
        <v>5383.0</v>
      </c>
      <c r="B5384" s="12">
        <f t="shared" si="851"/>
        <v>40740</v>
      </c>
      <c r="C5384" s="11" t="s">
        <v>2180</v>
      </c>
      <c r="D5384" s="11" t="s">
        <v>28</v>
      </c>
    </row>
    <row r="5385">
      <c r="A5385" s="11">
        <v>5384.0</v>
      </c>
      <c r="B5385" s="12">
        <f t="shared" si="851"/>
        <v>40740</v>
      </c>
      <c r="C5385" s="11" t="s">
        <v>2180</v>
      </c>
      <c r="D5385" s="11" t="s">
        <v>66</v>
      </c>
    </row>
    <row r="5386">
      <c r="A5386" s="11">
        <v>5385.0</v>
      </c>
      <c r="B5386" s="12">
        <f t="shared" si="851"/>
        <v>40740</v>
      </c>
      <c r="C5386" s="11" t="s">
        <v>930</v>
      </c>
      <c r="D5386" s="11" t="s">
        <v>49</v>
      </c>
    </row>
    <row r="5387">
      <c r="A5387" s="11">
        <v>5386.0</v>
      </c>
      <c r="B5387" s="12">
        <f>DATE(2012,12,31)-533</f>
        <v>40741</v>
      </c>
      <c r="C5387" s="11" t="s">
        <v>1013</v>
      </c>
      <c r="D5387" s="11" t="s">
        <v>28</v>
      </c>
    </row>
    <row r="5388">
      <c r="A5388" s="11">
        <v>5387.0</v>
      </c>
      <c r="B5388" s="12">
        <f t="shared" ref="B5388:B5395" si="852">DATE(2012,12,31)-532</f>
        <v>40742</v>
      </c>
      <c r="C5388" s="11" t="s">
        <v>608</v>
      </c>
      <c r="D5388" s="11" t="s">
        <v>28</v>
      </c>
    </row>
    <row r="5389">
      <c r="A5389" s="11">
        <v>5388.0</v>
      </c>
      <c r="B5389" s="12">
        <f t="shared" si="852"/>
        <v>40742</v>
      </c>
      <c r="C5389" s="11" t="s">
        <v>608</v>
      </c>
      <c r="D5389" s="11" t="s">
        <v>28</v>
      </c>
    </row>
    <row r="5390">
      <c r="A5390" s="11">
        <v>5389.0</v>
      </c>
      <c r="B5390" s="12">
        <f t="shared" si="852"/>
        <v>40742</v>
      </c>
      <c r="C5390" s="11" t="s">
        <v>1935</v>
      </c>
      <c r="D5390" s="11" t="s">
        <v>49</v>
      </c>
    </row>
    <row r="5391">
      <c r="A5391" s="11">
        <v>5390.0</v>
      </c>
      <c r="B5391" s="12">
        <f t="shared" si="852"/>
        <v>40742</v>
      </c>
      <c r="C5391" s="11" t="s">
        <v>1935</v>
      </c>
      <c r="D5391" s="11" t="s">
        <v>28</v>
      </c>
    </row>
    <row r="5392">
      <c r="A5392" s="11">
        <v>5391.0</v>
      </c>
      <c r="B5392" s="12">
        <f t="shared" si="852"/>
        <v>40742</v>
      </c>
      <c r="C5392" s="11" t="s">
        <v>942</v>
      </c>
      <c r="D5392" s="11" t="s">
        <v>28</v>
      </c>
    </row>
    <row r="5393">
      <c r="A5393" s="11">
        <v>5392.0</v>
      </c>
      <c r="B5393" s="12">
        <f t="shared" si="852"/>
        <v>40742</v>
      </c>
      <c r="C5393" s="11" t="s">
        <v>1634</v>
      </c>
      <c r="D5393" s="11" t="s">
        <v>28</v>
      </c>
    </row>
    <row r="5394">
      <c r="A5394" s="11">
        <v>5393.0</v>
      </c>
      <c r="B5394" s="12">
        <f t="shared" si="852"/>
        <v>40742</v>
      </c>
      <c r="C5394" s="11" t="s">
        <v>1240</v>
      </c>
      <c r="D5394" s="11" t="s">
        <v>66</v>
      </c>
    </row>
    <row r="5395">
      <c r="A5395" s="11">
        <v>5394.0</v>
      </c>
      <c r="B5395" s="12">
        <f t="shared" si="852"/>
        <v>40742</v>
      </c>
      <c r="C5395" s="11" t="s">
        <v>392</v>
      </c>
      <c r="D5395" s="11" t="s">
        <v>66</v>
      </c>
    </row>
    <row r="5396">
      <c r="A5396" s="11">
        <v>5395.0</v>
      </c>
      <c r="B5396" s="12">
        <f t="shared" ref="B5396:B5399" si="853">DATE(2012,12,31)-531</f>
        <v>40743</v>
      </c>
      <c r="C5396" s="11" t="s">
        <v>2075</v>
      </c>
      <c r="D5396" s="11" t="s">
        <v>49</v>
      </c>
    </row>
    <row r="5397">
      <c r="A5397" s="11">
        <v>5396.0</v>
      </c>
      <c r="B5397" s="12">
        <f t="shared" si="853"/>
        <v>40743</v>
      </c>
      <c r="C5397" s="11" t="s">
        <v>155</v>
      </c>
      <c r="D5397" s="11" t="s">
        <v>49</v>
      </c>
    </row>
    <row r="5398">
      <c r="A5398" s="11">
        <v>5397.0</v>
      </c>
      <c r="B5398" s="12">
        <f t="shared" si="853"/>
        <v>40743</v>
      </c>
      <c r="C5398" s="11" t="s">
        <v>2052</v>
      </c>
      <c r="D5398" s="11" t="s">
        <v>28</v>
      </c>
    </row>
    <row r="5399">
      <c r="A5399" s="11">
        <v>5398.0</v>
      </c>
      <c r="B5399" s="12">
        <f t="shared" si="853"/>
        <v>40743</v>
      </c>
      <c r="C5399" s="11" t="s">
        <v>2408</v>
      </c>
      <c r="D5399" s="11" t="s">
        <v>49</v>
      </c>
    </row>
    <row r="5400">
      <c r="A5400" s="11">
        <v>5399.0</v>
      </c>
      <c r="B5400" s="12">
        <f>DATE(2012,12,31)-530</f>
        <v>40744</v>
      </c>
      <c r="C5400" s="11" t="s">
        <v>665</v>
      </c>
      <c r="D5400" s="11" t="s">
        <v>28</v>
      </c>
    </row>
    <row r="5401">
      <c r="A5401" s="11">
        <v>5400.0</v>
      </c>
      <c r="B5401" s="12">
        <f t="shared" ref="B5401:B5406" si="854">DATE(2012,12,31)-529</f>
        <v>40745</v>
      </c>
      <c r="C5401" s="11" t="s">
        <v>1896</v>
      </c>
      <c r="D5401" s="11" t="s">
        <v>66</v>
      </c>
    </row>
    <row r="5402">
      <c r="A5402" s="11">
        <v>5401.0</v>
      </c>
      <c r="B5402" s="12">
        <f t="shared" si="854"/>
        <v>40745</v>
      </c>
      <c r="C5402" s="11" t="s">
        <v>488</v>
      </c>
      <c r="D5402" s="11" t="s">
        <v>28</v>
      </c>
    </row>
    <row r="5403">
      <c r="A5403" s="11">
        <v>5402.0</v>
      </c>
      <c r="B5403" s="12">
        <f t="shared" si="854"/>
        <v>40745</v>
      </c>
      <c r="C5403" s="11" t="s">
        <v>910</v>
      </c>
      <c r="D5403" s="11" t="s">
        <v>28</v>
      </c>
    </row>
    <row r="5404">
      <c r="A5404" s="11">
        <v>5403.0</v>
      </c>
      <c r="B5404" s="12">
        <f t="shared" si="854"/>
        <v>40745</v>
      </c>
      <c r="C5404" s="11" t="s">
        <v>1827</v>
      </c>
      <c r="D5404" s="11" t="s">
        <v>28</v>
      </c>
    </row>
    <row r="5405">
      <c r="A5405" s="11">
        <v>5404.0</v>
      </c>
      <c r="B5405" s="12">
        <f t="shared" si="854"/>
        <v>40745</v>
      </c>
      <c r="C5405" s="11" t="s">
        <v>1447</v>
      </c>
      <c r="D5405" s="11" t="s">
        <v>28</v>
      </c>
    </row>
    <row r="5406">
      <c r="A5406" s="11">
        <v>5405.0</v>
      </c>
      <c r="B5406" s="12">
        <f t="shared" si="854"/>
        <v>40745</v>
      </c>
      <c r="C5406" s="11" t="s">
        <v>1802</v>
      </c>
      <c r="D5406" s="11" t="s">
        <v>49</v>
      </c>
    </row>
    <row r="5407">
      <c r="A5407" s="11">
        <v>5406.0</v>
      </c>
      <c r="B5407" s="12">
        <f t="shared" ref="B5407:B5412" si="855">DATE(2012,12,31)-528</f>
        <v>40746</v>
      </c>
      <c r="C5407" s="11" t="s">
        <v>803</v>
      </c>
      <c r="D5407" s="11" t="s">
        <v>28</v>
      </c>
    </row>
    <row r="5408">
      <c r="A5408" s="11">
        <v>5407.0</v>
      </c>
      <c r="B5408" s="12">
        <f t="shared" si="855"/>
        <v>40746</v>
      </c>
      <c r="C5408" s="11" t="s">
        <v>326</v>
      </c>
      <c r="D5408" s="11" t="s">
        <v>28</v>
      </c>
    </row>
    <row r="5409">
      <c r="A5409" s="11">
        <v>5408.0</v>
      </c>
      <c r="B5409" s="12">
        <f t="shared" si="855"/>
        <v>40746</v>
      </c>
      <c r="C5409" s="11" t="s">
        <v>832</v>
      </c>
      <c r="D5409" s="11" t="s">
        <v>66</v>
      </c>
    </row>
    <row r="5410">
      <c r="A5410" s="11">
        <v>5409.0</v>
      </c>
      <c r="B5410" s="12">
        <f t="shared" si="855"/>
        <v>40746</v>
      </c>
      <c r="C5410" s="11" t="s">
        <v>832</v>
      </c>
      <c r="D5410" s="11" t="s">
        <v>28</v>
      </c>
    </row>
    <row r="5411">
      <c r="A5411" s="11">
        <v>5410.0</v>
      </c>
      <c r="B5411" s="12">
        <f t="shared" si="855"/>
        <v>40746</v>
      </c>
      <c r="C5411" s="11" t="s">
        <v>832</v>
      </c>
      <c r="D5411" s="11" t="s">
        <v>66</v>
      </c>
    </row>
    <row r="5412">
      <c r="A5412" s="11">
        <v>5411.0</v>
      </c>
      <c r="B5412" s="12">
        <f t="shared" si="855"/>
        <v>40746</v>
      </c>
      <c r="C5412" s="11" t="s">
        <v>617</v>
      </c>
      <c r="D5412" s="11" t="s">
        <v>49</v>
      </c>
    </row>
    <row r="5413">
      <c r="A5413" s="11">
        <v>5412.0</v>
      </c>
      <c r="B5413" s="12">
        <f t="shared" ref="B5413:B5420" si="856">DATE(2012,12,31)-527</f>
        <v>40747</v>
      </c>
      <c r="C5413" s="11" t="s">
        <v>1466</v>
      </c>
      <c r="D5413" s="11" t="s">
        <v>28</v>
      </c>
    </row>
    <row r="5414">
      <c r="A5414" s="11">
        <v>5413.0</v>
      </c>
      <c r="B5414" s="12">
        <f t="shared" si="856"/>
        <v>40747</v>
      </c>
      <c r="C5414" s="11" t="s">
        <v>1221</v>
      </c>
      <c r="D5414" s="11" t="s">
        <v>28</v>
      </c>
    </row>
    <row r="5415">
      <c r="A5415" s="11">
        <v>5414.0</v>
      </c>
      <c r="B5415" s="12">
        <f t="shared" si="856"/>
        <v>40747</v>
      </c>
      <c r="C5415" s="11" t="s">
        <v>1981</v>
      </c>
      <c r="D5415" s="11" t="s">
        <v>28</v>
      </c>
    </row>
    <row r="5416">
      <c r="A5416" s="11">
        <v>5415.0</v>
      </c>
      <c r="B5416" s="12">
        <f t="shared" si="856"/>
        <v>40747</v>
      </c>
      <c r="C5416" s="11" t="s">
        <v>1020</v>
      </c>
      <c r="D5416" s="11" t="s">
        <v>66</v>
      </c>
    </row>
    <row r="5417">
      <c r="A5417" s="11">
        <v>5416.0</v>
      </c>
      <c r="B5417" s="12">
        <f t="shared" si="856"/>
        <v>40747</v>
      </c>
      <c r="C5417" s="11" t="s">
        <v>1020</v>
      </c>
      <c r="D5417" s="11" t="s">
        <v>28</v>
      </c>
    </row>
    <row r="5418">
      <c r="A5418" s="11">
        <v>5417.0</v>
      </c>
      <c r="B5418" s="12">
        <f t="shared" si="856"/>
        <v>40747</v>
      </c>
      <c r="C5418" s="11" t="s">
        <v>2253</v>
      </c>
      <c r="D5418" s="11" t="s">
        <v>28</v>
      </c>
    </row>
    <row r="5419">
      <c r="A5419" s="11">
        <v>5418.0</v>
      </c>
      <c r="B5419" s="12">
        <f t="shared" si="856"/>
        <v>40747</v>
      </c>
      <c r="C5419" s="11" t="s">
        <v>2253</v>
      </c>
      <c r="D5419" s="11" t="s">
        <v>66</v>
      </c>
    </row>
    <row r="5420">
      <c r="A5420" s="11">
        <v>5419.0</v>
      </c>
      <c r="B5420" s="12">
        <f t="shared" si="856"/>
        <v>40747</v>
      </c>
      <c r="C5420" s="11" t="s">
        <v>533</v>
      </c>
      <c r="D5420" s="11" t="s">
        <v>66</v>
      </c>
    </row>
    <row r="5421">
      <c r="A5421" s="11">
        <v>5420.0</v>
      </c>
      <c r="B5421" s="12">
        <f t="shared" ref="B5421:B5425" si="857">DATE(2012,12,31)-526</f>
        <v>40748</v>
      </c>
      <c r="C5421" s="11" t="s">
        <v>1006</v>
      </c>
      <c r="D5421" s="11" t="s">
        <v>66</v>
      </c>
    </row>
    <row r="5422">
      <c r="A5422" s="11">
        <v>5421.0</v>
      </c>
      <c r="B5422" s="12">
        <f t="shared" si="857"/>
        <v>40748</v>
      </c>
      <c r="C5422" s="11" t="s">
        <v>800</v>
      </c>
      <c r="D5422" s="11" t="s">
        <v>28</v>
      </c>
    </row>
    <row r="5423">
      <c r="A5423" s="11">
        <v>5422.0</v>
      </c>
      <c r="B5423" s="12">
        <f t="shared" si="857"/>
        <v>40748</v>
      </c>
      <c r="C5423" s="11" t="s">
        <v>800</v>
      </c>
      <c r="D5423" s="11" t="s">
        <v>49</v>
      </c>
    </row>
    <row r="5424">
      <c r="A5424" s="11">
        <v>5423.0</v>
      </c>
      <c r="B5424" s="12">
        <f t="shared" si="857"/>
        <v>40748</v>
      </c>
      <c r="C5424" s="11" t="s">
        <v>800</v>
      </c>
      <c r="D5424" s="11" t="s">
        <v>66</v>
      </c>
    </row>
    <row r="5425">
      <c r="A5425" s="11">
        <v>5424.0</v>
      </c>
      <c r="B5425" s="12">
        <f t="shared" si="857"/>
        <v>40748</v>
      </c>
      <c r="C5425" s="11" t="s">
        <v>800</v>
      </c>
      <c r="D5425" s="11" t="s">
        <v>66</v>
      </c>
    </row>
    <row r="5426">
      <c r="A5426" s="11">
        <v>5425.0</v>
      </c>
      <c r="B5426" s="12">
        <f t="shared" ref="B5426:B5435" si="858">DATE(2012,12,31)-525</f>
        <v>40749</v>
      </c>
      <c r="C5426" s="11" t="s">
        <v>2205</v>
      </c>
      <c r="D5426" s="11" t="s">
        <v>28</v>
      </c>
    </row>
    <row r="5427">
      <c r="A5427" s="11">
        <v>5426.0</v>
      </c>
      <c r="B5427" s="12">
        <f t="shared" si="858"/>
        <v>40749</v>
      </c>
      <c r="C5427" s="11" t="s">
        <v>72</v>
      </c>
      <c r="D5427" s="11" t="s">
        <v>66</v>
      </c>
    </row>
    <row r="5428">
      <c r="A5428" s="11">
        <v>5427.0</v>
      </c>
      <c r="B5428" s="12">
        <f t="shared" si="858"/>
        <v>40749</v>
      </c>
      <c r="C5428" s="11" t="s">
        <v>2527</v>
      </c>
      <c r="D5428" s="11" t="s">
        <v>49</v>
      </c>
    </row>
    <row r="5429">
      <c r="A5429" s="11">
        <v>5428.0</v>
      </c>
      <c r="B5429" s="12">
        <f t="shared" si="858"/>
        <v>40749</v>
      </c>
      <c r="C5429" s="11" t="s">
        <v>2527</v>
      </c>
      <c r="D5429" s="11" t="s">
        <v>28</v>
      </c>
    </row>
    <row r="5430">
      <c r="A5430" s="11">
        <v>5429.0</v>
      </c>
      <c r="B5430" s="12">
        <f t="shared" si="858"/>
        <v>40749</v>
      </c>
      <c r="C5430" s="11" t="s">
        <v>2409</v>
      </c>
      <c r="D5430" s="11" t="s">
        <v>66</v>
      </c>
    </row>
    <row r="5431">
      <c r="A5431" s="11">
        <v>5430.0</v>
      </c>
      <c r="B5431" s="12">
        <f t="shared" si="858"/>
        <v>40749</v>
      </c>
      <c r="C5431" s="11" t="s">
        <v>1425</v>
      </c>
      <c r="D5431" s="11" t="s">
        <v>28</v>
      </c>
    </row>
    <row r="5432">
      <c r="A5432" s="11">
        <v>5431.0</v>
      </c>
      <c r="B5432" s="12">
        <f t="shared" si="858"/>
        <v>40749</v>
      </c>
      <c r="C5432" s="11" t="s">
        <v>1425</v>
      </c>
      <c r="D5432" s="11" t="s">
        <v>66</v>
      </c>
    </row>
    <row r="5433">
      <c r="A5433" s="11">
        <v>5432.0</v>
      </c>
      <c r="B5433" s="12">
        <f t="shared" si="858"/>
        <v>40749</v>
      </c>
      <c r="C5433" s="11" t="s">
        <v>1152</v>
      </c>
      <c r="D5433" s="11" t="s">
        <v>66</v>
      </c>
    </row>
    <row r="5434">
      <c r="A5434" s="11">
        <v>5433.0</v>
      </c>
      <c r="B5434" s="12">
        <f t="shared" si="858"/>
        <v>40749</v>
      </c>
      <c r="C5434" s="11" t="s">
        <v>1152</v>
      </c>
      <c r="D5434" s="11" t="s">
        <v>49</v>
      </c>
    </row>
    <row r="5435">
      <c r="A5435" s="11">
        <v>5434.0</v>
      </c>
      <c r="B5435" s="12">
        <f t="shared" si="858"/>
        <v>40749</v>
      </c>
      <c r="C5435" s="11" t="s">
        <v>1152</v>
      </c>
      <c r="D5435" s="11" t="s">
        <v>28</v>
      </c>
    </row>
    <row r="5436">
      <c r="A5436" s="11">
        <v>5435.0</v>
      </c>
      <c r="B5436" s="12">
        <f t="shared" ref="B5436:B5438" si="859">DATE(2012,12,31)-524</f>
        <v>40750</v>
      </c>
      <c r="C5436" s="11" t="s">
        <v>1080</v>
      </c>
      <c r="D5436" s="11" t="s">
        <v>28</v>
      </c>
    </row>
    <row r="5437">
      <c r="A5437" s="11">
        <v>5436.0</v>
      </c>
      <c r="B5437" s="12">
        <f t="shared" si="859"/>
        <v>40750</v>
      </c>
      <c r="C5437" s="11" t="s">
        <v>1080</v>
      </c>
      <c r="D5437" s="11" t="s">
        <v>28</v>
      </c>
    </row>
    <row r="5438">
      <c r="A5438" s="11">
        <v>5437.0</v>
      </c>
      <c r="B5438" s="12">
        <f t="shared" si="859"/>
        <v>40750</v>
      </c>
      <c r="C5438" s="11" t="s">
        <v>1101</v>
      </c>
      <c r="D5438" s="11" t="s">
        <v>66</v>
      </c>
    </row>
    <row r="5439">
      <c r="A5439" s="11">
        <v>5438.0</v>
      </c>
      <c r="B5439" s="12">
        <f t="shared" ref="B5439:B5448" si="860">DATE(2012,12,31)-523</f>
        <v>40751</v>
      </c>
      <c r="C5439" s="11" t="s">
        <v>1415</v>
      </c>
      <c r="D5439" s="11" t="s">
        <v>28</v>
      </c>
    </row>
    <row r="5440">
      <c r="A5440" s="11">
        <v>5439.0</v>
      </c>
      <c r="B5440" s="12">
        <f t="shared" si="860"/>
        <v>40751</v>
      </c>
      <c r="C5440" s="11" t="s">
        <v>1415</v>
      </c>
      <c r="D5440" s="11" t="s">
        <v>28</v>
      </c>
    </row>
    <row r="5441">
      <c r="A5441" s="11">
        <v>5440.0</v>
      </c>
      <c r="B5441" s="12">
        <f t="shared" si="860"/>
        <v>40751</v>
      </c>
      <c r="C5441" s="11" t="s">
        <v>2238</v>
      </c>
      <c r="D5441" s="11" t="s">
        <v>49</v>
      </c>
    </row>
    <row r="5442">
      <c r="A5442" s="11">
        <v>5441.0</v>
      </c>
      <c r="B5442" s="12">
        <f t="shared" si="860"/>
        <v>40751</v>
      </c>
      <c r="C5442" s="11" t="s">
        <v>1110</v>
      </c>
      <c r="D5442" s="11" t="s">
        <v>49</v>
      </c>
    </row>
    <row r="5443">
      <c r="A5443" s="11">
        <v>5442.0</v>
      </c>
      <c r="B5443" s="12">
        <f t="shared" si="860"/>
        <v>40751</v>
      </c>
      <c r="C5443" s="11" t="s">
        <v>1110</v>
      </c>
      <c r="D5443" s="11" t="s">
        <v>49</v>
      </c>
    </row>
    <row r="5444">
      <c r="A5444" s="11">
        <v>5443.0</v>
      </c>
      <c r="B5444" s="12">
        <f t="shared" si="860"/>
        <v>40751</v>
      </c>
      <c r="C5444" s="11" t="s">
        <v>2315</v>
      </c>
      <c r="D5444" s="11" t="s">
        <v>28</v>
      </c>
    </row>
    <row r="5445">
      <c r="A5445" s="11">
        <v>5444.0</v>
      </c>
      <c r="B5445" s="12">
        <f t="shared" si="860"/>
        <v>40751</v>
      </c>
      <c r="C5445" s="11" t="s">
        <v>133</v>
      </c>
      <c r="D5445" s="11" t="s">
        <v>66</v>
      </c>
    </row>
    <row r="5446">
      <c r="A5446" s="11">
        <v>5445.0</v>
      </c>
      <c r="B5446" s="12">
        <f t="shared" si="860"/>
        <v>40751</v>
      </c>
      <c r="C5446" s="11" t="s">
        <v>1276</v>
      </c>
      <c r="D5446" s="11" t="s">
        <v>28</v>
      </c>
    </row>
    <row r="5447">
      <c r="A5447" s="11">
        <v>5446.0</v>
      </c>
      <c r="B5447" s="12">
        <f t="shared" si="860"/>
        <v>40751</v>
      </c>
      <c r="C5447" s="11" t="s">
        <v>232</v>
      </c>
      <c r="D5447" s="11" t="s">
        <v>28</v>
      </c>
    </row>
    <row r="5448">
      <c r="A5448" s="11">
        <v>5447.0</v>
      </c>
      <c r="B5448" s="12">
        <f t="shared" si="860"/>
        <v>40751</v>
      </c>
      <c r="C5448" s="11" t="s">
        <v>232</v>
      </c>
      <c r="D5448" s="11" t="s">
        <v>66</v>
      </c>
    </row>
    <row r="5449">
      <c r="A5449" s="11">
        <v>5448.0</v>
      </c>
      <c r="B5449" s="12">
        <f t="shared" ref="B5449:B5452" si="861">DATE(2012,12,31)-522</f>
        <v>40752</v>
      </c>
      <c r="C5449" s="11" t="s">
        <v>567</v>
      </c>
      <c r="D5449" s="11" t="s">
        <v>66</v>
      </c>
    </row>
    <row r="5450">
      <c r="A5450" s="11">
        <v>5449.0</v>
      </c>
      <c r="B5450" s="12">
        <f t="shared" si="861"/>
        <v>40752</v>
      </c>
      <c r="C5450" s="11" t="s">
        <v>567</v>
      </c>
      <c r="D5450" s="11" t="s">
        <v>28</v>
      </c>
    </row>
    <row r="5451">
      <c r="A5451" s="11">
        <v>5450.0</v>
      </c>
      <c r="B5451" s="12">
        <f t="shared" si="861"/>
        <v>40752</v>
      </c>
      <c r="C5451" s="11" t="s">
        <v>639</v>
      </c>
      <c r="D5451" s="11" t="s">
        <v>49</v>
      </c>
    </row>
    <row r="5452">
      <c r="A5452" s="11">
        <v>5451.0</v>
      </c>
      <c r="B5452" s="12">
        <f t="shared" si="861"/>
        <v>40752</v>
      </c>
      <c r="C5452" s="11" t="s">
        <v>494</v>
      </c>
      <c r="D5452" s="11" t="s">
        <v>66</v>
      </c>
    </row>
    <row r="5453">
      <c r="A5453" s="11">
        <v>5452.0</v>
      </c>
      <c r="B5453" s="12">
        <f t="shared" ref="B5453:B5455" si="862">DATE(2012,12,31)-521</f>
        <v>40753</v>
      </c>
      <c r="C5453" s="11" t="s">
        <v>1536</v>
      </c>
      <c r="D5453" s="11" t="s">
        <v>28</v>
      </c>
    </row>
    <row r="5454">
      <c r="A5454" s="11">
        <v>5453.0</v>
      </c>
      <c r="B5454" s="12">
        <f t="shared" si="862"/>
        <v>40753</v>
      </c>
      <c r="C5454" s="11" t="s">
        <v>800</v>
      </c>
      <c r="D5454" s="11" t="s">
        <v>28</v>
      </c>
    </row>
    <row r="5455">
      <c r="A5455" s="11">
        <v>5454.0</v>
      </c>
      <c r="B5455" s="12">
        <f t="shared" si="862"/>
        <v>40753</v>
      </c>
      <c r="C5455" s="11" t="s">
        <v>1101</v>
      </c>
      <c r="D5455" s="11" t="s">
        <v>66</v>
      </c>
    </row>
    <row r="5456">
      <c r="A5456" s="11">
        <v>5455.0</v>
      </c>
      <c r="B5456" s="12">
        <f t="shared" ref="B5456:B5460" si="863">DATE(2012,12,31)-520</f>
        <v>40754</v>
      </c>
      <c r="C5456" s="11" t="s">
        <v>528</v>
      </c>
      <c r="D5456" s="11" t="s">
        <v>28</v>
      </c>
    </row>
    <row r="5457">
      <c r="A5457" s="11">
        <v>5456.0</v>
      </c>
      <c r="B5457" s="12">
        <f t="shared" si="863"/>
        <v>40754</v>
      </c>
      <c r="C5457" s="11" t="s">
        <v>876</v>
      </c>
      <c r="D5457" s="11" t="s">
        <v>28</v>
      </c>
    </row>
    <row r="5458">
      <c r="A5458" s="11">
        <v>5457.0</v>
      </c>
      <c r="B5458" s="12">
        <f t="shared" si="863"/>
        <v>40754</v>
      </c>
      <c r="C5458" s="11" t="s">
        <v>876</v>
      </c>
      <c r="D5458" s="11" t="s">
        <v>28</v>
      </c>
    </row>
    <row r="5459">
      <c r="A5459" s="11">
        <v>5458.0</v>
      </c>
      <c r="B5459" s="12">
        <f t="shared" si="863"/>
        <v>40754</v>
      </c>
      <c r="C5459" s="11" t="s">
        <v>1858</v>
      </c>
      <c r="D5459" s="11" t="s">
        <v>28</v>
      </c>
    </row>
    <row r="5460">
      <c r="A5460" s="11">
        <v>5459.0</v>
      </c>
      <c r="B5460" s="12">
        <f t="shared" si="863"/>
        <v>40754</v>
      </c>
      <c r="C5460" s="11" t="s">
        <v>2476</v>
      </c>
      <c r="D5460" s="11" t="s">
        <v>66</v>
      </c>
    </row>
    <row r="5461">
      <c r="A5461" s="11">
        <v>5460.0</v>
      </c>
      <c r="B5461" s="12">
        <f t="shared" ref="B5461:B5464" si="864">DATE(2012,12,31)-519</f>
        <v>40755</v>
      </c>
      <c r="C5461" s="11" t="s">
        <v>857</v>
      </c>
      <c r="D5461" s="11" t="s">
        <v>28</v>
      </c>
    </row>
    <row r="5462">
      <c r="A5462" s="11">
        <v>5461.0</v>
      </c>
      <c r="B5462" s="12">
        <f t="shared" si="864"/>
        <v>40755</v>
      </c>
      <c r="C5462" s="11" t="s">
        <v>857</v>
      </c>
      <c r="D5462" s="11" t="s">
        <v>28</v>
      </c>
    </row>
    <row r="5463">
      <c r="A5463" s="11">
        <v>5462.0</v>
      </c>
      <c r="B5463" s="12">
        <f t="shared" si="864"/>
        <v>40755</v>
      </c>
      <c r="C5463" s="11" t="s">
        <v>910</v>
      </c>
      <c r="D5463" s="11" t="s">
        <v>28</v>
      </c>
    </row>
    <row r="5464">
      <c r="A5464" s="11">
        <v>5463.0</v>
      </c>
      <c r="B5464" s="12">
        <f t="shared" si="864"/>
        <v>40755</v>
      </c>
      <c r="C5464" s="11" t="s">
        <v>910</v>
      </c>
      <c r="D5464" s="11" t="s">
        <v>28</v>
      </c>
    </row>
    <row r="5465">
      <c r="A5465" s="11">
        <v>5464.0</v>
      </c>
      <c r="B5465" s="12">
        <f t="shared" ref="B5465:B5466" si="865">DATE(2012,12,31)-518</f>
        <v>40756</v>
      </c>
      <c r="C5465" s="11" t="s">
        <v>345</v>
      </c>
      <c r="D5465" s="11" t="s">
        <v>28</v>
      </c>
    </row>
    <row r="5466">
      <c r="A5466" s="11">
        <v>5465.0</v>
      </c>
      <c r="B5466" s="12">
        <f t="shared" si="865"/>
        <v>40756</v>
      </c>
      <c r="C5466" s="11" t="s">
        <v>1221</v>
      </c>
      <c r="D5466" s="11" t="s">
        <v>49</v>
      </c>
    </row>
    <row r="5467">
      <c r="A5467" s="11">
        <v>5466.0</v>
      </c>
      <c r="B5467" s="12">
        <f t="shared" ref="B5467:B5470" si="866">DATE(2012,12,31)-517</f>
        <v>40757</v>
      </c>
      <c r="C5467" s="11" t="s">
        <v>945</v>
      </c>
      <c r="D5467" s="11" t="s">
        <v>28</v>
      </c>
    </row>
    <row r="5468">
      <c r="A5468" s="11">
        <v>5467.0</v>
      </c>
      <c r="B5468" s="12">
        <f t="shared" si="866"/>
        <v>40757</v>
      </c>
      <c r="C5468" s="11" t="s">
        <v>771</v>
      </c>
      <c r="D5468" s="11" t="s">
        <v>28</v>
      </c>
    </row>
    <row r="5469">
      <c r="A5469" s="11">
        <v>5468.0</v>
      </c>
      <c r="B5469" s="12">
        <f t="shared" si="866"/>
        <v>40757</v>
      </c>
      <c r="C5469" s="11" t="s">
        <v>395</v>
      </c>
      <c r="D5469" s="11" t="s">
        <v>28</v>
      </c>
    </row>
    <row r="5470">
      <c r="A5470" s="11">
        <v>5469.0</v>
      </c>
      <c r="B5470" s="12">
        <f t="shared" si="866"/>
        <v>40757</v>
      </c>
      <c r="C5470" s="11" t="s">
        <v>2319</v>
      </c>
      <c r="D5470" s="11" t="s">
        <v>28</v>
      </c>
    </row>
    <row r="5471">
      <c r="A5471" s="11">
        <v>5470.0</v>
      </c>
      <c r="B5471" s="12">
        <f t="shared" ref="B5471:B5475" si="867">DATE(2012,12,31)-516</f>
        <v>40758</v>
      </c>
      <c r="C5471" s="11" t="s">
        <v>488</v>
      </c>
      <c r="D5471" s="11" t="s">
        <v>66</v>
      </c>
    </row>
    <row r="5472">
      <c r="A5472" s="11">
        <v>5471.0</v>
      </c>
      <c r="B5472" s="12">
        <f t="shared" si="867"/>
        <v>40758</v>
      </c>
      <c r="C5472" s="11" t="s">
        <v>2401</v>
      </c>
      <c r="D5472" s="11" t="s">
        <v>28</v>
      </c>
    </row>
    <row r="5473">
      <c r="A5473" s="11">
        <v>5472.0</v>
      </c>
      <c r="B5473" s="12">
        <f t="shared" si="867"/>
        <v>40758</v>
      </c>
      <c r="C5473" s="11" t="s">
        <v>2401</v>
      </c>
      <c r="D5473" s="11" t="s">
        <v>28</v>
      </c>
    </row>
    <row r="5474">
      <c r="A5474" s="11">
        <v>5473.0</v>
      </c>
      <c r="B5474" s="12">
        <f t="shared" si="867"/>
        <v>40758</v>
      </c>
      <c r="C5474" s="11" t="s">
        <v>1685</v>
      </c>
      <c r="D5474" s="11" t="s">
        <v>66</v>
      </c>
    </row>
    <row r="5475">
      <c r="A5475" s="11">
        <v>5474.0</v>
      </c>
      <c r="B5475" s="12">
        <f t="shared" si="867"/>
        <v>40758</v>
      </c>
      <c r="C5475" s="11" t="s">
        <v>928</v>
      </c>
      <c r="D5475" s="11" t="s">
        <v>49</v>
      </c>
    </row>
    <row r="5476">
      <c r="A5476" s="11">
        <v>5475.0</v>
      </c>
      <c r="B5476" s="12">
        <f t="shared" ref="B5476:B5479" si="868">DATE(2012,12,31)-515</f>
        <v>40759</v>
      </c>
      <c r="C5476" s="11" t="s">
        <v>581</v>
      </c>
      <c r="D5476" s="11" t="s">
        <v>28</v>
      </c>
    </row>
    <row r="5477">
      <c r="A5477" s="11">
        <v>5476.0</v>
      </c>
      <c r="B5477" s="12">
        <f t="shared" si="868"/>
        <v>40759</v>
      </c>
      <c r="C5477" s="11" t="s">
        <v>581</v>
      </c>
      <c r="D5477" s="11" t="s">
        <v>28</v>
      </c>
    </row>
    <row r="5478">
      <c r="A5478" s="11">
        <v>5477.0</v>
      </c>
      <c r="B5478" s="12">
        <f t="shared" si="868"/>
        <v>40759</v>
      </c>
      <c r="C5478" s="11" t="s">
        <v>597</v>
      </c>
      <c r="D5478" s="11" t="s">
        <v>49</v>
      </c>
    </row>
    <row r="5479">
      <c r="A5479" s="11">
        <v>5478.0</v>
      </c>
      <c r="B5479" s="12">
        <f t="shared" si="868"/>
        <v>40759</v>
      </c>
      <c r="C5479" s="11" t="s">
        <v>340</v>
      </c>
      <c r="D5479" s="11" t="s">
        <v>66</v>
      </c>
    </row>
    <row r="5480">
      <c r="A5480" s="11">
        <v>5479.0</v>
      </c>
      <c r="B5480" s="12">
        <f t="shared" ref="B5480:B5482" si="869">DATE(2012,12,31)-514</f>
        <v>40760</v>
      </c>
      <c r="C5480" s="11" t="s">
        <v>181</v>
      </c>
      <c r="D5480" s="11" t="s">
        <v>28</v>
      </c>
    </row>
    <row r="5481">
      <c r="A5481" s="11">
        <v>5480.0</v>
      </c>
      <c r="B5481" s="12">
        <f t="shared" si="869"/>
        <v>40760</v>
      </c>
      <c r="C5481" s="11" t="s">
        <v>181</v>
      </c>
      <c r="D5481" s="11" t="s">
        <v>49</v>
      </c>
    </row>
    <row r="5482">
      <c r="A5482" s="11">
        <v>5481.0</v>
      </c>
      <c r="B5482" s="12">
        <f t="shared" si="869"/>
        <v>40760</v>
      </c>
      <c r="C5482" s="11" t="s">
        <v>636</v>
      </c>
      <c r="D5482" s="11" t="s">
        <v>28</v>
      </c>
    </row>
    <row r="5483">
      <c r="A5483" s="11">
        <v>5482.0</v>
      </c>
      <c r="B5483" s="12">
        <f t="shared" ref="B5483:B5485" si="870">DATE(2012,12,31)-513</f>
        <v>40761</v>
      </c>
      <c r="C5483" s="11" t="s">
        <v>970</v>
      </c>
      <c r="D5483" s="11" t="s">
        <v>49</v>
      </c>
    </row>
    <row r="5484">
      <c r="A5484" s="11">
        <v>5483.0</v>
      </c>
      <c r="B5484" s="12">
        <f t="shared" si="870"/>
        <v>40761</v>
      </c>
      <c r="C5484" s="11" t="s">
        <v>1196</v>
      </c>
      <c r="D5484" s="11" t="s">
        <v>66</v>
      </c>
    </row>
    <row r="5485">
      <c r="A5485" s="11">
        <v>5484.0</v>
      </c>
      <c r="B5485" s="12">
        <f t="shared" si="870"/>
        <v>40761</v>
      </c>
      <c r="C5485" s="11" t="s">
        <v>1196</v>
      </c>
      <c r="D5485" s="11" t="s">
        <v>49</v>
      </c>
    </row>
    <row r="5486">
      <c r="A5486" s="11">
        <v>5485.0</v>
      </c>
      <c r="B5486" s="12">
        <f t="shared" ref="B5486:B5491" si="871">DATE(2012,12,31)-512</f>
        <v>40762</v>
      </c>
      <c r="C5486" s="11" t="s">
        <v>2557</v>
      </c>
      <c r="D5486" s="11" t="s">
        <v>66</v>
      </c>
    </row>
    <row r="5487">
      <c r="A5487" s="11">
        <v>5486.0</v>
      </c>
      <c r="B5487" s="12">
        <f t="shared" si="871"/>
        <v>40762</v>
      </c>
      <c r="C5487" s="11" t="s">
        <v>2557</v>
      </c>
      <c r="D5487" s="11" t="s">
        <v>28</v>
      </c>
    </row>
    <row r="5488">
      <c r="A5488" s="11">
        <v>5487.0</v>
      </c>
      <c r="B5488" s="12">
        <f t="shared" si="871"/>
        <v>40762</v>
      </c>
      <c r="C5488" s="11" t="s">
        <v>1017</v>
      </c>
      <c r="D5488" s="11" t="s">
        <v>49</v>
      </c>
    </row>
    <row r="5489">
      <c r="A5489" s="11">
        <v>5488.0</v>
      </c>
      <c r="B5489" s="12">
        <f t="shared" si="871"/>
        <v>40762</v>
      </c>
      <c r="C5489" s="11" t="s">
        <v>2099</v>
      </c>
      <c r="D5489" s="11" t="s">
        <v>28</v>
      </c>
    </row>
    <row r="5490">
      <c r="A5490" s="11">
        <v>5489.0</v>
      </c>
      <c r="B5490" s="12">
        <f t="shared" si="871"/>
        <v>40762</v>
      </c>
      <c r="C5490" s="11" t="s">
        <v>2099</v>
      </c>
      <c r="D5490" s="11" t="s">
        <v>66</v>
      </c>
    </row>
    <row r="5491">
      <c r="A5491" s="11">
        <v>5490.0</v>
      </c>
      <c r="B5491" s="12">
        <f t="shared" si="871"/>
        <v>40762</v>
      </c>
      <c r="C5491" s="11" t="s">
        <v>1564</v>
      </c>
      <c r="D5491" s="11" t="s">
        <v>28</v>
      </c>
    </row>
    <row r="5492">
      <c r="A5492" s="11">
        <v>5491.0</v>
      </c>
      <c r="B5492" s="12">
        <f t="shared" ref="B5492:B5498" si="872">DATE(2012,12,31)-511</f>
        <v>40763</v>
      </c>
      <c r="C5492" s="11" t="s">
        <v>1858</v>
      </c>
      <c r="D5492" s="11" t="s">
        <v>28</v>
      </c>
    </row>
    <row r="5493">
      <c r="A5493" s="11">
        <v>5492.0</v>
      </c>
      <c r="B5493" s="12">
        <f t="shared" si="872"/>
        <v>40763</v>
      </c>
      <c r="C5493" s="11" t="s">
        <v>1374</v>
      </c>
      <c r="D5493" s="11" t="s">
        <v>28</v>
      </c>
    </row>
    <row r="5494">
      <c r="A5494" s="11">
        <v>5493.0</v>
      </c>
      <c r="B5494" s="12">
        <f t="shared" si="872"/>
        <v>40763</v>
      </c>
      <c r="C5494" s="11" t="s">
        <v>485</v>
      </c>
      <c r="D5494" s="11" t="s">
        <v>28</v>
      </c>
    </row>
    <row r="5495">
      <c r="A5495" s="11">
        <v>5494.0</v>
      </c>
      <c r="B5495" s="12">
        <f t="shared" si="872"/>
        <v>40763</v>
      </c>
      <c r="C5495" s="11" t="s">
        <v>485</v>
      </c>
      <c r="D5495" s="11" t="s">
        <v>28</v>
      </c>
    </row>
    <row r="5496">
      <c r="A5496" s="11">
        <v>5495.0</v>
      </c>
      <c r="B5496" s="12">
        <f t="shared" si="872"/>
        <v>40763</v>
      </c>
      <c r="C5496" s="11" t="s">
        <v>1212</v>
      </c>
      <c r="D5496" s="11" t="s">
        <v>28</v>
      </c>
    </row>
    <row r="5497">
      <c r="A5497" s="11">
        <v>5496.0</v>
      </c>
      <c r="B5497" s="12">
        <f t="shared" si="872"/>
        <v>40763</v>
      </c>
      <c r="C5497" s="11" t="s">
        <v>1212</v>
      </c>
      <c r="D5497" s="11" t="s">
        <v>28</v>
      </c>
    </row>
    <row r="5498">
      <c r="A5498" s="11">
        <v>5497.0</v>
      </c>
      <c r="B5498" s="12">
        <f t="shared" si="872"/>
        <v>40763</v>
      </c>
      <c r="C5498" s="11" t="s">
        <v>1410</v>
      </c>
      <c r="D5498" s="11" t="s">
        <v>28</v>
      </c>
    </row>
    <row r="5499">
      <c r="A5499" s="11">
        <v>5498.0</v>
      </c>
      <c r="B5499" s="12">
        <f t="shared" ref="B5499:B5504" si="873">DATE(2012,12,31)-510</f>
        <v>40764</v>
      </c>
      <c r="C5499" s="11" t="s">
        <v>474</v>
      </c>
      <c r="D5499" s="11" t="s">
        <v>49</v>
      </c>
    </row>
    <row r="5500">
      <c r="A5500" s="11">
        <v>5499.0</v>
      </c>
      <c r="B5500" s="12">
        <f t="shared" si="873"/>
        <v>40764</v>
      </c>
      <c r="C5500" s="11" t="s">
        <v>876</v>
      </c>
      <c r="D5500" s="11" t="s">
        <v>28</v>
      </c>
    </row>
    <row r="5501">
      <c r="A5501" s="11">
        <v>5500.0</v>
      </c>
      <c r="B5501" s="12">
        <f t="shared" si="873"/>
        <v>40764</v>
      </c>
      <c r="C5501" s="11" t="s">
        <v>876</v>
      </c>
      <c r="D5501" s="11" t="s">
        <v>28</v>
      </c>
    </row>
    <row r="5502">
      <c r="A5502" s="11">
        <v>5501.0</v>
      </c>
      <c r="B5502" s="12">
        <f t="shared" si="873"/>
        <v>40764</v>
      </c>
      <c r="C5502" s="11" t="s">
        <v>892</v>
      </c>
      <c r="D5502" s="11" t="s">
        <v>28</v>
      </c>
    </row>
    <row r="5503">
      <c r="A5503" s="11">
        <v>5502.0</v>
      </c>
      <c r="B5503" s="12">
        <f t="shared" si="873"/>
        <v>40764</v>
      </c>
      <c r="C5503" s="11" t="s">
        <v>892</v>
      </c>
      <c r="D5503" s="11" t="s">
        <v>49</v>
      </c>
    </row>
    <row r="5504">
      <c r="A5504" s="11">
        <v>5503.0</v>
      </c>
      <c r="B5504" s="12">
        <f t="shared" si="873"/>
        <v>40764</v>
      </c>
      <c r="C5504" s="11" t="s">
        <v>1245</v>
      </c>
      <c r="D5504" s="11" t="s">
        <v>28</v>
      </c>
    </row>
    <row r="5505">
      <c r="A5505" s="11">
        <v>5504.0</v>
      </c>
      <c r="B5505" s="12">
        <f t="shared" ref="B5505:B5511" si="874">DATE(2012,12,31)-509</f>
        <v>40765</v>
      </c>
      <c r="C5505" s="11" t="s">
        <v>1602</v>
      </c>
      <c r="D5505" s="11" t="s">
        <v>49</v>
      </c>
    </row>
    <row r="5506">
      <c r="A5506" s="11">
        <v>5505.0</v>
      </c>
      <c r="B5506" s="12">
        <f t="shared" si="874"/>
        <v>40765</v>
      </c>
      <c r="C5506" s="11" t="s">
        <v>1602</v>
      </c>
      <c r="D5506" s="11" t="s">
        <v>49</v>
      </c>
    </row>
    <row r="5507">
      <c r="A5507" s="11">
        <v>5506.0</v>
      </c>
      <c r="B5507" s="12">
        <f t="shared" si="874"/>
        <v>40765</v>
      </c>
      <c r="C5507" s="11" t="s">
        <v>738</v>
      </c>
      <c r="D5507" s="11" t="s">
        <v>28</v>
      </c>
    </row>
    <row r="5508">
      <c r="A5508" s="11">
        <v>5507.0</v>
      </c>
      <c r="B5508" s="12">
        <f t="shared" si="874"/>
        <v>40765</v>
      </c>
      <c r="C5508" s="11" t="s">
        <v>738</v>
      </c>
      <c r="D5508" s="11" t="s">
        <v>49</v>
      </c>
    </row>
    <row r="5509">
      <c r="A5509" s="11">
        <v>5508.0</v>
      </c>
      <c r="B5509" s="12">
        <f t="shared" si="874"/>
        <v>40765</v>
      </c>
      <c r="C5509" s="11" t="s">
        <v>738</v>
      </c>
      <c r="D5509" s="11" t="s">
        <v>49</v>
      </c>
    </row>
    <row r="5510">
      <c r="A5510" s="11">
        <v>5509.0</v>
      </c>
      <c r="B5510" s="12">
        <f t="shared" si="874"/>
        <v>40765</v>
      </c>
      <c r="C5510" s="11" t="s">
        <v>738</v>
      </c>
      <c r="D5510" s="11" t="s">
        <v>28</v>
      </c>
    </row>
    <row r="5511">
      <c r="A5511" s="11">
        <v>5510.0</v>
      </c>
      <c r="B5511" s="12">
        <f t="shared" si="874"/>
        <v>40765</v>
      </c>
      <c r="C5511" s="11" t="s">
        <v>904</v>
      </c>
      <c r="D5511" s="11" t="s">
        <v>49</v>
      </c>
    </row>
    <row r="5512">
      <c r="A5512" s="11">
        <v>5511.0</v>
      </c>
      <c r="B5512" s="12">
        <f t="shared" ref="B5512:B5517" si="875">DATE(2012,12,31)-508</f>
        <v>40766</v>
      </c>
      <c r="C5512" s="11" t="s">
        <v>719</v>
      </c>
      <c r="D5512" s="11" t="s">
        <v>28</v>
      </c>
    </row>
    <row r="5513">
      <c r="A5513" s="11">
        <v>5512.0</v>
      </c>
      <c r="B5513" s="12">
        <f t="shared" si="875"/>
        <v>40766</v>
      </c>
      <c r="C5513" s="11" t="s">
        <v>533</v>
      </c>
      <c r="D5513" s="11" t="s">
        <v>66</v>
      </c>
    </row>
    <row r="5514">
      <c r="A5514" s="11">
        <v>5513.0</v>
      </c>
      <c r="B5514" s="12">
        <f t="shared" si="875"/>
        <v>40766</v>
      </c>
      <c r="C5514" s="11" t="s">
        <v>167</v>
      </c>
      <c r="D5514" s="11" t="s">
        <v>49</v>
      </c>
    </row>
    <row r="5515">
      <c r="A5515" s="11">
        <v>5514.0</v>
      </c>
      <c r="B5515" s="12">
        <f t="shared" si="875"/>
        <v>40766</v>
      </c>
      <c r="C5515" s="11" t="s">
        <v>2293</v>
      </c>
      <c r="D5515" s="11" t="s">
        <v>66</v>
      </c>
    </row>
    <row r="5516">
      <c r="A5516" s="11">
        <v>5515.0</v>
      </c>
      <c r="B5516" s="12">
        <f t="shared" si="875"/>
        <v>40766</v>
      </c>
      <c r="C5516" s="11" t="s">
        <v>1594</v>
      </c>
      <c r="D5516" s="11" t="s">
        <v>49</v>
      </c>
    </row>
    <row r="5517">
      <c r="A5517" s="11">
        <v>5516.0</v>
      </c>
      <c r="B5517" s="12">
        <f t="shared" si="875"/>
        <v>40766</v>
      </c>
      <c r="C5517" s="11" t="s">
        <v>1594</v>
      </c>
      <c r="D5517" s="11" t="s">
        <v>28</v>
      </c>
    </row>
    <row r="5518">
      <c r="A5518" s="11">
        <v>5517.0</v>
      </c>
      <c r="B5518" s="12">
        <f t="shared" ref="B5518:B5520" si="876">DATE(2012,12,31)-507</f>
        <v>40767</v>
      </c>
      <c r="C5518" s="11" t="s">
        <v>2529</v>
      </c>
      <c r="D5518" s="11" t="s">
        <v>28</v>
      </c>
    </row>
    <row r="5519">
      <c r="A5519" s="11">
        <v>5518.0</v>
      </c>
      <c r="B5519" s="12">
        <f t="shared" si="876"/>
        <v>40767</v>
      </c>
      <c r="C5519" s="11" t="s">
        <v>796</v>
      </c>
      <c r="D5519" s="11" t="s">
        <v>28</v>
      </c>
    </row>
    <row r="5520">
      <c r="A5520" s="11">
        <v>5519.0</v>
      </c>
      <c r="B5520" s="12">
        <f t="shared" si="876"/>
        <v>40767</v>
      </c>
      <c r="C5520" s="11" t="s">
        <v>796</v>
      </c>
      <c r="D5520" s="11" t="s">
        <v>66</v>
      </c>
    </row>
    <row r="5521">
      <c r="A5521" s="11">
        <v>5520.0</v>
      </c>
      <c r="B5521" s="12">
        <f t="shared" ref="B5521:B5523" si="877">DATE(2012,12,31)-506</f>
        <v>40768</v>
      </c>
      <c r="C5521" s="11" t="s">
        <v>248</v>
      </c>
      <c r="D5521" s="11" t="s">
        <v>28</v>
      </c>
    </row>
    <row r="5522">
      <c r="A5522" s="11">
        <v>5521.0</v>
      </c>
      <c r="B5522" s="12">
        <f t="shared" si="877"/>
        <v>40768</v>
      </c>
      <c r="C5522" s="11" t="s">
        <v>988</v>
      </c>
      <c r="D5522" s="11" t="s">
        <v>49</v>
      </c>
    </row>
    <row r="5523">
      <c r="A5523" s="11">
        <v>5522.0</v>
      </c>
      <c r="B5523" s="12">
        <f t="shared" si="877"/>
        <v>40768</v>
      </c>
      <c r="C5523" s="11" t="s">
        <v>606</v>
      </c>
      <c r="D5523" s="11" t="s">
        <v>28</v>
      </c>
    </row>
    <row r="5524">
      <c r="A5524" s="11">
        <v>5523.0</v>
      </c>
      <c r="B5524" s="12">
        <f t="shared" ref="B5524:B5528" si="878">DATE(2012,12,31)-505</f>
        <v>40769</v>
      </c>
      <c r="C5524" s="11" t="s">
        <v>2360</v>
      </c>
      <c r="D5524" s="11" t="s">
        <v>49</v>
      </c>
    </row>
    <row r="5525">
      <c r="A5525" s="11">
        <v>5524.0</v>
      </c>
      <c r="B5525" s="12">
        <f t="shared" si="878"/>
        <v>40769</v>
      </c>
      <c r="C5525" s="11" t="s">
        <v>604</v>
      </c>
      <c r="D5525" s="11" t="s">
        <v>28</v>
      </c>
    </row>
    <row r="5526">
      <c r="A5526" s="11">
        <v>5525.0</v>
      </c>
      <c r="B5526" s="12">
        <f t="shared" si="878"/>
        <v>40769</v>
      </c>
      <c r="C5526" s="11" t="s">
        <v>2168</v>
      </c>
      <c r="D5526" s="11" t="s">
        <v>28</v>
      </c>
    </row>
    <row r="5527">
      <c r="A5527" s="11">
        <v>5526.0</v>
      </c>
      <c r="B5527" s="12">
        <f t="shared" si="878"/>
        <v>40769</v>
      </c>
      <c r="C5527" s="11" t="s">
        <v>2168</v>
      </c>
      <c r="D5527" s="11" t="s">
        <v>28</v>
      </c>
    </row>
    <row r="5528">
      <c r="A5528" s="11">
        <v>5527.0</v>
      </c>
      <c r="B5528" s="12">
        <f t="shared" si="878"/>
        <v>40769</v>
      </c>
      <c r="C5528" s="11" t="s">
        <v>2168</v>
      </c>
      <c r="D5528" s="11" t="s">
        <v>49</v>
      </c>
    </row>
    <row r="5529">
      <c r="A5529" s="11">
        <v>5528.0</v>
      </c>
      <c r="B5529" s="12">
        <f t="shared" ref="B5529:B5531" si="879">DATE(2012,12,31)-504</f>
        <v>40770</v>
      </c>
      <c r="C5529" s="11" t="s">
        <v>538</v>
      </c>
      <c r="D5529" s="11" t="s">
        <v>49</v>
      </c>
    </row>
    <row r="5530">
      <c r="A5530" s="11">
        <v>5529.0</v>
      </c>
      <c r="B5530" s="12">
        <f t="shared" si="879"/>
        <v>40770</v>
      </c>
      <c r="C5530" s="11" t="s">
        <v>2128</v>
      </c>
      <c r="D5530" s="11" t="s">
        <v>28</v>
      </c>
    </row>
    <row r="5531">
      <c r="A5531" s="11">
        <v>5530.0</v>
      </c>
      <c r="B5531" s="12">
        <f t="shared" si="879"/>
        <v>40770</v>
      </c>
      <c r="C5531" s="11" t="s">
        <v>859</v>
      </c>
      <c r="D5531" s="11" t="s">
        <v>28</v>
      </c>
    </row>
    <row r="5532">
      <c r="A5532" s="11">
        <v>5531.0</v>
      </c>
      <c r="B5532" s="12">
        <f t="shared" ref="B5532:B5536" si="880">DATE(2012,12,31)-503</f>
        <v>40771</v>
      </c>
      <c r="C5532" s="11" t="s">
        <v>1017</v>
      </c>
      <c r="D5532" s="11" t="s">
        <v>49</v>
      </c>
    </row>
    <row r="5533">
      <c r="A5533" s="11">
        <v>5532.0</v>
      </c>
      <c r="B5533" s="12">
        <f t="shared" si="880"/>
        <v>40771</v>
      </c>
      <c r="C5533" s="11" t="s">
        <v>1017</v>
      </c>
      <c r="D5533" s="11" t="s">
        <v>49</v>
      </c>
    </row>
    <row r="5534">
      <c r="A5534" s="11">
        <v>5533.0</v>
      </c>
      <c r="B5534" s="12">
        <f t="shared" si="880"/>
        <v>40771</v>
      </c>
      <c r="C5534" s="11" t="s">
        <v>1017</v>
      </c>
      <c r="D5534" s="11" t="s">
        <v>66</v>
      </c>
    </row>
    <row r="5535">
      <c r="A5535" s="11">
        <v>5534.0</v>
      </c>
      <c r="B5535" s="12">
        <f t="shared" si="880"/>
        <v>40771</v>
      </c>
      <c r="C5535" s="11" t="s">
        <v>861</v>
      </c>
      <c r="D5535" s="11" t="s">
        <v>28</v>
      </c>
    </row>
    <row r="5536">
      <c r="A5536" s="11">
        <v>5535.0</v>
      </c>
      <c r="B5536" s="12">
        <f t="shared" si="880"/>
        <v>40771</v>
      </c>
      <c r="C5536" s="11" t="s">
        <v>370</v>
      </c>
      <c r="D5536" s="11" t="s">
        <v>66</v>
      </c>
    </row>
    <row r="5537">
      <c r="A5537" s="11">
        <v>5536.0</v>
      </c>
      <c r="B5537" s="12">
        <f t="shared" ref="B5537:B5543" si="881">DATE(2012,12,31)-502</f>
        <v>40772</v>
      </c>
      <c r="C5537" s="11" t="s">
        <v>1409</v>
      </c>
      <c r="D5537" s="11" t="s">
        <v>49</v>
      </c>
    </row>
    <row r="5538">
      <c r="A5538" s="11">
        <v>5537.0</v>
      </c>
      <c r="B5538" s="12">
        <f t="shared" si="881"/>
        <v>40772</v>
      </c>
      <c r="C5538" s="11" t="s">
        <v>403</v>
      </c>
      <c r="D5538" s="11" t="s">
        <v>28</v>
      </c>
    </row>
    <row r="5539">
      <c r="A5539" s="11">
        <v>5538.0</v>
      </c>
      <c r="B5539" s="12">
        <f t="shared" si="881"/>
        <v>40772</v>
      </c>
      <c r="C5539" s="11" t="s">
        <v>2449</v>
      </c>
      <c r="D5539" s="11" t="s">
        <v>28</v>
      </c>
    </row>
    <row r="5540">
      <c r="A5540" s="11">
        <v>5539.0</v>
      </c>
      <c r="B5540" s="12">
        <f t="shared" si="881"/>
        <v>40772</v>
      </c>
      <c r="C5540" s="11" t="s">
        <v>2449</v>
      </c>
      <c r="D5540" s="11" t="s">
        <v>28</v>
      </c>
    </row>
    <row r="5541">
      <c r="A5541" s="11">
        <v>5540.0</v>
      </c>
      <c r="B5541" s="12">
        <f t="shared" si="881"/>
        <v>40772</v>
      </c>
      <c r="C5541" s="11" t="s">
        <v>2449</v>
      </c>
      <c r="D5541" s="11" t="s">
        <v>28</v>
      </c>
    </row>
    <row r="5542">
      <c r="A5542" s="11">
        <v>5541.0</v>
      </c>
      <c r="B5542" s="12">
        <f t="shared" si="881"/>
        <v>40772</v>
      </c>
      <c r="C5542" s="11" t="s">
        <v>932</v>
      </c>
      <c r="D5542" s="11" t="s">
        <v>28</v>
      </c>
    </row>
    <row r="5543">
      <c r="A5543" s="11">
        <v>5542.0</v>
      </c>
      <c r="B5543" s="12">
        <f t="shared" si="881"/>
        <v>40772</v>
      </c>
      <c r="C5543" s="11" t="s">
        <v>1370</v>
      </c>
      <c r="D5543" s="11" t="s">
        <v>28</v>
      </c>
    </row>
    <row r="5544">
      <c r="A5544" s="11">
        <v>5543.0</v>
      </c>
      <c r="B5544" s="12">
        <f t="shared" ref="B5544:B5546" si="882">DATE(2012,12,31)-501</f>
        <v>40773</v>
      </c>
      <c r="C5544" s="11" t="s">
        <v>850</v>
      </c>
      <c r="D5544" s="11" t="s">
        <v>66</v>
      </c>
    </row>
    <row r="5545">
      <c r="A5545" s="11">
        <v>5544.0</v>
      </c>
      <c r="B5545" s="12">
        <f t="shared" si="882"/>
        <v>40773</v>
      </c>
      <c r="C5545" s="11" t="s">
        <v>215</v>
      </c>
      <c r="D5545" s="11" t="s">
        <v>28</v>
      </c>
    </row>
    <row r="5546">
      <c r="A5546" s="11">
        <v>5545.0</v>
      </c>
      <c r="B5546" s="12">
        <f t="shared" si="882"/>
        <v>40773</v>
      </c>
      <c r="C5546" s="11" t="s">
        <v>227</v>
      </c>
      <c r="D5546" s="11" t="s">
        <v>28</v>
      </c>
    </row>
    <row r="5547">
      <c r="A5547" s="11">
        <v>5546.0</v>
      </c>
      <c r="B5547" s="12">
        <f t="shared" ref="B5547:B5550" si="883">DATE(2012,12,31)-500</f>
        <v>40774</v>
      </c>
      <c r="C5547" s="11" t="s">
        <v>895</v>
      </c>
      <c r="D5547" s="11" t="s">
        <v>28</v>
      </c>
    </row>
    <row r="5548">
      <c r="A5548" s="11">
        <v>5547.0</v>
      </c>
      <c r="B5548" s="12">
        <f t="shared" si="883"/>
        <v>40774</v>
      </c>
      <c r="C5548" s="11" t="s">
        <v>576</v>
      </c>
      <c r="D5548" s="11" t="s">
        <v>28</v>
      </c>
    </row>
    <row r="5549">
      <c r="A5549" s="11">
        <v>5548.0</v>
      </c>
      <c r="B5549" s="12">
        <f t="shared" si="883"/>
        <v>40774</v>
      </c>
      <c r="C5549" s="11" t="s">
        <v>1518</v>
      </c>
      <c r="D5549" s="11" t="s">
        <v>66</v>
      </c>
    </row>
    <row r="5550">
      <c r="A5550" s="11">
        <v>5549.0</v>
      </c>
      <c r="B5550" s="12">
        <f t="shared" si="883"/>
        <v>40774</v>
      </c>
      <c r="C5550" s="11" t="s">
        <v>1518</v>
      </c>
      <c r="D5550" s="11" t="s">
        <v>28</v>
      </c>
    </row>
    <row r="5551">
      <c r="A5551" s="11">
        <v>5550.0</v>
      </c>
      <c r="B5551" s="12">
        <f t="shared" ref="B5551:B5559" si="884">DATE(2012,12,31)-499</f>
        <v>40775</v>
      </c>
      <c r="C5551" s="11" t="s">
        <v>1108</v>
      </c>
      <c r="D5551" s="11" t="s">
        <v>66</v>
      </c>
    </row>
    <row r="5552">
      <c r="A5552" s="11">
        <v>5551.0</v>
      </c>
      <c r="B5552" s="12">
        <f t="shared" si="884"/>
        <v>40775</v>
      </c>
      <c r="C5552" s="11" t="s">
        <v>1648</v>
      </c>
      <c r="D5552" s="11" t="s">
        <v>28</v>
      </c>
    </row>
    <row r="5553">
      <c r="A5553" s="11">
        <v>5552.0</v>
      </c>
      <c r="B5553" s="12">
        <f t="shared" si="884"/>
        <v>40775</v>
      </c>
      <c r="C5553" s="11" t="s">
        <v>1648</v>
      </c>
      <c r="D5553" s="11" t="s">
        <v>28</v>
      </c>
    </row>
    <row r="5554">
      <c r="A5554" s="11">
        <v>5553.0</v>
      </c>
      <c r="B5554" s="12">
        <f t="shared" si="884"/>
        <v>40775</v>
      </c>
      <c r="C5554" s="11" t="s">
        <v>2314</v>
      </c>
      <c r="D5554" s="11" t="s">
        <v>66</v>
      </c>
    </row>
    <row r="5555">
      <c r="A5555" s="11">
        <v>5554.0</v>
      </c>
      <c r="B5555" s="12">
        <f t="shared" si="884"/>
        <v>40775</v>
      </c>
      <c r="C5555" s="11" t="s">
        <v>227</v>
      </c>
      <c r="D5555" s="11" t="s">
        <v>28</v>
      </c>
    </row>
    <row r="5556">
      <c r="A5556" s="11">
        <v>5555.0</v>
      </c>
      <c r="B5556" s="12">
        <f t="shared" si="884"/>
        <v>40775</v>
      </c>
      <c r="C5556" s="11" t="s">
        <v>2427</v>
      </c>
      <c r="D5556" s="11" t="s">
        <v>66</v>
      </c>
    </row>
    <row r="5557">
      <c r="A5557" s="11">
        <v>5556.0</v>
      </c>
      <c r="B5557" s="12">
        <f t="shared" si="884"/>
        <v>40775</v>
      </c>
      <c r="C5557" s="11" t="s">
        <v>2427</v>
      </c>
      <c r="D5557" s="11" t="s">
        <v>28</v>
      </c>
    </row>
    <row r="5558">
      <c r="A5558" s="11">
        <v>5557.0</v>
      </c>
      <c r="B5558" s="12">
        <f t="shared" si="884"/>
        <v>40775</v>
      </c>
      <c r="C5558" s="11" t="s">
        <v>2167</v>
      </c>
      <c r="D5558" s="11" t="s">
        <v>28</v>
      </c>
    </row>
    <row r="5559">
      <c r="A5559" s="11">
        <v>5558.0</v>
      </c>
      <c r="B5559" s="12">
        <f t="shared" si="884"/>
        <v>40775</v>
      </c>
      <c r="C5559" s="11" t="s">
        <v>2112</v>
      </c>
      <c r="D5559" s="11" t="s">
        <v>28</v>
      </c>
    </row>
    <row r="5560">
      <c r="A5560" s="11">
        <v>5559.0</v>
      </c>
      <c r="B5560" s="12">
        <f t="shared" ref="B5560:B5570" si="885">DATE(2012,12,31)-498</f>
        <v>40776</v>
      </c>
      <c r="C5560" s="11" t="s">
        <v>588</v>
      </c>
      <c r="D5560" s="11" t="s">
        <v>28</v>
      </c>
    </row>
    <row r="5561">
      <c r="A5561" s="11">
        <v>5560.0</v>
      </c>
      <c r="B5561" s="12">
        <f t="shared" si="885"/>
        <v>40776</v>
      </c>
      <c r="C5561" s="11" t="s">
        <v>1218</v>
      </c>
      <c r="D5561" s="11" t="s">
        <v>49</v>
      </c>
    </row>
    <row r="5562">
      <c r="A5562" s="11">
        <v>5561.0</v>
      </c>
      <c r="B5562" s="12">
        <f t="shared" si="885"/>
        <v>40776</v>
      </c>
      <c r="C5562" s="11" t="s">
        <v>1218</v>
      </c>
      <c r="D5562" s="11" t="s">
        <v>66</v>
      </c>
    </row>
    <row r="5563">
      <c r="A5563" s="11">
        <v>5562.0</v>
      </c>
      <c r="B5563" s="12">
        <f t="shared" si="885"/>
        <v>40776</v>
      </c>
      <c r="C5563" s="11" t="s">
        <v>850</v>
      </c>
      <c r="D5563" s="11" t="s">
        <v>66</v>
      </c>
    </row>
    <row r="5564">
      <c r="A5564" s="11">
        <v>5563.0</v>
      </c>
      <c r="B5564" s="12">
        <f t="shared" si="885"/>
        <v>40776</v>
      </c>
      <c r="C5564" s="11" t="s">
        <v>960</v>
      </c>
      <c r="D5564" s="11" t="s">
        <v>28</v>
      </c>
    </row>
    <row r="5565">
      <c r="A5565" s="11">
        <v>5564.0</v>
      </c>
      <c r="B5565" s="12">
        <f t="shared" si="885"/>
        <v>40776</v>
      </c>
      <c r="C5565" s="11" t="s">
        <v>960</v>
      </c>
      <c r="D5565" s="11" t="s">
        <v>66</v>
      </c>
    </row>
    <row r="5566">
      <c r="A5566" s="11">
        <v>5565.0</v>
      </c>
      <c r="B5566" s="12">
        <f t="shared" si="885"/>
        <v>40776</v>
      </c>
      <c r="C5566" s="11" t="s">
        <v>960</v>
      </c>
      <c r="D5566" s="11" t="s">
        <v>49</v>
      </c>
    </row>
    <row r="5567">
      <c r="A5567" s="11">
        <v>5566.0</v>
      </c>
      <c r="B5567" s="12">
        <f t="shared" si="885"/>
        <v>40776</v>
      </c>
      <c r="C5567" s="11" t="s">
        <v>873</v>
      </c>
      <c r="D5567" s="11" t="s">
        <v>28</v>
      </c>
    </row>
    <row r="5568">
      <c r="A5568" s="11">
        <v>5567.0</v>
      </c>
      <c r="B5568" s="12">
        <f t="shared" si="885"/>
        <v>40776</v>
      </c>
      <c r="C5568" s="11" t="s">
        <v>873</v>
      </c>
      <c r="D5568" s="11" t="s">
        <v>66</v>
      </c>
    </row>
    <row r="5569">
      <c r="A5569" s="11">
        <v>5568.0</v>
      </c>
      <c r="B5569" s="12">
        <f t="shared" si="885"/>
        <v>40776</v>
      </c>
      <c r="C5569" s="11" t="s">
        <v>873</v>
      </c>
      <c r="D5569" s="11" t="s">
        <v>28</v>
      </c>
    </row>
    <row r="5570">
      <c r="A5570" s="11">
        <v>5569.0</v>
      </c>
      <c r="B5570" s="12">
        <f t="shared" si="885"/>
        <v>40776</v>
      </c>
      <c r="C5570" s="11" t="s">
        <v>873</v>
      </c>
      <c r="D5570" s="11" t="s">
        <v>49</v>
      </c>
    </row>
    <row r="5571">
      <c r="A5571" s="11">
        <v>5570.0</v>
      </c>
      <c r="B5571" s="12">
        <f t="shared" ref="B5571:B5572" si="886">DATE(2012,12,31)-497</f>
        <v>40777</v>
      </c>
      <c r="C5571" s="11" t="s">
        <v>1564</v>
      </c>
      <c r="D5571" s="11" t="s">
        <v>49</v>
      </c>
    </row>
    <row r="5572">
      <c r="A5572" s="11">
        <v>5571.0</v>
      </c>
      <c r="B5572" s="12">
        <f t="shared" si="886"/>
        <v>40777</v>
      </c>
      <c r="C5572" s="11" t="s">
        <v>1564</v>
      </c>
      <c r="D5572" s="11" t="s">
        <v>28</v>
      </c>
    </row>
    <row r="5573">
      <c r="A5573" s="11">
        <v>5572.0</v>
      </c>
      <c r="B5573" s="12">
        <f t="shared" ref="B5573:B5579" si="887">DATE(2012,12,31)-496</f>
        <v>40778</v>
      </c>
      <c r="C5573" s="11" t="s">
        <v>578</v>
      </c>
      <c r="D5573" s="11" t="s">
        <v>28</v>
      </c>
    </row>
    <row r="5574">
      <c r="A5574" s="11">
        <v>5573.0</v>
      </c>
      <c r="B5574" s="12">
        <f t="shared" si="887"/>
        <v>40778</v>
      </c>
      <c r="C5574" s="11" t="s">
        <v>1929</v>
      </c>
      <c r="D5574" s="11" t="s">
        <v>66</v>
      </c>
    </row>
    <row r="5575">
      <c r="A5575" s="11">
        <v>5574.0</v>
      </c>
      <c r="B5575" s="12">
        <f t="shared" si="887"/>
        <v>40778</v>
      </c>
      <c r="C5575" s="11" t="s">
        <v>1929</v>
      </c>
      <c r="D5575" s="11" t="s">
        <v>28</v>
      </c>
    </row>
    <row r="5576">
      <c r="A5576" s="11">
        <v>5575.0</v>
      </c>
      <c r="B5576" s="12">
        <f t="shared" si="887"/>
        <v>40778</v>
      </c>
      <c r="C5576" s="11" t="s">
        <v>1929</v>
      </c>
      <c r="D5576" s="11" t="s">
        <v>66</v>
      </c>
    </row>
    <row r="5577">
      <c r="A5577" s="11">
        <v>5576.0</v>
      </c>
      <c r="B5577" s="12">
        <f t="shared" si="887"/>
        <v>40778</v>
      </c>
      <c r="C5577" s="11" t="s">
        <v>1886</v>
      </c>
      <c r="D5577" s="11" t="s">
        <v>28</v>
      </c>
    </row>
    <row r="5578">
      <c r="A5578" s="11">
        <v>5577.0</v>
      </c>
      <c r="B5578" s="12">
        <f t="shared" si="887"/>
        <v>40778</v>
      </c>
      <c r="C5578" s="11" t="s">
        <v>1629</v>
      </c>
      <c r="D5578" s="11" t="s">
        <v>49</v>
      </c>
    </row>
    <row r="5579">
      <c r="A5579" s="11">
        <v>5578.0</v>
      </c>
      <c r="B5579" s="12">
        <f t="shared" si="887"/>
        <v>40778</v>
      </c>
      <c r="C5579" s="11" t="s">
        <v>1629</v>
      </c>
      <c r="D5579" s="11" t="s">
        <v>66</v>
      </c>
    </row>
    <row r="5580">
      <c r="A5580" s="11">
        <v>5579.0</v>
      </c>
      <c r="B5580" s="12">
        <f t="shared" ref="B5580:B5582" si="888">DATE(2012,12,31)-495</f>
        <v>40779</v>
      </c>
      <c r="C5580" s="11" t="s">
        <v>148</v>
      </c>
      <c r="D5580" s="11" t="s">
        <v>28</v>
      </c>
    </row>
    <row r="5581">
      <c r="A5581" s="11">
        <v>5580.0</v>
      </c>
      <c r="B5581" s="12">
        <f t="shared" si="888"/>
        <v>40779</v>
      </c>
      <c r="C5581" s="11" t="s">
        <v>581</v>
      </c>
      <c r="D5581" s="11" t="s">
        <v>28</v>
      </c>
    </row>
    <row r="5582">
      <c r="A5582" s="11">
        <v>5581.0</v>
      </c>
      <c r="B5582" s="12">
        <f t="shared" si="888"/>
        <v>40779</v>
      </c>
      <c r="C5582" s="11" t="s">
        <v>581</v>
      </c>
      <c r="D5582" s="11" t="s">
        <v>66</v>
      </c>
    </row>
    <row r="5583">
      <c r="A5583" s="11">
        <v>5582.0</v>
      </c>
      <c r="B5583" s="12">
        <f t="shared" ref="B5583:B5592" si="889">DATE(2012,12,31)-494</f>
        <v>40780</v>
      </c>
      <c r="C5583" s="11" t="s">
        <v>2301</v>
      </c>
      <c r="D5583" s="11" t="s">
        <v>49</v>
      </c>
    </row>
    <row r="5584">
      <c r="A5584" s="11">
        <v>5583.0</v>
      </c>
      <c r="B5584" s="12">
        <f t="shared" si="889"/>
        <v>40780</v>
      </c>
      <c r="C5584" s="11" t="s">
        <v>634</v>
      </c>
      <c r="D5584" s="11" t="s">
        <v>49</v>
      </c>
    </row>
    <row r="5585">
      <c r="A5585" s="11">
        <v>5584.0</v>
      </c>
      <c r="B5585" s="12">
        <f t="shared" si="889"/>
        <v>40780</v>
      </c>
      <c r="C5585" s="11" t="s">
        <v>634</v>
      </c>
      <c r="D5585" s="11" t="s">
        <v>28</v>
      </c>
    </row>
    <row r="5586">
      <c r="A5586" s="11">
        <v>5585.0</v>
      </c>
      <c r="B5586" s="12">
        <f t="shared" si="889"/>
        <v>40780</v>
      </c>
      <c r="C5586" s="11" t="s">
        <v>1231</v>
      </c>
      <c r="D5586" s="11" t="s">
        <v>66</v>
      </c>
    </row>
    <row r="5587">
      <c r="A5587" s="11">
        <v>5586.0</v>
      </c>
      <c r="B5587" s="12">
        <f t="shared" si="889"/>
        <v>40780</v>
      </c>
      <c r="C5587" s="11" t="s">
        <v>1231</v>
      </c>
      <c r="D5587" s="11" t="s">
        <v>28</v>
      </c>
    </row>
    <row r="5588">
      <c r="A5588" s="11">
        <v>5587.0</v>
      </c>
      <c r="B5588" s="12">
        <f t="shared" si="889"/>
        <v>40780</v>
      </c>
      <c r="C5588" s="11" t="s">
        <v>1654</v>
      </c>
      <c r="D5588" s="11" t="s">
        <v>66</v>
      </c>
    </row>
    <row r="5589">
      <c r="A5589" s="11">
        <v>5588.0</v>
      </c>
      <c r="B5589" s="12">
        <f t="shared" si="889"/>
        <v>40780</v>
      </c>
      <c r="C5589" s="11" t="s">
        <v>836</v>
      </c>
      <c r="D5589" s="11" t="s">
        <v>66</v>
      </c>
    </row>
    <row r="5590">
      <c r="A5590" s="11">
        <v>5589.0</v>
      </c>
      <c r="B5590" s="12">
        <f t="shared" si="889"/>
        <v>40780</v>
      </c>
      <c r="C5590" s="11" t="s">
        <v>836</v>
      </c>
      <c r="D5590" s="11" t="s">
        <v>28</v>
      </c>
    </row>
    <row r="5591">
      <c r="A5591" s="11">
        <v>5590.0</v>
      </c>
      <c r="B5591" s="12">
        <f t="shared" si="889"/>
        <v>40780</v>
      </c>
      <c r="C5591" s="11" t="s">
        <v>716</v>
      </c>
      <c r="D5591" s="11" t="s">
        <v>28</v>
      </c>
    </row>
    <row r="5592">
      <c r="A5592" s="11">
        <v>5591.0</v>
      </c>
      <c r="B5592" s="12">
        <f t="shared" si="889"/>
        <v>40780</v>
      </c>
      <c r="C5592" s="11" t="s">
        <v>716</v>
      </c>
      <c r="D5592" s="11" t="s">
        <v>28</v>
      </c>
    </row>
    <row r="5593">
      <c r="A5593" s="11">
        <v>5592.0</v>
      </c>
      <c r="B5593" s="12">
        <f t="shared" ref="B5593:B5597" si="890">DATE(2012,12,31)-493</f>
        <v>40781</v>
      </c>
      <c r="C5593" s="11" t="s">
        <v>2283</v>
      </c>
      <c r="D5593" s="11" t="s">
        <v>28</v>
      </c>
    </row>
    <row r="5594">
      <c r="A5594" s="11">
        <v>5593.0</v>
      </c>
      <c r="B5594" s="12">
        <f t="shared" si="890"/>
        <v>40781</v>
      </c>
      <c r="C5594" s="11" t="s">
        <v>1288</v>
      </c>
      <c r="D5594" s="11" t="s">
        <v>66</v>
      </c>
    </row>
    <row r="5595">
      <c r="A5595" s="11">
        <v>5594.0</v>
      </c>
      <c r="B5595" s="12">
        <f t="shared" si="890"/>
        <v>40781</v>
      </c>
      <c r="C5595" s="11" t="s">
        <v>1288</v>
      </c>
      <c r="D5595" s="11" t="s">
        <v>49</v>
      </c>
    </row>
    <row r="5596">
      <c r="A5596" s="11">
        <v>5595.0</v>
      </c>
      <c r="B5596" s="12">
        <f t="shared" si="890"/>
        <v>40781</v>
      </c>
      <c r="C5596" s="11" t="s">
        <v>1252</v>
      </c>
      <c r="D5596" s="11" t="s">
        <v>28</v>
      </c>
    </row>
    <row r="5597">
      <c r="A5597" s="11">
        <v>5596.0</v>
      </c>
      <c r="B5597" s="12">
        <f t="shared" si="890"/>
        <v>40781</v>
      </c>
      <c r="C5597" s="11" t="s">
        <v>2105</v>
      </c>
      <c r="D5597" s="11" t="s">
        <v>28</v>
      </c>
    </row>
    <row r="5598">
      <c r="A5598" s="11">
        <v>5597.0</v>
      </c>
      <c r="B5598" s="12">
        <f t="shared" ref="B5598:B5602" si="891">DATE(2012,12,31)-491</f>
        <v>40783</v>
      </c>
      <c r="C5598" s="11" t="s">
        <v>1863</v>
      </c>
      <c r="D5598" s="11" t="s">
        <v>28</v>
      </c>
    </row>
    <row r="5599">
      <c r="A5599" s="11">
        <v>5598.0</v>
      </c>
      <c r="B5599" s="12">
        <f t="shared" si="891"/>
        <v>40783</v>
      </c>
      <c r="C5599" s="11" t="s">
        <v>337</v>
      </c>
      <c r="D5599" s="11" t="s">
        <v>49</v>
      </c>
    </row>
    <row r="5600">
      <c r="A5600" s="11">
        <v>5599.0</v>
      </c>
      <c r="B5600" s="12">
        <f t="shared" si="891"/>
        <v>40783</v>
      </c>
      <c r="C5600" s="11" t="s">
        <v>2079</v>
      </c>
      <c r="D5600" s="11" t="s">
        <v>28</v>
      </c>
    </row>
    <row r="5601">
      <c r="A5601" s="11">
        <v>5600.0</v>
      </c>
      <c r="B5601" s="12">
        <f t="shared" si="891"/>
        <v>40783</v>
      </c>
      <c r="C5601" s="11" t="s">
        <v>1332</v>
      </c>
      <c r="D5601" s="11" t="s">
        <v>28</v>
      </c>
    </row>
    <row r="5602">
      <c r="A5602" s="11">
        <v>5601.0</v>
      </c>
      <c r="B5602" s="12">
        <f t="shared" si="891"/>
        <v>40783</v>
      </c>
      <c r="C5602" s="11" t="s">
        <v>1332</v>
      </c>
      <c r="D5602" s="11" t="s">
        <v>28</v>
      </c>
    </row>
    <row r="5603">
      <c r="A5603" s="11">
        <v>5602.0</v>
      </c>
      <c r="B5603" s="12">
        <f t="shared" ref="B5603:B5606" si="892">DATE(2012,12,31)-489</f>
        <v>40785</v>
      </c>
      <c r="C5603" s="11" t="s">
        <v>2486</v>
      </c>
      <c r="D5603" s="11" t="s">
        <v>28</v>
      </c>
    </row>
    <row r="5604">
      <c r="A5604" s="11">
        <v>5603.0</v>
      </c>
      <c r="B5604" s="12">
        <f t="shared" si="892"/>
        <v>40785</v>
      </c>
      <c r="C5604" s="11" t="s">
        <v>2321</v>
      </c>
      <c r="D5604" s="11" t="s">
        <v>66</v>
      </c>
    </row>
    <row r="5605">
      <c r="A5605" s="11">
        <v>5604.0</v>
      </c>
      <c r="B5605" s="12">
        <f t="shared" si="892"/>
        <v>40785</v>
      </c>
      <c r="C5605" s="11" t="s">
        <v>2078</v>
      </c>
      <c r="D5605" s="11" t="s">
        <v>49</v>
      </c>
    </row>
    <row r="5606">
      <c r="A5606" s="11">
        <v>5605.0</v>
      </c>
      <c r="B5606" s="12">
        <f t="shared" si="892"/>
        <v>40785</v>
      </c>
      <c r="C5606" s="11" t="s">
        <v>588</v>
      </c>
      <c r="D5606" s="11" t="s">
        <v>28</v>
      </c>
    </row>
    <row r="5607">
      <c r="A5607" s="11">
        <v>5606.0</v>
      </c>
      <c r="B5607" s="12">
        <f t="shared" ref="B5607:B5614" si="893">DATE(2012,12,31)-488</f>
        <v>40786</v>
      </c>
      <c r="C5607" s="11" t="s">
        <v>2372</v>
      </c>
      <c r="D5607" s="11" t="s">
        <v>66</v>
      </c>
    </row>
    <row r="5608">
      <c r="A5608" s="11">
        <v>5607.0</v>
      </c>
      <c r="B5608" s="12">
        <f t="shared" si="893"/>
        <v>40786</v>
      </c>
      <c r="C5608" s="11" t="s">
        <v>2372</v>
      </c>
      <c r="D5608" s="11" t="s">
        <v>28</v>
      </c>
    </row>
    <row r="5609">
      <c r="A5609" s="11">
        <v>5608.0</v>
      </c>
      <c r="B5609" s="12">
        <f t="shared" si="893"/>
        <v>40786</v>
      </c>
      <c r="C5609" s="11" t="s">
        <v>2372</v>
      </c>
      <c r="D5609" s="11" t="s">
        <v>28</v>
      </c>
    </row>
    <row r="5610">
      <c r="A5610" s="11">
        <v>5609.0</v>
      </c>
      <c r="B5610" s="12">
        <f t="shared" si="893"/>
        <v>40786</v>
      </c>
      <c r="C5610" s="11" t="s">
        <v>2372</v>
      </c>
      <c r="D5610" s="11" t="s">
        <v>66</v>
      </c>
    </row>
    <row r="5611">
      <c r="A5611" s="11">
        <v>5610.0</v>
      </c>
      <c r="B5611" s="12">
        <f t="shared" si="893"/>
        <v>40786</v>
      </c>
      <c r="C5611" s="11" t="s">
        <v>690</v>
      </c>
      <c r="D5611" s="11" t="s">
        <v>49</v>
      </c>
    </row>
    <row r="5612">
      <c r="A5612" s="11">
        <v>5611.0</v>
      </c>
      <c r="B5612" s="12">
        <f t="shared" si="893"/>
        <v>40786</v>
      </c>
      <c r="C5612" s="11" t="s">
        <v>690</v>
      </c>
      <c r="D5612" s="11" t="s">
        <v>49</v>
      </c>
    </row>
    <row r="5613">
      <c r="A5613" s="11">
        <v>5612.0</v>
      </c>
      <c r="B5613" s="12">
        <f t="shared" si="893"/>
        <v>40786</v>
      </c>
      <c r="C5613" s="11" t="s">
        <v>1137</v>
      </c>
      <c r="D5613" s="11" t="s">
        <v>28</v>
      </c>
    </row>
    <row r="5614">
      <c r="A5614" s="11">
        <v>5613.0</v>
      </c>
      <c r="B5614" s="12">
        <f t="shared" si="893"/>
        <v>40786</v>
      </c>
      <c r="C5614" s="11" t="s">
        <v>653</v>
      </c>
      <c r="D5614" s="11" t="s">
        <v>66</v>
      </c>
    </row>
    <row r="5615">
      <c r="A5615" s="11">
        <v>5614.0</v>
      </c>
      <c r="B5615" s="12">
        <f t="shared" ref="B5615:B5616" si="894">DATE(2012,12,31)-487</f>
        <v>40787</v>
      </c>
      <c r="C5615" s="11" t="s">
        <v>2116</v>
      </c>
      <c r="D5615" s="11" t="s">
        <v>66</v>
      </c>
    </row>
    <row r="5616">
      <c r="A5616" s="11">
        <v>5615.0</v>
      </c>
      <c r="B5616" s="12">
        <f t="shared" si="894"/>
        <v>40787</v>
      </c>
      <c r="C5616" s="11" t="s">
        <v>510</v>
      </c>
      <c r="D5616" s="11" t="s">
        <v>66</v>
      </c>
    </row>
    <row r="5617">
      <c r="A5617" s="11">
        <v>5616.0</v>
      </c>
      <c r="B5617" s="12">
        <f t="shared" ref="B5617:B5622" si="895">DATE(2012,12,31)-486</f>
        <v>40788</v>
      </c>
      <c r="C5617" s="11" t="s">
        <v>2069</v>
      </c>
      <c r="D5617" s="11" t="s">
        <v>49</v>
      </c>
    </row>
    <row r="5618">
      <c r="A5618" s="11">
        <v>5617.0</v>
      </c>
      <c r="B5618" s="12">
        <f t="shared" si="895"/>
        <v>40788</v>
      </c>
      <c r="C5618" s="11" t="s">
        <v>1103</v>
      </c>
      <c r="D5618" s="11" t="s">
        <v>66</v>
      </c>
    </row>
    <row r="5619">
      <c r="A5619" s="11">
        <v>5618.0</v>
      </c>
      <c r="B5619" s="12">
        <f t="shared" si="895"/>
        <v>40788</v>
      </c>
      <c r="C5619" s="11" t="s">
        <v>1123</v>
      </c>
      <c r="D5619" s="11" t="s">
        <v>66</v>
      </c>
    </row>
    <row r="5620">
      <c r="A5620" s="11">
        <v>5619.0</v>
      </c>
      <c r="B5620" s="12">
        <f t="shared" si="895"/>
        <v>40788</v>
      </c>
      <c r="C5620" s="11" t="s">
        <v>1123</v>
      </c>
      <c r="D5620" s="11" t="s">
        <v>28</v>
      </c>
    </row>
    <row r="5621">
      <c r="A5621" s="11">
        <v>5620.0</v>
      </c>
      <c r="B5621" s="12">
        <f t="shared" si="895"/>
        <v>40788</v>
      </c>
      <c r="C5621" s="11" t="s">
        <v>1123</v>
      </c>
      <c r="D5621" s="11" t="s">
        <v>49</v>
      </c>
    </row>
    <row r="5622">
      <c r="A5622" s="11">
        <v>5621.0</v>
      </c>
      <c r="B5622" s="12">
        <f t="shared" si="895"/>
        <v>40788</v>
      </c>
      <c r="C5622" s="11" t="s">
        <v>2441</v>
      </c>
      <c r="D5622" s="11" t="s">
        <v>28</v>
      </c>
    </row>
    <row r="5623">
      <c r="A5623" s="11">
        <v>5622.0</v>
      </c>
      <c r="B5623" s="12">
        <f t="shared" ref="B5623:B5631" si="896">DATE(2012,12,31)-485</f>
        <v>40789</v>
      </c>
      <c r="C5623" s="11" t="s">
        <v>897</v>
      </c>
      <c r="D5623" s="11" t="s">
        <v>28</v>
      </c>
    </row>
    <row r="5624">
      <c r="A5624" s="11">
        <v>5623.0</v>
      </c>
      <c r="B5624" s="12">
        <f t="shared" si="896"/>
        <v>40789</v>
      </c>
      <c r="C5624" s="11" t="s">
        <v>716</v>
      </c>
      <c r="D5624" s="11" t="s">
        <v>66</v>
      </c>
    </row>
    <row r="5625">
      <c r="A5625" s="11">
        <v>5624.0</v>
      </c>
      <c r="B5625" s="12">
        <f t="shared" si="896"/>
        <v>40789</v>
      </c>
      <c r="C5625" s="11" t="s">
        <v>525</v>
      </c>
      <c r="D5625" s="11" t="s">
        <v>28</v>
      </c>
    </row>
    <row r="5626">
      <c r="A5626" s="11">
        <v>5625.0</v>
      </c>
      <c r="B5626" s="12">
        <f t="shared" si="896"/>
        <v>40789</v>
      </c>
      <c r="C5626" s="11" t="s">
        <v>1065</v>
      </c>
      <c r="D5626" s="11" t="s">
        <v>28</v>
      </c>
    </row>
    <row r="5627">
      <c r="A5627" s="11">
        <v>5626.0</v>
      </c>
      <c r="B5627" s="12">
        <f t="shared" si="896"/>
        <v>40789</v>
      </c>
      <c r="C5627" s="11" t="s">
        <v>1065</v>
      </c>
      <c r="D5627" s="11" t="s">
        <v>49</v>
      </c>
    </row>
    <row r="5628">
      <c r="A5628" s="11">
        <v>5627.0</v>
      </c>
      <c r="B5628" s="12">
        <f t="shared" si="896"/>
        <v>40789</v>
      </c>
      <c r="C5628" s="11" t="s">
        <v>1507</v>
      </c>
      <c r="D5628" s="11" t="s">
        <v>28</v>
      </c>
    </row>
    <row r="5629">
      <c r="A5629" s="11">
        <v>5628.0</v>
      </c>
      <c r="B5629" s="12">
        <f t="shared" si="896"/>
        <v>40789</v>
      </c>
      <c r="C5629" s="11" t="s">
        <v>1507</v>
      </c>
      <c r="D5629" s="11" t="s">
        <v>28</v>
      </c>
    </row>
    <row r="5630">
      <c r="A5630" s="11">
        <v>5629.0</v>
      </c>
      <c r="B5630" s="12">
        <f t="shared" si="896"/>
        <v>40789</v>
      </c>
      <c r="C5630" s="11" t="s">
        <v>648</v>
      </c>
      <c r="D5630" s="11" t="s">
        <v>66</v>
      </c>
    </row>
    <row r="5631">
      <c r="A5631" s="11">
        <v>5630.0</v>
      </c>
      <c r="B5631" s="12">
        <f t="shared" si="896"/>
        <v>40789</v>
      </c>
      <c r="C5631" s="11" t="s">
        <v>648</v>
      </c>
      <c r="D5631" s="11" t="s">
        <v>49</v>
      </c>
    </row>
    <row r="5632">
      <c r="A5632" s="11">
        <v>5631.0</v>
      </c>
      <c r="B5632" s="12">
        <f t="shared" ref="B5632:B5639" si="897">DATE(2012,12,31)-484</f>
        <v>40790</v>
      </c>
      <c r="C5632" s="11" t="s">
        <v>895</v>
      </c>
      <c r="D5632" s="11" t="s">
        <v>28</v>
      </c>
    </row>
    <row r="5633">
      <c r="A5633" s="11">
        <v>5632.0</v>
      </c>
      <c r="B5633" s="12">
        <f t="shared" si="897"/>
        <v>40790</v>
      </c>
      <c r="C5633" s="11" t="s">
        <v>982</v>
      </c>
      <c r="D5633" s="11" t="s">
        <v>66</v>
      </c>
    </row>
    <row r="5634">
      <c r="A5634" s="11">
        <v>5633.0</v>
      </c>
      <c r="B5634" s="12">
        <f t="shared" si="897"/>
        <v>40790</v>
      </c>
      <c r="C5634" s="11" t="s">
        <v>1907</v>
      </c>
      <c r="D5634" s="11" t="s">
        <v>49</v>
      </c>
    </row>
    <row r="5635">
      <c r="A5635" s="11">
        <v>5634.0</v>
      </c>
      <c r="B5635" s="12">
        <f t="shared" si="897"/>
        <v>40790</v>
      </c>
      <c r="C5635" s="11" t="s">
        <v>300</v>
      </c>
      <c r="D5635" s="11" t="s">
        <v>49</v>
      </c>
    </row>
    <row r="5636">
      <c r="A5636" s="11">
        <v>5635.0</v>
      </c>
      <c r="B5636" s="12">
        <f t="shared" si="897"/>
        <v>40790</v>
      </c>
      <c r="C5636" s="11" t="s">
        <v>300</v>
      </c>
      <c r="D5636" s="11" t="s">
        <v>66</v>
      </c>
    </row>
    <row r="5637">
      <c r="A5637" s="11">
        <v>5636.0</v>
      </c>
      <c r="B5637" s="12">
        <f t="shared" si="897"/>
        <v>40790</v>
      </c>
      <c r="C5637" s="11" t="s">
        <v>1618</v>
      </c>
      <c r="D5637" s="11" t="s">
        <v>28</v>
      </c>
    </row>
    <row r="5638">
      <c r="A5638" s="11">
        <v>5637.0</v>
      </c>
      <c r="B5638" s="12">
        <f t="shared" si="897"/>
        <v>40790</v>
      </c>
      <c r="C5638" s="11" t="s">
        <v>1618</v>
      </c>
      <c r="D5638" s="11" t="s">
        <v>66</v>
      </c>
    </row>
    <row r="5639">
      <c r="A5639" s="11">
        <v>5638.0</v>
      </c>
      <c r="B5639" s="12">
        <f t="shared" si="897"/>
        <v>40790</v>
      </c>
      <c r="C5639" s="11" t="s">
        <v>320</v>
      </c>
      <c r="D5639" s="11" t="s">
        <v>28</v>
      </c>
    </row>
    <row r="5640">
      <c r="A5640" s="11">
        <v>5639.0</v>
      </c>
      <c r="B5640" s="12">
        <f t="shared" ref="B5640:B5643" si="898">DATE(2012,12,31)-483</f>
        <v>40791</v>
      </c>
      <c r="C5640" s="11" t="s">
        <v>863</v>
      </c>
      <c r="D5640" s="11" t="s">
        <v>28</v>
      </c>
    </row>
    <row r="5641">
      <c r="A5641" s="11">
        <v>5640.0</v>
      </c>
      <c r="B5641" s="12">
        <f t="shared" si="898"/>
        <v>40791</v>
      </c>
      <c r="C5641" s="11" t="s">
        <v>1257</v>
      </c>
      <c r="D5641" s="11" t="s">
        <v>28</v>
      </c>
    </row>
    <row r="5642">
      <c r="A5642" s="11">
        <v>5641.0</v>
      </c>
      <c r="B5642" s="12">
        <f t="shared" si="898"/>
        <v>40791</v>
      </c>
      <c r="C5642" s="11" t="s">
        <v>196</v>
      </c>
      <c r="D5642" s="11" t="s">
        <v>49</v>
      </c>
    </row>
    <row r="5643">
      <c r="A5643" s="11">
        <v>5642.0</v>
      </c>
      <c r="B5643" s="12">
        <f t="shared" si="898"/>
        <v>40791</v>
      </c>
      <c r="C5643" s="11" t="s">
        <v>1821</v>
      </c>
      <c r="D5643" s="11" t="s">
        <v>28</v>
      </c>
    </row>
    <row r="5644">
      <c r="A5644" s="11">
        <v>5643.0</v>
      </c>
      <c r="B5644" s="12">
        <f t="shared" ref="B5644:B5647" si="899">DATE(2012,12,31)-482</f>
        <v>40792</v>
      </c>
      <c r="C5644" s="11" t="s">
        <v>1731</v>
      </c>
      <c r="D5644" s="11" t="s">
        <v>66</v>
      </c>
    </row>
    <row r="5645">
      <c r="A5645" s="11">
        <v>5644.0</v>
      </c>
      <c r="B5645" s="12">
        <f t="shared" si="899"/>
        <v>40792</v>
      </c>
      <c r="C5645" s="11" t="s">
        <v>1482</v>
      </c>
      <c r="D5645" s="11" t="s">
        <v>28</v>
      </c>
    </row>
    <row r="5646">
      <c r="A5646" s="11">
        <v>5645.0</v>
      </c>
      <c r="B5646" s="12">
        <f t="shared" si="899"/>
        <v>40792</v>
      </c>
      <c r="C5646" s="11" t="s">
        <v>2069</v>
      </c>
      <c r="D5646" s="11" t="s">
        <v>28</v>
      </c>
    </row>
    <row r="5647">
      <c r="A5647" s="11">
        <v>5646.0</v>
      </c>
      <c r="B5647" s="12">
        <f t="shared" si="899"/>
        <v>40792</v>
      </c>
      <c r="C5647" s="11" t="s">
        <v>2069</v>
      </c>
      <c r="D5647" s="11" t="s">
        <v>28</v>
      </c>
    </row>
    <row r="5648">
      <c r="A5648" s="11">
        <v>5647.0</v>
      </c>
      <c r="B5648" s="12">
        <f t="shared" ref="B5648:B5653" si="900">DATE(2012,12,31)-481</f>
        <v>40793</v>
      </c>
      <c r="C5648" s="11" t="s">
        <v>1072</v>
      </c>
      <c r="D5648" s="11" t="s">
        <v>28</v>
      </c>
    </row>
    <row r="5649">
      <c r="A5649" s="11">
        <v>5648.0</v>
      </c>
      <c r="B5649" s="12">
        <f t="shared" si="900"/>
        <v>40793</v>
      </c>
      <c r="C5649" s="11" t="s">
        <v>525</v>
      </c>
      <c r="D5649" s="11" t="s">
        <v>28</v>
      </c>
    </row>
    <row r="5650">
      <c r="A5650" s="11">
        <v>5649.0</v>
      </c>
      <c r="B5650" s="12">
        <f t="shared" si="900"/>
        <v>40793</v>
      </c>
      <c r="C5650" s="11" t="s">
        <v>525</v>
      </c>
      <c r="D5650" s="11" t="s">
        <v>28</v>
      </c>
    </row>
    <row r="5651">
      <c r="A5651" s="11">
        <v>5650.0</v>
      </c>
      <c r="B5651" s="12">
        <f t="shared" si="900"/>
        <v>40793</v>
      </c>
      <c r="C5651" s="11" t="s">
        <v>453</v>
      </c>
      <c r="D5651" s="11" t="s">
        <v>28</v>
      </c>
    </row>
    <row r="5652">
      <c r="A5652" s="11">
        <v>5651.0</v>
      </c>
      <c r="B5652" s="12">
        <f t="shared" si="900"/>
        <v>40793</v>
      </c>
      <c r="C5652" s="11" t="s">
        <v>421</v>
      </c>
      <c r="D5652" s="11" t="s">
        <v>66</v>
      </c>
    </row>
    <row r="5653">
      <c r="A5653" s="11">
        <v>5652.0</v>
      </c>
      <c r="B5653" s="12">
        <f t="shared" si="900"/>
        <v>40793</v>
      </c>
      <c r="C5653" s="11" t="s">
        <v>1872</v>
      </c>
      <c r="D5653" s="11" t="s">
        <v>28</v>
      </c>
    </row>
    <row r="5654">
      <c r="A5654" s="11">
        <v>5653.0</v>
      </c>
      <c r="B5654" s="12">
        <f t="shared" ref="B5654:B5660" si="901">DATE(2012,12,31)-480</f>
        <v>40794</v>
      </c>
      <c r="C5654" s="11" t="s">
        <v>2086</v>
      </c>
      <c r="D5654" s="11" t="s">
        <v>28</v>
      </c>
    </row>
    <row r="5655">
      <c r="A5655" s="11">
        <v>5654.0</v>
      </c>
      <c r="B5655" s="12">
        <f t="shared" si="901"/>
        <v>40794</v>
      </c>
      <c r="C5655" s="11" t="s">
        <v>131</v>
      </c>
      <c r="D5655" s="11" t="s">
        <v>66</v>
      </c>
    </row>
    <row r="5656">
      <c r="A5656" s="11">
        <v>5655.0</v>
      </c>
      <c r="B5656" s="12">
        <f t="shared" si="901"/>
        <v>40794</v>
      </c>
      <c r="C5656" s="11" t="s">
        <v>131</v>
      </c>
      <c r="D5656" s="11" t="s">
        <v>28</v>
      </c>
    </row>
    <row r="5657">
      <c r="A5657" s="11">
        <v>5656.0</v>
      </c>
      <c r="B5657" s="12">
        <f t="shared" si="901"/>
        <v>40794</v>
      </c>
      <c r="C5657" s="11" t="s">
        <v>1314</v>
      </c>
      <c r="D5657" s="11" t="s">
        <v>49</v>
      </c>
    </row>
    <row r="5658">
      <c r="A5658" s="11">
        <v>5657.0</v>
      </c>
      <c r="B5658" s="12">
        <f t="shared" si="901"/>
        <v>40794</v>
      </c>
      <c r="C5658" s="11" t="s">
        <v>1314</v>
      </c>
      <c r="D5658" s="11" t="s">
        <v>28</v>
      </c>
    </row>
    <row r="5659">
      <c r="A5659" s="11">
        <v>5658.0</v>
      </c>
      <c r="B5659" s="12">
        <f t="shared" si="901"/>
        <v>40794</v>
      </c>
      <c r="C5659" s="11" t="s">
        <v>2027</v>
      </c>
      <c r="D5659" s="11" t="s">
        <v>66</v>
      </c>
    </row>
    <row r="5660">
      <c r="A5660" s="11">
        <v>5659.0</v>
      </c>
      <c r="B5660" s="12">
        <f t="shared" si="901"/>
        <v>40794</v>
      </c>
      <c r="C5660" s="11" t="s">
        <v>2557</v>
      </c>
      <c r="D5660" s="11" t="s">
        <v>49</v>
      </c>
    </row>
    <row r="5661">
      <c r="A5661" s="11">
        <v>5660.0</v>
      </c>
      <c r="B5661" s="12">
        <f t="shared" ref="B5661:B5663" si="902">DATE(2012,12,31)-479</f>
        <v>40795</v>
      </c>
      <c r="C5661" s="11" t="s">
        <v>2165</v>
      </c>
      <c r="D5661" s="11" t="s">
        <v>66</v>
      </c>
    </row>
    <row r="5662">
      <c r="A5662" s="11">
        <v>5661.0</v>
      </c>
      <c r="B5662" s="12">
        <f t="shared" si="902"/>
        <v>40795</v>
      </c>
      <c r="C5662" s="11" t="s">
        <v>1440</v>
      </c>
      <c r="D5662" s="11" t="s">
        <v>49</v>
      </c>
    </row>
    <row r="5663">
      <c r="A5663" s="11">
        <v>5662.0</v>
      </c>
      <c r="B5663" s="12">
        <f t="shared" si="902"/>
        <v>40795</v>
      </c>
      <c r="C5663" s="11" t="s">
        <v>1650</v>
      </c>
      <c r="D5663" s="11" t="s">
        <v>49</v>
      </c>
    </row>
    <row r="5664">
      <c r="A5664" s="11">
        <v>5663.0</v>
      </c>
      <c r="B5664" s="12">
        <f t="shared" ref="B5664:B5670" si="903">DATE(2012,12,31)-478</f>
        <v>40796</v>
      </c>
      <c r="C5664" s="11" t="s">
        <v>491</v>
      </c>
      <c r="D5664" s="11" t="s">
        <v>28</v>
      </c>
    </row>
    <row r="5665">
      <c r="A5665" s="11">
        <v>5664.0</v>
      </c>
      <c r="B5665" s="12">
        <f t="shared" si="903"/>
        <v>40796</v>
      </c>
      <c r="C5665" s="11" t="s">
        <v>2141</v>
      </c>
      <c r="D5665" s="11" t="s">
        <v>28</v>
      </c>
    </row>
    <row r="5666">
      <c r="A5666" s="11">
        <v>5665.0</v>
      </c>
      <c r="B5666" s="12">
        <f t="shared" si="903"/>
        <v>40796</v>
      </c>
      <c r="C5666" s="11" t="s">
        <v>1017</v>
      </c>
      <c r="D5666" s="11" t="s">
        <v>28</v>
      </c>
    </row>
    <row r="5667">
      <c r="A5667" s="11">
        <v>5666.0</v>
      </c>
      <c r="B5667" s="12">
        <f t="shared" si="903"/>
        <v>40796</v>
      </c>
      <c r="C5667" s="11" t="s">
        <v>2475</v>
      </c>
      <c r="D5667" s="11" t="s">
        <v>49</v>
      </c>
    </row>
    <row r="5668">
      <c r="A5668" s="11">
        <v>5667.0</v>
      </c>
      <c r="B5668" s="12">
        <f t="shared" si="903"/>
        <v>40796</v>
      </c>
      <c r="C5668" s="11" t="s">
        <v>2475</v>
      </c>
      <c r="D5668" s="11" t="s">
        <v>28</v>
      </c>
    </row>
    <row r="5669">
      <c r="A5669" s="11">
        <v>5668.0</v>
      </c>
      <c r="B5669" s="12">
        <f t="shared" si="903"/>
        <v>40796</v>
      </c>
      <c r="C5669" s="11" t="s">
        <v>1802</v>
      </c>
      <c r="D5669" s="11" t="s">
        <v>49</v>
      </c>
    </row>
    <row r="5670">
      <c r="A5670" s="11">
        <v>5669.0</v>
      </c>
      <c r="B5670" s="12">
        <f t="shared" si="903"/>
        <v>40796</v>
      </c>
      <c r="C5670" s="11" t="s">
        <v>1068</v>
      </c>
      <c r="D5670" s="11" t="s">
        <v>49</v>
      </c>
    </row>
    <row r="5671">
      <c r="A5671" s="11">
        <v>5670.0</v>
      </c>
      <c r="B5671" s="12">
        <f t="shared" ref="B5671:B5676" si="904">DATE(2012,12,31)-477</f>
        <v>40797</v>
      </c>
      <c r="C5671" s="11" t="s">
        <v>1259</v>
      </c>
      <c r="D5671" s="11" t="s">
        <v>66</v>
      </c>
    </row>
    <row r="5672">
      <c r="A5672" s="11">
        <v>5671.0</v>
      </c>
      <c r="B5672" s="12">
        <f t="shared" si="904"/>
        <v>40797</v>
      </c>
      <c r="C5672" s="11" t="s">
        <v>2079</v>
      </c>
      <c r="D5672" s="11" t="s">
        <v>28</v>
      </c>
    </row>
    <row r="5673">
      <c r="A5673" s="11">
        <v>5672.0</v>
      </c>
      <c r="B5673" s="12">
        <f t="shared" si="904"/>
        <v>40797</v>
      </c>
      <c r="C5673" s="11" t="s">
        <v>1448</v>
      </c>
      <c r="D5673" s="11" t="s">
        <v>28</v>
      </c>
    </row>
    <row r="5674">
      <c r="A5674" s="11">
        <v>5673.0</v>
      </c>
      <c r="B5674" s="12">
        <f t="shared" si="904"/>
        <v>40797</v>
      </c>
      <c r="C5674" s="11" t="s">
        <v>426</v>
      </c>
      <c r="D5674" s="11" t="s">
        <v>49</v>
      </c>
    </row>
    <row r="5675">
      <c r="A5675" s="11">
        <v>5674.0</v>
      </c>
      <c r="B5675" s="12">
        <f t="shared" si="904"/>
        <v>40797</v>
      </c>
      <c r="C5675" s="11" t="s">
        <v>1024</v>
      </c>
      <c r="D5675" s="11" t="s">
        <v>49</v>
      </c>
    </row>
    <row r="5676">
      <c r="A5676" s="11">
        <v>5675.0</v>
      </c>
      <c r="B5676" s="12">
        <f t="shared" si="904"/>
        <v>40797</v>
      </c>
      <c r="C5676" s="11" t="s">
        <v>1960</v>
      </c>
      <c r="D5676" s="11" t="s">
        <v>28</v>
      </c>
    </row>
    <row r="5677">
      <c r="A5677" s="11">
        <v>5676.0</v>
      </c>
      <c r="B5677" s="12">
        <f t="shared" ref="B5677:B5686" si="905">DATE(2012,12,31)-476</f>
        <v>40798</v>
      </c>
      <c r="C5677" s="11" t="s">
        <v>1061</v>
      </c>
      <c r="D5677" s="11" t="s">
        <v>28</v>
      </c>
    </row>
    <row r="5678">
      <c r="A5678" s="11">
        <v>5677.0</v>
      </c>
      <c r="B5678" s="12">
        <f t="shared" si="905"/>
        <v>40798</v>
      </c>
      <c r="C5678" s="11" t="s">
        <v>1061</v>
      </c>
      <c r="D5678" s="11" t="s">
        <v>66</v>
      </c>
    </row>
    <row r="5679">
      <c r="A5679" s="11">
        <v>5678.0</v>
      </c>
      <c r="B5679" s="12">
        <f t="shared" si="905"/>
        <v>40798</v>
      </c>
      <c r="C5679" s="11" t="s">
        <v>1089</v>
      </c>
      <c r="D5679" s="11" t="s">
        <v>28</v>
      </c>
    </row>
    <row r="5680">
      <c r="A5680" s="11">
        <v>5679.0</v>
      </c>
      <c r="B5680" s="12">
        <f t="shared" si="905"/>
        <v>40798</v>
      </c>
      <c r="C5680" s="11" t="s">
        <v>1089</v>
      </c>
      <c r="D5680" s="11" t="s">
        <v>28</v>
      </c>
    </row>
    <row r="5681">
      <c r="A5681" s="11">
        <v>5680.0</v>
      </c>
      <c r="B5681" s="12">
        <f t="shared" si="905"/>
        <v>40798</v>
      </c>
      <c r="C5681" s="11" t="s">
        <v>1811</v>
      </c>
      <c r="D5681" s="11" t="s">
        <v>28</v>
      </c>
    </row>
    <row r="5682">
      <c r="A5682" s="11">
        <v>5681.0</v>
      </c>
      <c r="B5682" s="12">
        <f t="shared" si="905"/>
        <v>40798</v>
      </c>
      <c r="C5682" s="11" t="s">
        <v>1466</v>
      </c>
      <c r="D5682" s="11" t="s">
        <v>49</v>
      </c>
    </row>
    <row r="5683">
      <c r="A5683" s="11">
        <v>5682.0</v>
      </c>
      <c r="B5683" s="12">
        <f t="shared" si="905"/>
        <v>40798</v>
      </c>
      <c r="C5683" s="11" t="s">
        <v>282</v>
      </c>
      <c r="D5683" s="11" t="s">
        <v>28</v>
      </c>
    </row>
    <row r="5684">
      <c r="A5684" s="11">
        <v>5683.0</v>
      </c>
      <c r="B5684" s="12">
        <f t="shared" si="905"/>
        <v>40798</v>
      </c>
      <c r="C5684" s="11" t="s">
        <v>1221</v>
      </c>
      <c r="D5684" s="11" t="s">
        <v>28</v>
      </c>
    </row>
    <row r="5685">
      <c r="A5685" s="11">
        <v>5684.0</v>
      </c>
      <c r="B5685" s="12">
        <f t="shared" si="905"/>
        <v>40798</v>
      </c>
      <c r="C5685" s="11" t="s">
        <v>1212</v>
      </c>
      <c r="D5685" s="11" t="s">
        <v>28</v>
      </c>
    </row>
    <row r="5686">
      <c r="A5686" s="11">
        <v>5685.0</v>
      </c>
      <c r="B5686" s="12">
        <f t="shared" si="905"/>
        <v>40798</v>
      </c>
      <c r="C5686" s="11" t="s">
        <v>2436</v>
      </c>
      <c r="D5686" s="11" t="s">
        <v>28</v>
      </c>
    </row>
    <row r="5687">
      <c r="A5687" s="11">
        <v>5686.0</v>
      </c>
      <c r="B5687" s="12">
        <f t="shared" ref="B5687:B5690" si="906">DATE(2012,12,31)-475</f>
        <v>40799</v>
      </c>
      <c r="C5687" s="11" t="s">
        <v>942</v>
      </c>
      <c r="D5687" s="11" t="s">
        <v>66</v>
      </c>
    </row>
    <row r="5688">
      <c r="A5688" s="11">
        <v>5687.0</v>
      </c>
      <c r="B5688" s="12">
        <f t="shared" si="906"/>
        <v>40799</v>
      </c>
      <c r="C5688" s="11" t="s">
        <v>555</v>
      </c>
      <c r="D5688" s="11" t="s">
        <v>28</v>
      </c>
    </row>
    <row r="5689">
      <c r="A5689" s="11">
        <v>5688.0</v>
      </c>
      <c r="B5689" s="12">
        <f t="shared" si="906"/>
        <v>40799</v>
      </c>
      <c r="C5689" s="11" t="s">
        <v>528</v>
      </c>
      <c r="D5689" s="11" t="s">
        <v>28</v>
      </c>
    </row>
    <row r="5690">
      <c r="A5690" s="11">
        <v>5689.0</v>
      </c>
      <c r="B5690" s="12">
        <f t="shared" si="906"/>
        <v>40799</v>
      </c>
      <c r="C5690" s="11" t="s">
        <v>528</v>
      </c>
      <c r="D5690" s="11" t="s">
        <v>49</v>
      </c>
    </row>
    <row r="5691">
      <c r="A5691" s="11">
        <v>5690.0</v>
      </c>
      <c r="B5691" s="12">
        <f t="shared" ref="B5691:B5692" si="907">DATE(2012,12,31)-474</f>
        <v>40800</v>
      </c>
      <c r="C5691" s="11" t="s">
        <v>831</v>
      </c>
      <c r="D5691" s="11" t="s">
        <v>66</v>
      </c>
    </row>
    <row r="5692">
      <c r="A5692" s="11">
        <v>5691.0</v>
      </c>
      <c r="B5692" s="12">
        <f t="shared" si="907"/>
        <v>40800</v>
      </c>
      <c r="C5692" s="11" t="s">
        <v>1801</v>
      </c>
      <c r="D5692" s="11" t="s">
        <v>49</v>
      </c>
    </row>
    <row r="5693">
      <c r="A5693" s="11">
        <v>5692.0</v>
      </c>
      <c r="B5693" s="12">
        <f t="shared" ref="B5693:B5712" si="908">DATE(2012,12,31)-473</f>
        <v>40801</v>
      </c>
      <c r="C5693" s="11" t="s">
        <v>232</v>
      </c>
      <c r="D5693" s="11" t="s">
        <v>66</v>
      </c>
    </row>
    <row r="5694">
      <c r="A5694" s="11">
        <v>5693.0</v>
      </c>
      <c r="B5694" s="12">
        <f t="shared" si="908"/>
        <v>40801</v>
      </c>
      <c r="C5694" s="11" t="s">
        <v>232</v>
      </c>
      <c r="D5694" s="11" t="s">
        <v>49</v>
      </c>
    </row>
    <row r="5695">
      <c r="A5695" s="11">
        <v>5694.0</v>
      </c>
      <c r="B5695" s="12">
        <f t="shared" si="908"/>
        <v>40801</v>
      </c>
      <c r="C5695" s="11" t="s">
        <v>1439</v>
      </c>
      <c r="D5695" s="11" t="s">
        <v>49</v>
      </c>
    </row>
    <row r="5696">
      <c r="A5696" s="11">
        <v>5695.0</v>
      </c>
      <c r="B5696" s="12">
        <f t="shared" si="908"/>
        <v>40801</v>
      </c>
      <c r="C5696" s="11" t="s">
        <v>1439</v>
      </c>
      <c r="D5696" s="11" t="s">
        <v>66</v>
      </c>
    </row>
    <row r="5697">
      <c r="A5697" s="11">
        <v>5696.0</v>
      </c>
      <c r="B5697" s="12">
        <f t="shared" si="908"/>
        <v>40801</v>
      </c>
      <c r="C5697" s="11" t="s">
        <v>855</v>
      </c>
      <c r="D5697" s="11" t="s">
        <v>28</v>
      </c>
    </row>
    <row r="5698">
      <c r="A5698" s="11">
        <v>5697.0</v>
      </c>
      <c r="B5698" s="12">
        <f t="shared" si="908"/>
        <v>40801</v>
      </c>
      <c r="C5698" s="11" t="s">
        <v>2099</v>
      </c>
      <c r="D5698" s="11" t="s">
        <v>66</v>
      </c>
    </row>
    <row r="5699">
      <c r="A5699" s="11">
        <v>5698.0</v>
      </c>
      <c r="B5699" s="12">
        <f t="shared" si="908"/>
        <v>40801</v>
      </c>
      <c r="C5699" s="11" t="s">
        <v>1086</v>
      </c>
      <c r="D5699" s="11" t="s">
        <v>28</v>
      </c>
    </row>
    <row r="5700">
      <c r="A5700" s="11">
        <v>5699.0</v>
      </c>
      <c r="B5700" s="12">
        <f t="shared" si="908"/>
        <v>40801</v>
      </c>
      <c r="C5700" s="11" t="s">
        <v>1086</v>
      </c>
      <c r="D5700" s="11" t="s">
        <v>28</v>
      </c>
    </row>
    <row r="5701">
      <c r="A5701" s="11">
        <v>5700.0</v>
      </c>
      <c r="B5701" s="12">
        <f t="shared" si="908"/>
        <v>40801</v>
      </c>
      <c r="C5701" s="11" t="s">
        <v>1086</v>
      </c>
      <c r="D5701" s="11" t="s">
        <v>28</v>
      </c>
    </row>
    <row r="5702">
      <c r="A5702" s="11">
        <v>5701.0</v>
      </c>
      <c r="B5702" s="12">
        <f t="shared" si="908"/>
        <v>40801</v>
      </c>
      <c r="C5702" s="11" t="s">
        <v>2064</v>
      </c>
      <c r="D5702" s="11" t="s">
        <v>28</v>
      </c>
    </row>
    <row r="5703">
      <c r="A5703" s="11">
        <v>5702.0</v>
      </c>
      <c r="B5703" s="12">
        <f t="shared" si="908"/>
        <v>40801</v>
      </c>
      <c r="C5703" s="11" t="s">
        <v>2064</v>
      </c>
      <c r="D5703" s="11" t="s">
        <v>66</v>
      </c>
    </row>
    <row r="5704">
      <c r="A5704" s="11">
        <v>5703.0</v>
      </c>
      <c r="B5704" s="12">
        <f t="shared" si="908"/>
        <v>40801</v>
      </c>
      <c r="C5704" s="11" t="s">
        <v>2351</v>
      </c>
      <c r="D5704" s="11" t="s">
        <v>66</v>
      </c>
    </row>
    <row r="5705">
      <c r="A5705" s="11">
        <v>5704.0</v>
      </c>
      <c r="B5705" s="12">
        <f t="shared" si="908"/>
        <v>40801</v>
      </c>
      <c r="C5705" s="11" t="s">
        <v>2351</v>
      </c>
      <c r="D5705" s="11" t="s">
        <v>28</v>
      </c>
    </row>
    <row r="5706">
      <c r="A5706" s="11">
        <v>5705.0</v>
      </c>
      <c r="B5706" s="12">
        <f t="shared" si="908"/>
        <v>40801</v>
      </c>
      <c r="C5706" s="11" t="s">
        <v>2351</v>
      </c>
      <c r="D5706" s="11" t="s">
        <v>66</v>
      </c>
    </row>
    <row r="5707">
      <c r="A5707" s="11">
        <v>5706.0</v>
      </c>
      <c r="B5707" s="12">
        <f t="shared" si="908"/>
        <v>40801</v>
      </c>
      <c r="C5707" s="11" t="s">
        <v>120</v>
      </c>
      <c r="D5707" s="11" t="s">
        <v>66</v>
      </c>
    </row>
    <row r="5708">
      <c r="A5708" s="11">
        <v>5707.0</v>
      </c>
      <c r="B5708" s="12">
        <f t="shared" si="908"/>
        <v>40801</v>
      </c>
      <c r="C5708" s="11" t="s">
        <v>120</v>
      </c>
      <c r="D5708" s="11" t="s">
        <v>49</v>
      </c>
    </row>
    <row r="5709">
      <c r="A5709" s="11">
        <v>5708.0</v>
      </c>
      <c r="B5709" s="12">
        <f t="shared" si="908"/>
        <v>40801</v>
      </c>
      <c r="C5709" s="11" t="s">
        <v>120</v>
      </c>
      <c r="D5709" s="11" t="s">
        <v>49</v>
      </c>
    </row>
    <row r="5710">
      <c r="A5710" s="11">
        <v>5709.0</v>
      </c>
      <c r="B5710" s="12">
        <f t="shared" si="908"/>
        <v>40801</v>
      </c>
      <c r="C5710" s="11" t="s">
        <v>2542</v>
      </c>
      <c r="D5710" s="11" t="s">
        <v>28</v>
      </c>
    </row>
    <row r="5711">
      <c r="A5711" s="11">
        <v>5710.0</v>
      </c>
      <c r="B5711" s="12">
        <f t="shared" si="908"/>
        <v>40801</v>
      </c>
      <c r="C5711" s="11" t="s">
        <v>1814</v>
      </c>
      <c r="D5711" s="11" t="s">
        <v>28</v>
      </c>
    </row>
    <row r="5712">
      <c r="A5712" s="11">
        <v>5711.0</v>
      </c>
      <c r="B5712" s="12">
        <f t="shared" si="908"/>
        <v>40801</v>
      </c>
      <c r="C5712" s="11" t="s">
        <v>1814</v>
      </c>
      <c r="D5712" s="11" t="s">
        <v>28</v>
      </c>
    </row>
    <row r="5713">
      <c r="A5713" s="11">
        <v>5712.0</v>
      </c>
      <c r="B5713" s="12">
        <f>DATE(2012,12,31)-472</f>
        <v>40802</v>
      </c>
      <c r="C5713" s="11" t="s">
        <v>227</v>
      </c>
      <c r="D5713" s="11" t="s">
        <v>66</v>
      </c>
    </row>
    <row r="5714">
      <c r="A5714" s="11">
        <v>5713.0</v>
      </c>
      <c r="B5714" s="12">
        <f>DATE(2012,12,31)-471</f>
        <v>40803</v>
      </c>
      <c r="C5714" s="11" t="s">
        <v>2253</v>
      </c>
      <c r="D5714" s="11" t="s">
        <v>49</v>
      </c>
    </row>
    <row r="5715">
      <c r="A5715" s="11">
        <v>5714.0</v>
      </c>
      <c r="B5715" s="12">
        <f>DATE(2012,12,31)-470</f>
        <v>40804</v>
      </c>
      <c r="C5715" s="11" t="s">
        <v>385</v>
      </c>
      <c r="D5715" s="11" t="s">
        <v>49</v>
      </c>
    </row>
    <row r="5716">
      <c r="A5716" s="11">
        <v>5715.0</v>
      </c>
      <c r="B5716" s="12">
        <f t="shared" ref="B5716:B5723" si="909">DATE(2012,12,31)-469</f>
        <v>40805</v>
      </c>
      <c r="C5716" s="11" t="s">
        <v>793</v>
      </c>
      <c r="D5716" s="11" t="s">
        <v>28</v>
      </c>
    </row>
    <row r="5717">
      <c r="A5717" s="11">
        <v>5716.0</v>
      </c>
      <c r="B5717" s="12">
        <f t="shared" si="909"/>
        <v>40805</v>
      </c>
      <c r="C5717" s="11" t="s">
        <v>148</v>
      </c>
      <c r="D5717" s="11" t="s">
        <v>28</v>
      </c>
    </row>
    <row r="5718">
      <c r="A5718" s="11">
        <v>5717.0</v>
      </c>
      <c r="B5718" s="12">
        <f t="shared" si="909"/>
        <v>40805</v>
      </c>
      <c r="C5718" s="11" t="s">
        <v>1989</v>
      </c>
      <c r="D5718" s="11" t="s">
        <v>28</v>
      </c>
    </row>
    <row r="5719">
      <c r="A5719" s="11">
        <v>5718.0</v>
      </c>
      <c r="B5719" s="12">
        <f t="shared" si="909"/>
        <v>40805</v>
      </c>
      <c r="C5719" s="11" t="s">
        <v>1816</v>
      </c>
      <c r="D5719" s="11" t="s">
        <v>28</v>
      </c>
    </row>
    <row r="5720">
      <c r="A5720" s="11">
        <v>5719.0</v>
      </c>
      <c r="B5720" s="12">
        <f t="shared" si="909"/>
        <v>40805</v>
      </c>
      <c r="C5720" s="11" t="s">
        <v>2165</v>
      </c>
      <c r="D5720" s="11" t="s">
        <v>28</v>
      </c>
    </row>
    <row r="5721">
      <c r="A5721" s="11">
        <v>5720.0</v>
      </c>
      <c r="B5721" s="12">
        <f t="shared" si="909"/>
        <v>40805</v>
      </c>
      <c r="C5721" s="11" t="s">
        <v>953</v>
      </c>
      <c r="D5721" s="11" t="s">
        <v>66</v>
      </c>
    </row>
    <row r="5722">
      <c r="A5722" s="11">
        <v>5721.0</v>
      </c>
      <c r="B5722" s="12">
        <f t="shared" si="909"/>
        <v>40805</v>
      </c>
      <c r="C5722" s="11" t="s">
        <v>953</v>
      </c>
      <c r="D5722" s="11" t="s">
        <v>66</v>
      </c>
    </row>
    <row r="5723">
      <c r="A5723" s="11">
        <v>5722.0</v>
      </c>
      <c r="B5723" s="12">
        <f t="shared" si="909"/>
        <v>40805</v>
      </c>
      <c r="C5723" s="11" t="s">
        <v>2392</v>
      </c>
      <c r="D5723" s="11" t="s">
        <v>66</v>
      </c>
    </row>
    <row r="5724">
      <c r="A5724" s="11">
        <v>5723.0</v>
      </c>
      <c r="B5724" s="12">
        <f>DATE(2012,12,31)-468</f>
        <v>40806</v>
      </c>
      <c r="C5724" s="11" t="s">
        <v>1831</v>
      </c>
      <c r="D5724" s="11" t="s">
        <v>28</v>
      </c>
    </row>
    <row r="5725">
      <c r="A5725" s="11">
        <v>5724.0</v>
      </c>
      <c r="B5725" s="12">
        <f>DATE(2012,12,31)-467</f>
        <v>40807</v>
      </c>
      <c r="C5725" s="11" t="s">
        <v>1747</v>
      </c>
      <c r="D5725" s="11" t="s">
        <v>66</v>
      </c>
    </row>
    <row r="5726">
      <c r="A5726" s="11">
        <v>5725.0</v>
      </c>
      <c r="B5726" s="12">
        <f t="shared" ref="B5726:B5735" si="910">DATE(2012,12,31)-466</f>
        <v>40808</v>
      </c>
      <c r="C5726" s="11" t="s">
        <v>1338</v>
      </c>
      <c r="D5726" s="11" t="s">
        <v>28</v>
      </c>
    </row>
    <row r="5727">
      <c r="A5727" s="11">
        <v>5726.0</v>
      </c>
      <c r="B5727" s="12">
        <f t="shared" si="910"/>
        <v>40808</v>
      </c>
      <c r="C5727" s="11" t="s">
        <v>1338</v>
      </c>
      <c r="D5727" s="11" t="s">
        <v>28</v>
      </c>
    </row>
    <row r="5728">
      <c r="A5728" s="11">
        <v>5727.0</v>
      </c>
      <c r="B5728" s="12">
        <f t="shared" si="910"/>
        <v>40808</v>
      </c>
      <c r="C5728" s="11" t="s">
        <v>1414</v>
      </c>
      <c r="D5728" s="11" t="s">
        <v>28</v>
      </c>
    </row>
    <row r="5729">
      <c r="A5729" s="11">
        <v>5728.0</v>
      </c>
      <c r="B5729" s="12">
        <f t="shared" si="910"/>
        <v>40808</v>
      </c>
      <c r="C5729" s="11" t="s">
        <v>1777</v>
      </c>
      <c r="D5729" s="11" t="s">
        <v>28</v>
      </c>
    </row>
    <row r="5730">
      <c r="A5730" s="11">
        <v>5729.0</v>
      </c>
      <c r="B5730" s="12">
        <f t="shared" si="910"/>
        <v>40808</v>
      </c>
      <c r="C5730" s="11" t="s">
        <v>793</v>
      </c>
      <c r="D5730" s="11" t="s">
        <v>28</v>
      </c>
    </row>
    <row r="5731">
      <c r="A5731" s="11">
        <v>5730.0</v>
      </c>
      <c r="B5731" s="12">
        <f t="shared" si="910"/>
        <v>40808</v>
      </c>
      <c r="C5731" s="11" t="s">
        <v>307</v>
      </c>
      <c r="D5731" s="11" t="s">
        <v>66</v>
      </c>
    </row>
    <row r="5732">
      <c r="A5732" s="11">
        <v>5731.0</v>
      </c>
      <c r="B5732" s="12">
        <f t="shared" si="910"/>
        <v>40808</v>
      </c>
      <c r="C5732" s="11" t="s">
        <v>307</v>
      </c>
      <c r="D5732" s="11" t="s">
        <v>49</v>
      </c>
    </row>
    <row r="5733">
      <c r="A5733" s="11">
        <v>5732.0</v>
      </c>
      <c r="B5733" s="12">
        <f t="shared" si="910"/>
        <v>40808</v>
      </c>
      <c r="C5733" s="11" t="s">
        <v>1499</v>
      </c>
      <c r="D5733" s="11" t="s">
        <v>28</v>
      </c>
    </row>
    <row r="5734">
      <c r="A5734" s="11">
        <v>5733.0</v>
      </c>
      <c r="B5734" s="12">
        <f t="shared" si="910"/>
        <v>40808</v>
      </c>
      <c r="C5734" s="11" t="s">
        <v>1643</v>
      </c>
      <c r="D5734" s="11" t="s">
        <v>49</v>
      </c>
    </row>
    <row r="5735">
      <c r="A5735" s="11">
        <v>5734.0</v>
      </c>
      <c r="B5735" s="12">
        <f t="shared" si="910"/>
        <v>40808</v>
      </c>
      <c r="C5735" s="11" t="s">
        <v>1643</v>
      </c>
      <c r="D5735" s="11" t="s">
        <v>28</v>
      </c>
    </row>
    <row r="5736">
      <c r="A5736" s="11">
        <v>5735.0</v>
      </c>
      <c r="B5736" s="12">
        <f t="shared" ref="B5736:B5742" si="911">DATE(2012,12,31)-465</f>
        <v>40809</v>
      </c>
      <c r="C5736" s="11" t="s">
        <v>1507</v>
      </c>
      <c r="D5736" s="11" t="s">
        <v>28</v>
      </c>
    </row>
    <row r="5737">
      <c r="A5737" s="11">
        <v>5736.0</v>
      </c>
      <c r="B5737" s="12">
        <f t="shared" si="911"/>
        <v>40809</v>
      </c>
      <c r="C5737" s="11" t="s">
        <v>1507</v>
      </c>
      <c r="D5737" s="11" t="s">
        <v>28</v>
      </c>
    </row>
    <row r="5738">
      <c r="A5738" s="11">
        <v>5737.0</v>
      </c>
      <c r="B5738" s="12">
        <f t="shared" si="911"/>
        <v>40809</v>
      </c>
      <c r="C5738" s="11" t="s">
        <v>2514</v>
      </c>
      <c r="D5738" s="11" t="s">
        <v>66</v>
      </c>
    </row>
    <row r="5739">
      <c r="A5739" s="11">
        <v>5738.0</v>
      </c>
      <c r="B5739" s="12">
        <f t="shared" si="911"/>
        <v>40809</v>
      </c>
      <c r="C5739" s="11" t="s">
        <v>2514</v>
      </c>
      <c r="D5739" s="11" t="s">
        <v>49</v>
      </c>
    </row>
    <row r="5740">
      <c r="A5740" s="11">
        <v>5739.0</v>
      </c>
      <c r="B5740" s="12">
        <f t="shared" si="911"/>
        <v>40809</v>
      </c>
      <c r="C5740" s="11" t="s">
        <v>2514</v>
      </c>
      <c r="D5740" s="11" t="s">
        <v>28</v>
      </c>
    </row>
    <row r="5741">
      <c r="A5741" s="11">
        <v>5740.0</v>
      </c>
      <c r="B5741" s="12">
        <f t="shared" si="911"/>
        <v>40809</v>
      </c>
      <c r="C5741" s="11" t="s">
        <v>973</v>
      </c>
      <c r="D5741" s="11" t="s">
        <v>28</v>
      </c>
    </row>
    <row r="5742">
      <c r="A5742" s="11">
        <v>5741.0</v>
      </c>
      <c r="B5742" s="12">
        <f t="shared" si="911"/>
        <v>40809</v>
      </c>
      <c r="C5742" s="11" t="s">
        <v>973</v>
      </c>
      <c r="D5742" s="11" t="s">
        <v>28</v>
      </c>
    </row>
    <row r="5743">
      <c r="A5743" s="11">
        <v>5742.0</v>
      </c>
      <c r="B5743" s="12">
        <f t="shared" ref="B5743:B5750" si="912">DATE(2012,12,31)-464</f>
        <v>40810</v>
      </c>
      <c r="C5743" s="11" t="s">
        <v>465</v>
      </c>
      <c r="D5743" s="11" t="s">
        <v>28</v>
      </c>
    </row>
    <row r="5744">
      <c r="A5744" s="11">
        <v>5743.0</v>
      </c>
      <c r="B5744" s="12">
        <f t="shared" si="912"/>
        <v>40810</v>
      </c>
      <c r="C5744" s="11" t="s">
        <v>465</v>
      </c>
      <c r="D5744" s="11" t="s">
        <v>28</v>
      </c>
    </row>
    <row r="5745">
      <c r="A5745" s="11">
        <v>5744.0</v>
      </c>
      <c r="B5745" s="12">
        <f t="shared" si="912"/>
        <v>40810</v>
      </c>
      <c r="C5745" s="11" t="s">
        <v>1108</v>
      </c>
      <c r="D5745" s="11" t="s">
        <v>66</v>
      </c>
    </row>
    <row r="5746">
      <c r="A5746" s="11">
        <v>5745.0</v>
      </c>
      <c r="B5746" s="12">
        <f t="shared" si="912"/>
        <v>40810</v>
      </c>
      <c r="C5746" s="11" t="s">
        <v>1108</v>
      </c>
      <c r="D5746" s="11" t="s">
        <v>28</v>
      </c>
    </row>
    <row r="5747">
      <c r="A5747" s="11">
        <v>5746.0</v>
      </c>
      <c r="B5747" s="12">
        <f t="shared" si="912"/>
        <v>40810</v>
      </c>
      <c r="C5747" s="11" t="s">
        <v>1108</v>
      </c>
      <c r="D5747" s="11" t="s">
        <v>28</v>
      </c>
    </row>
    <row r="5748">
      <c r="A5748" s="11">
        <v>5747.0</v>
      </c>
      <c r="B5748" s="12">
        <f t="shared" si="912"/>
        <v>40810</v>
      </c>
      <c r="C5748" s="11" t="s">
        <v>1108</v>
      </c>
      <c r="D5748" s="11" t="s">
        <v>49</v>
      </c>
    </row>
    <row r="5749">
      <c r="A5749" s="11">
        <v>5748.0</v>
      </c>
      <c r="B5749" s="12">
        <f t="shared" si="912"/>
        <v>40810</v>
      </c>
      <c r="C5749" s="11" t="s">
        <v>1685</v>
      </c>
      <c r="D5749" s="11" t="s">
        <v>28</v>
      </c>
    </row>
    <row r="5750">
      <c r="A5750" s="11">
        <v>5749.0</v>
      </c>
      <c r="B5750" s="12">
        <f t="shared" si="912"/>
        <v>40810</v>
      </c>
      <c r="C5750" s="11" t="s">
        <v>2478</v>
      </c>
      <c r="D5750" s="11" t="s">
        <v>66</v>
      </c>
    </row>
    <row r="5751">
      <c r="A5751" s="11">
        <v>5750.0</v>
      </c>
      <c r="B5751" s="12">
        <f t="shared" ref="B5751:B5754" si="913">DATE(2012,12,31)-463</f>
        <v>40811</v>
      </c>
      <c r="C5751" s="11" t="s">
        <v>2069</v>
      </c>
      <c r="D5751" s="11" t="s">
        <v>49</v>
      </c>
    </row>
    <row r="5752">
      <c r="A5752" s="11">
        <v>5751.0</v>
      </c>
      <c r="B5752" s="12">
        <f t="shared" si="913"/>
        <v>40811</v>
      </c>
      <c r="C5752" s="11" t="s">
        <v>2069</v>
      </c>
      <c r="D5752" s="11" t="s">
        <v>66</v>
      </c>
    </row>
    <row r="5753">
      <c r="A5753" s="11">
        <v>5752.0</v>
      </c>
      <c r="B5753" s="12">
        <f t="shared" si="913"/>
        <v>40811</v>
      </c>
      <c r="C5753" s="11" t="s">
        <v>403</v>
      </c>
      <c r="D5753" s="11" t="s">
        <v>28</v>
      </c>
    </row>
    <row r="5754">
      <c r="A5754" s="11">
        <v>5753.0</v>
      </c>
      <c r="B5754" s="12">
        <f t="shared" si="913"/>
        <v>40811</v>
      </c>
      <c r="C5754" s="11" t="s">
        <v>403</v>
      </c>
      <c r="D5754" s="11" t="s">
        <v>66</v>
      </c>
    </row>
    <row r="5755">
      <c r="A5755" s="11">
        <v>5754.0</v>
      </c>
      <c r="B5755" s="12">
        <f t="shared" ref="B5755:B5758" si="914">DATE(2012,12,31)-462</f>
        <v>40812</v>
      </c>
      <c r="C5755" s="11" t="s">
        <v>1386</v>
      </c>
      <c r="D5755" s="11" t="s">
        <v>28</v>
      </c>
    </row>
    <row r="5756">
      <c r="A5756" s="11">
        <v>5755.0</v>
      </c>
      <c r="B5756" s="12">
        <f t="shared" si="914"/>
        <v>40812</v>
      </c>
      <c r="C5756" s="11" t="s">
        <v>1292</v>
      </c>
      <c r="D5756" s="11" t="s">
        <v>66</v>
      </c>
    </row>
    <row r="5757">
      <c r="A5757" s="11">
        <v>5756.0</v>
      </c>
      <c r="B5757" s="12">
        <f t="shared" si="914"/>
        <v>40812</v>
      </c>
      <c r="C5757" s="11" t="s">
        <v>2301</v>
      </c>
      <c r="D5757" s="11" t="s">
        <v>28</v>
      </c>
    </row>
    <row r="5758">
      <c r="A5758" s="11">
        <v>5757.0</v>
      </c>
      <c r="B5758" s="12">
        <f t="shared" si="914"/>
        <v>40812</v>
      </c>
      <c r="C5758" s="11" t="s">
        <v>2301</v>
      </c>
      <c r="D5758" s="11" t="s">
        <v>28</v>
      </c>
    </row>
    <row r="5759">
      <c r="A5759" s="11">
        <v>5758.0</v>
      </c>
      <c r="B5759" s="12">
        <f t="shared" ref="B5759:B5761" si="915">DATE(2012,12,31)-461</f>
        <v>40813</v>
      </c>
      <c r="C5759" s="11" t="s">
        <v>622</v>
      </c>
      <c r="D5759" s="11" t="s">
        <v>66</v>
      </c>
    </row>
    <row r="5760">
      <c r="A5760" s="11">
        <v>5759.0</v>
      </c>
      <c r="B5760" s="12">
        <f t="shared" si="915"/>
        <v>40813</v>
      </c>
      <c r="C5760" s="11" t="s">
        <v>1214</v>
      </c>
      <c r="D5760" s="11" t="s">
        <v>66</v>
      </c>
    </row>
    <row r="5761">
      <c r="A5761" s="11">
        <v>5760.0</v>
      </c>
      <c r="B5761" s="12">
        <f t="shared" si="915"/>
        <v>40813</v>
      </c>
      <c r="C5761" s="11" t="s">
        <v>370</v>
      </c>
      <c r="D5761" s="11" t="s">
        <v>28</v>
      </c>
    </row>
    <row r="5762">
      <c r="A5762" s="11">
        <v>5761.0</v>
      </c>
      <c r="B5762" s="12">
        <f t="shared" ref="B5762:B5766" si="916">DATE(2012,12,31)-460</f>
        <v>40814</v>
      </c>
      <c r="C5762" s="11" t="s">
        <v>1349</v>
      </c>
      <c r="D5762" s="11" t="s">
        <v>28</v>
      </c>
    </row>
    <row r="5763">
      <c r="A5763" s="11">
        <v>5762.0</v>
      </c>
      <c r="B5763" s="12">
        <f t="shared" si="916"/>
        <v>40814</v>
      </c>
      <c r="C5763" s="11" t="s">
        <v>1349</v>
      </c>
      <c r="D5763" s="11" t="s">
        <v>28</v>
      </c>
    </row>
    <row r="5764">
      <c r="A5764" s="11">
        <v>5763.0</v>
      </c>
      <c r="B5764" s="12">
        <f t="shared" si="916"/>
        <v>40814</v>
      </c>
      <c r="C5764" s="11" t="s">
        <v>1857</v>
      </c>
      <c r="D5764" s="11" t="s">
        <v>66</v>
      </c>
    </row>
    <row r="5765">
      <c r="A5765" s="11">
        <v>5764.0</v>
      </c>
      <c r="B5765" s="12">
        <f t="shared" si="916"/>
        <v>40814</v>
      </c>
      <c r="C5765" s="11" t="s">
        <v>499</v>
      </c>
      <c r="D5765" s="11" t="s">
        <v>49</v>
      </c>
    </row>
    <row r="5766">
      <c r="A5766" s="11">
        <v>5765.0</v>
      </c>
      <c r="B5766" s="12">
        <f t="shared" si="916"/>
        <v>40814</v>
      </c>
      <c r="C5766" s="11" t="s">
        <v>639</v>
      </c>
      <c r="D5766" s="11" t="s">
        <v>66</v>
      </c>
    </row>
    <row r="5767">
      <c r="A5767" s="11">
        <v>5766.0</v>
      </c>
      <c r="B5767" s="12">
        <f t="shared" ref="B5767:B5773" si="917">DATE(2012,12,31)-459</f>
        <v>40815</v>
      </c>
      <c r="C5767" s="11" t="s">
        <v>689</v>
      </c>
      <c r="D5767" s="11" t="s">
        <v>28</v>
      </c>
    </row>
    <row r="5768">
      <c r="A5768" s="11">
        <v>5767.0</v>
      </c>
      <c r="B5768" s="12">
        <f t="shared" si="917"/>
        <v>40815</v>
      </c>
      <c r="C5768" s="11" t="s">
        <v>689</v>
      </c>
      <c r="D5768" s="11" t="s">
        <v>28</v>
      </c>
    </row>
    <row r="5769">
      <c r="A5769" s="11">
        <v>5768.0</v>
      </c>
      <c r="B5769" s="12">
        <f t="shared" si="917"/>
        <v>40815</v>
      </c>
      <c r="C5769" s="11" t="s">
        <v>2475</v>
      </c>
      <c r="D5769" s="11" t="s">
        <v>28</v>
      </c>
    </row>
    <row r="5770">
      <c r="A5770" s="11">
        <v>5769.0</v>
      </c>
      <c r="B5770" s="12">
        <f t="shared" si="917"/>
        <v>40815</v>
      </c>
      <c r="C5770" s="11" t="s">
        <v>2475</v>
      </c>
      <c r="D5770" s="11" t="s">
        <v>28</v>
      </c>
    </row>
    <row r="5771">
      <c r="A5771" s="11">
        <v>5770.0</v>
      </c>
      <c r="B5771" s="12">
        <f t="shared" si="917"/>
        <v>40815</v>
      </c>
      <c r="C5771" s="11" t="s">
        <v>268</v>
      </c>
      <c r="D5771" s="11" t="s">
        <v>28</v>
      </c>
    </row>
    <row r="5772">
      <c r="A5772" s="11">
        <v>5771.0</v>
      </c>
      <c r="B5772" s="12">
        <f t="shared" si="917"/>
        <v>40815</v>
      </c>
      <c r="C5772" s="11" t="s">
        <v>268</v>
      </c>
      <c r="D5772" s="11" t="s">
        <v>28</v>
      </c>
    </row>
    <row r="5773">
      <c r="A5773" s="11">
        <v>5772.0</v>
      </c>
      <c r="B5773" s="12">
        <f t="shared" si="917"/>
        <v>40815</v>
      </c>
      <c r="C5773" s="11" t="s">
        <v>514</v>
      </c>
      <c r="D5773" s="11" t="s">
        <v>49</v>
      </c>
    </row>
    <row r="5774">
      <c r="A5774" s="11">
        <v>5773.0</v>
      </c>
      <c r="B5774" s="12">
        <f t="shared" ref="B5774:B5776" si="918">DATE(2012,12,31)-458</f>
        <v>40816</v>
      </c>
      <c r="C5774" s="11" t="s">
        <v>1264</v>
      </c>
      <c r="D5774" s="11" t="s">
        <v>66</v>
      </c>
    </row>
    <row r="5775">
      <c r="A5775" s="11">
        <v>5774.0</v>
      </c>
      <c r="B5775" s="12">
        <f t="shared" si="918"/>
        <v>40816</v>
      </c>
      <c r="C5775" s="11" t="s">
        <v>1750</v>
      </c>
      <c r="D5775" s="11" t="s">
        <v>66</v>
      </c>
    </row>
    <row r="5776">
      <c r="A5776" s="11">
        <v>5775.0</v>
      </c>
      <c r="B5776" s="12">
        <f t="shared" si="918"/>
        <v>40816</v>
      </c>
      <c r="C5776" s="11" t="s">
        <v>1750</v>
      </c>
      <c r="D5776" s="11" t="s">
        <v>66</v>
      </c>
    </row>
    <row r="5777">
      <c r="A5777" s="11">
        <v>5776.0</v>
      </c>
      <c r="B5777" s="12">
        <f t="shared" ref="B5777:B5782" si="919">DATE(2012,12,31)-457</f>
        <v>40817</v>
      </c>
      <c r="C5777" s="11" t="s">
        <v>1901</v>
      </c>
      <c r="D5777" s="11" t="s">
        <v>49</v>
      </c>
    </row>
    <row r="5778">
      <c r="A5778" s="11">
        <v>5777.0</v>
      </c>
      <c r="B5778" s="12">
        <f t="shared" si="919"/>
        <v>40817</v>
      </c>
      <c r="C5778" s="11" t="s">
        <v>781</v>
      </c>
      <c r="D5778" s="11" t="s">
        <v>49</v>
      </c>
    </row>
    <row r="5779">
      <c r="A5779" s="11">
        <v>5778.0</v>
      </c>
      <c r="B5779" s="12">
        <f t="shared" si="919"/>
        <v>40817</v>
      </c>
      <c r="C5779" s="11" t="s">
        <v>781</v>
      </c>
      <c r="D5779" s="11" t="s">
        <v>66</v>
      </c>
    </row>
    <row r="5780">
      <c r="A5780" s="11">
        <v>5779.0</v>
      </c>
      <c r="B5780" s="12">
        <f t="shared" si="919"/>
        <v>40817</v>
      </c>
      <c r="C5780" s="11" t="s">
        <v>781</v>
      </c>
      <c r="D5780" s="11" t="s">
        <v>28</v>
      </c>
    </row>
    <row r="5781">
      <c r="A5781" s="11">
        <v>5780.0</v>
      </c>
      <c r="B5781" s="12">
        <f t="shared" si="919"/>
        <v>40817</v>
      </c>
      <c r="C5781" s="11" t="s">
        <v>1338</v>
      </c>
      <c r="D5781" s="11" t="s">
        <v>28</v>
      </c>
    </row>
    <row r="5782">
      <c r="A5782" s="11">
        <v>5781.0</v>
      </c>
      <c r="B5782" s="12">
        <f t="shared" si="919"/>
        <v>40817</v>
      </c>
      <c r="C5782" s="11" t="s">
        <v>1338</v>
      </c>
      <c r="D5782" s="11" t="s">
        <v>66</v>
      </c>
    </row>
    <row r="5783">
      <c r="A5783" s="11">
        <v>5782.0</v>
      </c>
      <c r="B5783" s="12">
        <f t="shared" ref="B5783:B5790" si="920">DATE(2012,12,31)-456</f>
        <v>40818</v>
      </c>
      <c r="C5783" s="11" t="s">
        <v>1264</v>
      </c>
      <c r="D5783" s="11" t="s">
        <v>28</v>
      </c>
    </row>
    <row r="5784">
      <c r="A5784" s="11">
        <v>5783.0</v>
      </c>
      <c r="B5784" s="12">
        <f t="shared" si="920"/>
        <v>40818</v>
      </c>
      <c r="C5784" s="11" t="s">
        <v>1245</v>
      </c>
      <c r="D5784" s="11" t="s">
        <v>49</v>
      </c>
    </row>
    <row r="5785">
      <c r="A5785" s="11">
        <v>5784.0</v>
      </c>
      <c r="B5785" s="12">
        <f t="shared" si="920"/>
        <v>40818</v>
      </c>
      <c r="C5785" s="11" t="s">
        <v>1245</v>
      </c>
      <c r="D5785" s="11" t="s">
        <v>66</v>
      </c>
    </row>
    <row r="5786">
      <c r="A5786" s="11">
        <v>5785.0</v>
      </c>
      <c r="B5786" s="12">
        <f t="shared" si="920"/>
        <v>40818</v>
      </c>
      <c r="C5786" s="11" t="s">
        <v>1245</v>
      </c>
      <c r="D5786" s="11" t="s">
        <v>28</v>
      </c>
    </row>
    <row r="5787">
      <c r="A5787" s="11">
        <v>5786.0</v>
      </c>
      <c r="B5787" s="12">
        <f t="shared" si="920"/>
        <v>40818</v>
      </c>
      <c r="C5787" s="11" t="s">
        <v>1152</v>
      </c>
      <c r="D5787" s="11" t="s">
        <v>28</v>
      </c>
    </row>
    <row r="5788">
      <c r="A5788" s="11">
        <v>5787.0</v>
      </c>
      <c r="B5788" s="12">
        <f t="shared" si="920"/>
        <v>40818</v>
      </c>
      <c r="C5788" s="11" t="s">
        <v>1152</v>
      </c>
      <c r="D5788" s="11" t="s">
        <v>28</v>
      </c>
    </row>
    <row r="5789">
      <c r="A5789" s="11">
        <v>5788.0</v>
      </c>
      <c r="B5789" s="12">
        <f t="shared" si="920"/>
        <v>40818</v>
      </c>
      <c r="C5789" s="11" t="s">
        <v>456</v>
      </c>
      <c r="D5789" s="11" t="s">
        <v>28</v>
      </c>
    </row>
    <row r="5790">
      <c r="A5790" s="11">
        <v>5789.0</v>
      </c>
      <c r="B5790" s="12">
        <f t="shared" si="920"/>
        <v>40818</v>
      </c>
      <c r="C5790" s="11" t="s">
        <v>1773</v>
      </c>
      <c r="D5790" s="11" t="s">
        <v>28</v>
      </c>
    </row>
    <row r="5791">
      <c r="A5791" s="11">
        <v>5790.0</v>
      </c>
      <c r="B5791" s="12">
        <f t="shared" ref="B5791:B5802" si="921">DATE(2012,12,31)-455</f>
        <v>40819</v>
      </c>
      <c r="C5791" s="11" t="s">
        <v>1152</v>
      </c>
      <c r="D5791" s="11" t="s">
        <v>28</v>
      </c>
    </row>
    <row r="5792">
      <c r="A5792" s="11">
        <v>5791.0</v>
      </c>
      <c r="B5792" s="12">
        <f t="shared" si="921"/>
        <v>40819</v>
      </c>
      <c r="C5792" s="11" t="s">
        <v>1152</v>
      </c>
      <c r="D5792" s="11" t="s">
        <v>49</v>
      </c>
    </row>
    <row r="5793">
      <c r="A5793" s="11">
        <v>5792.0</v>
      </c>
      <c r="B5793" s="12">
        <f t="shared" si="921"/>
        <v>40819</v>
      </c>
      <c r="C5793" s="11" t="s">
        <v>1108</v>
      </c>
      <c r="D5793" s="11" t="s">
        <v>28</v>
      </c>
    </row>
    <row r="5794">
      <c r="A5794" s="11">
        <v>5793.0</v>
      </c>
      <c r="B5794" s="12">
        <f t="shared" si="921"/>
        <v>40819</v>
      </c>
      <c r="C5794" s="11" t="s">
        <v>1108</v>
      </c>
      <c r="D5794" s="11" t="s">
        <v>66</v>
      </c>
    </row>
    <row r="5795">
      <c r="A5795" s="11">
        <v>5794.0</v>
      </c>
      <c r="B5795" s="12">
        <f t="shared" si="921"/>
        <v>40819</v>
      </c>
      <c r="C5795" s="11" t="s">
        <v>329</v>
      </c>
      <c r="D5795" s="11" t="s">
        <v>28</v>
      </c>
    </row>
    <row r="5796">
      <c r="A5796" s="11">
        <v>5795.0</v>
      </c>
      <c r="B5796" s="12">
        <f t="shared" si="921"/>
        <v>40819</v>
      </c>
      <c r="C5796" s="11" t="s">
        <v>1013</v>
      </c>
      <c r="D5796" s="11" t="s">
        <v>28</v>
      </c>
    </row>
    <row r="5797">
      <c r="A5797" s="11">
        <v>5796.0</v>
      </c>
      <c r="B5797" s="12">
        <f t="shared" si="921"/>
        <v>40819</v>
      </c>
      <c r="C5797" s="11" t="s">
        <v>839</v>
      </c>
      <c r="D5797" s="11" t="s">
        <v>28</v>
      </c>
    </row>
    <row r="5798">
      <c r="A5798" s="11">
        <v>5797.0</v>
      </c>
      <c r="B5798" s="12">
        <f t="shared" si="921"/>
        <v>40819</v>
      </c>
      <c r="C5798" s="11" t="s">
        <v>839</v>
      </c>
      <c r="D5798" s="11" t="s">
        <v>28</v>
      </c>
    </row>
    <row r="5799">
      <c r="A5799" s="11">
        <v>5798.0</v>
      </c>
      <c r="B5799" s="12">
        <f t="shared" si="921"/>
        <v>40819</v>
      </c>
      <c r="C5799" s="11" t="s">
        <v>839</v>
      </c>
      <c r="D5799" s="11" t="s">
        <v>49</v>
      </c>
    </row>
    <row r="5800">
      <c r="A5800" s="11">
        <v>5799.0</v>
      </c>
      <c r="B5800" s="12">
        <f t="shared" si="921"/>
        <v>40819</v>
      </c>
      <c r="C5800" s="11" t="s">
        <v>593</v>
      </c>
      <c r="D5800" s="11" t="s">
        <v>49</v>
      </c>
    </row>
    <row r="5801">
      <c r="A5801" s="11">
        <v>5800.0</v>
      </c>
      <c r="B5801" s="12">
        <f t="shared" si="921"/>
        <v>40819</v>
      </c>
      <c r="C5801" s="11" t="s">
        <v>831</v>
      </c>
      <c r="D5801" s="11" t="s">
        <v>28</v>
      </c>
    </row>
    <row r="5802">
      <c r="A5802" s="11">
        <v>5801.0</v>
      </c>
      <c r="B5802" s="12">
        <f t="shared" si="921"/>
        <v>40819</v>
      </c>
      <c r="C5802" s="11" t="s">
        <v>831</v>
      </c>
      <c r="D5802" s="11" t="s">
        <v>49</v>
      </c>
    </row>
    <row r="5803">
      <c r="A5803" s="11">
        <v>5802.0</v>
      </c>
      <c r="B5803" s="12">
        <f t="shared" ref="B5803:B5807" si="922">DATE(2012,12,31)-454</f>
        <v>40820</v>
      </c>
      <c r="C5803" s="11" t="s">
        <v>320</v>
      </c>
      <c r="D5803" s="11" t="s">
        <v>49</v>
      </c>
    </row>
    <row r="5804">
      <c r="A5804" s="11">
        <v>5803.0</v>
      </c>
      <c r="B5804" s="12">
        <f t="shared" si="922"/>
        <v>40820</v>
      </c>
      <c r="C5804" s="11" t="s">
        <v>320</v>
      </c>
      <c r="D5804" s="11" t="s">
        <v>28</v>
      </c>
    </row>
    <row r="5805">
      <c r="A5805" s="11">
        <v>5804.0</v>
      </c>
      <c r="B5805" s="12">
        <f t="shared" si="922"/>
        <v>40820</v>
      </c>
      <c r="C5805" s="11" t="s">
        <v>960</v>
      </c>
      <c r="D5805" s="11" t="s">
        <v>28</v>
      </c>
    </row>
    <row r="5806">
      <c r="A5806" s="11">
        <v>5805.0</v>
      </c>
      <c r="B5806" s="12">
        <f t="shared" si="922"/>
        <v>40820</v>
      </c>
      <c r="C5806" s="11" t="s">
        <v>2392</v>
      </c>
      <c r="D5806" s="11" t="s">
        <v>66</v>
      </c>
    </row>
    <row r="5807">
      <c r="A5807" s="11">
        <v>5806.0</v>
      </c>
      <c r="B5807" s="12">
        <f t="shared" si="922"/>
        <v>40820</v>
      </c>
      <c r="C5807" s="11" t="s">
        <v>2392</v>
      </c>
      <c r="D5807" s="11" t="s">
        <v>66</v>
      </c>
    </row>
    <row r="5808">
      <c r="A5808" s="11">
        <v>5807.0</v>
      </c>
      <c r="B5808" s="12">
        <f t="shared" ref="B5808:B5811" si="923">DATE(2012,12,31)-453</f>
        <v>40821</v>
      </c>
      <c r="C5808" s="11" t="s">
        <v>1851</v>
      </c>
      <c r="D5808" s="11" t="s">
        <v>28</v>
      </c>
    </row>
    <row r="5809">
      <c r="A5809" s="11">
        <v>5808.0</v>
      </c>
      <c r="B5809" s="12">
        <f t="shared" si="923"/>
        <v>40821</v>
      </c>
      <c r="C5809" s="11" t="s">
        <v>988</v>
      </c>
      <c r="D5809" s="11" t="s">
        <v>49</v>
      </c>
    </row>
    <row r="5810">
      <c r="A5810" s="11">
        <v>5809.0</v>
      </c>
      <c r="B5810" s="12">
        <f t="shared" si="923"/>
        <v>40821</v>
      </c>
      <c r="C5810" s="11" t="s">
        <v>106</v>
      </c>
      <c r="D5810" s="11" t="s">
        <v>28</v>
      </c>
    </row>
    <row r="5811">
      <c r="A5811" s="11">
        <v>5810.0</v>
      </c>
      <c r="B5811" s="12">
        <f t="shared" si="923"/>
        <v>40821</v>
      </c>
      <c r="C5811" s="11" t="s">
        <v>106</v>
      </c>
      <c r="D5811" s="11" t="s">
        <v>28</v>
      </c>
    </row>
    <row r="5812">
      <c r="A5812" s="11">
        <v>5811.0</v>
      </c>
      <c r="B5812" s="12">
        <f t="shared" ref="B5812:B5816" si="924">DATE(2012,12,31)-452</f>
        <v>40822</v>
      </c>
      <c r="C5812" s="11" t="s">
        <v>2422</v>
      </c>
      <c r="D5812" s="11" t="s">
        <v>28</v>
      </c>
    </row>
    <row r="5813">
      <c r="A5813" s="11">
        <v>5812.0</v>
      </c>
      <c r="B5813" s="12">
        <f t="shared" si="924"/>
        <v>40822</v>
      </c>
      <c r="C5813" s="11" t="s">
        <v>1622</v>
      </c>
      <c r="D5813" s="11" t="s">
        <v>28</v>
      </c>
    </row>
    <row r="5814">
      <c r="A5814" s="11">
        <v>5813.0</v>
      </c>
      <c r="B5814" s="12">
        <f t="shared" si="924"/>
        <v>40822</v>
      </c>
      <c r="C5814" s="11" t="s">
        <v>1622</v>
      </c>
      <c r="D5814" s="11" t="s">
        <v>49</v>
      </c>
    </row>
    <row r="5815">
      <c r="A5815" s="11">
        <v>5814.0</v>
      </c>
      <c r="B5815" s="12">
        <f t="shared" si="924"/>
        <v>40822</v>
      </c>
      <c r="C5815" s="11" t="s">
        <v>1622</v>
      </c>
      <c r="D5815" s="11" t="s">
        <v>66</v>
      </c>
    </row>
    <row r="5816">
      <c r="A5816" s="11">
        <v>5815.0</v>
      </c>
      <c r="B5816" s="12">
        <f t="shared" si="924"/>
        <v>40822</v>
      </c>
      <c r="C5816" s="11" t="s">
        <v>679</v>
      </c>
      <c r="D5816" s="11" t="s">
        <v>66</v>
      </c>
    </row>
    <row r="5817">
      <c r="A5817" s="11">
        <v>5816.0</v>
      </c>
      <c r="B5817" s="12">
        <f t="shared" ref="B5817:B5821" si="925">DATE(2012,12,31)-451</f>
        <v>40823</v>
      </c>
      <c r="C5817" s="11" t="s">
        <v>1332</v>
      </c>
      <c r="D5817" s="11" t="s">
        <v>28</v>
      </c>
    </row>
    <row r="5818">
      <c r="A5818" s="11">
        <v>5817.0</v>
      </c>
      <c r="B5818" s="12">
        <f t="shared" si="925"/>
        <v>40823</v>
      </c>
      <c r="C5818" s="11" t="s">
        <v>786</v>
      </c>
      <c r="D5818" s="11" t="s">
        <v>28</v>
      </c>
    </row>
    <row r="5819">
      <c r="A5819" s="11">
        <v>5818.0</v>
      </c>
      <c r="B5819" s="12">
        <f t="shared" si="925"/>
        <v>40823</v>
      </c>
      <c r="C5819" s="11" t="s">
        <v>456</v>
      </c>
      <c r="D5819" s="11" t="s">
        <v>28</v>
      </c>
    </row>
    <row r="5820">
      <c r="A5820" s="11">
        <v>5819.0</v>
      </c>
      <c r="B5820" s="12">
        <f t="shared" si="925"/>
        <v>40823</v>
      </c>
      <c r="C5820" s="11" t="s">
        <v>608</v>
      </c>
      <c r="D5820" s="11" t="s">
        <v>28</v>
      </c>
    </row>
    <row r="5821">
      <c r="A5821" s="11">
        <v>5820.0</v>
      </c>
      <c r="B5821" s="12">
        <f t="shared" si="925"/>
        <v>40823</v>
      </c>
      <c r="C5821" s="11" t="s">
        <v>608</v>
      </c>
      <c r="D5821" s="11" t="s">
        <v>66</v>
      </c>
    </row>
    <row r="5822">
      <c r="A5822" s="11">
        <v>5821.0</v>
      </c>
      <c r="B5822" s="12">
        <f t="shared" ref="B5822:B5825" si="926">DATE(2012,12,31)-450</f>
        <v>40824</v>
      </c>
      <c r="C5822" s="11" t="s">
        <v>1972</v>
      </c>
      <c r="D5822" s="11" t="s">
        <v>66</v>
      </c>
    </row>
    <row r="5823">
      <c r="A5823" s="11">
        <v>5822.0</v>
      </c>
      <c r="B5823" s="12">
        <f t="shared" si="926"/>
        <v>40824</v>
      </c>
      <c r="C5823" s="11" t="s">
        <v>1058</v>
      </c>
      <c r="D5823" s="11" t="s">
        <v>28</v>
      </c>
    </row>
    <row r="5824">
      <c r="A5824" s="11">
        <v>5823.0</v>
      </c>
      <c r="B5824" s="12">
        <f t="shared" si="926"/>
        <v>40824</v>
      </c>
      <c r="C5824" s="11" t="s">
        <v>1058</v>
      </c>
      <c r="D5824" s="11" t="s">
        <v>28</v>
      </c>
    </row>
    <row r="5825">
      <c r="A5825" s="11">
        <v>5824.0</v>
      </c>
      <c r="B5825" s="12">
        <f t="shared" si="926"/>
        <v>40824</v>
      </c>
      <c r="C5825" s="11" t="s">
        <v>1058</v>
      </c>
      <c r="D5825" s="11" t="s">
        <v>28</v>
      </c>
    </row>
    <row r="5826">
      <c r="A5826" s="11">
        <v>5825.0</v>
      </c>
      <c r="B5826" s="12">
        <f t="shared" ref="B5826:B5837" si="927">DATE(2012,12,31)-449</f>
        <v>40825</v>
      </c>
      <c r="C5826" s="11" t="s">
        <v>1884</v>
      </c>
      <c r="D5826" s="11" t="s">
        <v>28</v>
      </c>
    </row>
    <row r="5827">
      <c r="A5827" s="11">
        <v>5826.0</v>
      </c>
      <c r="B5827" s="12">
        <f t="shared" si="927"/>
        <v>40825</v>
      </c>
      <c r="C5827" s="11" t="s">
        <v>1884</v>
      </c>
      <c r="D5827" s="11" t="s">
        <v>28</v>
      </c>
    </row>
    <row r="5828">
      <c r="A5828" s="11">
        <v>5827.0</v>
      </c>
      <c r="B5828" s="12">
        <f t="shared" si="927"/>
        <v>40825</v>
      </c>
      <c r="C5828" s="11" t="s">
        <v>867</v>
      </c>
      <c r="D5828" s="11" t="s">
        <v>28</v>
      </c>
    </row>
    <row r="5829">
      <c r="A5829" s="11">
        <v>5828.0</v>
      </c>
      <c r="B5829" s="12">
        <f t="shared" si="927"/>
        <v>40825</v>
      </c>
      <c r="C5829" s="11" t="s">
        <v>867</v>
      </c>
      <c r="D5829" s="11" t="s">
        <v>28</v>
      </c>
    </row>
    <row r="5830">
      <c r="A5830" s="11">
        <v>5829.0</v>
      </c>
      <c r="B5830" s="12">
        <f t="shared" si="927"/>
        <v>40825</v>
      </c>
      <c r="C5830" s="11" t="s">
        <v>1294</v>
      </c>
      <c r="D5830" s="11" t="s">
        <v>28</v>
      </c>
    </row>
    <row r="5831">
      <c r="A5831" s="11">
        <v>5830.0</v>
      </c>
      <c r="B5831" s="12">
        <f t="shared" si="927"/>
        <v>40825</v>
      </c>
      <c r="C5831" s="11" t="s">
        <v>1685</v>
      </c>
      <c r="D5831" s="11" t="s">
        <v>28</v>
      </c>
    </row>
    <row r="5832">
      <c r="A5832" s="11">
        <v>5831.0</v>
      </c>
      <c r="B5832" s="12">
        <f t="shared" si="927"/>
        <v>40825</v>
      </c>
      <c r="C5832" s="11" t="s">
        <v>1685</v>
      </c>
      <c r="D5832" s="11" t="s">
        <v>28</v>
      </c>
    </row>
    <row r="5833">
      <c r="A5833" s="11">
        <v>5832.0</v>
      </c>
      <c r="B5833" s="12">
        <f t="shared" si="927"/>
        <v>40825</v>
      </c>
      <c r="C5833" s="11" t="s">
        <v>426</v>
      </c>
      <c r="D5833" s="11" t="s">
        <v>49</v>
      </c>
    </row>
    <row r="5834">
      <c r="A5834" s="11">
        <v>5833.0</v>
      </c>
      <c r="B5834" s="12">
        <f t="shared" si="927"/>
        <v>40825</v>
      </c>
      <c r="C5834" s="11" t="s">
        <v>2542</v>
      </c>
      <c r="D5834" s="11" t="s">
        <v>28</v>
      </c>
    </row>
    <row r="5835">
      <c r="A5835" s="11">
        <v>5834.0</v>
      </c>
      <c r="B5835" s="12">
        <f t="shared" si="927"/>
        <v>40825</v>
      </c>
      <c r="C5835" s="11" t="s">
        <v>2542</v>
      </c>
      <c r="D5835" s="11" t="s">
        <v>66</v>
      </c>
    </row>
    <row r="5836">
      <c r="A5836" s="11">
        <v>5835.0</v>
      </c>
      <c r="B5836" s="12">
        <f t="shared" si="927"/>
        <v>40825</v>
      </c>
      <c r="C5836" s="11" t="s">
        <v>2542</v>
      </c>
      <c r="D5836" s="11" t="s">
        <v>28</v>
      </c>
    </row>
    <row r="5837">
      <c r="A5837" s="11">
        <v>5836.0</v>
      </c>
      <c r="B5837" s="12">
        <f t="shared" si="927"/>
        <v>40825</v>
      </c>
      <c r="C5837" s="11" t="s">
        <v>279</v>
      </c>
      <c r="D5837" s="11" t="s">
        <v>28</v>
      </c>
    </row>
    <row r="5838">
      <c r="A5838" s="11">
        <v>5837.0</v>
      </c>
      <c r="B5838" s="12">
        <f t="shared" ref="B5838:B5844" si="928">DATE(2012,12,31)-448</f>
        <v>40826</v>
      </c>
      <c r="C5838" s="11" t="s">
        <v>248</v>
      </c>
      <c r="D5838" s="11" t="s">
        <v>28</v>
      </c>
    </row>
    <row r="5839">
      <c r="A5839" s="11">
        <v>5838.0</v>
      </c>
      <c r="B5839" s="12">
        <f t="shared" si="928"/>
        <v>40826</v>
      </c>
      <c r="C5839" s="11" t="s">
        <v>248</v>
      </c>
      <c r="D5839" s="11" t="s">
        <v>66</v>
      </c>
    </row>
    <row r="5840">
      <c r="A5840" s="11">
        <v>5839.0</v>
      </c>
      <c r="B5840" s="12">
        <f t="shared" si="928"/>
        <v>40826</v>
      </c>
      <c r="C5840" s="11" t="s">
        <v>1515</v>
      </c>
      <c r="D5840" s="11" t="s">
        <v>28</v>
      </c>
    </row>
    <row r="5841">
      <c r="A5841" s="11">
        <v>5840.0</v>
      </c>
      <c r="B5841" s="12">
        <f t="shared" si="928"/>
        <v>40826</v>
      </c>
      <c r="C5841" s="11" t="s">
        <v>1515</v>
      </c>
      <c r="D5841" s="11" t="s">
        <v>28</v>
      </c>
    </row>
    <row r="5842">
      <c r="A5842" s="11">
        <v>5841.0</v>
      </c>
      <c r="B5842" s="12">
        <f t="shared" si="928"/>
        <v>40826</v>
      </c>
      <c r="C5842" s="11" t="s">
        <v>2568</v>
      </c>
      <c r="D5842" s="11" t="s">
        <v>28</v>
      </c>
    </row>
    <row r="5843">
      <c r="A5843" s="11">
        <v>5842.0</v>
      </c>
      <c r="B5843" s="12">
        <f t="shared" si="928"/>
        <v>40826</v>
      </c>
      <c r="C5843" s="11" t="s">
        <v>973</v>
      </c>
      <c r="D5843" s="11" t="s">
        <v>66</v>
      </c>
    </row>
    <row r="5844">
      <c r="A5844" s="11">
        <v>5843.0</v>
      </c>
      <c r="B5844" s="12">
        <f t="shared" si="928"/>
        <v>40826</v>
      </c>
      <c r="C5844" s="11" t="s">
        <v>973</v>
      </c>
      <c r="D5844" s="11" t="s">
        <v>28</v>
      </c>
    </row>
    <row r="5845">
      <c r="A5845" s="11">
        <v>5844.0</v>
      </c>
      <c r="B5845" s="12">
        <f t="shared" ref="B5845:B5847" si="929">DATE(2012,12,31)-447</f>
        <v>40827</v>
      </c>
      <c r="C5845" s="11" t="s">
        <v>253</v>
      </c>
      <c r="D5845" s="11" t="s">
        <v>49</v>
      </c>
    </row>
    <row r="5846">
      <c r="A5846" s="11">
        <v>5845.0</v>
      </c>
      <c r="B5846" s="12">
        <f t="shared" si="929"/>
        <v>40827</v>
      </c>
      <c r="C5846" s="11" t="s">
        <v>243</v>
      </c>
      <c r="D5846" s="11" t="s">
        <v>66</v>
      </c>
    </row>
    <row r="5847">
      <c r="A5847" s="11">
        <v>5846.0</v>
      </c>
      <c r="B5847" s="12">
        <f t="shared" si="929"/>
        <v>40827</v>
      </c>
      <c r="C5847" s="11" t="s">
        <v>775</v>
      </c>
      <c r="D5847" s="11" t="s">
        <v>49</v>
      </c>
    </row>
    <row r="5848">
      <c r="A5848" s="11">
        <v>5847.0</v>
      </c>
      <c r="B5848" s="12">
        <f t="shared" ref="B5848:B5852" si="930">DATE(2012,12,31)-446</f>
        <v>40828</v>
      </c>
      <c r="C5848" s="11" t="s">
        <v>2052</v>
      </c>
      <c r="D5848" s="11" t="s">
        <v>28</v>
      </c>
    </row>
    <row r="5849">
      <c r="A5849" s="11">
        <v>5848.0</v>
      </c>
      <c r="B5849" s="12">
        <f t="shared" si="930"/>
        <v>40828</v>
      </c>
      <c r="C5849" s="11" t="s">
        <v>2052</v>
      </c>
      <c r="D5849" s="11" t="s">
        <v>28</v>
      </c>
    </row>
    <row r="5850">
      <c r="A5850" s="11">
        <v>5849.0</v>
      </c>
      <c r="B5850" s="12">
        <f t="shared" si="930"/>
        <v>40828</v>
      </c>
      <c r="C5850" s="11" t="s">
        <v>982</v>
      </c>
      <c r="D5850" s="11" t="s">
        <v>66</v>
      </c>
    </row>
    <row r="5851">
      <c r="A5851" s="11">
        <v>5850.0</v>
      </c>
      <c r="B5851" s="12">
        <f t="shared" si="930"/>
        <v>40828</v>
      </c>
      <c r="C5851" s="11" t="s">
        <v>1648</v>
      </c>
      <c r="D5851" s="11" t="s">
        <v>28</v>
      </c>
    </row>
    <row r="5852">
      <c r="A5852" s="11">
        <v>5851.0</v>
      </c>
      <c r="B5852" s="12">
        <f t="shared" si="930"/>
        <v>40828</v>
      </c>
      <c r="C5852" s="11" t="s">
        <v>2569</v>
      </c>
      <c r="D5852" s="11" t="s">
        <v>28</v>
      </c>
    </row>
    <row r="5853">
      <c r="A5853" s="11">
        <v>5852.0</v>
      </c>
      <c r="B5853" s="12">
        <f t="shared" ref="B5853:B5854" si="931">DATE(2012,12,31)-445</f>
        <v>40829</v>
      </c>
      <c r="C5853" s="11" t="s">
        <v>1697</v>
      </c>
      <c r="D5853" s="11" t="s">
        <v>28</v>
      </c>
    </row>
    <row r="5854">
      <c r="A5854" s="11">
        <v>5853.0</v>
      </c>
      <c r="B5854" s="12">
        <f t="shared" si="931"/>
        <v>40829</v>
      </c>
      <c r="C5854" s="11" t="s">
        <v>320</v>
      </c>
      <c r="D5854" s="11" t="s">
        <v>28</v>
      </c>
    </row>
    <row r="5855">
      <c r="A5855" s="11">
        <v>5854.0</v>
      </c>
      <c r="B5855" s="12">
        <f t="shared" ref="B5855:B5856" si="932">DATE(2012,12,31)-444</f>
        <v>40830</v>
      </c>
      <c r="C5855" s="11" t="s">
        <v>1118</v>
      </c>
      <c r="D5855" s="11" t="s">
        <v>28</v>
      </c>
    </row>
    <row r="5856">
      <c r="A5856" s="11">
        <v>5855.0</v>
      </c>
      <c r="B5856" s="12">
        <f t="shared" si="932"/>
        <v>40830</v>
      </c>
      <c r="C5856" s="11" t="s">
        <v>1118</v>
      </c>
      <c r="D5856" s="11" t="s">
        <v>28</v>
      </c>
    </row>
    <row r="5857">
      <c r="A5857" s="11">
        <v>5856.0</v>
      </c>
      <c r="B5857" s="12">
        <f t="shared" ref="B5857:B5859" si="933">DATE(2012,12,31)-443</f>
        <v>40831</v>
      </c>
      <c r="C5857" s="11" t="s">
        <v>337</v>
      </c>
      <c r="D5857" s="11" t="s">
        <v>66</v>
      </c>
    </row>
    <row r="5858">
      <c r="A5858" s="11">
        <v>5857.0</v>
      </c>
      <c r="B5858" s="12">
        <f t="shared" si="933"/>
        <v>40831</v>
      </c>
      <c r="C5858" s="11" t="s">
        <v>1360</v>
      </c>
      <c r="D5858" s="11" t="s">
        <v>28</v>
      </c>
    </row>
    <row r="5859">
      <c r="A5859" s="11">
        <v>5858.0</v>
      </c>
      <c r="B5859" s="12">
        <f t="shared" si="933"/>
        <v>40831</v>
      </c>
      <c r="C5859" s="11" t="s">
        <v>2434</v>
      </c>
      <c r="D5859" s="11" t="s">
        <v>66</v>
      </c>
    </row>
    <row r="5860">
      <c r="A5860" s="11">
        <v>5859.0</v>
      </c>
      <c r="B5860" s="12">
        <f t="shared" ref="B5860:B5863" si="934">DATE(2012,12,31)-442</f>
        <v>40832</v>
      </c>
      <c r="C5860" s="11" t="s">
        <v>1586</v>
      </c>
      <c r="D5860" s="11" t="s">
        <v>28</v>
      </c>
    </row>
    <row r="5861">
      <c r="A5861" s="11">
        <v>5860.0</v>
      </c>
      <c r="B5861" s="12">
        <f t="shared" si="934"/>
        <v>40832</v>
      </c>
      <c r="C5861" s="11" t="s">
        <v>1586</v>
      </c>
      <c r="D5861" s="11" t="s">
        <v>66</v>
      </c>
    </row>
    <row r="5862">
      <c r="A5862" s="11">
        <v>5861.0</v>
      </c>
      <c r="B5862" s="12">
        <f t="shared" si="934"/>
        <v>40832</v>
      </c>
      <c r="C5862" s="11" t="s">
        <v>1982</v>
      </c>
      <c r="D5862" s="11" t="s">
        <v>66</v>
      </c>
    </row>
    <row r="5863">
      <c r="A5863" s="11">
        <v>5862.0</v>
      </c>
      <c r="B5863" s="12">
        <f t="shared" si="934"/>
        <v>40832</v>
      </c>
      <c r="C5863" s="11" t="s">
        <v>1982</v>
      </c>
      <c r="D5863" s="11" t="s">
        <v>28</v>
      </c>
    </row>
    <row r="5864">
      <c r="A5864" s="11">
        <v>5863.0</v>
      </c>
      <c r="B5864" s="12">
        <f t="shared" ref="B5864:B5866" si="935">DATE(2012,12,31)-441</f>
        <v>40833</v>
      </c>
      <c r="C5864" s="11" t="s">
        <v>2017</v>
      </c>
      <c r="D5864" s="11" t="s">
        <v>28</v>
      </c>
    </row>
    <row r="5865">
      <c r="A5865" s="11">
        <v>5864.0</v>
      </c>
      <c r="B5865" s="12">
        <f t="shared" si="935"/>
        <v>40833</v>
      </c>
      <c r="C5865" s="11" t="s">
        <v>2365</v>
      </c>
      <c r="D5865" s="11" t="s">
        <v>28</v>
      </c>
    </row>
    <row r="5866">
      <c r="A5866" s="11">
        <v>5865.0</v>
      </c>
      <c r="B5866" s="12">
        <f t="shared" si="935"/>
        <v>40833</v>
      </c>
      <c r="C5866" s="11" t="s">
        <v>571</v>
      </c>
      <c r="D5866" s="11" t="s">
        <v>49</v>
      </c>
    </row>
    <row r="5867">
      <c r="A5867" s="11">
        <v>5866.0</v>
      </c>
      <c r="B5867" s="12">
        <f t="shared" ref="B5867:B5871" si="936">DATE(2012,12,31)-440</f>
        <v>40834</v>
      </c>
      <c r="C5867" s="11" t="s">
        <v>1385</v>
      </c>
      <c r="D5867" s="11" t="s">
        <v>28</v>
      </c>
    </row>
    <row r="5868">
      <c r="A5868" s="11">
        <v>5867.0</v>
      </c>
      <c r="B5868" s="12">
        <f t="shared" si="936"/>
        <v>40834</v>
      </c>
      <c r="C5868" s="11" t="s">
        <v>1210</v>
      </c>
      <c r="D5868" s="11" t="s">
        <v>28</v>
      </c>
    </row>
    <row r="5869">
      <c r="A5869" s="11">
        <v>5868.0</v>
      </c>
      <c r="B5869" s="12">
        <f t="shared" si="936"/>
        <v>40834</v>
      </c>
      <c r="C5869" s="11" t="s">
        <v>1210</v>
      </c>
      <c r="D5869" s="11" t="s">
        <v>49</v>
      </c>
    </row>
    <row r="5870">
      <c r="A5870" s="11">
        <v>5869.0</v>
      </c>
      <c r="B5870" s="12">
        <f t="shared" si="936"/>
        <v>40834</v>
      </c>
      <c r="C5870" s="11" t="s">
        <v>2531</v>
      </c>
      <c r="D5870" s="11" t="s">
        <v>28</v>
      </c>
    </row>
    <row r="5871">
      <c r="A5871" s="11">
        <v>5870.0</v>
      </c>
      <c r="B5871" s="12">
        <f t="shared" si="936"/>
        <v>40834</v>
      </c>
      <c r="C5871" s="11" t="s">
        <v>2531</v>
      </c>
      <c r="D5871" s="11" t="s">
        <v>66</v>
      </c>
    </row>
    <row r="5872">
      <c r="A5872" s="11">
        <v>5871.0</v>
      </c>
      <c r="B5872" s="12">
        <f t="shared" ref="B5872:B5876" si="937">DATE(2012,12,31)-439</f>
        <v>40835</v>
      </c>
      <c r="C5872" s="11" t="s">
        <v>819</v>
      </c>
      <c r="D5872" s="11" t="s">
        <v>66</v>
      </c>
    </row>
    <row r="5873">
      <c r="A5873" s="11">
        <v>5872.0</v>
      </c>
      <c r="B5873" s="12">
        <f t="shared" si="937"/>
        <v>40835</v>
      </c>
      <c r="C5873" s="11" t="s">
        <v>819</v>
      </c>
      <c r="D5873" s="11" t="s">
        <v>49</v>
      </c>
    </row>
    <row r="5874">
      <c r="A5874" s="11">
        <v>5873.0</v>
      </c>
      <c r="B5874" s="12">
        <f t="shared" si="937"/>
        <v>40835</v>
      </c>
      <c r="C5874" s="11" t="s">
        <v>819</v>
      </c>
      <c r="D5874" s="11" t="s">
        <v>49</v>
      </c>
    </row>
    <row r="5875">
      <c r="A5875" s="11">
        <v>5874.0</v>
      </c>
      <c r="B5875" s="12">
        <f t="shared" si="937"/>
        <v>40835</v>
      </c>
      <c r="C5875" s="11" t="s">
        <v>2408</v>
      </c>
      <c r="D5875" s="11" t="s">
        <v>49</v>
      </c>
    </row>
    <row r="5876">
      <c r="A5876" s="11">
        <v>5875.0</v>
      </c>
      <c r="B5876" s="12">
        <f t="shared" si="937"/>
        <v>40835</v>
      </c>
      <c r="C5876" s="11" t="s">
        <v>2408</v>
      </c>
      <c r="D5876" s="11" t="s">
        <v>28</v>
      </c>
    </row>
    <row r="5877">
      <c r="A5877" s="11">
        <v>5876.0</v>
      </c>
      <c r="B5877" s="12">
        <f t="shared" ref="B5877:B5889" si="938">DATE(2012,12,31)-438</f>
        <v>40836</v>
      </c>
      <c r="C5877" s="11" t="s">
        <v>1578</v>
      </c>
      <c r="D5877" s="11" t="s">
        <v>66</v>
      </c>
    </row>
    <row r="5878">
      <c r="A5878" s="11">
        <v>5877.0</v>
      </c>
      <c r="B5878" s="12">
        <f t="shared" si="938"/>
        <v>40836</v>
      </c>
      <c r="C5878" s="11" t="s">
        <v>823</v>
      </c>
      <c r="D5878" s="11" t="s">
        <v>28</v>
      </c>
    </row>
    <row r="5879">
      <c r="A5879" s="11">
        <v>5878.0</v>
      </c>
      <c r="B5879" s="12">
        <f t="shared" si="938"/>
        <v>40836</v>
      </c>
      <c r="C5879" s="11" t="s">
        <v>448</v>
      </c>
      <c r="D5879" s="11" t="s">
        <v>66</v>
      </c>
    </row>
    <row r="5880">
      <c r="A5880" s="11">
        <v>5879.0</v>
      </c>
      <c r="B5880" s="12">
        <f t="shared" si="938"/>
        <v>40836</v>
      </c>
      <c r="C5880" s="11" t="s">
        <v>167</v>
      </c>
      <c r="D5880" s="11" t="s">
        <v>28</v>
      </c>
    </row>
    <row r="5881">
      <c r="A5881" s="11">
        <v>5880.0</v>
      </c>
      <c r="B5881" s="12">
        <f t="shared" si="938"/>
        <v>40836</v>
      </c>
      <c r="C5881" s="11" t="s">
        <v>167</v>
      </c>
      <c r="D5881" s="11" t="s">
        <v>28</v>
      </c>
    </row>
    <row r="5882">
      <c r="A5882" s="11">
        <v>5881.0</v>
      </c>
      <c r="B5882" s="12">
        <f t="shared" si="938"/>
        <v>40836</v>
      </c>
      <c r="C5882" s="11" t="s">
        <v>514</v>
      </c>
      <c r="D5882" s="11" t="s">
        <v>49</v>
      </c>
    </row>
    <row r="5883">
      <c r="A5883" s="11">
        <v>5882.0</v>
      </c>
      <c r="B5883" s="12">
        <f t="shared" si="938"/>
        <v>40836</v>
      </c>
      <c r="C5883" s="11" t="s">
        <v>1935</v>
      </c>
      <c r="D5883" s="11" t="s">
        <v>28</v>
      </c>
    </row>
    <row r="5884">
      <c r="A5884" s="11">
        <v>5883.0</v>
      </c>
      <c r="B5884" s="12">
        <f t="shared" si="938"/>
        <v>40836</v>
      </c>
      <c r="C5884" s="11" t="s">
        <v>1935</v>
      </c>
      <c r="D5884" s="11" t="s">
        <v>28</v>
      </c>
    </row>
    <row r="5885">
      <c r="A5885" s="11">
        <v>5884.0</v>
      </c>
      <c r="B5885" s="12">
        <f t="shared" si="938"/>
        <v>40836</v>
      </c>
      <c r="C5885" s="11" t="s">
        <v>1935</v>
      </c>
      <c r="D5885" s="11" t="s">
        <v>49</v>
      </c>
    </row>
    <row r="5886">
      <c r="A5886" s="11">
        <v>5885.0</v>
      </c>
      <c r="B5886" s="12">
        <f t="shared" si="938"/>
        <v>40836</v>
      </c>
      <c r="C5886" s="11" t="s">
        <v>1935</v>
      </c>
      <c r="D5886" s="11" t="s">
        <v>66</v>
      </c>
    </row>
    <row r="5887">
      <c r="A5887" s="11">
        <v>5886.0</v>
      </c>
      <c r="B5887" s="12">
        <f t="shared" si="938"/>
        <v>40836</v>
      </c>
      <c r="C5887" s="11" t="s">
        <v>1636</v>
      </c>
      <c r="D5887" s="11" t="s">
        <v>28</v>
      </c>
    </row>
    <row r="5888">
      <c r="A5888" s="11">
        <v>5887.0</v>
      </c>
      <c r="B5888" s="12">
        <f t="shared" si="938"/>
        <v>40836</v>
      </c>
      <c r="C5888" s="11" t="s">
        <v>1681</v>
      </c>
      <c r="D5888" s="11" t="s">
        <v>66</v>
      </c>
    </row>
    <row r="5889">
      <c r="A5889" s="11">
        <v>5888.0</v>
      </c>
      <c r="B5889" s="12">
        <f t="shared" si="938"/>
        <v>40836</v>
      </c>
      <c r="C5889" s="11" t="s">
        <v>1439</v>
      </c>
      <c r="D5889" s="11" t="s">
        <v>49</v>
      </c>
    </row>
    <row r="5890">
      <c r="A5890" s="11">
        <v>5889.0</v>
      </c>
      <c r="B5890" s="12">
        <f t="shared" ref="B5890:B5893" si="939">DATE(2012,12,31)-437</f>
        <v>40837</v>
      </c>
      <c r="C5890" s="11" t="s">
        <v>1697</v>
      </c>
      <c r="D5890" s="11" t="s">
        <v>49</v>
      </c>
    </row>
    <row r="5891">
      <c r="A5891" s="11">
        <v>5890.0</v>
      </c>
      <c r="B5891" s="12">
        <f t="shared" si="939"/>
        <v>40837</v>
      </c>
      <c r="C5891" s="11" t="s">
        <v>2351</v>
      </c>
      <c r="D5891" s="11" t="s">
        <v>28</v>
      </c>
    </row>
    <row r="5892">
      <c r="A5892" s="11">
        <v>5891.0</v>
      </c>
      <c r="B5892" s="12">
        <f t="shared" si="939"/>
        <v>40837</v>
      </c>
      <c r="C5892" s="11" t="s">
        <v>1142</v>
      </c>
      <c r="D5892" s="11" t="s">
        <v>66</v>
      </c>
    </row>
    <row r="5893">
      <c r="A5893" s="11">
        <v>5892.0</v>
      </c>
      <c r="B5893" s="12">
        <f t="shared" si="939"/>
        <v>40837</v>
      </c>
      <c r="C5893" s="11" t="s">
        <v>2407</v>
      </c>
      <c r="D5893" s="11" t="s">
        <v>66</v>
      </c>
    </row>
    <row r="5894">
      <c r="A5894" s="11">
        <v>5893.0</v>
      </c>
      <c r="B5894" s="12">
        <f t="shared" ref="B5894:B5899" si="940">DATE(2012,12,31)-436</f>
        <v>40838</v>
      </c>
      <c r="C5894" s="11" t="s">
        <v>2255</v>
      </c>
      <c r="D5894" s="11" t="s">
        <v>28</v>
      </c>
    </row>
    <row r="5895">
      <c r="A5895" s="11">
        <v>5894.0</v>
      </c>
      <c r="B5895" s="12">
        <f t="shared" si="940"/>
        <v>40838</v>
      </c>
      <c r="C5895" s="11" t="s">
        <v>2255</v>
      </c>
      <c r="D5895" s="11" t="s">
        <v>66</v>
      </c>
    </row>
    <row r="5896">
      <c r="A5896" s="11">
        <v>5895.0</v>
      </c>
      <c r="B5896" s="12">
        <f t="shared" si="940"/>
        <v>40838</v>
      </c>
      <c r="C5896" s="11" t="s">
        <v>187</v>
      </c>
      <c r="D5896" s="11" t="s">
        <v>49</v>
      </c>
    </row>
    <row r="5897">
      <c r="A5897" s="11">
        <v>5896.0</v>
      </c>
      <c r="B5897" s="12">
        <f t="shared" si="940"/>
        <v>40838</v>
      </c>
      <c r="C5897" s="11" t="s">
        <v>421</v>
      </c>
      <c r="D5897" s="11" t="s">
        <v>66</v>
      </c>
    </row>
    <row r="5898">
      <c r="A5898" s="11">
        <v>5897.0</v>
      </c>
      <c r="B5898" s="12">
        <f t="shared" si="940"/>
        <v>40838</v>
      </c>
      <c r="C5898" s="11" t="s">
        <v>2183</v>
      </c>
      <c r="D5898" s="11" t="s">
        <v>28</v>
      </c>
    </row>
    <row r="5899">
      <c r="A5899" s="11">
        <v>5898.0</v>
      </c>
      <c r="B5899" s="12">
        <f t="shared" si="940"/>
        <v>40838</v>
      </c>
      <c r="C5899" s="11" t="s">
        <v>1814</v>
      </c>
      <c r="D5899" s="11" t="s">
        <v>28</v>
      </c>
    </row>
    <row r="5900">
      <c r="A5900" s="11">
        <v>5899.0</v>
      </c>
      <c r="B5900" s="12">
        <f>DATE(2012,12,31)-435</f>
        <v>40839</v>
      </c>
      <c r="C5900" s="11" t="s">
        <v>1039</v>
      </c>
      <c r="D5900" s="11" t="s">
        <v>28</v>
      </c>
    </row>
    <row r="5901">
      <c r="A5901" s="11">
        <v>5900.0</v>
      </c>
      <c r="B5901" s="12">
        <f t="shared" ref="B5901:B5902" si="941">DATE(2012,12,31)-434</f>
        <v>40840</v>
      </c>
      <c r="C5901" s="11" t="s">
        <v>187</v>
      </c>
      <c r="D5901" s="11" t="s">
        <v>49</v>
      </c>
    </row>
    <row r="5902">
      <c r="A5902" s="11">
        <v>5901.0</v>
      </c>
      <c r="B5902" s="12">
        <f t="shared" si="941"/>
        <v>40840</v>
      </c>
      <c r="C5902" s="11" t="s">
        <v>1414</v>
      </c>
      <c r="D5902" s="11" t="s">
        <v>28</v>
      </c>
    </row>
    <row r="5903">
      <c r="A5903" s="11">
        <v>5902.0</v>
      </c>
      <c r="B5903" s="12">
        <f t="shared" ref="B5903:B5908" si="942">DATE(2012,12,31)-433</f>
        <v>40841</v>
      </c>
      <c r="C5903" s="11" t="s">
        <v>1374</v>
      </c>
      <c r="D5903" s="11" t="s">
        <v>28</v>
      </c>
    </row>
    <row r="5904">
      <c r="A5904" s="11">
        <v>5903.0</v>
      </c>
      <c r="B5904" s="12">
        <f t="shared" si="942"/>
        <v>40841</v>
      </c>
      <c r="C5904" s="11" t="s">
        <v>1374</v>
      </c>
      <c r="D5904" s="11" t="s">
        <v>49</v>
      </c>
    </row>
    <row r="5905">
      <c r="A5905" s="11">
        <v>5904.0</v>
      </c>
      <c r="B5905" s="12">
        <f t="shared" si="942"/>
        <v>40841</v>
      </c>
      <c r="C5905" s="11" t="s">
        <v>1276</v>
      </c>
      <c r="D5905" s="11" t="s">
        <v>49</v>
      </c>
    </row>
    <row r="5906">
      <c r="A5906" s="11">
        <v>5905.0</v>
      </c>
      <c r="B5906" s="12">
        <f t="shared" si="942"/>
        <v>40841</v>
      </c>
      <c r="C5906" s="11" t="s">
        <v>1276</v>
      </c>
      <c r="D5906" s="11" t="s">
        <v>66</v>
      </c>
    </row>
    <row r="5907">
      <c r="A5907" s="11">
        <v>5906.0</v>
      </c>
      <c r="B5907" s="12">
        <f t="shared" si="942"/>
        <v>40841</v>
      </c>
      <c r="C5907" s="11" t="s">
        <v>1131</v>
      </c>
      <c r="D5907" s="11" t="s">
        <v>28</v>
      </c>
    </row>
    <row r="5908">
      <c r="A5908" s="11">
        <v>5907.0</v>
      </c>
      <c r="B5908" s="12">
        <f t="shared" si="942"/>
        <v>40841</v>
      </c>
      <c r="C5908" s="11" t="s">
        <v>1131</v>
      </c>
      <c r="D5908" s="11" t="s">
        <v>66</v>
      </c>
    </row>
    <row r="5909">
      <c r="A5909" s="11">
        <v>5908.0</v>
      </c>
      <c r="B5909" s="12">
        <f t="shared" ref="B5909:B5914" si="943">DATE(2012,12,31)-432</f>
        <v>40842</v>
      </c>
      <c r="C5909" s="11" t="s">
        <v>2405</v>
      </c>
      <c r="D5909" s="11" t="s">
        <v>28</v>
      </c>
    </row>
    <row r="5910">
      <c r="A5910" s="11">
        <v>5909.0</v>
      </c>
      <c r="B5910" s="12">
        <f t="shared" si="943"/>
        <v>40842</v>
      </c>
      <c r="C5910" s="11" t="s">
        <v>849</v>
      </c>
      <c r="D5910" s="11" t="s">
        <v>28</v>
      </c>
    </row>
    <row r="5911">
      <c r="A5911" s="11">
        <v>5910.0</v>
      </c>
      <c r="B5911" s="12">
        <f t="shared" si="943"/>
        <v>40842</v>
      </c>
      <c r="C5911" s="11" t="s">
        <v>148</v>
      </c>
      <c r="D5911" s="11" t="s">
        <v>28</v>
      </c>
    </row>
    <row r="5912">
      <c r="A5912" s="11">
        <v>5911.0</v>
      </c>
      <c r="B5912" s="12">
        <f t="shared" si="943"/>
        <v>40842</v>
      </c>
      <c r="C5912" s="11" t="s">
        <v>491</v>
      </c>
      <c r="D5912" s="11" t="s">
        <v>49</v>
      </c>
    </row>
    <row r="5913">
      <c r="A5913" s="11">
        <v>5912.0</v>
      </c>
      <c r="B5913" s="12">
        <f t="shared" si="943"/>
        <v>40842</v>
      </c>
      <c r="C5913" s="11" t="s">
        <v>491</v>
      </c>
      <c r="D5913" s="11" t="s">
        <v>49</v>
      </c>
    </row>
    <row r="5914">
      <c r="A5914" s="11">
        <v>5913.0</v>
      </c>
      <c r="B5914" s="12">
        <f t="shared" si="943"/>
        <v>40842</v>
      </c>
      <c r="C5914" s="11" t="s">
        <v>1236</v>
      </c>
      <c r="D5914" s="11" t="s">
        <v>28</v>
      </c>
    </row>
    <row r="5915">
      <c r="A5915" s="11">
        <v>5914.0</v>
      </c>
      <c r="B5915" s="12">
        <f>DATE(2012,12,31)-431</f>
        <v>40843</v>
      </c>
      <c r="C5915" s="11" t="s">
        <v>155</v>
      </c>
      <c r="D5915" s="11" t="s">
        <v>49</v>
      </c>
    </row>
    <row r="5916">
      <c r="A5916" s="11">
        <v>5915.0</v>
      </c>
      <c r="B5916" s="12">
        <f t="shared" ref="B5916:B5924" si="944">DATE(2012,12,31)-430</f>
        <v>40844</v>
      </c>
      <c r="C5916" s="11" t="s">
        <v>1664</v>
      </c>
      <c r="D5916" s="11" t="s">
        <v>28</v>
      </c>
    </row>
    <row r="5917">
      <c r="A5917" s="11">
        <v>5916.0</v>
      </c>
      <c r="B5917" s="12">
        <f t="shared" si="944"/>
        <v>40844</v>
      </c>
      <c r="C5917" s="11" t="s">
        <v>2350</v>
      </c>
      <c r="D5917" s="11" t="s">
        <v>28</v>
      </c>
    </row>
    <row r="5918">
      <c r="A5918" s="11">
        <v>5917.0</v>
      </c>
      <c r="B5918" s="12">
        <f t="shared" si="944"/>
        <v>40844</v>
      </c>
      <c r="C5918" s="11" t="s">
        <v>2145</v>
      </c>
      <c r="D5918" s="11" t="s">
        <v>49</v>
      </c>
    </row>
    <row r="5919">
      <c r="A5919" s="11">
        <v>5918.0</v>
      </c>
      <c r="B5919" s="12">
        <f t="shared" si="944"/>
        <v>40844</v>
      </c>
      <c r="C5919" s="11" t="s">
        <v>2145</v>
      </c>
      <c r="D5919" s="11" t="s">
        <v>66</v>
      </c>
    </row>
    <row r="5920">
      <c r="A5920" s="11">
        <v>5919.0</v>
      </c>
      <c r="B5920" s="12">
        <f t="shared" si="944"/>
        <v>40844</v>
      </c>
      <c r="C5920" s="11" t="s">
        <v>1872</v>
      </c>
      <c r="D5920" s="11" t="s">
        <v>28</v>
      </c>
    </row>
    <row r="5921">
      <c r="A5921" s="11">
        <v>5920.0</v>
      </c>
      <c r="B5921" s="12">
        <f t="shared" si="944"/>
        <v>40844</v>
      </c>
      <c r="C5921" s="11" t="s">
        <v>1872</v>
      </c>
      <c r="D5921" s="11" t="s">
        <v>28</v>
      </c>
    </row>
    <row r="5922">
      <c r="A5922" s="11">
        <v>5921.0</v>
      </c>
      <c r="B5922" s="12">
        <f t="shared" si="944"/>
        <v>40844</v>
      </c>
      <c r="C5922" s="11" t="s">
        <v>1872</v>
      </c>
      <c r="D5922" s="11" t="s">
        <v>28</v>
      </c>
    </row>
    <row r="5923">
      <c r="A5923" s="11">
        <v>5922.0</v>
      </c>
      <c r="B5923" s="12">
        <f t="shared" si="944"/>
        <v>40844</v>
      </c>
      <c r="C5923" s="11" t="s">
        <v>1067</v>
      </c>
      <c r="D5923" s="11" t="s">
        <v>66</v>
      </c>
    </row>
    <row r="5924">
      <c r="A5924" s="11">
        <v>5923.0</v>
      </c>
      <c r="B5924" s="12">
        <f t="shared" si="944"/>
        <v>40844</v>
      </c>
      <c r="C5924" s="11" t="s">
        <v>360</v>
      </c>
      <c r="D5924" s="11" t="s">
        <v>66</v>
      </c>
    </row>
    <row r="5925">
      <c r="A5925" s="11">
        <v>5924.0</v>
      </c>
      <c r="B5925" s="12">
        <f t="shared" ref="B5925:B5930" si="945">DATE(2012,12,31)-429</f>
        <v>40845</v>
      </c>
      <c r="C5925" s="11" t="s">
        <v>1621</v>
      </c>
      <c r="D5925" s="11" t="s">
        <v>49</v>
      </c>
    </row>
    <row r="5926">
      <c r="A5926" s="11">
        <v>5925.0</v>
      </c>
      <c r="B5926" s="12">
        <f t="shared" si="945"/>
        <v>40845</v>
      </c>
      <c r="C5926" s="11" t="s">
        <v>1621</v>
      </c>
      <c r="D5926" s="11" t="s">
        <v>28</v>
      </c>
    </row>
    <row r="5927">
      <c r="A5927" s="11">
        <v>5926.0</v>
      </c>
      <c r="B5927" s="12">
        <f t="shared" si="945"/>
        <v>40845</v>
      </c>
      <c r="C5927" s="11" t="s">
        <v>1496</v>
      </c>
      <c r="D5927" s="11" t="s">
        <v>66</v>
      </c>
    </row>
    <row r="5928">
      <c r="A5928" s="11">
        <v>5927.0</v>
      </c>
      <c r="B5928" s="12">
        <f t="shared" si="945"/>
        <v>40845</v>
      </c>
      <c r="C5928" s="11" t="s">
        <v>1496</v>
      </c>
      <c r="D5928" s="11" t="s">
        <v>28</v>
      </c>
    </row>
    <row r="5929">
      <c r="A5929" s="11">
        <v>5928.0</v>
      </c>
      <c r="B5929" s="12">
        <f t="shared" si="945"/>
        <v>40845</v>
      </c>
      <c r="C5929" s="11" t="s">
        <v>839</v>
      </c>
      <c r="D5929" s="11" t="s">
        <v>66</v>
      </c>
    </row>
    <row r="5930">
      <c r="A5930" s="11">
        <v>5929.0</v>
      </c>
      <c r="B5930" s="12">
        <f t="shared" si="945"/>
        <v>40845</v>
      </c>
      <c r="C5930" s="11" t="s">
        <v>561</v>
      </c>
      <c r="D5930" s="11" t="s">
        <v>28</v>
      </c>
    </row>
    <row r="5931">
      <c r="A5931" s="11">
        <v>5930.0</v>
      </c>
      <c r="B5931" s="12">
        <f t="shared" ref="B5931:B5936" si="946">DATE(2012,12,31)-428</f>
        <v>40846</v>
      </c>
      <c r="C5931" s="11" t="s">
        <v>928</v>
      </c>
      <c r="D5931" s="11" t="s">
        <v>28</v>
      </c>
    </row>
    <row r="5932">
      <c r="A5932" s="11">
        <v>5931.0</v>
      </c>
      <c r="B5932" s="12">
        <f t="shared" si="946"/>
        <v>40846</v>
      </c>
      <c r="C5932" s="11" t="s">
        <v>928</v>
      </c>
      <c r="D5932" s="11" t="s">
        <v>28</v>
      </c>
    </row>
    <row r="5933">
      <c r="A5933" s="11">
        <v>5932.0</v>
      </c>
      <c r="B5933" s="12">
        <f t="shared" si="946"/>
        <v>40846</v>
      </c>
      <c r="C5933" s="11" t="s">
        <v>104</v>
      </c>
      <c r="D5933" s="11" t="s">
        <v>28</v>
      </c>
    </row>
    <row r="5934">
      <c r="A5934" s="11">
        <v>5933.0</v>
      </c>
      <c r="B5934" s="12">
        <f t="shared" si="946"/>
        <v>40846</v>
      </c>
      <c r="C5934" s="11" t="s">
        <v>104</v>
      </c>
      <c r="D5934" s="11" t="s">
        <v>28</v>
      </c>
    </row>
    <row r="5935">
      <c r="A5935" s="11">
        <v>5934.0</v>
      </c>
      <c r="B5935" s="12">
        <f t="shared" si="946"/>
        <v>40846</v>
      </c>
      <c r="C5935" s="11" t="s">
        <v>992</v>
      </c>
      <c r="D5935" s="11" t="s">
        <v>66</v>
      </c>
    </row>
    <row r="5936">
      <c r="A5936" s="11">
        <v>5935.0</v>
      </c>
      <c r="B5936" s="12">
        <f t="shared" si="946"/>
        <v>40846</v>
      </c>
      <c r="C5936" s="11" t="s">
        <v>1722</v>
      </c>
      <c r="D5936" s="11" t="s">
        <v>28</v>
      </c>
    </row>
    <row r="5937">
      <c r="A5937" s="11">
        <v>5936.0</v>
      </c>
      <c r="B5937" s="12">
        <f t="shared" ref="B5937:B5944" si="947">DATE(2012,12,31)-427</f>
        <v>40847</v>
      </c>
      <c r="C5937" s="11" t="s">
        <v>1020</v>
      </c>
      <c r="D5937" s="11" t="s">
        <v>28</v>
      </c>
    </row>
    <row r="5938">
      <c r="A5938" s="11">
        <v>5937.0</v>
      </c>
      <c r="B5938" s="12">
        <f t="shared" si="947"/>
        <v>40847</v>
      </c>
      <c r="C5938" s="11" t="s">
        <v>193</v>
      </c>
      <c r="D5938" s="11" t="s">
        <v>49</v>
      </c>
    </row>
    <row r="5939">
      <c r="A5939" s="11">
        <v>5938.0</v>
      </c>
      <c r="B5939" s="12">
        <f t="shared" si="947"/>
        <v>40847</v>
      </c>
      <c r="C5939" s="11" t="s">
        <v>193</v>
      </c>
      <c r="D5939" s="11" t="s">
        <v>28</v>
      </c>
    </row>
    <row r="5940">
      <c r="A5940" s="11">
        <v>5939.0</v>
      </c>
      <c r="B5940" s="12">
        <f t="shared" si="947"/>
        <v>40847</v>
      </c>
      <c r="C5940" s="11" t="s">
        <v>843</v>
      </c>
      <c r="D5940" s="11" t="s">
        <v>28</v>
      </c>
    </row>
    <row r="5941">
      <c r="A5941" s="11">
        <v>5940.0</v>
      </c>
      <c r="B5941" s="12">
        <f t="shared" si="947"/>
        <v>40847</v>
      </c>
      <c r="C5941" s="11" t="s">
        <v>843</v>
      </c>
      <c r="D5941" s="11" t="s">
        <v>28</v>
      </c>
    </row>
    <row r="5942">
      <c r="A5942" s="11">
        <v>5941.0</v>
      </c>
      <c r="B5942" s="12">
        <f t="shared" si="947"/>
        <v>40847</v>
      </c>
      <c r="C5942" s="11" t="s">
        <v>639</v>
      </c>
      <c r="D5942" s="11" t="s">
        <v>28</v>
      </c>
    </row>
    <row r="5943">
      <c r="A5943" s="11">
        <v>5942.0</v>
      </c>
      <c r="B5943" s="12">
        <f t="shared" si="947"/>
        <v>40847</v>
      </c>
      <c r="C5943" s="11" t="s">
        <v>1209</v>
      </c>
      <c r="D5943" s="11" t="s">
        <v>28</v>
      </c>
    </row>
    <row r="5944">
      <c r="A5944" s="11">
        <v>5943.0</v>
      </c>
      <c r="B5944" s="12">
        <f t="shared" si="947"/>
        <v>40847</v>
      </c>
      <c r="C5944" s="11" t="s">
        <v>1209</v>
      </c>
      <c r="D5944" s="11" t="s">
        <v>28</v>
      </c>
    </row>
    <row r="5945">
      <c r="A5945" s="11">
        <v>5944.0</v>
      </c>
      <c r="B5945" s="12">
        <f t="shared" ref="B5945:B5954" si="948">DATE(2012,12,31)-426</f>
        <v>40848</v>
      </c>
      <c r="C5945" s="11" t="s">
        <v>1618</v>
      </c>
      <c r="D5945" s="11" t="s">
        <v>49</v>
      </c>
    </row>
    <row r="5946">
      <c r="A5946" s="11">
        <v>5945.0</v>
      </c>
      <c r="B5946" s="12">
        <f t="shared" si="948"/>
        <v>40848</v>
      </c>
      <c r="C5946" s="11" t="s">
        <v>1618</v>
      </c>
      <c r="D5946" s="11" t="s">
        <v>49</v>
      </c>
    </row>
    <row r="5947">
      <c r="A5947" s="11">
        <v>5946.0</v>
      </c>
      <c r="B5947" s="12">
        <f t="shared" si="948"/>
        <v>40848</v>
      </c>
      <c r="C5947" s="11" t="s">
        <v>120</v>
      </c>
      <c r="D5947" s="11" t="s">
        <v>49</v>
      </c>
    </row>
    <row r="5948">
      <c r="A5948" s="11">
        <v>5947.0</v>
      </c>
      <c r="B5948" s="12">
        <f t="shared" si="948"/>
        <v>40848</v>
      </c>
      <c r="C5948" s="11" t="s">
        <v>120</v>
      </c>
      <c r="D5948" s="11" t="s">
        <v>49</v>
      </c>
    </row>
    <row r="5949">
      <c r="A5949" s="11">
        <v>5948.0</v>
      </c>
      <c r="B5949" s="12">
        <f t="shared" si="948"/>
        <v>40848</v>
      </c>
      <c r="C5949" s="11" t="s">
        <v>904</v>
      </c>
      <c r="D5949" s="11" t="s">
        <v>28</v>
      </c>
    </row>
    <row r="5950">
      <c r="A5950" s="11">
        <v>5949.0</v>
      </c>
      <c r="B5950" s="12">
        <f t="shared" si="948"/>
        <v>40848</v>
      </c>
      <c r="C5950" s="11" t="s">
        <v>904</v>
      </c>
      <c r="D5950" s="11" t="s">
        <v>28</v>
      </c>
    </row>
    <row r="5951">
      <c r="A5951" s="11">
        <v>5950.0</v>
      </c>
      <c r="B5951" s="12">
        <f t="shared" si="948"/>
        <v>40848</v>
      </c>
      <c r="C5951" s="11" t="s">
        <v>904</v>
      </c>
      <c r="D5951" s="11" t="s">
        <v>66</v>
      </c>
    </row>
    <row r="5952">
      <c r="A5952" s="11">
        <v>5951.0</v>
      </c>
      <c r="B5952" s="12">
        <f t="shared" si="948"/>
        <v>40848</v>
      </c>
      <c r="C5952" s="11" t="s">
        <v>1851</v>
      </c>
      <c r="D5952" s="11" t="s">
        <v>28</v>
      </c>
    </row>
    <row r="5953">
      <c r="A5953" s="11">
        <v>5952.0</v>
      </c>
      <c r="B5953" s="12">
        <f t="shared" si="948"/>
        <v>40848</v>
      </c>
      <c r="C5953" s="11" t="s">
        <v>1851</v>
      </c>
      <c r="D5953" s="11" t="s">
        <v>66</v>
      </c>
    </row>
    <row r="5954">
      <c r="A5954" s="11">
        <v>5953.0</v>
      </c>
      <c r="B5954" s="12">
        <f t="shared" si="948"/>
        <v>40848</v>
      </c>
      <c r="C5954" s="11" t="s">
        <v>1851</v>
      </c>
      <c r="D5954" s="11" t="s">
        <v>66</v>
      </c>
    </row>
    <row r="5955">
      <c r="A5955" s="11">
        <v>5954.0</v>
      </c>
      <c r="B5955" s="12">
        <f t="shared" ref="B5955:B5959" si="949">DATE(2012,12,31)-425</f>
        <v>40849</v>
      </c>
      <c r="C5955" s="11" t="s">
        <v>2571</v>
      </c>
      <c r="D5955" s="11" t="s">
        <v>66</v>
      </c>
    </row>
    <row r="5956">
      <c r="A5956" s="11">
        <v>5955.0</v>
      </c>
      <c r="B5956" s="12">
        <f t="shared" si="949"/>
        <v>40849</v>
      </c>
      <c r="C5956" s="11" t="s">
        <v>2528</v>
      </c>
      <c r="D5956" s="11" t="s">
        <v>66</v>
      </c>
    </row>
    <row r="5957">
      <c r="A5957" s="11">
        <v>5956.0</v>
      </c>
      <c r="B5957" s="12">
        <f t="shared" si="949"/>
        <v>40849</v>
      </c>
      <c r="C5957" s="11" t="s">
        <v>904</v>
      </c>
      <c r="D5957" s="11" t="s">
        <v>28</v>
      </c>
    </row>
    <row r="5958">
      <c r="A5958" s="11">
        <v>5957.0</v>
      </c>
      <c r="B5958" s="12">
        <f t="shared" si="949"/>
        <v>40849</v>
      </c>
      <c r="C5958" s="11" t="s">
        <v>803</v>
      </c>
      <c r="D5958" s="11" t="s">
        <v>49</v>
      </c>
    </row>
    <row r="5959">
      <c r="A5959" s="11">
        <v>5958.0</v>
      </c>
      <c r="B5959" s="12">
        <f t="shared" si="949"/>
        <v>40849</v>
      </c>
      <c r="C5959" s="11" t="s">
        <v>803</v>
      </c>
      <c r="D5959" s="11" t="s">
        <v>49</v>
      </c>
    </row>
    <row r="5960">
      <c r="A5960" s="11">
        <v>5959.0</v>
      </c>
      <c r="B5960" s="12">
        <f t="shared" ref="B5960:B5962" si="950">DATE(2012,12,31)-424</f>
        <v>40850</v>
      </c>
      <c r="C5960" s="11" t="s">
        <v>763</v>
      </c>
      <c r="D5960" s="11" t="s">
        <v>49</v>
      </c>
    </row>
    <row r="5961">
      <c r="A5961" s="11">
        <v>5960.0</v>
      </c>
      <c r="B5961" s="12">
        <f t="shared" si="950"/>
        <v>40850</v>
      </c>
      <c r="C5961" s="11" t="s">
        <v>2079</v>
      </c>
      <c r="D5961" s="11" t="s">
        <v>66</v>
      </c>
    </row>
    <row r="5962">
      <c r="A5962" s="11">
        <v>5961.0</v>
      </c>
      <c r="B5962" s="12">
        <f t="shared" si="950"/>
        <v>40850</v>
      </c>
      <c r="C5962" s="11" t="s">
        <v>2490</v>
      </c>
      <c r="D5962" s="11" t="s">
        <v>49</v>
      </c>
    </row>
    <row r="5963">
      <c r="A5963" s="11">
        <v>5962.0</v>
      </c>
      <c r="B5963" s="12">
        <f t="shared" ref="B5963:B5967" si="951">DATE(2012,12,31)-422</f>
        <v>40852</v>
      </c>
      <c r="C5963" s="11" t="s">
        <v>1984</v>
      </c>
      <c r="D5963" s="11" t="s">
        <v>66</v>
      </c>
    </row>
    <row r="5964">
      <c r="A5964" s="11">
        <v>5963.0</v>
      </c>
      <c r="B5964" s="12">
        <f t="shared" si="951"/>
        <v>40852</v>
      </c>
      <c r="C5964" s="11" t="s">
        <v>1048</v>
      </c>
      <c r="D5964" s="11" t="s">
        <v>49</v>
      </c>
    </row>
    <row r="5965">
      <c r="A5965" s="11">
        <v>5964.0</v>
      </c>
      <c r="B5965" s="12">
        <f t="shared" si="951"/>
        <v>40852</v>
      </c>
      <c r="C5965" s="11" t="s">
        <v>1884</v>
      </c>
      <c r="D5965" s="11" t="s">
        <v>28</v>
      </c>
    </row>
    <row r="5966">
      <c r="A5966" s="11">
        <v>5965.0</v>
      </c>
      <c r="B5966" s="12">
        <f t="shared" si="951"/>
        <v>40852</v>
      </c>
      <c r="C5966" s="11" t="s">
        <v>1884</v>
      </c>
      <c r="D5966" s="11" t="s">
        <v>49</v>
      </c>
    </row>
    <row r="5967">
      <c r="A5967" s="11">
        <v>5966.0</v>
      </c>
      <c r="B5967" s="12">
        <f t="shared" si="951"/>
        <v>40852</v>
      </c>
      <c r="C5967" s="11" t="s">
        <v>375</v>
      </c>
      <c r="D5967" s="11" t="s">
        <v>49</v>
      </c>
    </row>
    <row r="5968">
      <c r="A5968" s="11">
        <v>5967.0</v>
      </c>
      <c r="B5968" s="12">
        <f t="shared" ref="B5968:B5970" si="952">DATE(2012,12,31)-421</f>
        <v>40853</v>
      </c>
      <c r="C5968" s="11" t="s">
        <v>1472</v>
      </c>
      <c r="D5968" s="11" t="s">
        <v>49</v>
      </c>
    </row>
    <row r="5969">
      <c r="A5969" s="11">
        <v>5968.0</v>
      </c>
      <c r="B5969" s="12">
        <f t="shared" si="952"/>
        <v>40853</v>
      </c>
      <c r="C5969" s="11" t="s">
        <v>1657</v>
      </c>
      <c r="D5969" s="11" t="s">
        <v>49</v>
      </c>
    </row>
    <row r="5970">
      <c r="A5970" s="11">
        <v>5969.0</v>
      </c>
      <c r="B5970" s="12">
        <f t="shared" si="952"/>
        <v>40853</v>
      </c>
      <c r="C5970" s="11" t="s">
        <v>1384</v>
      </c>
      <c r="D5970" s="11" t="s">
        <v>66</v>
      </c>
    </row>
    <row r="5971">
      <c r="A5971" s="11">
        <v>5970.0</v>
      </c>
      <c r="B5971" s="12">
        <f t="shared" ref="B5971:B5976" si="953">DATE(2012,12,31)-420</f>
        <v>40854</v>
      </c>
      <c r="C5971" s="11" t="s">
        <v>657</v>
      </c>
      <c r="D5971" s="11" t="s">
        <v>28</v>
      </c>
    </row>
    <row r="5972">
      <c r="A5972" s="11">
        <v>5971.0</v>
      </c>
      <c r="B5972" s="12">
        <f t="shared" si="953"/>
        <v>40854</v>
      </c>
      <c r="C5972" s="11" t="s">
        <v>1716</v>
      </c>
      <c r="D5972" s="11" t="s">
        <v>28</v>
      </c>
    </row>
    <row r="5973">
      <c r="A5973" s="11">
        <v>5972.0</v>
      </c>
      <c r="B5973" s="12">
        <f t="shared" si="953"/>
        <v>40854</v>
      </c>
      <c r="C5973" s="11" t="s">
        <v>2528</v>
      </c>
      <c r="D5973" s="11" t="s">
        <v>66</v>
      </c>
    </row>
    <row r="5974">
      <c r="A5974" s="11">
        <v>5973.0</v>
      </c>
      <c r="B5974" s="12">
        <f t="shared" si="953"/>
        <v>40854</v>
      </c>
      <c r="C5974" s="11" t="s">
        <v>588</v>
      </c>
      <c r="D5974" s="11" t="s">
        <v>66</v>
      </c>
    </row>
    <row r="5975">
      <c r="A5975" s="11">
        <v>5974.0</v>
      </c>
      <c r="B5975" s="12">
        <f t="shared" si="953"/>
        <v>40854</v>
      </c>
      <c r="C5975" s="11" t="s">
        <v>2058</v>
      </c>
      <c r="D5975" s="11" t="s">
        <v>66</v>
      </c>
    </row>
    <row r="5976">
      <c r="A5976" s="11">
        <v>5975.0</v>
      </c>
      <c r="B5976" s="12">
        <f t="shared" si="953"/>
        <v>40854</v>
      </c>
      <c r="C5976" s="11" t="s">
        <v>2058</v>
      </c>
      <c r="D5976" s="11" t="s">
        <v>28</v>
      </c>
    </row>
    <row r="5977">
      <c r="A5977" s="11">
        <v>5976.0</v>
      </c>
      <c r="B5977" s="12">
        <f t="shared" ref="B5977:B5982" si="954">DATE(2012,12,31)-419</f>
        <v>40855</v>
      </c>
      <c r="C5977" s="11" t="s">
        <v>855</v>
      </c>
      <c r="D5977" s="11" t="s">
        <v>28</v>
      </c>
    </row>
    <row r="5978">
      <c r="A5978" s="11">
        <v>5977.0</v>
      </c>
      <c r="B5978" s="12">
        <f t="shared" si="954"/>
        <v>40855</v>
      </c>
      <c r="C5978" s="11" t="s">
        <v>855</v>
      </c>
      <c r="D5978" s="11" t="s">
        <v>49</v>
      </c>
    </row>
    <row r="5979">
      <c r="A5979" s="11">
        <v>5978.0</v>
      </c>
      <c r="B5979" s="12">
        <f t="shared" si="954"/>
        <v>40855</v>
      </c>
      <c r="C5979" s="11" t="s">
        <v>1725</v>
      </c>
      <c r="D5979" s="11" t="s">
        <v>28</v>
      </c>
    </row>
    <row r="5980">
      <c r="A5980" s="11">
        <v>5979.0</v>
      </c>
      <c r="B5980" s="12">
        <f t="shared" si="954"/>
        <v>40855</v>
      </c>
      <c r="C5980" s="11" t="s">
        <v>1725</v>
      </c>
      <c r="D5980" s="11" t="s">
        <v>28</v>
      </c>
    </row>
    <row r="5981">
      <c r="A5981" s="11">
        <v>5980.0</v>
      </c>
      <c r="B5981" s="12">
        <f t="shared" si="954"/>
        <v>40855</v>
      </c>
      <c r="C5981" s="11" t="s">
        <v>1725</v>
      </c>
      <c r="D5981" s="11" t="s">
        <v>66</v>
      </c>
    </row>
    <row r="5982">
      <c r="A5982" s="11">
        <v>5981.0</v>
      </c>
      <c r="B5982" s="12">
        <f t="shared" si="954"/>
        <v>40855</v>
      </c>
      <c r="C5982" s="11" t="s">
        <v>1725</v>
      </c>
      <c r="D5982" s="11" t="s">
        <v>66</v>
      </c>
    </row>
    <row r="5983">
      <c r="A5983" s="11">
        <v>5982.0</v>
      </c>
      <c r="B5983" s="12">
        <f t="shared" ref="B5983:B5986" si="955">DATE(2012,12,31)-418</f>
        <v>40856</v>
      </c>
      <c r="C5983" s="11" t="s">
        <v>25</v>
      </c>
      <c r="D5983" s="11" t="s">
        <v>66</v>
      </c>
    </row>
    <row r="5984">
      <c r="A5984" s="11">
        <v>5983.0</v>
      </c>
      <c r="B5984" s="12">
        <f t="shared" si="955"/>
        <v>40856</v>
      </c>
      <c r="C5984" s="11" t="s">
        <v>904</v>
      </c>
      <c r="D5984" s="11" t="s">
        <v>28</v>
      </c>
    </row>
    <row r="5985">
      <c r="A5985" s="11">
        <v>5984.0</v>
      </c>
      <c r="B5985" s="12">
        <f t="shared" si="955"/>
        <v>40856</v>
      </c>
      <c r="C5985" s="11" t="s">
        <v>904</v>
      </c>
      <c r="D5985" s="11" t="s">
        <v>66</v>
      </c>
    </row>
    <row r="5986">
      <c r="A5986" s="11">
        <v>5985.0</v>
      </c>
      <c r="B5986" s="12">
        <f t="shared" si="955"/>
        <v>40856</v>
      </c>
      <c r="C5986" s="11" t="s">
        <v>1634</v>
      </c>
      <c r="D5986" s="11" t="s">
        <v>66</v>
      </c>
    </row>
    <row r="5987">
      <c r="A5987" s="11">
        <v>5986.0</v>
      </c>
      <c r="B5987" s="12">
        <f t="shared" ref="B5987:B5998" si="956">DATE(2012,12,31)-417</f>
        <v>40857</v>
      </c>
      <c r="C5987" s="11" t="s">
        <v>648</v>
      </c>
      <c r="D5987" s="11" t="s">
        <v>28</v>
      </c>
    </row>
    <row r="5988">
      <c r="A5988" s="11">
        <v>5987.0</v>
      </c>
      <c r="B5988" s="12">
        <f t="shared" si="956"/>
        <v>40857</v>
      </c>
      <c r="C5988" s="11" t="s">
        <v>211</v>
      </c>
      <c r="D5988" s="11" t="s">
        <v>66</v>
      </c>
    </row>
    <row r="5989">
      <c r="A5989" s="11">
        <v>5988.0</v>
      </c>
      <c r="B5989" s="12">
        <f t="shared" si="956"/>
        <v>40857</v>
      </c>
      <c r="C5989" s="11" t="s">
        <v>211</v>
      </c>
      <c r="D5989" s="11" t="s">
        <v>28</v>
      </c>
    </row>
    <row r="5990">
      <c r="A5990" s="11">
        <v>5989.0</v>
      </c>
      <c r="B5990" s="12">
        <f t="shared" si="956"/>
        <v>40857</v>
      </c>
      <c r="C5990" s="11" t="s">
        <v>211</v>
      </c>
      <c r="D5990" s="11" t="s">
        <v>66</v>
      </c>
    </row>
    <row r="5991">
      <c r="A5991" s="11">
        <v>5990.0</v>
      </c>
      <c r="B5991" s="12">
        <f t="shared" si="956"/>
        <v>40857</v>
      </c>
      <c r="C5991" s="11" t="s">
        <v>211</v>
      </c>
      <c r="D5991" s="11" t="s">
        <v>28</v>
      </c>
    </row>
    <row r="5992">
      <c r="A5992" s="11">
        <v>5991.0</v>
      </c>
      <c r="B5992" s="12">
        <f t="shared" si="956"/>
        <v>40857</v>
      </c>
      <c r="C5992" s="11" t="s">
        <v>1221</v>
      </c>
      <c r="D5992" s="11" t="s">
        <v>28</v>
      </c>
    </row>
    <row r="5993">
      <c r="A5993" s="11">
        <v>5992.0</v>
      </c>
      <c r="B5993" s="12">
        <f t="shared" si="956"/>
        <v>40857</v>
      </c>
      <c r="C5993" s="11" t="s">
        <v>268</v>
      </c>
      <c r="D5993" s="11" t="s">
        <v>66</v>
      </c>
    </row>
    <row r="5994">
      <c r="A5994" s="11">
        <v>5993.0</v>
      </c>
      <c r="B5994" s="12">
        <f t="shared" si="956"/>
        <v>40857</v>
      </c>
      <c r="C5994" s="11" t="s">
        <v>268</v>
      </c>
      <c r="D5994" s="11" t="s">
        <v>66</v>
      </c>
    </row>
    <row r="5995">
      <c r="A5995" s="11">
        <v>5994.0</v>
      </c>
      <c r="B5995" s="12">
        <f t="shared" si="956"/>
        <v>40857</v>
      </c>
      <c r="C5995" s="11" t="s">
        <v>2314</v>
      </c>
      <c r="D5995" s="11" t="s">
        <v>49</v>
      </c>
    </row>
    <row r="5996">
      <c r="A5996" s="11">
        <v>5995.0</v>
      </c>
      <c r="B5996" s="12">
        <f t="shared" si="956"/>
        <v>40857</v>
      </c>
      <c r="C5996" s="11" t="s">
        <v>925</v>
      </c>
      <c r="D5996" s="11" t="s">
        <v>66</v>
      </c>
    </row>
    <row r="5997">
      <c r="A5997" s="11">
        <v>5996.0</v>
      </c>
      <c r="B5997" s="12">
        <f t="shared" si="956"/>
        <v>40857</v>
      </c>
      <c r="C5997" s="11" t="s">
        <v>925</v>
      </c>
      <c r="D5997" s="11" t="s">
        <v>28</v>
      </c>
    </row>
    <row r="5998">
      <c r="A5998" s="11">
        <v>5997.0</v>
      </c>
      <c r="B5998" s="12">
        <f t="shared" si="956"/>
        <v>40857</v>
      </c>
      <c r="C5998" s="11" t="s">
        <v>925</v>
      </c>
      <c r="D5998" s="11" t="s">
        <v>28</v>
      </c>
    </row>
    <row r="5999">
      <c r="A5999" s="11">
        <v>5998.0</v>
      </c>
      <c r="B5999" s="12">
        <f t="shared" ref="B5999:B6001" si="957">DATE(2012,12,31)-416</f>
        <v>40858</v>
      </c>
      <c r="C5999" s="11" t="s">
        <v>279</v>
      </c>
      <c r="D5999" s="11" t="s">
        <v>28</v>
      </c>
    </row>
    <row r="6000">
      <c r="A6000" s="11">
        <v>5999.0</v>
      </c>
      <c r="B6000" s="12">
        <f t="shared" si="957"/>
        <v>40858</v>
      </c>
      <c r="C6000" s="11" t="s">
        <v>279</v>
      </c>
      <c r="D6000" s="11" t="s">
        <v>49</v>
      </c>
    </row>
    <row r="6001">
      <c r="A6001" s="11">
        <v>6000.0</v>
      </c>
      <c r="B6001" s="12">
        <f t="shared" si="957"/>
        <v>40858</v>
      </c>
      <c r="C6001" s="11" t="s">
        <v>279</v>
      </c>
      <c r="D6001" s="11" t="s">
        <v>49</v>
      </c>
    </row>
    <row r="6002">
      <c r="A6002" s="11">
        <v>6001.0</v>
      </c>
      <c r="B6002" s="12">
        <f t="shared" ref="B6002:B6009" si="958">DATE(2012,12,31)-415</f>
        <v>40859</v>
      </c>
      <c r="C6002" s="11" t="s">
        <v>821</v>
      </c>
      <c r="D6002" s="11" t="s">
        <v>49</v>
      </c>
    </row>
    <row r="6003">
      <c r="A6003" s="11">
        <v>6002.0</v>
      </c>
      <c r="B6003" s="12">
        <f t="shared" si="958"/>
        <v>40859</v>
      </c>
      <c r="C6003" s="11" t="s">
        <v>821</v>
      </c>
      <c r="D6003" s="11" t="s">
        <v>66</v>
      </c>
    </row>
    <row r="6004">
      <c r="A6004" s="11">
        <v>6003.0</v>
      </c>
      <c r="B6004" s="12">
        <f t="shared" si="958"/>
        <v>40859</v>
      </c>
      <c r="C6004" s="11" t="s">
        <v>1205</v>
      </c>
      <c r="D6004" s="11" t="s">
        <v>66</v>
      </c>
    </row>
    <row r="6005">
      <c r="A6005" s="11">
        <v>6004.0</v>
      </c>
      <c r="B6005" s="12">
        <f t="shared" si="958"/>
        <v>40859</v>
      </c>
      <c r="C6005" s="11" t="s">
        <v>1210</v>
      </c>
      <c r="D6005" s="11" t="s">
        <v>49</v>
      </c>
    </row>
    <row r="6006">
      <c r="A6006" s="11">
        <v>6005.0</v>
      </c>
      <c r="B6006" s="12">
        <f t="shared" si="958"/>
        <v>40859</v>
      </c>
      <c r="C6006" s="11" t="s">
        <v>1210</v>
      </c>
      <c r="D6006" s="11" t="s">
        <v>28</v>
      </c>
    </row>
    <row r="6007">
      <c r="A6007" s="11">
        <v>6006.0</v>
      </c>
      <c r="B6007" s="12">
        <f t="shared" si="958"/>
        <v>40859</v>
      </c>
      <c r="C6007" s="11" t="s">
        <v>1862</v>
      </c>
      <c r="D6007" s="11" t="s">
        <v>28</v>
      </c>
    </row>
    <row r="6008">
      <c r="A6008" s="11">
        <v>6007.0</v>
      </c>
      <c r="B6008" s="12">
        <f t="shared" si="958"/>
        <v>40859</v>
      </c>
      <c r="C6008" s="11" t="s">
        <v>1862</v>
      </c>
      <c r="D6008" s="11" t="s">
        <v>28</v>
      </c>
    </row>
    <row r="6009">
      <c r="A6009" s="11">
        <v>6008.0</v>
      </c>
      <c r="B6009" s="12">
        <f t="shared" si="958"/>
        <v>40859</v>
      </c>
      <c r="C6009" s="11" t="s">
        <v>1814</v>
      </c>
      <c r="D6009" s="11" t="s">
        <v>66</v>
      </c>
    </row>
    <row r="6010">
      <c r="A6010" s="11">
        <v>6009.0</v>
      </c>
      <c r="B6010" s="12">
        <f t="shared" ref="B6010:B6012" si="959">DATE(2012,12,31)-414</f>
        <v>40860</v>
      </c>
      <c r="C6010" s="11" t="s">
        <v>1623</v>
      </c>
      <c r="D6010" s="11" t="s">
        <v>49</v>
      </c>
    </row>
    <row r="6011">
      <c r="A6011" s="11">
        <v>6010.0</v>
      </c>
      <c r="B6011" s="12">
        <f t="shared" si="959"/>
        <v>40860</v>
      </c>
      <c r="C6011" s="11" t="s">
        <v>871</v>
      </c>
      <c r="D6011" s="11" t="s">
        <v>28</v>
      </c>
    </row>
    <row r="6012">
      <c r="A6012" s="11">
        <v>6011.0</v>
      </c>
      <c r="B6012" s="12">
        <f t="shared" si="959"/>
        <v>40860</v>
      </c>
      <c r="C6012" s="11" t="s">
        <v>871</v>
      </c>
      <c r="D6012" s="11" t="s">
        <v>66</v>
      </c>
    </row>
    <row r="6013">
      <c r="A6013" s="11">
        <v>6012.0</v>
      </c>
      <c r="B6013" s="12">
        <f t="shared" ref="B6013:B6014" si="960">DATE(2012,12,31)-413</f>
        <v>40861</v>
      </c>
      <c r="C6013" s="11" t="s">
        <v>1114</v>
      </c>
      <c r="D6013" s="11" t="s">
        <v>49</v>
      </c>
    </row>
    <row r="6014">
      <c r="A6014" s="11">
        <v>6013.0</v>
      </c>
      <c r="B6014" s="12">
        <f t="shared" si="960"/>
        <v>40861</v>
      </c>
      <c r="C6014" s="11" t="s">
        <v>769</v>
      </c>
      <c r="D6014" s="11" t="s">
        <v>28</v>
      </c>
    </row>
    <row r="6015">
      <c r="A6015" s="11">
        <v>6014.0</v>
      </c>
      <c r="B6015" s="12">
        <f t="shared" ref="B6015:B6018" si="961">DATE(2012,12,31)-412</f>
        <v>40862</v>
      </c>
      <c r="C6015" s="11" t="s">
        <v>1725</v>
      </c>
      <c r="D6015" s="11" t="s">
        <v>28</v>
      </c>
    </row>
    <row r="6016">
      <c r="A6016" s="11">
        <v>6015.0</v>
      </c>
      <c r="B6016" s="12">
        <f t="shared" si="961"/>
        <v>40862</v>
      </c>
      <c r="C6016" s="11" t="s">
        <v>2168</v>
      </c>
      <c r="D6016" s="11" t="s">
        <v>66</v>
      </c>
    </row>
    <row r="6017">
      <c r="A6017" s="11">
        <v>6016.0</v>
      </c>
      <c r="B6017" s="12">
        <f t="shared" si="961"/>
        <v>40862</v>
      </c>
      <c r="C6017" s="11" t="s">
        <v>2101</v>
      </c>
      <c r="D6017" s="11" t="s">
        <v>66</v>
      </c>
    </row>
    <row r="6018">
      <c r="A6018" s="11">
        <v>6017.0</v>
      </c>
      <c r="B6018" s="12">
        <f t="shared" si="961"/>
        <v>40862</v>
      </c>
      <c r="C6018" s="11" t="s">
        <v>2101</v>
      </c>
      <c r="D6018" s="11" t="s">
        <v>49</v>
      </c>
    </row>
    <row r="6019">
      <c r="A6019" s="11">
        <v>6018.0</v>
      </c>
      <c r="B6019" s="12">
        <f t="shared" ref="B6019:B6030" si="962">DATE(2012,12,31)-411</f>
        <v>40863</v>
      </c>
      <c r="C6019" s="11" t="s">
        <v>1025</v>
      </c>
      <c r="D6019" s="11" t="s">
        <v>66</v>
      </c>
    </row>
    <row r="6020">
      <c r="A6020" s="11">
        <v>6019.0</v>
      </c>
      <c r="B6020" s="12">
        <f t="shared" si="962"/>
        <v>40863</v>
      </c>
      <c r="C6020" s="11" t="s">
        <v>1025</v>
      </c>
      <c r="D6020" s="11" t="s">
        <v>49</v>
      </c>
    </row>
    <row r="6021">
      <c r="A6021" s="11">
        <v>6020.0</v>
      </c>
      <c r="B6021" s="12">
        <f t="shared" si="962"/>
        <v>40863</v>
      </c>
      <c r="C6021" s="11" t="s">
        <v>1025</v>
      </c>
      <c r="D6021" s="11" t="s">
        <v>49</v>
      </c>
    </row>
    <row r="6022">
      <c r="A6022" s="11">
        <v>6021.0</v>
      </c>
      <c r="B6022" s="12">
        <f t="shared" si="962"/>
        <v>40863</v>
      </c>
      <c r="C6022" s="11" t="s">
        <v>1472</v>
      </c>
      <c r="D6022" s="11" t="s">
        <v>28</v>
      </c>
    </row>
    <row r="6023">
      <c r="A6023" s="11">
        <v>6022.0</v>
      </c>
      <c r="B6023" s="12">
        <f t="shared" si="962"/>
        <v>40863</v>
      </c>
      <c r="C6023" s="11" t="s">
        <v>1472</v>
      </c>
      <c r="D6023" s="11" t="s">
        <v>28</v>
      </c>
    </row>
    <row r="6024">
      <c r="A6024" s="11">
        <v>6023.0</v>
      </c>
      <c r="B6024" s="12">
        <f t="shared" si="962"/>
        <v>40863</v>
      </c>
      <c r="C6024" s="11" t="s">
        <v>1472</v>
      </c>
      <c r="D6024" s="11" t="s">
        <v>66</v>
      </c>
    </row>
    <row r="6025">
      <c r="A6025" s="11">
        <v>6024.0</v>
      </c>
      <c r="B6025" s="12">
        <f t="shared" si="962"/>
        <v>40863</v>
      </c>
      <c r="C6025" s="11" t="s">
        <v>1829</v>
      </c>
      <c r="D6025" s="11" t="s">
        <v>66</v>
      </c>
    </row>
    <row r="6026">
      <c r="A6026" s="11">
        <v>6025.0</v>
      </c>
      <c r="B6026" s="12">
        <f t="shared" si="962"/>
        <v>40863</v>
      </c>
      <c r="C6026" s="11" t="s">
        <v>1979</v>
      </c>
      <c r="D6026" s="11" t="s">
        <v>66</v>
      </c>
    </row>
    <row r="6027">
      <c r="A6027" s="11">
        <v>6026.0</v>
      </c>
      <c r="B6027" s="12">
        <f t="shared" si="962"/>
        <v>40863</v>
      </c>
      <c r="C6027" s="11" t="s">
        <v>1979</v>
      </c>
      <c r="D6027" s="11" t="s">
        <v>49</v>
      </c>
    </row>
    <row r="6028">
      <c r="A6028" s="11">
        <v>6027.0</v>
      </c>
      <c r="B6028" s="12">
        <f t="shared" si="962"/>
        <v>40863</v>
      </c>
      <c r="C6028" s="11" t="s">
        <v>1979</v>
      </c>
      <c r="D6028" s="11" t="s">
        <v>28</v>
      </c>
    </row>
    <row r="6029">
      <c r="A6029" s="11">
        <v>6028.0</v>
      </c>
      <c r="B6029" s="12">
        <f t="shared" si="962"/>
        <v>40863</v>
      </c>
      <c r="C6029" s="11" t="s">
        <v>1419</v>
      </c>
      <c r="D6029" s="11" t="s">
        <v>28</v>
      </c>
    </row>
    <row r="6030">
      <c r="A6030" s="11">
        <v>6029.0</v>
      </c>
      <c r="B6030" s="12">
        <f t="shared" si="962"/>
        <v>40863</v>
      </c>
      <c r="C6030" s="11" t="s">
        <v>1419</v>
      </c>
      <c r="D6030" s="11" t="s">
        <v>66</v>
      </c>
    </row>
    <row r="6031">
      <c r="A6031" s="11">
        <v>6030.0</v>
      </c>
      <c r="B6031" s="12">
        <f t="shared" ref="B6031:B6034" si="963">DATE(2012,12,31)-410</f>
        <v>40864</v>
      </c>
      <c r="C6031" s="11" t="s">
        <v>1440</v>
      </c>
      <c r="D6031" s="11" t="s">
        <v>28</v>
      </c>
    </row>
    <row r="6032">
      <c r="A6032" s="11">
        <v>6031.0</v>
      </c>
      <c r="B6032" s="12">
        <f t="shared" si="963"/>
        <v>40864</v>
      </c>
      <c r="C6032" s="11" t="s">
        <v>1440</v>
      </c>
      <c r="D6032" s="11" t="s">
        <v>28</v>
      </c>
    </row>
    <row r="6033">
      <c r="A6033" s="11">
        <v>6032.0</v>
      </c>
      <c r="B6033" s="12">
        <f t="shared" si="963"/>
        <v>40864</v>
      </c>
      <c r="C6033" s="11" t="s">
        <v>2496</v>
      </c>
      <c r="D6033" s="11" t="s">
        <v>28</v>
      </c>
    </row>
    <row r="6034">
      <c r="A6034" s="11">
        <v>6033.0</v>
      </c>
      <c r="B6034" s="12">
        <f t="shared" si="963"/>
        <v>40864</v>
      </c>
      <c r="C6034" s="11" t="s">
        <v>349</v>
      </c>
      <c r="D6034" s="11" t="s">
        <v>66</v>
      </c>
    </row>
    <row r="6035">
      <c r="A6035" s="11">
        <v>6034.0</v>
      </c>
      <c r="B6035" s="12">
        <f t="shared" ref="B6035:B6046" si="964">DATE(2012,12,31)-409</f>
        <v>40865</v>
      </c>
      <c r="C6035" s="11" t="s">
        <v>323</v>
      </c>
      <c r="D6035" s="11" t="s">
        <v>66</v>
      </c>
    </row>
    <row r="6036">
      <c r="A6036" s="11">
        <v>6035.0</v>
      </c>
      <c r="B6036" s="12">
        <f t="shared" si="964"/>
        <v>40865</v>
      </c>
      <c r="C6036" s="11" t="s">
        <v>2486</v>
      </c>
      <c r="D6036" s="11" t="s">
        <v>49</v>
      </c>
    </row>
    <row r="6037">
      <c r="A6037" s="11">
        <v>6036.0</v>
      </c>
      <c r="B6037" s="12">
        <f t="shared" si="964"/>
        <v>40865</v>
      </c>
      <c r="C6037" s="11" t="s">
        <v>1731</v>
      </c>
      <c r="D6037" s="11" t="s">
        <v>66</v>
      </c>
    </row>
    <row r="6038">
      <c r="A6038" s="11">
        <v>6037.0</v>
      </c>
      <c r="B6038" s="12">
        <f t="shared" si="964"/>
        <v>40865</v>
      </c>
      <c r="C6038" s="11" t="s">
        <v>1731</v>
      </c>
      <c r="D6038" s="11" t="s">
        <v>28</v>
      </c>
    </row>
    <row r="6039">
      <c r="A6039" s="11">
        <v>6038.0</v>
      </c>
      <c r="B6039" s="12">
        <f t="shared" si="964"/>
        <v>40865</v>
      </c>
      <c r="C6039" s="11" t="s">
        <v>1731</v>
      </c>
      <c r="D6039" s="11" t="s">
        <v>66</v>
      </c>
    </row>
    <row r="6040">
      <c r="A6040" s="11">
        <v>6039.0</v>
      </c>
      <c r="B6040" s="12">
        <f t="shared" si="964"/>
        <v>40865</v>
      </c>
      <c r="C6040" s="11" t="s">
        <v>1731</v>
      </c>
      <c r="D6040" s="11" t="s">
        <v>49</v>
      </c>
    </row>
    <row r="6041">
      <c r="A6041" s="11">
        <v>6040.0</v>
      </c>
      <c r="B6041" s="12">
        <f t="shared" si="964"/>
        <v>40865</v>
      </c>
      <c r="C6041" s="11" t="s">
        <v>2478</v>
      </c>
      <c r="D6041" s="11" t="s">
        <v>66</v>
      </c>
    </row>
    <row r="6042">
      <c r="A6042" s="11">
        <v>6041.0</v>
      </c>
      <c r="B6042" s="12">
        <f t="shared" si="964"/>
        <v>40865</v>
      </c>
      <c r="C6042" s="11" t="s">
        <v>2478</v>
      </c>
      <c r="D6042" s="11" t="s">
        <v>49</v>
      </c>
    </row>
    <row r="6043">
      <c r="A6043" s="11">
        <v>6042.0</v>
      </c>
      <c r="B6043" s="12">
        <f t="shared" si="964"/>
        <v>40865</v>
      </c>
      <c r="C6043" s="11" t="s">
        <v>1961</v>
      </c>
      <c r="D6043" s="11" t="s">
        <v>49</v>
      </c>
    </row>
    <row r="6044">
      <c r="A6044" s="11">
        <v>6043.0</v>
      </c>
      <c r="B6044" s="12">
        <f t="shared" si="964"/>
        <v>40865</v>
      </c>
      <c r="C6044" s="11" t="s">
        <v>213</v>
      </c>
      <c r="D6044" s="11" t="s">
        <v>66</v>
      </c>
    </row>
    <row r="6045">
      <c r="A6045" s="11">
        <v>6044.0</v>
      </c>
      <c r="B6045" s="12">
        <f t="shared" si="964"/>
        <v>40865</v>
      </c>
      <c r="C6045" s="11" t="s">
        <v>1444</v>
      </c>
      <c r="D6045" s="11" t="s">
        <v>66</v>
      </c>
    </row>
    <row r="6046">
      <c r="A6046" s="11">
        <v>6045.0</v>
      </c>
      <c r="B6046" s="12">
        <f t="shared" si="964"/>
        <v>40865</v>
      </c>
      <c r="C6046" s="11" t="s">
        <v>703</v>
      </c>
      <c r="D6046" s="11" t="s">
        <v>28</v>
      </c>
    </row>
    <row r="6047">
      <c r="A6047" s="11">
        <v>6046.0</v>
      </c>
      <c r="B6047" s="12">
        <f t="shared" ref="B6047:B6063" si="965">DATE(2012,12,31)-408</f>
        <v>40866</v>
      </c>
      <c r="C6047" s="11" t="s">
        <v>155</v>
      </c>
      <c r="D6047" s="11" t="s">
        <v>49</v>
      </c>
    </row>
    <row r="6048">
      <c r="A6048" s="11">
        <v>6047.0</v>
      </c>
      <c r="B6048" s="12">
        <f t="shared" si="965"/>
        <v>40866</v>
      </c>
      <c r="C6048" s="11" t="s">
        <v>1581</v>
      </c>
      <c r="D6048" s="11" t="s">
        <v>28</v>
      </c>
    </row>
    <row r="6049">
      <c r="A6049" s="11">
        <v>6048.0</v>
      </c>
      <c r="B6049" s="12">
        <f t="shared" si="965"/>
        <v>40866</v>
      </c>
      <c r="C6049" s="11" t="s">
        <v>1650</v>
      </c>
      <c r="D6049" s="11" t="s">
        <v>28</v>
      </c>
    </row>
    <row r="6050">
      <c r="A6050" s="11">
        <v>6049.0</v>
      </c>
      <c r="B6050" s="12">
        <f t="shared" si="965"/>
        <v>40866</v>
      </c>
      <c r="C6050" s="11" t="s">
        <v>1650</v>
      </c>
      <c r="D6050" s="11" t="s">
        <v>66</v>
      </c>
    </row>
    <row r="6051">
      <c r="A6051" s="11">
        <v>6050.0</v>
      </c>
      <c r="B6051" s="12">
        <f t="shared" si="965"/>
        <v>40866</v>
      </c>
      <c r="C6051" s="11" t="s">
        <v>2546</v>
      </c>
      <c r="D6051" s="11" t="s">
        <v>66</v>
      </c>
    </row>
    <row r="6052">
      <c r="A6052" s="11">
        <v>6051.0</v>
      </c>
      <c r="B6052" s="12">
        <f t="shared" si="965"/>
        <v>40866</v>
      </c>
      <c r="C6052" s="11" t="s">
        <v>2546</v>
      </c>
      <c r="D6052" s="11" t="s">
        <v>28</v>
      </c>
    </row>
    <row r="6053">
      <c r="A6053" s="11">
        <v>6052.0</v>
      </c>
      <c r="B6053" s="12">
        <f t="shared" si="965"/>
        <v>40866</v>
      </c>
      <c r="C6053" s="11" t="s">
        <v>555</v>
      </c>
      <c r="D6053" s="11" t="s">
        <v>66</v>
      </c>
    </row>
    <row r="6054">
      <c r="A6054" s="11">
        <v>6053.0</v>
      </c>
      <c r="B6054" s="12">
        <f t="shared" si="965"/>
        <v>40866</v>
      </c>
      <c r="C6054" s="11" t="s">
        <v>555</v>
      </c>
      <c r="D6054" s="11" t="s">
        <v>28</v>
      </c>
    </row>
    <row r="6055">
      <c r="A6055" s="11">
        <v>6054.0</v>
      </c>
      <c r="B6055" s="12">
        <f t="shared" si="965"/>
        <v>40866</v>
      </c>
      <c r="C6055" s="11" t="s">
        <v>1772</v>
      </c>
      <c r="D6055" s="11" t="s">
        <v>28</v>
      </c>
    </row>
    <row r="6056">
      <c r="A6056" s="11">
        <v>6055.0</v>
      </c>
      <c r="B6056" s="12">
        <f t="shared" si="965"/>
        <v>40866</v>
      </c>
      <c r="C6056" s="11" t="s">
        <v>1772</v>
      </c>
      <c r="D6056" s="11" t="s">
        <v>66</v>
      </c>
    </row>
    <row r="6057">
      <c r="A6057" s="11">
        <v>6056.0</v>
      </c>
      <c r="B6057" s="12">
        <f t="shared" si="965"/>
        <v>40866</v>
      </c>
      <c r="C6057" s="11" t="s">
        <v>1772</v>
      </c>
      <c r="D6057" s="11" t="s">
        <v>66</v>
      </c>
    </row>
    <row r="6058">
      <c r="A6058" s="11">
        <v>6057.0</v>
      </c>
      <c r="B6058" s="12">
        <f t="shared" si="965"/>
        <v>40866</v>
      </c>
      <c r="C6058" s="11" t="s">
        <v>1772</v>
      </c>
      <c r="D6058" s="11" t="s">
        <v>49</v>
      </c>
    </row>
    <row r="6059">
      <c r="A6059" s="11">
        <v>6058.0</v>
      </c>
      <c r="B6059" s="12">
        <f t="shared" si="965"/>
        <v>40866</v>
      </c>
      <c r="C6059" s="11" t="s">
        <v>1221</v>
      </c>
      <c r="D6059" s="11" t="s">
        <v>28</v>
      </c>
    </row>
    <row r="6060">
      <c r="A6060" s="11">
        <v>6059.0</v>
      </c>
      <c r="B6060" s="12">
        <f t="shared" si="965"/>
        <v>40866</v>
      </c>
      <c r="C6060" s="11" t="s">
        <v>1221</v>
      </c>
      <c r="D6060" s="11" t="s">
        <v>28</v>
      </c>
    </row>
    <row r="6061">
      <c r="A6061" s="11">
        <v>6060.0</v>
      </c>
      <c r="B6061" s="12">
        <f t="shared" si="965"/>
        <v>40866</v>
      </c>
      <c r="C6061" s="11" t="s">
        <v>1221</v>
      </c>
      <c r="D6061" s="11" t="s">
        <v>28</v>
      </c>
    </row>
    <row r="6062">
      <c r="A6062" s="11">
        <v>6061.0</v>
      </c>
      <c r="B6062" s="12">
        <f t="shared" si="965"/>
        <v>40866</v>
      </c>
      <c r="C6062" s="11" t="s">
        <v>910</v>
      </c>
      <c r="D6062" s="11" t="s">
        <v>49</v>
      </c>
    </row>
    <row r="6063">
      <c r="A6063" s="11">
        <v>6062.0</v>
      </c>
      <c r="B6063" s="12">
        <f t="shared" si="965"/>
        <v>40866</v>
      </c>
      <c r="C6063" s="11" t="s">
        <v>2402</v>
      </c>
      <c r="D6063" s="11" t="s">
        <v>66</v>
      </c>
    </row>
    <row r="6064">
      <c r="A6064" s="11">
        <v>6063.0</v>
      </c>
      <c r="B6064" s="12">
        <f t="shared" ref="B6064:B6065" si="966">DATE(2012,12,31)-407</f>
        <v>40867</v>
      </c>
      <c r="C6064" s="11" t="s">
        <v>867</v>
      </c>
      <c r="D6064" s="11" t="s">
        <v>28</v>
      </c>
    </row>
    <row r="6065">
      <c r="A6065" s="11">
        <v>6064.0</v>
      </c>
      <c r="B6065" s="12">
        <f t="shared" si="966"/>
        <v>40867</v>
      </c>
      <c r="C6065" s="11" t="s">
        <v>867</v>
      </c>
      <c r="D6065" s="11" t="s">
        <v>49</v>
      </c>
    </row>
    <row r="6066">
      <c r="A6066" s="11">
        <v>6065.0</v>
      </c>
      <c r="B6066" s="12">
        <f t="shared" ref="B6066:B6069" si="967">DATE(2012,12,31)-406</f>
        <v>40868</v>
      </c>
      <c r="C6066" s="11" t="s">
        <v>2136</v>
      </c>
      <c r="D6066" s="11" t="s">
        <v>28</v>
      </c>
    </row>
    <row r="6067">
      <c r="A6067" s="11">
        <v>6066.0</v>
      </c>
      <c r="B6067" s="12">
        <f t="shared" si="967"/>
        <v>40868</v>
      </c>
      <c r="C6067" s="11" t="s">
        <v>1752</v>
      </c>
      <c r="D6067" s="11" t="s">
        <v>49</v>
      </c>
    </row>
    <row r="6068">
      <c r="A6068" s="11">
        <v>6067.0</v>
      </c>
      <c r="B6068" s="12">
        <f t="shared" si="967"/>
        <v>40868</v>
      </c>
      <c r="C6068" s="11" t="s">
        <v>1507</v>
      </c>
      <c r="D6068" s="11" t="s">
        <v>28</v>
      </c>
    </row>
    <row r="6069">
      <c r="A6069" s="11">
        <v>6068.0</v>
      </c>
      <c r="B6069" s="12">
        <f t="shared" si="967"/>
        <v>40868</v>
      </c>
      <c r="C6069" s="11" t="s">
        <v>1507</v>
      </c>
      <c r="D6069" s="11" t="s">
        <v>66</v>
      </c>
    </row>
    <row r="6070">
      <c r="A6070" s="11">
        <v>6069.0</v>
      </c>
      <c r="B6070" s="12">
        <f t="shared" ref="B6070:B6077" si="968">DATE(2012,12,31)-405</f>
        <v>40869</v>
      </c>
      <c r="C6070" s="11" t="s">
        <v>25</v>
      </c>
      <c r="D6070" s="11" t="s">
        <v>28</v>
      </c>
    </row>
    <row r="6071">
      <c r="A6071" s="11">
        <v>6070.0</v>
      </c>
      <c r="B6071" s="12">
        <f t="shared" si="968"/>
        <v>40869</v>
      </c>
      <c r="C6071" s="11" t="s">
        <v>1068</v>
      </c>
      <c r="D6071" s="11" t="s">
        <v>49</v>
      </c>
    </row>
    <row r="6072">
      <c r="A6072" s="11">
        <v>6071.0</v>
      </c>
      <c r="B6072" s="12">
        <f t="shared" si="968"/>
        <v>40869</v>
      </c>
      <c r="C6072" s="11" t="s">
        <v>1068</v>
      </c>
      <c r="D6072" s="11" t="s">
        <v>66</v>
      </c>
    </row>
    <row r="6073">
      <c r="A6073" s="11">
        <v>6072.0</v>
      </c>
      <c r="B6073" s="12">
        <f t="shared" si="968"/>
        <v>40869</v>
      </c>
      <c r="C6073" s="11" t="s">
        <v>1068</v>
      </c>
      <c r="D6073" s="11" t="s">
        <v>49</v>
      </c>
    </row>
    <row r="6074">
      <c r="A6074" s="11">
        <v>6073.0</v>
      </c>
      <c r="B6074" s="12">
        <f t="shared" si="968"/>
        <v>40869</v>
      </c>
      <c r="C6074" s="11" t="s">
        <v>1068</v>
      </c>
      <c r="D6074" s="11" t="s">
        <v>66</v>
      </c>
    </row>
    <row r="6075">
      <c r="A6075" s="11">
        <v>6074.0</v>
      </c>
      <c r="B6075" s="12">
        <f t="shared" si="968"/>
        <v>40869</v>
      </c>
      <c r="C6075" s="11" t="s">
        <v>25</v>
      </c>
      <c r="D6075" s="11" t="s">
        <v>28</v>
      </c>
    </row>
    <row r="6076">
      <c r="A6076" s="11">
        <v>6075.0</v>
      </c>
      <c r="B6076" s="12">
        <f t="shared" si="968"/>
        <v>40869</v>
      </c>
      <c r="C6076" s="11" t="s">
        <v>25</v>
      </c>
      <c r="D6076" s="11" t="s">
        <v>28</v>
      </c>
    </row>
    <row r="6077">
      <c r="A6077" s="11">
        <v>6076.0</v>
      </c>
      <c r="B6077" s="12">
        <f t="shared" si="968"/>
        <v>40869</v>
      </c>
      <c r="C6077" s="11" t="s">
        <v>953</v>
      </c>
      <c r="D6077" s="11" t="s">
        <v>28</v>
      </c>
    </row>
    <row r="6078">
      <c r="A6078" s="11">
        <v>6077.0</v>
      </c>
      <c r="B6078" s="12">
        <f>DATE(2012,12,31)-404</f>
        <v>40870</v>
      </c>
      <c r="C6078" s="11" t="s">
        <v>2513</v>
      </c>
      <c r="D6078" s="11" t="s">
        <v>28</v>
      </c>
    </row>
    <row r="6079">
      <c r="A6079" s="11">
        <v>6078.0</v>
      </c>
      <c r="B6079" s="12">
        <f t="shared" ref="B6079:B6080" si="969">DATE(2012,12,31)-403</f>
        <v>40871</v>
      </c>
      <c r="C6079" s="11" t="s">
        <v>1080</v>
      </c>
      <c r="D6079" s="11" t="s">
        <v>28</v>
      </c>
    </row>
    <row r="6080">
      <c r="A6080" s="11">
        <v>6079.0</v>
      </c>
      <c r="B6080" s="12">
        <f t="shared" si="969"/>
        <v>40871</v>
      </c>
      <c r="C6080" s="11" t="s">
        <v>1298</v>
      </c>
      <c r="D6080" s="11" t="s">
        <v>66</v>
      </c>
    </row>
    <row r="6081">
      <c r="A6081" s="11">
        <v>6080.0</v>
      </c>
      <c r="B6081" s="12">
        <f t="shared" ref="B6081:B6084" si="970">DATE(2012,12,31)-402</f>
        <v>40872</v>
      </c>
      <c r="C6081" s="11" t="s">
        <v>1634</v>
      </c>
      <c r="D6081" s="11" t="s">
        <v>28</v>
      </c>
    </row>
    <row r="6082">
      <c r="A6082" s="11">
        <v>6081.0</v>
      </c>
      <c r="B6082" s="12">
        <f t="shared" si="970"/>
        <v>40872</v>
      </c>
      <c r="C6082" s="11" t="s">
        <v>1017</v>
      </c>
      <c r="D6082" s="11" t="s">
        <v>28</v>
      </c>
    </row>
    <row r="6083">
      <c r="A6083" s="11">
        <v>6082.0</v>
      </c>
      <c r="B6083" s="12">
        <f t="shared" si="970"/>
        <v>40872</v>
      </c>
      <c r="C6083" s="11" t="s">
        <v>1017</v>
      </c>
      <c r="D6083" s="11" t="s">
        <v>49</v>
      </c>
    </row>
    <row r="6084">
      <c r="A6084" s="11">
        <v>6083.0</v>
      </c>
      <c r="B6084" s="12">
        <f t="shared" si="970"/>
        <v>40872</v>
      </c>
      <c r="C6084" s="11" t="s">
        <v>674</v>
      </c>
      <c r="D6084" s="11" t="s">
        <v>28</v>
      </c>
    </row>
    <row r="6085">
      <c r="A6085" s="11">
        <v>6084.0</v>
      </c>
      <c r="B6085" s="12">
        <f t="shared" ref="B6085:B6092" si="971">DATE(2012,12,31)-401</f>
        <v>40873</v>
      </c>
      <c r="C6085" s="11" t="s">
        <v>775</v>
      </c>
      <c r="D6085" s="11" t="s">
        <v>28</v>
      </c>
    </row>
    <row r="6086">
      <c r="A6086" s="11">
        <v>6085.0</v>
      </c>
      <c r="B6086" s="12">
        <f t="shared" si="971"/>
        <v>40873</v>
      </c>
      <c r="C6086" s="11" t="s">
        <v>2016</v>
      </c>
      <c r="D6086" s="11" t="s">
        <v>66</v>
      </c>
    </row>
    <row r="6087">
      <c r="A6087" s="11">
        <v>6086.0</v>
      </c>
      <c r="B6087" s="12">
        <f t="shared" si="971"/>
        <v>40873</v>
      </c>
      <c r="C6087" s="11" t="s">
        <v>494</v>
      </c>
      <c r="D6087" s="11" t="s">
        <v>28</v>
      </c>
    </row>
    <row r="6088">
      <c r="A6088" s="11">
        <v>6087.0</v>
      </c>
      <c r="B6088" s="12">
        <f t="shared" si="971"/>
        <v>40873</v>
      </c>
      <c r="C6088" s="11" t="s">
        <v>925</v>
      </c>
      <c r="D6088" s="11" t="s">
        <v>28</v>
      </c>
    </row>
    <row r="6089">
      <c r="A6089" s="11">
        <v>6088.0</v>
      </c>
      <c r="B6089" s="12">
        <f t="shared" si="971"/>
        <v>40873</v>
      </c>
      <c r="C6089" s="11" t="s">
        <v>925</v>
      </c>
      <c r="D6089" s="11" t="s">
        <v>28</v>
      </c>
    </row>
    <row r="6090">
      <c r="A6090" s="11">
        <v>6089.0</v>
      </c>
      <c r="B6090" s="12">
        <f t="shared" si="971"/>
        <v>40873</v>
      </c>
      <c r="C6090" s="11" t="s">
        <v>925</v>
      </c>
      <c r="D6090" s="11" t="s">
        <v>28</v>
      </c>
    </row>
    <row r="6091">
      <c r="A6091" s="11">
        <v>6090.0</v>
      </c>
      <c r="B6091" s="12">
        <f t="shared" si="971"/>
        <v>40873</v>
      </c>
      <c r="C6091" s="11" t="s">
        <v>925</v>
      </c>
      <c r="D6091" s="11" t="s">
        <v>49</v>
      </c>
    </row>
    <row r="6092">
      <c r="A6092" s="11">
        <v>6091.0</v>
      </c>
      <c r="B6092" s="12">
        <f t="shared" si="971"/>
        <v>40873</v>
      </c>
      <c r="C6092" s="11" t="s">
        <v>2343</v>
      </c>
      <c r="D6092" s="11" t="s">
        <v>28</v>
      </c>
    </row>
    <row r="6093">
      <c r="A6093" s="11">
        <v>6092.0</v>
      </c>
      <c r="B6093" s="12">
        <f t="shared" ref="B6093:B6098" si="972">DATE(2012,12,31)-400</f>
        <v>40874</v>
      </c>
      <c r="C6093" s="11" t="s">
        <v>2579</v>
      </c>
      <c r="D6093" s="11" t="s">
        <v>66</v>
      </c>
    </row>
    <row r="6094">
      <c r="A6094" s="11">
        <v>6093.0</v>
      </c>
      <c r="B6094" s="12">
        <f t="shared" si="972"/>
        <v>40874</v>
      </c>
      <c r="C6094" s="11" t="s">
        <v>2579</v>
      </c>
      <c r="D6094" s="11" t="s">
        <v>28</v>
      </c>
    </row>
    <row r="6095">
      <c r="A6095" s="11">
        <v>6094.0</v>
      </c>
      <c r="B6095" s="12">
        <f t="shared" si="972"/>
        <v>40874</v>
      </c>
      <c r="C6095" s="11" t="s">
        <v>2579</v>
      </c>
      <c r="D6095" s="11" t="s">
        <v>28</v>
      </c>
    </row>
    <row r="6096">
      <c r="A6096" s="11">
        <v>6095.0</v>
      </c>
      <c r="B6096" s="12">
        <f t="shared" si="972"/>
        <v>40874</v>
      </c>
      <c r="C6096" s="11" t="s">
        <v>2579</v>
      </c>
      <c r="D6096" s="11" t="s">
        <v>28</v>
      </c>
    </row>
    <row r="6097">
      <c r="A6097" s="11">
        <v>6096.0</v>
      </c>
      <c r="B6097" s="12">
        <f t="shared" si="972"/>
        <v>40874</v>
      </c>
      <c r="C6097" s="11" t="s">
        <v>2064</v>
      </c>
      <c r="D6097" s="11" t="s">
        <v>28</v>
      </c>
    </row>
    <row r="6098">
      <c r="A6098" s="11">
        <v>6097.0</v>
      </c>
      <c r="B6098" s="12">
        <f t="shared" si="972"/>
        <v>40874</v>
      </c>
      <c r="C6098" s="11" t="s">
        <v>2064</v>
      </c>
      <c r="D6098" s="11" t="s">
        <v>49</v>
      </c>
    </row>
    <row r="6099">
      <c r="A6099" s="11">
        <v>6098.0</v>
      </c>
      <c r="B6099" s="12">
        <f t="shared" ref="B6099:B6103" si="973">DATE(2012,12,31)-399</f>
        <v>40875</v>
      </c>
      <c r="C6099" s="11" t="s">
        <v>1276</v>
      </c>
      <c r="D6099" s="11" t="s">
        <v>49</v>
      </c>
    </row>
    <row r="6100">
      <c r="A6100" s="11">
        <v>6099.0</v>
      </c>
      <c r="B6100" s="12">
        <f t="shared" si="973"/>
        <v>40875</v>
      </c>
      <c r="C6100" s="11" t="s">
        <v>1276</v>
      </c>
      <c r="D6100" s="11" t="s">
        <v>28</v>
      </c>
    </row>
    <row r="6101">
      <c r="A6101" s="11">
        <v>6100.0</v>
      </c>
      <c r="B6101" s="12">
        <f t="shared" si="973"/>
        <v>40875</v>
      </c>
      <c r="C6101" s="11" t="s">
        <v>851</v>
      </c>
      <c r="D6101" s="11" t="s">
        <v>49</v>
      </c>
    </row>
    <row r="6102">
      <c r="A6102" s="11">
        <v>6101.0</v>
      </c>
      <c r="B6102" s="12">
        <f t="shared" si="973"/>
        <v>40875</v>
      </c>
      <c r="C6102" s="11" t="s">
        <v>307</v>
      </c>
      <c r="D6102" s="11" t="s">
        <v>28</v>
      </c>
    </row>
    <row r="6103">
      <c r="A6103" s="11">
        <v>6102.0</v>
      </c>
      <c r="B6103" s="12">
        <f t="shared" si="973"/>
        <v>40875</v>
      </c>
      <c r="C6103" s="11" t="s">
        <v>307</v>
      </c>
      <c r="D6103" s="11" t="s">
        <v>28</v>
      </c>
    </row>
    <row r="6104">
      <c r="A6104" s="11">
        <v>6103.0</v>
      </c>
      <c r="B6104" s="12">
        <f t="shared" ref="B6104:B6108" si="974">DATE(2012,12,31)-398</f>
        <v>40876</v>
      </c>
      <c r="C6104" s="11" t="s">
        <v>2350</v>
      </c>
      <c r="D6104" s="11" t="s">
        <v>28</v>
      </c>
    </row>
    <row r="6105">
      <c r="A6105" s="11">
        <v>6104.0</v>
      </c>
      <c r="B6105" s="12">
        <f t="shared" si="974"/>
        <v>40876</v>
      </c>
      <c r="C6105" s="11" t="s">
        <v>1017</v>
      </c>
      <c r="D6105" s="11" t="s">
        <v>28</v>
      </c>
    </row>
    <row r="6106">
      <c r="A6106" s="11">
        <v>6105.0</v>
      </c>
      <c r="B6106" s="12">
        <f t="shared" si="974"/>
        <v>40876</v>
      </c>
      <c r="C6106" s="11" t="s">
        <v>2185</v>
      </c>
      <c r="D6106" s="11" t="s">
        <v>66</v>
      </c>
    </row>
    <row r="6107">
      <c r="A6107" s="11">
        <v>6106.0</v>
      </c>
      <c r="B6107" s="12">
        <f t="shared" si="974"/>
        <v>40876</v>
      </c>
      <c r="C6107" s="11" t="s">
        <v>679</v>
      </c>
      <c r="D6107" s="11" t="s">
        <v>49</v>
      </c>
    </row>
    <row r="6108">
      <c r="A6108" s="11">
        <v>6107.0</v>
      </c>
      <c r="B6108" s="12">
        <f t="shared" si="974"/>
        <v>40876</v>
      </c>
      <c r="C6108" s="11" t="s">
        <v>679</v>
      </c>
      <c r="D6108" s="11" t="s">
        <v>28</v>
      </c>
    </row>
    <row r="6109">
      <c r="A6109" s="11">
        <v>6108.0</v>
      </c>
      <c r="B6109" s="12">
        <f t="shared" ref="B6109:B6112" si="975">DATE(2012,12,31)-397</f>
        <v>40877</v>
      </c>
      <c r="C6109" s="11" t="s">
        <v>823</v>
      </c>
      <c r="D6109" s="11" t="s">
        <v>28</v>
      </c>
    </row>
    <row r="6110">
      <c r="A6110" s="11">
        <v>6109.0</v>
      </c>
      <c r="B6110" s="12">
        <f t="shared" si="975"/>
        <v>40877</v>
      </c>
      <c r="C6110" s="11" t="s">
        <v>1643</v>
      </c>
      <c r="D6110" s="11" t="s">
        <v>28</v>
      </c>
    </row>
    <row r="6111">
      <c r="A6111" s="11">
        <v>6110.0</v>
      </c>
      <c r="B6111" s="12">
        <f t="shared" si="975"/>
        <v>40877</v>
      </c>
      <c r="C6111" s="11" t="s">
        <v>1780</v>
      </c>
      <c r="D6111" s="11" t="s">
        <v>28</v>
      </c>
    </row>
    <row r="6112">
      <c r="A6112" s="11">
        <v>6111.0</v>
      </c>
      <c r="B6112" s="12">
        <f t="shared" si="975"/>
        <v>40877</v>
      </c>
      <c r="C6112" s="11" t="s">
        <v>1780</v>
      </c>
      <c r="D6112" s="11" t="s">
        <v>66</v>
      </c>
    </row>
    <row r="6113">
      <c r="A6113" s="11">
        <v>6112.0</v>
      </c>
      <c r="B6113" s="12">
        <f t="shared" ref="B6113:B6119" si="976">DATE(2012,12,31)-396</f>
        <v>40878</v>
      </c>
      <c r="C6113" s="11" t="s">
        <v>567</v>
      </c>
      <c r="D6113" s="11" t="s">
        <v>66</v>
      </c>
    </row>
    <row r="6114">
      <c r="A6114" s="11">
        <v>6113.0</v>
      </c>
      <c r="B6114" s="12">
        <f t="shared" si="976"/>
        <v>40878</v>
      </c>
      <c r="C6114" s="11" t="s">
        <v>567</v>
      </c>
      <c r="D6114" s="11" t="s">
        <v>28</v>
      </c>
    </row>
    <row r="6115">
      <c r="A6115" s="11">
        <v>6114.0</v>
      </c>
      <c r="B6115" s="12">
        <f t="shared" si="976"/>
        <v>40878</v>
      </c>
      <c r="C6115" s="11" t="s">
        <v>648</v>
      </c>
      <c r="D6115" s="11" t="s">
        <v>28</v>
      </c>
    </row>
    <row r="6116">
      <c r="A6116" s="11">
        <v>6115.0</v>
      </c>
      <c r="B6116" s="12">
        <f t="shared" si="976"/>
        <v>40878</v>
      </c>
      <c r="C6116" s="11" t="s">
        <v>648</v>
      </c>
      <c r="D6116" s="11" t="s">
        <v>28</v>
      </c>
    </row>
    <row r="6117">
      <c r="A6117" s="11">
        <v>6116.0</v>
      </c>
      <c r="B6117" s="12">
        <f t="shared" si="976"/>
        <v>40878</v>
      </c>
      <c r="C6117" s="11" t="s">
        <v>648</v>
      </c>
      <c r="D6117" s="11" t="s">
        <v>49</v>
      </c>
    </row>
    <row r="6118">
      <c r="A6118" s="11">
        <v>6117.0</v>
      </c>
      <c r="B6118" s="12">
        <f t="shared" si="976"/>
        <v>40878</v>
      </c>
      <c r="C6118" s="11" t="s">
        <v>648</v>
      </c>
      <c r="D6118" s="11" t="s">
        <v>49</v>
      </c>
    </row>
    <row r="6119">
      <c r="A6119" s="11">
        <v>6118.0</v>
      </c>
      <c r="B6119" s="12">
        <f t="shared" si="976"/>
        <v>40878</v>
      </c>
      <c r="C6119" s="11" t="s">
        <v>648</v>
      </c>
      <c r="D6119" s="11" t="s">
        <v>28</v>
      </c>
    </row>
    <row r="6120">
      <c r="A6120" s="11">
        <v>6119.0</v>
      </c>
      <c r="B6120" s="12">
        <f t="shared" ref="B6120:B6125" si="977">DATE(2012,12,31)-395</f>
        <v>40879</v>
      </c>
      <c r="C6120" s="11" t="s">
        <v>1245</v>
      </c>
      <c r="D6120" s="11" t="s">
        <v>66</v>
      </c>
    </row>
    <row r="6121">
      <c r="A6121" s="11">
        <v>6120.0</v>
      </c>
      <c r="B6121" s="12">
        <f t="shared" si="977"/>
        <v>40879</v>
      </c>
      <c r="C6121" s="11" t="s">
        <v>2043</v>
      </c>
      <c r="D6121" s="11" t="s">
        <v>66</v>
      </c>
    </row>
    <row r="6122">
      <c r="A6122" s="11">
        <v>6121.0</v>
      </c>
      <c r="B6122" s="12">
        <f t="shared" si="977"/>
        <v>40879</v>
      </c>
      <c r="C6122" s="11" t="s">
        <v>639</v>
      </c>
      <c r="D6122" s="11" t="s">
        <v>49</v>
      </c>
    </row>
    <row r="6123">
      <c r="A6123" s="11">
        <v>6122.0</v>
      </c>
      <c r="B6123" s="12">
        <f t="shared" si="977"/>
        <v>40879</v>
      </c>
      <c r="C6123" s="11" t="s">
        <v>639</v>
      </c>
      <c r="D6123" s="11" t="s">
        <v>28</v>
      </c>
    </row>
    <row r="6124">
      <c r="A6124" s="11">
        <v>6123.0</v>
      </c>
      <c r="B6124" s="12">
        <f t="shared" si="977"/>
        <v>40879</v>
      </c>
      <c r="C6124" s="11" t="s">
        <v>1152</v>
      </c>
      <c r="D6124" s="11" t="s">
        <v>28</v>
      </c>
    </row>
    <row r="6125">
      <c r="A6125" s="11">
        <v>6124.0</v>
      </c>
      <c r="B6125" s="12">
        <f t="shared" si="977"/>
        <v>40879</v>
      </c>
      <c r="C6125" s="11" t="s">
        <v>2295</v>
      </c>
      <c r="D6125" s="11" t="s">
        <v>28</v>
      </c>
    </row>
    <row r="6126">
      <c r="A6126" s="11">
        <v>6125.0</v>
      </c>
      <c r="B6126" s="12">
        <f t="shared" ref="B6126:B6130" si="978">DATE(2012,12,31)-394</f>
        <v>40880</v>
      </c>
      <c r="C6126" s="11" t="s">
        <v>2105</v>
      </c>
      <c r="D6126" s="11" t="s">
        <v>28</v>
      </c>
    </row>
    <row r="6127">
      <c r="A6127" s="11">
        <v>6126.0</v>
      </c>
      <c r="B6127" s="12">
        <f t="shared" si="978"/>
        <v>40880</v>
      </c>
      <c r="C6127" s="11" t="s">
        <v>703</v>
      </c>
      <c r="D6127" s="11" t="s">
        <v>66</v>
      </c>
    </row>
    <row r="6128">
      <c r="A6128" s="11">
        <v>6127.0</v>
      </c>
      <c r="B6128" s="12">
        <f t="shared" si="978"/>
        <v>40880</v>
      </c>
      <c r="C6128" s="11" t="s">
        <v>1507</v>
      </c>
      <c r="D6128" s="11" t="s">
        <v>66</v>
      </c>
    </row>
    <row r="6129">
      <c r="A6129" s="11">
        <v>6128.0</v>
      </c>
      <c r="B6129" s="12">
        <f t="shared" si="978"/>
        <v>40880</v>
      </c>
      <c r="C6129" s="11" t="s">
        <v>781</v>
      </c>
      <c r="D6129" s="11" t="s">
        <v>28</v>
      </c>
    </row>
    <row r="6130">
      <c r="A6130" s="11">
        <v>6129.0</v>
      </c>
      <c r="B6130" s="12">
        <f t="shared" si="978"/>
        <v>40880</v>
      </c>
      <c r="C6130" s="11" t="s">
        <v>781</v>
      </c>
      <c r="D6130" s="11" t="s">
        <v>28</v>
      </c>
    </row>
    <row r="6131">
      <c r="A6131" s="11">
        <v>6130.0</v>
      </c>
      <c r="B6131" s="12">
        <f t="shared" ref="B6131:B6135" si="979">DATE(2012,12,31)-393</f>
        <v>40881</v>
      </c>
      <c r="C6131" s="11" t="s">
        <v>528</v>
      </c>
      <c r="D6131" s="11" t="s">
        <v>66</v>
      </c>
    </row>
    <row r="6132">
      <c r="A6132" s="11">
        <v>6131.0</v>
      </c>
      <c r="B6132" s="12">
        <f t="shared" si="979"/>
        <v>40881</v>
      </c>
      <c r="C6132" s="11" t="s">
        <v>363</v>
      </c>
      <c r="D6132" s="11" t="s">
        <v>66</v>
      </c>
    </row>
    <row r="6133">
      <c r="A6133" s="11">
        <v>6132.0</v>
      </c>
      <c r="B6133" s="12">
        <f t="shared" si="979"/>
        <v>40881</v>
      </c>
      <c r="C6133" s="11" t="s">
        <v>2538</v>
      </c>
      <c r="D6133" s="11" t="s">
        <v>66</v>
      </c>
    </row>
    <row r="6134">
      <c r="A6134" s="11">
        <v>6133.0</v>
      </c>
      <c r="B6134" s="12">
        <f t="shared" si="979"/>
        <v>40881</v>
      </c>
      <c r="C6134" s="11" t="s">
        <v>2538</v>
      </c>
      <c r="D6134" s="11" t="s">
        <v>28</v>
      </c>
    </row>
    <row r="6135">
      <c r="A6135" s="11">
        <v>6134.0</v>
      </c>
      <c r="B6135" s="12">
        <f t="shared" si="979"/>
        <v>40881</v>
      </c>
      <c r="C6135" s="11" t="s">
        <v>91</v>
      </c>
      <c r="D6135" s="11" t="s">
        <v>28</v>
      </c>
    </row>
    <row r="6136">
      <c r="A6136" s="11">
        <v>6135.0</v>
      </c>
      <c r="B6136" s="12">
        <f t="shared" ref="B6136:B6140" si="980">DATE(2012,12,31)-392</f>
        <v>40882</v>
      </c>
      <c r="C6136" s="11" t="s">
        <v>604</v>
      </c>
      <c r="D6136" s="11" t="s">
        <v>28</v>
      </c>
    </row>
    <row r="6137">
      <c r="A6137" s="11">
        <v>6136.0</v>
      </c>
      <c r="B6137" s="12">
        <f t="shared" si="980"/>
        <v>40882</v>
      </c>
      <c r="C6137" s="11" t="s">
        <v>334</v>
      </c>
      <c r="D6137" s="11" t="s">
        <v>28</v>
      </c>
    </row>
    <row r="6138">
      <c r="A6138" s="11">
        <v>6137.0</v>
      </c>
      <c r="B6138" s="12">
        <f t="shared" si="980"/>
        <v>40882</v>
      </c>
      <c r="C6138" s="11" t="s">
        <v>334</v>
      </c>
      <c r="D6138" s="11" t="s">
        <v>28</v>
      </c>
    </row>
    <row r="6139">
      <c r="A6139" s="11">
        <v>6138.0</v>
      </c>
      <c r="B6139" s="12">
        <f t="shared" si="980"/>
        <v>40882</v>
      </c>
      <c r="C6139" s="11" t="s">
        <v>334</v>
      </c>
      <c r="D6139" s="11" t="s">
        <v>28</v>
      </c>
    </row>
    <row r="6140">
      <c r="A6140" s="11">
        <v>6139.0</v>
      </c>
      <c r="B6140" s="12">
        <f t="shared" si="980"/>
        <v>40882</v>
      </c>
      <c r="C6140" s="11" t="s">
        <v>180</v>
      </c>
      <c r="D6140" s="11" t="s">
        <v>28</v>
      </c>
    </row>
    <row r="6141">
      <c r="A6141" s="11">
        <v>6140.0</v>
      </c>
      <c r="B6141" s="12">
        <f t="shared" ref="B6141:B6144" si="981">DATE(2012,12,31)-391</f>
        <v>40883</v>
      </c>
      <c r="C6141" s="11" t="s">
        <v>1196</v>
      </c>
      <c r="D6141" s="11" t="s">
        <v>28</v>
      </c>
    </row>
    <row r="6142">
      <c r="A6142" s="11">
        <v>6141.0</v>
      </c>
      <c r="B6142" s="12">
        <f t="shared" si="981"/>
        <v>40883</v>
      </c>
      <c r="C6142" s="11" t="s">
        <v>1196</v>
      </c>
      <c r="D6142" s="11" t="s">
        <v>66</v>
      </c>
    </row>
    <row r="6143">
      <c r="A6143" s="11">
        <v>6142.0</v>
      </c>
      <c r="B6143" s="12">
        <f t="shared" si="981"/>
        <v>40883</v>
      </c>
      <c r="C6143" s="11" t="s">
        <v>1387</v>
      </c>
      <c r="D6143" s="11" t="s">
        <v>66</v>
      </c>
    </row>
    <row r="6144">
      <c r="A6144" s="11">
        <v>6143.0</v>
      </c>
      <c r="B6144" s="12">
        <f t="shared" si="981"/>
        <v>40883</v>
      </c>
      <c r="C6144" s="11" t="s">
        <v>1377</v>
      </c>
      <c r="D6144" s="11" t="s">
        <v>49</v>
      </c>
    </row>
    <row r="6145">
      <c r="A6145" s="11">
        <v>6144.0</v>
      </c>
      <c r="B6145" s="12">
        <f t="shared" ref="B6145:B6157" si="982">DATE(2012,12,31)-390</f>
        <v>40884</v>
      </c>
      <c r="C6145" s="11" t="s">
        <v>871</v>
      </c>
      <c r="D6145" s="11" t="s">
        <v>28</v>
      </c>
    </row>
    <row r="6146">
      <c r="A6146" s="11">
        <v>6145.0</v>
      </c>
      <c r="B6146" s="12">
        <f t="shared" si="982"/>
        <v>40884</v>
      </c>
      <c r="C6146" s="11" t="s">
        <v>871</v>
      </c>
      <c r="D6146" s="11" t="s">
        <v>28</v>
      </c>
    </row>
    <row r="6147">
      <c r="A6147" s="11">
        <v>6146.0</v>
      </c>
      <c r="B6147" s="12">
        <f t="shared" si="982"/>
        <v>40884</v>
      </c>
      <c r="C6147" s="11" t="s">
        <v>1118</v>
      </c>
      <c r="D6147" s="11" t="s">
        <v>28</v>
      </c>
    </row>
    <row r="6148">
      <c r="A6148" s="11">
        <v>6147.0</v>
      </c>
      <c r="B6148" s="12">
        <f t="shared" si="982"/>
        <v>40884</v>
      </c>
      <c r="C6148" s="11" t="s">
        <v>1118</v>
      </c>
      <c r="D6148" s="11" t="s">
        <v>66</v>
      </c>
    </row>
    <row r="6149">
      <c r="A6149" s="11">
        <v>6148.0</v>
      </c>
      <c r="B6149" s="12">
        <f t="shared" si="982"/>
        <v>40884</v>
      </c>
      <c r="C6149" s="11" t="s">
        <v>2142</v>
      </c>
      <c r="D6149" s="11" t="s">
        <v>49</v>
      </c>
    </row>
    <row r="6150">
      <c r="A6150" s="11">
        <v>6149.0</v>
      </c>
      <c r="B6150" s="12">
        <f t="shared" si="982"/>
        <v>40884</v>
      </c>
      <c r="C6150" s="11" t="s">
        <v>2142</v>
      </c>
      <c r="D6150" s="11" t="s">
        <v>28</v>
      </c>
    </row>
    <row r="6151">
      <c r="A6151" s="11">
        <v>6150.0</v>
      </c>
      <c r="B6151" s="12">
        <f t="shared" si="982"/>
        <v>40884</v>
      </c>
      <c r="C6151" s="11" t="s">
        <v>2039</v>
      </c>
      <c r="D6151" s="11" t="s">
        <v>28</v>
      </c>
    </row>
    <row r="6152">
      <c r="A6152" s="11">
        <v>6151.0</v>
      </c>
      <c r="B6152" s="12">
        <f t="shared" si="982"/>
        <v>40884</v>
      </c>
      <c r="C6152" s="11" t="s">
        <v>2039</v>
      </c>
      <c r="D6152" s="11" t="s">
        <v>49</v>
      </c>
    </row>
    <row r="6153">
      <c r="A6153" s="11">
        <v>6152.0</v>
      </c>
      <c r="B6153" s="12">
        <f t="shared" si="982"/>
        <v>40884</v>
      </c>
      <c r="C6153" s="11" t="s">
        <v>1253</v>
      </c>
      <c r="D6153" s="11" t="s">
        <v>28</v>
      </c>
    </row>
    <row r="6154">
      <c r="A6154" s="11">
        <v>6153.0</v>
      </c>
      <c r="B6154" s="12">
        <f t="shared" si="982"/>
        <v>40884</v>
      </c>
      <c r="C6154" s="11" t="s">
        <v>1253</v>
      </c>
      <c r="D6154" s="11" t="s">
        <v>49</v>
      </c>
    </row>
    <row r="6155">
      <c r="A6155" s="11">
        <v>6154.0</v>
      </c>
      <c r="B6155" s="12">
        <f t="shared" si="982"/>
        <v>40884</v>
      </c>
      <c r="C6155" s="11" t="s">
        <v>1253</v>
      </c>
      <c r="D6155" s="11" t="s">
        <v>66</v>
      </c>
    </row>
    <row r="6156">
      <c r="A6156" s="11">
        <v>6155.0</v>
      </c>
      <c r="B6156" s="12">
        <f t="shared" si="982"/>
        <v>40884</v>
      </c>
      <c r="C6156" s="11" t="s">
        <v>1253</v>
      </c>
      <c r="D6156" s="11" t="s">
        <v>66</v>
      </c>
    </row>
    <row r="6157">
      <c r="A6157" s="11">
        <v>6156.0</v>
      </c>
      <c r="B6157" s="12">
        <f t="shared" si="982"/>
        <v>40884</v>
      </c>
      <c r="C6157" s="11" t="s">
        <v>1253</v>
      </c>
      <c r="D6157" s="11" t="s">
        <v>66</v>
      </c>
    </row>
    <row r="6158">
      <c r="A6158" s="11">
        <v>6157.0</v>
      </c>
      <c r="B6158" s="12">
        <f t="shared" ref="B6158:B6163" si="983">DATE(2012,12,31)-389</f>
        <v>40885</v>
      </c>
      <c r="C6158" s="11" t="s">
        <v>1259</v>
      </c>
      <c r="D6158" s="11" t="s">
        <v>28</v>
      </c>
    </row>
    <row r="6159">
      <c r="A6159" s="11">
        <v>6158.0</v>
      </c>
      <c r="B6159" s="12">
        <f t="shared" si="983"/>
        <v>40885</v>
      </c>
      <c r="C6159" s="11" t="s">
        <v>1259</v>
      </c>
      <c r="D6159" s="11" t="s">
        <v>28</v>
      </c>
    </row>
    <row r="6160">
      <c r="A6160" s="11">
        <v>6159.0</v>
      </c>
      <c r="B6160" s="12">
        <f t="shared" si="983"/>
        <v>40885</v>
      </c>
      <c r="C6160" s="11" t="s">
        <v>873</v>
      </c>
      <c r="D6160" s="11" t="s">
        <v>66</v>
      </c>
    </row>
    <row r="6161">
      <c r="A6161" s="11">
        <v>6160.0</v>
      </c>
      <c r="B6161" s="12">
        <f t="shared" si="983"/>
        <v>40885</v>
      </c>
      <c r="C6161" s="11" t="s">
        <v>873</v>
      </c>
      <c r="D6161" s="11" t="s">
        <v>49</v>
      </c>
    </row>
    <row r="6162">
      <c r="A6162" s="11">
        <v>6161.0</v>
      </c>
      <c r="B6162" s="12">
        <f t="shared" si="983"/>
        <v>40885</v>
      </c>
      <c r="C6162" s="11" t="s">
        <v>436</v>
      </c>
      <c r="D6162" s="11" t="s">
        <v>28</v>
      </c>
    </row>
    <row r="6163">
      <c r="A6163" s="11">
        <v>6162.0</v>
      </c>
      <c r="B6163" s="12">
        <f t="shared" si="983"/>
        <v>40885</v>
      </c>
      <c r="C6163" s="11" t="s">
        <v>436</v>
      </c>
      <c r="D6163" s="11" t="s">
        <v>66</v>
      </c>
    </row>
    <row r="6164">
      <c r="A6164" s="11">
        <v>6163.0</v>
      </c>
      <c r="B6164" s="12">
        <f t="shared" ref="B6164:B6169" si="984">DATE(2012,12,31)-388</f>
        <v>40886</v>
      </c>
      <c r="C6164" s="11" t="s">
        <v>2401</v>
      </c>
      <c r="D6164" s="11" t="s">
        <v>66</v>
      </c>
    </row>
    <row r="6165">
      <c r="A6165" s="11">
        <v>6164.0</v>
      </c>
      <c r="B6165" s="12">
        <f t="shared" si="984"/>
        <v>40886</v>
      </c>
      <c r="C6165" s="11" t="s">
        <v>1419</v>
      </c>
      <c r="D6165" s="11" t="s">
        <v>49</v>
      </c>
    </row>
    <row r="6166">
      <c r="A6166" s="11">
        <v>6165.0</v>
      </c>
      <c r="B6166" s="12">
        <f t="shared" si="984"/>
        <v>40886</v>
      </c>
      <c r="C6166" s="11" t="s">
        <v>1419</v>
      </c>
      <c r="D6166" s="11" t="s">
        <v>66</v>
      </c>
    </row>
    <row r="6167">
      <c r="A6167" s="11">
        <v>6166.0</v>
      </c>
      <c r="B6167" s="12">
        <f t="shared" si="984"/>
        <v>40886</v>
      </c>
      <c r="C6167" s="11" t="s">
        <v>1470</v>
      </c>
      <c r="D6167" s="11" t="s">
        <v>28</v>
      </c>
    </row>
    <row r="6168">
      <c r="A6168" s="11">
        <v>6167.0</v>
      </c>
      <c r="B6168" s="12">
        <f t="shared" si="984"/>
        <v>40886</v>
      </c>
      <c r="C6168" s="11" t="s">
        <v>227</v>
      </c>
      <c r="D6168" s="11" t="s">
        <v>28</v>
      </c>
    </row>
    <row r="6169">
      <c r="A6169" s="11">
        <v>6168.0</v>
      </c>
      <c r="B6169" s="12">
        <f t="shared" si="984"/>
        <v>40886</v>
      </c>
      <c r="C6169" s="11" t="s">
        <v>227</v>
      </c>
      <c r="D6169" s="11" t="s">
        <v>28</v>
      </c>
    </row>
    <row r="6170">
      <c r="A6170" s="11">
        <v>6169.0</v>
      </c>
      <c r="B6170" s="12">
        <f t="shared" ref="B6170:B6179" si="985">DATE(2012,12,31)-387</f>
        <v>40887</v>
      </c>
      <c r="C6170" s="11" t="s">
        <v>2529</v>
      </c>
      <c r="D6170" s="11" t="s">
        <v>28</v>
      </c>
    </row>
    <row r="6171">
      <c r="A6171" s="11">
        <v>6170.0</v>
      </c>
      <c r="B6171" s="12">
        <f t="shared" si="985"/>
        <v>40887</v>
      </c>
      <c r="C6171" s="11" t="s">
        <v>152</v>
      </c>
      <c r="D6171" s="11" t="s">
        <v>49</v>
      </c>
    </row>
    <row r="6172">
      <c r="A6172" s="11">
        <v>6171.0</v>
      </c>
      <c r="B6172" s="12">
        <f t="shared" si="985"/>
        <v>40887</v>
      </c>
      <c r="C6172" s="11" t="s">
        <v>1877</v>
      </c>
      <c r="D6172" s="11" t="s">
        <v>49</v>
      </c>
    </row>
    <row r="6173">
      <c r="A6173" s="11">
        <v>6172.0</v>
      </c>
      <c r="B6173" s="12">
        <f t="shared" si="985"/>
        <v>40887</v>
      </c>
      <c r="C6173" s="11" t="s">
        <v>1876</v>
      </c>
      <c r="D6173" s="11" t="s">
        <v>49</v>
      </c>
    </row>
    <row r="6174">
      <c r="A6174" s="11">
        <v>6173.0</v>
      </c>
      <c r="B6174" s="12">
        <f t="shared" si="985"/>
        <v>40887</v>
      </c>
      <c r="C6174" s="11" t="s">
        <v>617</v>
      </c>
      <c r="D6174" s="11" t="s">
        <v>28</v>
      </c>
    </row>
    <row r="6175">
      <c r="A6175" s="11">
        <v>6174.0</v>
      </c>
      <c r="B6175" s="12">
        <f t="shared" si="985"/>
        <v>40887</v>
      </c>
      <c r="C6175" s="11" t="s">
        <v>617</v>
      </c>
      <c r="D6175" s="11" t="s">
        <v>49</v>
      </c>
    </row>
    <row r="6176">
      <c r="A6176" s="11">
        <v>6175.0</v>
      </c>
      <c r="B6176" s="12">
        <f t="shared" si="985"/>
        <v>40887</v>
      </c>
      <c r="C6176" s="11" t="s">
        <v>617</v>
      </c>
      <c r="D6176" s="11" t="s">
        <v>66</v>
      </c>
    </row>
    <row r="6177">
      <c r="A6177" s="11">
        <v>6176.0</v>
      </c>
      <c r="B6177" s="12">
        <f t="shared" si="985"/>
        <v>40887</v>
      </c>
      <c r="C6177" s="11" t="s">
        <v>1332</v>
      </c>
      <c r="D6177" s="11" t="s">
        <v>49</v>
      </c>
    </row>
    <row r="6178">
      <c r="A6178" s="11">
        <v>6177.0</v>
      </c>
      <c r="B6178" s="12">
        <f t="shared" si="985"/>
        <v>40887</v>
      </c>
      <c r="C6178" s="11" t="s">
        <v>1440</v>
      </c>
      <c r="D6178" s="11" t="s">
        <v>28</v>
      </c>
    </row>
    <row r="6179">
      <c r="A6179" s="11">
        <v>6178.0</v>
      </c>
      <c r="B6179" s="12">
        <f t="shared" si="985"/>
        <v>40887</v>
      </c>
      <c r="C6179" s="11" t="s">
        <v>1620</v>
      </c>
      <c r="D6179" s="11" t="s">
        <v>28</v>
      </c>
    </row>
    <row r="6180">
      <c r="A6180" s="11">
        <v>6179.0</v>
      </c>
      <c r="B6180" s="12">
        <f t="shared" ref="B6180:B6186" si="986">DATE(2012,12,31)-386</f>
        <v>40888</v>
      </c>
      <c r="C6180" s="11" t="s">
        <v>1417</v>
      </c>
      <c r="D6180" s="11" t="s">
        <v>28</v>
      </c>
    </row>
    <row r="6181">
      <c r="A6181" s="11">
        <v>6180.0</v>
      </c>
      <c r="B6181" s="12">
        <f t="shared" si="986"/>
        <v>40888</v>
      </c>
      <c r="C6181" s="11" t="s">
        <v>1417</v>
      </c>
      <c r="D6181" s="11" t="s">
        <v>49</v>
      </c>
    </row>
    <row r="6182">
      <c r="A6182" s="11">
        <v>6181.0</v>
      </c>
      <c r="B6182" s="12">
        <f t="shared" si="986"/>
        <v>40888</v>
      </c>
      <c r="C6182" s="11" t="s">
        <v>2131</v>
      </c>
      <c r="D6182" s="11" t="s">
        <v>66</v>
      </c>
    </row>
    <row r="6183">
      <c r="A6183" s="11">
        <v>6182.0</v>
      </c>
      <c r="B6183" s="12">
        <f t="shared" si="986"/>
        <v>40888</v>
      </c>
      <c r="C6183" s="11" t="s">
        <v>2131</v>
      </c>
      <c r="D6183" s="11" t="s">
        <v>49</v>
      </c>
    </row>
    <row r="6184">
      <c r="A6184" s="11">
        <v>6183.0</v>
      </c>
      <c r="B6184" s="12">
        <f t="shared" si="986"/>
        <v>40888</v>
      </c>
      <c r="C6184" s="11" t="s">
        <v>1858</v>
      </c>
      <c r="D6184" s="11" t="s">
        <v>49</v>
      </c>
    </row>
    <row r="6185">
      <c r="A6185" s="11">
        <v>6184.0</v>
      </c>
      <c r="B6185" s="12">
        <f t="shared" si="986"/>
        <v>40888</v>
      </c>
      <c r="C6185" s="11" t="s">
        <v>1858</v>
      </c>
      <c r="D6185" s="11" t="s">
        <v>28</v>
      </c>
    </row>
    <row r="6186">
      <c r="A6186" s="11">
        <v>6185.0</v>
      </c>
      <c r="B6186" s="12">
        <f t="shared" si="986"/>
        <v>40888</v>
      </c>
      <c r="C6186" s="11" t="s">
        <v>1858</v>
      </c>
      <c r="D6186" s="11" t="s">
        <v>28</v>
      </c>
    </row>
    <row r="6187">
      <c r="A6187" s="11">
        <v>6186.0</v>
      </c>
      <c r="B6187" s="12">
        <f t="shared" ref="B6187:B6188" si="987">DATE(2012,12,31)-385</f>
        <v>40889</v>
      </c>
      <c r="C6187" s="11" t="s">
        <v>2581</v>
      </c>
      <c r="D6187" s="11" t="s">
        <v>28</v>
      </c>
    </row>
    <row r="6188">
      <c r="A6188" s="11">
        <v>6187.0</v>
      </c>
      <c r="B6188" s="12">
        <f t="shared" si="987"/>
        <v>40889</v>
      </c>
      <c r="C6188" s="11" t="s">
        <v>2581</v>
      </c>
      <c r="D6188" s="11" t="s">
        <v>66</v>
      </c>
    </row>
    <row r="6189">
      <c r="A6189" s="11">
        <v>6188.0</v>
      </c>
      <c r="B6189" s="12">
        <f t="shared" ref="B6189:B6191" si="988">DATE(2012,12,31)-384</f>
        <v>40890</v>
      </c>
      <c r="C6189" s="11" t="s">
        <v>1979</v>
      </c>
      <c r="D6189" s="11" t="s">
        <v>49</v>
      </c>
    </row>
    <row r="6190">
      <c r="A6190" s="11">
        <v>6189.0</v>
      </c>
      <c r="B6190" s="12">
        <f t="shared" si="988"/>
        <v>40890</v>
      </c>
      <c r="C6190" s="11" t="s">
        <v>1979</v>
      </c>
      <c r="D6190" s="11" t="s">
        <v>49</v>
      </c>
    </row>
    <row r="6191">
      <c r="A6191" s="11">
        <v>6190.0</v>
      </c>
      <c r="B6191" s="12">
        <f t="shared" si="988"/>
        <v>40890</v>
      </c>
      <c r="C6191" s="11" t="s">
        <v>1979</v>
      </c>
      <c r="D6191" s="11" t="s">
        <v>28</v>
      </c>
    </row>
    <row r="6192">
      <c r="A6192" s="11">
        <v>6191.0</v>
      </c>
      <c r="B6192" s="12">
        <f t="shared" ref="B6192:B6194" si="989">DATE(2012,12,31)-383</f>
        <v>40891</v>
      </c>
      <c r="C6192" s="11" t="s">
        <v>690</v>
      </c>
      <c r="D6192" s="11" t="s">
        <v>28</v>
      </c>
    </row>
    <row r="6193">
      <c r="A6193" s="11">
        <v>6192.0</v>
      </c>
      <c r="B6193" s="12">
        <f t="shared" si="989"/>
        <v>40891</v>
      </c>
      <c r="C6193" s="11" t="s">
        <v>690</v>
      </c>
      <c r="D6193" s="11" t="s">
        <v>28</v>
      </c>
    </row>
    <row r="6194">
      <c r="A6194" s="11">
        <v>6193.0</v>
      </c>
      <c r="B6194" s="12">
        <f t="shared" si="989"/>
        <v>40891</v>
      </c>
      <c r="C6194" s="11" t="s">
        <v>1929</v>
      </c>
      <c r="D6194" s="11" t="s">
        <v>49</v>
      </c>
    </row>
    <row r="6195">
      <c r="A6195" s="11">
        <v>6194.0</v>
      </c>
      <c r="B6195" s="12">
        <f t="shared" ref="B6195:B6196" si="990">DATE(2012,12,31)-382</f>
        <v>40892</v>
      </c>
      <c r="C6195" s="11" t="s">
        <v>2012</v>
      </c>
      <c r="D6195" s="11" t="s">
        <v>28</v>
      </c>
    </row>
    <row r="6196">
      <c r="A6196" s="11">
        <v>6195.0</v>
      </c>
      <c r="B6196" s="12">
        <f t="shared" si="990"/>
        <v>40892</v>
      </c>
      <c r="C6196" s="11" t="s">
        <v>1989</v>
      </c>
      <c r="D6196" s="11" t="s">
        <v>49</v>
      </c>
    </row>
    <row r="6197">
      <c r="A6197" s="11">
        <v>6196.0</v>
      </c>
      <c r="B6197" s="12">
        <f t="shared" ref="B6197:B6204" si="991">DATE(2012,12,31)-381</f>
        <v>40893</v>
      </c>
      <c r="C6197" s="11" t="s">
        <v>2112</v>
      </c>
      <c r="D6197" s="11" t="s">
        <v>28</v>
      </c>
    </row>
    <row r="6198">
      <c r="A6198" s="11">
        <v>6197.0</v>
      </c>
      <c r="B6198" s="12">
        <f t="shared" si="991"/>
        <v>40893</v>
      </c>
      <c r="C6198" s="11" t="s">
        <v>2112</v>
      </c>
      <c r="D6198" s="11" t="s">
        <v>28</v>
      </c>
    </row>
    <row r="6199">
      <c r="A6199" s="11">
        <v>6198.0</v>
      </c>
      <c r="B6199" s="12">
        <f t="shared" si="991"/>
        <v>40893</v>
      </c>
      <c r="C6199" s="11" t="s">
        <v>2112</v>
      </c>
      <c r="D6199" s="11" t="s">
        <v>66</v>
      </c>
    </row>
    <row r="6200">
      <c r="A6200" s="11">
        <v>6199.0</v>
      </c>
      <c r="B6200" s="12">
        <f t="shared" si="991"/>
        <v>40893</v>
      </c>
      <c r="C6200" s="11" t="s">
        <v>769</v>
      </c>
      <c r="D6200" s="11" t="s">
        <v>28</v>
      </c>
    </row>
    <row r="6201">
      <c r="A6201" s="11">
        <v>6200.0</v>
      </c>
      <c r="B6201" s="12">
        <f t="shared" si="991"/>
        <v>40893</v>
      </c>
      <c r="C6201" s="11" t="s">
        <v>769</v>
      </c>
      <c r="D6201" s="11" t="s">
        <v>28</v>
      </c>
    </row>
    <row r="6202">
      <c r="A6202" s="11">
        <v>6201.0</v>
      </c>
      <c r="B6202" s="12">
        <f t="shared" si="991"/>
        <v>40893</v>
      </c>
      <c r="C6202" s="11" t="s">
        <v>588</v>
      </c>
      <c r="D6202" s="11" t="s">
        <v>49</v>
      </c>
    </row>
    <row r="6203">
      <c r="A6203" s="11">
        <v>6202.0</v>
      </c>
      <c r="B6203" s="12">
        <f t="shared" si="991"/>
        <v>40893</v>
      </c>
      <c r="C6203" s="11" t="s">
        <v>821</v>
      </c>
      <c r="D6203" s="11" t="s">
        <v>28</v>
      </c>
    </row>
    <row r="6204">
      <c r="A6204" s="11">
        <v>6203.0</v>
      </c>
      <c r="B6204" s="12">
        <f t="shared" si="991"/>
        <v>40893</v>
      </c>
      <c r="C6204" s="11" t="s">
        <v>1008</v>
      </c>
      <c r="D6204" s="11" t="s">
        <v>28</v>
      </c>
    </row>
    <row r="6205">
      <c r="A6205" s="11">
        <v>6204.0</v>
      </c>
      <c r="B6205" s="12">
        <f t="shared" ref="B6205:B6217" si="992">DATE(2012,12,31)-380</f>
        <v>40894</v>
      </c>
      <c r="C6205" s="11" t="s">
        <v>1210</v>
      </c>
      <c r="D6205" s="11" t="s">
        <v>28</v>
      </c>
    </row>
    <row r="6206">
      <c r="A6206" s="11">
        <v>6205.0</v>
      </c>
      <c r="B6206" s="12">
        <f t="shared" si="992"/>
        <v>40894</v>
      </c>
      <c r="C6206" s="11" t="s">
        <v>781</v>
      </c>
      <c r="D6206" s="11" t="s">
        <v>28</v>
      </c>
    </row>
    <row r="6207">
      <c r="A6207" s="11">
        <v>6206.0</v>
      </c>
      <c r="B6207" s="12">
        <f t="shared" si="992"/>
        <v>40894</v>
      </c>
      <c r="C6207" s="11" t="s">
        <v>253</v>
      </c>
      <c r="D6207" s="11" t="s">
        <v>49</v>
      </c>
    </row>
    <row r="6208">
      <c r="A6208" s="11">
        <v>6207.0</v>
      </c>
      <c r="B6208" s="12">
        <f t="shared" si="992"/>
        <v>40894</v>
      </c>
      <c r="C6208" s="11" t="s">
        <v>253</v>
      </c>
      <c r="D6208" s="11" t="s">
        <v>28</v>
      </c>
    </row>
    <row r="6209">
      <c r="A6209" s="11">
        <v>6208.0</v>
      </c>
      <c r="B6209" s="12">
        <f t="shared" si="992"/>
        <v>40894</v>
      </c>
      <c r="C6209" s="11" t="s">
        <v>288</v>
      </c>
      <c r="D6209" s="11" t="s">
        <v>28</v>
      </c>
    </row>
    <row r="6210">
      <c r="A6210" s="11">
        <v>6209.0</v>
      </c>
      <c r="B6210" s="12">
        <f t="shared" si="992"/>
        <v>40894</v>
      </c>
      <c r="C6210" s="11" t="s">
        <v>288</v>
      </c>
      <c r="D6210" s="11" t="s">
        <v>49</v>
      </c>
    </row>
    <row r="6211">
      <c r="A6211" s="11">
        <v>6210.0</v>
      </c>
      <c r="B6211" s="12">
        <f t="shared" si="992"/>
        <v>40894</v>
      </c>
      <c r="C6211" s="11" t="s">
        <v>288</v>
      </c>
      <c r="D6211" s="11" t="s">
        <v>28</v>
      </c>
    </row>
    <row r="6212">
      <c r="A6212" s="11">
        <v>6211.0</v>
      </c>
      <c r="B6212" s="12">
        <f t="shared" si="992"/>
        <v>40894</v>
      </c>
      <c r="C6212" s="11" t="s">
        <v>251</v>
      </c>
      <c r="D6212" s="11" t="s">
        <v>28</v>
      </c>
    </row>
    <row r="6213">
      <c r="A6213" s="11">
        <v>6212.0</v>
      </c>
      <c r="B6213" s="12">
        <f t="shared" si="992"/>
        <v>40894</v>
      </c>
      <c r="C6213" s="11" t="s">
        <v>1872</v>
      </c>
      <c r="D6213" s="11" t="s">
        <v>28</v>
      </c>
    </row>
    <row r="6214">
      <c r="A6214" s="11">
        <v>6213.0</v>
      </c>
      <c r="B6214" s="12">
        <f t="shared" si="992"/>
        <v>40894</v>
      </c>
      <c r="C6214" s="11" t="s">
        <v>1872</v>
      </c>
      <c r="D6214" s="11" t="s">
        <v>66</v>
      </c>
    </row>
    <row r="6215">
      <c r="A6215" s="11">
        <v>6214.0</v>
      </c>
      <c r="B6215" s="12">
        <f t="shared" si="992"/>
        <v>40894</v>
      </c>
      <c r="C6215" s="11" t="s">
        <v>1872</v>
      </c>
      <c r="D6215" s="11" t="s">
        <v>28</v>
      </c>
    </row>
    <row r="6216">
      <c r="A6216" s="11">
        <v>6215.0</v>
      </c>
      <c r="B6216" s="12">
        <f t="shared" si="992"/>
        <v>40894</v>
      </c>
      <c r="C6216" s="11" t="s">
        <v>1560</v>
      </c>
      <c r="D6216" s="11" t="s">
        <v>28</v>
      </c>
    </row>
    <row r="6217">
      <c r="A6217" s="11">
        <v>6216.0</v>
      </c>
      <c r="B6217" s="12">
        <f t="shared" si="992"/>
        <v>40894</v>
      </c>
      <c r="C6217" s="11" t="s">
        <v>1560</v>
      </c>
      <c r="D6217" s="11" t="s">
        <v>66</v>
      </c>
    </row>
    <row r="6218">
      <c r="A6218" s="11">
        <v>6217.0</v>
      </c>
      <c r="B6218" s="12">
        <f t="shared" ref="B6218:B6231" si="993">DATE(2012,12,31)-379</f>
        <v>40895</v>
      </c>
      <c r="C6218" s="11" t="s">
        <v>741</v>
      </c>
      <c r="D6218" s="11" t="s">
        <v>28</v>
      </c>
    </row>
    <row r="6219">
      <c r="A6219" s="11">
        <v>6218.0</v>
      </c>
      <c r="B6219" s="12">
        <f t="shared" si="993"/>
        <v>40895</v>
      </c>
      <c r="C6219" s="11" t="s">
        <v>913</v>
      </c>
      <c r="D6219" s="11" t="s">
        <v>28</v>
      </c>
    </row>
    <row r="6220">
      <c r="A6220" s="22">
        <v>6219.0</v>
      </c>
      <c r="B6220" s="23">
        <f t="shared" si="993"/>
        <v>40895</v>
      </c>
      <c r="C6220" s="22" t="s">
        <v>2104</v>
      </c>
      <c r="D6220" s="22" t="s">
        <v>66</v>
      </c>
    </row>
    <row r="6221">
      <c r="A6221" s="11">
        <v>6220.0</v>
      </c>
      <c r="B6221" s="12">
        <f t="shared" si="993"/>
        <v>40895</v>
      </c>
      <c r="C6221" s="11" t="s">
        <v>1737</v>
      </c>
      <c r="D6221" s="11" t="s">
        <v>28</v>
      </c>
    </row>
    <row r="6222">
      <c r="A6222" s="11">
        <v>6221.0</v>
      </c>
      <c r="B6222" s="12">
        <f t="shared" si="993"/>
        <v>40895</v>
      </c>
      <c r="C6222" s="11" t="s">
        <v>1737</v>
      </c>
      <c r="D6222" s="11" t="s">
        <v>66</v>
      </c>
    </row>
    <row r="6223">
      <c r="A6223" s="11">
        <v>6222.0</v>
      </c>
      <c r="B6223" s="12">
        <f t="shared" si="993"/>
        <v>40895</v>
      </c>
      <c r="C6223" s="11" t="s">
        <v>1010</v>
      </c>
      <c r="D6223" s="11" t="s">
        <v>49</v>
      </c>
    </row>
    <row r="6224">
      <c r="A6224" s="11">
        <v>6223.0</v>
      </c>
      <c r="B6224" s="12">
        <f t="shared" si="993"/>
        <v>40895</v>
      </c>
      <c r="C6224" s="11" t="s">
        <v>1010</v>
      </c>
      <c r="D6224" s="11" t="s">
        <v>49</v>
      </c>
    </row>
    <row r="6225">
      <c r="A6225" s="11">
        <v>6224.0</v>
      </c>
      <c r="B6225" s="12">
        <f t="shared" si="993"/>
        <v>40895</v>
      </c>
      <c r="C6225" s="11" t="s">
        <v>1010</v>
      </c>
      <c r="D6225" s="11" t="s">
        <v>49</v>
      </c>
    </row>
    <row r="6226">
      <c r="A6226" s="11">
        <v>6225.0</v>
      </c>
      <c r="B6226" s="12">
        <f t="shared" si="993"/>
        <v>40895</v>
      </c>
      <c r="C6226" s="11" t="s">
        <v>2000</v>
      </c>
      <c r="D6226" s="11" t="s">
        <v>28</v>
      </c>
    </row>
    <row r="6227">
      <c r="A6227" s="11">
        <v>6226.0</v>
      </c>
      <c r="B6227" s="12">
        <f t="shared" si="993"/>
        <v>40895</v>
      </c>
      <c r="C6227" s="11" t="s">
        <v>1314</v>
      </c>
      <c r="D6227" s="11" t="s">
        <v>28</v>
      </c>
    </row>
    <row r="6228">
      <c r="A6228" s="11">
        <v>6227.0</v>
      </c>
      <c r="B6228" s="12">
        <f t="shared" si="993"/>
        <v>40895</v>
      </c>
      <c r="C6228" s="11" t="s">
        <v>1314</v>
      </c>
      <c r="D6228" s="11" t="s">
        <v>28</v>
      </c>
    </row>
    <row r="6229">
      <c r="A6229" s="11">
        <v>6228.0</v>
      </c>
      <c r="B6229" s="12">
        <f t="shared" si="993"/>
        <v>40895</v>
      </c>
      <c r="C6229" s="11" t="s">
        <v>1314</v>
      </c>
      <c r="D6229" s="11" t="s">
        <v>49</v>
      </c>
    </row>
    <row r="6230">
      <c r="A6230" s="11">
        <v>6229.0</v>
      </c>
      <c r="B6230" s="12">
        <f t="shared" si="993"/>
        <v>40895</v>
      </c>
      <c r="C6230" s="11" t="s">
        <v>525</v>
      </c>
      <c r="D6230" s="11" t="s">
        <v>28</v>
      </c>
    </row>
    <row r="6231">
      <c r="A6231" s="11">
        <v>6230.0</v>
      </c>
      <c r="B6231" s="12">
        <f t="shared" si="993"/>
        <v>40895</v>
      </c>
      <c r="C6231" s="11" t="s">
        <v>1753</v>
      </c>
      <c r="D6231" s="11" t="s">
        <v>28</v>
      </c>
    </row>
    <row r="6232">
      <c r="A6232" s="11">
        <v>6231.0</v>
      </c>
      <c r="B6232" s="12">
        <f t="shared" ref="B6232:B6235" si="994">DATE(2012,12,31)-378</f>
        <v>40896</v>
      </c>
      <c r="C6232" s="11" t="s">
        <v>491</v>
      </c>
      <c r="D6232" s="11" t="s">
        <v>28</v>
      </c>
    </row>
    <row r="6233">
      <c r="A6233" s="11">
        <v>6232.0</v>
      </c>
      <c r="B6233" s="12">
        <f t="shared" si="994"/>
        <v>40896</v>
      </c>
      <c r="C6233" s="11" t="s">
        <v>1715</v>
      </c>
      <c r="D6233" s="11" t="s">
        <v>49</v>
      </c>
    </row>
    <row r="6234">
      <c r="A6234" s="11">
        <v>6233.0</v>
      </c>
      <c r="B6234" s="12">
        <f t="shared" si="994"/>
        <v>40896</v>
      </c>
      <c r="C6234" s="11" t="s">
        <v>1054</v>
      </c>
      <c r="D6234" s="11" t="s">
        <v>66</v>
      </c>
    </row>
    <row r="6235">
      <c r="A6235" s="11">
        <v>6234.0</v>
      </c>
      <c r="B6235" s="12">
        <f t="shared" si="994"/>
        <v>40896</v>
      </c>
      <c r="C6235" s="11" t="s">
        <v>1054</v>
      </c>
      <c r="D6235" s="11" t="s">
        <v>49</v>
      </c>
    </row>
    <row r="6236">
      <c r="A6236" s="11">
        <v>6235.0</v>
      </c>
      <c r="B6236" s="12">
        <f t="shared" ref="B6236:B6244" si="995">DATE(2012,12,31)-377</f>
        <v>40897</v>
      </c>
      <c r="C6236" s="11" t="s">
        <v>2441</v>
      </c>
      <c r="D6236" s="11" t="s">
        <v>49</v>
      </c>
    </row>
    <row r="6237">
      <c r="A6237" s="11">
        <v>6236.0</v>
      </c>
      <c r="B6237" s="12">
        <f t="shared" si="995"/>
        <v>40897</v>
      </c>
      <c r="C6237" s="11" t="s">
        <v>1252</v>
      </c>
      <c r="D6237" s="11" t="s">
        <v>28</v>
      </c>
    </row>
    <row r="6238">
      <c r="A6238" s="11">
        <v>6237.0</v>
      </c>
      <c r="B6238" s="12">
        <f t="shared" si="995"/>
        <v>40897</v>
      </c>
      <c r="C6238" s="11" t="s">
        <v>436</v>
      </c>
      <c r="D6238" s="11" t="s">
        <v>28</v>
      </c>
    </row>
    <row r="6239">
      <c r="A6239" s="11">
        <v>6238.0</v>
      </c>
      <c r="B6239" s="12">
        <f t="shared" si="995"/>
        <v>40897</v>
      </c>
      <c r="C6239" s="11" t="s">
        <v>436</v>
      </c>
      <c r="D6239" s="11" t="s">
        <v>66</v>
      </c>
    </row>
    <row r="6240">
      <c r="A6240" s="11">
        <v>6239.0</v>
      </c>
      <c r="B6240" s="12">
        <f t="shared" si="995"/>
        <v>40897</v>
      </c>
      <c r="C6240" s="11" t="s">
        <v>2208</v>
      </c>
      <c r="D6240" s="11" t="s">
        <v>28</v>
      </c>
    </row>
    <row r="6241">
      <c r="A6241" s="11">
        <v>6240.0</v>
      </c>
      <c r="B6241" s="12">
        <f t="shared" si="995"/>
        <v>40897</v>
      </c>
      <c r="C6241" s="11" t="s">
        <v>2208</v>
      </c>
      <c r="D6241" s="11" t="s">
        <v>28</v>
      </c>
    </row>
    <row r="6242">
      <c r="A6242" s="11">
        <v>6241.0</v>
      </c>
      <c r="B6242" s="12">
        <f t="shared" si="995"/>
        <v>40897</v>
      </c>
      <c r="C6242" s="11" t="s">
        <v>1715</v>
      </c>
      <c r="D6242" s="11" t="s">
        <v>28</v>
      </c>
    </row>
    <row r="6243">
      <c r="A6243" s="11">
        <v>6242.0</v>
      </c>
      <c r="B6243" s="12">
        <f t="shared" si="995"/>
        <v>40897</v>
      </c>
      <c r="C6243" s="11" t="s">
        <v>1767</v>
      </c>
      <c r="D6243" s="11" t="s">
        <v>66</v>
      </c>
    </row>
    <row r="6244">
      <c r="A6244" s="11">
        <v>6243.0</v>
      </c>
      <c r="B6244" s="12">
        <f t="shared" si="995"/>
        <v>40897</v>
      </c>
      <c r="C6244" s="11" t="s">
        <v>1767</v>
      </c>
      <c r="D6244" s="11" t="s">
        <v>28</v>
      </c>
    </row>
    <row r="6245">
      <c r="A6245" s="11">
        <v>6244.0</v>
      </c>
      <c r="B6245" s="12">
        <f t="shared" ref="B6245:B6250" si="996">DATE(2012,12,31)-376</f>
        <v>40898</v>
      </c>
      <c r="C6245" s="11" t="s">
        <v>2311</v>
      </c>
      <c r="D6245" s="11" t="s">
        <v>28</v>
      </c>
    </row>
    <row r="6246">
      <c r="A6246" s="11">
        <v>6245.0</v>
      </c>
      <c r="B6246" s="12">
        <f t="shared" si="996"/>
        <v>40898</v>
      </c>
      <c r="C6246" s="11" t="s">
        <v>1228</v>
      </c>
      <c r="D6246" s="11" t="s">
        <v>28</v>
      </c>
    </row>
    <row r="6247">
      <c r="A6247" s="11">
        <v>6246.0</v>
      </c>
      <c r="B6247" s="12">
        <f t="shared" si="996"/>
        <v>40898</v>
      </c>
      <c r="C6247" s="11" t="s">
        <v>1217</v>
      </c>
      <c r="D6247" s="11" t="s">
        <v>28</v>
      </c>
    </row>
    <row r="6248">
      <c r="A6248" s="11">
        <v>6247.0</v>
      </c>
      <c r="B6248" s="12">
        <f t="shared" si="996"/>
        <v>40898</v>
      </c>
      <c r="C6248" s="11" t="s">
        <v>1217</v>
      </c>
      <c r="D6248" s="11" t="s">
        <v>28</v>
      </c>
    </row>
    <row r="6249">
      <c r="A6249" s="11">
        <v>6248.0</v>
      </c>
      <c r="B6249" s="12">
        <f t="shared" si="996"/>
        <v>40898</v>
      </c>
      <c r="C6249" s="11" t="s">
        <v>2531</v>
      </c>
      <c r="D6249" s="11" t="s">
        <v>28</v>
      </c>
    </row>
    <row r="6250">
      <c r="A6250" s="11">
        <v>6249.0</v>
      </c>
      <c r="B6250" s="12">
        <f t="shared" si="996"/>
        <v>40898</v>
      </c>
      <c r="C6250" s="11" t="s">
        <v>2063</v>
      </c>
      <c r="D6250" s="11" t="s">
        <v>49</v>
      </c>
    </row>
    <row r="6251">
      <c r="A6251" s="11">
        <v>6250.0</v>
      </c>
      <c r="B6251" s="12">
        <f t="shared" ref="B6251:B6255" si="997">DATE(2012,12,31)-375</f>
        <v>40899</v>
      </c>
      <c r="C6251" s="11" t="s">
        <v>1560</v>
      </c>
      <c r="D6251" s="11" t="s">
        <v>49</v>
      </c>
    </row>
    <row r="6252">
      <c r="A6252" s="11">
        <v>6251.0</v>
      </c>
      <c r="B6252" s="12">
        <f t="shared" si="997"/>
        <v>40899</v>
      </c>
      <c r="C6252" s="11" t="s">
        <v>1560</v>
      </c>
      <c r="D6252" s="11" t="s">
        <v>28</v>
      </c>
    </row>
    <row r="6253">
      <c r="A6253" s="11">
        <v>6252.0</v>
      </c>
      <c r="B6253" s="12">
        <f t="shared" si="997"/>
        <v>40899</v>
      </c>
      <c r="C6253" s="11" t="s">
        <v>1901</v>
      </c>
      <c r="D6253" s="11" t="s">
        <v>28</v>
      </c>
    </row>
    <row r="6254">
      <c r="A6254" s="11">
        <v>6253.0</v>
      </c>
      <c r="B6254" s="12">
        <f t="shared" si="997"/>
        <v>40899</v>
      </c>
      <c r="C6254" s="11" t="s">
        <v>1901</v>
      </c>
      <c r="D6254" s="11" t="s">
        <v>28</v>
      </c>
    </row>
    <row r="6255">
      <c r="A6255" s="11">
        <v>6254.0</v>
      </c>
      <c r="B6255" s="12">
        <f t="shared" si="997"/>
        <v>40899</v>
      </c>
      <c r="C6255" s="11" t="s">
        <v>1444</v>
      </c>
      <c r="D6255" s="11" t="s">
        <v>28</v>
      </c>
    </row>
    <row r="6256">
      <c r="A6256" s="11">
        <v>6255.0</v>
      </c>
      <c r="B6256" s="12">
        <f t="shared" ref="B6256:B6262" si="998">DATE(2012,12,31)-373</f>
        <v>40901</v>
      </c>
      <c r="C6256" s="11" t="s">
        <v>1353</v>
      </c>
      <c r="D6256" s="11" t="s">
        <v>49</v>
      </c>
    </row>
    <row r="6257">
      <c r="A6257" s="11">
        <v>6256.0</v>
      </c>
      <c r="B6257" s="12">
        <f t="shared" si="998"/>
        <v>40901</v>
      </c>
      <c r="C6257" s="11" t="s">
        <v>1353</v>
      </c>
      <c r="D6257" s="11" t="s">
        <v>49</v>
      </c>
    </row>
    <row r="6258">
      <c r="A6258" s="11">
        <v>6257.0</v>
      </c>
      <c r="B6258" s="12">
        <f t="shared" si="998"/>
        <v>40901</v>
      </c>
      <c r="C6258" s="11" t="s">
        <v>1752</v>
      </c>
      <c r="D6258" s="11" t="s">
        <v>28</v>
      </c>
    </row>
    <row r="6259">
      <c r="A6259" s="11">
        <v>6258.0</v>
      </c>
      <c r="B6259" s="12">
        <f t="shared" si="998"/>
        <v>40901</v>
      </c>
      <c r="C6259" s="11" t="s">
        <v>1652</v>
      </c>
      <c r="D6259" s="11" t="s">
        <v>66</v>
      </c>
    </row>
    <row r="6260">
      <c r="A6260" s="11">
        <v>6259.0</v>
      </c>
      <c r="B6260" s="12">
        <f t="shared" si="998"/>
        <v>40901</v>
      </c>
      <c r="C6260" s="11" t="s">
        <v>546</v>
      </c>
      <c r="D6260" s="11" t="s">
        <v>28</v>
      </c>
    </row>
    <row r="6261">
      <c r="A6261" s="11">
        <v>6260.0</v>
      </c>
      <c r="B6261" s="12">
        <f t="shared" si="998"/>
        <v>40901</v>
      </c>
      <c r="C6261" s="11" t="s">
        <v>2068</v>
      </c>
      <c r="D6261" s="11" t="s">
        <v>28</v>
      </c>
    </row>
    <row r="6262">
      <c r="A6262" s="11">
        <v>6261.0</v>
      </c>
      <c r="B6262" s="12">
        <f t="shared" si="998"/>
        <v>40901</v>
      </c>
      <c r="C6262" s="11" t="s">
        <v>2544</v>
      </c>
      <c r="D6262" s="11" t="s">
        <v>28</v>
      </c>
    </row>
    <row r="6263">
      <c r="A6263" s="11">
        <v>6262.0</v>
      </c>
      <c r="B6263" s="12">
        <f t="shared" ref="B6263:B6269" si="999">DATE(2012,12,31)-372</f>
        <v>40902</v>
      </c>
      <c r="C6263" s="11" t="s">
        <v>1939</v>
      </c>
      <c r="D6263" s="11" t="s">
        <v>28</v>
      </c>
    </row>
    <row r="6264">
      <c r="A6264" s="11">
        <v>6263.0</v>
      </c>
      <c r="B6264" s="12">
        <f t="shared" si="999"/>
        <v>40902</v>
      </c>
      <c r="C6264" s="11" t="s">
        <v>1722</v>
      </c>
      <c r="D6264" s="11" t="s">
        <v>49</v>
      </c>
    </row>
    <row r="6265">
      <c r="A6265" s="11">
        <v>6264.0</v>
      </c>
      <c r="B6265" s="12">
        <f t="shared" si="999"/>
        <v>40902</v>
      </c>
      <c r="C6265" s="11" t="s">
        <v>1722</v>
      </c>
      <c r="D6265" s="11" t="s">
        <v>49</v>
      </c>
    </row>
    <row r="6266">
      <c r="A6266" s="11">
        <v>6265.0</v>
      </c>
      <c r="B6266" s="12">
        <f t="shared" si="999"/>
        <v>40902</v>
      </c>
      <c r="C6266" s="11" t="s">
        <v>1196</v>
      </c>
      <c r="D6266" s="11" t="s">
        <v>49</v>
      </c>
    </row>
    <row r="6267">
      <c r="A6267" s="11">
        <v>6266.0</v>
      </c>
      <c r="B6267" s="12">
        <f t="shared" si="999"/>
        <v>40902</v>
      </c>
      <c r="C6267" s="11" t="s">
        <v>1196</v>
      </c>
      <c r="D6267" s="11" t="s">
        <v>28</v>
      </c>
    </row>
    <row r="6268">
      <c r="A6268" s="11">
        <v>6267.0</v>
      </c>
      <c r="B6268" s="12">
        <f t="shared" si="999"/>
        <v>40902</v>
      </c>
      <c r="C6268" s="11" t="s">
        <v>2116</v>
      </c>
      <c r="D6268" s="11" t="s">
        <v>28</v>
      </c>
    </row>
    <row r="6269">
      <c r="A6269" s="11">
        <v>6268.0</v>
      </c>
      <c r="B6269" s="12">
        <f t="shared" si="999"/>
        <v>40902</v>
      </c>
      <c r="C6269" s="11" t="s">
        <v>2116</v>
      </c>
      <c r="D6269" s="11" t="s">
        <v>28</v>
      </c>
    </row>
    <row r="6270">
      <c r="A6270" s="11">
        <v>6269.0</v>
      </c>
      <c r="B6270" s="12">
        <f t="shared" ref="B6270:B6271" si="1000">DATE(2012,12,31)-371</f>
        <v>40903</v>
      </c>
      <c r="C6270" s="11" t="s">
        <v>1599</v>
      </c>
      <c r="D6270" s="11" t="s">
        <v>28</v>
      </c>
    </row>
    <row r="6271">
      <c r="A6271" s="11">
        <v>6270.0</v>
      </c>
      <c r="B6271" s="12">
        <f t="shared" si="1000"/>
        <v>40903</v>
      </c>
      <c r="C6271" s="11" t="s">
        <v>1277</v>
      </c>
      <c r="D6271" s="11" t="s">
        <v>66</v>
      </c>
    </row>
    <row r="6272">
      <c r="A6272" s="11">
        <v>6271.0</v>
      </c>
      <c r="B6272" s="12">
        <f t="shared" ref="B6272:B6273" si="1001">DATE(2012,12,31)-370</f>
        <v>40904</v>
      </c>
      <c r="C6272" s="11" t="s">
        <v>1339</v>
      </c>
      <c r="D6272" s="11" t="s">
        <v>28</v>
      </c>
    </row>
    <row r="6273">
      <c r="A6273" s="11">
        <v>6272.0</v>
      </c>
      <c r="B6273" s="12">
        <f t="shared" si="1001"/>
        <v>40904</v>
      </c>
      <c r="C6273" s="11" t="s">
        <v>1339</v>
      </c>
      <c r="D6273" s="11" t="s">
        <v>28</v>
      </c>
    </row>
    <row r="6274">
      <c r="A6274" s="11">
        <v>6273.0</v>
      </c>
      <c r="B6274" s="12">
        <f>DATE(2012,12,31)-369</f>
        <v>40905</v>
      </c>
      <c r="C6274" s="11" t="s">
        <v>1145</v>
      </c>
      <c r="D6274" s="11" t="s">
        <v>28</v>
      </c>
    </row>
    <row r="6275">
      <c r="A6275" s="11">
        <v>6274.0</v>
      </c>
      <c r="B6275" s="12">
        <f t="shared" ref="B6275:B6281" si="1002">DATE(2012,12,31)-368</f>
        <v>40906</v>
      </c>
      <c r="C6275" s="11" t="s">
        <v>2165</v>
      </c>
      <c r="D6275" s="11" t="s">
        <v>49</v>
      </c>
    </row>
    <row r="6276">
      <c r="A6276" s="11">
        <v>6275.0</v>
      </c>
      <c r="B6276" s="12">
        <f t="shared" si="1002"/>
        <v>40906</v>
      </c>
      <c r="C6276" s="11" t="s">
        <v>2063</v>
      </c>
      <c r="D6276" s="11" t="s">
        <v>28</v>
      </c>
    </row>
    <row r="6277">
      <c r="A6277" s="11">
        <v>6276.0</v>
      </c>
      <c r="B6277" s="12">
        <f t="shared" si="1002"/>
        <v>40906</v>
      </c>
      <c r="C6277" s="11" t="s">
        <v>2063</v>
      </c>
      <c r="D6277" s="11" t="s">
        <v>28</v>
      </c>
    </row>
    <row r="6278">
      <c r="A6278" s="11">
        <v>6277.0</v>
      </c>
      <c r="B6278" s="12">
        <f t="shared" si="1002"/>
        <v>40906</v>
      </c>
      <c r="C6278" s="11" t="s">
        <v>602</v>
      </c>
      <c r="D6278" s="11" t="s">
        <v>49</v>
      </c>
    </row>
    <row r="6279">
      <c r="A6279" s="11">
        <v>6278.0</v>
      </c>
      <c r="B6279" s="12">
        <f t="shared" si="1002"/>
        <v>40906</v>
      </c>
      <c r="C6279" s="11" t="s">
        <v>1543</v>
      </c>
      <c r="D6279" s="11" t="s">
        <v>28</v>
      </c>
    </row>
    <row r="6280">
      <c r="A6280" s="11">
        <v>6279.0</v>
      </c>
      <c r="B6280" s="12">
        <f t="shared" si="1002"/>
        <v>40906</v>
      </c>
      <c r="C6280" s="11" t="s">
        <v>1543</v>
      </c>
      <c r="D6280" s="11" t="s">
        <v>28</v>
      </c>
    </row>
    <row r="6281">
      <c r="A6281" s="11">
        <v>6280.0</v>
      </c>
      <c r="B6281" s="12">
        <f t="shared" si="1002"/>
        <v>40906</v>
      </c>
      <c r="C6281" s="11" t="s">
        <v>1543</v>
      </c>
      <c r="D6281" s="11" t="s">
        <v>66</v>
      </c>
    </row>
    <row r="6282">
      <c r="A6282" s="11">
        <v>6281.0</v>
      </c>
      <c r="B6282" s="12">
        <f t="shared" ref="B6282:B6292" si="1003">DATE(2012,12,31)-367</f>
        <v>40907</v>
      </c>
      <c r="C6282" s="11" t="s">
        <v>1594</v>
      </c>
      <c r="D6282" s="11" t="s">
        <v>28</v>
      </c>
    </row>
    <row r="6283">
      <c r="A6283" s="11">
        <v>6282.0</v>
      </c>
      <c r="B6283" s="12">
        <f t="shared" si="1003"/>
        <v>40907</v>
      </c>
      <c r="C6283" s="11" t="s">
        <v>1594</v>
      </c>
      <c r="D6283" s="11" t="s">
        <v>28</v>
      </c>
    </row>
    <row r="6284">
      <c r="A6284" s="11">
        <v>6283.0</v>
      </c>
      <c r="B6284" s="12">
        <f t="shared" si="1003"/>
        <v>40907</v>
      </c>
      <c r="C6284" s="11" t="s">
        <v>2441</v>
      </c>
      <c r="D6284" s="11" t="s">
        <v>66</v>
      </c>
    </row>
    <row r="6285">
      <c r="A6285" s="11">
        <v>6284.0</v>
      </c>
      <c r="B6285" s="12">
        <f t="shared" si="1003"/>
        <v>40907</v>
      </c>
      <c r="C6285" s="11" t="s">
        <v>622</v>
      </c>
      <c r="D6285" s="11" t="s">
        <v>28</v>
      </c>
    </row>
    <row r="6286">
      <c r="A6286" s="11">
        <v>6285.0</v>
      </c>
      <c r="B6286" s="12">
        <f t="shared" si="1003"/>
        <v>40907</v>
      </c>
      <c r="C6286" s="11" t="s">
        <v>1061</v>
      </c>
      <c r="D6286" s="11" t="s">
        <v>66</v>
      </c>
    </row>
    <row r="6287">
      <c r="A6287" s="11">
        <v>6286.0</v>
      </c>
      <c r="B6287" s="12">
        <f t="shared" si="1003"/>
        <v>40907</v>
      </c>
      <c r="C6287" s="11" t="s">
        <v>1061</v>
      </c>
      <c r="D6287" s="11" t="s">
        <v>28</v>
      </c>
    </row>
    <row r="6288">
      <c r="A6288" s="11">
        <v>6287.0</v>
      </c>
      <c r="B6288" s="12">
        <f t="shared" si="1003"/>
        <v>40907</v>
      </c>
      <c r="C6288" s="11" t="s">
        <v>1221</v>
      </c>
      <c r="D6288" s="11" t="s">
        <v>28</v>
      </c>
    </row>
    <row r="6289">
      <c r="A6289" s="11">
        <v>6288.0</v>
      </c>
      <c r="B6289" s="12">
        <f t="shared" si="1003"/>
        <v>40907</v>
      </c>
      <c r="C6289" s="11" t="s">
        <v>1221</v>
      </c>
      <c r="D6289" s="11" t="s">
        <v>66</v>
      </c>
    </row>
    <row r="6290">
      <c r="A6290" s="11">
        <v>6289.0</v>
      </c>
      <c r="B6290" s="12">
        <f t="shared" si="1003"/>
        <v>40907</v>
      </c>
      <c r="C6290" s="11" t="s">
        <v>1982</v>
      </c>
      <c r="D6290" s="11" t="s">
        <v>49</v>
      </c>
    </row>
    <row r="6291">
      <c r="A6291" s="11">
        <v>6290.0</v>
      </c>
      <c r="B6291" s="12">
        <f t="shared" si="1003"/>
        <v>40907</v>
      </c>
      <c r="C6291" s="11" t="s">
        <v>1982</v>
      </c>
      <c r="D6291" s="11" t="s">
        <v>49</v>
      </c>
    </row>
    <row r="6292">
      <c r="A6292" s="11">
        <v>6291.0</v>
      </c>
      <c r="B6292" s="12">
        <f t="shared" si="1003"/>
        <v>40907</v>
      </c>
      <c r="C6292" s="11" t="s">
        <v>1982</v>
      </c>
      <c r="D6292" s="11" t="s">
        <v>66</v>
      </c>
    </row>
    <row r="6293">
      <c r="A6293" s="11">
        <v>6292.0</v>
      </c>
      <c r="B6293" s="12">
        <f t="shared" ref="B6293:B6298" si="1004">DATE(2012,12,31)-366</f>
        <v>40908</v>
      </c>
      <c r="C6293" s="11" t="s">
        <v>202</v>
      </c>
      <c r="D6293" s="11" t="s">
        <v>66</v>
      </c>
    </row>
    <row r="6294">
      <c r="A6294" s="11">
        <v>6293.0</v>
      </c>
      <c r="B6294" s="12">
        <f t="shared" si="1004"/>
        <v>40908</v>
      </c>
      <c r="C6294" s="11" t="s">
        <v>202</v>
      </c>
      <c r="D6294" s="11" t="s">
        <v>28</v>
      </c>
    </row>
    <row r="6295">
      <c r="A6295" s="11">
        <v>6294.0</v>
      </c>
      <c r="B6295" s="12">
        <f t="shared" si="1004"/>
        <v>40908</v>
      </c>
      <c r="C6295" s="11" t="s">
        <v>2524</v>
      </c>
      <c r="D6295" s="11" t="s">
        <v>66</v>
      </c>
    </row>
    <row r="6296">
      <c r="A6296" s="11">
        <v>6295.0</v>
      </c>
      <c r="B6296" s="12">
        <f t="shared" si="1004"/>
        <v>40908</v>
      </c>
      <c r="C6296" s="11" t="s">
        <v>227</v>
      </c>
      <c r="D6296" s="11" t="s">
        <v>28</v>
      </c>
    </row>
    <row r="6297">
      <c r="A6297" s="11">
        <v>6296.0</v>
      </c>
      <c r="B6297" s="12">
        <f t="shared" si="1004"/>
        <v>40908</v>
      </c>
      <c r="C6297" s="11" t="s">
        <v>1236</v>
      </c>
      <c r="D6297" s="11" t="s">
        <v>66</v>
      </c>
    </row>
    <row r="6298">
      <c r="A6298" s="29">
        <v>6297.0</v>
      </c>
      <c r="B6298" s="30">
        <f t="shared" si="1004"/>
        <v>40908</v>
      </c>
      <c r="C6298" s="29" t="s">
        <v>588</v>
      </c>
      <c r="D6298" s="29" t="s">
        <v>28</v>
      </c>
    </row>
    <row r="6299">
      <c r="A6299" s="11">
        <v>6298.0</v>
      </c>
      <c r="B6299" s="12">
        <f t="shared" ref="B6299:B6300" si="1005">DATE(2012,12,31)-365</f>
        <v>40909</v>
      </c>
      <c r="C6299" s="11" t="s">
        <v>1123</v>
      </c>
      <c r="D6299" s="11" t="s">
        <v>66</v>
      </c>
    </row>
    <row r="6300">
      <c r="A6300" s="11">
        <v>6299.0</v>
      </c>
      <c r="B6300" s="12">
        <f t="shared" si="1005"/>
        <v>40909</v>
      </c>
      <c r="C6300" s="11" t="s">
        <v>1123</v>
      </c>
      <c r="D6300" s="11" t="s">
        <v>28</v>
      </c>
    </row>
    <row r="6301">
      <c r="A6301" s="11">
        <v>6300.0</v>
      </c>
      <c r="B6301" s="12">
        <f t="shared" ref="B6301:B6303" si="1006">DATE(2012,12,31)-364</f>
        <v>40910</v>
      </c>
      <c r="C6301" s="11" t="s">
        <v>1123</v>
      </c>
      <c r="D6301" s="11" t="s">
        <v>28</v>
      </c>
    </row>
    <row r="6302">
      <c r="A6302" s="11">
        <v>6301.0</v>
      </c>
      <c r="B6302" s="12">
        <f t="shared" si="1006"/>
        <v>40910</v>
      </c>
      <c r="C6302" s="11" t="s">
        <v>968</v>
      </c>
      <c r="D6302" s="11" t="s">
        <v>28</v>
      </c>
    </row>
    <row r="6303">
      <c r="A6303" s="11">
        <v>6302.0</v>
      </c>
      <c r="B6303" s="12">
        <f t="shared" si="1006"/>
        <v>40910</v>
      </c>
      <c r="C6303" s="11" t="s">
        <v>850</v>
      </c>
      <c r="D6303" s="11" t="s">
        <v>66</v>
      </c>
    </row>
    <row r="6304">
      <c r="A6304" s="11">
        <v>6303.0</v>
      </c>
      <c r="B6304" s="12">
        <f t="shared" ref="B6304:B6311" si="1007">DATE(2012,12,31)-363</f>
        <v>40911</v>
      </c>
      <c r="C6304" s="11" t="s">
        <v>1784</v>
      </c>
      <c r="D6304" s="11" t="s">
        <v>66</v>
      </c>
    </row>
    <row r="6305">
      <c r="A6305" s="11">
        <v>6304.0</v>
      </c>
      <c r="B6305" s="12">
        <f t="shared" si="1007"/>
        <v>40911</v>
      </c>
      <c r="C6305" s="11" t="s">
        <v>1448</v>
      </c>
      <c r="D6305" s="11" t="s">
        <v>28</v>
      </c>
    </row>
    <row r="6306">
      <c r="A6306" s="11">
        <v>6305.0</v>
      </c>
      <c r="B6306" s="12">
        <f t="shared" si="1007"/>
        <v>40911</v>
      </c>
      <c r="C6306" s="11" t="s">
        <v>1448</v>
      </c>
      <c r="D6306" s="11" t="s">
        <v>28</v>
      </c>
    </row>
    <row r="6307">
      <c r="A6307" s="11">
        <v>6306.0</v>
      </c>
      <c r="B6307" s="12">
        <f t="shared" si="1007"/>
        <v>40911</v>
      </c>
      <c r="C6307" s="11" t="s">
        <v>1448</v>
      </c>
      <c r="D6307" s="11" t="s">
        <v>66</v>
      </c>
    </row>
    <row r="6308">
      <c r="A6308" s="11">
        <v>6307.0</v>
      </c>
      <c r="B6308" s="12">
        <f t="shared" si="1007"/>
        <v>40911</v>
      </c>
      <c r="C6308" s="11" t="s">
        <v>1773</v>
      </c>
      <c r="D6308" s="11" t="s">
        <v>28</v>
      </c>
    </row>
    <row r="6309">
      <c r="A6309" s="11">
        <v>6308.0</v>
      </c>
      <c r="B6309" s="12">
        <f t="shared" si="1007"/>
        <v>40911</v>
      </c>
      <c r="C6309" s="11" t="s">
        <v>1773</v>
      </c>
      <c r="D6309" s="11" t="s">
        <v>28</v>
      </c>
    </row>
    <row r="6310">
      <c r="A6310" s="11">
        <v>6309.0</v>
      </c>
      <c r="B6310" s="12">
        <f t="shared" si="1007"/>
        <v>40911</v>
      </c>
      <c r="C6310" s="11" t="s">
        <v>759</v>
      </c>
      <c r="D6310" s="11" t="s">
        <v>66</v>
      </c>
    </row>
    <row r="6311">
      <c r="A6311" s="11">
        <v>6310.0</v>
      </c>
      <c r="B6311" s="12">
        <f t="shared" si="1007"/>
        <v>40911</v>
      </c>
      <c r="C6311" s="11" t="s">
        <v>1210</v>
      </c>
      <c r="D6311" s="11" t="s">
        <v>49</v>
      </c>
    </row>
    <row r="6312">
      <c r="A6312" s="11">
        <v>6311.0</v>
      </c>
      <c r="B6312" s="12">
        <f t="shared" ref="B6312:B6320" si="1008">DATE(2012,12,31)-362</f>
        <v>40912</v>
      </c>
      <c r="C6312" s="11" t="s">
        <v>1772</v>
      </c>
      <c r="D6312" s="11" t="s">
        <v>49</v>
      </c>
    </row>
    <row r="6313">
      <c r="A6313" s="11">
        <v>6312.0</v>
      </c>
      <c r="B6313" s="12">
        <f t="shared" si="1008"/>
        <v>40912</v>
      </c>
      <c r="C6313" s="11" t="s">
        <v>1772</v>
      </c>
      <c r="D6313" s="11" t="s">
        <v>28</v>
      </c>
    </row>
    <row r="6314">
      <c r="A6314" s="11">
        <v>6313.0</v>
      </c>
      <c r="B6314" s="12">
        <f t="shared" si="1008"/>
        <v>40912</v>
      </c>
      <c r="C6314" s="11" t="s">
        <v>1772</v>
      </c>
      <c r="D6314" s="11" t="s">
        <v>28</v>
      </c>
    </row>
    <row r="6315">
      <c r="A6315" s="11">
        <v>6314.0</v>
      </c>
      <c r="B6315" s="12">
        <f t="shared" si="1008"/>
        <v>40912</v>
      </c>
      <c r="C6315" s="11" t="s">
        <v>2387</v>
      </c>
      <c r="D6315" s="11" t="s">
        <v>49</v>
      </c>
    </row>
    <row r="6316">
      <c r="A6316" s="11">
        <v>6315.0</v>
      </c>
      <c r="B6316" s="12">
        <f t="shared" si="1008"/>
        <v>40912</v>
      </c>
      <c r="C6316" s="11" t="s">
        <v>2387</v>
      </c>
      <c r="D6316" s="11" t="s">
        <v>66</v>
      </c>
    </row>
    <row r="6317">
      <c r="A6317" s="11">
        <v>6316.0</v>
      </c>
      <c r="B6317" s="12">
        <f t="shared" si="1008"/>
        <v>40912</v>
      </c>
      <c r="C6317" s="11" t="s">
        <v>2163</v>
      </c>
      <c r="D6317" s="11" t="s">
        <v>49</v>
      </c>
    </row>
    <row r="6318">
      <c r="A6318" s="11">
        <v>6317.0</v>
      </c>
      <c r="B6318" s="12">
        <f t="shared" si="1008"/>
        <v>40912</v>
      </c>
      <c r="C6318" s="11" t="s">
        <v>2078</v>
      </c>
      <c r="D6318" s="11" t="s">
        <v>28</v>
      </c>
    </row>
    <row r="6319">
      <c r="A6319" s="11">
        <v>6318.0</v>
      </c>
      <c r="B6319" s="12">
        <f t="shared" si="1008"/>
        <v>40912</v>
      </c>
      <c r="C6319" s="11" t="s">
        <v>2180</v>
      </c>
      <c r="D6319" s="11" t="s">
        <v>28</v>
      </c>
    </row>
    <row r="6320">
      <c r="A6320" s="11">
        <v>6319.0</v>
      </c>
      <c r="B6320" s="12">
        <f t="shared" si="1008"/>
        <v>40912</v>
      </c>
      <c r="C6320" s="11" t="s">
        <v>2180</v>
      </c>
      <c r="D6320" s="11" t="s">
        <v>28</v>
      </c>
    </row>
    <row r="6321">
      <c r="A6321" s="11">
        <v>6320.0</v>
      </c>
      <c r="B6321" s="12">
        <f t="shared" ref="B6321:B6334" si="1009">DATE(2012,12,31)-361</f>
        <v>40913</v>
      </c>
      <c r="C6321" s="11" t="s">
        <v>602</v>
      </c>
      <c r="D6321" s="11" t="s">
        <v>28</v>
      </c>
    </row>
    <row r="6322">
      <c r="A6322" s="11">
        <v>6321.0</v>
      </c>
      <c r="B6322" s="12">
        <f t="shared" si="1009"/>
        <v>40913</v>
      </c>
      <c r="C6322" s="11" t="s">
        <v>602</v>
      </c>
      <c r="D6322" s="11" t="s">
        <v>28</v>
      </c>
    </row>
    <row r="6323">
      <c r="A6323" s="11">
        <v>6322.0</v>
      </c>
      <c r="B6323" s="12">
        <f t="shared" si="1009"/>
        <v>40913</v>
      </c>
      <c r="C6323" s="11" t="s">
        <v>602</v>
      </c>
      <c r="D6323" s="11" t="s">
        <v>28</v>
      </c>
    </row>
    <row r="6324">
      <c r="A6324" s="11">
        <v>6323.0</v>
      </c>
      <c r="B6324" s="12">
        <f t="shared" si="1009"/>
        <v>40913</v>
      </c>
      <c r="C6324" s="11" t="s">
        <v>2398</v>
      </c>
      <c r="D6324" s="11" t="s">
        <v>49</v>
      </c>
    </row>
    <row r="6325">
      <c r="A6325" s="11">
        <v>6324.0</v>
      </c>
      <c r="B6325" s="12">
        <f t="shared" si="1009"/>
        <v>40913</v>
      </c>
      <c r="C6325" s="11" t="s">
        <v>546</v>
      </c>
      <c r="D6325" s="11" t="s">
        <v>66</v>
      </c>
    </row>
    <row r="6326">
      <c r="A6326" s="11">
        <v>6325.0</v>
      </c>
      <c r="B6326" s="12">
        <f t="shared" si="1009"/>
        <v>40913</v>
      </c>
      <c r="C6326" s="11" t="s">
        <v>2439</v>
      </c>
      <c r="D6326" s="11" t="s">
        <v>28</v>
      </c>
    </row>
    <row r="6327">
      <c r="A6327" s="11">
        <v>6326.0</v>
      </c>
      <c r="B6327" s="12">
        <f t="shared" si="1009"/>
        <v>40913</v>
      </c>
      <c r="C6327" s="11" t="s">
        <v>1054</v>
      </c>
      <c r="D6327" s="11" t="s">
        <v>28</v>
      </c>
    </row>
    <row r="6328">
      <c r="A6328" s="11">
        <v>6327.0</v>
      </c>
      <c r="B6328" s="12">
        <f t="shared" si="1009"/>
        <v>40913</v>
      </c>
      <c r="C6328" s="11" t="s">
        <v>1054</v>
      </c>
      <c r="D6328" s="11" t="s">
        <v>28</v>
      </c>
    </row>
    <row r="6329">
      <c r="A6329" s="11">
        <v>6328.0</v>
      </c>
      <c r="B6329" s="12">
        <f t="shared" si="1009"/>
        <v>40913</v>
      </c>
      <c r="C6329" s="11" t="s">
        <v>1054</v>
      </c>
      <c r="D6329" s="11" t="s">
        <v>66</v>
      </c>
    </row>
    <row r="6330">
      <c r="A6330" s="11">
        <v>6329.0</v>
      </c>
      <c r="B6330" s="12">
        <f t="shared" si="1009"/>
        <v>40913</v>
      </c>
      <c r="C6330" s="11" t="s">
        <v>1054</v>
      </c>
      <c r="D6330" s="11" t="s">
        <v>28</v>
      </c>
    </row>
    <row r="6331">
      <c r="A6331" s="11">
        <v>6330.0</v>
      </c>
      <c r="B6331" s="12">
        <f t="shared" si="1009"/>
        <v>40913</v>
      </c>
      <c r="C6331" s="11" t="s">
        <v>1433</v>
      </c>
      <c r="D6331" s="11" t="s">
        <v>28</v>
      </c>
    </row>
    <row r="6332">
      <c r="A6332" s="11">
        <v>6331.0</v>
      </c>
      <c r="B6332" s="12">
        <f t="shared" si="1009"/>
        <v>40913</v>
      </c>
      <c r="C6332" s="11" t="s">
        <v>1433</v>
      </c>
      <c r="D6332" s="11" t="s">
        <v>28</v>
      </c>
    </row>
    <row r="6333">
      <c r="A6333" s="11">
        <v>6332.0</v>
      </c>
      <c r="B6333" s="12">
        <f t="shared" si="1009"/>
        <v>40913</v>
      </c>
      <c r="C6333" s="11" t="s">
        <v>1039</v>
      </c>
      <c r="D6333" s="11" t="s">
        <v>66</v>
      </c>
    </row>
    <row r="6334">
      <c r="A6334" s="11">
        <v>6333.0</v>
      </c>
      <c r="B6334" s="12">
        <f t="shared" si="1009"/>
        <v>40913</v>
      </c>
      <c r="C6334" s="11" t="s">
        <v>1039</v>
      </c>
      <c r="D6334" s="11" t="s">
        <v>28</v>
      </c>
    </row>
    <row r="6335">
      <c r="A6335" s="11">
        <v>6334.0</v>
      </c>
      <c r="B6335" s="12">
        <f t="shared" ref="B6335:B6338" si="1010">DATE(2012,12,31)-360</f>
        <v>40914</v>
      </c>
      <c r="C6335" s="11" t="s">
        <v>2039</v>
      </c>
      <c r="D6335" s="11" t="s">
        <v>28</v>
      </c>
    </row>
    <row r="6336">
      <c r="A6336" s="11">
        <v>6335.0</v>
      </c>
      <c r="B6336" s="12">
        <f t="shared" si="1010"/>
        <v>40914</v>
      </c>
      <c r="C6336" s="11" t="s">
        <v>2039</v>
      </c>
      <c r="D6336" s="11" t="s">
        <v>49</v>
      </c>
    </row>
    <row r="6337">
      <c r="A6337" s="11">
        <v>6336.0</v>
      </c>
      <c r="B6337" s="12">
        <f t="shared" si="1010"/>
        <v>40914</v>
      </c>
      <c r="C6337" s="11" t="s">
        <v>82</v>
      </c>
      <c r="D6337" s="11" t="s">
        <v>28</v>
      </c>
    </row>
    <row r="6338">
      <c r="A6338" s="11">
        <v>6337.0</v>
      </c>
      <c r="B6338" s="12">
        <f t="shared" si="1010"/>
        <v>40914</v>
      </c>
      <c r="C6338" s="11" t="s">
        <v>82</v>
      </c>
      <c r="D6338" s="11" t="s">
        <v>28</v>
      </c>
    </row>
    <row r="6339">
      <c r="A6339" s="11">
        <v>6338.0</v>
      </c>
      <c r="B6339" s="12">
        <f t="shared" ref="B6339:B6341" si="1011">DATE(2012,12,31)-359</f>
        <v>40915</v>
      </c>
      <c r="C6339" s="11" t="s">
        <v>2012</v>
      </c>
      <c r="D6339" s="11" t="s">
        <v>28</v>
      </c>
    </row>
    <row r="6340">
      <c r="A6340" s="11">
        <v>6339.0</v>
      </c>
      <c r="B6340" s="12">
        <f t="shared" si="1011"/>
        <v>40915</v>
      </c>
      <c r="C6340" s="11" t="s">
        <v>724</v>
      </c>
      <c r="D6340" s="11" t="s">
        <v>28</v>
      </c>
    </row>
    <row r="6341">
      <c r="A6341" s="11">
        <v>6340.0</v>
      </c>
      <c r="B6341" s="12">
        <f t="shared" si="1011"/>
        <v>40915</v>
      </c>
      <c r="C6341" s="11" t="s">
        <v>724</v>
      </c>
      <c r="D6341" s="11" t="s">
        <v>28</v>
      </c>
    </row>
    <row r="6342">
      <c r="A6342" s="11">
        <v>6341.0</v>
      </c>
      <c r="B6342" s="12">
        <f t="shared" ref="B6342:B6352" si="1012">DATE(2012,12,31)-358</f>
        <v>40916</v>
      </c>
      <c r="C6342" s="11" t="s">
        <v>1633</v>
      </c>
      <c r="D6342" s="11" t="s">
        <v>28</v>
      </c>
    </row>
    <row r="6343">
      <c r="A6343" s="11">
        <v>6342.0</v>
      </c>
      <c r="B6343" s="12">
        <f t="shared" si="1012"/>
        <v>40916</v>
      </c>
      <c r="C6343" s="11" t="s">
        <v>548</v>
      </c>
      <c r="D6343" s="11" t="s">
        <v>49</v>
      </c>
    </row>
    <row r="6344">
      <c r="A6344" s="11">
        <v>6343.0</v>
      </c>
      <c r="B6344" s="12">
        <f t="shared" si="1012"/>
        <v>40916</v>
      </c>
      <c r="C6344" s="11" t="s">
        <v>1784</v>
      </c>
      <c r="D6344" s="11" t="s">
        <v>66</v>
      </c>
    </row>
    <row r="6345">
      <c r="A6345" s="11">
        <v>6344.0</v>
      </c>
      <c r="B6345" s="12">
        <f t="shared" si="1012"/>
        <v>40916</v>
      </c>
      <c r="C6345" s="11" t="s">
        <v>966</v>
      </c>
      <c r="D6345" s="11" t="s">
        <v>28</v>
      </c>
    </row>
    <row r="6346">
      <c r="A6346" s="11">
        <v>6345.0</v>
      </c>
      <c r="B6346" s="12">
        <f t="shared" si="1012"/>
        <v>40916</v>
      </c>
      <c r="C6346" s="11" t="s">
        <v>966</v>
      </c>
      <c r="D6346" s="11" t="s">
        <v>28</v>
      </c>
    </row>
    <row r="6347">
      <c r="A6347" s="11">
        <v>6346.0</v>
      </c>
      <c r="B6347" s="12">
        <f t="shared" si="1012"/>
        <v>40916</v>
      </c>
      <c r="C6347" s="11" t="s">
        <v>966</v>
      </c>
      <c r="D6347" s="11" t="s">
        <v>28</v>
      </c>
    </row>
    <row r="6348">
      <c r="A6348" s="11">
        <v>6347.0</v>
      </c>
      <c r="B6348" s="12">
        <f t="shared" si="1012"/>
        <v>40916</v>
      </c>
      <c r="C6348" s="11" t="s">
        <v>375</v>
      </c>
      <c r="D6348" s="11" t="s">
        <v>28</v>
      </c>
    </row>
    <row r="6349">
      <c r="A6349" s="11">
        <v>6348.0</v>
      </c>
      <c r="B6349" s="12">
        <f t="shared" si="1012"/>
        <v>40916</v>
      </c>
      <c r="C6349" s="11" t="s">
        <v>1802</v>
      </c>
      <c r="D6349" s="11" t="s">
        <v>49</v>
      </c>
    </row>
    <row r="6350">
      <c r="A6350" s="11">
        <v>6349.0</v>
      </c>
      <c r="B6350" s="12">
        <f t="shared" si="1012"/>
        <v>40916</v>
      </c>
      <c r="C6350" s="11" t="s">
        <v>1802</v>
      </c>
      <c r="D6350" s="11" t="s">
        <v>49</v>
      </c>
    </row>
    <row r="6351">
      <c r="A6351" s="11">
        <v>6350.0</v>
      </c>
      <c r="B6351" s="12">
        <f t="shared" si="1012"/>
        <v>40916</v>
      </c>
      <c r="C6351" s="11" t="s">
        <v>1802</v>
      </c>
      <c r="D6351" s="11" t="s">
        <v>28</v>
      </c>
    </row>
    <row r="6352">
      <c r="A6352" s="11">
        <v>6351.0</v>
      </c>
      <c r="B6352" s="12">
        <f t="shared" si="1012"/>
        <v>40916</v>
      </c>
      <c r="C6352" s="11" t="s">
        <v>1360</v>
      </c>
      <c r="D6352" s="11" t="s">
        <v>28</v>
      </c>
    </row>
    <row r="6353">
      <c r="A6353" s="11">
        <v>6352.0</v>
      </c>
      <c r="B6353" s="12">
        <f t="shared" ref="B6353:B6356" si="1013">DATE(2012,12,31)-357</f>
        <v>40917</v>
      </c>
      <c r="C6353" s="11" t="s">
        <v>456</v>
      </c>
      <c r="D6353" s="11" t="s">
        <v>66</v>
      </c>
    </row>
    <row r="6354">
      <c r="A6354" s="11">
        <v>6353.0</v>
      </c>
      <c r="B6354" s="12">
        <f t="shared" si="1013"/>
        <v>40917</v>
      </c>
      <c r="C6354" s="11" t="s">
        <v>578</v>
      </c>
      <c r="D6354" s="11" t="s">
        <v>66</v>
      </c>
    </row>
    <row r="6355">
      <c r="A6355" s="11">
        <v>6354.0</v>
      </c>
      <c r="B6355" s="12">
        <f t="shared" si="1013"/>
        <v>40917</v>
      </c>
      <c r="C6355" s="11" t="s">
        <v>928</v>
      </c>
      <c r="D6355" s="11" t="s">
        <v>28</v>
      </c>
    </row>
    <row r="6356">
      <c r="A6356" s="11">
        <v>6355.0</v>
      </c>
      <c r="B6356" s="12">
        <f t="shared" si="1013"/>
        <v>40917</v>
      </c>
      <c r="C6356" s="11" t="s">
        <v>928</v>
      </c>
      <c r="D6356" s="11" t="s">
        <v>28</v>
      </c>
    </row>
    <row r="6357">
      <c r="A6357" s="11">
        <v>6356.0</v>
      </c>
      <c r="B6357" s="12">
        <f t="shared" ref="B6357:B6361" si="1014">DATE(2012,12,31)-356</f>
        <v>40918</v>
      </c>
      <c r="C6357" s="11" t="s">
        <v>1960</v>
      </c>
      <c r="D6357" s="11" t="s">
        <v>66</v>
      </c>
    </row>
    <row r="6358">
      <c r="A6358" s="11">
        <v>6357.0</v>
      </c>
      <c r="B6358" s="12">
        <f t="shared" si="1014"/>
        <v>40918</v>
      </c>
      <c r="C6358" s="11" t="s">
        <v>1960</v>
      </c>
      <c r="D6358" s="11" t="s">
        <v>49</v>
      </c>
    </row>
    <row r="6359">
      <c r="A6359" s="11">
        <v>6358.0</v>
      </c>
      <c r="B6359" s="12">
        <f t="shared" si="1014"/>
        <v>40918</v>
      </c>
      <c r="C6359" s="11" t="s">
        <v>2079</v>
      </c>
      <c r="D6359" s="11" t="s">
        <v>49</v>
      </c>
    </row>
    <row r="6360">
      <c r="A6360" s="11">
        <v>6359.0</v>
      </c>
      <c r="B6360" s="12">
        <f t="shared" si="1014"/>
        <v>40918</v>
      </c>
      <c r="C6360" s="11" t="s">
        <v>1816</v>
      </c>
      <c r="D6360" s="11" t="s">
        <v>28</v>
      </c>
    </row>
    <row r="6361">
      <c r="A6361" s="11">
        <v>6360.0</v>
      </c>
      <c r="B6361" s="12">
        <f t="shared" si="1014"/>
        <v>40918</v>
      </c>
      <c r="C6361" s="11" t="s">
        <v>2361</v>
      </c>
      <c r="D6361" s="11" t="s">
        <v>49</v>
      </c>
    </row>
    <row r="6362">
      <c r="A6362" s="11">
        <v>6361.0</v>
      </c>
      <c r="B6362" s="12">
        <f t="shared" ref="B6362:B6369" si="1015">DATE(2012,12,31)-355</f>
        <v>40919</v>
      </c>
      <c r="C6362" s="11" t="s">
        <v>227</v>
      </c>
      <c r="D6362" s="11" t="s">
        <v>49</v>
      </c>
    </row>
    <row r="6363">
      <c r="A6363" s="11">
        <v>6362.0</v>
      </c>
      <c r="B6363" s="12">
        <f t="shared" si="1015"/>
        <v>40919</v>
      </c>
      <c r="C6363" s="11" t="s">
        <v>227</v>
      </c>
      <c r="D6363" s="11" t="s">
        <v>66</v>
      </c>
    </row>
    <row r="6364">
      <c r="A6364" s="11">
        <v>6363.0</v>
      </c>
      <c r="B6364" s="12">
        <f t="shared" si="1015"/>
        <v>40919</v>
      </c>
      <c r="C6364" s="11" t="s">
        <v>1938</v>
      </c>
      <c r="D6364" s="11" t="s">
        <v>28</v>
      </c>
    </row>
    <row r="6365">
      <c r="A6365" s="11">
        <v>6364.0</v>
      </c>
      <c r="B6365" s="12">
        <f t="shared" si="1015"/>
        <v>40919</v>
      </c>
      <c r="C6365" s="11" t="s">
        <v>1417</v>
      </c>
      <c r="D6365" s="11" t="s">
        <v>28</v>
      </c>
    </row>
    <row r="6366">
      <c r="A6366" s="11">
        <v>6365.0</v>
      </c>
      <c r="B6366" s="12">
        <f t="shared" si="1015"/>
        <v>40919</v>
      </c>
      <c r="C6366" s="11" t="s">
        <v>1654</v>
      </c>
      <c r="D6366" s="11" t="s">
        <v>66</v>
      </c>
    </row>
    <row r="6367">
      <c r="A6367" s="11">
        <v>6366.0</v>
      </c>
      <c r="B6367" s="12">
        <f t="shared" si="1015"/>
        <v>40919</v>
      </c>
      <c r="C6367" s="11" t="s">
        <v>2293</v>
      </c>
      <c r="D6367" s="11" t="s">
        <v>28</v>
      </c>
    </row>
    <row r="6368">
      <c r="A6368" s="11">
        <v>6367.0</v>
      </c>
      <c r="B6368" s="12">
        <f t="shared" si="1015"/>
        <v>40919</v>
      </c>
      <c r="C6368" s="11" t="s">
        <v>588</v>
      </c>
      <c r="D6368" s="11" t="s">
        <v>28</v>
      </c>
    </row>
    <row r="6369">
      <c r="A6369" s="11">
        <v>6368.0</v>
      </c>
      <c r="B6369" s="12">
        <f t="shared" si="1015"/>
        <v>40919</v>
      </c>
      <c r="C6369" s="11" t="s">
        <v>588</v>
      </c>
      <c r="D6369" s="11" t="s">
        <v>28</v>
      </c>
    </row>
    <row r="6370">
      <c r="A6370" s="11">
        <v>6369.0</v>
      </c>
      <c r="B6370" s="12">
        <f t="shared" ref="B6370:B6378" si="1016">DATE(2012,12,31)-354</f>
        <v>40920</v>
      </c>
      <c r="C6370" s="11" t="s">
        <v>1259</v>
      </c>
      <c r="D6370" s="11" t="s">
        <v>28</v>
      </c>
    </row>
    <row r="6371">
      <c r="A6371" s="11">
        <v>6370.0</v>
      </c>
      <c r="B6371" s="12">
        <f t="shared" si="1016"/>
        <v>40920</v>
      </c>
      <c r="C6371" s="11" t="s">
        <v>1877</v>
      </c>
      <c r="D6371" s="11" t="s">
        <v>49</v>
      </c>
    </row>
    <row r="6372">
      <c r="A6372" s="11">
        <v>6371.0</v>
      </c>
      <c r="B6372" s="12">
        <f t="shared" si="1016"/>
        <v>40920</v>
      </c>
      <c r="C6372" s="11" t="s">
        <v>606</v>
      </c>
      <c r="D6372" s="11" t="s">
        <v>28</v>
      </c>
    </row>
    <row r="6373">
      <c r="A6373" s="11">
        <v>6372.0</v>
      </c>
      <c r="B6373" s="12">
        <f t="shared" si="1016"/>
        <v>40920</v>
      </c>
      <c r="C6373" s="11" t="s">
        <v>64</v>
      </c>
      <c r="D6373" s="11" t="s">
        <v>49</v>
      </c>
    </row>
    <row r="6374">
      <c r="A6374" s="11">
        <v>6373.0</v>
      </c>
      <c r="B6374" s="12">
        <f t="shared" si="1016"/>
        <v>40920</v>
      </c>
      <c r="C6374" s="11" t="s">
        <v>64</v>
      </c>
      <c r="D6374" s="11" t="s">
        <v>66</v>
      </c>
    </row>
    <row r="6375">
      <c r="A6375" s="11">
        <v>6374.0</v>
      </c>
      <c r="B6375" s="12">
        <f t="shared" si="1016"/>
        <v>40920</v>
      </c>
      <c r="C6375" s="11" t="s">
        <v>64</v>
      </c>
      <c r="D6375" s="11" t="s">
        <v>28</v>
      </c>
    </row>
    <row r="6376">
      <c r="A6376" s="11">
        <v>6375.0</v>
      </c>
      <c r="B6376" s="12">
        <f t="shared" si="1016"/>
        <v>40920</v>
      </c>
      <c r="C6376" s="11" t="s">
        <v>232</v>
      </c>
      <c r="D6376" s="11" t="s">
        <v>28</v>
      </c>
    </row>
    <row r="6377">
      <c r="A6377" s="11">
        <v>6376.0</v>
      </c>
      <c r="B6377" s="12">
        <f t="shared" si="1016"/>
        <v>40920</v>
      </c>
      <c r="C6377" s="11" t="s">
        <v>1349</v>
      </c>
      <c r="D6377" s="11" t="s">
        <v>28</v>
      </c>
    </row>
    <row r="6378">
      <c r="A6378" s="11">
        <v>6377.0</v>
      </c>
      <c r="B6378" s="12">
        <f t="shared" si="1016"/>
        <v>40920</v>
      </c>
      <c r="C6378" s="11" t="s">
        <v>1349</v>
      </c>
      <c r="D6378" s="11" t="s">
        <v>49</v>
      </c>
    </row>
    <row r="6379">
      <c r="A6379" s="11">
        <v>6378.0</v>
      </c>
      <c r="B6379" s="12">
        <f t="shared" ref="B6379:B6385" si="1017">DATE(2012,12,31)-353</f>
        <v>40921</v>
      </c>
      <c r="C6379" s="11" t="s">
        <v>1753</v>
      </c>
      <c r="D6379" s="11" t="s">
        <v>28</v>
      </c>
    </row>
    <row r="6380">
      <c r="A6380" s="11">
        <v>6379.0</v>
      </c>
      <c r="B6380" s="12">
        <f t="shared" si="1017"/>
        <v>40921</v>
      </c>
      <c r="C6380" s="11" t="s">
        <v>1753</v>
      </c>
      <c r="D6380" s="11" t="s">
        <v>66</v>
      </c>
    </row>
    <row r="6381">
      <c r="A6381" s="11">
        <v>6380.0</v>
      </c>
      <c r="B6381" s="12">
        <f t="shared" si="1017"/>
        <v>40921</v>
      </c>
      <c r="C6381" s="11" t="s">
        <v>491</v>
      </c>
      <c r="D6381" s="11" t="s">
        <v>28</v>
      </c>
    </row>
    <row r="6382">
      <c r="A6382" s="11">
        <v>6381.0</v>
      </c>
      <c r="B6382" s="12">
        <f t="shared" si="1017"/>
        <v>40921</v>
      </c>
      <c r="C6382" s="11" t="s">
        <v>1152</v>
      </c>
      <c r="D6382" s="11" t="s">
        <v>28</v>
      </c>
    </row>
    <row r="6383">
      <c r="A6383" s="11">
        <v>6382.0</v>
      </c>
      <c r="B6383" s="12">
        <f t="shared" si="1017"/>
        <v>40921</v>
      </c>
      <c r="C6383" s="11" t="s">
        <v>1152</v>
      </c>
      <c r="D6383" s="11" t="s">
        <v>66</v>
      </c>
    </row>
    <row r="6384">
      <c r="A6384" s="11">
        <v>6383.0</v>
      </c>
      <c r="B6384" s="12">
        <f t="shared" si="1017"/>
        <v>40921</v>
      </c>
      <c r="C6384" s="11" t="s">
        <v>1152</v>
      </c>
      <c r="D6384" s="11" t="s">
        <v>49</v>
      </c>
    </row>
    <row r="6385">
      <c r="A6385" s="11">
        <v>6384.0</v>
      </c>
      <c r="B6385" s="12">
        <f t="shared" si="1017"/>
        <v>40921</v>
      </c>
      <c r="C6385" s="11" t="s">
        <v>1152</v>
      </c>
      <c r="D6385" s="11" t="s">
        <v>49</v>
      </c>
    </row>
    <row r="6386">
      <c r="A6386" s="11">
        <v>6385.0</v>
      </c>
      <c r="B6386" s="12">
        <f>DATE(2012,12,31)-352</f>
        <v>40922</v>
      </c>
      <c r="C6386" s="11" t="s">
        <v>1951</v>
      </c>
      <c r="D6386" s="11" t="s">
        <v>66</v>
      </c>
    </row>
    <row r="6387">
      <c r="A6387" s="11">
        <v>6386.0</v>
      </c>
      <c r="B6387" s="12">
        <f t="shared" ref="B6387:B6389" si="1018">DATE(2012,12,31)-351</f>
        <v>40923</v>
      </c>
      <c r="C6387" s="11" t="s">
        <v>2315</v>
      </c>
      <c r="D6387" s="11" t="s">
        <v>28</v>
      </c>
    </row>
    <row r="6388">
      <c r="A6388" s="11">
        <v>6387.0</v>
      </c>
      <c r="B6388" s="12">
        <f t="shared" si="1018"/>
        <v>40923</v>
      </c>
      <c r="C6388" s="11" t="s">
        <v>803</v>
      </c>
      <c r="D6388" s="11" t="s">
        <v>28</v>
      </c>
    </row>
    <row r="6389">
      <c r="A6389" s="11">
        <v>6388.0</v>
      </c>
      <c r="B6389" s="12">
        <f t="shared" si="1018"/>
        <v>40923</v>
      </c>
      <c r="C6389" s="11" t="s">
        <v>803</v>
      </c>
      <c r="D6389" s="11" t="s">
        <v>28</v>
      </c>
    </row>
    <row r="6390">
      <c r="A6390" s="11">
        <v>6389.0</v>
      </c>
      <c r="B6390" s="12">
        <f t="shared" ref="B6390:B6396" si="1019">DATE(2012,12,31)-350</f>
        <v>40924</v>
      </c>
      <c r="C6390" s="11" t="s">
        <v>1205</v>
      </c>
      <c r="D6390" s="11" t="s">
        <v>28</v>
      </c>
    </row>
    <row r="6391">
      <c r="A6391" s="11">
        <v>6390.0</v>
      </c>
      <c r="B6391" s="12">
        <f t="shared" si="1019"/>
        <v>40924</v>
      </c>
      <c r="C6391" s="11" t="s">
        <v>1550</v>
      </c>
      <c r="D6391" s="11" t="s">
        <v>28</v>
      </c>
    </row>
    <row r="6392">
      <c r="A6392" s="11">
        <v>6391.0</v>
      </c>
      <c r="B6392" s="12">
        <f t="shared" si="1019"/>
        <v>40924</v>
      </c>
      <c r="C6392" s="11" t="s">
        <v>1975</v>
      </c>
      <c r="D6392" s="11" t="s">
        <v>28</v>
      </c>
    </row>
    <row r="6393">
      <c r="A6393" s="11">
        <v>6392.0</v>
      </c>
      <c r="B6393" s="12">
        <f t="shared" si="1019"/>
        <v>40924</v>
      </c>
      <c r="C6393" s="11" t="s">
        <v>1975</v>
      </c>
      <c r="D6393" s="11" t="s">
        <v>28</v>
      </c>
    </row>
    <row r="6394">
      <c r="A6394" s="11">
        <v>6393.0</v>
      </c>
      <c r="B6394" s="12">
        <f t="shared" si="1019"/>
        <v>40924</v>
      </c>
      <c r="C6394" s="11" t="s">
        <v>2495</v>
      </c>
      <c r="D6394" s="11" t="s">
        <v>28</v>
      </c>
    </row>
    <row r="6395">
      <c r="A6395" s="11">
        <v>6394.0</v>
      </c>
      <c r="B6395" s="12">
        <f t="shared" si="1019"/>
        <v>40924</v>
      </c>
      <c r="C6395" s="11" t="s">
        <v>2495</v>
      </c>
      <c r="D6395" s="11" t="s">
        <v>28</v>
      </c>
    </row>
    <row r="6396">
      <c r="A6396" s="11">
        <v>6395.0</v>
      </c>
      <c r="B6396" s="12">
        <f t="shared" si="1019"/>
        <v>40924</v>
      </c>
      <c r="C6396" s="11" t="s">
        <v>456</v>
      </c>
      <c r="D6396" s="11" t="s">
        <v>28</v>
      </c>
    </row>
    <row r="6397">
      <c r="A6397" s="11">
        <v>6396.0</v>
      </c>
      <c r="B6397" s="12">
        <f t="shared" ref="B6397:B6402" si="1020">DATE(2012,12,31)-348</f>
        <v>40926</v>
      </c>
      <c r="C6397" s="11" t="s">
        <v>960</v>
      </c>
      <c r="D6397" s="11" t="s">
        <v>66</v>
      </c>
    </row>
    <row r="6398">
      <c r="A6398" s="11">
        <v>6397.0</v>
      </c>
      <c r="B6398" s="12">
        <f t="shared" si="1020"/>
        <v>40926</v>
      </c>
      <c r="C6398" s="11" t="s">
        <v>1168</v>
      </c>
      <c r="D6398" s="11" t="s">
        <v>66</v>
      </c>
    </row>
    <row r="6399">
      <c r="A6399" s="11">
        <v>6398.0</v>
      </c>
      <c r="B6399" s="12">
        <f t="shared" si="1020"/>
        <v>40926</v>
      </c>
      <c r="C6399" s="11" t="s">
        <v>2009</v>
      </c>
      <c r="D6399" s="11" t="s">
        <v>28</v>
      </c>
    </row>
    <row r="6400">
      <c r="A6400" s="11">
        <v>6399.0</v>
      </c>
      <c r="B6400" s="12">
        <f t="shared" si="1020"/>
        <v>40926</v>
      </c>
      <c r="C6400" s="11" t="s">
        <v>2009</v>
      </c>
      <c r="D6400" s="11" t="s">
        <v>49</v>
      </c>
    </row>
    <row r="6401">
      <c r="A6401" s="11">
        <v>6400.0</v>
      </c>
      <c r="B6401" s="12">
        <f t="shared" si="1020"/>
        <v>40926</v>
      </c>
      <c r="C6401" s="11" t="s">
        <v>2009</v>
      </c>
      <c r="D6401" s="11" t="s">
        <v>28</v>
      </c>
    </row>
    <row r="6402">
      <c r="A6402" s="11">
        <v>6401.0</v>
      </c>
      <c r="B6402" s="12">
        <f t="shared" si="1020"/>
        <v>40926</v>
      </c>
      <c r="C6402" s="11" t="s">
        <v>181</v>
      </c>
      <c r="D6402" s="11" t="s">
        <v>28</v>
      </c>
    </row>
    <row r="6403">
      <c r="A6403" s="11">
        <v>6402.0</v>
      </c>
      <c r="B6403" s="12">
        <f t="shared" ref="B6403:B6412" si="1021">DATE(2012,12,31)-347</f>
        <v>40927</v>
      </c>
      <c r="C6403" s="11" t="s">
        <v>2194</v>
      </c>
      <c r="D6403" s="11" t="s">
        <v>28</v>
      </c>
    </row>
    <row r="6404">
      <c r="A6404" s="11">
        <v>6403.0</v>
      </c>
      <c r="B6404" s="12">
        <f t="shared" si="1021"/>
        <v>40927</v>
      </c>
      <c r="C6404" s="11" t="s">
        <v>2116</v>
      </c>
      <c r="D6404" s="11" t="s">
        <v>28</v>
      </c>
    </row>
    <row r="6405">
      <c r="A6405" s="11">
        <v>6404.0</v>
      </c>
      <c r="B6405" s="12">
        <f t="shared" si="1021"/>
        <v>40927</v>
      </c>
      <c r="C6405" s="11" t="s">
        <v>2116</v>
      </c>
      <c r="D6405" s="11" t="s">
        <v>28</v>
      </c>
    </row>
    <row r="6406">
      <c r="A6406" s="11">
        <v>6405.0</v>
      </c>
      <c r="B6406" s="12">
        <f t="shared" si="1021"/>
        <v>40927</v>
      </c>
      <c r="C6406" s="11" t="s">
        <v>2116</v>
      </c>
      <c r="D6406" s="11" t="s">
        <v>49</v>
      </c>
    </row>
    <row r="6407">
      <c r="A6407" s="11">
        <v>6406.0</v>
      </c>
      <c r="B6407" s="12">
        <f t="shared" si="1021"/>
        <v>40927</v>
      </c>
      <c r="C6407" s="11" t="s">
        <v>2475</v>
      </c>
      <c r="D6407" s="11" t="s">
        <v>28</v>
      </c>
    </row>
    <row r="6408">
      <c r="A6408" s="11">
        <v>6407.0</v>
      </c>
      <c r="B6408" s="12">
        <f t="shared" si="1021"/>
        <v>40927</v>
      </c>
      <c r="C6408" s="11" t="s">
        <v>2475</v>
      </c>
      <c r="D6408" s="11" t="s">
        <v>49</v>
      </c>
    </row>
    <row r="6409">
      <c r="A6409" s="11">
        <v>6408.0</v>
      </c>
      <c r="B6409" s="12">
        <f t="shared" si="1021"/>
        <v>40927</v>
      </c>
      <c r="C6409" s="11" t="s">
        <v>2475</v>
      </c>
      <c r="D6409" s="11" t="s">
        <v>49</v>
      </c>
    </row>
    <row r="6410">
      <c r="A6410" s="11">
        <v>6409.0</v>
      </c>
      <c r="B6410" s="12">
        <f t="shared" si="1021"/>
        <v>40927</v>
      </c>
      <c r="C6410" s="11" t="s">
        <v>960</v>
      </c>
      <c r="D6410" s="11" t="s">
        <v>28</v>
      </c>
    </row>
    <row r="6411">
      <c r="A6411" s="11">
        <v>6410.0</v>
      </c>
      <c r="B6411" s="12">
        <f t="shared" si="1021"/>
        <v>40927</v>
      </c>
      <c r="C6411" s="11" t="s">
        <v>407</v>
      </c>
      <c r="D6411" s="11" t="s">
        <v>49</v>
      </c>
    </row>
    <row r="6412">
      <c r="A6412" s="11">
        <v>6411.0</v>
      </c>
      <c r="B6412" s="12">
        <f t="shared" si="1021"/>
        <v>40927</v>
      </c>
      <c r="C6412" s="11" t="s">
        <v>2236</v>
      </c>
      <c r="D6412" s="11" t="s">
        <v>66</v>
      </c>
    </row>
    <row r="6413">
      <c r="A6413" s="11">
        <v>6412.0</v>
      </c>
      <c r="B6413" s="12">
        <f t="shared" ref="B6413:B6417" si="1022">DATE(2012,12,31)-346</f>
        <v>40928</v>
      </c>
      <c r="C6413" s="11" t="s">
        <v>312</v>
      </c>
      <c r="D6413" s="11" t="s">
        <v>28</v>
      </c>
    </row>
    <row r="6414">
      <c r="A6414" s="11">
        <v>6413.0</v>
      </c>
      <c r="B6414" s="12">
        <f t="shared" si="1022"/>
        <v>40928</v>
      </c>
      <c r="C6414" s="11" t="s">
        <v>2099</v>
      </c>
      <c r="D6414" s="11" t="s">
        <v>66</v>
      </c>
    </row>
    <row r="6415">
      <c r="A6415" s="11">
        <v>6414.0</v>
      </c>
      <c r="B6415" s="12">
        <f t="shared" si="1022"/>
        <v>40928</v>
      </c>
      <c r="C6415" s="11" t="s">
        <v>2099</v>
      </c>
      <c r="D6415" s="11" t="s">
        <v>66</v>
      </c>
    </row>
    <row r="6416">
      <c r="A6416" s="11">
        <v>6415.0</v>
      </c>
      <c r="B6416" s="12">
        <f t="shared" si="1022"/>
        <v>40928</v>
      </c>
      <c r="C6416" s="11" t="s">
        <v>2493</v>
      </c>
      <c r="D6416" s="11" t="s">
        <v>49</v>
      </c>
    </row>
    <row r="6417">
      <c r="A6417" s="11">
        <v>6416.0</v>
      </c>
      <c r="B6417" s="12">
        <f t="shared" si="1022"/>
        <v>40928</v>
      </c>
      <c r="C6417" s="11" t="s">
        <v>1110</v>
      </c>
      <c r="D6417" s="11" t="s">
        <v>66</v>
      </c>
    </row>
    <row r="6418">
      <c r="A6418" s="11">
        <v>6417.0</v>
      </c>
      <c r="B6418" s="12">
        <f t="shared" ref="B6418:B6420" si="1023">DATE(2012,12,31)-345</f>
        <v>40929</v>
      </c>
      <c r="C6418" s="11" t="s">
        <v>78</v>
      </c>
      <c r="D6418" s="11" t="s">
        <v>28</v>
      </c>
    </row>
    <row r="6419">
      <c r="A6419" s="11">
        <v>6418.0</v>
      </c>
      <c r="B6419" s="12">
        <f t="shared" si="1023"/>
        <v>40929</v>
      </c>
      <c r="C6419" s="11" t="s">
        <v>1082</v>
      </c>
      <c r="D6419" s="11" t="s">
        <v>28</v>
      </c>
    </row>
    <row r="6420">
      <c r="A6420" s="11">
        <v>6419.0</v>
      </c>
      <c r="B6420" s="12">
        <f t="shared" si="1023"/>
        <v>40929</v>
      </c>
      <c r="C6420" s="11" t="s">
        <v>724</v>
      </c>
      <c r="D6420" s="11" t="s">
        <v>66</v>
      </c>
    </row>
    <row r="6421">
      <c r="A6421" s="11">
        <v>6420.0</v>
      </c>
      <c r="B6421" s="12">
        <f t="shared" ref="B6421:B6425" si="1024">DATE(2012,12,31)-344</f>
        <v>40930</v>
      </c>
      <c r="C6421" s="11" t="s">
        <v>1625</v>
      </c>
      <c r="D6421" s="11" t="s">
        <v>66</v>
      </c>
    </row>
    <row r="6422">
      <c r="A6422" s="11">
        <v>6421.0</v>
      </c>
      <c r="B6422" s="12">
        <f t="shared" si="1024"/>
        <v>40930</v>
      </c>
      <c r="C6422" s="11" t="s">
        <v>1625</v>
      </c>
      <c r="D6422" s="11" t="s">
        <v>28</v>
      </c>
    </row>
    <row r="6423">
      <c r="A6423" s="11">
        <v>6422.0</v>
      </c>
      <c r="B6423" s="12">
        <f t="shared" si="1024"/>
        <v>40930</v>
      </c>
      <c r="C6423" s="11" t="s">
        <v>1972</v>
      </c>
      <c r="D6423" s="11" t="s">
        <v>66</v>
      </c>
    </row>
    <row r="6424">
      <c r="A6424" s="11">
        <v>6423.0</v>
      </c>
      <c r="B6424" s="12">
        <f t="shared" si="1024"/>
        <v>40930</v>
      </c>
      <c r="C6424" s="11" t="s">
        <v>1972</v>
      </c>
      <c r="D6424" s="11" t="s">
        <v>28</v>
      </c>
    </row>
    <row r="6425">
      <c r="A6425" s="11">
        <v>6424.0</v>
      </c>
      <c r="B6425" s="12">
        <f t="shared" si="1024"/>
        <v>40930</v>
      </c>
      <c r="C6425" s="11" t="s">
        <v>1338</v>
      </c>
      <c r="D6425" s="11" t="s">
        <v>28</v>
      </c>
    </row>
    <row r="6426">
      <c r="A6426" s="11">
        <v>6425.0</v>
      </c>
      <c r="B6426" s="12">
        <f t="shared" ref="B6426:B6430" si="1025">DATE(2012,12,31)-343</f>
        <v>40931</v>
      </c>
      <c r="C6426" s="11" t="s">
        <v>611</v>
      </c>
      <c r="D6426" s="11" t="s">
        <v>66</v>
      </c>
    </row>
    <row r="6427">
      <c r="A6427" s="11">
        <v>6426.0</v>
      </c>
      <c r="B6427" s="12">
        <f t="shared" si="1025"/>
        <v>40931</v>
      </c>
      <c r="C6427" s="11" t="s">
        <v>611</v>
      </c>
      <c r="D6427" s="11" t="s">
        <v>66</v>
      </c>
    </row>
    <row r="6428">
      <c r="A6428" s="11">
        <v>6427.0</v>
      </c>
      <c r="B6428" s="12">
        <f t="shared" si="1025"/>
        <v>40931</v>
      </c>
      <c r="C6428" s="11" t="s">
        <v>611</v>
      </c>
      <c r="D6428" s="11" t="s">
        <v>66</v>
      </c>
    </row>
    <row r="6429">
      <c r="A6429" s="11">
        <v>6428.0</v>
      </c>
      <c r="B6429" s="12">
        <f t="shared" si="1025"/>
        <v>40931</v>
      </c>
      <c r="C6429" s="11" t="s">
        <v>1370</v>
      </c>
      <c r="D6429" s="11" t="s">
        <v>28</v>
      </c>
    </row>
    <row r="6430">
      <c r="A6430" s="11">
        <v>6429.0</v>
      </c>
      <c r="B6430" s="12">
        <f t="shared" si="1025"/>
        <v>40931</v>
      </c>
      <c r="C6430" s="11" t="s">
        <v>1024</v>
      </c>
      <c r="D6430" s="11" t="s">
        <v>28</v>
      </c>
    </row>
    <row r="6431">
      <c r="A6431" s="11">
        <v>6430.0</v>
      </c>
      <c r="B6431" s="12">
        <f t="shared" ref="B6431:B6436" si="1026">DATE(2012,12,31)-342</f>
        <v>40932</v>
      </c>
      <c r="C6431" s="11" t="s">
        <v>446</v>
      </c>
      <c r="D6431" s="11" t="s">
        <v>28</v>
      </c>
    </row>
    <row r="6432">
      <c r="A6432" s="11">
        <v>6431.0</v>
      </c>
      <c r="B6432" s="12">
        <f t="shared" si="1026"/>
        <v>40932</v>
      </c>
      <c r="C6432" s="11" t="s">
        <v>2266</v>
      </c>
      <c r="D6432" s="11" t="s">
        <v>49</v>
      </c>
    </row>
    <row r="6433">
      <c r="A6433" s="11">
        <v>6432.0</v>
      </c>
      <c r="B6433" s="12">
        <f t="shared" si="1026"/>
        <v>40932</v>
      </c>
      <c r="C6433" s="11" t="s">
        <v>2266</v>
      </c>
      <c r="D6433" s="11" t="s">
        <v>28</v>
      </c>
    </row>
    <row r="6434">
      <c r="A6434" s="11">
        <v>6433.0</v>
      </c>
      <c r="B6434" s="12">
        <f t="shared" si="1026"/>
        <v>40932</v>
      </c>
      <c r="C6434" s="11" t="s">
        <v>227</v>
      </c>
      <c r="D6434" s="11" t="s">
        <v>28</v>
      </c>
    </row>
    <row r="6435">
      <c r="A6435" s="11">
        <v>6434.0</v>
      </c>
      <c r="B6435" s="12">
        <f t="shared" si="1026"/>
        <v>40932</v>
      </c>
      <c r="C6435" s="11" t="s">
        <v>227</v>
      </c>
      <c r="D6435" s="11" t="s">
        <v>28</v>
      </c>
    </row>
    <row r="6436">
      <c r="A6436" s="11">
        <v>6435.0</v>
      </c>
      <c r="B6436" s="12">
        <f t="shared" si="1026"/>
        <v>40932</v>
      </c>
      <c r="C6436" s="11" t="s">
        <v>227</v>
      </c>
      <c r="D6436" s="11" t="s">
        <v>28</v>
      </c>
    </row>
    <row r="6437">
      <c r="A6437" s="11">
        <v>6436.0</v>
      </c>
      <c r="B6437" s="12">
        <f t="shared" ref="B6437:B6439" si="1027">DATE(2012,12,31)-341</f>
        <v>40933</v>
      </c>
      <c r="C6437" s="11" t="s">
        <v>1607</v>
      </c>
      <c r="D6437" s="11" t="s">
        <v>28</v>
      </c>
    </row>
    <row r="6438">
      <c r="A6438" s="11">
        <v>6437.0</v>
      </c>
      <c r="B6438" s="12">
        <f t="shared" si="1027"/>
        <v>40933</v>
      </c>
      <c r="C6438" s="11" t="s">
        <v>227</v>
      </c>
      <c r="D6438" s="11" t="s">
        <v>28</v>
      </c>
    </row>
    <row r="6439">
      <c r="A6439" s="11">
        <v>6438.0</v>
      </c>
      <c r="B6439" s="12">
        <f t="shared" si="1027"/>
        <v>40933</v>
      </c>
      <c r="C6439" s="11" t="s">
        <v>227</v>
      </c>
      <c r="D6439" s="11" t="s">
        <v>28</v>
      </c>
    </row>
    <row r="6440">
      <c r="A6440" s="11">
        <v>6439.0</v>
      </c>
      <c r="B6440" s="12">
        <f t="shared" ref="B6440:B6444" si="1028">DATE(2012,12,31)-340</f>
        <v>40934</v>
      </c>
      <c r="C6440" s="11" t="s">
        <v>1014</v>
      </c>
      <c r="D6440" s="11" t="s">
        <v>28</v>
      </c>
    </row>
    <row r="6441">
      <c r="A6441" s="11">
        <v>6440.0</v>
      </c>
      <c r="B6441" s="12">
        <f t="shared" si="1028"/>
        <v>40934</v>
      </c>
      <c r="C6441" s="11" t="s">
        <v>2407</v>
      </c>
      <c r="D6441" s="11" t="s">
        <v>66</v>
      </c>
    </row>
    <row r="6442">
      <c r="A6442" s="11">
        <v>6441.0</v>
      </c>
      <c r="B6442" s="12">
        <f t="shared" si="1028"/>
        <v>40934</v>
      </c>
      <c r="C6442" s="11" t="s">
        <v>2407</v>
      </c>
      <c r="D6442" s="11" t="s">
        <v>28</v>
      </c>
    </row>
    <row r="6443">
      <c r="A6443" s="11">
        <v>6442.0</v>
      </c>
      <c r="B6443" s="12">
        <f t="shared" si="1028"/>
        <v>40934</v>
      </c>
      <c r="C6443" s="11" t="s">
        <v>120</v>
      </c>
      <c r="D6443" s="11" t="s">
        <v>66</v>
      </c>
    </row>
    <row r="6444">
      <c r="A6444" s="11">
        <v>6443.0</v>
      </c>
      <c r="B6444" s="12">
        <f t="shared" si="1028"/>
        <v>40934</v>
      </c>
      <c r="C6444" s="11" t="s">
        <v>120</v>
      </c>
      <c r="D6444" s="11" t="s">
        <v>49</v>
      </c>
    </row>
    <row r="6445">
      <c r="A6445" s="11">
        <v>6444.0</v>
      </c>
      <c r="B6445" s="12">
        <f t="shared" ref="B6445:B6452" si="1029">DATE(2012,12,31)-339</f>
        <v>40935</v>
      </c>
      <c r="C6445" s="11" t="s">
        <v>2391</v>
      </c>
      <c r="D6445" s="11" t="s">
        <v>66</v>
      </c>
    </row>
    <row r="6446">
      <c r="A6446" s="11">
        <v>6445.0</v>
      </c>
      <c r="B6446" s="12">
        <f t="shared" si="1029"/>
        <v>40935</v>
      </c>
      <c r="C6446" s="11" t="s">
        <v>2101</v>
      </c>
      <c r="D6446" s="11" t="s">
        <v>66</v>
      </c>
    </row>
    <row r="6447">
      <c r="A6447" s="11">
        <v>6446.0</v>
      </c>
      <c r="B6447" s="12">
        <f t="shared" si="1029"/>
        <v>40935</v>
      </c>
      <c r="C6447" s="11" t="s">
        <v>1405</v>
      </c>
      <c r="D6447" s="11" t="s">
        <v>28</v>
      </c>
    </row>
    <row r="6448">
      <c r="A6448" s="11">
        <v>6447.0</v>
      </c>
      <c r="B6448" s="12">
        <f t="shared" si="1029"/>
        <v>40935</v>
      </c>
      <c r="C6448" s="11" t="s">
        <v>674</v>
      </c>
      <c r="D6448" s="11" t="s">
        <v>28</v>
      </c>
    </row>
    <row r="6449">
      <c r="A6449" s="11">
        <v>6448.0</v>
      </c>
      <c r="B6449" s="12">
        <f t="shared" si="1029"/>
        <v>40935</v>
      </c>
      <c r="C6449" s="11" t="s">
        <v>674</v>
      </c>
      <c r="D6449" s="11" t="s">
        <v>49</v>
      </c>
    </row>
    <row r="6450">
      <c r="A6450" s="11">
        <v>6449.0</v>
      </c>
      <c r="B6450" s="12">
        <f t="shared" si="1029"/>
        <v>40935</v>
      </c>
      <c r="C6450" s="11" t="s">
        <v>674</v>
      </c>
      <c r="D6450" s="11" t="s">
        <v>66</v>
      </c>
    </row>
    <row r="6451">
      <c r="A6451" s="11">
        <v>6450.0</v>
      </c>
      <c r="B6451" s="12">
        <f t="shared" si="1029"/>
        <v>40935</v>
      </c>
      <c r="C6451" s="11" t="s">
        <v>674</v>
      </c>
      <c r="D6451" s="11" t="s">
        <v>66</v>
      </c>
    </row>
    <row r="6452">
      <c r="A6452" s="11">
        <v>6451.0</v>
      </c>
      <c r="B6452" s="12">
        <f t="shared" si="1029"/>
        <v>40935</v>
      </c>
      <c r="C6452" s="11" t="s">
        <v>1222</v>
      </c>
      <c r="D6452" s="11" t="s">
        <v>28</v>
      </c>
    </row>
    <row r="6453">
      <c r="A6453" s="11">
        <v>6452.0</v>
      </c>
      <c r="B6453" s="12">
        <f t="shared" ref="B6453:B6456" si="1030">DATE(2012,12,31)-338</f>
        <v>40936</v>
      </c>
      <c r="C6453" s="11" t="s">
        <v>1466</v>
      </c>
      <c r="D6453" s="11" t="s">
        <v>28</v>
      </c>
    </row>
    <row r="6454">
      <c r="A6454" s="11">
        <v>6453.0</v>
      </c>
      <c r="B6454" s="12">
        <f t="shared" si="1030"/>
        <v>40936</v>
      </c>
      <c r="C6454" s="11" t="s">
        <v>1623</v>
      </c>
      <c r="D6454" s="11" t="s">
        <v>66</v>
      </c>
    </row>
    <row r="6455">
      <c r="A6455" s="11">
        <v>6454.0</v>
      </c>
      <c r="B6455" s="12">
        <f t="shared" si="1030"/>
        <v>40936</v>
      </c>
      <c r="C6455" s="11" t="s">
        <v>1750</v>
      </c>
      <c r="D6455" s="11" t="s">
        <v>66</v>
      </c>
    </row>
    <row r="6456">
      <c r="A6456" s="11">
        <v>6455.0</v>
      </c>
      <c r="B6456" s="12">
        <f t="shared" si="1030"/>
        <v>40936</v>
      </c>
      <c r="C6456" s="11" t="s">
        <v>1750</v>
      </c>
      <c r="D6456" s="11" t="s">
        <v>66</v>
      </c>
    </row>
    <row r="6457">
      <c r="A6457" s="11">
        <v>6456.0</v>
      </c>
      <c r="B6457" s="12">
        <f>DATE(2012,12,31)-337</f>
        <v>40937</v>
      </c>
      <c r="C6457" s="11" t="s">
        <v>167</v>
      </c>
      <c r="D6457" s="11" t="s">
        <v>49</v>
      </c>
    </row>
    <row r="6458">
      <c r="A6458" s="11">
        <v>6457.0</v>
      </c>
      <c r="B6458" s="12">
        <f t="shared" ref="B6458:B6466" si="1031">DATE(2012,12,31)-336</f>
        <v>40938</v>
      </c>
      <c r="C6458" s="11" t="s">
        <v>1744</v>
      </c>
      <c r="D6458" s="11" t="s">
        <v>49</v>
      </c>
    </row>
    <row r="6459">
      <c r="A6459" s="11">
        <v>6458.0</v>
      </c>
      <c r="B6459" s="12">
        <f t="shared" si="1031"/>
        <v>40938</v>
      </c>
      <c r="C6459" s="11" t="s">
        <v>1896</v>
      </c>
      <c r="D6459" s="11" t="s">
        <v>28</v>
      </c>
    </row>
    <row r="6460">
      <c r="A6460" s="11">
        <v>6459.0</v>
      </c>
      <c r="B6460" s="12">
        <f t="shared" si="1031"/>
        <v>40938</v>
      </c>
      <c r="C6460" s="11" t="s">
        <v>1896</v>
      </c>
      <c r="D6460" s="11" t="s">
        <v>28</v>
      </c>
    </row>
    <row r="6461">
      <c r="A6461" s="11">
        <v>6460.0</v>
      </c>
      <c r="B6461" s="12">
        <f t="shared" si="1031"/>
        <v>40938</v>
      </c>
      <c r="C6461" s="11" t="s">
        <v>1896</v>
      </c>
      <c r="D6461" s="11" t="s">
        <v>28</v>
      </c>
    </row>
    <row r="6462">
      <c r="A6462" s="11">
        <v>6461.0</v>
      </c>
      <c r="B6462" s="12">
        <f t="shared" si="1031"/>
        <v>40938</v>
      </c>
      <c r="C6462" s="11" t="s">
        <v>2428</v>
      </c>
      <c r="D6462" s="11" t="s">
        <v>66</v>
      </c>
    </row>
    <row r="6463">
      <c r="A6463" s="11">
        <v>6462.0</v>
      </c>
      <c r="B6463" s="12">
        <f t="shared" si="1031"/>
        <v>40938</v>
      </c>
      <c r="C6463" s="11" t="s">
        <v>2428</v>
      </c>
      <c r="D6463" s="11" t="s">
        <v>66</v>
      </c>
    </row>
    <row r="6464">
      <c r="A6464" s="11">
        <v>6463.0</v>
      </c>
      <c r="B6464" s="12">
        <f t="shared" si="1031"/>
        <v>40938</v>
      </c>
      <c r="C6464" s="11" t="s">
        <v>1199</v>
      </c>
      <c r="D6464" s="11" t="s">
        <v>28</v>
      </c>
    </row>
    <row r="6465">
      <c r="A6465" s="11">
        <v>6464.0</v>
      </c>
      <c r="B6465" s="12">
        <f t="shared" si="1031"/>
        <v>40938</v>
      </c>
      <c r="C6465" s="11" t="s">
        <v>187</v>
      </c>
      <c r="D6465" s="11" t="s">
        <v>28</v>
      </c>
    </row>
    <row r="6466">
      <c r="A6466" s="11">
        <v>6465.0</v>
      </c>
      <c r="B6466" s="12">
        <f t="shared" si="1031"/>
        <v>40938</v>
      </c>
      <c r="C6466" s="11" t="s">
        <v>187</v>
      </c>
      <c r="D6466" s="11" t="s">
        <v>66</v>
      </c>
    </row>
    <row r="6467">
      <c r="A6467" s="11">
        <v>6466.0</v>
      </c>
      <c r="B6467" s="12">
        <f t="shared" ref="B6467:B6471" si="1032">DATE(2012,12,31)-335</f>
        <v>40939</v>
      </c>
      <c r="C6467" s="11" t="s">
        <v>1861</v>
      </c>
      <c r="D6467" s="11" t="s">
        <v>28</v>
      </c>
    </row>
    <row r="6468">
      <c r="A6468" s="11">
        <v>6467.0</v>
      </c>
      <c r="B6468" s="12">
        <f t="shared" si="1032"/>
        <v>40939</v>
      </c>
      <c r="C6468" s="11" t="s">
        <v>1707</v>
      </c>
      <c r="D6468" s="11" t="s">
        <v>66</v>
      </c>
    </row>
    <row r="6469">
      <c r="A6469" s="11">
        <v>6468.0</v>
      </c>
      <c r="B6469" s="12">
        <f t="shared" si="1032"/>
        <v>40939</v>
      </c>
      <c r="C6469" s="11" t="s">
        <v>988</v>
      </c>
      <c r="D6469" s="11" t="s">
        <v>28</v>
      </c>
    </row>
    <row r="6470">
      <c r="A6470" s="11">
        <v>6469.0</v>
      </c>
      <c r="B6470" s="12">
        <f t="shared" si="1032"/>
        <v>40939</v>
      </c>
      <c r="C6470" s="11" t="s">
        <v>988</v>
      </c>
      <c r="D6470" s="11" t="s">
        <v>28</v>
      </c>
    </row>
    <row r="6471">
      <c r="A6471" s="11">
        <v>6470.0</v>
      </c>
      <c r="B6471" s="12">
        <f t="shared" si="1032"/>
        <v>40939</v>
      </c>
      <c r="C6471" s="11" t="s">
        <v>2116</v>
      </c>
      <c r="D6471" s="11" t="s">
        <v>28</v>
      </c>
    </row>
    <row r="6472">
      <c r="A6472" s="11">
        <v>6471.0</v>
      </c>
      <c r="B6472" s="12">
        <f t="shared" ref="B6472:B6477" si="1033">DATE(2012,12,31)-334</f>
        <v>40940</v>
      </c>
      <c r="C6472" s="11" t="s">
        <v>2097</v>
      </c>
      <c r="D6472" s="11" t="s">
        <v>28</v>
      </c>
    </row>
    <row r="6473">
      <c r="A6473" s="11">
        <v>6472.0</v>
      </c>
      <c r="B6473" s="12">
        <f t="shared" si="1033"/>
        <v>40940</v>
      </c>
      <c r="C6473" s="11" t="s">
        <v>2097</v>
      </c>
      <c r="D6473" s="11" t="s">
        <v>49</v>
      </c>
    </row>
    <row r="6474">
      <c r="A6474" s="11">
        <v>6473.0</v>
      </c>
      <c r="B6474" s="12">
        <f t="shared" si="1033"/>
        <v>40940</v>
      </c>
      <c r="C6474" s="11" t="s">
        <v>2262</v>
      </c>
      <c r="D6474" s="11" t="s">
        <v>49</v>
      </c>
    </row>
    <row r="6475">
      <c r="A6475" s="11">
        <v>6474.0</v>
      </c>
      <c r="B6475" s="12">
        <f t="shared" si="1033"/>
        <v>40940</v>
      </c>
      <c r="C6475" s="11" t="s">
        <v>403</v>
      </c>
      <c r="D6475" s="11" t="s">
        <v>66</v>
      </c>
    </row>
    <row r="6476">
      <c r="A6476" s="11">
        <v>6475.0</v>
      </c>
      <c r="B6476" s="12">
        <f t="shared" si="1033"/>
        <v>40940</v>
      </c>
      <c r="C6476" s="11" t="s">
        <v>2217</v>
      </c>
      <c r="D6476" s="11" t="s">
        <v>28</v>
      </c>
    </row>
    <row r="6477">
      <c r="A6477" s="11">
        <v>6476.0</v>
      </c>
      <c r="B6477" s="12">
        <f t="shared" si="1033"/>
        <v>40940</v>
      </c>
      <c r="C6477" s="11" t="s">
        <v>2217</v>
      </c>
      <c r="D6477" s="11" t="s">
        <v>66</v>
      </c>
    </row>
    <row r="6478">
      <c r="A6478" s="11">
        <v>6477.0</v>
      </c>
      <c r="B6478" s="12">
        <f t="shared" ref="B6478:B6483" si="1034">DATE(2012,12,31)-333</f>
        <v>40941</v>
      </c>
      <c r="C6478" s="11" t="s">
        <v>232</v>
      </c>
      <c r="D6478" s="11" t="s">
        <v>49</v>
      </c>
    </row>
    <row r="6479">
      <c r="A6479" s="11">
        <v>6478.0</v>
      </c>
      <c r="B6479" s="12">
        <f t="shared" si="1034"/>
        <v>40941</v>
      </c>
      <c r="C6479" s="11" t="s">
        <v>1446</v>
      </c>
      <c r="D6479" s="11" t="s">
        <v>28</v>
      </c>
    </row>
    <row r="6480">
      <c r="A6480" s="11">
        <v>6479.0</v>
      </c>
      <c r="B6480" s="12">
        <f t="shared" si="1034"/>
        <v>40941</v>
      </c>
      <c r="C6480" s="11" t="s">
        <v>418</v>
      </c>
      <c r="D6480" s="11" t="s">
        <v>28</v>
      </c>
    </row>
    <row r="6481">
      <c r="A6481" s="11">
        <v>6480.0</v>
      </c>
      <c r="B6481" s="12">
        <f t="shared" si="1034"/>
        <v>40941</v>
      </c>
      <c r="C6481" s="11" t="s">
        <v>418</v>
      </c>
      <c r="D6481" s="11" t="s">
        <v>28</v>
      </c>
    </row>
    <row r="6482">
      <c r="A6482" s="11">
        <v>6481.0</v>
      </c>
      <c r="B6482" s="12">
        <f t="shared" si="1034"/>
        <v>40941</v>
      </c>
      <c r="C6482" s="11" t="s">
        <v>934</v>
      </c>
      <c r="D6482" s="11" t="s">
        <v>28</v>
      </c>
    </row>
    <row r="6483">
      <c r="A6483" s="11">
        <v>6482.0</v>
      </c>
      <c r="B6483" s="12">
        <f t="shared" si="1034"/>
        <v>40941</v>
      </c>
      <c r="C6483" s="11" t="s">
        <v>1936</v>
      </c>
      <c r="D6483" s="11" t="s">
        <v>28</v>
      </c>
    </row>
    <row r="6484">
      <c r="A6484" s="11">
        <v>6483.0</v>
      </c>
      <c r="B6484" s="12">
        <f t="shared" ref="B6484:B6485" si="1035">DATE(2012,12,31)-331</f>
        <v>40943</v>
      </c>
      <c r="C6484" s="11" t="s">
        <v>2358</v>
      </c>
      <c r="D6484" s="11" t="s">
        <v>28</v>
      </c>
    </row>
    <row r="6485">
      <c r="A6485" s="11">
        <v>6484.0</v>
      </c>
      <c r="B6485" s="12">
        <f t="shared" si="1035"/>
        <v>40943</v>
      </c>
      <c r="C6485" s="11" t="s">
        <v>187</v>
      </c>
      <c r="D6485" s="11" t="s">
        <v>28</v>
      </c>
    </row>
    <row r="6486">
      <c r="A6486" s="11">
        <v>6485.0</v>
      </c>
      <c r="B6486" s="12">
        <f t="shared" ref="B6486:B6491" si="1036">DATE(2012,12,31)-330</f>
        <v>40944</v>
      </c>
      <c r="C6486" s="11" t="s">
        <v>120</v>
      </c>
      <c r="D6486" s="11" t="s">
        <v>49</v>
      </c>
    </row>
    <row r="6487">
      <c r="A6487" s="11">
        <v>6486.0</v>
      </c>
      <c r="B6487" s="12">
        <f t="shared" si="1036"/>
        <v>40944</v>
      </c>
      <c r="C6487" s="11" t="s">
        <v>1133</v>
      </c>
      <c r="D6487" s="11" t="s">
        <v>49</v>
      </c>
    </row>
    <row r="6488">
      <c r="A6488" s="11">
        <v>6487.0</v>
      </c>
      <c r="B6488" s="12">
        <f t="shared" si="1036"/>
        <v>40944</v>
      </c>
      <c r="C6488" s="11" t="s">
        <v>1862</v>
      </c>
      <c r="D6488" s="11" t="s">
        <v>66</v>
      </c>
    </row>
    <row r="6489">
      <c r="A6489" s="11">
        <v>6488.0</v>
      </c>
      <c r="B6489" s="12">
        <f t="shared" si="1036"/>
        <v>40944</v>
      </c>
      <c r="C6489" s="11" t="s">
        <v>1377</v>
      </c>
      <c r="D6489" s="11" t="s">
        <v>28</v>
      </c>
    </row>
    <row r="6490">
      <c r="A6490" s="11">
        <v>6489.0</v>
      </c>
      <c r="B6490" s="12">
        <f t="shared" si="1036"/>
        <v>40944</v>
      </c>
      <c r="C6490" s="11" t="s">
        <v>1377</v>
      </c>
      <c r="D6490" s="11" t="s">
        <v>28</v>
      </c>
    </row>
    <row r="6491">
      <c r="A6491" s="11">
        <v>6490.0</v>
      </c>
      <c r="B6491" s="12">
        <f t="shared" si="1036"/>
        <v>40944</v>
      </c>
      <c r="C6491" s="11" t="s">
        <v>2262</v>
      </c>
      <c r="D6491" s="11" t="s">
        <v>49</v>
      </c>
    </row>
    <row r="6492">
      <c r="A6492" s="11">
        <v>6491.0</v>
      </c>
      <c r="B6492" s="12">
        <f t="shared" ref="B6492:B6496" si="1037">DATE(2012,12,31)-329</f>
        <v>40945</v>
      </c>
      <c r="C6492" s="11" t="s">
        <v>2449</v>
      </c>
      <c r="D6492" s="11" t="s">
        <v>28</v>
      </c>
    </row>
    <row r="6493">
      <c r="A6493" s="11">
        <v>6492.0</v>
      </c>
      <c r="B6493" s="12">
        <f t="shared" si="1037"/>
        <v>40945</v>
      </c>
      <c r="C6493" s="11" t="s">
        <v>2449</v>
      </c>
      <c r="D6493" s="11" t="s">
        <v>28</v>
      </c>
    </row>
    <row r="6494">
      <c r="A6494" s="11">
        <v>6493.0</v>
      </c>
      <c r="B6494" s="12">
        <f t="shared" si="1037"/>
        <v>40945</v>
      </c>
      <c r="C6494" s="11" t="s">
        <v>2156</v>
      </c>
      <c r="D6494" s="11" t="s">
        <v>66</v>
      </c>
    </row>
    <row r="6495">
      <c r="A6495" s="11">
        <v>6494.0</v>
      </c>
      <c r="B6495" s="12">
        <f t="shared" si="1037"/>
        <v>40945</v>
      </c>
      <c r="C6495" s="11" t="s">
        <v>1123</v>
      </c>
      <c r="D6495" s="11" t="s">
        <v>49</v>
      </c>
    </row>
    <row r="6496">
      <c r="A6496" s="11">
        <v>6495.0</v>
      </c>
      <c r="B6496" s="12">
        <f t="shared" si="1037"/>
        <v>40945</v>
      </c>
      <c r="C6496" s="11" t="s">
        <v>243</v>
      </c>
      <c r="D6496" s="11" t="s">
        <v>28</v>
      </c>
    </row>
    <row r="6497">
      <c r="A6497" s="11">
        <v>6496.0</v>
      </c>
      <c r="B6497" s="12">
        <f t="shared" ref="B6497:B6504" si="1038">DATE(2012,12,31)-328</f>
        <v>40946</v>
      </c>
      <c r="C6497" s="11" t="s">
        <v>2164</v>
      </c>
      <c r="D6497" s="11" t="s">
        <v>28</v>
      </c>
    </row>
    <row r="6498">
      <c r="A6498" s="11">
        <v>6497.0</v>
      </c>
      <c r="B6498" s="12">
        <f t="shared" si="1038"/>
        <v>40946</v>
      </c>
      <c r="C6498" s="11" t="s">
        <v>2304</v>
      </c>
      <c r="D6498" s="11" t="s">
        <v>66</v>
      </c>
    </row>
    <row r="6499">
      <c r="A6499" s="11">
        <v>6498.0</v>
      </c>
      <c r="B6499" s="12">
        <f t="shared" si="1038"/>
        <v>40946</v>
      </c>
      <c r="C6499" s="11" t="s">
        <v>1756</v>
      </c>
      <c r="D6499" s="11" t="s">
        <v>28</v>
      </c>
    </row>
    <row r="6500">
      <c r="A6500" s="11">
        <v>6499.0</v>
      </c>
      <c r="B6500" s="12">
        <f t="shared" si="1038"/>
        <v>40946</v>
      </c>
      <c r="C6500" s="11" t="s">
        <v>1756</v>
      </c>
      <c r="D6500" s="11" t="s">
        <v>28</v>
      </c>
    </row>
    <row r="6501">
      <c r="A6501" s="11">
        <v>6500.0</v>
      </c>
      <c r="B6501" s="12">
        <f t="shared" si="1038"/>
        <v>40946</v>
      </c>
      <c r="C6501" s="11" t="s">
        <v>2145</v>
      </c>
      <c r="D6501" s="11" t="s">
        <v>49</v>
      </c>
    </row>
    <row r="6502">
      <c r="A6502" s="11">
        <v>6501.0</v>
      </c>
      <c r="B6502" s="12">
        <f t="shared" si="1038"/>
        <v>40946</v>
      </c>
      <c r="C6502" s="11" t="s">
        <v>928</v>
      </c>
      <c r="D6502" s="11" t="s">
        <v>28</v>
      </c>
    </row>
    <row r="6503">
      <c r="A6503" s="11">
        <v>6502.0</v>
      </c>
      <c r="B6503" s="12">
        <f t="shared" si="1038"/>
        <v>40946</v>
      </c>
      <c r="C6503" s="11" t="s">
        <v>538</v>
      </c>
      <c r="D6503" s="11" t="s">
        <v>49</v>
      </c>
    </row>
    <row r="6504">
      <c r="A6504" s="11">
        <v>6503.0</v>
      </c>
      <c r="B6504" s="12">
        <f t="shared" si="1038"/>
        <v>40946</v>
      </c>
      <c r="C6504" s="11" t="s">
        <v>538</v>
      </c>
      <c r="D6504" s="11" t="s">
        <v>66</v>
      </c>
    </row>
    <row r="6505">
      <c r="A6505" s="11">
        <v>6504.0</v>
      </c>
      <c r="B6505" s="12">
        <f t="shared" ref="B6505:B6512" si="1039">DATE(2012,12,31)-327</f>
        <v>40947</v>
      </c>
      <c r="C6505" s="11" t="s">
        <v>1716</v>
      </c>
      <c r="D6505" s="11" t="s">
        <v>49</v>
      </c>
    </row>
    <row r="6506">
      <c r="A6506" s="11">
        <v>6505.0</v>
      </c>
      <c r="B6506" s="12">
        <f t="shared" si="1039"/>
        <v>40947</v>
      </c>
      <c r="C6506" s="11" t="s">
        <v>1716</v>
      </c>
      <c r="D6506" s="11" t="s">
        <v>28</v>
      </c>
    </row>
    <row r="6507">
      <c r="A6507" s="11">
        <v>6506.0</v>
      </c>
      <c r="B6507" s="12">
        <f t="shared" si="1039"/>
        <v>40947</v>
      </c>
      <c r="C6507" s="11" t="s">
        <v>2244</v>
      </c>
      <c r="D6507" s="11" t="s">
        <v>66</v>
      </c>
    </row>
    <row r="6508">
      <c r="A6508" s="11">
        <v>6507.0</v>
      </c>
      <c r="B6508" s="12">
        <f t="shared" si="1039"/>
        <v>40947</v>
      </c>
      <c r="C6508" s="11" t="s">
        <v>1405</v>
      </c>
      <c r="D6508" s="11" t="s">
        <v>28</v>
      </c>
    </row>
    <row r="6509">
      <c r="A6509" s="11">
        <v>6508.0</v>
      </c>
      <c r="B6509" s="12">
        <f t="shared" si="1039"/>
        <v>40947</v>
      </c>
      <c r="C6509" s="11" t="s">
        <v>1228</v>
      </c>
      <c r="D6509" s="11" t="s">
        <v>66</v>
      </c>
    </row>
    <row r="6510">
      <c r="A6510" s="11">
        <v>6509.0</v>
      </c>
      <c r="B6510" s="12">
        <f t="shared" si="1039"/>
        <v>40947</v>
      </c>
      <c r="C6510" s="11" t="s">
        <v>1938</v>
      </c>
      <c r="D6510" s="11" t="s">
        <v>28</v>
      </c>
    </row>
    <row r="6511">
      <c r="A6511" s="11">
        <v>6510.0</v>
      </c>
      <c r="B6511" s="12">
        <f t="shared" si="1039"/>
        <v>40947</v>
      </c>
      <c r="C6511" s="11" t="s">
        <v>1938</v>
      </c>
      <c r="D6511" s="11" t="s">
        <v>66</v>
      </c>
    </row>
    <row r="6512">
      <c r="A6512" s="11">
        <v>6511.0</v>
      </c>
      <c r="B6512" s="12">
        <f t="shared" si="1039"/>
        <v>40947</v>
      </c>
      <c r="C6512" s="11" t="s">
        <v>104</v>
      </c>
      <c r="D6512" s="11" t="s">
        <v>66</v>
      </c>
    </row>
    <row r="6513">
      <c r="A6513" s="11">
        <v>6512.0</v>
      </c>
      <c r="B6513" s="12">
        <f t="shared" ref="B6513:B6517" si="1040">DATE(2012,12,31)-326</f>
        <v>40948</v>
      </c>
      <c r="C6513" s="11" t="s">
        <v>1236</v>
      </c>
      <c r="D6513" s="11" t="s">
        <v>28</v>
      </c>
    </row>
    <row r="6514">
      <c r="A6514" s="11">
        <v>6513.0</v>
      </c>
      <c r="B6514" s="12">
        <f t="shared" si="1040"/>
        <v>40948</v>
      </c>
      <c r="C6514" s="11" t="s">
        <v>2539</v>
      </c>
      <c r="D6514" s="11" t="s">
        <v>49</v>
      </c>
    </row>
    <row r="6515">
      <c r="A6515" s="11">
        <v>6514.0</v>
      </c>
      <c r="B6515" s="12">
        <f t="shared" si="1040"/>
        <v>40948</v>
      </c>
      <c r="C6515" s="11" t="s">
        <v>703</v>
      </c>
      <c r="D6515" s="11" t="s">
        <v>49</v>
      </c>
    </row>
    <row r="6516">
      <c r="A6516" s="11">
        <v>6515.0</v>
      </c>
      <c r="B6516" s="12">
        <f t="shared" si="1040"/>
        <v>40948</v>
      </c>
      <c r="C6516" s="11" t="s">
        <v>703</v>
      </c>
      <c r="D6516" s="11" t="s">
        <v>66</v>
      </c>
    </row>
    <row r="6517">
      <c r="A6517" s="11">
        <v>6516.0</v>
      </c>
      <c r="B6517" s="12">
        <f t="shared" si="1040"/>
        <v>40948</v>
      </c>
      <c r="C6517" s="11" t="s">
        <v>2280</v>
      </c>
      <c r="D6517" s="11" t="s">
        <v>66</v>
      </c>
    </row>
    <row r="6518">
      <c r="A6518" s="11">
        <v>6517.0</v>
      </c>
      <c r="B6518" s="12">
        <f t="shared" ref="B6518:B6522" si="1041">DATE(2012,12,31)-325</f>
        <v>40949</v>
      </c>
      <c r="C6518" s="11" t="s">
        <v>1594</v>
      </c>
      <c r="D6518" s="11" t="s">
        <v>66</v>
      </c>
    </row>
    <row r="6519">
      <c r="A6519" s="11">
        <v>6518.0</v>
      </c>
      <c r="B6519" s="12">
        <f t="shared" si="1041"/>
        <v>40949</v>
      </c>
      <c r="C6519" s="11" t="s">
        <v>1777</v>
      </c>
      <c r="D6519" s="11" t="s">
        <v>28</v>
      </c>
    </row>
    <row r="6520">
      <c r="A6520" s="11">
        <v>6519.0</v>
      </c>
      <c r="B6520" s="12">
        <f t="shared" si="1041"/>
        <v>40949</v>
      </c>
      <c r="C6520" s="11" t="s">
        <v>1841</v>
      </c>
      <c r="D6520" s="11" t="s">
        <v>28</v>
      </c>
    </row>
    <row r="6521">
      <c r="A6521" s="11">
        <v>6520.0</v>
      </c>
      <c r="B6521" s="12">
        <f t="shared" si="1041"/>
        <v>40949</v>
      </c>
      <c r="C6521" s="11" t="s">
        <v>1222</v>
      </c>
      <c r="D6521" s="11" t="s">
        <v>49</v>
      </c>
    </row>
    <row r="6522">
      <c r="A6522" s="11">
        <v>6521.0</v>
      </c>
      <c r="B6522" s="12">
        <f t="shared" si="1041"/>
        <v>40949</v>
      </c>
      <c r="C6522" s="11" t="s">
        <v>1513</v>
      </c>
      <c r="D6522" s="11" t="s">
        <v>66</v>
      </c>
    </row>
    <row r="6523">
      <c r="A6523" s="11">
        <v>6522.0</v>
      </c>
      <c r="B6523" s="12">
        <f t="shared" ref="B6523:B6532" si="1042">DATE(2012,12,31)-324</f>
        <v>40950</v>
      </c>
      <c r="C6523" s="11" t="s">
        <v>1720</v>
      </c>
      <c r="D6523" s="11" t="s">
        <v>66</v>
      </c>
    </row>
    <row r="6524">
      <c r="A6524" s="11">
        <v>6523.0</v>
      </c>
      <c r="B6524" s="12">
        <f t="shared" si="1042"/>
        <v>40950</v>
      </c>
      <c r="C6524" s="11" t="s">
        <v>1720</v>
      </c>
      <c r="D6524" s="11" t="s">
        <v>66</v>
      </c>
    </row>
    <row r="6525">
      <c r="A6525" s="11">
        <v>6524.0</v>
      </c>
      <c r="B6525" s="12">
        <f t="shared" si="1042"/>
        <v>40950</v>
      </c>
      <c r="C6525" s="11" t="s">
        <v>1684</v>
      </c>
      <c r="D6525" s="11" t="s">
        <v>66</v>
      </c>
    </row>
    <row r="6526">
      <c r="A6526" s="11">
        <v>6525.0</v>
      </c>
      <c r="B6526" s="12">
        <f t="shared" si="1042"/>
        <v>40950</v>
      </c>
      <c r="C6526" s="11" t="s">
        <v>1222</v>
      </c>
      <c r="D6526" s="11" t="s">
        <v>49</v>
      </c>
    </row>
    <row r="6527">
      <c r="A6527" s="11">
        <v>6526.0</v>
      </c>
      <c r="B6527" s="12">
        <f t="shared" si="1042"/>
        <v>40950</v>
      </c>
      <c r="C6527" s="11" t="s">
        <v>293</v>
      </c>
      <c r="D6527" s="11" t="s">
        <v>49</v>
      </c>
    </row>
    <row r="6528">
      <c r="A6528" s="11">
        <v>6527.0</v>
      </c>
      <c r="B6528" s="12">
        <f t="shared" si="1042"/>
        <v>40950</v>
      </c>
      <c r="C6528" s="11" t="s">
        <v>293</v>
      </c>
      <c r="D6528" s="11" t="s">
        <v>66</v>
      </c>
    </row>
    <row r="6529">
      <c r="A6529" s="11">
        <v>6528.0</v>
      </c>
      <c r="B6529" s="12">
        <f t="shared" si="1042"/>
        <v>40950</v>
      </c>
      <c r="C6529" s="11" t="s">
        <v>293</v>
      </c>
      <c r="D6529" s="11" t="s">
        <v>28</v>
      </c>
    </row>
    <row r="6530">
      <c r="A6530" s="11">
        <v>6529.0</v>
      </c>
      <c r="B6530" s="12">
        <f t="shared" si="1042"/>
        <v>40950</v>
      </c>
      <c r="C6530" s="11" t="s">
        <v>1889</v>
      </c>
      <c r="D6530" s="11" t="s">
        <v>28</v>
      </c>
    </row>
    <row r="6531">
      <c r="A6531" s="11">
        <v>6530.0</v>
      </c>
      <c r="B6531" s="12">
        <f t="shared" si="1042"/>
        <v>40950</v>
      </c>
      <c r="C6531" s="11" t="s">
        <v>2594</v>
      </c>
      <c r="D6531" s="11" t="s">
        <v>28</v>
      </c>
    </row>
    <row r="6532">
      <c r="A6532" s="11">
        <v>6531.0</v>
      </c>
      <c r="B6532" s="12">
        <f t="shared" si="1042"/>
        <v>40950</v>
      </c>
      <c r="C6532" s="11" t="s">
        <v>2594</v>
      </c>
      <c r="D6532" s="11" t="s">
        <v>28</v>
      </c>
    </row>
    <row r="6533">
      <c r="A6533" s="11">
        <v>6532.0</v>
      </c>
      <c r="B6533" s="12">
        <f t="shared" ref="B6533:B6538" si="1043">DATE(2012,12,31)-323</f>
        <v>40951</v>
      </c>
      <c r="C6533" s="11" t="s">
        <v>2347</v>
      </c>
      <c r="D6533" s="11" t="s">
        <v>49</v>
      </c>
    </row>
    <row r="6534">
      <c r="A6534" s="11">
        <v>6533.0</v>
      </c>
      <c r="B6534" s="12">
        <f t="shared" si="1043"/>
        <v>40951</v>
      </c>
      <c r="C6534" s="11" t="s">
        <v>421</v>
      </c>
      <c r="D6534" s="11" t="s">
        <v>66</v>
      </c>
    </row>
    <row r="6535">
      <c r="A6535" s="11">
        <v>6534.0</v>
      </c>
      <c r="B6535" s="12">
        <f t="shared" si="1043"/>
        <v>40951</v>
      </c>
      <c r="C6535" s="11" t="s">
        <v>421</v>
      </c>
      <c r="D6535" s="11" t="s">
        <v>49</v>
      </c>
    </row>
    <row r="6536">
      <c r="A6536" s="11">
        <v>6535.0</v>
      </c>
      <c r="B6536" s="12">
        <f t="shared" si="1043"/>
        <v>40951</v>
      </c>
      <c r="C6536" s="11" t="s">
        <v>1409</v>
      </c>
      <c r="D6536" s="11" t="s">
        <v>28</v>
      </c>
    </row>
    <row r="6537">
      <c r="A6537" s="11">
        <v>6536.0</v>
      </c>
      <c r="B6537" s="12">
        <f t="shared" si="1043"/>
        <v>40951</v>
      </c>
      <c r="C6537" s="11" t="s">
        <v>1886</v>
      </c>
      <c r="D6537" s="11" t="s">
        <v>28</v>
      </c>
    </row>
    <row r="6538">
      <c r="A6538" s="11">
        <v>6537.0</v>
      </c>
      <c r="B6538" s="12">
        <f t="shared" si="1043"/>
        <v>40951</v>
      </c>
      <c r="C6538" s="11" t="s">
        <v>1886</v>
      </c>
      <c r="D6538" s="11" t="s">
        <v>66</v>
      </c>
    </row>
    <row r="6539">
      <c r="A6539" s="11">
        <v>6538.0</v>
      </c>
      <c r="B6539" s="12">
        <f t="shared" ref="B6539:B6542" si="1044">DATE(2012,12,31)-322</f>
        <v>40952</v>
      </c>
      <c r="C6539" s="11" t="s">
        <v>2116</v>
      </c>
      <c r="D6539" s="11" t="s">
        <v>28</v>
      </c>
    </row>
    <row r="6540">
      <c r="A6540" s="11">
        <v>6539.0</v>
      </c>
      <c r="B6540" s="12">
        <f t="shared" si="1044"/>
        <v>40952</v>
      </c>
      <c r="C6540" s="11" t="s">
        <v>2116</v>
      </c>
      <c r="D6540" s="11" t="s">
        <v>28</v>
      </c>
    </row>
    <row r="6541">
      <c r="A6541" s="11">
        <v>6540.0</v>
      </c>
      <c r="B6541" s="12">
        <f t="shared" si="1044"/>
        <v>40952</v>
      </c>
      <c r="C6541" s="11" t="s">
        <v>786</v>
      </c>
      <c r="D6541" s="11" t="s">
        <v>28</v>
      </c>
    </row>
    <row r="6542">
      <c r="A6542" s="11">
        <v>6541.0</v>
      </c>
      <c r="B6542" s="12">
        <f t="shared" si="1044"/>
        <v>40952</v>
      </c>
      <c r="C6542" s="11" t="s">
        <v>1439</v>
      </c>
      <c r="D6542" s="11" t="s">
        <v>28</v>
      </c>
    </row>
    <row r="6543">
      <c r="A6543" s="11">
        <v>6542.0</v>
      </c>
      <c r="B6543" s="12">
        <f t="shared" ref="B6543:B6550" si="1045">DATE(2012,12,31)-321</f>
        <v>40953</v>
      </c>
      <c r="C6543" s="11" t="s">
        <v>337</v>
      </c>
      <c r="D6543" s="11" t="s">
        <v>49</v>
      </c>
    </row>
    <row r="6544">
      <c r="A6544" s="11">
        <v>6543.0</v>
      </c>
      <c r="B6544" s="12">
        <f t="shared" si="1045"/>
        <v>40953</v>
      </c>
      <c r="C6544" s="11" t="s">
        <v>337</v>
      </c>
      <c r="D6544" s="11" t="s">
        <v>49</v>
      </c>
    </row>
    <row r="6545">
      <c r="A6545" s="11">
        <v>6544.0</v>
      </c>
      <c r="B6545" s="12">
        <f t="shared" si="1045"/>
        <v>40953</v>
      </c>
      <c r="C6545" s="11" t="s">
        <v>2541</v>
      </c>
      <c r="D6545" s="11" t="s">
        <v>28</v>
      </c>
    </row>
    <row r="6546">
      <c r="A6546" s="11">
        <v>6545.0</v>
      </c>
      <c r="B6546" s="12">
        <f t="shared" si="1045"/>
        <v>40953</v>
      </c>
      <c r="C6546" s="11" t="s">
        <v>2541</v>
      </c>
      <c r="D6546" s="11" t="s">
        <v>28</v>
      </c>
    </row>
    <row r="6547">
      <c r="A6547" s="11">
        <v>6546.0</v>
      </c>
      <c r="B6547" s="12">
        <f t="shared" si="1045"/>
        <v>40953</v>
      </c>
      <c r="C6547" s="11" t="s">
        <v>1080</v>
      </c>
      <c r="D6547" s="11" t="s">
        <v>28</v>
      </c>
    </row>
    <row r="6548">
      <c r="A6548" s="11">
        <v>6547.0</v>
      </c>
      <c r="B6548" s="12">
        <f t="shared" si="1045"/>
        <v>40953</v>
      </c>
      <c r="C6548" s="11" t="s">
        <v>116</v>
      </c>
      <c r="D6548" s="11" t="s">
        <v>28</v>
      </c>
    </row>
    <row r="6549">
      <c r="A6549" s="11">
        <v>6548.0</v>
      </c>
      <c r="B6549" s="12">
        <f t="shared" si="1045"/>
        <v>40953</v>
      </c>
      <c r="C6549" s="11" t="s">
        <v>1069</v>
      </c>
      <c r="D6549" s="11" t="s">
        <v>66</v>
      </c>
    </row>
    <row r="6550">
      <c r="A6550" s="11">
        <v>6549.0</v>
      </c>
      <c r="B6550" s="12">
        <f t="shared" si="1045"/>
        <v>40953</v>
      </c>
      <c r="C6550" s="11" t="s">
        <v>1069</v>
      </c>
      <c r="D6550" s="11" t="s">
        <v>66</v>
      </c>
    </row>
    <row r="6551">
      <c r="A6551" s="11">
        <v>6550.0</v>
      </c>
      <c r="B6551" s="12">
        <f t="shared" ref="B6551:B6557" si="1046">DATE(2012,12,31)-320</f>
        <v>40954</v>
      </c>
      <c r="C6551" s="11" t="s">
        <v>2167</v>
      </c>
      <c r="D6551" s="11" t="s">
        <v>49</v>
      </c>
    </row>
    <row r="6552">
      <c r="A6552" s="11">
        <v>6551.0</v>
      </c>
      <c r="B6552" s="12">
        <f t="shared" si="1046"/>
        <v>40954</v>
      </c>
      <c r="C6552" s="11" t="s">
        <v>2167</v>
      </c>
      <c r="D6552" s="11" t="s">
        <v>66</v>
      </c>
    </row>
    <row r="6553">
      <c r="A6553" s="11">
        <v>6552.0</v>
      </c>
      <c r="B6553" s="12">
        <f t="shared" si="1046"/>
        <v>40954</v>
      </c>
      <c r="C6553" s="11" t="s">
        <v>1667</v>
      </c>
      <c r="D6553" s="11" t="s">
        <v>66</v>
      </c>
    </row>
    <row r="6554">
      <c r="A6554" s="11">
        <v>6553.0</v>
      </c>
      <c r="B6554" s="12">
        <f t="shared" si="1046"/>
        <v>40954</v>
      </c>
      <c r="C6554" s="11" t="s">
        <v>1667</v>
      </c>
      <c r="D6554" s="11" t="s">
        <v>28</v>
      </c>
    </row>
    <row r="6555">
      <c r="A6555" s="11">
        <v>6554.0</v>
      </c>
      <c r="B6555" s="12">
        <f t="shared" si="1046"/>
        <v>40954</v>
      </c>
      <c r="C6555" s="11" t="s">
        <v>1917</v>
      </c>
      <c r="D6555" s="11" t="s">
        <v>66</v>
      </c>
    </row>
    <row r="6556">
      <c r="A6556" s="11">
        <v>6555.0</v>
      </c>
      <c r="B6556" s="12">
        <f t="shared" si="1046"/>
        <v>40954</v>
      </c>
      <c r="C6556" s="11" t="s">
        <v>1845</v>
      </c>
      <c r="D6556" s="11" t="s">
        <v>28</v>
      </c>
    </row>
    <row r="6557">
      <c r="A6557" s="11">
        <v>6556.0</v>
      </c>
      <c r="B6557" s="12">
        <f t="shared" si="1046"/>
        <v>40954</v>
      </c>
      <c r="C6557" s="11" t="s">
        <v>1845</v>
      </c>
      <c r="D6557" s="11" t="s">
        <v>28</v>
      </c>
    </row>
    <row r="6558">
      <c r="A6558" s="11">
        <v>6557.0</v>
      </c>
      <c r="B6558" s="12">
        <f t="shared" ref="B6558:B6563" si="1047">DATE(2012,12,31)-319</f>
        <v>40955</v>
      </c>
      <c r="C6558" s="11" t="s">
        <v>1339</v>
      </c>
      <c r="D6558" s="11" t="s">
        <v>49</v>
      </c>
    </row>
    <row r="6559">
      <c r="A6559" s="11">
        <v>6558.0</v>
      </c>
      <c r="B6559" s="12">
        <f t="shared" si="1047"/>
        <v>40955</v>
      </c>
      <c r="C6559" s="11" t="s">
        <v>1339</v>
      </c>
      <c r="D6559" s="11" t="s">
        <v>28</v>
      </c>
    </row>
    <row r="6560">
      <c r="A6560" s="11">
        <v>6559.0</v>
      </c>
      <c r="B6560" s="12">
        <f t="shared" si="1047"/>
        <v>40955</v>
      </c>
      <c r="C6560" s="11" t="s">
        <v>1903</v>
      </c>
      <c r="D6560" s="11" t="s">
        <v>28</v>
      </c>
    </row>
    <row r="6561">
      <c r="A6561" s="11">
        <v>6560.0</v>
      </c>
      <c r="B6561" s="12">
        <f t="shared" si="1047"/>
        <v>40955</v>
      </c>
      <c r="C6561" s="11" t="s">
        <v>1903</v>
      </c>
      <c r="D6561" s="11" t="s">
        <v>49</v>
      </c>
    </row>
    <row r="6562">
      <c r="A6562" s="11">
        <v>6561.0</v>
      </c>
      <c r="B6562" s="12">
        <f t="shared" si="1047"/>
        <v>40955</v>
      </c>
      <c r="C6562" s="11" t="s">
        <v>1903</v>
      </c>
      <c r="D6562" s="11" t="s">
        <v>28</v>
      </c>
    </row>
    <row r="6563">
      <c r="A6563" s="11">
        <v>6562.0</v>
      </c>
      <c r="B6563" s="12">
        <f t="shared" si="1047"/>
        <v>40955</v>
      </c>
      <c r="C6563" s="11" t="s">
        <v>1903</v>
      </c>
      <c r="D6563" s="11" t="s">
        <v>66</v>
      </c>
    </row>
    <row r="6564">
      <c r="A6564" s="11">
        <v>6563.0</v>
      </c>
      <c r="B6564" s="12">
        <f t="shared" ref="B6564:B6573" si="1048">DATE(2012,12,31)-318</f>
        <v>40956</v>
      </c>
      <c r="C6564" s="11" t="s">
        <v>611</v>
      </c>
      <c r="D6564" s="11" t="s">
        <v>28</v>
      </c>
    </row>
    <row r="6565">
      <c r="A6565" s="11">
        <v>6564.0</v>
      </c>
      <c r="B6565" s="12">
        <f t="shared" si="1048"/>
        <v>40956</v>
      </c>
      <c r="C6565" s="11" t="s">
        <v>1170</v>
      </c>
      <c r="D6565" s="11" t="s">
        <v>66</v>
      </c>
    </row>
    <row r="6566">
      <c r="A6566" s="11">
        <v>6565.0</v>
      </c>
      <c r="B6566" s="12">
        <f t="shared" si="1048"/>
        <v>40956</v>
      </c>
      <c r="C6566" s="11" t="s">
        <v>1496</v>
      </c>
      <c r="D6566" s="11" t="s">
        <v>28</v>
      </c>
    </row>
    <row r="6567">
      <c r="A6567" s="11">
        <v>6566.0</v>
      </c>
      <c r="B6567" s="12">
        <f t="shared" si="1048"/>
        <v>40956</v>
      </c>
      <c r="C6567" s="11" t="s">
        <v>1065</v>
      </c>
      <c r="D6567" s="11" t="s">
        <v>49</v>
      </c>
    </row>
    <row r="6568">
      <c r="A6568" s="11">
        <v>6567.0</v>
      </c>
      <c r="B6568" s="12">
        <f t="shared" si="1048"/>
        <v>40956</v>
      </c>
      <c r="C6568" s="11" t="s">
        <v>1065</v>
      </c>
      <c r="D6568" s="11" t="s">
        <v>49</v>
      </c>
    </row>
    <row r="6569">
      <c r="A6569" s="11">
        <v>6568.0</v>
      </c>
      <c r="B6569" s="12">
        <f t="shared" si="1048"/>
        <v>40956</v>
      </c>
      <c r="C6569" s="11" t="s">
        <v>138</v>
      </c>
      <c r="D6569" s="11" t="s">
        <v>66</v>
      </c>
    </row>
    <row r="6570">
      <c r="A6570" s="11">
        <v>6569.0</v>
      </c>
      <c r="B6570" s="12">
        <f t="shared" si="1048"/>
        <v>40956</v>
      </c>
      <c r="C6570" s="11" t="s">
        <v>138</v>
      </c>
      <c r="D6570" s="11" t="s">
        <v>66</v>
      </c>
    </row>
    <row r="6571">
      <c r="A6571" s="11">
        <v>6570.0</v>
      </c>
      <c r="B6571" s="12">
        <f t="shared" si="1048"/>
        <v>40956</v>
      </c>
      <c r="C6571" s="11" t="s">
        <v>248</v>
      </c>
      <c r="D6571" s="11" t="s">
        <v>66</v>
      </c>
    </row>
    <row r="6572">
      <c r="A6572" s="11">
        <v>6571.0</v>
      </c>
      <c r="B6572" s="12">
        <f t="shared" si="1048"/>
        <v>40956</v>
      </c>
      <c r="C6572" s="11" t="s">
        <v>510</v>
      </c>
      <c r="D6572" s="11" t="s">
        <v>28</v>
      </c>
    </row>
    <row r="6573">
      <c r="A6573" s="11">
        <v>6572.0</v>
      </c>
      <c r="B6573" s="12">
        <f t="shared" si="1048"/>
        <v>40956</v>
      </c>
      <c r="C6573" s="11" t="s">
        <v>2336</v>
      </c>
      <c r="D6573" s="11" t="s">
        <v>66</v>
      </c>
    </row>
    <row r="6574">
      <c r="A6574" s="11">
        <v>6573.0</v>
      </c>
      <c r="B6574" s="12">
        <f t="shared" ref="B6574:B6581" si="1049">DATE(2012,12,31)-317</f>
        <v>40957</v>
      </c>
      <c r="C6574" s="11" t="s">
        <v>588</v>
      </c>
      <c r="D6574" s="11" t="s">
        <v>28</v>
      </c>
    </row>
    <row r="6575">
      <c r="A6575" s="11">
        <v>6574.0</v>
      </c>
      <c r="B6575" s="12">
        <f t="shared" si="1049"/>
        <v>40957</v>
      </c>
      <c r="C6575" s="11" t="s">
        <v>2097</v>
      </c>
      <c r="D6575" s="11" t="s">
        <v>66</v>
      </c>
    </row>
    <row r="6576">
      <c r="A6576" s="11">
        <v>6575.0</v>
      </c>
      <c r="B6576" s="12">
        <f t="shared" si="1049"/>
        <v>40957</v>
      </c>
      <c r="C6576" s="11" t="s">
        <v>2095</v>
      </c>
      <c r="D6576" s="11" t="s">
        <v>49</v>
      </c>
    </row>
    <row r="6577">
      <c r="A6577" s="11">
        <v>6576.0</v>
      </c>
      <c r="B6577" s="12">
        <f t="shared" si="1049"/>
        <v>40957</v>
      </c>
      <c r="C6577" s="11" t="s">
        <v>716</v>
      </c>
      <c r="D6577" s="11" t="s">
        <v>28</v>
      </c>
    </row>
    <row r="6578">
      <c r="A6578" s="11">
        <v>6577.0</v>
      </c>
      <c r="B6578" s="12">
        <f t="shared" si="1049"/>
        <v>40957</v>
      </c>
      <c r="C6578" s="11" t="s">
        <v>588</v>
      </c>
      <c r="D6578" s="11" t="s">
        <v>66</v>
      </c>
    </row>
    <row r="6579">
      <c r="A6579" s="11">
        <v>6578.0</v>
      </c>
      <c r="B6579" s="12">
        <f t="shared" si="1049"/>
        <v>40957</v>
      </c>
      <c r="C6579" s="11" t="s">
        <v>588</v>
      </c>
      <c r="D6579" s="11" t="s">
        <v>28</v>
      </c>
    </row>
    <row r="6580">
      <c r="A6580" s="11">
        <v>6579.0</v>
      </c>
      <c r="B6580" s="12">
        <f t="shared" si="1049"/>
        <v>40957</v>
      </c>
      <c r="C6580" s="11" t="s">
        <v>657</v>
      </c>
      <c r="D6580" s="11" t="s">
        <v>49</v>
      </c>
    </row>
    <row r="6581">
      <c r="A6581" s="11">
        <v>6580.0</v>
      </c>
      <c r="B6581" s="12">
        <f t="shared" si="1049"/>
        <v>40957</v>
      </c>
      <c r="C6581" s="11" t="s">
        <v>657</v>
      </c>
      <c r="D6581" s="11" t="s">
        <v>66</v>
      </c>
    </row>
    <row r="6582">
      <c r="A6582" s="11">
        <v>6581.0</v>
      </c>
      <c r="B6582" s="12">
        <f t="shared" ref="B6582:B6588" si="1050">DATE(2012,12,31)-316</f>
        <v>40958</v>
      </c>
      <c r="C6582" s="11" t="s">
        <v>2597</v>
      </c>
      <c r="D6582" s="11" t="s">
        <v>66</v>
      </c>
    </row>
    <row r="6583">
      <c r="A6583" s="11">
        <v>6582.0</v>
      </c>
      <c r="B6583" s="12">
        <f t="shared" si="1050"/>
        <v>40958</v>
      </c>
      <c r="C6583" s="11" t="s">
        <v>2064</v>
      </c>
      <c r="D6583" s="11" t="s">
        <v>28</v>
      </c>
    </row>
    <row r="6584">
      <c r="A6584" s="11">
        <v>6583.0</v>
      </c>
      <c r="B6584" s="12">
        <f t="shared" si="1050"/>
        <v>40958</v>
      </c>
      <c r="C6584" s="11" t="s">
        <v>1811</v>
      </c>
      <c r="D6584" s="11" t="s">
        <v>28</v>
      </c>
    </row>
    <row r="6585">
      <c r="A6585" s="11">
        <v>6584.0</v>
      </c>
      <c r="B6585" s="12">
        <f t="shared" si="1050"/>
        <v>40958</v>
      </c>
      <c r="C6585" s="11" t="s">
        <v>1811</v>
      </c>
      <c r="D6585" s="11" t="s">
        <v>28</v>
      </c>
    </row>
    <row r="6586">
      <c r="A6586" s="11">
        <v>6585.0</v>
      </c>
      <c r="B6586" s="12">
        <f t="shared" si="1050"/>
        <v>40958</v>
      </c>
      <c r="C6586" s="11" t="s">
        <v>1657</v>
      </c>
      <c r="D6586" s="11" t="s">
        <v>28</v>
      </c>
    </row>
    <row r="6587">
      <c r="A6587" s="11">
        <v>6586.0</v>
      </c>
      <c r="B6587" s="12">
        <f t="shared" si="1050"/>
        <v>40958</v>
      </c>
      <c r="C6587" s="11" t="s">
        <v>1684</v>
      </c>
      <c r="D6587" s="11" t="s">
        <v>28</v>
      </c>
    </row>
    <row r="6588">
      <c r="A6588" s="11">
        <v>6587.0</v>
      </c>
      <c r="B6588" s="12">
        <f t="shared" si="1050"/>
        <v>40958</v>
      </c>
      <c r="C6588" s="11" t="s">
        <v>803</v>
      </c>
      <c r="D6588" s="11" t="s">
        <v>28</v>
      </c>
    </row>
    <row r="6589">
      <c r="A6589" s="11">
        <v>6588.0</v>
      </c>
      <c r="B6589" s="12">
        <f>DATE(2012,12,31)-315</f>
        <v>40959</v>
      </c>
      <c r="C6589" s="11" t="s">
        <v>193</v>
      </c>
      <c r="D6589" s="11" t="s">
        <v>28</v>
      </c>
    </row>
    <row r="6590">
      <c r="A6590" s="11">
        <v>6589.0</v>
      </c>
      <c r="B6590" s="12">
        <f>DATE(2012,12,31)-314</f>
        <v>40960</v>
      </c>
      <c r="C6590" s="11" t="s">
        <v>2519</v>
      </c>
      <c r="D6590" s="11" t="s">
        <v>49</v>
      </c>
    </row>
    <row r="6591">
      <c r="A6591" s="11">
        <v>6590.0</v>
      </c>
      <c r="B6591" s="12">
        <f t="shared" ref="B6591:B6602" si="1051">DATE(2012,12,31)-312</f>
        <v>40962</v>
      </c>
      <c r="C6591" s="11" t="s">
        <v>211</v>
      </c>
      <c r="D6591" s="11" t="s">
        <v>49</v>
      </c>
    </row>
    <row r="6592">
      <c r="A6592" s="11">
        <v>6591.0</v>
      </c>
      <c r="B6592" s="12">
        <f t="shared" si="1051"/>
        <v>40962</v>
      </c>
      <c r="C6592" s="11" t="s">
        <v>211</v>
      </c>
      <c r="D6592" s="11" t="s">
        <v>28</v>
      </c>
    </row>
    <row r="6593">
      <c r="A6593" s="11">
        <v>6592.0</v>
      </c>
      <c r="B6593" s="12">
        <f t="shared" si="1051"/>
        <v>40962</v>
      </c>
      <c r="C6593" s="11" t="s">
        <v>211</v>
      </c>
      <c r="D6593" s="11" t="s">
        <v>28</v>
      </c>
    </row>
    <row r="6594">
      <c r="A6594" s="11">
        <v>6593.0</v>
      </c>
      <c r="B6594" s="12">
        <f t="shared" si="1051"/>
        <v>40962</v>
      </c>
      <c r="C6594" s="11" t="s">
        <v>786</v>
      </c>
      <c r="D6594" s="11" t="s">
        <v>28</v>
      </c>
    </row>
    <row r="6595">
      <c r="A6595" s="11">
        <v>6594.0</v>
      </c>
      <c r="B6595" s="12">
        <f t="shared" si="1051"/>
        <v>40962</v>
      </c>
      <c r="C6595" s="11" t="s">
        <v>786</v>
      </c>
      <c r="D6595" s="11" t="s">
        <v>28</v>
      </c>
    </row>
    <row r="6596">
      <c r="A6596" s="11">
        <v>6595.0</v>
      </c>
      <c r="B6596" s="12">
        <f t="shared" si="1051"/>
        <v>40962</v>
      </c>
      <c r="C6596" s="11" t="s">
        <v>1829</v>
      </c>
      <c r="D6596" s="11" t="s">
        <v>28</v>
      </c>
    </row>
    <row r="6597">
      <c r="A6597" s="11">
        <v>6596.0</v>
      </c>
      <c r="B6597" s="12">
        <f t="shared" si="1051"/>
        <v>40962</v>
      </c>
      <c r="C6597" s="11" t="s">
        <v>2598</v>
      </c>
      <c r="D6597" s="11" t="s">
        <v>49</v>
      </c>
    </row>
    <row r="6598">
      <c r="A6598" s="11">
        <v>6597.0</v>
      </c>
      <c r="B6598" s="12">
        <f t="shared" si="1051"/>
        <v>40962</v>
      </c>
      <c r="C6598" s="11" t="s">
        <v>2598</v>
      </c>
      <c r="D6598" s="11" t="s">
        <v>49</v>
      </c>
    </row>
    <row r="6599">
      <c r="A6599" s="11">
        <v>6598.0</v>
      </c>
      <c r="B6599" s="12">
        <f t="shared" si="1051"/>
        <v>40962</v>
      </c>
      <c r="C6599" s="11" t="s">
        <v>2598</v>
      </c>
      <c r="D6599" s="11" t="s">
        <v>28</v>
      </c>
    </row>
    <row r="6600">
      <c r="A6600" s="11">
        <v>6599.0</v>
      </c>
      <c r="B6600" s="12">
        <f t="shared" si="1051"/>
        <v>40962</v>
      </c>
      <c r="C6600" s="11" t="s">
        <v>1238</v>
      </c>
      <c r="D6600" s="11" t="s">
        <v>49</v>
      </c>
    </row>
    <row r="6601">
      <c r="A6601" s="11">
        <v>6600.0</v>
      </c>
      <c r="B6601" s="12">
        <f t="shared" si="1051"/>
        <v>40962</v>
      </c>
      <c r="C6601" s="11" t="s">
        <v>1238</v>
      </c>
      <c r="D6601" s="11" t="s">
        <v>28</v>
      </c>
    </row>
    <row r="6602">
      <c r="A6602" s="11">
        <v>6601.0</v>
      </c>
      <c r="B6602" s="12">
        <f t="shared" si="1051"/>
        <v>40962</v>
      </c>
      <c r="C6602" s="11" t="s">
        <v>1238</v>
      </c>
      <c r="D6602" s="11" t="s">
        <v>49</v>
      </c>
    </row>
    <row r="6603">
      <c r="A6603" s="11">
        <v>6602.0</v>
      </c>
      <c r="B6603" s="12">
        <f t="shared" ref="B6603:B6605" si="1052">DATE(2012,12,31)-311</f>
        <v>40963</v>
      </c>
      <c r="C6603" s="11" t="s">
        <v>567</v>
      </c>
      <c r="D6603" s="11" t="s">
        <v>28</v>
      </c>
    </row>
    <row r="6604">
      <c r="A6604" s="11">
        <v>6603.0</v>
      </c>
      <c r="B6604" s="12">
        <f t="shared" si="1052"/>
        <v>40963</v>
      </c>
      <c r="C6604" s="11" t="s">
        <v>2387</v>
      </c>
      <c r="D6604" s="11" t="s">
        <v>49</v>
      </c>
    </row>
    <row r="6605">
      <c r="A6605" s="11">
        <v>6604.0</v>
      </c>
      <c r="B6605" s="12">
        <f t="shared" si="1052"/>
        <v>40963</v>
      </c>
      <c r="C6605" s="11" t="s">
        <v>1903</v>
      </c>
      <c r="D6605" s="11" t="s">
        <v>66</v>
      </c>
    </row>
    <row r="6606">
      <c r="A6606" s="11">
        <v>6605.0</v>
      </c>
      <c r="B6606" s="12">
        <f>DATE(2012,12,31)-310</f>
        <v>40964</v>
      </c>
      <c r="C6606" s="11" t="s">
        <v>1829</v>
      </c>
      <c r="D6606" s="11" t="s">
        <v>49</v>
      </c>
    </row>
    <row r="6607">
      <c r="A6607" s="11">
        <v>6606.0</v>
      </c>
      <c r="B6607" s="12">
        <f t="shared" ref="B6607:B6611" si="1053">DATE(2012,12,31)-309</f>
        <v>40965</v>
      </c>
      <c r="C6607" s="11" t="s">
        <v>1984</v>
      </c>
      <c r="D6607" s="11" t="s">
        <v>28</v>
      </c>
    </row>
    <row r="6608">
      <c r="A6608" s="11">
        <v>6607.0</v>
      </c>
      <c r="B6608" s="12">
        <f t="shared" si="1053"/>
        <v>40965</v>
      </c>
      <c r="C6608" s="11" t="s">
        <v>2027</v>
      </c>
      <c r="D6608" s="11" t="s">
        <v>49</v>
      </c>
    </row>
    <row r="6609">
      <c r="A6609" s="11">
        <v>6608.0</v>
      </c>
      <c r="B6609" s="12">
        <f t="shared" si="1053"/>
        <v>40965</v>
      </c>
      <c r="C6609" s="11" t="s">
        <v>1720</v>
      </c>
      <c r="D6609" s="11" t="s">
        <v>28</v>
      </c>
    </row>
    <row r="6610">
      <c r="A6610" s="11">
        <v>6609.0</v>
      </c>
      <c r="B6610" s="12">
        <f t="shared" si="1053"/>
        <v>40965</v>
      </c>
      <c r="C6610" s="11" t="s">
        <v>630</v>
      </c>
      <c r="D6610" s="11" t="s">
        <v>28</v>
      </c>
    </row>
    <row r="6611">
      <c r="A6611" s="11">
        <v>6610.0</v>
      </c>
      <c r="B6611" s="12">
        <f t="shared" si="1053"/>
        <v>40965</v>
      </c>
      <c r="C6611" s="11" t="s">
        <v>630</v>
      </c>
      <c r="D6611" s="11" t="s">
        <v>66</v>
      </c>
    </row>
    <row r="6612">
      <c r="A6612" s="11">
        <v>6611.0</v>
      </c>
      <c r="B6612" s="12">
        <f t="shared" ref="B6612:B6620" si="1054">DATE(2012,12,31)-308</f>
        <v>40966</v>
      </c>
      <c r="C6612" s="11" t="s">
        <v>1355</v>
      </c>
      <c r="D6612" s="11" t="s">
        <v>66</v>
      </c>
    </row>
    <row r="6613">
      <c r="A6613" s="11">
        <v>6612.0</v>
      </c>
      <c r="B6613" s="12">
        <f t="shared" si="1054"/>
        <v>40966</v>
      </c>
      <c r="C6613" s="11" t="s">
        <v>1355</v>
      </c>
      <c r="D6613" s="11" t="s">
        <v>28</v>
      </c>
    </row>
    <row r="6614">
      <c r="A6614" s="11">
        <v>6613.0</v>
      </c>
      <c r="B6614" s="12">
        <f t="shared" si="1054"/>
        <v>40966</v>
      </c>
      <c r="C6614" s="11" t="s">
        <v>2452</v>
      </c>
      <c r="D6614" s="11" t="s">
        <v>28</v>
      </c>
    </row>
    <row r="6615">
      <c r="A6615" s="11">
        <v>6614.0</v>
      </c>
      <c r="B6615" s="12">
        <f t="shared" si="1054"/>
        <v>40966</v>
      </c>
      <c r="C6615" s="11" t="s">
        <v>1715</v>
      </c>
      <c r="D6615" s="11" t="s">
        <v>66</v>
      </c>
    </row>
    <row r="6616">
      <c r="A6616" s="11">
        <v>6615.0</v>
      </c>
      <c r="B6616" s="12">
        <f t="shared" si="1054"/>
        <v>40966</v>
      </c>
      <c r="C6616" s="11" t="s">
        <v>1715</v>
      </c>
      <c r="D6616" s="11" t="s">
        <v>49</v>
      </c>
    </row>
    <row r="6617">
      <c r="A6617" s="11">
        <v>6616.0</v>
      </c>
      <c r="B6617" s="12">
        <f t="shared" si="1054"/>
        <v>40966</v>
      </c>
      <c r="C6617" s="11" t="s">
        <v>1841</v>
      </c>
      <c r="D6617" s="11" t="s">
        <v>66</v>
      </c>
    </row>
    <row r="6618">
      <c r="A6618" s="11">
        <v>6617.0</v>
      </c>
      <c r="B6618" s="12">
        <f t="shared" si="1054"/>
        <v>40966</v>
      </c>
      <c r="C6618" s="11" t="s">
        <v>1292</v>
      </c>
      <c r="D6618" s="11" t="s">
        <v>66</v>
      </c>
    </row>
    <row r="6619">
      <c r="A6619" s="11">
        <v>6618.0</v>
      </c>
      <c r="B6619" s="12">
        <f t="shared" si="1054"/>
        <v>40966</v>
      </c>
      <c r="C6619" s="11" t="s">
        <v>2236</v>
      </c>
      <c r="D6619" s="11" t="s">
        <v>28</v>
      </c>
    </row>
    <row r="6620">
      <c r="A6620" s="11">
        <v>6619.0</v>
      </c>
      <c r="B6620" s="12">
        <f t="shared" si="1054"/>
        <v>40966</v>
      </c>
      <c r="C6620" s="11" t="s">
        <v>1693</v>
      </c>
      <c r="D6620" s="11" t="s">
        <v>49</v>
      </c>
    </row>
    <row r="6621">
      <c r="A6621" s="11">
        <v>6620.0</v>
      </c>
      <c r="B6621" s="12">
        <f t="shared" ref="B6621:B6623" si="1055">DATE(2012,12,31)-306</f>
        <v>40968</v>
      </c>
      <c r="C6621" s="11" t="s">
        <v>2405</v>
      </c>
      <c r="D6621" s="11" t="s">
        <v>28</v>
      </c>
    </row>
    <row r="6622">
      <c r="A6622" s="11">
        <v>6621.0</v>
      </c>
      <c r="B6622" s="12">
        <f t="shared" si="1055"/>
        <v>40968</v>
      </c>
      <c r="C6622" s="11" t="s">
        <v>2405</v>
      </c>
      <c r="D6622" s="11" t="s">
        <v>28</v>
      </c>
    </row>
    <row r="6623">
      <c r="A6623" s="11">
        <v>6622.0</v>
      </c>
      <c r="B6623" s="12">
        <f t="shared" si="1055"/>
        <v>40968</v>
      </c>
      <c r="C6623" s="11" t="s">
        <v>2405</v>
      </c>
      <c r="D6623" s="11" t="s">
        <v>28</v>
      </c>
    </row>
    <row r="6624">
      <c r="A6624" s="11">
        <v>6623.0</v>
      </c>
      <c r="B6624" s="12">
        <f t="shared" ref="B6624:B6628" si="1056">DATE(2012,12,31)-305</f>
        <v>40969</v>
      </c>
      <c r="C6624" s="11" t="s">
        <v>998</v>
      </c>
      <c r="D6624" s="11" t="s">
        <v>28</v>
      </c>
    </row>
    <row r="6625">
      <c r="A6625" s="11">
        <v>6624.0</v>
      </c>
      <c r="B6625" s="12">
        <f t="shared" si="1056"/>
        <v>40969</v>
      </c>
      <c r="C6625" s="11" t="s">
        <v>793</v>
      </c>
      <c r="D6625" s="11" t="s">
        <v>49</v>
      </c>
    </row>
    <row r="6626">
      <c r="A6626" s="11">
        <v>6625.0</v>
      </c>
      <c r="B6626" s="12">
        <f t="shared" si="1056"/>
        <v>40969</v>
      </c>
      <c r="C6626" s="11" t="s">
        <v>815</v>
      </c>
      <c r="D6626" s="11" t="s">
        <v>66</v>
      </c>
    </row>
    <row r="6627">
      <c r="A6627" s="11">
        <v>6626.0</v>
      </c>
      <c r="B6627" s="12">
        <f t="shared" si="1056"/>
        <v>40969</v>
      </c>
      <c r="C6627" s="11" t="s">
        <v>815</v>
      </c>
      <c r="D6627" s="11" t="s">
        <v>49</v>
      </c>
    </row>
    <row r="6628">
      <c r="A6628" s="11">
        <v>6627.0</v>
      </c>
      <c r="B6628" s="12">
        <f t="shared" si="1056"/>
        <v>40969</v>
      </c>
      <c r="C6628" s="11" t="s">
        <v>2505</v>
      </c>
      <c r="D6628" s="11" t="s">
        <v>49</v>
      </c>
    </row>
    <row r="6629">
      <c r="A6629" s="11">
        <v>6628.0</v>
      </c>
      <c r="B6629" s="12">
        <f t="shared" ref="B6629:B6637" si="1057">DATE(2012,12,31)-304</f>
        <v>40970</v>
      </c>
      <c r="C6629" s="11" t="s">
        <v>2374</v>
      </c>
      <c r="D6629" s="11" t="s">
        <v>49</v>
      </c>
    </row>
    <row r="6630">
      <c r="A6630" s="11">
        <v>6629.0</v>
      </c>
      <c r="B6630" s="12">
        <f t="shared" si="1057"/>
        <v>40970</v>
      </c>
      <c r="C6630" s="11" t="s">
        <v>763</v>
      </c>
      <c r="D6630" s="11" t="s">
        <v>49</v>
      </c>
    </row>
    <row r="6631">
      <c r="A6631" s="11">
        <v>6630.0</v>
      </c>
      <c r="B6631" s="12">
        <f t="shared" si="1057"/>
        <v>40970</v>
      </c>
      <c r="C6631" s="11" t="s">
        <v>763</v>
      </c>
      <c r="D6631" s="11" t="s">
        <v>28</v>
      </c>
    </row>
    <row r="6632">
      <c r="A6632" s="11">
        <v>6631.0</v>
      </c>
      <c r="B6632" s="12">
        <f t="shared" si="1057"/>
        <v>40970</v>
      </c>
      <c r="C6632" s="11" t="s">
        <v>2298</v>
      </c>
      <c r="D6632" s="11" t="s">
        <v>66</v>
      </c>
    </row>
    <row r="6633">
      <c r="A6633" s="11">
        <v>6632.0</v>
      </c>
      <c r="B6633" s="12">
        <f t="shared" si="1057"/>
        <v>40970</v>
      </c>
      <c r="C6633" s="11" t="s">
        <v>227</v>
      </c>
      <c r="D6633" s="11" t="s">
        <v>66</v>
      </c>
    </row>
    <row r="6634">
      <c r="A6634" s="11">
        <v>6633.0</v>
      </c>
      <c r="B6634" s="12">
        <f t="shared" si="1057"/>
        <v>40970</v>
      </c>
      <c r="C6634" s="11" t="s">
        <v>892</v>
      </c>
      <c r="D6634" s="11" t="s">
        <v>28</v>
      </c>
    </row>
    <row r="6635">
      <c r="A6635" s="11">
        <v>6634.0</v>
      </c>
      <c r="B6635" s="12">
        <f t="shared" si="1057"/>
        <v>40970</v>
      </c>
      <c r="C6635" s="11" t="s">
        <v>462</v>
      </c>
      <c r="D6635" s="11" t="s">
        <v>66</v>
      </c>
    </row>
    <row r="6636">
      <c r="A6636" s="11">
        <v>6635.0</v>
      </c>
      <c r="B6636" s="12">
        <f t="shared" si="1057"/>
        <v>40970</v>
      </c>
      <c r="C6636" s="11" t="s">
        <v>1888</v>
      </c>
      <c r="D6636" s="11" t="s">
        <v>66</v>
      </c>
    </row>
    <row r="6637">
      <c r="A6637" s="11">
        <v>6636.0</v>
      </c>
      <c r="B6637" s="12">
        <f t="shared" si="1057"/>
        <v>40970</v>
      </c>
      <c r="C6637" s="11" t="s">
        <v>1888</v>
      </c>
      <c r="D6637" s="11" t="s">
        <v>28</v>
      </c>
    </row>
    <row r="6638">
      <c r="A6638" s="11">
        <v>6637.0</v>
      </c>
      <c r="B6638" s="12">
        <f t="shared" ref="B6638:B6650" si="1058">DATE(2012,12,31)-303</f>
        <v>40971</v>
      </c>
      <c r="C6638" s="11" t="s">
        <v>1417</v>
      </c>
      <c r="D6638" s="11" t="s">
        <v>49</v>
      </c>
    </row>
    <row r="6639">
      <c r="A6639" s="11">
        <v>6638.0</v>
      </c>
      <c r="B6639" s="12">
        <f t="shared" si="1058"/>
        <v>40971</v>
      </c>
      <c r="C6639" s="11" t="s">
        <v>1417</v>
      </c>
      <c r="D6639" s="11" t="s">
        <v>66</v>
      </c>
    </row>
    <row r="6640">
      <c r="A6640" s="11">
        <v>6639.0</v>
      </c>
      <c r="B6640" s="12">
        <f t="shared" si="1058"/>
        <v>40971</v>
      </c>
      <c r="C6640" s="11" t="s">
        <v>1704</v>
      </c>
      <c r="D6640" s="11" t="s">
        <v>66</v>
      </c>
    </row>
    <row r="6641">
      <c r="A6641" s="11">
        <v>6640.0</v>
      </c>
      <c r="B6641" s="12">
        <f t="shared" si="1058"/>
        <v>40971</v>
      </c>
      <c r="C6641" s="11" t="s">
        <v>1704</v>
      </c>
      <c r="D6641" s="11" t="s">
        <v>28</v>
      </c>
    </row>
    <row r="6642">
      <c r="A6642" s="11">
        <v>6641.0</v>
      </c>
      <c r="B6642" s="12">
        <f t="shared" si="1058"/>
        <v>40971</v>
      </c>
      <c r="C6642" s="11" t="s">
        <v>1067</v>
      </c>
      <c r="D6642" s="11" t="s">
        <v>28</v>
      </c>
    </row>
    <row r="6643">
      <c r="A6643" s="11">
        <v>6642.0</v>
      </c>
      <c r="B6643" s="12">
        <f t="shared" si="1058"/>
        <v>40971</v>
      </c>
      <c r="C6643" s="11" t="s">
        <v>1067</v>
      </c>
      <c r="D6643" s="11" t="s">
        <v>28</v>
      </c>
    </row>
    <row r="6644">
      <c r="A6644" s="11">
        <v>6643.0</v>
      </c>
      <c r="B6644" s="12">
        <f t="shared" si="1058"/>
        <v>40971</v>
      </c>
      <c r="C6644" s="11" t="s">
        <v>1067</v>
      </c>
      <c r="D6644" s="11" t="s">
        <v>28</v>
      </c>
    </row>
    <row r="6645">
      <c r="A6645" s="11">
        <v>6644.0</v>
      </c>
      <c r="B6645" s="12">
        <f t="shared" si="1058"/>
        <v>40971</v>
      </c>
      <c r="C6645" s="11" t="s">
        <v>919</v>
      </c>
      <c r="D6645" s="11" t="s">
        <v>28</v>
      </c>
    </row>
    <row r="6646">
      <c r="A6646" s="11">
        <v>6645.0</v>
      </c>
      <c r="B6646" s="12">
        <f t="shared" si="1058"/>
        <v>40971</v>
      </c>
      <c r="C6646" s="11" t="s">
        <v>164</v>
      </c>
      <c r="D6646" s="11" t="s">
        <v>66</v>
      </c>
    </row>
    <row r="6647">
      <c r="A6647" s="11">
        <v>6646.0</v>
      </c>
      <c r="B6647" s="12">
        <f t="shared" si="1058"/>
        <v>40971</v>
      </c>
      <c r="C6647" s="11" t="s">
        <v>72</v>
      </c>
      <c r="D6647" s="11" t="s">
        <v>28</v>
      </c>
    </row>
    <row r="6648">
      <c r="A6648" s="11">
        <v>6647.0</v>
      </c>
      <c r="B6648" s="12">
        <f t="shared" si="1058"/>
        <v>40971</v>
      </c>
      <c r="C6648" s="11" t="s">
        <v>1385</v>
      </c>
      <c r="D6648" s="11" t="s">
        <v>49</v>
      </c>
    </row>
    <row r="6649">
      <c r="A6649" s="11">
        <v>6648.0</v>
      </c>
      <c r="B6649" s="12">
        <f t="shared" si="1058"/>
        <v>40971</v>
      </c>
      <c r="C6649" s="11" t="s">
        <v>1385</v>
      </c>
      <c r="D6649" s="11" t="s">
        <v>28</v>
      </c>
    </row>
    <row r="6650">
      <c r="A6650" s="11">
        <v>6649.0</v>
      </c>
      <c r="B6650" s="12">
        <f t="shared" si="1058"/>
        <v>40971</v>
      </c>
      <c r="C6650" s="11" t="s">
        <v>1385</v>
      </c>
      <c r="D6650" s="11" t="s">
        <v>28</v>
      </c>
    </row>
    <row r="6651">
      <c r="A6651" s="11">
        <v>6650.0</v>
      </c>
      <c r="B6651" s="12">
        <f t="shared" ref="B6651:B6657" si="1059">DATE(2012,12,31)-302</f>
        <v>40972</v>
      </c>
      <c r="C6651" s="11" t="s">
        <v>724</v>
      </c>
      <c r="D6651" s="11" t="s">
        <v>66</v>
      </c>
    </row>
    <row r="6652">
      <c r="A6652" s="11">
        <v>6651.0</v>
      </c>
      <c r="B6652" s="12">
        <f t="shared" si="1059"/>
        <v>40972</v>
      </c>
      <c r="C6652" s="11" t="s">
        <v>724</v>
      </c>
      <c r="D6652" s="11" t="s">
        <v>49</v>
      </c>
    </row>
    <row r="6653">
      <c r="A6653" s="11">
        <v>6652.0</v>
      </c>
      <c r="B6653" s="12">
        <f t="shared" si="1059"/>
        <v>40972</v>
      </c>
      <c r="C6653" s="11" t="s">
        <v>871</v>
      </c>
      <c r="D6653" s="11" t="s">
        <v>28</v>
      </c>
    </row>
    <row r="6654">
      <c r="A6654" s="11">
        <v>6653.0</v>
      </c>
      <c r="B6654" s="12">
        <f t="shared" si="1059"/>
        <v>40972</v>
      </c>
      <c r="C6654" s="11" t="s">
        <v>1529</v>
      </c>
      <c r="D6654" s="11" t="s">
        <v>28</v>
      </c>
    </row>
    <row r="6655">
      <c r="A6655" s="11">
        <v>6654.0</v>
      </c>
      <c r="B6655" s="12">
        <f t="shared" si="1059"/>
        <v>40972</v>
      </c>
      <c r="C6655" s="11" t="s">
        <v>1257</v>
      </c>
      <c r="D6655" s="11" t="s">
        <v>66</v>
      </c>
    </row>
    <row r="6656">
      <c r="A6656" s="11">
        <v>6655.0</v>
      </c>
      <c r="B6656" s="12">
        <f t="shared" si="1059"/>
        <v>40972</v>
      </c>
      <c r="C6656" s="11" t="s">
        <v>1693</v>
      </c>
      <c r="D6656" s="11" t="s">
        <v>28</v>
      </c>
    </row>
    <row r="6657">
      <c r="A6657" s="11">
        <v>6656.0</v>
      </c>
      <c r="B6657" s="12">
        <f t="shared" si="1059"/>
        <v>40972</v>
      </c>
      <c r="C6657" s="11" t="s">
        <v>40</v>
      </c>
      <c r="D6657" s="11" t="s">
        <v>28</v>
      </c>
    </row>
    <row r="6658">
      <c r="A6658" s="11">
        <v>6657.0</v>
      </c>
      <c r="B6658" s="12">
        <f t="shared" ref="B6658:B6662" si="1060">DATE(2012,12,31)-301</f>
        <v>40973</v>
      </c>
      <c r="C6658" s="11" t="s">
        <v>1681</v>
      </c>
      <c r="D6658" s="11" t="s">
        <v>49</v>
      </c>
    </row>
    <row r="6659">
      <c r="A6659" s="11">
        <v>6658.0</v>
      </c>
      <c r="B6659" s="12">
        <f t="shared" si="1060"/>
        <v>40973</v>
      </c>
      <c r="C6659" s="11" t="s">
        <v>1681</v>
      </c>
      <c r="D6659" s="11" t="s">
        <v>28</v>
      </c>
    </row>
    <row r="6660">
      <c r="A6660" s="11">
        <v>6659.0</v>
      </c>
      <c r="B6660" s="12">
        <f t="shared" si="1060"/>
        <v>40973</v>
      </c>
      <c r="C6660" s="11" t="s">
        <v>1761</v>
      </c>
      <c r="D6660" s="11" t="s">
        <v>66</v>
      </c>
    </row>
    <row r="6661">
      <c r="A6661" s="11">
        <v>6660.0</v>
      </c>
      <c r="B6661" s="12">
        <f t="shared" si="1060"/>
        <v>40973</v>
      </c>
      <c r="C6661" s="11" t="s">
        <v>2080</v>
      </c>
      <c r="D6661" s="11" t="s">
        <v>66</v>
      </c>
    </row>
    <row r="6662">
      <c r="A6662" s="11">
        <v>6661.0</v>
      </c>
      <c r="B6662" s="12">
        <f t="shared" si="1060"/>
        <v>40973</v>
      </c>
      <c r="C6662" s="11" t="s">
        <v>2080</v>
      </c>
      <c r="D6662" s="11" t="s">
        <v>28</v>
      </c>
    </row>
    <row r="6663">
      <c r="A6663" s="11">
        <v>6662.0</v>
      </c>
      <c r="B6663" s="12">
        <f t="shared" ref="B6663:B6666" si="1061">DATE(2012,12,31)-300</f>
        <v>40974</v>
      </c>
      <c r="C6663" s="11" t="s">
        <v>200</v>
      </c>
      <c r="D6663" s="11" t="s">
        <v>66</v>
      </c>
    </row>
    <row r="6664">
      <c r="A6664" s="11">
        <v>6663.0</v>
      </c>
      <c r="B6664" s="12">
        <f t="shared" si="1061"/>
        <v>40974</v>
      </c>
      <c r="C6664" s="11" t="s">
        <v>200</v>
      </c>
      <c r="D6664" s="11" t="s">
        <v>49</v>
      </c>
    </row>
    <row r="6665">
      <c r="A6665" s="11">
        <v>6664.0</v>
      </c>
      <c r="B6665" s="12">
        <f t="shared" si="1061"/>
        <v>40974</v>
      </c>
      <c r="C6665" s="11" t="s">
        <v>373</v>
      </c>
      <c r="D6665" s="11" t="s">
        <v>66</v>
      </c>
    </row>
    <row r="6666">
      <c r="A6666" s="11">
        <v>6665.0</v>
      </c>
      <c r="B6666" s="12">
        <f t="shared" si="1061"/>
        <v>40974</v>
      </c>
      <c r="C6666" s="11" t="s">
        <v>133</v>
      </c>
      <c r="D6666" s="11" t="s">
        <v>66</v>
      </c>
    </row>
    <row r="6667">
      <c r="A6667" s="11">
        <v>6666.0</v>
      </c>
      <c r="B6667" s="12">
        <f t="shared" ref="B6667:B6672" si="1062">DATE(2012,12,31)-299</f>
        <v>40975</v>
      </c>
      <c r="C6667" s="11" t="s">
        <v>786</v>
      </c>
      <c r="D6667" s="11" t="s">
        <v>28</v>
      </c>
    </row>
    <row r="6668">
      <c r="A6668" s="11">
        <v>6667.0</v>
      </c>
      <c r="B6668" s="12">
        <f t="shared" si="1062"/>
        <v>40975</v>
      </c>
      <c r="C6668" s="11" t="s">
        <v>786</v>
      </c>
      <c r="D6668" s="11" t="s">
        <v>28</v>
      </c>
    </row>
    <row r="6669">
      <c r="A6669" s="11">
        <v>6668.0</v>
      </c>
      <c r="B6669" s="12">
        <f t="shared" si="1062"/>
        <v>40975</v>
      </c>
      <c r="C6669" s="11" t="s">
        <v>2079</v>
      </c>
      <c r="D6669" s="11" t="s">
        <v>66</v>
      </c>
    </row>
    <row r="6670">
      <c r="A6670" s="11">
        <v>6669.0</v>
      </c>
      <c r="B6670" s="12">
        <f t="shared" si="1062"/>
        <v>40975</v>
      </c>
      <c r="C6670" s="11" t="s">
        <v>2079</v>
      </c>
      <c r="D6670" s="11" t="s">
        <v>49</v>
      </c>
    </row>
    <row r="6671">
      <c r="A6671" s="11">
        <v>6670.0</v>
      </c>
      <c r="B6671" s="12">
        <f t="shared" si="1062"/>
        <v>40975</v>
      </c>
      <c r="C6671" s="11" t="s">
        <v>2079</v>
      </c>
      <c r="D6671" s="11" t="s">
        <v>28</v>
      </c>
    </row>
    <row r="6672">
      <c r="A6672" s="11">
        <v>6671.0</v>
      </c>
      <c r="B6672" s="12">
        <f t="shared" si="1062"/>
        <v>40975</v>
      </c>
      <c r="C6672" s="11" t="s">
        <v>1058</v>
      </c>
      <c r="D6672" s="11" t="s">
        <v>28</v>
      </c>
    </row>
    <row r="6673">
      <c r="A6673" s="11">
        <v>6672.0</v>
      </c>
      <c r="B6673" s="12">
        <f t="shared" ref="B6673:B6676" si="1063">DATE(2012,12,31)-298</f>
        <v>40976</v>
      </c>
      <c r="C6673" s="11" t="s">
        <v>2189</v>
      </c>
      <c r="D6673" s="11" t="s">
        <v>66</v>
      </c>
    </row>
    <row r="6674">
      <c r="A6674" s="11">
        <v>6673.0</v>
      </c>
      <c r="B6674" s="12">
        <f t="shared" si="1063"/>
        <v>40976</v>
      </c>
      <c r="C6674" s="11" t="s">
        <v>2189</v>
      </c>
      <c r="D6674" s="11" t="s">
        <v>28</v>
      </c>
    </row>
    <row r="6675">
      <c r="A6675" s="11">
        <v>6674.0</v>
      </c>
      <c r="B6675" s="12">
        <f t="shared" si="1063"/>
        <v>40976</v>
      </c>
      <c r="C6675" s="11" t="s">
        <v>1550</v>
      </c>
      <c r="D6675" s="11" t="s">
        <v>49</v>
      </c>
    </row>
    <row r="6676">
      <c r="A6676" s="11">
        <v>6675.0</v>
      </c>
      <c r="B6676" s="12">
        <f t="shared" si="1063"/>
        <v>40976</v>
      </c>
      <c r="C6676" s="11" t="s">
        <v>1667</v>
      </c>
      <c r="D6676" s="11" t="s">
        <v>28</v>
      </c>
    </row>
    <row r="6677">
      <c r="A6677" s="11">
        <v>6676.0</v>
      </c>
      <c r="B6677" s="12">
        <f t="shared" ref="B6677:B6681" si="1064">DATE(2012,12,31)-297</f>
        <v>40977</v>
      </c>
      <c r="C6677" s="11" t="s">
        <v>1355</v>
      </c>
      <c r="D6677" s="11" t="s">
        <v>49</v>
      </c>
    </row>
    <row r="6678">
      <c r="A6678" s="11">
        <v>6677.0</v>
      </c>
      <c r="B6678" s="12">
        <f t="shared" si="1064"/>
        <v>40977</v>
      </c>
      <c r="C6678" s="11" t="s">
        <v>1355</v>
      </c>
      <c r="D6678" s="11" t="s">
        <v>66</v>
      </c>
    </row>
    <row r="6679">
      <c r="A6679" s="11">
        <v>6678.0</v>
      </c>
      <c r="B6679" s="12">
        <f t="shared" si="1064"/>
        <v>40977</v>
      </c>
      <c r="C6679" s="11" t="s">
        <v>1961</v>
      </c>
      <c r="D6679" s="11" t="s">
        <v>28</v>
      </c>
    </row>
    <row r="6680">
      <c r="A6680" s="11">
        <v>6679.0</v>
      </c>
      <c r="B6680" s="12">
        <f t="shared" si="1064"/>
        <v>40977</v>
      </c>
      <c r="C6680" s="11" t="s">
        <v>1961</v>
      </c>
      <c r="D6680" s="11" t="s">
        <v>28</v>
      </c>
    </row>
    <row r="6681">
      <c r="A6681" s="11">
        <v>6680.0</v>
      </c>
      <c r="B6681" s="12">
        <f t="shared" si="1064"/>
        <v>40977</v>
      </c>
      <c r="C6681" s="11" t="s">
        <v>1816</v>
      </c>
      <c r="D6681" s="11" t="s">
        <v>28</v>
      </c>
    </row>
    <row r="6682">
      <c r="A6682" s="11">
        <v>6681.0</v>
      </c>
      <c r="B6682" s="12">
        <f t="shared" ref="B6682:B6689" si="1065">DATE(2012,12,31)-296</f>
        <v>40978</v>
      </c>
      <c r="C6682" s="11" t="s">
        <v>2297</v>
      </c>
      <c r="D6682" s="11" t="s">
        <v>49</v>
      </c>
    </row>
    <row r="6683">
      <c r="A6683" s="11">
        <v>6682.0</v>
      </c>
      <c r="B6683" s="12">
        <f t="shared" si="1065"/>
        <v>40978</v>
      </c>
      <c r="C6683" s="11" t="s">
        <v>1754</v>
      </c>
      <c r="D6683" s="11" t="s">
        <v>28</v>
      </c>
    </row>
    <row r="6684">
      <c r="A6684" s="11">
        <v>6683.0</v>
      </c>
      <c r="B6684" s="12">
        <f t="shared" si="1065"/>
        <v>40978</v>
      </c>
      <c r="C6684" s="11" t="s">
        <v>1754</v>
      </c>
      <c r="D6684" s="11" t="s">
        <v>28</v>
      </c>
    </row>
    <row r="6685">
      <c r="A6685" s="11">
        <v>6684.0</v>
      </c>
      <c r="B6685" s="12">
        <f t="shared" si="1065"/>
        <v>40978</v>
      </c>
      <c r="C6685" s="11" t="s">
        <v>998</v>
      </c>
      <c r="D6685" s="11" t="s">
        <v>49</v>
      </c>
    </row>
    <row r="6686">
      <c r="A6686" s="11">
        <v>6685.0</v>
      </c>
      <c r="B6686" s="12">
        <f t="shared" si="1065"/>
        <v>40978</v>
      </c>
      <c r="C6686" s="11" t="s">
        <v>998</v>
      </c>
      <c r="D6686" s="11" t="s">
        <v>28</v>
      </c>
    </row>
    <row r="6687">
      <c r="A6687" s="11">
        <v>6686.0</v>
      </c>
      <c r="B6687" s="12">
        <f t="shared" si="1065"/>
        <v>40978</v>
      </c>
      <c r="C6687" s="11" t="s">
        <v>1257</v>
      </c>
      <c r="D6687" s="11" t="s">
        <v>66</v>
      </c>
    </row>
    <row r="6688">
      <c r="A6688" s="11">
        <v>6687.0</v>
      </c>
      <c r="B6688" s="12">
        <f t="shared" si="1065"/>
        <v>40978</v>
      </c>
      <c r="C6688" s="11" t="s">
        <v>2568</v>
      </c>
      <c r="D6688" s="11" t="s">
        <v>28</v>
      </c>
    </row>
    <row r="6689">
      <c r="A6689" s="11">
        <v>6688.0</v>
      </c>
      <c r="B6689" s="12">
        <f t="shared" si="1065"/>
        <v>40978</v>
      </c>
      <c r="C6689" s="11" t="s">
        <v>1901</v>
      </c>
      <c r="D6689" s="11" t="s">
        <v>49</v>
      </c>
    </row>
    <row r="6690">
      <c r="A6690" s="11">
        <v>6689.0</v>
      </c>
      <c r="B6690" s="12">
        <f t="shared" ref="B6690:B6694" si="1066">DATE(2012,12,31)-295</f>
        <v>40979</v>
      </c>
      <c r="C6690" s="11" t="s">
        <v>88</v>
      </c>
      <c r="D6690" s="11" t="s">
        <v>66</v>
      </c>
    </row>
    <row r="6691">
      <c r="A6691" s="11">
        <v>6690.0</v>
      </c>
      <c r="B6691" s="12">
        <f t="shared" si="1066"/>
        <v>40979</v>
      </c>
      <c r="C6691" s="11" t="s">
        <v>88</v>
      </c>
      <c r="D6691" s="11" t="s">
        <v>28</v>
      </c>
    </row>
    <row r="6692">
      <c r="A6692" s="11">
        <v>6691.0</v>
      </c>
      <c r="B6692" s="12">
        <f t="shared" si="1066"/>
        <v>40979</v>
      </c>
      <c r="C6692" s="11" t="s">
        <v>665</v>
      </c>
      <c r="D6692" s="11" t="s">
        <v>28</v>
      </c>
    </row>
    <row r="6693">
      <c r="A6693" s="11">
        <v>6692.0</v>
      </c>
      <c r="B6693" s="12">
        <f t="shared" si="1066"/>
        <v>40979</v>
      </c>
      <c r="C6693" s="11" t="s">
        <v>665</v>
      </c>
      <c r="D6693" s="11" t="s">
        <v>28</v>
      </c>
    </row>
    <row r="6694">
      <c r="A6694" s="11">
        <v>6693.0</v>
      </c>
      <c r="B6694" s="12">
        <f t="shared" si="1066"/>
        <v>40979</v>
      </c>
      <c r="C6694" s="11" t="s">
        <v>1054</v>
      </c>
      <c r="D6694" s="11" t="s">
        <v>28</v>
      </c>
    </row>
    <row r="6695">
      <c r="A6695" s="11">
        <v>6694.0</v>
      </c>
      <c r="B6695" s="12">
        <f t="shared" ref="B6695:B6699" si="1067">DATE(2012,12,31)-294</f>
        <v>40980</v>
      </c>
      <c r="C6695" s="11" t="s">
        <v>91</v>
      </c>
      <c r="D6695" s="11" t="s">
        <v>28</v>
      </c>
    </row>
    <row r="6696">
      <c r="A6696" s="11">
        <v>6695.0</v>
      </c>
      <c r="B6696" s="12">
        <f t="shared" si="1067"/>
        <v>40980</v>
      </c>
      <c r="C6696" s="11" t="s">
        <v>248</v>
      </c>
      <c r="D6696" s="11" t="s">
        <v>66</v>
      </c>
    </row>
    <row r="6697">
      <c r="A6697" s="11">
        <v>6696.0</v>
      </c>
      <c r="B6697" s="12">
        <f t="shared" si="1067"/>
        <v>40980</v>
      </c>
      <c r="C6697" s="11" t="s">
        <v>567</v>
      </c>
      <c r="D6697" s="11" t="s">
        <v>66</v>
      </c>
    </row>
    <row r="6698">
      <c r="A6698" s="11">
        <v>6697.0</v>
      </c>
      <c r="B6698" s="12">
        <f t="shared" si="1067"/>
        <v>40980</v>
      </c>
      <c r="C6698" s="11" t="s">
        <v>46</v>
      </c>
      <c r="D6698" s="11" t="s">
        <v>28</v>
      </c>
    </row>
    <row r="6699">
      <c r="A6699" s="11">
        <v>6698.0</v>
      </c>
      <c r="B6699" s="12">
        <f t="shared" si="1067"/>
        <v>40980</v>
      </c>
      <c r="C6699" s="11" t="s">
        <v>46</v>
      </c>
      <c r="D6699" s="11" t="s">
        <v>28</v>
      </c>
    </row>
    <row r="6700">
      <c r="A6700" s="11">
        <v>6699.0</v>
      </c>
      <c r="B6700" s="12">
        <f t="shared" ref="B6700:B6703" si="1068">DATE(2012,12,31)-293</f>
        <v>40981</v>
      </c>
      <c r="C6700" s="11" t="s">
        <v>823</v>
      </c>
      <c r="D6700" s="11" t="s">
        <v>49</v>
      </c>
    </row>
    <row r="6701">
      <c r="A6701" s="11">
        <v>6700.0</v>
      </c>
      <c r="B6701" s="12">
        <f t="shared" si="1068"/>
        <v>40981</v>
      </c>
      <c r="C6701" s="11" t="s">
        <v>462</v>
      </c>
      <c r="D6701" s="11" t="s">
        <v>28</v>
      </c>
    </row>
    <row r="6702">
      <c r="A6702" s="11">
        <v>6701.0</v>
      </c>
      <c r="B6702" s="12">
        <f t="shared" si="1068"/>
        <v>40981</v>
      </c>
      <c r="C6702" s="11" t="s">
        <v>1799</v>
      </c>
      <c r="D6702" s="11" t="s">
        <v>49</v>
      </c>
    </row>
    <row r="6703">
      <c r="A6703" s="11">
        <v>6702.0</v>
      </c>
      <c r="B6703" s="12">
        <f t="shared" si="1068"/>
        <v>40981</v>
      </c>
      <c r="C6703" s="11" t="s">
        <v>1799</v>
      </c>
      <c r="D6703" s="11" t="s">
        <v>66</v>
      </c>
    </row>
    <row r="6704">
      <c r="A6704" s="11">
        <v>6703.0</v>
      </c>
      <c r="B6704" s="12">
        <f t="shared" ref="B6704:B6708" si="1069">DATE(2012,12,31)-292</f>
        <v>40982</v>
      </c>
      <c r="C6704" s="11" t="s">
        <v>786</v>
      </c>
      <c r="D6704" s="11" t="s">
        <v>28</v>
      </c>
    </row>
    <row r="6705">
      <c r="A6705" s="11">
        <v>6704.0</v>
      </c>
      <c r="B6705" s="12">
        <f t="shared" si="1069"/>
        <v>40982</v>
      </c>
      <c r="C6705" s="11" t="s">
        <v>2185</v>
      </c>
      <c r="D6705" s="11" t="s">
        <v>49</v>
      </c>
    </row>
    <row r="6706">
      <c r="A6706" s="11">
        <v>6705.0</v>
      </c>
      <c r="B6706" s="12">
        <f t="shared" si="1069"/>
        <v>40982</v>
      </c>
      <c r="C6706" s="11" t="s">
        <v>884</v>
      </c>
      <c r="D6706" s="11" t="s">
        <v>28</v>
      </c>
    </row>
    <row r="6707">
      <c r="A6707" s="11">
        <v>6706.0</v>
      </c>
      <c r="B6707" s="12">
        <f t="shared" si="1069"/>
        <v>40982</v>
      </c>
      <c r="C6707" s="11" t="s">
        <v>25</v>
      </c>
      <c r="D6707" s="11" t="s">
        <v>28</v>
      </c>
    </row>
    <row r="6708">
      <c r="A6708" s="11">
        <v>6707.0</v>
      </c>
      <c r="B6708" s="12">
        <f t="shared" si="1069"/>
        <v>40982</v>
      </c>
      <c r="C6708" s="11" t="s">
        <v>25</v>
      </c>
      <c r="D6708" s="11" t="s">
        <v>49</v>
      </c>
    </row>
    <row r="6709">
      <c r="A6709" s="11">
        <v>6708.0</v>
      </c>
      <c r="B6709" s="12">
        <f t="shared" ref="B6709:B6717" si="1070">DATE(2012,12,31)-291</f>
        <v>40983</v>
      </c>
      <c r="C6709" s="11" t="s">
        <v>2297</v>
      </c>
      <c r="D6709" s="11" t="s">
        <v>28</v>
      </c>
    </row>
    <row r="6710">
      <c r="A6710" s="11">
        <v>6709.0</v>
      </c>
      <c r="B6710" s="12">
        <f t="shared" si="1070"/>
        <v>40983</v>
      </c>
      <c r="C6710" s="11" t="s">
        <v>2297</v>
      </c>
      <c r="D6710" s="11" t="s">
        <v>66</v>
      </c>
    </row>
    <row r="6711">
      <c r="A6711" s="11">
        <v>6710.0</v>
      </c>
      <c r="B6711" s="12">
        <f t="shared" si="1070"/>
        <v>40983</v>
      </c>
      <c r="C6711" s="11" t="s">
        <v>485</v>
      </c>
      <c r="D6711" s="11" t="s">
        <v>28</v>
      </c>
    </row>
    <row r="6712">
      <c r="A6712" s="11">
        <v>6711.0</v>
      </c>
      <c r="B6712" s="12">
        <f t="shared" si="1070"/>
        <v>40983</v>
      </c>
      <c r="C6712" s="11" t="s">
        <v>485</v>
      </c>
      <c r="D6712" s="11" t="s">
        <v>28</v>
      </c>
    </row>
    <row r="6713">
      <c r="A6713" s="11">
        <v>6712.0</v>
      </c>
      <c r="B6713" s="12">
        <f t="shared" si="1070"/>
        <v>40983</v>
      </c>
      <c r="C6713" s="11" t="s">
        <v>2039</v>
      </c>
      <c r="D6713" s="11" t="s">
        <v>49</v>
      </c>
    </row>
    <row r="6714">
      <c r="A6714" s="11">
        <v>6713.0</v>
      </c>
      <c r="B6714" s="12">
        <f t="shared" si="1070"/>
        <v>40983</v>
      </c>
      <c r="C6714" s="11" t="s">
        <v>2039</v>
      </c>
      <c r="D6714" s="11" t="s">
        <v>49</v>
      </c>
    </row>
    <row r="6715">
      <c r="A6715" s="11">
        <v>6714.0</v>
      </c>
      <c r="B6715" s="12">
        <f t="shared" si="1070"/>
        <v>40983</v>
      </c>
      <c r="C6715" s="11" t="s">
        <v>844</v>
      </c>
      <c r="D6715" s="11" t="s">
        <v>28</v>
      </c>
    </row>
    <row r="6716">
      <c r="A6716" s="11">
        <v>6715.0</v>
      </c>
      <c r="B6716" s="12">
        <f t="shared" si="1070"/>
        <v>40983</v>
      </c>
      <c r="C6716" s="11" t="s">
        <v>1442</v>
      </c>
      <c r="D6716" s="11" t="s">
        <v>28</v>
      </c>
    </row>
    <row r="6717">
      <c r="A6717" s="11">
        <v>6716.0</v>
      </c>
      <c r="B6717" s="12">
        <f t="shared" si="1070"/>
        <v>40983</v>
      </c>
      <c r="C6717" s="11" t="s">
        <v>744</v>
      </c>
      <c r="D6717" s="11" t="s">
        <v>28</v>
      </c>
    </row>
    <row r="6718">
      <c r="A6718" s="11">
        <v>6717.0</v>
      </c>
      <c r="B6718" s="12">
        <f t="shared" ref="B6718:B6721" si="1071">DATE(2012,12,31)-290</f>
        <v>40984</v>
      </c>
      <c r="C6718" s="11" t="s">
        <v>1409</v>
      </c>
      <c r="D6718" s="11" t="s">
        <v>66</v>
      </c>
    </row>
    <row r="6719">
      <c r="A6719" s="11">
        <v>6718.0</v>
      </c>
      <c r="B6719" s="12">
        <f t="shared" si="1071"/>
        <v>40984</v>
      </c>
      <c r="C6719" s="11" t="s">
        <v>1460</v>
      </c>
      <c r="D6719" s="11" t="s">
        <v>28</v>
      </c>
    </row>
    <row r="6720">
      <c r="A6720" s="11">
        <v>6719.0</v>
      </c>
      <c r="B6720" s="12">
        <f t="shared" si="1071"/>
        <v>40984</v>
      </c>
      <c r="C6720" s="11" t="s">
        <v>1983</v>
      </c>
      <c r="D6720" s="11" t="s">
        <v>28</v>
      </c>
    </row>
    <row r="6721">
      <c r="A6721" s="11">
        <v>6720.0</v>
      </c>
      <c r="B6721" s="12">
        <f t="shared" si="1071"/>
        <v>40984</v>
      </c>
      <c r="C6721" s="11" t="s">
        <v>1983</v>
      </c>
      <c r="D6721" s="11" t="s">
        <v>28</v>
      </c>
    </row>
    <row r="6722">
      <c r="A6722" s="11">
        <v>6721.0</v>
      </c>
      <c r="B6722" s="12">
        <f t="shared" ref="B6722:B6728" si="1072">DATE(2012,12,31)-289</f>
        <v>40985</v>
      </c>
      <c r="C6722" s="11" t="s">
        <v>919</v>
      </c>
      <c r="D6722" s="11" t="s">
        <v>28</v>
      </c>
    </row>
    <row r="6723">
      <c r="A6723" s="11">
        <v>6722.0</v>
      </c>
      <c r="B6723" s="12">
        <f t="shared" si="1072"/>
        <v>40985</v>
      </c>
      <c r="C6723" s="11" t="s">
        <v>1092</v>
      </c>
      <c r="D6723" s="11" t="s">
        <v>49</v>
      </c>
    </row>
    <row r="6724">
      <c r="A6724" s="11">
        <v>6723.0</v>
      </c>
      <c r="B6724" s="12">
        <f t="shared" si="1072"/>
        <v>40985</v>
      </c>
      <c r="C6724" s="11" t="s">
        <v>1092</v>
      </c>
      <c r="D6724" s="11" t="s">
        <v>28</v>
      </c>
    </row>
    <row r="6725">
      <c r="A6725" s="11">
        <v>6724.0</v>
      </c>
      <c r="B6725" s="12">
        <f t="shared" si="1072"/>
        <v>40985</v>
      </c>
      <c r="C6725" s="11" t="s">
        <v>1092</v>
      </c>
      <c r="D6725" s="11" t="s">
        <v>28</v>
      </c>
    </row>
    <row r="6726">
      <c r="A6726" s="11">
        <v>6725.0</v>
      </c>
      <c r="B6726" s="12">
        <f t="shared" si="1072"/>
        <v>40985</v>
      </c>
      <c r="C6726" s="11" t="s">
        <v>2434</v>
      </c>
      <c r="D6726" s="11" t="s">
        <v>66</v>
      </c>
    </row>
    <row r="6727">
      <c r="A6727" s="11">
        <v>6726.0</v>
      </c>
      <c r="B6727" s="12">
        <f t="shared" si="1072"/>
        <v>40985</v>
      </c>
      <c r="C6727" s="11" t="s">
        <v>2434</v>
      </c>
      <c r="D6727" s="11" t="s">
        <v>28</v>
      </c>
    </row>
    <row r="6728">
      <c r="A6728" s="11">
        <v>6727.0</v>
      </c>
      <c r="B6728" s="12">
        <f t="shared" si="1072"/>
        <v>40985</v>
      </c>
      <c r="C6728" s="11" t="s">
        <v>2058</v>
      </c>
      <c r="D6728" s="11" t="s">
        <v>66</v>
      </c>
    </row>
    <row r="6729">
      <c r="A6729" s="11">
        <v>6728.0</v>
      </c>
      <c r="B6729" s="12">
        <f t="shared" ref="B6729:B6731" si="1073">DATE(2012,12,31)-288</f>
        <v>40986</v>
      </c>
      <c r="C6729" s="11" t="s">
        <v>323</v>
      </c>
      <c r="D6729" s="11" t="s">
        <v>66</v>
      </c>
    </row>
    <row r="6730">
      <c r="A6730" s="11">
        <v>6729.0</v>
      </c>
      <c r="B6730" s="12">
        <f t="shared" si="1073"/>
        <v>40986</v>
      </c>
      <c r="C6730" s="11" t="s">
        <v>323</v>
      </c>
      <c r="D6730" s="11" t="s">
        <v>28</v>
      </c>
    </row>
    <row r="6731">
      <c r="A6731" s="11">
        <v>6730.0</v>
      </c>
      <c r="B6731" s="12">
        <f t="shared" si="1073"/>
        <v>40986</v>
      </c>
      <c r="C6731" s="11" t="s">
        <v>871</v>
      </c>
      <c r="D6731" s="11" t="s">
        <v>28</v>
      </c>
    </row>
    <row r="6732">
      <c r="A6732" s="11">
        <v>6731.0</v>
      </c>
      <c r="B6732" s="12">
        <f t="shared" ref="B6732:B6737" si="1074">DATE(2012,12,31)-287</f>
        <v>40987</v>
      </c>
      <c r="C6732" s="11" t="s">
        <v>2490</v>
      </c>
      <c r="D6732" s="11" t="s">
        <v>66</v>
      </c>
    </row>
    <row r="6733">
      <c r="A6733" s="11">
        <v>6732.0</v>
      </c>
      <c r="B6733" s="12">
        <f t="shared" si="1074"/>
        <v>40987</v>
      </c>
      <c r="C6733" s="11" t="s">
        <v>1972</v>
      </c>
      <c r="D6733" s="11" t="s">
        <v>28</v>
      </c>
    </row>
    <row r="6734">
      <c r="A6734" s="11">
        <v>6733.0</v>
      </c>
      <c r="B6734" s="12">
        <f t="shared" si="1074"/>
        <v>40987</v>
      </c>
      <c r="C6734" s="11" t="s">
        <v>1972</v>
      </c>
      <c r="D6734" s="11" t="s">
        <v>66</v>
      </c>
    </row>
    <row r="6735">
      <c r="A6735" s="11">
        <v>6734.0</v>
      </c>
      <c r="B6735" s="12">
        <f t="shared" si="1074"/>
        <v>40987</v>
      </c>
      <c r="C6735" s="11" t="s">
        <v>1972</v>
      </c>
      <c r="D6735" s="11" t="s">
        <v>66</v>
      </c>
    </row>
    <row r="6736">
      <c r="A6736" s="11">
        <v>6735.0</v>
      </c>
      <c r="B6736" s="12">
        <f t="shared" si="1074"/>
        <v>40987</v>
      </c>
      <c r="C6736" s="11" t="s">
        <v>1259</v>
      </c>
      <c r="D6736" s="11" t="s">
        <v>28</v>
      </c>
    </row>
    <row r="6737">
      <c r="A6737" s="11">
        <v>6736.0</v>
      </c>
      <c r="B6737" s="12">
        <f t="shared" si="1074"/>
        <v>40987</v>
      </c>
      <c r="C6737" s="11" t="s">
        <v>1372</v>
      </c>
      <c r="D6737" s="11" t="s">
        <v>28</v>
      </c>
    </row>
    <row r="6738">
      <c r="A6738" s="11">
        <v>6737.0</v>
      </c>
      <c r="B6738" s="12">
        <f t="shared" ref="B6738:B6742" si="1075">DATE(2012,12,31)-286</f>
        <v>40988</v>
      </c>
      <c r="C6738" s="11" t="s">
        <v>2075</v>
      </c>
      <c r="D6738" s="11" t="s">
        <v>28</v>
      </c>
    </row>
    <row r="6739">
      <c r="A6739" s="11">
        <v>6738.0</v>
      </c>
      <c r="B6739" s="12">
        <f t="shared" si="1075"/>
        <v>40988</v>
      </c>
      <c r="C6739" s="11" t="s">
        <v>2136</v>
      </c>
      <c r="D6739" s="11" t="s">
        <v>28</v>
      </c>
    </row>
    <row r="6740">
      <c r="A6740" s="11">
        <v>6739.0</v>
      </c>
      <c r="B6740" s="12">
        <f t="shared" si="1075"/>
        <v>40988</v>
      </c>
      <c r="C6740" s="11" t="s">
        <v>2319</v>
      </c>
      <c r="D6740" s="11" t="s">
        <v>28</v>
      </c>
    </row>
    <row r="6741">
      <c r="A6741" s="11">
        <v>6740.0</v>
      </c>
      <c r="B6741" s="12">
        <f t="shared" si="1075"/>
        <v>40988</v>
      </c>
      <c r="C6741" s="11" t="s">
        <v>1089</v>
      </c>
      <c r="D6741" s="11" t="s">
        <v>66</v>
      </c>
    </row>
    <row r="6742">
      <c r="A6742" s="11">
        <v>6741.0</v>
      </c>
      <c r="B6742" s="12">
        <f t="shared" si="1075"/>
        <v>40988</v>
      </c>
      <c r="C6742" s="11" t="s">
        <v>106</v>
      </c>
      <c r="D6742" s="11" t="s">
        <v>66</v>
      </c>
    </row>
    <row r="6743">
      <c r="A6743" s="11">
        <v>6742.0</v>
      </c>
      <c r="B6743" s="12">
        <f t="shared" ref="B6743:B6745" si="1076">DATE(2012,12,31)-285</f>
        <v>40989</v>
      </c>
      <c r="C6743" s="11" t="s">
        <v>2375</v>
      </c>
      <c r="D6743" s="11" t="s">
        <v>28</v>
      </c>
    </row>
    <row r="6744">
      <c r="A6744" s="11">
        <v>6743.0</v>
      </c>
      <c r="B6744" s="12">
        <f t="shared" si="1076"/>
        <v>40989</v>
      </c>
      <c r="C6744" s="11" t="s">
        <v>320</v>
      </c>
      <c r="D6744" s="11" t="s">
        <v>66</v>
      </c>
    </row>
    <row r="6745">
      <c r="A6745" s="11">
        <v>6744.0</v>
      </c>
      <c r="B6745" s="12">
        <f t="shared" si="1076"/>
        <v>40989</v>
      </c>
      <c r="C6745" s="11" t="s">
        <v>320</v>
      </c>
      <c r="D6745" s="11" t="s">
        <v>66</v>
      </c>
    </row>
    <row r="6746">
      <c r="A6746" s="11">
        <v>6745.0</v>
      </c>
      <c r="B6746" s="12">
        <f t="shared" ref="B6746:B6748" si="1077">DATE(2012,12,31)-284</f>
        <v>40990</v>
      </c>
      <c r="C6746" s="11" t="s">
        <v>1618</v>
      </c>
      <c r="D6746" s="11" t="s">
        <v>66</v>
      </c>
    </row>
    <row r="6747">
      <c r="A6747" s="11">
        <v>6746.0</v>
      </c>
      <c r="B6747" s="12">
        <f t="shared" si="1077"/>
        <v>40990</v>
      </c>
      <c r="C6747" s="11" t="s">
        <v>1520</v>
      </c>
      <c r="D6747" s="11" t="s">
        <v>66</v>
      </c>
    </row>
    <row r="6748">
      <c r="A6748" s="11">
        <v>6747.0</v>
      </c>
      <c r="B6748" s="12">
        <f t="shared" si="1077"/>
        <v>40990</v>
      </c>
      <c r="C6748" s="11" t="s">
        <v>403</v>
      </c>
      <c r="D6748" s="11" t="s">
        <v>28</v>
      </c>
    </row>
    <row r="6749">
      <c r="A6749" s="11">
        <v>6748.0</v>
      </c>
      <c r="B6749" s="12">
        <f t="shared" ref="B6749:B6763" si="1078">DATE(2012,12,31)-283</f>
        <v>40991</v>
      </c>
      <c r="C6749" s="11" t="s">
        <v>1607</v>
      </c>
      <c r="D6749" s="11" t="s">
        <v>49</v>
      </c>
    </row>
    <row r="6750">
      <c r="A6750" s="11">
        <v>6749.0</v>
      </c>
      <c r="B6750" s="12">
        <f t="shared" si="1078"/>
        <v>40991</v>
      </c>
      <c r="C6750" s="11" t="s">
        <v>1209</v>
      </c>
      <c r="D6750" s="11" t="s">
        <v>28</v>
      </c>
    </row>
    <row r="6751">
      <c r="A6751" s="11">
        <v>6750.0</v>
      </c>
      <c r="B6751" s="12">
        <f t="shared" si="1078"/>
        <v>40991</v>
      </c>
      <c r="C6751" s="11" t="s">
        <v>2598</v>
      </c>
      <c r="D6751" s="11" t="s">
        <v>28</v>
      </c>
    </row>
    <row r="6752">
      <c r="A6752" s="11">
        <v>6751.0</v>
      </c>
      <c r="B6752" s="12">
        <f t="shared" si="1078"/>
        <v>40991</v>
      </c>
      <c r="C6752" s="11" t="s">
        <v>1288</v>
      </c>
      <c r="D6752" s="11" t="s">
        <v>66</v>
      </c>
    </row>
    <row r="6753">
      <c r="A6753" s="11">
        <v>6752.0</v>
      </c>
      <c r="B6753" s="12">
        <f t="shared" si="1078"/>
        <v>40991</v>
      </c>
      <c r="C6753" s="11" t="s">
        <v>1288</v>
      </c>
      <c r="D6753" s="11" t="s">
        <v>28</v>
      </c>
    </row>
    <row r="6754">
      <c r="A6754" s="11">
        <v>6753.0</v>
      </c>
      <c r="B6754" s="12">
        <f t="shared" si="1078"/>
        <v>40991</v>
      </c>
      <c r="C6754" s="11" t="s">
        <v>546</v>
      </c>
      <c r="D6754" s="11" t="s">
        <v>28</v>
      </c>
    </row>
    <row r="6755">
      <c r="A6755" s="11">
        <v>6754.0</v>
      </c>
      <c r="B6755" s="12">
        <f t="shared" si="1078"/>
        <v>40991</v>
      </c>
      <c r="C6755" s="11" t="s">
        <v>1112</v>
      </c>
      <c r="D6755" s="11" t="s">
        <v>66</v>
      </c>
    </row>
    <row r="6756">
      <c r="A6756" s="11">
        <v>6755.0</v>
      </c>
      <c r="B6756" s="12">
        <f t="shared" si="1078"/>
        <v>40991</v>
      </c>
      <c r="C6756" s="11" t="s">
        <v>1123</v>
      </c>
      <c r="D6756" s="11" t="s">
        <v>66</v>
      </c>
    </row>
    <row r="6757">
      <c r="A6757" s="11">
        <v>6756.0</v>
      </c>
      <c r="B6757" s="12">
        <f t="shared" si="1078"/>
        <v>40991</v>
      </c>
      <c r="C6757" s="11" t="s">
        <v>2084</v>
      </c>
      <c r="D6757" s="11" t="s">
        <v>28</v>
      </c>
    </row>
    <row r="6758">
      <c r="A6758" s="11">
        <v>6757.0</v>
      </c>
      <c r="B6758" s="12">
        <f t="shared" si="1078"/>
        <v>40991</v>
      </c>
      <c r="C6758" s="11" t="s">
        <v>2084</v>
      </c>
      <c r="D6758" s="11" t="s">
        <v>49</v>
      </c>
    </row>
    <row r="6759">
      <c r="A6759" s="11">
        <v>6758.0</v>
      </c>
      <c r="B6759" s="12">
        <f t="shared" si="1078"/>
        <v>40991</v>
      </c>
      <c r="C6759" s="11" t="s">
        <v>2084</v>
      </c>
      <c r="D6759" s="11" t="s">
        <v>66</v>
      </c>
    </row>
    <row r="6760">
      <c r="A6760" s="11">
        <v>6759.0</v>
      </c>
      <c r="B6760" s="12">
        <f t="shared" si="1078"/>
        <v>40991</v>
      </c>
      <c r="C6760" s="11" t="s">
        <v>2084</v>
      </c>
      <c r="D6760" s="11" t="s">
        <v>66</v>
      </c>
    </row>
    <row r="6761">
      <c r="A6761" s="11">
        <v>6760.0</v>
      </c>
      <c r="B6761" s="12">
        <f t="shared" si="1078"/>
        <v>40991</v>
      </c>
      <c r="C6761" s="11" t="s">
        <v>1221</v>
      </c>
      <c r="D6761" s="11" t="s">
        <v>28</v>
      </c>
    </row>
    <row r="6762">
      <c r="A6762" s="11">
        <v>6761.0</v>
      </c>
      <c r="B6762" s="12">
        <f t="shared" si="1078"/>
        <v>40991</v>
      </c>
      <c r="C6762" s="11" t="s">
        <v>1221</v>
      </c>
      <c r="D6762" s="11" t="s">
        <v>66</v>
      </c>
    </row>
    <row r="6763">
      <c r="A6763" s="11">
        <v>6762.0</v>
      </c>
      <c r="B6763" s="12">
        <f t="shared" si="1078"/>
        <v>40991</v>
      </c>
      <c r="C6763" s="11" t="s">
        <v>1221</v>
      </c>
      <c r="D6763" s="11" t="s">
        <v>28</v>
      </c>
    </row>
    <row r="6764">
      <c r="A6764" s="11">
        <v>6763.0</v>
      </c>
      <c r="B6764" s="12">
        <f t="shared" ref="B6764:B6772" si="1079">DATE(2012,12,31)-282</f>
        <v>40992</v>
      </c>
      <c r="C6764" s="11" t="s">
        <v>2276</v>
      </c>
      <c r="D6764" s="11" t="s">
        <v>28</v>
      </c>
    </row>
    <row r="6765">
      <c r="A6765" s="11">
        <v>6764.0</v>
      </c>
      <c r="B6765" s="12">
        <f t="shared" si="1079"/>
        <v>40992</v>
      </c>
      <c r="C6765" s="11" t="s">
        <v>2542</v>
      </c>
      <c r="D6765" s="11" t="s">
        <v>28</v>
      </c>
    </row>
    <row r="6766">
      <c r="A6766" s="11">
        <v>6765.0</v>
      </c>
      <c r="B6766" s="12">
        <f t="shared" si="1079"/>
        <v>40992</v>
      </c>
      <c r="C6766" s="11" t="s">
        <v>1179</v>
      </c>
      <c r="D6766" s="11" t="s">
        <v>28</v>
      </c>
    </row>
    <row r="6767">
      <c r="A6767" s="11">
        <v>6766.0</v>
      </c>
      <c r="B6767" s="12">
        <f t="shared" si="1079"/>
        <v>40992</v>
      </c>
      <c r="C6767" s="11" t="s">
        <v>681</v>
      </c>
      <c r="D6767" s="11" t="s">
        <v>28</v>
      </c>
    </row>
    <row r="6768">
      <c r="A6768" s="11">
        <v>6767.0</v>
      </c>
      <c r="B6768" s="12">
        <f t="shared" si="1079"/>
        <v>40992</v>
      </c>
      <c r="C6768" s="11" t="s">
        <v>850</v>
      </c>
      <c r="D6768" s="11" t="s">
        <v>28</v>
      </c>
    </row>
    <row r="6769">
      <c r="A6769" s="11">
        <v>6768.0</v>
      </c>
      <c r="B6769" s="12">
        <f t="shared" si="1079"/>
        <v>40992</v>
      </c>
      <c r="C6769" s="11" t="s">
        <v>2427</v>
      </c>
      <c r="D6769" s="11" t="s">
        <v>28</v>
      </c>
    </row>
    <row r="6770">
      <c r="A6770" s="11">
        <v>6769.0</v>
      </c>
      <c r="B6770" s="12">
        <f t="shared" si="1079"/>
        <v>40992</v>
      </c>
      <c r="C6770" s="11" t="s">
        <v>2427</v>
      </c>
      <c r="D6770" s="11" t="s">
        <v>28</v>
      </c>
    </row>
    <row r="6771">
      <c r="A6771" s="11">
        <v>6770.0</v>
      </c>
      <c r="B6771" s="12">
        <f t="shared" si="1079"/>
        <v>40992</v>
      </c>
      <c r="C6771" s="11" t="s">
        <v>2427</v>
      </c>
      <c r="D6771" s="11" t="s">
        <v>49</v>
      </c>
    </row>
    <row r="6772">
      <c r="A6772" s="11">
        <v>6771.0</v>
      </c>
      <c r="B6772" s="12">
        <f t="shared" si="1079"/>
        <v>40992</v>
      </c>
      <c r="C6772" s="11" t="s">
        <v>2427</v>
      </c>
      <c r="D6772" s="11" t="s">
        <v>28</v>
      </c>
    </row>
    <row r="6773">
      <c r="A6773" s="11">
        <v>6772.0</v>
      </c>
      <c r="B6773" s="12">
        <f>DATE(2012,12,31)-281</f>
        <v>40993</v>
      </c>
      <c r="C6773" s="11" t="s">
        <v>1170</v>
      </c>
      <c r="D6773" s="11" t="s">
        <v>28</v>
      </c>
    </row>
    <row r="6774">
      <c r="A6774" s="11">
        <v>6773.0</v>
      </c>
      <c r="B6774" s="12">
        <f t="shared" ref="B6774:B6778" si="1080">DATE(2012,12,31)-280</f>
        <v>40994</v>
      </c>
      <c r="C6774" s="11" t="s">
        <v>806</v>
      </c>
      <c r="D6774" s="11" t="s">
        <v>66</v>
      </c>
    </row>
    <row r="6775">
      <c r="A6775" s="11">
        <v>6774.0</v>
      </c>
      <c r="B6775" s="12">
        <f t="shared" si="1080"/>
        <v>40994</v>
      </c>
      <c r="C6775" s="11" t="s">
        <v>806</v>
      </c>
      <c r="D6775" s="11" t="s">
        <v>28</v>
      </c>
    </row>
    <row r="6776">
      <c r="A6776" s="11">
        <v>6775.0</v>
      </c>
      <c r="B6776" s="12">
        <f t="shared" si="1080"/>
        <v>40994</v>
      </c>
      <c r="C6776" s="11" t="s">
        <v>1468</v>
      </c>
      <c r="D6776" s="11" t="s">
        <v>66</v>
      </c>
    </row>
    <row r="6777">
      <c r="A6777" s="11">
        <v>6776.0</v>
      </c>
      <c r="B6777" s="12">
        <f t="shared" si="1080"/>
        <v>40994</v>
      </c>
      <c r="C6777" s="11" t="s">
        <v>1564</v>
      </c>
      <c r="D6777" s="11" t="s">
        <v>28</v>
      </c>
    </row>
    <row r="6778">
      <c r="A6778" s="11">
        <v>6777.0</v>
      </c>
      <c r="B6778" s="12">
        <f t="shared" si="1080"/>
        <v>40994</v>
      </c>
      <c r="C6778" s="11" t="s">
        <v>968</v>
      </c>
      <c r="D6778" s="11" t="s">
        <v>66</v>
      </c>
    </row>
    <row r="6779">
      <c r="A6779" s="11">
        <v>6778.0</v>
      </c>
      <c r="B6779" s="12">
        <f t="shared" ref="B6779:B6783" si="1081">DATE(2012,12,31)-279</f>
        <v>40995</v>
      </c>
      <c r="C6779" s="11" t="s">
        <v>759</v>
      </c>
      <c r="D6779" s="11" t="s">
        <v>49</v>
      </c>
    </row>
    <row r="6780">
      <c r="A6780" s="11">
        <v>6779.0</v>
      </c>
      <c r="B6780" s="12">
        <f t="shared" si="1081"/>
        <v>40995</v>
      </c>
      <c r="C6780" s="11" t="s">
        <v>1876</v>
      </c>
      <c r="D6780" s="11" t="s">
        <v>49</v>
      </c>
    </row>
    <row r="6781">
      <c r="A6781" s="11">
        <v>6780.0</v>
      </c>
      <c r="B6781" s="12">
        <f t="shared" si="1081"/>
        <v>40995</v>
      </c>
      <c r="C6781" s="11" t="s">
        <v>1805</v>
      </c>
      <c r="D6781" s="11" t="s">
        <v>28</v>
      </c>
    </row>
    <row r="6782">
      <c r="A6782" s="11">
        <v>6781.0</v>
      </c>
      <c r="B6782" s="12">
        <f t="shared" si="1081"/>
        <v>40995</v>
      </c>
      <c r="C6782" s="11" t="s">
        <v>1805</v>
      </c>
      <c r="D6782" s="11" t="s">
        <v>66</v>
      </c>
    </row>
    <row r="6783">
      <c r="A6783" s="11">
        <v>6782.0</v>
      </c>
      <c r="B6783" s="12">
        <f t="shared" si="1081"/>
        <v>40995</v>
      </c>
      <c r="C6783" s="11" t="s">
        <v>1805</v>
      </c>
      <c r="D6783" s="11" t="s">
        <v>66</v>
      </c>
    </row>
    <row r="6784">
      <c r="A6784" s="11">
        <v>6783.0</v>
      </c>
      <c r="B6784" s="12">
        <f t="shared" ref="B6784:B6803" si="1082">DATE(2012,12,31)-278</f>
        <v>40996</v>
      </c>
      <c r="C6784" s="11" t="s">
        <v>819</v>
      </c>
      <c r="D6784" s="11" t="s">
        <v>28</v>
      </c>
    </row>
    <row r="6785">
      <c r="A6785" s="11">
        <v>6784.0</v>
      </c>
      <c r="B6785" s="12">
        <f t="shared" si="1082"/>
        <v>40996</v>
      </c>
      <c r="C6785" s="11" t="s">
        <v>819</v>
      </c>
      <c r="D6785" s="11" t="s">
        <v>66</v>
      </c>
    </row>
    <row r="6786">
      <c r="A6786" s="11">
        <v>6785.0</v>
      </c>
      <c r="B6786" s="12">
        <f t="shared" si="1082"/>
        <v>40996</v>
      </c>
      <c r="C6786" s="11" t="s">
        <v>819</v>
      </c>
      <c r="D6786" s="11" t="s">
        <v>28</v>
      </c>
    </row>
    <row r="6787">
      <c r="A6787" s="11">
        <v>6786.0</v>
      </c>
      <c r="B6787" s="12">
        <f t="shared" si="1082"/>
        <v>40996</v>
      </c>
      <c r="C6787" s="11" t="s">
        <v>819</v>
      </c>
      <c r="D6787" s="11" t="s">
        <v>49</v>
      </c>
    </row>
    <row r="6788">
      <c r="A6788" s="11">
        <v>6787.0</v>
      </c>
      <c r="B6788" s="12">
        <f t="shared" si="1082"/>
        <v>40996</v>
      </c>
      <c r="C6788" s="11" t="s">
        <v>2569</v>
      </c>
      <c r="D6788" s="11" t="s">
        <v>28</v>
      </c>
    </row>
    <row r="6789">
      <c r="A6789" s="11">
        <v>6788.0</v>
      </c>
      <c r="B6789" s="12">
        <f t="shared" si="1082"/>
        <v>40996</v>
      </c>
      <c r="C6789" s="11" t="s">
        <v>2569</v>
      </c>
      <c r="D6789" s="11" t="s">
        <v>49</v>
      </c>
    </row>
    <row r="6790">
      <c r="A6790" s="11">
        <v>6789.0</v>
      </c>
      <c r="B6790" s="12">
        <f t="shared" si="1082"/>
        <v>40996</v>
      </c>
      <c r="C6790" s="11" t="s">
        <v>2569</v>
      </c>
      <c r="D6790" s="11" t="s">
        <v>28</v>
      </c>
    </row>
    <row r="6791">
      <c r="A6791" s="11">
        <v>6790.0</v>
      </c>
      <c r="B6791" s="12">
        <f t="shared" si="1082"/>
        <v>40996</v>
      </c>
      <c r="C6791" s="11" t="s">
        <v>2569</v>
      </c>
      <c r="D6791" s="11" t="s">
        <v>28</v>
      </c>
    </row>
    <row r="6792">
      <c r="A6792" s="11">
        <v>6791.0</v>
      </c>
      <c r="B6792" s="12">
        <f t="shared" si="1082"/>
        <v>40996</v>
      </c>
      <c r="C6792" s="11" t="s">
        <v>2075</v>
      </c>
      <c r="D6792" s="11" t="s">
        <v>28</v>
      </c>
    </row>
    <row r="6793">
      <c r="A6793" s="11">
        <v>6792.0</v>
      </c>
      <c r="B6793" s="12">
        <f t="shared" si="1082"/>
        <v>40996</v>
      </c>
      <c r="C6793" s="11" t="s">
        <v>1417</v>
      </c>
      <c r="D6793" s="11" t="s">
        <v>49</v>
      </c>
    </row>
    <row r="6794">
      <c r="A6794" s="11">
        <v>6793.0</v>
      </c>
      <c r="B6794" s="12">
        <f t="shared" si="1082"/>
        <v>40996</v>
      </c>
      <c r="C6794" s="11" t="s">
        <v>1417</v>
      </c>
      <c r="D6794" s="11" t="s">
        <v>28</v>
      </c>
    </row>
    <row r="6795">
      <c r="A6795" s="11">
        <v>6794.0</v>
      </c>
      <c r="B6795" s="12">
        <f t="shared" si="1082"/>
        <v>40996</v>
      </c>
      <c r="C6795" s="11" t="s">
        <v>1423</v>
      </c>
      <c r="D6795" s="11" t="s">
        <v>28</v>
      </c>
    </row>
    <row r="6796">
      <c r="A6796" s="11">
        <v>6795.0</v>
      </c>
      <c r="B6796" s="12">
        <f t="shared" si="1082"/>
        <v>40996</v>
      </c>
      <c r="C6796" s="11" t="s">
        <v>1423</v>
      </c>
      <c r="D6796" s="11" t="s">
        <v>66</v>
      </c>
    </row>
    <row r="6797">
      <c r="A6797" s="11">
        <v>6796.0</v>
      </c>
      <c r="B6797" s="12">
        <f t="shared" si="1082"/>
        <v>40996</v>
      </c>
      <c r="C6797" s="11" t="s">
        <v>1338</v>
      </c>
      <c r="D6797" s="11" t="s">
        <v>28</v>
      </c>
    </row>
    <row r="6798">
      <c r="A6798" s="11">
        <v>6797.0</v>
      </c>
      <c r="B6798" s="12">
        <f t="shared" si="1082"/>
        <v>40996</v>
      </c>
      <c r="C6798" s="11" t="s">
        <v>1338</v>
      </c>
      <c r="D6798" s="11" t="s">
        <v>66</v>
      </c>
    </row>
    <row r="6799">
      <c r="A6799" s="11">
        <v>6798.0</v>
      </c>
      <c r="B6799" s="12">
        <f t="shared" si="1082"/>
        <v>40996</v>
      </c>
      <c r="C6799" s="11" t="s">
        <v>1761</v>
      </c>
      <c r="D6799" s="11" t="s">
        <v>49</v>
      </c>
    </row>
    <row r="6800">
      <c r="A6800" s="11">
        <v>6799.0</v>
      </c>
      <c r="B6800" s="12">
        <f t="shared" si="1082"/>
        <v>40996</v>
      </c>
      <c r="C6800" s="11" t="s">
        <v>1750</v>
      </c>
      <c r="D6800" s="11" t="s">
        <v>49</v>
      </c>
    </row>
    <row r="6801">
      <c r="A6801" s="11">
        <v>6800.0</v>
      </c>
      <c r="B6801" s="12">
        <f t="shared" si="1082"/>
        <v>40996</v>
      </c>
      <c r="C6801" s="11" t="s">
        <v>1750</v>
      </c>
      <c r="D6801" s="11" t="s">
        <v>49</v>
      </c>
    </row>
    <row r="6802">
      <c r="A6802" s="11">
        <v>6801.0</v>
      </c>
      <c r="B6802" s="12">
        <f t="shared" si="1082"/>
        <v>40996</v>
      </c>
      <c r="C6802" s="11" t="s">
        <v>756</v>
      </c>
      <c r="D6802" s="11" t="s">
        <v>28</v>
      </c>
    </row>
    <row r="6803">
      <c r="A6803" s="11">
        <v>6802.0</v>
      </c>
      <c r="B6803" s="12">
        <f t="shared" si="1082"/>
        <v>40996</v>
      </c>
      <c r="C6803" s="11" t="s">
        <v>756</v>
      </c>
      <c r="D6803" s="11" t="s">
        <v>66</v>
      </c>
    </row>
    <row r="6804">
      <c r="A6804" s="11">
        <v>6803.0</v>
      </c>
      <c r="B6804" s="12">
        <f t="shared" ref="B6804:B6809" si="1083">DATE(2012,12,31)-277</f>
        <v>40997</v>
      </c>
      <c r="C6804" s="11" t="s">
        <v>1470</v>
      </c>
      <c r="D6804" s="11" t="s">
        <v>49</v>
      </c>
    </row>
    <row r="6805">
      <c r="A6805" s="11">
        <v>6804.0</v>
      </c>
      <c r="B6805" s="12">
        <f t="shared" si="1083"/>
        <v>40997</v>
      </c>
      <c r="C6805" s="11" t="s">
        <v>850</v>
      </c>
      <c r="D6805" s="11" t="s">
        <v>28</v>
      </c>
    </row>
    <row r="6806">
      <c r="A6806" s="11">
        <v>6805.0</v>
      </c>
      <c r="B6806" s="12">
        <f t="shared" si="1083"/>
        <v>40997</v>
      </c>
      <c r="C6806" s="11" t="s">
        <v>1276</v>
      </c>
      <c r="D6806" s="11" t="s">
        <v>28</v>
      </c>
    </row>
    <row r="6807">
      <c r="A6807" s="11">
        <v>6806.0</v>
      </c>
      <c r="B6807" s="12">
        <f t="shared" si="1083"/>
        <v>40997</v>
      </c>
      <c r="C6807" s="11" t="s">
        <v>120</v>
      </c>
      <c r="D6807" s="11" t="s">
        <v>66</v>
      </c>
    </row>
    <row r="6808">
      <c r="A6808" s="11">
        <v>6807.0</v>
      </c>
      <c r="B6808" s="12">
        <f t="shared" si="1083"/>
        <v>40997</v>
      </c>
      <c r="C6808" s="11" t="s">
        <v>2169</v>
      </c>
      <c r="D6808" s="11" t="s">
        <v>28</v>
      </c>
    </row>
    <row r="6809">
      <c r="A6809" s="11">
        <v>6808.0</v>
      </c>
      <c r="B6809" s="12">
        <f t="shared" si="1083"/>
        <v>40997</v>
      </c>
      <c r="C6809" s="11" t="s">
        <v>2169</v>
      </c>
      <c r="D6809" s="11" t="s">
        <v>28</v>
      </c>
    </row>
    <row r="6810">
      <c r="A6810" s="11">
        <v>6809.0</v>
      </c>
      <c r="B6810" s="12">
        <f t="shared" ref="B6810:B6816" si="1084">DATE(2012,12,31)-276</f>
        <v>40998</v>
      </c>
      <c r="C6810" s="11" t="s">
        <v>2538</v>
      </c>
      <c r="D6810" s="11" t="s">
        <v>66</v>
      </c>
    </row>
    <row r="6811">
      <c r="A6811" s="11">
        <v>6810.0</v>
      </c>
      <c r="B6811" s="12">
        <f t="shared" si="1084"/>
        <v>40998</v>
      </c>
      <c r="C6811" s="11" t="s">
        <v>2527</v>
      </c>
      <c r="D6811" s="11" t="s">
        <v>49</v>
      </c>
    </row>
    <row r="6812">
      <c r="A6812" s="11">
        <v>6811.0</v>
      </c>
      <c r="B6812" s="12">
        <f t="shared" si="1084"/>
        <v>40998</v>
      </c>
      <c r="C6812" s="11" t="s">
        <v>1752</v>
      </c>
      <c r="D6812" s="11" t="s">
        <v>66</v>
      </c>
    </row>
    <row r="6813">
      <c r="A6813" s="11">
        <v>6812.0</v>
      </c>
      <c r="B6813" s="12">
        <f t="shared" si="1084"/>
        <v>40998</v>
      </c>
      <c r="C6813" s="11" t="s">
        <v>181</v>
      </c>
      <c r="D6813" s="11" t="s">
        <v>66</v>
      </c>
    </row>
    <row r="6814">
      <c r="A6814" s="11">
        <v>6813.0</v>
      </c>
      <c r="B6814" s="12">
        <f t="shared" si="1084"/>
        <v>40998</v>
      </c>
      <c r="C6814" s="11" t="s">
        <v>1715</v>
      </c>
      <c r="D6814" s="11" t="s">
        <v>28</v>
      </c>
    </row>
    <row r="6815">
      <c r="A6815" s="11">
        <v>6814.0</v>
      </c>
      <c r="B6815" s="12">
        <f t="shared" si="1084"/>
        <v>40998</v>
      </c>
      <c r="C6815" s="11" t="s">
        <v>222</v>
      </c>
      <c r="D6815" s="11" t="s">
        <v>28</v>
      </c>
    </row>
    <row r="6816">
      <c r="A6816" s="11">
        <v>6815.0</v>
      </c>
      <c r="B6816" s="12">
        <f t="shared" si="1084"/>
        <v>40998</v>
      </c>
      <c r="C6816" s="11" t="s">
        <v>803</v>
      </c>
      <c r="D6816" s="11" t="s">
        <v>28</v>
      </c>
    </row>
    <row r="6817">
      <c r="A6817" s="11">
        <v>6816.0</v>
      </c>
      <c r="B6817" s="12">
        <f t="shared" ref="B6817:B6820" si="1085">DATE(2012,12,31)-275</f>
        <v>40999</v>
      </c>
      <c r="C6817" s="11" t="s">
        <v>665</v>
      </c>
      <c r="D6817" s="11" t="s">
        <v>28</v>
      </c>
    </row>
    <row r="6818">
      <c r="A6818" s="11">
        <v>6817.0</v>
      </c>
      <c r="B6818" s="12">
        <f t="shared" si="1085"/>
        <v>40999</v>
      </c>
      <c r="C6818" s="11" t="s">
        <v>1490</v>
      </c>
      <c r="D6818" s="11" t="s">
        <v>49</v>
      </c>
    </row>
    <row r="6819">
      <c r="A6819" s="11">
        <v>6818.0</v>
      </c>
      <c r="B6819" s="12">
        <f t="shared" si="1085"/>
        <v>40999</v>
      </c>
      <c r="C6819" s="11" t="s">
        <v>423</v>
      </c>
      <c r="D6819" s="11" t="s">
        <v>66</v>
      </c>
    </row>
    <row r="6820">
      <c r="A6820" s="11">
        <v>6819.0</v>
      </c>
      <c r="B6820" s="12">
        <f t="shared" si="1085"/>
        <v>40999</v>
      </c>
      <c r="C6820" s="11" t="s">
        <v>1425</v>
      </c>
      <c r="D6820" s="11" t="s">
        <v>28</v>
      </c>
    </row>
    <row r="6821">
      <c r="A6821" s="11">
        <v>6820.0</v>
      </c>
      <c r="B6821" s="12">
        <f t="shared" ref="B6821:B6825" si="1086">DATE(2012,12,31)-274</f>
        <v>41000</v>
      </c>
      <c r="C6821" s="11" t="s">
        <v>839</v>
      </c>
      <c r="D6821" s="11" t="s">
        <v>66</v>
      </c>
    </row>
    <row r="6822">
      <c r="A6822" s="11">
        <v>6821.0</v>
      </c>
      <c r="B6822" s="12">
        <f t="shared" si="1086"/>
        <v>41000</v>
      </c>
      <c r="C6822" s="11" t="s">
        <v>1101</v>
      </c>
      <c r="D6822" s="11" t="s">
        <v>28</v>
      </c>
    </row>
    <row r="6823">
      <c r="A6823" s="11">
        <v>6822.0</v>
      </c>
      <c r="B6823" s="12">
        <f t="shared" si="1086"/>
        <v>41000</v>
      </c>
      <c r="C6823" s="11" t="s">
        <v>1101</v>
      </c>
      <c r="D6823" s="11" t="s">
        <v>28</v>
      </c>
    </row>
    <row r="6824">
      <c r="A6824" s="11">
        <v>6823.0</v>
      </c>
      <c r="B6824" s="12">
        <f t="shared" si="1086"/>
        <v>41000</v>
      </c>
      <c r="C6824" s="11" t="s">
        <v>1936</v>
      </c>
      <c r="D6824" s="11" t="s">
        <v>28</v>
      </c>
    </row>
    <row r="6825">
      <c r="A6825" s="11">
        <v>6824.0</v>
      </c>
      <c r="B6825" s="12">
        <f t="shared" si="1086"/>
        <v>41000</v>
      </c>
      <c r="C6825" s="11" t="s">
        <v>395</v>
      </c>
      <c r="D6825" s="11" t="s">
        <v>28</v>
      </c>
    </row>
    <row r="6826">
      <c r="A6826" s="11">
        <v>6825.0</v>
      </c>
      <c r="B6826" s="12">
        <f>DATE(2012,12,31)-273</f>
        <v>41001</v>
      </c>
      <c r="C6826" s="11" t="s">
        <v>1599</v>
      </c>
      <c r="D6826" s="11" t="s">
        <v>28</v>
      </c>
    </row>
    <row r="6827">
      <c r="A6827" s="11">
        <v>6826.0</v>
      </c>
      <c r="B6827" s="12">
        <f t="shared" ref="B6827:B6831" si="1087">DATE(2012,12,31)-272</f>
        <v>41002</v>
      </c>
      <c r="C6827" s="11" t="s">
        <v>786</v>
      </c>
      <c r="D6827" s="11" t="s">
        <v>49</v>
      </c>
    </row>
    <row r="6828">
      <c r="A6828" s="11">
        <v>6827.0</v>
      </c>
      <c r="B6828" s="12">
        <f t="shared" si="1087"/>
        <v>41002</v>
      </c>
      <c r="C6828" s="11" t="s">
        <v>786</v>
      </c>
      <c r="D6828" s="11" t="s">
        <v>28</v>
      </c>
    </row>
    <row r="6829">
      <c r="A6829" s="11">
        <v>6828.0</v>
      </c>
      <c r="B6829" s="12">
        <f t="shared" si="1087"/>
        <v>41002</v>
      </c>
      <c r="C6829" s="11" t="s">
        <v>357</v>
      </c>
      <c r="D6829" s="11" t="s">
        <v>28</v>
      </c>
    </row>
    <row r="6830">
      <c r="A6830" s="11">
        <v>6829.0</v>
      </c>
      <c r="B6830" s="12">
        <f t="shared" si="1087"/>
        <v>41002</v>
      </c>
      <c r="C6830" s="11" t="s">
        <v>403</v>
      </c>
      <c r="D6830" s="11" t="s">
        <v>66</v>
      </c>
    </row>
    <row r="6831">
      <c r="A6831" s="11">
        <v>6830.0</v>
      </c>
      <c r="B6831" s="12">
        <f t="shared" si="1087"/>
        <v>41002</v>
      </c>
      <c r="C6831" s="11" t="s">
        <v>288</v>
      </c>
      <c r="D6831" s="11" t="s">
        <v>66</v>
      </c>
    </row>
    <row r="6832">
      <c r="A6832" s="11">
        <v>6831.0</v>
      </c>
      <c r="B6832" s="12">
        <f t="shared" ref="B6832:B6837" si="1088">DATE(2012,12,31)-271</f>
        <v>41003</v>
      </c>
      <c r="C6832" s="11" t="s">
        <v>507</v>
      </c>
      <c r="D6832" s="11" t="s">
        <v>49</v>
      </c>
    </row>
    <row r="6833">
      <c r="A6833" s="11">
        <v>6832.0</v>
      </c>
      <c r="B6833" s="12">
        <f t="shared" si="1088"/>
        <v>41003</v>
      </c>
      <c r="C6833" s="11" t="s">
        <v>507</v>
      </c>
      <c r="D6833" s="11" t="s">
        <v>28</v>
      </c>
    </row>
    <row r="6834">
      <c r="A6834" s="11">
        <v>6833.0</v>
      </c>
      <c r="B6834" s="12">
        <f t="shared" si="1088"/>
        <v>41003</v>
      </c>
      <c r="C6834" s="11" t="s">
        <v>1876</v>
      </c>
      <c r="D6834" s="11" t="s">
        <v>28</v>
      </c>
    </row>
    <row r="6835">
      <c r="A6835" s="11">
        <v>6834.0</v>
      </c>
      <c r="B6835" s="12">
        <f t="shared" si="1088"/>
        <v>41003</v>
      </c>
      <c r="C6835" s="11" t="s">
        <v>1876</v>
      </c>
      <c r="D6835" s="11" t="s">
        <v>66</v>
      </c>
    </row>
    <row r="6836">
      <c r="A6836" s="11">
        <v>6835.0</v>
      </c>
      <c r="B6836" s="12">
        <f t="shared" si="1088"/>
        <v>41003</v>
      </c>
      <c r="C6836" s="11" t="s">
        <v>1876</v>
      </c>
      <c r="D6836" s="11" t="s">
        <v>66</v>
      </c>
    </row>
    <row r="6837">
      <c r="A6837" s="11">
        <v>6836.0</v>
      </c>
      <c r="B6837" s="12">
        <f t="shared" si="1088"/>
        <v>41003</v>
      </c>
      <c r="C6837" s="11" t="s">
        <v>1384</v>
      </c>
      <c r="D6837" s="11" t="s">
        <v>28</v>
      </c>
    </row>
    <row r="6838">
      <c r="A6838" s="11">
        <v>6837.0</v>
      </c>
      <c r="B6838" s="12">
        <f t="shared" ref="B6838:B6842" si="1089">DATE(2012,12,31)-270</f>
        <v>41004</v>
      </c>
      <c r="C6838" s="11" t="s">
        <v>843</v>
      </c>
      <c r="D6838" s="11" t="s">
        <v>28</v>
      </c>
    </row>
    <row r="6839">
      <c r="A6839" s="11">
        <v>6838.0</v>
      </c>
      <c r="B6839" s="12">
        <f t="shared" si="1089"/>
        <v>41004</v>
      </c>
      <c r="C6839" s="11" t="s">
        <v>174</v>
      </c>
      <c r="D6839" s="11" t="s">
        <v>28</v>
      </c>
    </row>
    <row r="6840">
      <c r="A6840" s="11">
        <v>6839.0</v>
      </c>
      <c r="B6840" s="12">
        <f t="shared" si="1089"/>
        <v>41004</v>
      </c>
      <c r="C6840" s="11" t="s">
        <v>546</v>
      </c>
      <c r="D6840" s="11" t="s">
        <v>28</v>
      </c>
    </row>
    <row r="6841">
      <c r="A6841" s="11">
        <v>6840.0</v>
      </c>
      <c r="B6841" s="12">
        <f t="shared" si="1089"/>
        <v>41004</v>
      </c>
      <c r="C6841" s="11" t="s">
        <v>546</v>
      </c>
      <c r="D6841" s="11" t="s">
        <v>28</v>
      </c>
    </row>
    <row r="6842">
      <c r="A6842" s="11">
        <v>6841.0</v>
      </c>
      <c r="B6842" s="12">
        <f t="shared" si="1089"/>
        <v>41004</v>
      </c>
      <c r="C6842" s="11" t="s">
        <v>1887</v>
      </c>
      <c r="D6842" s="11" t="s">
        <v>28</v>
      </c>
    </row>
    <row r="6843">
      <c r="A6843" s="11">
        <v>6842.0</v>
      </c>
      <c r="B6843" s="12">
        <f t="shared" ref="B6843:B6847" si="1090">DATE(2012,12,31)-269</f>
        <v>41005</v>
      </c>
      <c r="C6843" s="11" t="s">
        <v>876</v>
      </c>
      <c r="D6843" s="11" t="s">
        <v>28</v>
      </c>
    </row>
    <row r="6844">
      <c r="A6844" s="11">
        <v>6843.0</v>
      </c>
      <c r="B6844" s="12">
        <f t="shared" si="1090"/>
        <v>41005</v>
      </c>
      <c r="C6844" s="11" t="s">
        <v>876</v>
      </c>
      <c r="D6844" s="11" t="s">
        <v>28</v>
      </c>
    </row>
    <row r="6845">
      <c r="A6845" s="11">
        <v>6844.0</v>
      </c>
      <c r="B6845" s="12">
        <f t="shared" si="1090"/>
        <v>41005</v>
      </c>
      <c r="C6845" s="11" t="s">
        <v>876</v>
      </c>
      <c r="D6845" s="11" t="s">
        <v>66</v>
      </c>
    </row>
    <row r="6846">
      <c r="A6846" s="11">
        <v>6845.0</v>
      </c>
      <c r="B6846" s="12">
        <f t="shared" si="1090"/>
        <v>41005</v>
      </c>
      <c r="C6846" s="11" t="s">
        <v>876</v>
      </c>
      <c r="D6846" s="11" t="s">
        <v>66</v>
      </c>
    </row>
    <row r="6847">
      <c r="A6847" s="11">
        <v>6846.0</v>
      </c>
      <c r="B6847" s="12">
        <f t="shared" si="1090"/>
        <v>41005</v>
      </c>
      <c r="C6847" s="11" t="s">
        <v>2283</v>
      </c>
      <c r="D6847" s="11" t="s">
        <v>49</v>
      </c>
    </row>
    <row r="6848">
      <c r="A6848" s="11">
        <v>6847.0</v>
      </c>
      <c r="B6848" s="12">
        <f t="shared" ref="B6848:B6851" si="1091">DATE(2012,12,31)-268</f>
        <v>41006</v>
      </c>
      <c r="C6848" s="11" t="s">
        <v>1114</v>
      </c>
      <c r="D6848" s="11" t="s">
        <v>28</v>
      </c>
    </row>
    <row r="6849">
      <c r="A6849" s="11">
        <v>6848.0</v>
      </c>
      <c r="B6849" s="12">
        <f t="shared" si="1091"/>
        <v>41006</v>
      </c>
      <c r="C6849" s="11" t="s">
        <v>1137</v>
      </c>
      <c r="D6849" s="11" t="s">
        <v>66</v>
      </c>
    </row>
    <row r="6850">
      <c r="A6850" s="11">
        <v>6849.0</v>
      </c>
      <c r="B6850" s="12">
        <f t="shared" si="1091"/>
        <v>41006</v>
      </c>
      <c r="C6850" s="11" t="s">
        <v>116</v>
      </c>
      <c r="D6850" s="11" t="s">
        <v>28</v>
      </c>
    </row>
    <row r="6851">
      <c r="A6851" s="11">
        <v>6850.0</v>
      </c>
      <c r="B6851" s="12">
        <f t="shared" si="1091"/>
        <v>41006</v>
      </c>
      <c r="C6851" s="11" t="s">
        <v>2080</v>
      </c>
      <c r="D6851" s="11" t="s">
        <v>66</v>
      </c>
    </row>
    <row r="6852">
      <c r="A6852" s="11">
        <v>6851.0</v>
      </c>
      <c r="B6852" s="12">
        <f t="shared" ref="B6852:B6854" si="1092">DATE(2012,12,31)-267</f>
        <v>41007</v>
      </c>
      <c r="C6852" s="11" t="s">
        <v>1995</v>
      </c>
      <c r="D6852" s="11" t="s">
        <v>49</v>
      </c>
    </row>
    <row r="6853">
      <c r="A6853" s="11">
        <v>6852.0</v>
      </c>
      <c r="B6853" s="12">
        <f t="shared" si="1092"/>
        <v>41007</v>
      </c>
      <c r="C6853" s="11" t="s">
        <v>1995</v>
      </c>
      <c r="D6853" s="11" t="s">
        <v>49</v>
      </c>
    </row>
    <row r="6854">
      <c r="A6854" s="11">
        <v>6853.0</v>
      </c>
      <c r="B6854" s="12">
        <f t="shared" si="1092"/>
        <v>41007</v>
      </c>
      <c r="C6854" s="11" t="s">
        <v>859</v>
      </c>
      <c r="D6854" s="11" t="s">
        <v>66</v>
      </c>
    </row>
    <row r="6855">
      <c r="A6855" s="11">
        <v>6854.0</v>
      </c>
      <c r="B6855" s="12">
        <f t="shared" ref="B6855:B6865" si="1093">DATE(2012,12,31)-266</f>
        <v>41008</v>
      </c>
      <c r="C6855" s="11" t="s">
        <v>648</v>
      </c>
      <c r="D6855" s="11" t="s">
        <v>28</v>
      </c>
    </row>
    <row r="6856">
      <c r="A6856" s="11">
        <v>6855.0</v>
      </c>
      <c r="B6856" s="12">
        <f t="shared" si="1093"/>
        <v>41008</v>
      </c>
      <c r="C6856" s="11" t="s">
        <v>648</v>
      </c>
      <c r="D6856" s="11" t="s">
        <v>49</v>
      </c>
    </row>
    <row r="6857">
      <c r="A6857" s="11">
        <v>6856.0</v>
      </c>
      <c r="B6857" s="12">
        <f t="shared" si="1093"/>
        <v>41008</v>
      </c>
      <c r="C6857" s="11" t="s">
        <v>180</v>
      </c>
      <c r="D6857" s="11" t="s">
        <v>49</v>
      </c>
    </row>
    <row r="6858">
      <c r="A6858" s="11">
        <v>6857.0</v>
      </c>
      <c r="B6858" s="12">
        <f t="shared" si="1093"/>
        <v>41008</v>
      </c>
      <c r="C6858" s="11" t="s">
        <v>2298</v>
      </c>
      <c r="D6858" s="11" t="s">
        <v>28</v>
      </c>
    </row>
    <row r="6859">
      <c r="A6859" s="11">
        <v>6858.0</v>
      </c>
      <c r="B6859" s="12">
        <f t="shared" si="1093"/>
        <v>41008</v>
      </c>
      <c r="C6859" s="11" t="s">
        <v>2298</v>
      </c>
      <c r="D6859" s="11" t="s">
        <v>66</v>
      </c>
    </row>
    <row r="6860">
      <c r="A6860" s="11">
        <v>6859.0</v>
      </c>
      <c r="B6860" s="12">
        <f t="shared" si="1093"/>
        <v>41008</v>
      </c>
      <c r="C6860" s="11" t="s">
        <v>2276</v>
      </c>
      <c r="D6860" s="11" t="s">
        <v>49</v>
      </c>
    </row>
    <row r="6861">
      <c r="A6861" s="11">
        <v>6860.0</v>
      </c>
      <c r="B6861" s="12">
        <f t="shared" si="1093"/>
        <v>41008</v>
      </c>
      <c r="C6861" s="11" t="s">
        <v>2035</v>
      </c>
      <c r="D6861" s="11" t="s">
        <v>28</v>
      </c>
    </row>
    <row r="6862">
      <c r="A6862" s="11">
        <v>6861.0</v>
      </c>
      <c r="B6862" s="12">
        <f t="shared" si="1093"/>
        <v>41008</v>
      </c>
      <c r="C6862" s="11" t="s">
        <v>2035</v>
      </c>
      <c r="D6862" s="11" t="s">
        <v>66</v>
      </c>
    </row>
    <row r="6863">
      <c r="A6863" s="11">
        <v>6862.0</v>
      </c>
      <c r="B6863" s="12">
        <f t="shared" si="1093"/>
        <v>41008</v>
      </c>
      <c r="C6863" s="11" t="s">
        <v>1767</v>
      </c>
      <c r="D6863" s="11" t="s">
        <v>66</v>
      </c>
    </row>
    <row r="6864">
      <c r="A6864" s="11">
        <v>6863.0</v>
      </c>
      <c r="B6864" s="12">
        <f t="shared" si="1093"/>
        <v>41008</v>
      </c>
      <c r="C6864" s="11" t="s">
        <v>771</v>
      </c>
      <c r="D6864" s="11" t="s">
        <v>28</v>
      </c>
    </row>
    <row r="6865">
      <c r="A6865" s="11">
        <v>6864.0</v>
      </c>
      <c r="B6865" s="12">
        <f t="shared" si="1093"/>
        <v>41008</v>
      </c>
      <c r="C6865" s="11" t="s">
        <v>1039</v>
      </c>
      <c r="D6865" s="11" t="s">
        <v>28</v>
      </c>
    </row>
    <row r="6866">
      <c r="A6866" s="11">
        <v>6865.0</v>
      </c>
      <c r="B6866" s="12">
        <f t="shared" ref="B6866:B6870" si="1094">DATE(2012,12,31)-265</f>
        <v>41009</v>
      </c>
      <c r="C6866" s="11" t="s">
        <v>1938</v>
      </c>
      <c r="D6866" s="11" t="s">
        <v>49</v>
      </c>
    </row>
    <row r="6867">
      <c r="A6867" s="11">
        <v>6866.0</v>
      </c>
      <c r="B6867" s="12">
        <f t="shared" si="1094"/>
        <v>41009</v>
      </c>
      <c r="C6867" s="11" t="s">
        <v>1938</v>
      </c>
      <c r="D6867" s="11" t="s">
        <v>49</v>
      </c>
    </row>
    <row r="6868">
      <c r="A6868" s="11">
        <v>6867.0</v>
      </c>
      <c r="B6868" s="12">
        <f t="shared" si="1094"/>
        <v>41009</v>
      </c>
      <c r="C6868" s="11" t="s">
        <v>826</v>
      </c>
      <c r="D6868" s="11" t="s">
        <v>28</v>
      </c>
    </row>
    <row r="6869">
      <c r="A6869" s="11">
        <v>6868.0</v>
      </c>
      <c r="B6869" s="12">
        <f t="shared" si="1094"/>
        <v>41009</v>
      </c>
      <c r="C6869" s="11" t="s">
        <v>826</v>
      </c>
      <c r="D6869" s="11" t="s">
        <v>66</v>
      </c>
    </row>
    <row r="6870">
      <c r="A6870" s="11">
        <v>6869.0</v>
      </c>
      <c r="B6870" s="12">
        <f t="shared" si="1094"/>
        <v>41009</v>
      </c>
      <c r="C6870" s="11" t="s">
        <v>2347</v>
      </c>
      <c r="D6870" s="11" t="s">
        <v>28</v>
      </c>
    </row>
    <row r="6871">
      <c r="A6871" s="11">
        <v>6870.0</v>
      </c>
      <c r="B6871" s="12">
        <f t="shared" ref="B6871:B6877" si="1095">DATE(2012,12,31)-264</f>
        <v>41010</v>
      </c>
      <c r="C6871" s="11" t="s">
        <v>1605</v>
      </c>
      <c r="D6871" s="11" t="s">
        <v>66</v>
      </c>
    </row>
    <row r="6872">
      <c r="A6872" s="11">
        <v>6871.0</v>
      </c>
      <c r="B6872" s="12">
        <f t="shared" si="1095"/>
        <v>41010</v>
      </c>
      <c r="C6872" s="11" t="s">
        <v>1605</v>
      </c>
      <c r="D6872" s="11" t="s">
        <v>28</v>
      </c>
    </row>
    <row r="6873">
      <c r="A6873" s="11">
        <v>6872.0</v>
      </c>
      <c r="B6873" s="12">
        <f t="shared" si="1095"/>
        <v>41010</v>
      </c>
      <c r="C6873" s="11" t="s">
        <v>459</v>
      </c>
      <c r="D6873" s="11" t="s">
        <v>66</v>
      </c>
    </row>
    <row r="6874">
      <c r="A6874" s="11">
        <v>6873.0</v>
      </c>
      <c r="B6874" s="12">
        <f t="shared" si="1095"/>
        <v>41010</v>
      </c>
      <c r="C6874" s="11" t="s">
        <v>588</v>
      </c>
      <c r="D6874" s="11" t="s">
        <v>28</v>
      </c>
    </row>
    <row r="6875">
      <c r="A6875" s="11">
        <v>6874.0</v>
      </c>
      <c r="B6875" s="12">
        <f t="shared" si="1095"/>
        <v>41010</v>
      </c>
      <c r="C6875" s="11" t="s">
        <v>1025</v>
      </c>
      <c r="D6875" s="11" t="s">
        <v>66</v>
      </c>
    </row>
    <row r="6876">
      <c r="A6876" s="11">
        <v>6875.0</v>
      </c>
      <c r="B6876" s="12">
        <f t="shared" si="1095"/>
        <v>41010</v>
      </c>
      <c r="C6876" s="11" t="s">
        <v>982</v>
      </c>
      <c r="D6876" s="11" t="s">
        <v>66</v>
      </c>
    </row>
    <row r="6877">
      <c r="A6877" s="11">
        <v>6876.0</v>
      </c>
      <c r="B6877" s="12">
        <f t="shared" si="1095"/>
        <v>41010</v>
      </c>
      <c r="C6877" s="11" t="s">
        <v>1936</v>
      </c>
      <c r="D6877" s="11" t="s">
        <v>28</v>
      </c>
    </row>
    <row r="6878">
      <c r="A6878" s="11">
        <v>6877.0</v>
      </c>
      <c r="B6878" s="12">
        <f t="shared" ref="B6878:B6883" si="1096">DATE(2012,12,31)-263</f>
        <v>41011</v>
      </c>
      <c r="C6878" s="11" t="s">
        <v>2472</v>
      </c>
      <c r="D6878" s="11" t="s">
        <v>28</v>
      </c>
    </row>
    <row r="6879">
      <c r="A6879" s="11">
        <v>6878.0</v>
      </c>
      <c r="B6879" s="12">
        <f t="shared" si="1096"/>
        <v>41011</v>
      </c>
      <c r="C6879" s="11" t="s">
        <v>2441</v>
      </c>
      <c r="D6879" s="11" t="s">
        <v>28</v>
      </c>
    </row>
    <row r="6880">
      <c r="A6880" s="11">
        <v>6879.0</v>
      </c>
      <c r="B6880" s="12">
        <f t="shared" si="1096"/>
        <v>41011</v>
      </c>
      <c r="C6880" s="11" t="s">
        <v>897</v>
      </c>
      <c r="D6880" s="11" t="s">
        <v>28</v>
      </c>
    </row>
    <row r="6881">
      <c r="A6881" s="11">
        <v>6880.0</v>
      </c>
      <c r="B6881" s="12">
        <f t="shared" si="1096"/>
        <v>41011</v>
      </c>
      <c r="C6881" s="11" t="s">
        <v>746</v>
      </c>
      <c r="D6881" s="11" t="s">
        <v>49</v>
      </c>
    </row>
    <row r="6882">
      <c r="A6882" s="11">
        <v>6881.0</v>
      </c>
      <c r="B6882" s="12">
        <f t="shared" si="1096"/>
        <v>41011</v>
      </c>
      <c r="C6882" s="11" t="s">
        <v>746</v>
      </c>
      <c r="D6882" s="11" t="s">
        <v>28</v>
      </c>
    </row>
    <row r="6883">
      <c r="A6883" s="11">
        <v>6882.0</v>
      </c>
      <c r="B6883" s="12">
        <f t="shared" si="1096"/>
        <v>41011</v>
      </c>
      <c r="C6883" s="11" t="s">
        <v>1257</v>
      </c>
      <c r="D6883" s="11" t="s">
        <v>28</v>
      </c>
    </row>
    <row r="6884">
      <c r="A6884" s="11">
        <v>6883.0</v>
      </c>
      <c r="B6884" s="12">
        <f t="shared" ref="B6884:B6897" si="1097">DATE(2012,12,31)-262</f>
        <v>41012</v>
      </c>
      <c r="C6884" s="11" t="s">
        <v>1448</v>
      </c>
      <c r="D6884" s="11" t="s">
        <v>28</v>
      </c>
    </row>
    <row r="6885">
      <c r="A6885" s="11">
        <v>6884.0</v>
      </c>
      <c r="B6885" s="12">
        <f t="shared" si="1097"/>
        <v>41012</v>
      </c>
      <c r="C6885" s="11" t="s">
        <v>1448</v>
      </c>
      <c r="D6885" s="11" t="s">
        <v>28</v>
      </c>
    </row>
    <row r="6886">
      <c r="A6886" s="11">
        <v>6885.0</v>
      </c>
      <c r="B6886" s="12">
        <f t="shared" si="1097"/>
        <v>41012</v>
      </c>
      <c r="C6886" s="11" t="s">
        <v>1831</v>
      </c>
      <c r="D6886" s="11" t="s">
        <v>28</v>
      </c>
    </row>
    <row r="6887">
      <c r="A6887" s="11">
        <v>6886.0</v>
      </c>
      <c r="B6887" s="12">
        <f t="shared" si="1097"/>
        <v>41012</v>
      </c>
      <c r="C6887" s="11" t="s">
        <v>1831</v>
      </c>
      <c r="D6887" s="11" t="s">
        <v>66</v>
      </c>
    </row>
    <row r="6888">
      <c r="A6888" s="11">
        <v>6887.0</v>
      </c>
      <c r="B6888" s="12">
        <f t="shared" si="1097"/>
        <v>41012</v>
      </c>
      <c r="C6888" s="11" t="s">
        <v>1961</v>
      </c>
      <c r="D6888" s="11" t="s">
        <v>49</v>
      </c>
    </row>
    <row r="6889">
      <c r="A6889" s="11">
        <v>6888.0</v>
      </c>
      <c r="B6889" s="12">
        <f t="shared" si="1097"/>
        <v>41012</v>
      </c>
      <c r="C6889" s="11" t="s">
        <v>2452</v>
      </c>
      <c r="D6889" s="11" t="s">
        <v>28</v>
      </c>
    </row>
    <row r="6890">
      <c r="A6890" s="11">
        <v>6889.0</v>
      </c>
      <c r="B6890" s="12">
        <f t="shared" si="1097"/>
        <v>41012</v>
      </c>
      <c r="C6890" s="11" t="s">
        <v>2452</v>
      </c>
      <c r="D6890" s="11" t="s">
        <v>28</v>
      </c>
    </row>
    <row r="6891">
      <c r="A6891" s="11">
        <v>6890.0</v>
      </c>
      <c r="B6891" s="12">
        <f t="shared" si="1097"/>
        <v>41012</v>
      </c>
      <c r="C6891" s="11" t="s">
        <v>2452</v>
      </c>
      <c r="D6891" s="11" t="s">
        <v>49</v>
      </c>
    </row>
    <row r="6892">
      <c r="A6892" s="11">
        <v>6891.0</v>
      </c>
      <c r="B6892" s="12">
        <f t="shared" si="1097"/>
        <v>41012</v>
      </c>
      <c r="C6892" s="11" t="s">
        <v>611</v>
      </c>
      <c r="D6892" s="11" t="s">
        <v>28</v>
      </c>
    </row>
    <row r="6893">
      <c r="A6893" s="11">
        <v>6892.0</v>
      </c>
      <c r="B6893" s="12">
        <f t="shared" si="1097"/>
        <v>41012</v>
      </c>
      <c r="C6893" s="11" t="s">
        <v>611</v>
      </c>
      <c r="D6893" s="11" t="s">
        <v>28</v>
      </c>
    </row>
    <row r="6894">
      <c r="A6894" s="11">
        <v>6893.0</v>
      </c>
      <c r="B6894" s="12">
        <f t="shared" si="1097"/>
        <v>41012</v>
      </c>
      <c r="C6894" s="11" t="s">
        <v>611</v>
      </c>
      <c r="D6894" s="11" t="s">
        <v>66</v>
      </c>
    </row>
    <row r="6895">
      <c r="A6895" s="11">
        <v>6894.0</v>
      </c>
      <c r="B6895" s="12">
        <f t="shared" si="1097"/>
        <v>41012</v>
      </c>
      <c r="C6895" s="11" t="s">
        <v>1199</v>
      </c>
      <c r="D6895" s="11" t="s">
        <v>28</v>
      </c>
    </row>
    <row r="6896">
      <c r="A6896" s="11">
        <v>6895.0</v>
      </c>
      <c r="B6896" s="12">
        <f t="shared" si="1097"/>
        <v>41012</v>
      </c>
      <c r="C6896" s="11" t="s">
        <v>1199</v>
      </c>
      <c r="D6896" s="11" t="s">
        <v>28</v>
      </c>
    </row>
    <row r="6897">
      <c r="A6897" s="11">
        <v>6896.0</v>
      </c>
      <c r="B6897" s="12">
        <f t="shared" si="1097"/>
        <v>41012</v>
      </c>
      <c r="C6897" s="11" t="s">
        <v>1257</v>
      </c>
      <c r="D6897" s="11" t="s">
        <v>66</v>
      </c>
    </row>
    <row r="6898">
      <c r="A6898" s="11">
        <v>6897.0</v>
      </c>
      <c r="B6898" s="12">
        <f t="shared" ref="B6898:B6906" si="1098">DATE(2012,12,31)-261</f>
        <v>41013</v>
      </c>
      <c r="C6898" s="11" t="s">
        <v>403</v>
      </c>
      <c r="D6898" s="11" t="s">
        <v>66</v>
      </c>
    </row>
    <row r="6899">
      <c r="A6899" s="11">
        <v>6898.0</v>
      </c>
      <c r="B6899" s="12">
        <f t="shared" si="1098"/>
        <v>41013</v>
      </c>
      <c r="C6899" s="11" t="s">
        <v>2099</v>
      </c>
      <c r="D6899" s="11" t="s">
        <v>28</v>
      </c>
    </row>
    <row r="6900">
      <c r="A6900" s="11">
        <v>6899.0</v>
      </c>
      <c r="B6900" s="12">
        <f t="shared" si="1098"/>
        <v>41013</v>
      </c>
      <c r="C6900" s="11" t="s">
        <v>491</v>
      </c>
      <c r="D6900" s="11" t="s">
        <v>28</v>
      </c>
    </row>
    <row r="6901">
      <c r="A6901" s="11">
        <v>6900.0</v>
      </c>
      <c r="B6901" s="12">
        <f t="shared" si="1098"/>
        <v>41013</v>
      </c>
      <c r="C6901" s="11" t="s">
        <v>535</v>
      </c>
      <c r="D6901" s="11" t="s">
        <v>28</v>
      </c>
    </row>
    <row r="6902">
      <c r="A6902" s="11">
        <v>6901.0</v>
      </c>
      <c r="B6902" s="12">
        <f t="shared" si="1098"/>
        <v>41013</v>
      </c>
      <c r="C6902" s="11" t="s">
        <v>535</v>
      </c>
      <c r="D6902" s="11" t="s">
        <v>49</v>
      </c>
    </row>
    <row r="6903">
      <c r="A6903" s="11">
        <v>6902.0</v>
      </c>
      <c r="B6903" s="12">
        <f t="shared" si="1098"/>
        <v>41013</v>
      </c>
      <c r="C6903" s="11" t="s">
        <v>588</v>
      </c>
      <c r="D6903" s="11" t="s">
        <v>66</v>
      </c>
    </row>
    <row r="6904">
      <c r="A6904" s="11">
        <v>6903.0</v>
      </c>
      <c r="B6904" s="12">
        <f t="shared" si="1098"/>
        <v>41013</v>
      </c>
      <c r="C6904" s="11" t="s">
        <v>1744</v>
      </c>
      <c r="D6904" s="11" t="s">
        <v>66</v>
      </c>
    </row>
    <row r="6905">
      <c r="A6905" s="11">
        <v>6904.0</v>
      </c>
      <c r="B6905" s="12">
        <f t="shared" si="1098"/>
        <v>41013</v>
      </c>
      <c r="C6905" s="11" t="s">
        <v>1744</v>
      </c>
      <c r="D6905" s="11" t="s">
        <v>28</v>
      </c>
    </row>
    <row r="6906">
      <c r="A6906" s="11">
        <v>6905.0</v>
      </c>
      <c r="B6906" s="12">
        <f t="shared" si="1098"/>
        <v>41013</v>
      </c>
      <c r="C6906" s="11" t="s">
        <v>1744</v>
      </c>
      <c r="D6906" s="11" t="s">
        <v>28</v>
      </c>
    </row>
    <row r="6907">
      <c r="A6907" s="11">
        <v>6906.0</v>
      </c>
      <c r="B6907" s="12">
        <f t="shared" ref="B6907:B6915" si="1099">DATE(2012,12,31)-260</f>
        <v>41014</v>
      </c>
      <c r="C6907" s="11" t="s">
        <v>796</v>
      </c>
      <c r="D6907" s="11" t="s">
        <v>66</v>
      </c>
    </row>
    <row r="6908">
      <c r="A6908" s="11">
        <v>6907.0</v>
      </c>
      <c r="B6908" s="12">
        <f t="shared" si="1099"/>
        <v>41014</v>
      </c>
      <c r="C6908" s="11" t="s">
        <v>796</v>
      </c>
      <c r="D6908" s="11" t="s">
        <v>66</v>
      </c>
    </row>
    <row r="6909">
      <c r="A6909" s="11">
        <v>6908.0</v>
      </c>
      <c r="B6909" s="12">
        <f t="shared" si="1099"/>
        <v>41014</v>
      </c>
      <c r="C6909" s="11" t="s">
        <v>116</v>
      </c>
      <c r="D6909" s="11" t="s">
        <v>28</v>
      </c>
    </row>
    <row r="6910">
      <c r="A6910" s="11">
        <v>6909.0</v>
      </c>
      <c r="B6910" s="12">
        <f t="shared" si="1099"/>
        <v>41014</v>
      </c>
      <c r="C6910" s="11" t="s">
        <v>1294</v>
      </c>
      <c r="D6910" s="11" t="s">
        <v>28</v>
      </c>
    </row>
    <row r="6911">
      <c r="A6911" s="11">
        <v>6910.0</v>
      </c>
      <c r="B6911" s="12">
        <f t="shared" si="1099"/>
        <v>41014</v>
      </c>
      <c r="C6911" s="11" t="s">
        <v>1393</v>
      </c>
      <c r="D6911" s="11" t="s">
        <v>66</v>
      </c>
    </row>
    <row r="6912">
      <c r="A6912" s="11">
        <v>6911.0</v>
      </c>
      <c r="B6912" s="12">
        <f t="shared" si="1099"/>
        <v>41014</v>
      </c>
      <c r="C6912" s="11" t="s">
        <v>2298</v>
      </c>
      <c r="D6912" s="11" t="s">
        <v>28</v>
      </c>
    </row>
    <row r="6913">
      <c r="A6913" s="11">
        <v>6912.0</v>
      </c>
      <c r="B6913" s="12">
        <f t="shared" si="1099"/>
        <v>41014</v>
      </c>
      <c r="C6913" s="11" t="s">
        <v>2298</v>
      </c>
      <c r="D6913" s="11" t="s">
        <v>66</v>
      </c>
    </row>
    <row r="6914">
      <c r="A6914" s="11">
        <v>6913.0</v>
      </c>
      <c r="B6914" s="12">
        <f t="shared" si="1099"/>
        <v>41014</v>
      </c>
      <c r="C6914" s="11" t="s">
        <v>2531</v>
      </c>
      <c r="D6914" s="11" t="s">
        <v>66</v>
      </c>
    </row>
    <row r="6915">
      <c r="A6915" s="11">
        <v>6914.0</v>
      </c>
      <c r="B6915" s="12">
        <f t="shared" si="1099"/>
        <v>41014</v>
      </c>
      <c r="C6915" s="11" t="s">
        <v>2531</v>
      </c>
      <c r="D6915" s="11" t="s">
        <v>28</v>
      </c>
    </row>
    <row r="6916">
      <c r="A6916" s="11">
        <v>6915.0</v>
      </c>
      <c r="B6916" s="12">
        <f t="shared" ref="B6916:B6918" si="1100">DATE(2012,12,31)-259</f>
        <v>41015</v>
      </c>
      <c r="C6916" s="11" t="s">
        <v>1979</v>
      </c>
      <c r="D6916" s="11" t="s">
        <v>49</v>
      </c>
    </row>
    <row r="6917">
      <c r="A6917" s="11">
        <v>6916.0</v>
      </c>
      <c r="B6917" s="12">
        <f t="shared" si="1100"/>
        <v>41015</v>
      </c>
      <c r="C6917" s="11" t="s">
        <v>2101</v>
      </c>
      <c r="D6917" s="11" t="s">
        <v>28</v>
      </c>
    </row>
    <row r="6918">
      <c r="A6918" s="11">
        <v>6917.0</v>
      </c>
      <c r="B6918" s="12">
        <f t="shared" si="1100"/>
        <v>41015</v>
      </c>
      <c r="C6918" s="11" t="s">
        <v>2603</v>
      </c>
      <c r="D6918" s="11" t="s">
        <v>28</v>
      </c>
    </row>
    <row r="6919">
      <c r="A6919" s="11">
        <v>6918.0</v>
      </c>
      <c r="B6919" s="12">
        <f t="shared" ref="B6919:B6925" si="1101">DATE(2012,12,31)-258</f>
        <v>41016</v>
      </c>
      <c r="C6919" s="11" t="s">
        <v>2527</v>
      </c>
      <c r="D6919" s="11" t="s">
        <v>28</v>
      </c>
    </row>
    <row r="6920">
      <c r="A6920" s="11">
        <v>6919.0</v>
      </c>
      <c r="B6920" s="12">
        <f t="shared" si="1101"/>
        <v>41016</v>
      </c>
      <c r="C6920" s="11" t="s">
        <v>2358</v>
      </c>
      <c r="D6920" s="11" t="s">
        <v>66</v>
      </c>
    </row>
    <row r="6921">
      <c r="A6921" s="11">
        <v>6920.0</v>
      </c>
      <c r="B6921" s="12">
        <f t="shared" si="1101"/>
        <v>41016</v>
      </c>
      <c r="C6921" s="11" t="s">
        <v>1829</v>
      </c>
      <c r="D6921" s="11" t="s">
        <v>28</v>
      </c>
    </row>
    <row r="6922">
      <c r="A6922" s="11">
        <v>6921.0</v>
      </c>
      <c r="B6922" s="12">
        <f t="shared" si="1101"/>
        <v>41016</v>
      </c>
      <c r="C6922" s="11" t="s">
        <v>1829</v>
      </c>
      <c r="D6922" s="11" t="s">
        <v>28</v>
      </c>
    </row>
    <row r="6923">
      <c r="A6923" s="11">
        <v>6922.0</v>
      </c>
      <c r="B6923" s="12">
        <f t="shared" si="1101"/>
        <v>41016</v>
      </c>
      <c r="C6923" s="11" t="s">
        <v>1829</v>
      </c>
      <c r="D6923" s="11" t="s">
        <v>66</v>
      </c>
    </row>
    <row r="6924">
      <c r="A6924" s="11">
        <v>6923.0</v>
      </c>
      <c r="B6924" s="12">
        <f t="shared" si="1101"/>
        <v>41016</v>
      </c>
      <c r="C6924" s="11" t="s">
        <v>2075</v>
      </c>
      <c r="D6924" s="11" t="s">
        <v>28</v>
      </c>
    </row>
    <row r="6925">
      <c r="A6925" s="11">
        <v>6924.0</v>
      </c>
      <c r="B6925" s="12">
        <f t="shared" si="1101"/>
        <v>41016</v>
      </c>
      <c r="C6925" s="11" t="s">
        <v>2012</v>
      </c>
      <c r="D6925" s="11" t="s">
        <v>28</v>
      </c>
    </row>
    <row r="6926">
      <c r="A6926" s="11">
        <v>6925.0</v>
      </c>
      <c r="B6926" s="12">
        <f t="shared" ref="B6926:B6932" si="1102">DATE(2012,12,31)-257</f>
        <v>41017</v>
      </c>
      <c r="C6926" s="11" t="s">
        <v>1594</v>
      </c>
      <c r="D6926" s="11" t="s">
        <v>28</v>
      </c>
    </row>
    <row r="6927">
      <c r="A6927" s="11">
        <v>6926.0</v>
      </c>
      <c r="B6927" s="12">
        <f t="shared" si="1102"/>
        <v>41017</v>
      </c>
      <c r="C6927" s="11" t="s">
        <v>1490</v>
      </c>
      <c r="D6927" s="11" t="s">
        <v>28</v>
      </c>
    </row>
    <row r="6928">
      <c r="A6928" s="11">
        <v>6927.0</v>
      </c>
      <c r="B6928" s="12">
        <f t="shared" si="1102"/>
        <v>41017</v>
      </c>
      <c r="C6928" s="11" t="s">
        <v>1490</v>
      </c>
      <c r="D6928" s="11" t="s">
        <v>28</v>
      </c>
    </row>
    <row r="6929">
      <c r="A6929" s="11">
        <v>6928.0</v>
      </c>
      <c r="B6929" s="12">
        <f t="shared" si="1102"/>
        <v>41017</v>
      </c>
      <c r="C6929" s="11" t="s">
        <v>1490</v>
      </c>
      <c r="D6929" s="11" t="s">
        <v>28</v>
      </c>
    </row>
    <row r="6930">
      <c r="A6930" s="11">
        <v>6929.0</v>
      </c>
      <c r="B6930" s="12">
        <f t="shared" si="1102"/>
        <v>41017</v>
      </c>
      <c r="C6930" s="11" t="s">
        <v>930</v>
      </c>
      <c r="D6930" s="11" t="s">
        <v>66</v>
      </c>
    </row>
    <row r="6931">
      <c r="A6931" s="11">
        <v>6930.0</v>
      </c>
      <c r="B6931" s="12">
        <f t="shared" si="1102"/>
        <v>41017</v>
      </c>
      <c r="C6931" s="11" t="s">
        <v>945</v>
      </c>
      <c r="D6931" s="11" t="s">
        <v>28</v>
      </c>
    </row>
    <row r="6932">
      <c r="A6932" s="11">
        <v>6931.0</v>
      </c>
      <c r="B6932" s="12">
        <f t="shared" si="1102"/>
        <v>41017</v>
      </c>
      <c r="C6932" s="11" t="s">
        <v>1020</v>
      </c>
      <c r="D6932" s="11" t="s">
        <v>28</v>
      </c>
    </row>
    <row r="6933">
      <c r="A6933" s="11">
        <v>6932.0</v>
      </c>
      <c r="B6933" s="12">
        <f>DATE(2012,12,31)-255</f>
        <v>41019</v>
      </c>
      <c r="C6933" s="11" t="s">
        <v>721</v>
      </c>
      <c r="D6933" s="11" t="s">
        <v>28</v>
      </c>
    </row>
    <row r="6934">
      <c r="A6934" s="11">
        <v>6933.0</v>
      </c>
      <c r="B6934" s="12">
        <f t="shared" ref="B6934:B6938" si="1103">DATE(2012,12,31)-254</f>
        <v>41020</v>
      </c>
      <c r="C6934" s="11" t="s">
        <v>1802</v>
      </c>
      <c r="D6934" s="11" t="s">
        <v>66</v>
      </c>
    </row>
    <row r="6935">
      <c r="A6935" s="11">
        <v>6934.0</v>
      </c>
      <c r="B6935" s="12">
        <f t="shared" si="1103"/>
        <v>41020</v>
      </c>
      <c r="C6935" s="11" t="s">
        <v>448</v>
      </c>
      <c r="D6935" s="11" t="s">
        <v>28</v>
      </c>
    </row>
    <row r="6936">
      <c r="A6936" s="11">
        <v>6935.0</v>
      </c>
      <c r="B6936" s="12">
        <f t="shared" si="1103"/>
        <v>41020</v>
      </c>
      <c r="C6936" s="11" t="s">
        <v>448</v>
      </c>
      <c r="D6936" s="11" t="s">
        <v>49</v>
      </c>
    </row>
    <row r="6937">
      <c r="A6937" s="11">
        <v>6936.0</v>
      </c>
      <c r="B6937" s="12">
        <f t="shared" si="1103"/>
        <v>41020</v>
      </c>
      <c r="C6937" s="11" t="s">
        <v>448</v>
      </c>
      <c r="D6937" s="11" t="s">
        <v>66</v>
      </c>
    </row>
    <row r="6938">
      <c r="A6938" s="11">
        <v>6937.0</v>
      </c>
      <c r="B6938" s="12">
        <f t="shared" si="1103"/>
        <v>41020</v>
      </c>
      <c r="C6938" s="11" t="s">
        <v>1355</v>
      </c>
      <c r="D6938" s="11" t="s">
        <v>66</v>
      </c>
    </row>
    <row r="6939">
      <c r="A6939" s="11">
        <v>6938.0</v>
      </c>
      <c r="B6939" s="12">
        <f t="shared" ref="B6939:B6945" si="1104">DATE(2012,12,31)-253</f>
        <v>41021</v>
      </c>
      <c r="C6939" s="11" t="s">
        <v>78</v>
      </c>
      <c r="D6939" s="11" t="s">
        <v>66</v>
      </c>
    </row>
    <row r="6940">
      <c r="A6940" s="11">
        <v>6939.0</v>
      </c>
      <c r="B6940" s="12">
        <f t="shared" si="1104"/>
        <v>41021</v>
      </c>
      <c r="C6940" s="11" t="s">
        <v>78</v>
      </c>
      <c r="D6940" s="11" t="s">
        <v>49</v>
      </c>
    </row>
    <row r="6941">
      <c r="A6941" s="11">
        <v>6940.0</v>
      </c>
      <c r="B6941" s="12">
        <f t="shared" si="1104"/>
        <v>41021</v>
      </c>
      <c r="C6941" s="11" t="s">
        <v>2303</v>
      </c>
      <c r="D6941" s="11" t="s">
        <v>28</v>
      </c>
    </row>
    <row r="6942">
      <c r="A6942" s="11">
        <v>6941.0</v>
      </c>
      <c r="B6942" s="12">
        <f t="shared" si="1104"/>
        <v>41021</v>
      </c>
      <c r="C6942" s="11" t="s">
        <v>1196</v>
      </c>
      <c r="D6942" s="11" t="s">
        <v>49</v>
      </c>
    </row>
    <row r="6943">
      <c r="A6943" s="11">
        <v>6942.0</v>
      </c>
      <c r="B6943" s="12">
        <f t="shared" si="1104"/>
        <v>41021</v>
      </c>
      <c r="C6943" s="11" t="s">
        <v>1196</v>
      </c>
      <c r="D6943" s="11" t="s">
        <v>28</v>
      </c>
    </row>
    <row r="6944">
      <c r="A6944" s="11">
        <v>6943.0</v>
      </c>
      <c r="B6944" s="12">
        <f t="shared" si="1104"/>
        <v>41021</v>
      </c>
      <c r="C6944" s="11" t="s">
        <v>1196</v>
      </c>
      <c r="D6944" s="11" t="s">
        <v>28</v>
      </c>
    </row>
    <row r="6945">
      <c r="A6945" s="11">
        <v>6944.0</v>
      </c>
      <c r="B6945" s="12">
        <f t="shared" si="1104"/>
        <v>41021</v>
      </c>
      <c r="C6945" s="11" t="s">
        <v>2253</v>
      </c>
      <c r="D6945" s="11" t="s">
        <v>28</v>
      </c>
    </row>
    <row r="6946">
      <c r="A6946" s="11">
        <v>6945.0</v>
      </c>
      <c r="B6946" s="12">
        <f t="shared" ref="B6946:B6951" si="1105">DATE(2012,12,31)-252</f>
        <v>41022</v>
      </c>
      <c r="C6946" s="11" t="s">
        <v>1801</v>
      </c>
      <c r="D6946" s="11" t="s">
        <v>28</v>
      </c>
    </row>
    <row r="6947">
      <c r="A6947" s="11">
        <v>6946.0</v>
      </c>
      <c r="B6947" s="12">
        <f t="shared" si="1105"/>
        <v>41022</v>
      </c>
      <c r="C6947" s="11" t="s">
        <v>2539</v>
      </c>
      <c r="D6947" s="11" t="s">
        <v>28</v>
      </c>
    </row>
    <row r="6948">
      <c r="A6948" s="11">
        <v>6947.0</v>
      </c>
      <c r="B6948" s="12">
        <f t="shared" si="1105"/>
        <v>41022</v>
      </c>
      <c r="C6948" s="11" t="s">
        <v>2539</v>
      </c>
      <c r="D6948" s="11" t="s">
        <v>28</v>
      </c>
    </row>
    <row r="6949">
      <c r="A6949" s="11">
        <v>6948.0</v>
      </c>
      <c r="B6949" s="12">
        <f t="shared" si="1105"/>
        <v>41022</v>
      </c>
      <c r="C6949" s="11" t="s">
        <v>2324</v>
      </c>
      <c r="D6949" s="11" t="s">
        <v>49</v>
      </c>
    </row>
    <row r="6950">
      <c r="A6950" s="11">
        <v>6949.0</v>
      </c>
      <c r="B6950" s="12">
        <f t="shared" si="1105"/>
        <v>41022</v>
      </c>
      <c r="C6950" s="11" t="s">
        <v>2324</v>
      </c>
      <c r="D6950" s="11" t="s">
        <v>66</v>
      </c>
    </row>
    <row r="6951">
      <c r="A6951" s="11">
        <v>6950.0</v>
      </c>
      <c r="B6951" s="12">
        <f t="shared" si="1105"/>
        <v>41022</v>
      </c>
      <c r="C6951" s="11" t="s">
        <v>2324</v>
      </c>
      <c r="D6951" s="11" t="s">
        <v>66</v>
      </c>
    </row>
    <row r="6952">
      <c r="A6952" s="11">
        <v>6951.0</v>
      </c>
      <c r="B6952" s="12">
        <f t="shared" ref="B6952:B6958" si="1106">DATE(2012,12,31)-251</f>
        <v>41023</v>
      </c>
      <c r="C6952" s="11" t="s">
        <v>928</v>
      </c>
      <c r="D6952" s="11" t="s">
        <v>28</v>
      </c>
    </row>
    <row r="6953">
      <c r="A6953" s="11">
        <v>6952.0</v>
      </c>
      <c r="B6953" s="12">
        <f t="shared" si="1106"/>
        <v>41023</v>
      </c>
      <c r="C6953" s="11" t="s">
        <v>1068</v>
      </c>
      <c r="D6953" s="11" t="s">
        <v>28</v>
      </c>
    </row>
    <row r="6954">
      <c r="A6954" s="11">
        <v>6953.0</v>
      </c>
      <c r="B6954" s="12">
        <f t="shared" si="1106"/>
        <v>41023</v>
      </c>
      <c r="C6954" s="11" t="s">
        <v>2228</v>
      </c>
      <c r="D6954" s="11" t="s">
        <v>28</v>
      </c>
    </row>
    <row r="6955">
      <c r="A6955" s="11">
        <v>6954.0</v>
      </c>
      <c r="B6955" s="12">
        <f t="shared" si="1106"/>
        <v>41023</v>
      </c>
      <c r="C6955" s="11" t="s">
        <v>60</v>
      </c>
      <c r="D6955" s="11" t="s">
        <v>66</v>
      </c>
    </row>
    <row r="6956">
      <c r="A6956" s="11">
        <v>6955.0</v>
      </c>
      <c r="B6956" s="12">
        <f t="shared" si="1106"/>
        <v>41023</v>
      </c>
      <c r="C6956" s="11" t="s">
        <v>1240</v>
      </c>
      <c r="D6956" s="11" t="s">
        <v>66</v>
      </c>
    </row>
    <row r="6957">
      <c r="A6957" s="11">
        <v>6956.0</v>
      </c>
      <c r="B6957" s="12">
        <f t="shared" si="1106"/>
        <v>41023</v>
      </c>
      <c r="C6957" s="11" t="s">
        <v>1240</v>
      </c>
      <c r="D6957" s="11" t="s">
        <v>28</v>
      </c>
    </row>
    <row r="6958">
      <c r="A6958" s="11">
        <v>6957.0</v>
      </c>
      <c r="B6958" s="12">
        <f t="shared" si="1106"/>
        <v>41023</v>
      </c>
      <c r="C6958" s="11" t="s">
        <v>200</v>
      </c>
      <c r="D6958" s="11" t="s">
        <v>28</v>
      </c>
    </row>
    <row r="6959">
      <c r="A6959" s="11">
        <v>6958.0</v>
      </c>
      <c r="B6959" s="12">
        <f t="shared" ref="B6959:B6970" si="1107">DATE(2012,12,31)-250</f>
        <v>41024</v>
      </c>
      <c r="C6959" s="11" t="s">
        <v>1811</v>
      </c>
      <c r="D6959" s="11" t="s">
        <v>66</v>
      </c>
    </row>
    <row r="6960">
      <c r="A6960" s="11">
        <v>6959.0</v>
      </c>
      <c r="B6960" s="12">
        <f t="shared" si="1107"/>
        <v>41024</v>
      </c>
      <c r="C6960" s="11" t="s">
        <v>751</v>
      </c>
      <c r="D6960" s="11" t="s">
        <v>28</v>
      </c>
    </row>
    <row r="6961">
      <c r="A6961" s="11">
        <v>6960.0</v>
      </c>
      <c r="B6961" s="12">
        <f t="shared" si="1107"/>
        <v>41024</v>
      </c>
      <c r="C6961" s="11" t="s">
        <v>751</v>
      </c>
      <c r="D6961" s="11" t="s">
        <v>49</v>
      </c>
    </row>
    <row r="6962">
      <c r="A6962" s="11">
        <v>6961.0</v>
      </c>
      <c r="B6962" s="12">
        <f t="shared" si="1107"/>
        <v>41024</v>
      </c>
      <c r="C6962" s="11" t="s">
        <v>751</v>
      </c>
      <c r="D6962" s="11" t="s">
        <v>49</v>
      </c>
    </row>
    <row r="6963">
      <c r="A6963" s="11">
        <v>6962.0</v>
      </c>
      <c r="B6963" s="12">
        <f t="shared" si="1107"/>
        <v>41024</v>
      </c>
      <c r="C6963" s="11" t="s">
        <v>1823</v>
      </c>
      <c r="D6963" s="11" t="s">
        <v>28</v>
      </c>
    </row>
    <row r="6964">
      <c r="A6964" s="11">
        <v>6963.0</v>
      </c>
      <c r="B6964" s="12">
        <f t="shared" si="1107"/>
        <v>41024</v>
      </c>
      <c r="C6964" s="11" t="s">
        <v>998</v>
      </c>
      <c r="D6964" s="11" t="s">
        <v>28</v>
      </c>
    </row>
    <row r="6965">
      <c r="A6965" s="11">
        <v>6964.0</v>
      </c>
      <c r="B6965" s="12">
        <f t="shared" si="1107"/>
        <v>41024</v>
      </c>
      <c r="C6965" s="11" t="s">
        <v>998</v>
      </c>
      <c r="D6965" s="11" t="s">
        <v>49</v>
      </c>
    </row>
    <row r="6966">
      <c r="A6966" s="11">
        <v>6965.0</v>
      </c>
      <c r="B6966" s="12">
        <f t="shared" si="1107"/>
        <v>41024</v>
      </c>
      <c r="C6966" s="11" t="s">
        <v>998</v>
      </c>
      <c r="D6966" s="11" t="s">
        <v>49</v>
      </c>
    </row>
    <row r="6967">
      <c r="A6967" s="11">
        <v>6966.0</v>
      </c>
      <c r="B6967" s="12">
        <f t="shared" si="1107"/>
        <v>41024</v>
      </c>
      <c r="C6967" s="11" t="s">
        <v>1120</v>
      </c>
      <c r="D6967" s="11" t="s">
        <v>28</v>
      </c>
    </row>
    <row r="6968">
      <c r="A6968" s="11">
        <v>6967.0</v>
      </c>
      <c r="B6968" s="12">
        <f t="shared" si="1107"/>
        <v>41024</v>
      </c>
      <c r="C6968" s="11" t="s">
        <v>1192</v>
      </c>
      <c r="D6968" s="11" t="s">
        <v>49</v>
      </c>
    </row>
    <row r="6969">
      <c r="A6969" s="11">
        <v>6968.0</v>
      </c>
      <c r="B6969" s="12">
        <f t="shared" si="1107"/>
        <v>41024</v>
      </c>
      <c r="C6969" s="11" t="s">
        <v>1192</v>
      </c>
      <c r="D6969" s="11" t="s">
        <v>28</v>
      </c>
    </row>
    <row r="6970">
      <c r="A6970" s="11">
        <v>6969.0</v>
      </c>
      <c r="B6970" s="12">
        <f t="shared" si="1107"/>
        <v>41024</v>
      </c>
      <c r="C6970" s="11" t="s">
        <v>1192</v>
      </c>
      <c r="D6970" s="11" t="s">
        <v>28</v>
      </c>
    </row>
    <row r="6971">
      <c r="A6971" s="11">
        <v>6970.0</v>
      </c>
      <c r="B6971" s="12">
        <f t="shared" ref="B6971:B6974" si="1108">DATE(2012,12,31)-249</f>
        <v>41025</v>
      </c>
      <c r="C6971" s="11" t="s">
        <v>841</v>
      </c>
      <c r="D6971" s="11" t="s">
        <v>66</v>
      </c>
    </row>
    <row r="6972">
      <c r="A6972" s="11">
        <v>6971.0</v>
      </c>
      <c r="B6972" s="12">
        <f t="shared" si="1108"/>
        <v>41025</v>
      </c>
      <c r="C6972" s="11" t="s">
        <v>2191</v>
      </c>
      <c r="D6972" s="11" t="s">
        <v>66</v>
      </c>
    </row>
    <row r="6973">
      <c r="A6973" s="11">
        <v>6972.0</v>
      </c>
      <c r="B6973" s="12">
        <f t="shared" si="1108"/>
        <v>41025</v>
      </c>
      <c r="C6973" s="11" t="s">
        <v>2191</v>
      </c>
      <c r="D6973" s="11" t="s">
        <v>28</v>
      </c>
    </row>
    <row r="6974">
      <c r="A6974" s="11">
        <v>6973.0</v>
      </c>
      <c r="B6974" s="12">
        <f t="shared" si="1108"/>
        <v>41025</v>
      </c>
      <c r="C6974" s="11" t="s">
        <v>2156</v>
      </c>
      <c r="D6974" s="11" t="s">
        <v>28</v>
      </c>
    </row>
    <row r="6975">
      <c r="A6975" s="11">
        <v>6974.0</v>
      </c>
      <c r="B6975" s="12">
        <f t="shared" ref="B6975:B6985" si="1109">DATE(2012,12,31)-248</f>
        <v>41026</v>
      </c>
      <c r="C6975" s="11" t="s">
        <v>626</v>
      </c>
      <c r="D6975" s="11" t="s">
        <v>66</v>
      </c>
    </row>
    <row r="6976">
      <c r="A6976" s="11">
        <v>6975.0</v>
      </c>
      <c r="B6976" s="12">
        <f t="shared" si="1109"/>
        <v>41026</v>
      </c>
      <c r="C6976" s="11" t="s">
        <v>239</v>
      </c>
      <c r="D6976" s="11" t="s">
        <v>66</v>
      </c>
    </row>
    <row r="6977">
      <c r="A6977" s="11">
        <v>6976.0</v>
      </c>
      <c r="B6977" s="12">
        <f t="shared" si="1109"/>
        <v>41026</v>
      </c>
      <c r="C6977" s="11" t="s">
        <v>1252</v>
      </c>
      <c r="D6977" s="11" t="s">
        <v>66</v>
      </c>
    </row>
    <row r="6978">
      <c r="A6978" s="11">
        <v>6977.0</v>
      </c>
      <c r="B6978" s="12">
        <f t="shared" si="1109"/>
        <v>41026</v>
      </c>
      <c r="C6978" s="11" t="s">
        <v>1252</v>
      </c>
      <c r="D6978" s="11" t="s">
        <v>66</v>
      </c>
    </row>
    <row r="6979">
      <c r="A6979" s="11">
        <v>6978.0</v>
      </c>
      <c r="B6979" s="12">
        <f t="shared" si="1109"/>
        <v>41026</v>
      </c>
      <c r="C6979" s="11" t="s">
        <v>268</v>
      </c>
      <c r="D6979" s="11" t="s">
        <v>66</v>
      </c>
    </row>
    <row r="6980">
      <c r="A6980" s="11">
        <v>6979.0</v>
      </c>
      <c r="B6980" s="12">
        <f t="shared" si="1109"/>
        <v>41026</v>
      </c>
      <c r="C6980" s="11" t="s">
        <v>1634</v>
      </c>
      <c r="D6980" s="11" t="s">
        <v>28</v>
      </c>
    </row>
    <row r="6981">
      <c r="A6981" s="11">
        <v>6980.0</v>
      </c>
      <c r="B6981" s="12">
        <f t="shared" si="1109"/>
        <v>41026</v>
      </c>
      <c r="C6981" s="11" t="s">
        <v>571</v>
      </c>
      <c r="D6981" s="11" t="s">
        <v>28</v>
      </c>
    </row>
    <row r="6982">
      <c r="A6982" s="11">
        <v>6981.0</v>
      </c>
      <c r="B6982" s="12">
        <f t="shared" si="1109"/>
        <v>41026</v>
      </c>
      <c r="C6982" s="11" t="s">
        <v>571</v>
      </c>
      <c r="D6982" s="11" t="s">
        <v>28</v>
      </c>
    </row>
    <row r="6983">
      <c r="A6983" s="11">
        <v>6982.0</v>
      </c>
      <c r="B6983" s="12">
        <f t="shared" si="1109"/>
        <v>41026</v>
      </c>
      <c r="C6983" s="11" t="s">
        <v>1017</v>
      </c>
      <c r="D6983" s="11" t="s">
        <v>66</v>
      </c>
    </row>
    <row r="6984">
      <c r="A6984" s="11">
        <v>6983.0</v>
      </c>
      <c r="B6984" s="12">
        <f t="shared" si="1109"/>
        <v>41026</v>
      </c>
      <c r="C6984" s="11" t="s">
        <v>1017</v>
      </c>
      <c r="D6984" s="11" t="s">
        <v>28</v>
      </c>
    </row>
    <row r="6985">
      <c r="A6985" s="11">
        <v>6984.0</v>
      </c>
      <c r="B6985" s="12">
        <f t="shared" si="1109"/>
        <v>41026</v>
      </c>
      <c r="C6985" s="11" t="s">
        <v>1560</v>
      </c>
      <c r="D6985" s="11" t="s">
        <v>28</v>
      </c>
    </row>
    <row r="6986">
      <c r="A6986" s="11">
        <v>6985.0</v>
      </c>
      <c r="B6986" s="12">
        <f t="shared" ref="B6986:B6991" si="1110">DATE(2012,12,31)-247</f>
        <v>41027</v>
      </c>
      <c r="C6986" s="11" t="s">
        <v>34</v>
      </c>
      <c r="D6986" s="11" t="s">
        <v>28</v>
      </c>
    </row>
    <row r="6987">
      <c r="A6987" s="11">
        <v>6986.0</v>
      </c>
      <c r="B6987" s="12">
        <f t="shared" si="1110"/>
        <v>41027</v>
      </c>
      <c r="C6987" s="11" t="s">
        <v>34</v>
      </c>
      <c r="D6987" s="11" t="s">
        <v>66</v>
      </c>
    </row>
    <row r="6988">
      <c r="A6988" s="11">
        <v>6987.0</v>
      </c>
      <c r="B6988" s="12">
        <f t="shared" si="1110"/>
        <v>41027</v>
      </c>
      <c r="C6988" s="11" t="s">
        <v>1999</v>
      </c>
      <c r="D6988" s="11" t="s">
        <v>49</v>
      </c>
    </row>
    <row r="6989">
      <c r="A6989" s="11">
        <v>6988.0</v>
      </c>
      <c r="B6989" s="12">
        <f t="shared" si="1110"/>
        <v>41027</v>
      </c>
      <c r="C6989" s="11" t="s">
        <v>900</v>
      </c>
      <c r="D6989" s="11" t="s">
        <v>66</v>
      </c>
    </row>
    <row r="6990">
      <c r="A6990" s="11">
        <v>6989.0</v>
      </c>
      <c r="B6990" s="12">
        <f t="shared" si="1110"/>
        <v>41027</v>
      </c>
      <c r="C6990" s="11" t="s">
        <v>300</v>
      </c>
      <c r="D6990" s="11" t="s">
        <v>28</v>
      </c>
    </row>
    <row r="6991">
      <c r="A6991" s="11">
        <v>6990.0</v>
      </c>
      <c r="B6991" s="12">
        <f t="shared" si="1110"/>
        <v>41027</v>
      </c>
      <c r="C6991" s="11" t="s">
        <v>1360</v>
      </c>
      <c r="D6991" s="11" t="s">
        <v>49</v>
      </c>
    </row>
    <row r="6992">
      <c r="A6992" s="11">
        <v>6991.0</v>
      </c>
      <c r="B6992" s="12">
        <f t="shared" ref="B6992:B7000" si="1111">DATE(2012,12,31)-246</f>
        <v>41028</v>
      </c>
      <c r="C6992" s="11" t="s">
        <v>2191</v>
      </c>
      <c r="D6992" s="11" t="s">
        <v>49</v>
      </c>
    </row>
    <row r="6993">
      <c r="A6993" s="11">
        <v>6992.0</v>
      </c>
      <c r="B6993" s="12">
        <f t="shared" si="1111"/>
        <v>41028</v>
      </c>
      <c r="C6993" s="11" t="s">
        <v>1837</v>
      </c>
      <c r="D6993" s="11" t="s">
        <v>66</v>
      </c>
    </row>
    <row r="6994">
      <c r="A6994" s="11">
        <v>6993.0</v>
      </c>
      <c r="B6994" s="12">
        <f t="shared" si="1111"/>
        <v>41028</v>
      </c>
      <c r="C6994" s="11" t="s">
        <v>1466</v>
      </c>
      <c r="D6994" s="11" t="s">
        <v>28</v>
      </c>
    </row>
    <row r="6995">
      <c r="A6995" s="11">
        <v>6994.0</v>
      </c>
      <c r="B6995" s="12">
        <f t="shared" si="1111"/>
        <v>41028</v>
      </c>
      <c r="C6995" s="11" t="s">
        <v>1466</v>
      </c>
      <c r="D6995" s="11" t="s">
        <v>49</v>
      </c>
    </row>
    <row r="6996">
      <c r="A6996" s="11">
        <v>6995.0</v>
      </c>
      <c r="B6996" s="12">
        <f t="shared" si="1111"/>
        <v>41028</v>
      </c>
      <c r="C6996" s="11" t="s">
        <v>1442</v>
      </c>
      <c r="D6996" s="11" t="s">
        <v>66</v>
      </c>
    </row>
    <row r="6997">
      <c r="A6997" s="11">
        <v>6996.0</v>
      </c>
      <c r="B6997" s="12">
        <f t="shared" si="1111"/>
        <v>41028</v>
      </c>
      <c r="C6997" s="11" t="s">
        <v>429</v>
      </c>
      <c r="D6997" s="11" t="s">
        <v>49</v>
      </c>
    </row>
    <row r="6998">
      <c r="A6998" s="11">
        <v>6997.0</v>
      </c>
      <c r="B6998" s="12">
        <f t="shared" si="1111"/>
        <v>41028</v>
      </c>
      <c r="C6998" s="11" t="s">
        <v>429</v>
      </c>
      <c r="D6998" s="11" t="s">
        <v>66</v>
      </c>
    </row>
    <row r="6999">
      <c r="A6999" s="11">
        <v>6998.0</v>
      </c>
      <c r="B6999" s="12">
        <f t="shared" si="1111"/>
        <v>41028</v>
      </c>
      <c r="C6999" s="11" t="s">
        <v>1423</v>
      </c>
      <c r="D6999" s="11" t="s">
        <v>49</v>
      </c>
    </row>
    <row r="7000">
      <c r="A7000" s="11">
        <v>6999.0</v>
      </c>
      <c r="B7000" s="12">
        <f t="shared" si="1111"/>
        <v>41028</v>
      </c>
      <c r="C7000" s="11" t="s">
        <v>659</v>
      </c>
      <c r="D7000" s="11" t="s">
        <v>28</v>
      </c>
    </row>
    <row r="7001">
      <c r="A7001" s="11">
        <v>7000.0</v>
      </c>
      <c r="B7001" s="12">
        <f t="shared" ref="B7001:B7002" si="1112">DATE(2012,12,31)-245</f>
        <v>41029</v>
      </c>
      <c r="C7001" s="11" t="s">
        <v>456</v>
      </c>
      <c r="D7001" s="11" t="s">
        <v>28</v>
      </c>
    </row>
    <row r="7002">
      <c r="A7002" s="11">
        <v>7001.0</v>
      </c>
      <c r="B7002" s="12">
        <f t="shared" si="1112"/>
        <v>41029</v>
      </c>
      <c r="C7002" s="11" t="s">
        <v>659</v>
      </c>
      <c r="D7002" s="11" t="s">
        <v>49</v>
      </c>
    </row>
    <row r="7003">
      <c r="A7003" s="11">
        <v>7002.0</v>
      </c>
      <c r="B7003" s="12">
        <f t="shared" ref="B7003:B7004" si="1113">DATE(2012,12,31)-244</f>
        <v>41030</v>
      </c>
      <c r="C7003" s="11" t="s">
        <v>1462</v>
      </c>
      <c r="D7003" s="11" t="s">
        <v>28</v>
      </c>
    </row>
    <row r="7004">
      <c r="A7004" s="11">
        <v>7003.0</v>
      </c>
      <c r="B7004" s="12">
        <f t="shared" si="1113"/>
        <v>41030</v>
      </c>
      <c r="C7004" s="11" t="s">
        <v>849</v>
      </c>
      <c r="D7004" s="11" t="s">
        <v>28</v>
      </c>
    </row>
    <row r="7005">
      <c r="A7005" s="11">
        <v>7004.0</v>
      </c>
      <c r="B7005" s="12">
        <f t="shared" ref="B7005:B7010" si="1114">DATE(2012,12,31)-243</f>
        <v>41031</v>
      </c>
      <c r="C7005" s="11" t="s">
        <v>689</v>
      </c>
      <c r="D7005" s="11" t="s">
        <v>28</v>
      </c>
    </row>
    <row r="7006">
      <c r="A7006" s="11">
        <v>7005.0</v>
      </c>
      <c r="B7006" s="12">
        <f t="shared" si="1114"/>
        <v>41031</v>
      </c>
      <c r="C7006" s="11" t="s">
        <v>1780</v>
      </c>
      <c r="D7006" s="11" t="s">
        <v>28</v>
      </c>
    </row>
    <row r="7007">
      <c r="A7007" s="11">
        <v>7006.0</v>
      </c>
      <c r="B7007" s="12">
        <f t="shared" si="1114"/>
        <v>41031</v>
      </c>
      <c r="C7007" s="11" t="s">
        <v>786</v>
      </c>
      <c r="D7007" s="11" t="s">
        <v>28</v>
      </c>
    </row>
    <row r="7008">
      <c r="A7008" s="11">
        <v>7007.0</v>
      </c>
      <c r="B7008" s="12">
        <f t="shared" si="1114"/>
        <v>41031</v>
      </c>
      <c r="C7008" s="11" t="s">
        <v>786</v>
      </c>
      <c r="D7008" s="11" t="s">
        <v>66</v>
      </c>
    </row>
    <row r="7009">
      <c r="A7009" s="11">
        <v>7008.0</v>
      </c>
      <c r="B7009" s="12">
        <f t="shared" si="1114"/>
        <v>41031</v>
      </c>
      <c r="C7009" s="11" t="s">
        <v>1907</v>
      </c>
      <c r="D7009" s="11" t="s">
        <v>28</v>
      </c>
    </row>
    <row r="7010">
      <c r="A7010" s="11">
        <v>7009.0</v>
      </c>
      <c r="B7010" s="12">
        <f t="shared" si="1114"/>
        <v>41031</v>
      </c>
      <c r="C7010" s="11" t="s">
        <v>1907</v>
      </c>
      <c r="D7010" s="11" t="s">
        <v>28</v>
      </c>
    </row>
    <row r="7011">
      <c r="A7011" s="11">
        <v>7010.0</v>
      </c>
      <c r="B7011" s="12">
        <f t="shared" ref="B7011:B7016" si="1115">DATE(2012,12,31)-242</f>
        <v>41032</v>
      </c>
      <c r="C7011" s="11" t="s">
        <v>1773</v>
      </c>
      <c r="D7011" s="11" t="s">
        <v>28</v>
      </c>
    </row>
    <row r="7012">
      <c r="A7012" s="11">
        <v>7011.0</v>
      </c>
      <c r="B7012" s="12">
        <f t="shared" si="1115"/>
        <v>41032</v>
      </c>
      <c r="C7012" s="11" t="s">
        <v>1264</v>
      </c>
      <c r="D7012" s="11" t="s">
        <v>28</v>
      </c>
    </row>
    <row r="7013">
      <c r="A7013" s="11">
        <v>7012.0</v>
      </c>
      <c r="B7013" s="12">
        <f t="shared" si="1115"/>
        <v>41032</v>
      </c>
      <c r="C7013" s="11" t="s">
        <v>648</v>
      </c>
      <c r="D7013" s="11" t="s">
        <v>66</v>
      </c>
    </row>
    <row r="7014">
      <c r="A7014" s="11">
        <v>7013.0</v>
      </c>
      <c r="B7014" s="12">
        <f t="shared" si="1115"/>
        <v>41032</v>
      </c>
      <c r="C7014" s="11" t="s">
        <v>332</v>
      </c>
      <c r="D7014" s="11" t="s">
        <v>28</v>
      </c>
    </row>
    <row r="7015">
      <c r="A7015" s="11">
        <v>7014.0</v>
      </c>
      <c r="B7015" s="12">
        <f t="shared" si="1115"/>
        <v>41032</v>
      </c>
      <c r="C7015" s="11" t="s">
        <v>1067</v>
      </c>
      <c r="D7015" s="11" t="s">
        <v>49</v>
      </c>
    </row>
    <row r="7016">
      <c r="A7016" s="11">
        <v>7015.0</v>
      </c>
      <c r="B7016" s="12">
        <f t="shared" si="1115"/>
        <v>41032</v>
      </c>
      <c r="C7016" s="11" t="s">
        <v>1518</v>
      </c>
      <c r="D7016" s="11" t="s">
        <v>28</v>
      </c>
    </row>
    <row r="7017">
      <c r="A7017" s="11">
        <v>7016.0</v>
      </c>
      <c r="B7017" s="12">
        <f t="shared" ref="B7017:B7024" si="1116">DATE(2012,12,31)-241</f>
        <v>41033</v>
      </c>
      <c r="C7017" s="11" t="s">
        <v>689</v>
      </c>
      <c r="D7017" s="11" t="s">
        <v>28</v>
      </c>
    </row>
    <row r="7018">
      <c r="A7018" s="11">
        <v>7017.0</v>
      </c>
      <c r="B7018" s="12">
        <f t="shared" si="1116"/>
        <v>41033</v>
      </c>
      <c r="C7018" s="11" t="s">
        <v>423</v>
      </c>
      <c r="D7018" s="11" t="s">
        <v>28</v>
      </c>
    </row>
    <row r="7019">
      <c r="A7019" s="11">
        <v>7018.0</v>
      </c>
      <c r="B7019" s="12">
        <f t="shared" si="1116"/>
        <v>41033</v>
      </c>
      <c r="C7019" s="11" t="s">
        <v>423</v>
      </c>
      <c r="D7019" s="11" t="s">
        <v>28</v>
      </c>
    </row>
    <row r="7020">
      <c r="A7020" s="11">
        <v>7019.0</v>
      </c>
      <c r="B7020" s="12">
        <f t="shared" si="1116"/>
        <v>41033</v>
      </c>
      <c r="C7020" s="11" t="s">
        <v>423</v>
      </c>
      <c r="D7020" s="11" t="s">
        <v>66</v>
      </c>
    </row>
    <row r="7021">
      <c r="A7021" s="11">
        <v>7020.0</v>
      </c>
      <c r="B7021" s="12">
        <f t="shared" si="1116"/>
        <v>41033</v>
      </c>
      <c r="C7021" s="11" t="s">
        <v>426</v>
      </c>
      <c r="D7021" s="11" t="s">
        <v>49</v>
      </c>
    </row>
    <row r="7022">
      <c r="A7022" s="11">
        <v>7021.0</v>
      </c>
      <c r="B7022" s="12">
        <f t="shared" si="1116"/>
        <v>41033</v>
      </c>
      <c r="C7022" s="11" t="s">
        <v>1259</v>
      </c>
      <c r="D7022" s="11" t="s">
        <v>28</v>
      </c>
    </row>
    <row r="7023">
      <c r="A7023" s="11">
        <v>7022.0</v>
      </c>
      <c r="B7023" s="12">
        <f t="shared" si="1116"/>
        <v>41033</v>
      </c>
      <c r="C7023" s="11" t="s">
        <v>1259</v>
      </c>
      <c r="D7023" s="11" t="s">
        <v>66</v>
      </c>
    </row>
    <row r="7024">
      <c r="A7024" s="11">
        <v>7023.0</v>
      </c>
      <c r="B7024" s="12">
        <f t="shared" si="1116"/>
        <v>41033</v>
      </c>
      <c r="C7024" s="11" t="s">
        <v>441</v>
      </c>
      <c r="D7024" s="11" t="s">
        <v>66</v>
      </c>
    </row>
    <row r="7025">
      <c r="A7025" s="11">
        <v>7024.0</v>
      </c>
      <c r="B7025" s="12">
        <f t="shared" ref="B7025:B7033" si="1117">DATE(2012,12,31)-240</f>
        <v>41034</v>
      </c>
      <c r="C7025" s="11" t="s">
        <v>2148</v>
      </c>
      <c r="D7025" s="11" t="s">
        <v>66</v>
      </c>
    </row>
    <row r="7026">
      <c r="A7026" s="11">
        <v>7025.0</v>
      </c>
      <c r="B7026" s="12">
        <f t="shared" si="1117"/>
        <v>41034</v>
      </c>
      <c r="C7026" s="11" t="s">
        <v>2148</v>
      </c>
      <c r="D7026" s="11" t="s">
        <v>28</v>
      </c>
    </row>
    <row r="7027">
      <c r="A7027" s="11">
        <v>7026.0</v>
      </c>
      <c r="B7027" s="12">
        <f t="shared" si="1117"/>
        <v>41034</v>
      </c>
      <c r="C7027" s="11" t="s">
        <v>647</v>
      </c>
      <c r="D7027" s="11" t="s">
        <v>66</v>
      </c>
    </row>
    <row r="7028">
      <c r="A7028" s="11">
        <v>7027.0</v>
      </c>
      <c r="B7028" s="12">
        <f t="shared" si="1117"/>
        <v>41034</v>
      </c>
      <c r="C7028" s="11" t="s">
        <v>1683</v>
      </c>
      <c r="D7028" s="11" t="s">
        <v>28</v>
      </c>
    </row>
    <row r="7029">
      <c r="A7029" s="11">
        <v>7028.0</v>
      </c>
      <c r="B7029" s="12">
        <f t="shared" si="1117"/>
        <v>41034</v>
      </c>
      <c r="C7029" s="11" t="s">
        <v>716</v>
      </c>
      <c r="D7029" s="11" t="s">
        <v>49</v>
      </c>
    </row>
    <row r="7030">
      <c r="A7030" s="11">
        <v>7029.0</v>
      </c>
      <c r="B7030" s="12">
        <f t="shared" si="1117"/>
        <v>41034</v>
      </c>
      <c r="C7030" s="11" t="s">
        <v>528</v>
      </c>
      <c r="D7030" s="11" t="s">
        <v>49</v>
      </c>
    </row>
    <row r="7031">
      <c r="A7031" s="11">
        <v>7030.0</v>
      </c>
      <c r="B7031" s="12">
        <f t="shared" si="1117"/>
        <v>41034</v>
      </c>
      <c r="C7031" s="11" t="s">
        <v>528</v>
      </c>
      <c r="D7031" s="11" t="s">
        <v>49</v>
      </c>
    </row>
    <row r="7032">
      <c r="A7032" s="11">
        <v>7031.0</v>
      </c>
      <c r="B7032" s="12">
        <f t="shared" si="1117"/>
        <v>41034</v>
      </c>
      <c r="C7032" s="11" t="s">
        <v>528</v>
      </c>
      <c r="D7032" s="11" t="s">
        <v>28</v>
      </c>
    </row>
    <row r="7033">
      <c r="A7033" s="11">
        <v>7032.0</v>
      </c>
      <c r="B7033" s="12">
        <f t="shared" si="1117"/>
        <v>41034</v>
      </c>
      <c r="C7033" s="11" t="s">
        <v>528</v>
      </c>
      <c r="D7033" s="11" t="s">
        <v>28</v>
      </c>
    </row>
    <row r="7034">
      <c r="A7034" s="11">
        <v>7033.0</v>
      </c>
      <c r="B7034" s="12">
        <f t="shared" ref="B7034:B7044" si="1118">DATE(2012,12,31)-239</f>
        <v>41035</v>
      </c>
      <c r="C7034" s="11" t="s">
        <v>429</v>
      </c>
      <c r="D7034" s="11" t="s">
        <v>49</v>
      </c>
    </row>
    <row r="7035">
      <c r="A7035" s="11">
        <v>7034.0</v>
      </c>
      <c r="B7035" s="12">
        <f t="shared" si="1118"/>
        <v>41035</v>
      </c>
      <c r="C7035" s="11" t="s">
        <v>2204</v>
      </c>
      <c r="D7035" s="11" t="s">
        <v>28</v>
      </c>
    </row>
    <row r="7036">
      <c r="A7036" s="11">
        <v>7035.0</v>
      </c>
      <c r="B7036" s="12">
        <f t="shared" si="1118"/>
        <v>41035</v>
      </c>
      <c r="C7036" s="11" t="s">
        <v>639</v>
      </c>
      <c r="D7036" s="11" t="s">
        <v>66</v>
      </c>
    </row>
    <row r="7037">
      <c r="A7037" s="11">
        <v>7036.0</v>
      </c>
      <c r="B7037" s="12">
        <f t="shared" si="1118"/>
        <v>41035</v>
      </c>
      <c r="C7037" s="11" t="s">
        <v>639</v>
      </c>
      <c r="D7037" s="11" t="s">
        <v>66</v>
      </c>
    </row>
    <row r="7038">
      <c r="A7038" s="11">
        <v>7037.0</v>
      </c>
      <c r="B7038" s="12">
        <f t="shared" si="1118"/>
        <v>41035</v>
      </c>
      <c r="C7038" s="11" t="s">
        <v>639</v>
      </c>
      <c r="D7038" s="11" t="s">
        <v>28</v>
      </c>
    </row>
    <row r="7039">
      <c r="A7039" s="11">
        <v>7038.0</v>
      </c>
      <c r="B7039" s="12">
        <f t="shared" si="1118"/>
        <v>41035</v>
      </c>
      <c r="C7039" s="11" t="s">
        <v>639</v>
      </c>
      <c r="D7039" s="11" t="s">
        <v>28</v>
      </c>
    </row>
    <row r="7040">
      <c r="A7040" s="11">
        <v>7039.0</v>
      </c>
      <c r="B7040" s="12">
        <f t="shared" si="1118"/>
        <v>41035</v>
      </c>
      <c r="C7040" s="11" t="s">
        <v>1564</v>
      </c>
      <c r="D7040" s="11" t="s">
        <v>66</v>
      </c>
    </row>
    <row r="7041">
      <c r="A7041" s="11">
        <v>7040.0</v>
      </c>
      <c r="B7041" s="12">
        <f t="shared" si="1118"/>
        <v>41035</v>
      </c>
      <c r="C7041" s="11" t="s">
        <v>1564</v>
      </c>
      <c r="D7041" s="11" t="s">
        <v>66</v>
      </c>
    </row>
    <row r="7042">
      <c r="A7042" s="11">
        <v>7041.0</v>
      </c>
      <c r="B7042" s="12">
        <f t="shared" si="1118"/>
        <v>41035</v>
      </c>
      <c r="C7042" s="11" t="s">
        <v>332</v>
      </c>
      <c r="D7042" s="11" t="s">
        <v>66</v>
      </c>
    </row>
    <row r="7043">
      <c r="A7043" s="11">
        <v>7042.0</v>
      </c>
      <c r="B7043" s="12">
        <f t="shared" si="1118"/>
        <v>41035</v>
      </c>
      <c r="C7043" s="11" t="s">
        <v>332</v>
      </c>
      <c r="D7043" s="11" t="s">
        <v>28</v>
      </c>
    </row>
    <row r="7044">
      <c r="A7044" s="11">
        <v>7043.0</v>
      </c>
      <c r="B7044" s="12">
        <f t="shared" si="1118"/>
        <v>41035</v>
      </c>
      <c r="C7044" s="11" t="s">
        <v>332</v>
      </c>
      <c r="D7044" s="11" t="s">
        <v>49</v>
      </c>
    </row>
    <row r="7045">
      <c r="A7045" s="11">
        <v>7044.0</v>
      </c>
      <c r="B7045" s="12">
        <f t="shared" ref="B7045:B7054" si="1119">DATE(2012,12,31)-238</f>
        <v>41036</v>
      </c>
      <c r="C7045" s="11" t="s">
        <v>1101</v>
      </c>
      <c r="D7045" s="11" t="s">
        <v>66</v>
      </c>
    </row>
    <row r="7046">
      <c r="A7046" s="11">
        <v>7045.0</v>
      </c>
      <c r="B7046" s="12">
        <f t="shared" si="1119"/>
        <v>41036</v>
      </c>
      <c r="C7046" s="11" t="s">
        <v>1101</v>
      </c>
      <c r="D7046" s="11" t="s">
        <v>28</v>
      </c>
    </row>
    <row r="7047">
      <c r="A7047" s="11">
        <v>7046.0</v>
      </c>
      <c r="B7047" s="12">
        <f t="shared" si="1119"/>
        <v>41036</v>
      </c>
      <c r="C7047" s="11" t="s">
        <v>1101</v>
      </c>
      <c r="D7047" s="11" t="s">
        <v>28</v>
      </c>
    </row>
    <row r="7048">
      <c r="A7048" s="11">
        <v>7047.0</v>
      </c>
      <c r="B7048" s="12">
        <f t="shared" si="1119"/>
        <v>41036</v>
      </c>
      <c r="C7048" s="11" t="s">
        <v>1209</v>
      </c>
      <c r="D7048" s="11" t="s">
        <v>66</v>
      </c>
    </row>
    <row r="7049">
      <c r="A7049" s="11">
        <v>7048.0</v>
      </c>
      <c r="B7049" s="12">
        <f t="shared" si="1119"/>
        <v>41036</v>
      </c>
      <c r="C7049" s="11" t="s">
        <v>1209</v>
      </c>
      <c r="D7049" s="11" t="s">
        <v>28</v>
      </c>
    </row>
    <row r="7050">
      <c r="A7050" s="11">
        <v>7049.0</v>
      </c>
      <c r="B7050" s="12">
        <f t="shared" si="1119"/>
        <v>41036</v>
      </c>
      <c r="C7050" s="11" t="s">
        <v>1024</v>
      </c>
      <c r="D7050" s="11" t="s">
        <v>49</v>
      </c>
    </row>
    <row r="7051">
      <c r="A7051" s="11">
        <v>7050.0</v>
      </c>
      <c r="B7051" s="12">
        <f t="shared" si="1119"/>
        <v>41036</v>
      </c>
      <c r="C7051" s="11" t="s">
        <v>1024</v>
      </c>
      <c r="D7051" s="11" t="s">
        <v>28</v>
      </c>
    </row>
    <row r="7052">
      <c r="A7052" s="11">
        <v>7051.0</v>
      </c>
      <c r="B7052" s="12">
        <f t="shared" si="1119"/>
        <v>41036</v>
      </c>
      <c r="C7052" s="11" t="s">
        <v>2422</v>
      </c>
      <c r="D7052" s="11" t="s">
        <v>28</v>
      </c>
    </row>
    <row r="7053">
      <c r="A7053" s="11">
        <v>7052.0</v>
      </c>
      <c r="B7053" s="12">
        <f t="shared" si="1119"/>
        <v>41036</v>
      </c>
      <c r="C7053" s="11" t="s">
        <v>2422</v>
      </c>
      <c r="D7053" s="11" t="s">
        <v>66</v>
      </c>
    </row>
    <row r="7054">
      <c r="A7054" s="11">
        <v>7053.0</v>
      </c>
      <c r="B7054" s="12">
        <f t="shared" si="1119"/>
        <v>41036</v>
      </c>
      <c r="C7054" s="11" t="s">
        <v>398</v>
      </c>
      <c r="D7054" s="11" t="s">
        <v>28</v>
      </c>
    </row>
    <row r="7055">
      <c r="A7055" s="11">
        <v>7054.0</v>
      </c>
      <c r="B7055" s="12">
        <f t="shared" ref="B7055:B7059" si="1120">DATE(2012,12,31)-237</f>
        <v>41037</v>
      </c>
      <c r="C7055" s="11" t="s">
        <v>2250</v>
      </c>
      <c r="D7055" s="11" t="s">
        <v>66</v>
      </c>
    </row>
    <row r="7056">
      <c r="A7056" s="11">
        <v>7055.0</v>
      </c>
      <c r="B7056" s="12">
        <f t="shared" si="1120"/>
        <v>41037</v>
      </c>
      <c r="C7056" s="11" t="s">
        <v>395</v>
      </c>
      <c r="D7056" s="11" t="s">
        <v>49</v>
      </c>
    </row>
    <row r="7057">
      <c r="A7057" s="11">
        <v>7056.0</v>
      </c>
      <c r="B7057" s="12">
        <f t="shared" si="1120"/>
        <v>41037</v>
      </c>
      <c r="C7057" s="11" t="s">
        <v>395</v>
      </c>
      <c r="D7057" s="11" t="s">
        <v>28</v>
      </c>
    </row>
    <row r="7058">
      <c r="A7058" s="11">
        <v>7057.0</v>
      </c>
      <c r="B7058" s="12">
        <f t="shared" si="1120"/>
        <v>41037</v>
      </c>
      <c r="C7058" s="11" t="s">
        <v>193</v>
      </c>
      <c r="D7058" s="11" t="s">
        <v>66</v>
      </c>
    </row>
    <row r="7059">
      <c r="A7059" s="11">
        <v>7058.0</v>
      </c>
      <c r="B7059" s="12">
        <f t="shared" si="1120"/>
        <v>41037</v>
      </c>
      <c r="C7059" s="11" t="s">
        <v>193</v>
      </c>
      <c r="D7059" s="11" t="s">
        <v>28</v>
      </c>
    </row>
    <row r="7060">
      <c r="A7060" s="11">
        <v>7059.0</v>
      </c>
      <c r="B7060" s="12">
        <f t="shared" ref="B7060:B7065" si="1121">DATE(2012,12,31)-236</f>
        <v>41038</v>
      </c>
      <c r="C7060" s="11" t="s">
        <v>403</v>
      </c>
      <c r="D7060" s="11" t="s">
        <v>66</v>
      </c>
    </row>
    <row r="7061">
      <c r="A7061" s="11">
        <v>7060.0</v>
      </c>
      <c r="B7061" s="12">
        <f t="shared" si="1121"/>
        <v>41038</v>
      </c>
      <c r="C7061" s="11" t="s">
        <v>403</v>
      </c>
      <c r="D7061" s="11" t="s">
        <v>28</v>
      </c>
    </row>
    <row r="7062">
      <c r="A7062" s="11">
        <v>7061.0</v>
      </c>
      <c r="B7062" s="12">
        <f t="shared" si="1121"/>
        <v>41038</v>
      </c>
      <c r="C7062" s="11" t="s">
        <v>1009</v>
      </c>
      <c r="D7062" s="11" t="s">
        <v>28</v>
      </c>
    </row>
    <row r="7063">
      <c r="A7063" s="11">
        <v>7062.0</v>
      </c>
      <c r="B7063" s="12">
        <f t="shared" si="1121"/>
        <v>41038</v>
      </c>
      <c r="C7063" s="11" t="s">
        <v>1009</v>
      </c>
      <c r="D7063" s="11" t="s">
        <v>66</v>
      </c>
    </row>
    <row r="7064">
      <c r="A7064" s="11">
        <v>7063.0</v>
      </c>
      <c r="B7064" s="12">
        <f t="shared" si="1121"/>
        <v>41038</v>
      </c>
      <c r="C7064" s="11" t="s">
        <v>1865</v>
      </c>
      <c r="D7064" s="11" t="s">
        <v>28</v>
      </c>
    </row>
    <row r="7065">
      <c r="A7065" s="11">
        <v>7064.0</v>
      </c>
      <c r="B7065" s="12">
        <f t="shared" si="1121"/>
        <v>41038</v>
      </c>
      <c r="C7065" s="11" t="s">
        <v>1865</v>
      </c>
      <c r="D7065" s="11" t="s">
        <v>66</v>
      </c>
    </row>
    <row r="7066">
      <c r="A7066" s="11">
        <v>7065.0</v>
      </c>
      <c r="B7066" s="12">
        <f t="shared" ref="B7066:B7075" si="1122">DATE(2012,12,31)-235</f>
        <v>41039</v>
      </c>
      <c r="C7066" s="11" t="s">
        <v>1496</v>
      </c>
      <c r="D7066" s="11" t="s">
        <v>66</v>
      </c>
    </row>
    <row r="7067">
      <c r="A7067" s="11">
        <v>7066.0</v>
      </c>
      <c r="B7067" s="12">
        <f t="shared" si="1122"/>
        <v>41039</v>
      </c>
      <c r="C7067" s="11" t="s">
        <v>1805</v>
      </c>
      <c r="D7067" s="11" t="s">
        <v>28</v>
      </c>
    </row>
    <row r="7068">
      <c r="A7068" s="11">
        <v>7067.0</v>
      </c>
      <c r="B7068" s="12">
        <f t="shared" si="1122"/>
        <v>41039</v>
      </c>
      <c r="C7068" s="11" t="s">
        <v>1805</v>
      </c>
      <c r="D7068" s="11" t="s">
        <v>66</v>
      </c>
    </row>
    <row r="7069">
      <c r="A7069" s="11">
        <v>7068.0</v>
      </c>
      <c r="B7069" s="12">
        <f t="shared" si="1122"/>
        <v>41039</v>
      </c>
      <c r="C7069" s="11" t="s">
        <v>1805</v>
      </c>
      <c r="D7069" s="11" t="s">
        <v>28</v>
      </c>
    </row>
    <row r="7070">
      <c r="A7070" s="11">
        <v>7069.0</v>
      </c>
      <c r="B7070" s="12">
        <f t="shared" si="1122"/>
        <v>41039</v>
      </c>
      <c r="C7070" s="11" t="s">
        <v>323</v>
      </c>
      <c r="D7070" s="11" t="s">
        <v>66</v>
      </c>
    </row>
    <row r="7071">
      <c r="A7071" s="11">
        <v>7070.0</v>
      </c>
      <c r="B7071" s="12">
        <f t="shared" si="1122"/>
        <v>41039</v>
      </c>
      <c r="C7071" s="11" t="s">
        <v>323</v>
      </c>
      <c r="D7071" s="11" t="s">
        <v>28</v>
      </c>
    </row>
    <row r="7072">
      <c r="A7072" s="11">
        <v>7071.0</v>
      </c>
      <c r="B7072" s="12">
        <f t="shared" si="1122"/>
        <v>41039</v>
      </c>
      <c r="C7072" s="11" t="s">
        <v>323</v>
      </c>
      <c r="D7072" s="11" t="s">
        <v>28</v>
      </c>
    </row>
    <row r="7073">
      <c r="A7073" s="11">
        <v>7072.0</v>
      </c>
      <c r="B7073" s="12">
        <f t="shared" si="1122"/>
        <v>41039</v>
      </c>
      <c r="C7073" s="11" t="s">
        <v>1903</v>
      </c>
      <c r="D7073" s="11" t="s">
        <v>28</v>
      </c>
    </row>
    <row r="7074">
      <c r="A7074" s="11">
        <v>7073.0</v>
      </c>
      <c r="B7074" s="12">
        <f t="shared" si="1122"/>
        <v>41039</v>
      </c>
      <c r="C7074" s="11" t="s">
        <v>1903</v>
      </c>
      <c r="D7074" s="11" t="s">
        <v>28</v>
      </c>
    </row>
    <row r="7075">
      <c r="A7075" s="11">
        <v>7074.0</v>
      </c>
      <c r="B7075" s="12">
        <f t="shared" si="1122"/>
        <v>41039</v>
      </c>
      <c r="C7075" s="11" t="s">
        <v>1903</v>
      </c>
      <c r="D7075" s="11" t="s">
        <v>66</v>
      </c>
    </row>
    <row r="7076">
      <c r="A7076" s="11">
        <v>7075.0</v>
      </c>
      <c r="B7076" s="12">
        <f t="shared" ref="B7076:B7081" si="1123">DATE(2012,12,31)-234</f>
        <v>41040</v>
      </c>
      <c r="C7076" s="11" t="s">
        <v>2084</v>
      </c>
      <c r="D7076" s="11" t="s">
        <v>66</v>
      </c>
    </row>
    <row r="7077">
      <c r="A7077" s="11">
        <v>7076.0</v>
      </c>
      <c r="B7077" s="12">
        <f t="shared" si="1123"/>
        <v>41040</v>
      </c>
      <c r="C7077" s="11" t="s">
        <v>2084</v>
      </c>
      <c r="D7077" s="11" t="s">
        <v>66</v>
      </c>
    </row>
    <row r="7078">
      <c r="A7078" s="11">
        <v>7077.0</v>
      </c>
      <c r="B7078" s="12">
        <f t="shared" si="1123"/>
        <v>41040</v>
      </c>
      <c r="C7078" s="11" t="s">
        <v>828</v>
      </c>
      <c r="D7078" s="11" t="s">
        <v>28</v>
      </c>
    </row>
    <row r="7079">
      <c r="A7079" s="11">
        <v>7078.0</v>
      </c>
      <c r="B7079" s="12">
        <f t="shared" si="1123"/>
        <v>41040</v>
      </c>
      <c r="C7079" s="11" t="s">
        <v>2035</v>
      </c>
      <c r="D7079" s="11" t="s">
        <v>28</v>
      </c>
    </row>
    <row r="7080">
      <c r="A7080" s="11">
        <v>7079.0</v>
      </c>
      <c r="B7080" s="12">
        <f t="shared" si="1123"/>
        <v>41040</v>
      </c>
      <c r="C7080" s="11" t="s">
        <v>268</v>
      </c>
      <c r="D7080" s="11" t="s">
        <v>49</v>
      </c>
    </row>
    <row r="7081">
      <c r="A7081" s="11">
        <v>7080.0</v>
      </c>
      <c r="B7081" s="12">
        <f t="shared" si="1123"/>
        <v>41040</v>
      </c>
      <c r="C7081" s="11" t="s">
        <v>268</v>
      </c>
      <c r="D7081" s="11" t="s">
        <v>28</v>
      </c>
    </row>
    <row r="7082">
      <c r="A7082" s="11">
        <v>7081.0</v>
      </c>
      <c r="B7082" s="12">
        <f t="shared" ref="B7082:B7095" si="1124">DATE(2012,12,31)-233</f>
        <v>41041</v>
      </c>
      <c r="C7082" s="11" t="s">
        <v>1054</v>
      </c>
      <c r="D7082" s="11" t="s">
        <v>28</v>
      </c>
    </row>
    <row r="7083">
      <c r="A7083" s="11">
        <v>7082.0</v>
      </c>
      <c r="B7083" s="12">
        <f t="shared" si="1124"/>
        <v>41041</v>
      </c>
      <c r="C7083" s="11" t="s">
        <v>1054</v>
      </c>
      <c r="D7083" s="11" t="s">
        <v>28</v>
      </c>
    </row>
    <row r="7084">
      <c r="A7084" s="11">
        <v>7083.0</v>
      </c>
      <c r="B7084" s="12">
        <f t="shared" si="1124"/>
        <v>41041</v>
      </c>
      <c r="C7084" s="11" t="s">
        <v>1054</v>
      </c>
      <c r="D7084" s="11" t="s">
        <v>28</v>
      </c>
    </row>
    <row r="7085">
      <c r="A7085" s="11">
        <v>7084.0</v>
      </c>
      <c r="B7085" s="12">
        <f t="shared" si="1124"/>
        <v>41041</v>
      </c>
      <c r="C7085" s="11" t="s">
        <v>2165</v>
      </c>
      <c r="D7085" s="11" t="s">
        <v>49</v>
      </c>
    </row>
    <row r="7086">
      <c r="A7086" s="11">
        <v>7085.0</v>
      </c>
      <c r="B7086" s="12">
        <f t="shared" si="1124"/>
        <v>41041</v>
      </c>
      <c r="C7086" s="11" t="s">
        <v>504</v>
      </c>
      <c r="D7086" s="11" t="s">
        <v>28</v>
      </c>
    </row>
    <row r="7087">
      <c r="A7087" s="11">
        <v>7086.0</v>
      </c>
      <c r="B7087" s="12">
        <f t="shared" si="1124"/>
        <v>41041</v>
      </c>
      <c r="C7087" s="11" t="s">
        <v>2009</v>
      </c>
      <c r="D7087" s="11" t="s">
        <v>28</v>
      </c>
    </row>
    <row r="7088">
      <c r="A7088" s="11">
        <v>7087.0</v>
      </c>
      <c r="B7088" s="12">
        <f t="shared" si="1124"/>
        <v>41041</v>
      </c>
      <c r="C7088" s="11" t="s">
        <v>349</v>
      </c>
      <c r="D7088" s="11" t="s">
        <v>28</v>
      </c>
    </row>
    <row r="7089">
      <c r="A7089" s="11">
        <v>7088.0</v>
      </c>
      <c r="B7089" s="12">
        <f t="shared" si="1124"/>
        <v>41041</v>
      </c>
      <c r="C7089" s="11" t="s">
        <v>349</v>
      </c>
      <c r="D7089" s="11" t="s">
        <v>28</v>
      </c>
    </row>
    <row r="7090">
      <c r="A7090" s="11">
        <v>7089.0</v>
      </c>
      <c r="B7090" s="12">
        <f t="shared" si="1124"/>
        <v>41041</v>
      </c>
      <c r="C7090" s="11" t="s">
        <v>202</v>
      </c>
      <c r="D7090" s="11" t="s">
        <v>28</v>
      </c>
    </row>
    <row r="7091">
      <c r="A7091" s="11">
        <v>7090.0</v>
      </c>
      <c r="B7091" s="12">
        <f t="shared" si="1124"/>
        <v>41041</v>
      </c>
      <c r="C7091" s="11" t="s">
        <v>2271</v>
      </c>
      <c r="D7091" s="11" t="s">
        <v>49</v>
      </c>
    </row>
    <row r="7092">
      <c r="A7092" s="11">
        <v>7091.0</v>
      </c>
      <c r="B7092" s="12">
        <f t="shared" si="1124"/>
        <v>41041</v>
      </c>
      <c r="C7092" s="11" t="s">
        <v>2271</v>
      </c>
      <c r="D7092" s="11" t="s">
        <v>66</v>
      </c>
    </row>
    <row r="7093">
      <c r="A7093" s="11">
        <v>7092.0</v>
      </c>
      <c r="B7093" s="12">
        <f t="shared" si="1124"/>
        <v>41041</v>
      </c>
      <c r="C7093" s="11" t="s">
        <v>2603</v>
      </c>
      <c r="D7093" s="11" t="s">
        <v>28</v>
      </c>
    </row>
    <row r="7094">
      <c r="A7094" s="11">
        <v>7093.0</v>
      </c>
      <c r="B7094" s="12">
        <f t="shared" si="1124"/>
        <v>41041</v>
      </c>
      <c r="C7094" s="11" t="s">
        <v>2603</v>
      </c>
      <c r="D7094" s="11" t="s">
        <v>49</v>
      </c>
    </row>
    <row r="7095">
      <c r="A7095" s="11">
        <v>7094.0</v>
      </c>
      <c r="B7095" s="12">
        <f t="shared" si="1124"/>
        <v>41041</v>
      </c>
      <c r="C7095" s="11" t="s">
        <v>2603</v>
      </c>
      <c r="D7095" s="11" t="s">
        <v>66</v>
      </c>
    </row>
    <row r="7096">
      <c r="A7096" s="11">
        <v>7095.0</v>
      </c>
      <c r="B7096" s="12">
        <f t="shared" ref="B7096:B7108" si="1125">DATE(2012,12,31)-232</f>
        <v>41042</v>
      </c>
      <c r="C7096" s="11" t="s">
        <v>2281</v>
      </c>
      <c r="D7096" s="11" t="s">
        <v>28</v>
      </c>
    </row>
    <row r="7097">
      <c r="A7097" s="11">
        <v>7096.0</v>
      </c>
      <c r="B7097" s="12">
        <f t="shared" si="1125"/>
        <v>41042</v>
      </c>
      <c r="C7097" s="11" t="s">
        <v>2315</v>
      </c>
      <c r="D7097" s="11" t="s">
        <v>49</v>
      </c>
    </row>
    <row r="7098">
      <c r="A7098" s="11">
        <v>7097.0</v>
      </c>
      <c r="B7098" s="12">
        <f t="shared" si="1125"/>
        <v>41042</v>
      </c>
      <c r="C7098" s="11" t="s">
        <v>2315</v>
      </c>
      <c r="D7098" s="11" t="s">
        <v>28</v>
      </c>
    </row>
    <row r="7099">
      <c r="A7099" s="11">
        <v>7098.0</v>
      </c>
      <c r="B7099" s="12">
        <f t="shared" si="1125"/>
        <v>41042</v>
      </c>
      <c r="C7099" s="11" t="s">
        <v>2315</v>
      </c>
      <c r="D7099" s="11" t="s">
        <v>28</v>
      </c>
    </row>
    <row r="7100">
      <c r="A7100" s="11">
        <v>7099.0</v>
      </c>
      <c r="B7100" s="12">
        <f t="shared" si="1125"/>
        <v>41042</v>
      </c>
      <c r="C7100" s="11" t="s">
        <v>180</v>
      </c>
      <c r="D7100" s="11" t="s">
        <v>66</v>
      </c>
    </row>
    <row r="7101">
      <c r="A7101" s="11">
        <v>7100.0</v>
      </c>
      <c r="B7101" s="12">
        <f t="shared" si="1125"/>
        <v>41042</v>
      </c>
      <c r="C7101" s="11" t="s">
        <v>180</v>
      </c>
      <c r="D7101" s="11" t="s">
        <v>49</v>
      </c>
    </row>
    <row r="7102">
      <c r="A7102" s="11">
        <v>7101.0</v>
      </c>
      <c r="B7102" s="12">
        <f t="shared" si="1125"/>
        <v>41042</v>
      </c>
      <c r="C7102" s="11" t="s">
        <v>180</v>
      </c>
      <c r="D7102" s="11" t="s">
        <v>66</v>
      </c>
    </row>
    <row r="7103">
      <c r="A7103" s="11">
        <v>7102.0</v>
      </c>
      <c r="B7103" s="12">
        <f t="shared" si="1125"/>
        <v>41042</v>
      </c>
      <c r="C7103" s="11" t="s">
        <v>1777</v>
      </c>
      <c r="D7103" s="11" t="s">
        <v>28</v>
      </c>
    </row>
    <row r="7104">
      <c r="A7104" s="11">
        <v>7103.0</v>
      </c>
      <c r="B7104" s="12">
        <f t="shared" si="1125"/>
        <v>41042</v>
      </c>
      <c r="C7104" s="11" t="s">
        <v>1777</v>
      </c>
      <c r="D7104" s="11" t="s">
        <v>66</v>
      </c>
    </row>
    <row r="7105">
      <c r="A7105" s="11">
        <v>7104.0</v>
      </c>
      <c r="B7105" s="12">
        <f t="shared" si="1125"/>
        <v>41042</v>
      </c>
      <c r="C7105" s="11" t="s">
        <v>1777</v>
      </c>
      <c r="D7105" s="11" t="s">
        <v>28</v>
      </c>
    </row>
    <row r="7106">
      <c r="A7106" s="11">
        <v>7105.0</v>
      </c>
      <c r="B7106" s="12">
        <f t="shared" si="1125"/>
        <v>41042</v>
      </c>
      <c r="C7106" s="11" t="s">
        <v>1025</v>
      </c>
      <c r="D7106" s="11" t="s">
        <v>66</v>
      </c>
    </row>
    <row r="7107">
      <c r="A7107" s="11">
        <v>7106.0</v>
      </c>
      <c r="B7107" s="12">
        <f t="shared" si="1125"/>
        <v>41042</v>
      </c>
      <c r="C7107" s="11" t="s">
        <v>1415</v>
      </c>
      <c r="D7107" s="11" t="s">
        <v>49</v>
      </c>
    </row>
    <row r="7108">
      <c r="A7108" s="11">
        <v>7107.0</v>
      </c>
      <c r="B7108" s="12">
        <f t="shared" si="1125"/>
        <v>41042</v>
      </c>
      <c r="C7108" s="11" t="s">
        <v>1192</v>
      </c>
      <c r="D7108" s="11" t="s">
        <v>49</v>
      </c>
    </row>
    <row r="7109">
      <c r="A7109" s="11">
        <v>7108.0</v>
      </c>
      <c r="B7109" s="12">
        <f t="shared" ref="B7109:B7111" si="1126">DATE(2012,12,31)-231</f>
        <v>41043</v>
      </c>
      <c r="C7109" s="11" t="s">
        <v>600</v>
      </c>
      <c r="D7109" s="11" t="s">
        <v>28</v>
      </c>
    </row>
    <row r="7110">
      <c r="A7110" s="11">
        <v>7109.0</v>
      </c>
      <c r="B7110" s="12">
        <f t="shared" si="1126"/>
        <v>41043</v>
      </c>
      <c r="C7110" s="11" t="s">
        <v>600</v>
      </c>
      <c r="D7110" s="11" t="s">
        <v>28</v>
      </c>
    </row>
    <row r="7111">
      <c r="A7111" s="11">
        <v>7110.0</v>
      </c>
      <c r="B7111" s="12">
        <f t="shared" si="1126"/>
        <v>41043</v>
      </c>
      <c r="C7111" s="11" t="s">
        <v>395</v>
      </c>
      <c r="D7111" s="11" t="s">
        <v>66</v>
      </c>
    </row>
    <row r="7112">
      <c r="A7112" s="11">
        <v>7111.0</v>
      </c>
      <c r="B7112" s="12">
        <f t="shared" ref="B7112:B7113" si="1127">DATE(2012,12,31)-229</f>
        <v>41045</v>
      </c>
      <c r="C7112" s="11" t="s">
        <v>2524</v>
      </c>
      <c r="D7112" s="11" t="s">
        <v>66</v>
      </c>
    </row>
    <row r="7113">
      <c r="A7113" s="11">
        <v>7112.0</v>
      </c>
      <c r="B7113" s="12">
        <f t="shared" si="1127"/>
        <v>41045</v>
      </c>
      <c r="C7113" s="11" t="s">
        <v>120</v>
      </c>
      <c r="D7113" s="11" t="s">
        <v>49</v>
      </c>
    </row>
    <row r="7114">
      <c r="A7114" s="11">
        <v>7113.0</v>
      </c>
      <c r="B7114" s="12">
        <f t="shared" ref="B7114:B7123" si="1128">DATE(2012,12,31)-228</f>
        <v>41046</v>
      </c>
      <c r="C7114" s="11" t="s">
        <v>1975</v>
      </c>
      <c r="D7114" s="11" t="s">
        <v>66</v>
      </c>
    </row>
    <row r="7115">
      <c r="A7115" s="11">
        <v>7114.0</v>
      </c>
      <c r="B7115" s="12">
        <f t="shared" si="1128"/>
        <v>41046</v>
      </c>
      <c r="C7115" s="11" t="s">
        <v>778</v>
      </c>
      <c r="D7115" s="11" t="s">
        <v>28</v>
      </c>
    </row>
    <row r="7116">
      <c r="A7116" s="11">
        <v>7115.0</v>
      </c>
      <c r="B7116" s="12">
        <f t="shared" si="1128"/>
        <v>41046</v>
      </c>
      <c r="C7116" s="11" t="s">
        <v>778</v>
      </c>
      <c r="D7116" s="11" t="s">
        <v>28</v>
      </c>
    </row>
    <row r="7117">
      <c r="A7117" s="11">
        <v>7116.0</v>
      </c>
      <c r="B7117" s="12">
        <f t="shared" si="1128"/>
        <v>41046</v>
      </c>
      <c r="C7117" s="11" t="s">
        <v>778</v>
      </c>
      <c r="D7117" s="11" t="s">
        <v>28</v>
      </c>
    </row>
    <row r="7118">
      <c r="A7118" s="11">
        <v>7117.0</v>
      </c>
      <c r="B7118" s="12">
        <f t="shared" si="1128"/>
        <v>41046</v>
      </c>
      <c r="C7118" s="11" t="s">
        <v>485</v>
      </c>
      <c r="D7118" s="11" t="s">
        <v>28</v>
      </c>
    </row>
    <row r="7119">
      <c r="A7119" s="11">
        <v>7118.0</v>
      </c>
      <c r="B7119" s="12">
        <f t="shared" si="1128"/>
        <v>41046</v>
      </c>
      <c r="C7119" s="11" t="s">
        <v>1401</v>
      </c>
      <c r="D7119" s="11" t="s">
        <v>28</v>
      </c>
    </row>
    <row r="7120">
      <c r="A7120" s="11">
        <v>7119.0</v>
      </c>
      <c r="B7120" s="12">
        <f t="shared" si="1128"/>
        <v>41046</v>
      </c>
      <c r="C7120" s="11" t="s">
        <v>1401</v>
      </c>
      <c r="D7120" s="11" t="s">
        <v>66</v>
      </c>
    </row>
    <row r="7121">
      <c r="A7121" s="11">
        <v>7120.0</v>
      </c>
      <c r="B7121" s="12">
        <f t="shared" si="1128"/>
        <v>41046</v>
      </c>
      <c r="C7121" s="11" t="s">
        <v>1963</v>
      </c>
      <c r="D7121" s="11" t="s">
        <v>28</v>
      </c>
    </row>
    <row r="7122">
      <c r="A7122" s="11">
        <v>7121.0</v>
      </c>
      <c r="B7122" s="12">
        <f t="shared" si="1128"/>
        <v>41046</v>
      </c>
      <c r="C7122" s="11" t="s">
        <v>2409</v>
      </c>
      <c r="D7122" s="11" t="s">
        <v>66</v>
      </c>
    </row>
    <row r="7123">
      <c r="A7123" s="11">
        <v>7122.0</v>
      </c>
      <c r="B7123" s="12">
        <f t="shared" si="1128"/>
        <v>41046</v>
      </c>
      <c r="C7123" s="11" t="s">
        <v>2409</v>
      </c>
      <c r="D7123" s="11" t="s">
        <v>28</v>
      </c>
    </row>
    <row r="7124">
      <c r="A7124" s="11">
        <v>7123.0</v>
      </c>
      <c r="B7124" s="12">
        <f t="shared" ref="B7124:B7128" si="1129">DATE(2012,12,31)-227</f>
        <v>41047</v>
      </c>
      <c r="C7124" s="11" t="s">
        <v>1754</v>
      </c>
      <c r="D7124" s="11" t="s">
        <v>66</v>
      </c>
    </row>
    <row r="7125">
      <c r="A7125" s="11">
        <v>7124.0</v>
      </c>
      <c r="B7125" s="12">
        <f t="shared" si="1129"/>
        <v>41047</v>
      </c>
      <c r="C7125" s="11" t="s">
        <v>1754</v>
      </c>
      <c r="D7125" s="11" t="s">
        <v>49</v>
      </c>
    </row>
    <row r="7126">
      <c r="A7126" s="11">
        <v>7125.0</v>
      </c>
      <c r="B7126" s="12">
        <f t="shared" si="1129"/>
        <v>41047</v>
      </c>
      <c r="C7126" s="11" t="s">
        <v>2407</v>
      </c>
      <c r="D7126" s="11" t="s">
        <v>49</v>
      </c>
    </row>
    <row r="7127">
      <c r="A7127" s="11">
        <v>7126.0</v>
      </c>
      <c r="B7127" s="12">
        <f t="shared" si="1129"/>
        <v>41047</v>
      </c>
      <c r="C7127" s="11" t="s">
        <v>538</v>
      </c>
      <c r="D7127" s="11" t="s">
        <v>28</v>
      </c>
    </row>
    <row r="7128">
      <c r="A7128" s="11">
        <v>7127.0</v>
      </c>
      <c r="B7128" s="12">
        <f t="shared" si="1129"/>
        <v>41047</v>
      </c>
      <c r="C7128" s="11" t="s">
        <v>1112</v>
      </c>
      <c r="D7128" s="11" t="s">
        <v>66</v>
      </c>
    </row>
    <row r="7129">
      <c r="A7129" s="11">
        <v>7128.0</v>
      </c>
      <c r="B7129" s="12">
        <f t="shared" ref="B7129:B7131" si="1130">DATE(2012,12,31)-226</f>
        <v>41048</v>
      </c>
      <c r="C7129" s="11" t="s">
        <v>2540</v>
      </c>
      <c r="D7129" s="11" t="s">
        <v>28</v>
      </c>
    </row>
    <row r="7130">
      <c r="A7130" s="11">
        <v>7129.0</v>
      </c>
      <c r="B7130" s="12">
        <f t="shared" si="1130"/>
        <v>41048</v>
      </c>
      <c r="C7130" s="11" t="s">
        <v>2540</v>
      </c>
      <c r="D7130" s="11" t="s">
        <v>28</v>
      </c>
    </row>
    <row r="7131">
      <c r="A7131" s="11">
        <v>7130.0</v>
      </c>
      <c r="B7131" s="12">
        <f t="shared" si="1130"/>
        <v>41048</v>
      </c>
      <c r="C7131" s="11" t="s">
        <v>1058</v>
      </c>
      <c r="D7131" s="11" t="s">
        <v>28</v>
      </c>
    </row>
    <row r="7132">
      <c r="A7132" s="11">
        <v>7131.0</v>
      </c>
      <c r="B7132" s="12">
        <f t="shared" ref="B7132:B7139" si="1131">DATE(2012,12,31)-225</f>
        <v>41049</v>
      </c>
      <c r="C7132" s="11" t="s">
        <v>145</v>
      </c>
      <c r="D7132" s="11" t="s">
        <v>66</v>
      </c>
    </row>
    <row r="7133">
      <c r="A7133" s="11">
        <v>7132.0</v>
      </c>
      <c r="B7133" s="12">
        <f t="shared" si="1131"/>
        <v>41049</v>
      </c>
      <c r="C7133" s="11" t="s">
        <v>120</v>
      </c>
      <c r="D7133" s="11" t="s">
        <v>49</v>
      </c>
    </row>
    <row r="7134">
      <c r="A7134" s="11">
        <v>7133.0</v>
      </c>
      <c r="B7134" s="12">
        <f t="shared" si="1131"/>
        <v>41049</v>
      </c>
      <c r="C7134" s="11" t="s">
        <v>120</v>
      </c>
      <c r="D7134" s="11" t="s">
        <v>49</v>
      </c>
    </row>
    <row r="7135">
      <c r="A7135" s="11">
        <v>7134.0</v>
      </c>
      <c r="B7135" s="12">
        <f t="shared" si="1131"/>
        <v>41049</v>
      </c>
      <c r="C7135" s="11" t="s">
        <v>2350</v>
      </c>
      <c r="D7135" s="11" t="s">
        <v>28</v>
      </c>
    </row>
    <row r="7136">
      <c r="A7136" s="11">
        <v>7135.0</v>
      </c>
      <c r="B7136" s="12">
        <f t="shared" si="1131"/>
        <v>41049</v>
      </c>
      <c r="C7136" s="11" t="s">
        <v>1934</v>
      </c>
      <c r="D7136" s="11" t="s">
        <v>49</v>
      </c>
    </row>
    <row r="7137">
      <c r="A7137" s="11">
        <v>7136.0</v>
      </c>
      <c r="B7137" s="12">
        <f t="shared" si="1131"/>
        <v>41049</v>
      </c>
      <c r="C7137" s="11" t="s">
        <v>578</v>
      </c>
      <c r="D7137" s="11" t="s">
        <v>28</v>
      </c>
    </row>
    <row r="7138">
      <c r="A7138" s="11">
        <v>7137.0</v>
      </c>
      <c r="B7138" s="12">
        <f t="shared" si="1131"/>
        <v>41049</v>
      </c>
      <c r="C7138" s="11" t="s">
        <v>1259</v>
      </c>
      <c r="D7138" s="11" t="s">
        <v>66</v>
      </c>
    </row>
    <row r="7139">
      <c r="A7139" s="11">
        <v>7138.0</v>
      </c>
      <c r="B7139" s="12">
        <f t="shared" si="1131"/>
        <v>41049</v>
      </c>
      <c r="C7139" s="11" t="s">
        <v>1643</v>
      </c>
      <c r="D7139" s="11" t="s">
        <v>66</v>
      </c>
    </row>
    <row r="7140">
      <c r="A7140" s="11">
        <v>7139.0</v>
      </c>
      <c r="B7140" s="12">
        <f t="shared" ref="B7140:B7148" si="1132">DATE(2012,12,31)-224</f>
        <v>41050</v>
      </c>
      <c r="C7140" s="11" t="s">
        <v>1108</v>
      </c>
      <c r="D7140" s="11" t="s">
        <v>28</v>
      </c>
    </row>
    <row r="7141">
      <c r="A7141" s="11">
        <v>7140.0</v>
      </c>
      <c r="B7141" s="12">
        <f t="shared" si="1132"/>
        <v>41050</v>
      </c>
      <c r="C7141" s="11" t="s">
        <v>1684</v>
      </c>
      <c r="D7141" s="11" t="s">
        <v>28</v>
      </c>
    </row>
    <row r="7142">
      <c r="A7142" s="11">
        <v>7141.0</v>
      </c>
      <c r="B7142" s="12">
        <f t="shared" si="1132"/>
        <v>41050</v>
      </c>
      <c r="C7142" s="11" t="s">
        <v>1684</v>
      </c>
      <c r="D7142" s="11" t="s">
        <v>66</v>
      </c>
    </row>
    <row r="7143">
      <c r="A7143" s="11">
        <v>7142.0</v>
      </c>
      <c r="B7143" s="12">
        <f t="shared" si="1132"/>
        <v>41050</v>
      </c>
      <c r="C7143" s="11" t="s">
        <v>2528</v>
      </c>
      <c r="D7143" s="11" t="s">
        <v>66</v>
      </c>
    </row>
    <row r="7144">
      <c r="A7144" s="11">
        <v>7143.0</v>
      </c>
      <c r="B7144" s="12">
        <f t="shared" si="1132"/>
        <v>41050</v>
      </c>
      <c r="C7144" s="11" t="s">
        <v>2528</v>
      </c>
      <c r="D7144" s="11" t="s">
        <v>28</v>
      </c>
    </row>
    <row r="7145">
      <c r="A7145" s="11">
        <v>7144.0</v>
      </c>
      <c r="B7145" s="12">
        <f t="shared" si="1132"/>
        <v>41050</v>
      </c>
      <c r="C7145" s="11" t="s">
        <v>2604</v>
      </c>
      <c r="D7145" s="11" t="s">
        <v>66</v>
      </c>
    </row>
    <row r="7146">
      <c r="A7146" s="11">
        <v>7145.0</v>
      </c>
      <c r="B7146" s="12">
        <f t="shared" si="1132"/>
        <v>41050</v>
      </c>
      <c r="C7146" s="11" t="s">
        <v>1652</v>
      </c>
      <c r="D7146" s="11" t="s">
        <v>28</v>
      </c>
    </row>
    <row r="7147">
      <c r="A7147" s="11">
        <v>7146.0</v>
      </c>
      <c r="B7147" s="12">
        <f t="shared" si="1132"/>
        <v>41050</v>
      </c>
      <c r="C7147" s="11" t="s">
        <v>855</v>
      </c>
      <c r="D7147" s="11" t="s">
        <v>28</v>
      </c>
    </row>
    <row r="7148">
      <c r="A7148" s="11">
        <v>7147.0</v>
      </c>
      <c r="B7148" s="12">
        <f t="shared" si="1132"/>
        <v>41050</v>
      </c>
      <c r="C7148" s="11" t="s">
        <v>855</v>
      </c>
      <c r="D7148" s="11" t="s">
        <v>66</v>
      </c>
    </row>
    <row r="7149">
      <c r="A7149" s="11">
        <v>7148.0</v>
      </c>
      <c r="B7149" s="12">
        <f t="shared" ref="B7149:B7154" si="1133">DATE(2012,12,31)-223</f>
        <v>41051</v>
      </c>
      <c r="C7149" s="11" t="s">
        <v>1769</v>
      </c>
      <c r="D7149" s="11" t="s">
        <v>28</v>
      </c>
    </row>
    <row r="7150">
      <c r="A7150" s="11">
        <v>7149.0</v>
      </c>
      <c r="B7150" s="12">
        <f t="shared" si="1133"/>
        <v>41051</v>
      </c>
      <c r="C7150" s="11" t="s">
        <v>1769</v>
      </c>
      <c r="D7150" s="11" t="s">
        <v>28</v>
      </c>
    </row>
    <row r="7151">
      <c r="A7151" s="11">
        <v>7150.0</v>
      </c>
      <c r="B7151" s="12">
        <f t="shared" si="1133"/>
        <v>41051</v>
      </c>
      <c r="C7151" s="11" t="s">
        <v>1769</v>
      </c>
      <c r="D7151" s="11" t="s">
        <v>28</v>
      </c>
    </row>
    <row r="7152">
      <c r="A7152" s="11">
        <v>7151.0</v>
      </c>
      <c r="B7152" s="12">
        <f t="shared" si="1133"/>
        <v>41051</v>
      </c>
      <c r="C7152" s="11" t="s">
        <v>849</v>
      </c>
      <c r="D7152" s="11" t="s">
        <v>28</v>
      </c>
    </row>
    <row r="7153">
      <c r="A7153" s="11">
        <v>7152.0</v>
      </c>
      <c r="B7153" s="12">
        <f t="shared" si="1133"/>
        <v>41051</v>
      </c>
      <c r="C7153" s="11" t="s">
        <v>334</v>
      </c>
      <c r="D7153" s="11" t="s">
        <v>28</v>
      </c>
    </row>
    <row r="7154">
      <c r="A7154" s="11">
        <v>7153.0</v>
      </c>
      <c r="B7154" s="12">
        <f t="shared" si="1133"/>
        <v>41051</v>
      </c>
      <c r="C7154" s="11" t="s">
        <v>360</v>
      </c>
      <c r="D7154" s="11" t="s">
        <v>28</v>
      </c>
    </row>
    <row r="7155">
      <c r="A7155" s="11">
        <v>7154.0</v>
      </c>
      <c r="B7155" s="12">
        <f t="shared" ref="B7155:B7159" si="1134">DATE(2012,12,31)-222</f>
        <v>41052</v>
      </c>
      <c r="C7155" s="11" t="s">
        <v>510</v>
      </c>
      <c r="D7155" s="11" t="s">
        <v>28</v>
      </c>
    </row>
    <row r="7156">
      <c r="A7156" s="11">
        <v>7155.0</v>
      </c>
      <c r="B7156" s="12">
        <f t="shared" si="1134"/>
        <v>41052</v>
      </c>
      <c r="C7156" s="11" t="s">
        <v>360</v>
      </c>
      <c r="D7156" s="11" t="s">
        <v>49</v>
      </c>
    </row>
    <row r="7157">
      <c r="A7157" s="11">
        <v>7156.0</v>
      </c>
      <c r="B7157" s="12">
        <f t="shared" si="1134"/>
        <v>41052</v>
      </c>
      <c r="C7157" s="11" t="s">
        <v>360</v>
      </c>
      <c r="D7157" s="11" t="s">
        <v>49</v>
      </c>
    </row>
    <row r="7158">
      <c r="A7158" s="11">
        <v>7157.0</v>
      </c>
      <c r="B7158" s="12">
        <f t="shared" si="1134"/>
        <v>41052</v>
      </c>
      <c r="C7158" s="11" t="s">
        <v>1620</v>
      </c>
      <c r="D7158" s="11" t="s">
        <v>66</v>
      </c>
    </row>
    <row r="7159">
      <c r="A7159" s="11">
        <v>7158.0</v>
      </c>
      <c r="B7159" s="12">
        <f t="shared" si="1134"/>
        <v>41052</v>
      </c>
      <c r="C7159" s="11" t="s">
        <v>1887</v>
      </c>
      <c r="D7159" s="11" t="s">
        <v>28</v>
      </c>
    </row>
    <row r="7160">
      <c r="A7160" s="11">
        <v>7159.0</v>
      </c>
      <c r="B7160" s="12">
        <f t="shared" ref="B7160:B7162" si="1135">DATE(2012,12,31)-221</f>
        <v>41053</v>
      </c>
      <c r="C7160" s="11" t="s">
        <v>1345</v>
      </c>
      <c r="D7160" s="11" t="s">
        <v>28</v>
      </c>
    </row>
    <row r="7161">
      <c r="A7161" s="11">
        <v>7160.0</v>
      </c>
      <c r="B7161" s="12">
        <f t="shared" si="1135"/>
        <v>41053</v>
      </c>
      <c r="C7161" s="11" t="s">
        <v>1470</v>
      </c>
      <c r="D7161" s="11" t="s">
        <v>28</v>
      </c>
    </row>
    <row r="7162">
      <c r="A7162" s="11">
        <v>7161.0</v>
      </c>
      <c r="B7162" s="12">
        <f t="shared" si="1135"/>
        <v>41053</v>
      </c>
      <c r="C7162" s="11" t="s">
        <v>1051</v>
      </c>
      <c r="D7162" s="11" t="s">
        <v>28</v>
      </c>
    </row>
    <row r="7163">
      <c r="A7163" s="11">
        <v>7162.0</v>
      </c>
      <c r="B7163" s="12">
        <f t="shared" ref="B7163:B7173" si="1136">DATE(2012,12,31)-220</f>
        <v>41054</v>
      </c>
      <c r="C7163" s="11" t="s">
        <v>2033</v>
      </c>
      <c r="D7163" s="11" t="s">
        <v>28</v>
      </c>
    </row>
    <row r="7164">
      <c r="A7164" s="11">
        <v>7163.0</v>
      </c>
      <c r="B7164" s="12">
        <f t="shared" si="1136"/>
        <v>41054</v>
      </c>
      <c r="C7164" s="11" t="s">
        <v>2033</v>
      </c>
      <c r="D7164" s="11" t="s">
        <v>28</v>
      </c>
    </row>
    <row r="7165">
      <c r="A7165" s="11">
        <v>7164.0</v>
      </c>
      <c r="B7165" s="12">
        <f t="shared" si="1136"/>
        <v>41054</v>
      </c>
      <c r="C7165" s="11" t="s">
        <v>2033</v>
      </c>
      <c r="D7165" s="11" t="s">
        <v>28</v>
      </c>
    </row>
    <row r="7166">
      <c r="A7166" s="11">
        <v>7165.0</v>
      </c>
      <c r="B7166" s="12">
        <f t="shared" si="1136"/>
        <v>41054</v>
      </c>
      <c r="C7166" s="11" t="s">
        <v>148</v>
      </c>
      <c r="D7166" s="11" t="s">
        <v>28</v>
      </c>
    </row>
    <row r="7167">
      <c r="A7167" s="11">
        <v>7166.0</v>
      </c>
      <c r="B7167" s="12">
        <f t="shared" si="1136"/>
        <v>41054</v>
      </c>
      <c r="C7167" s="11" t="s">
        <v>148</v>
      </c>
      <c r="D7167" s="11" t="s">
        <v>28</v>
      </c>
    </row>
    <row r="7168">
      <c r="A7168" s="11">
        <v>7167.0</v>
      </c>
      <c r="B7168" s="12">
        <f t="shared" si="1136"/>
        <v>41054</v>
      </c>
      <c r="C7168" s="11" t="s">
        <v>148</v>
      </c>
      <c r="D7168" s="11" t="s">
        <v>66</v>
      </c>
    </row>
    <row r="7169">
      <c r="A7169" s="11">
        <v>7168.0</v>
      </c>
      <c r="B7169" s="12">
        <f t="shared" si="1136"/>
        <v>41054</v>
      </c>
      <c r="C7169" s="11" t="s">
        <v>533</v>
      </c>
      <c r="D7169" s="11" t="s">
        <v>28</v>
      </c>
    </row>
    <row r="7170">
      <c r="A7170" s="11">
        <v>7169.0</v>
      </c>
      <c r="B7170" s="12">
        <f t="shared" si="1136"/>
        <v>41054</v>
      </c>
      <c r="C7170" s="11" t="s">
        <v>533</v>
      </c>
      <c r="D7170" s="11" t="s">
        <v>28</v>
      </c>
    </row>
    <row r="7171">
      <c r="A7171" s="11">
        <v>7170.0</v>
      </c>
      <c r="B7171" s="12">
        <f t="shared" si="1136"/>
        <v>41054</v>
      </c>
      <c r="C7171" s="11" t="s">
        <v>533</v>
      </c>
      <c r="D7171" s="11" t="s">
        <v>49</v>
      </c>
    </row>
    <row r="7172">
      <c r="A7172" s="11">
        <v>7171.0</v>
      </c>
      <c r="B7172" s="12">
        <f t="shared" si="1136"/>
        <v>41054</v>
      </c>
      <c r="C7172" s="11" t="s">
        <v>326</v>
      </c>
      <c r="D7172" s="11" t="s">
        <v>28</v>
      </c>
    </row>
    <row r="7173">
      <c r="A7173" s="11">
        <v>7172.0</v>
      </c>
      <c r="B7173" s="12">
        <f t="shared" si="1136"/>
        <v>41054</v>
      </c>
      <c r="C7173" s="11" t="s">
        <v>326</v>
      </c>
      <c r="D7173" s="11" t="s">
        <v>28</v>
      </c>
    </row>
    <row r="7174">
      <c r="A7174" s="11">
        <v>7173.0</v>
      </c>
      <c r="B7174" s="12">
        <f t="shared" ref="B7174:B7184" si="1137">DATE(2012,12,31)-219</f>
        <v>41055</v>
      </c>
      <c r="C7174" s="11" t="s">
        <v>2039</v>
      </c>
      <c r="D7174" s="11" t="s">
        <v>66</v>
      </c>
    </row>
    <row r="7175">
      <c r="A7175" s="11">
        <v>7174.0</v>
      </c>
      <c r="B7175" s="12">
        <f t="shared" si="1137"/>
        <v>41055</v>
      </c>
      <c r="C7175" s="11" t="s">
        <v>2039</v>
      </c>
      <c r="D7175" s="11" t="s">
        <v>28</v>
      </c>
    </row>
    <row r="7176">
      <c r="A7176" s="11">
        <v>7175.0</v>
      </c>
      <c r="B7176" s="12">
        <f t="shared" si="1137"/>
        <v>41055</v>
      </c>
      <c r="C7176" s="11" t="s">
        <v>2039</v>
      </c>
      <c r="D7176" s="11" t="s">
        <v>28</v>
      </c>
    </row>
    <row r="7177">
      <c r="A7177" s="11">
        <v>7176.0</v>
      </c>
      <c r="B7177" s="12">
        <f t="shared" si="1137"/>
        <v>41055</v>
      </c>
      <c r="C7177" s="11" t="s">
        <v>1294</v>
      </c>
      <c r="D7177" s="11" t="s">
        <v>66</v>
      </c>
    </row>
    <row r="7178">
      <c r="A7178" s="11">
        <v>7177.0</v>
      </c>
      <c r="B7178" s="12">
        <f t="shared" si="1137"/>
        <v>41055</v>
      </c>
      <c r="C7178" s="11" t="s">
        <v>1294</v>
      </c>
      <c r="D7178" s="11" t="s">
        <v>28</v>
      </c>
    </row>
    <row r="7179">
      <c r="A7179" s="11">
        <v>7178.0</v>
      </c>
      <c r="B7179" s="12">
        <f t="shared" si="1137"/>
        <v>41055</v>
      </c>
      <c r="C7179" s="11" t="s">
        <v>1831</v>
      </c>
      <c r="D7179" s="11" t="s">
        <v>49</v>
      </c>
    </row>
    <row r="7180">
      <c r="A7180" s="11">
        <v>7179.0</v>
      </c>
      <c r="B7180" s="12">
        <f t="shared" si="1137"/>
        <v>41055</v>
      </c>
      <c r="C7180" s="11" t="s">
        <v>82</v>
      </c>
      <c r="D7180" s="11" t="s">
        <v>28</v>
      </c>
    </row>
    <row r="7181">
      <c r="A7181" s="11">
        <v>7180.0</v>
      </c>
      <c r="B7181" s="12">
        <f t="shared" si="1137"/>
        <v>41055</v>
      </c>
      <c r="C7181" s="11" t="s">
        <v>82</v>
      </c>
      <c r="D7181" s="11" t="s">
        <v>28</v>
      </c>
    </row>
    <row r="7182">
      <c r="A7182" s="11">
        <v>7181.0</v>
      </c>
      <c r="B7182" s="12">
        <f t="shared" si="1137"/>
        <v>41055</v>
      </c>
      <c r="C7182" s="11" t="s">
        <v>1550</v>
      </c>
      <c r="D7182" s="11" t="s">
        <v>66</v>
      </c>
    </row>
    <row r="7183">
      <c r="A7183" s="11">
        <v>7182.0</v>
      </c>
      <c r="B7183" s="12">
        <f t="shared" si="1137"/>
        <v>41055</v>
      </c>
      <c r="C7183" s="11" t="s">
        <v>1550</v>
      </c>
      <c r="D7183" s="11" t="s">
        <v>49</v>
      </c>
    </row>
    <row r="7184">
      <c r="A7184" s="11">
        <v>7183.0</v>
      </c>
      <c r="B7184" s="12">
        <f t="shared" si="1137"/>
        <v>41055</v>
      </c>
      <c r="C7184" s="11" t="s">
        <v>1550</v>
      </c>
      <c r="D7184" s="11" t="s">
        <v>28</v>
      </c>
    </row>
    <row r="7185">
      <c r="A7185" s="11">
        <v>7184.0</v>
      </c>
      <c r="B7185" s="12">
        <f t="shared" ref="B7185:B7188" si="1138">DATE(2012,12,31)-218</f>
        <v>41056</v>
      </c>
      <c r="C7185" s="11" t="s">
        <v>781</v>
      </c>
      <c r="D7185" s="11" t="s">
        <v>28</v>
      </c>
    </row>
    <row r="7186">
      <c r="A7186" s="11">
        <v>7185.0</v>
      </c>
      <c r="B7186" s="12">
        <f t="shared" si="1138"/>
        <v>41056</v>
      </c>
      <c r="C7186" s="11" t="s">
        <v>781</v>
      </c>
      <c r="D7186" s="11" t="s">
        <v>49</v>
      </c>
    </row>
    <row r="7187">
      <c r="A7187" s="11">
        <v>7186.0</v>
      </c>
      <c r="B7187" s="12">
        <f t="shared" si="1138"/>
        <v>41056</v>
      </c>
      <c r="C7187" s="11" t="s">
        <v>897</v>
      </c>
      <c r="D7187" s="11" t="s">
        <v>49</v>
      </c>
    </row>
    <row r="7188">
      <c r="A7188" s="11">
        <v>7187.0</v>
      </c>
      <c r="B7188" s="12">
        <f t="shared" si="1138"/>
        <v>41056</v>
      </c>
      <c r="C7188" s="11" t="s">
        <v>1058</v>
      </c>
      <c r="D7188" s="11" t="s">
        <v>28</v>
      </c>
    </row>
    <row r="7189">
      <c r="A7189" s="11">
        <v>7188.0</v>
      </c>
      <c r="B7189" s="12">
        <f t="shared" ref="B7189:B7194" si="1139">DATE(2012,12,31)-217</f>
        <v>41057</v>
      </c>
      <c r="C7189" s="11" t="s">
        <v>2579</v>
      </c>
      <c r="D7189" s="11" t="s">
        <v>66</v>
      </c>
    </row>
    <row r="7190">
      <c r="A7190" s="11">
        <v>7189.0</v>
      </c>
      <c r="B7190" s="12">
        <f t="shared" si="1139"/>
        <v>41057</v>
      </c>
      <c r="C7190" s="11" t="s">
        <v>2417</v>
      </c>
      <c r="D7190" s="11" t="s">
        <v>28</v>
      </c>
    </row>
    <row r="7191">
      <c r="A7191" s="11">
        <v>7190.0</v>
      </c>
      <c r="B7191" s="12">
        <f t="shared" si="1139"/>
        <v>41057</v>
      </c>
      <c r="C7191" s="11" t="s">
        <v>2318</v>
      </c>
      <c r="D7191" s="11" t="s">
        <v>49</v>
      </c>
    </row>
    <row r="7192">
      <c r="A7192" s="11">
        <v>7191.0</v>
      </c>
      <c r="B7192" s="12">
        <f t="shared" si="1139"/>
        <v>41057</v>
      </c>
      <c r="C7192" s="11" t="s">
        <v>2318</v>
      </c>
      <c r="D7192" s="11" t="s">
        <v>66</v>
      </c>
    </row>
    <row r="7193">
      <c r="A7193" s="11">
        <v>7192.0</v>
      </c>
      <c r="B7193" s="12">
        <f t="shared" si="1139"/>
        <v>41057</v>
      </c>
      <c r="C7193" s="11" t="s">
        <v>1686</v>
      </c>
      <c r="D7193" s="11" t="s">
        <v>66</v>
      </c>
    </row>
    <row r="7194">
      <c r="A7194" s="11">
        <v>7193.0</v>
      </c>
      <c r="B7194" s="12">
        <f t="shared" si="1139"/>
        <v>41057</v>
      </c>
      <c r="C7194" s="11" t="s">
        <v>1686</v>
      </c>
      <c r="D7194" s="11" t="s">
        <v>28</v>
      </c>
    </row>
    <row r="7195">
      <c r="A7195" s="11">
        <v>7194.0</v>
      </c>
      <c r="B7195" s="12">
        <f t="shared" ref="B7195:B7202" si="1140">DATE(2012,12,31)-216</f>
        <v>41058</v>
      </c>
      <c r="C7195" s="11" t="s">
        <v>593</v>
      </c>
      <c r="D7195" s="11" t="s">
        <v>28</v>
      </c>
    </row>
    <row r="7196">
      <c r="A7196" s="11">
        <v>7195.0</v>
      </c>
      <c r="B7196" s="12">
        <f t="shared" si="1140"/>
        <v>41058</v>
      </c>
      <c r="C7196" s="11" t="s">
        <v>1221</v>
      </c>
      <c r="D7196" s="11" t="s">
        <v>28</v>
      </c>
    </row>
    <row r="7197">
      <c r="A7197" s="11">
        <v>7196.0</v>
      </c>
      <c r="B7197" s="12">
        <f t="shared" si="1140"/>
        <v>41058</v>
      </c>
      <c r="C7197" s="11" t="s">
        <v>1221</v>
      </c>
      <c r="D7197" s="11" t="s">
        <v>49</v>
      </c>
    </row>
    <row r="7198">
      <c r="A7198" s="11">
        <v>7197.0</v>
      </c>
      <c r="B7198" s="12">
        <f t="shared" si="1140"/>
        <v>41058</v>
      </c>
      <c r="C7198" s="11" t="s">
        <v>1550</v>
      </c>
      <c r="D7198" s="11" t="s">
        <v>49</v>
      </c>
    </row>
    <row r="7199">
      <c r="A7199" s="11">
        <v>7198.0</v>
      </c>
      <c r="B7199" s="12">
        <f t="shared" si="1140"/>
        <v>41058</v>
      </c>
      <c r="C7199" s="11" t="s">
        <v>1550</v>
      </c>
      <c r="D7199" s="11" t="s">
        <v>28</v>
      </c>
    </row>
    <row r="7200">
      <c r="A7200" s="11">
        <v>7199.0</v>
      </c>
      <c r="B7200" s="12">
        <f t="shared" si="1140"/>
        <v>41058</v>
      </c>
      <c r="C7200" s="11" t="s">
        <v>1550</v>
      </c>
      <c r="D7200" s="11" t="s">
        <v>66</v>
      </c>
    </row>
    <row r="7201">
      <c r="A7201" s="11">
        <v>7200.0</v>
      </c>
      <c r="B7201" s="12">
        <f t="shared" si="1140"/>
        <v>41058</v>
      </c>
      <c r="C7201" s="11" t="s">
        <v>1086</v>
      </c>
      <c r="D7201" s="11" t="s">
        <v>28</v>
      </c>
    </row>
    <row r="7202">
      <c r="A7202" s="11">
        <v>7201.0</v>
      </c>
      <c r="B7202" s="12">
        <f t="shared" si="1140"/>
        <v>41058</v>
      </c>
      <c r="C7202" s="11" t="s">
        <v>2541</v>
      </c>
      <c r="D7202" s="11" t="s">
        <v>28</v>
      </c>
    </row>
    <row r="7203">
      <c r="A7203" s="11">
        <v>7202.0</v>
      </c>
      <c r="B7203" s="12">
        <f t="shared" ref="B7203:B7208" si="1141">DATE(2012,12,31)-215</f>
        <v>41059</v>
      </c>
      <c r="C7203" s="11" t="s">
        <v>488</v>
      </c>
      <c r="D7203" s="11" t="s">
        <v>49</v>
      </c>
    </row>
    <row r="7204">
      <c r="A7204" s="11">
        <v>7203.0</v>
      </c>
      <c r="B7204" s="12">
        <f t="shared" si="1141"/>
        <v>41059</v>
      </c>
      <c r="C7204" s="11" t="s">
        <v>488</v>
      </c>
      <c r="D7204" s="11" t="s">
        <v>66</v>
      </c>
    </row>
    <row r="7205">
      <c r="A7205" s="11">
        <v>7204.0</v>
      </c>
      <c r="B7205" s="12">
        <f t="shared" si="1141"/>
        <v>41059</v>
      </c>
      <c r="C7205" s="11" t="s">
        <v>2250</v>
      </c>
      <c r="D7205" s="11" t="s">
        <v>49</v>
      </c>
    </row>
    <row r="7206">
      <c r="A7206" s="11">
        <v>7205.0</v>
      </c>
      <c r="B7206" s="12">
        <f t="shared" si="1141"/>
        <v>41059</v>
      </c>
      <c r="C7206" s="11" t="s">
        <v>2542</v>
      </c>
      <c r="D7206" s="11" t="s">
        <v>66</v>
      </c>
    </row>
    <row r="7207">
      <c r="A7207" s="11">
        <v>7206.0</v>
      </c>
      <c r="B7207" s="12">
        <f t="shared" si="1141"/>
        <v>41059</v>
      </c>
      <c r="C7207" s="11" t="s">
        <v>2542</v>
      </c>
      <c r="D7207" s="11" t="s">
        <v>49</v>
      </c>
    </row>
    <row r="7208">
      <c r="A7208" s="11">
        <v>7207.0</v>
      </c>
      <c r="B7208" s="12">
        <f t="shared" si="1141"/>
        <v>41059</v>
      </c>
      <c r="C7208" s="11" t="s">
        <v>1045</v>
      </c>
      <c r="D7208" s="11" t="s">
        <v>49</v>
      </c>
    </row>
    <row r="7209">
      <c r="A7209" s="11">
        <v>7208.0</v>
      </c>
      <c r="B7209" s="12">
        <f t="shared" ref="B7209:B7215" si="1142">DATE(2012,12,31)-214</f>
        <v>41060</v>
      </c>
      <c r="C7209" s="11" t="s">
        <v>421</v>
      </c>
      <c r="D7209" s="11" t="s">
        <v>49</v>
      </c>
    </row>
    <row r="7210">
      <c r="A7210" s="11">
        <v>7209.0</v>
      </c>
      <c r="B7210" s="12">
        <f t="shared" si="1142"/>
        <v>41060</v>
      </c>
      <c r="C7210" s="11" t="s">
        <v>421</v>
      </c>
      <c r="D7210" s="11" t="s">
        <v>49</v>
      </c>
    </row>
    <row r="7211">
      <c r="A7211" s="11">
        <v>7210.0</v>
      </c>
      <c r="B7211" s="12">
        <f t="shared" si="1142"/>
        <v>41060</v>
      </c>
      <c r="C7211" s="11" t="s">
        <v>1179</v>
      </c>
      <c r="D7211" s="11" t="s">
        <v>49</v>
      </c>
    </row>
    <row r="7212">
      <c r="A7212" s="11">
        <v>7211.0</v>
      </c>
      <c r="B7212" s="12">
        <f t="shared" si="1142"/>
        <v>41060</v>
      </c>
      <c r="C7212" s="11" t="s">
        <v>1179</v>
      </c>
      <c r="D7212" s="11" t="s">
        <v>66</v>
      </c>
    </row>
    <row r="7213">
      <c r="A7213" s="11">
        <v>7212.0</v>
      </c>
      <c r="B7213" s="12">
        <f t="shared" si="1142"/>
        <v>41060</v>
      </c>
      <c r="C7213" s="11" t="s">
        <v>2528</v>
      </c>
      <c r="D7213" s="11" t="s">
        <v>28</v>
      </c>
    </row>
    <row r="7214">
      <c r="A7214" s="11">
        <v>7213.0</v>
      </c>
      <c r="B7214" s="12">
        <f t="shared" si="1142"/>
        <v>41060</v>
      </c>
      <c r="C7214" s="11" t="s">
        <v>429</v>
      </c>
      <c r="D7214" s="11" t="s">
        <v>66</v>
      </c>
    </row>
    <row r="7215">
      <c r="A7215" s="11">
        <v>7214.0</v>
      </c>
      <c r="B7215" s="12">
        <f t="shared" si="1142"/>
        <v>41060</v>
      </c>
      <c r="C7215" s="11" t="s">
        <v>2281</v>
      </c>
      <c r="D7215" s="11" t="s">
        <v>28</v>
      </c>
    </row>
    <row r="7216">
      <c r="A7216" s="11">
        <v>7215.0</v>
      </c>
      <c r="B7216" s="12">
        <f t="shared" ref="B7216:B7222" si="1143">DATE(2012,12,31)-213</f>
        <v>41061</v>
      </c>
      <c r="C7216" s="11" t="s">
        <v>930</v>
      </c>
      <c r="D7216" s="11" t="s">
        <v>49</v>
      </c>
    </row>
    <row r="7217">
      <c r="A7217" s="11">
        <v>7216.0</v>
      </c>
      <c r="B7217" s="12">
        <f t="shared" si="1143"/>
        <v>41061</v>
      </c>
      <c r="C7217" s="11" t="s">
        <v>930</v>
      </c>
      <c r="D7217" s="11" t="s">
        <v>66</v>
      </c>
    </row>
    <row r="7218">
      <c r="A7218" s="11">
        <v>7217.0</v>
      </c>
      <c r="B7218" s="12">
        <f t="shared" si="1143"/>
        <v>41061</v>
      </c>
      <c r="C7218" s="11" t="s">
        <v>930</v>
      </c>
      <c r="D7218" s="11" t="s">
        <v>28</v>
      </c>
    </row>
    <row r="7219">
      <c r="A7219" s="11">
        <v>7218.0</v>
      </c>
      <c r="B7219" s="12">
        <f t="shared" si="1143"/>
        <v>41061</v>
      </c>
      <c r="C7219" s="11" t="s">
        <v>1507</v>
      </c>
      <c r="D7219" s="11" t="s">
        <v>28</v>
      </c>
    </row>
    <row r="7220">
      <c r="A7220" s="11">
        <v>7219.0</v>
      </c>
      <c r="B7220" s="12">
        <f t="shared" si="1143"/>
        <v>41061</v>
      </c>
      <c r="C7220" s="11" t="s">
        <v>1507</v>
      </c>
      <c r="D7220" s="11" t="s">
        <v>66</v>
      </c>
    </row>
    <row r="7221">
      <c r="A7221" s="11">
        <v>7220.0</v>
      </c>
      <c r="B7221" s="12">
        <f t="shared" si="1143"/>
        <v>41061</v>
      </c>
      <c r="C7221" s="11" t="s">
        <v>106</v>
      </c>
      <c r="D7221" s="11" t="s">
        <v>49</v>
      </c>
    </row>
    <row r="7222">
      <c r="A7222" s="11">
        <v>7221.0</v>
      </c>
      <c r="B7222" s="12">
        <f t="shared" si="1143"/>
        <v>41061</v>
      </c>
      <c r="C7222" s="11" t="s">
        <v>2475</v>
      </c>
      <c r="D7222" s="11" t="s">
        <v>28</v>
      </c>
    </row>
    <row r="7223">
      <c r="A7223" s="11">
        <v>7222.0</v>
      </c>
      <c r="B7223" s="12">
        <f t="shared" ref="B7223:B7234" si="1144">DATE(2012,12,31)-212</f>
        <v>41062</v>
      </c>
      <c r="C7223" s="11" t="s">
        <v>2276</v>
      </c>
      <c r="D7223" s="11" t="s">
        <v>49</v>
      </c>
    </row>
    <row r="7224">
      <c r="A7224" s="11">
        <v>7223.0</v>
      </c>
      <c r="B7224" s="12">
        <f t="shared" si="1144"/>
        <v>41062</v>
      </c>
      <c r="C7224" s="11" t="s">
        <v>2064</v>
      </c>
      <c r="D7224" s="11" t="s">
        <v>66</v>
      </c>
    </row>
    <row r="7225">
      <c r="A7225" s="11">
        <v>7224.0</v>
      </c>
      <c r="B7225" s="12">
        <f t="shared" si="1144"/>
        <v>41062</v>
      </c>
      <c r="C7225" s="11" t="s">
        <v>1472</v>
      </c>
      <c r="D7225" s="11" t="s">
        <v>49</v>
      </c>
    </row>
    <row r="7226">
      <c r="A7226" s="11">
        <v>7225.0</v>
      </c>
      <c r="B7226" s="12">
        <f t="shared" si="1144"/>
        <v>41062</v>
      </c>
      <c r="C7226" s="11" t="s">
        <v>1472</v>
      </c>
      <c r="D7226" s="11" t="s">
        <v>66</v>
      </c>
    </row>
    <row r="7227">
      <c r="A7227" s="11">
        <v>7226.0</v>
      </c>
      <c r="B7227" s="12">
        <f t="shared" si="1144"/>
        <v>41062</v>
      </c>
      <c r="C7227" s="11" t="s">
        <v>1472</v>
      </c>
      <c r="D7227" s="11" t="s">
        <v>28</v>
      </c>
    </row>
    <row r="7228">
      <c r="A7228" s="11">
        <v>7227.0</v>
      </c>
      <c r="B7228" s="12">
        <f t="shared" si="1144"/>
        <v>41062</v>
      </c>
      <c r="C7228" s="11" t="s">
        <v>1780</v>
      </c>
      <c r="D7228" s="11" t="s">
        <v>28</v>
      </c>
    </row>
    <row r="7229">
      <c r="A7229" s="11">
        <v>7228.0</v>
      </c>
      <c r="B7229" s="12">
        <f t="shared" si="1144"/>
        <v>41062</v>
      </c>
      <c r="C7229" s="11" t="s">
        <v>1780</v>
      </c>
      <c r="D7229" s="11" t="s">
        <v>66</v>
      </c>
    </row>
    <row r="7230">
      <c r="A7230" s="11">
        <v>7229.0</v>
      </c>
      <c r="B7230" s="12">
        <f t="shared" si="1144"/>
        <v>41062</v>
      </c>
      <c r="C7230" s="11" t="s">
        <v>1780</v>
      </c>
      <c r="D7230" s="11" t="s">
        <v>66</v>
      </c>
    </row>
    <row r="7231">
      <c r="A7231" s="11">
        <v>7230.0</v>
      </c>
      <c r="B7231" s="12">
        <f t="shared" si="1144"/>
        <v>41062</v>
      </c>
      <c r="C7231" s="11" t="s">
        <v>1906</v>
      </c>
      <c r="D7231" s="11" t="s">
        <v>66</v>
      </c>
    </row>
    <row r="7232">
      <c r="A7232" s="11">
        <v>7231.0</v>
      </c>
      <c r="B7232" s="12">
        <f t="shared" si="1144"/>
        <v>41062</v>
      </c>
      <c r="C7232" s="11" t="s">
        <v>307</v>
      </c>
      <c r="D7232" s="11" t="s">
        <v>49</v>
      </c>
    </row>
    <row r="7233">
      <c r="A7233" s="11">
        <v>7232.0</v>
      </c>
      <c r="B7233" s="12">
        <f t="shared" si="1144"/>
        <v>41062</v>
      </c>
      <c r="C7233" s="11" t="s">
        <v>307</v>
      </c>
      <c r="D7233" s="11" t="s">
        <v>66</v>
      </c>
    </row>
    <row r="7234">
      <c r="A7234" s="11">
        <v>7233.0</v>
      </c>
      <c r="B7234" s="12">
        <f t="shared" si="1144"/>
        <v>41062</v>
      </c>
      <c r="C7234" s="11" t="s">
        <v>525</v>
      </c>
      <c r="D7234" s="11" t="s">
        <v>66</v>
      </c>
    </row>
    <row r="7235">
      <c r="A7235" s="11">
        <v>7234.0</v>
      </c>
      <c r="B7235" s="12">
        <f t="shared" ref="B7235:B7236" si="1145">DATE(2012,12,31)-211</f>
        <v>41063</v>
      </c>
      <c r="C7235" s="11" t="s">
        <v>453</v>
      </c>
      <c r="D7235" s="11" t="s">
        <v>28</v>
      </c>
    </row>
    <row r="7236">
      <c r="A7236" s="11">
        <v>7235.0</v>
      </c>
      <c r="B7236" s="12">
        <f t="shared" si="1145"/>
        <v>41063</v>
      </c>
      <c r="C7236" s="11" t="s">
        <v>453</v>
      </c>
      <c r="D7236" s="11" t="s">
        <v>49</v>
      </c>
    </row>
    <row r="7237">
      <c r="A7237" s="11">
        <v>7236.0</v>
      </c>
      <c r="B7237" s="12">
        <f t="shared" ref="B7237:B7238" si="1146">DATE(2012,12,31)-210</f>
        <v>41064</v>
      </c>
      <c r="C7237" s="11" t="s">
        <v>839</v>
      </c>
      <c r="D7237" s="11" t="s">
        <v>28</v>
      </c>
    </row>
    <row r="7238">
      <c r="A7238" s="11">
        <v>7237.0</v>
      </c>
      <c r="B7238" s="12">
        <f t="shared" si="1146"/>
        <v>41064</v>
      </c>
      <c r="C7238" s="11" t="s">
        <v>82</v>
      </c>
      <c r="D7238" s="11" t="s">
        <v>28</v>
      </c>
    </row>
    <row r="7239">
      <c r="A7239" s="11">
        <v>7238.0</v>
      </c>
      <c r="B7239" s="12">
        <f t="shared" ref="B7239:B7242" si="1147">DATE(2012,12,31)-209</f>
        <v>41065</v>
      </c>
      <c r="C7239" s="11" t="s">
        <v>541</v>
      </c>
      <c r="D7239" s="11" t="s">
        <v>28</v>
      </c>
    </row>
    <row r="7240">
      <c r="A7240" s="11">
        <v>7239.0</v>
      </c>
      <c r="B7240" s="12">
        <f t="shared" si="1147"/>
        <v>41065</v>
      </c>
      <c r="C7240" s="11" t="s">
        <v>2319</v>
      </c>
      <c r="D7240" s="11" t="s">
        <v>28</v>
      </c>
    </row>
    <row r="7241">
      <c r="A7241" s="11">
        <v>7240.0</v>
      </c>
      <c r="B7241" s="12">
        <f t="shared" si="1147"/>
        <v>41065</v>
      </c>
      <c r="C7241" s="11" t="s">
        <v>2319</v>
      </c>
      <c r="D7241" s="11" t="s">
        <v>66</v>
      </c>
    </row>
    <row r="7242">
      <c r="A7242" s="11">
        <v>7241.0</v>
      </c>
      <c r="B7242" s="12">
        <f t="shared" si="1147"/>
        <v>41065</v>
      </c>
      <c r="C7242" s="11" t="s">
        <v>1960</v>
      </c>
      <c r="D7242" s="11" t="s">
        <v>28</v>
      </c>
    </row>
    <row r="7243">
      <c r="A7243" s="11">
        <v>7242.0</v>
      </c>
      <c r="B7243" s="12">
        <f t="shared" ref="B7243:B7245" si="1148">DATE(2012,12,31)-208</f>
        <v>41066</v>
      </c>
      <c r="C7243" s="11" t="s">
        <v>1120</v>
      </c>
      <c r="D7243" s="11" t="s">
        <v>49</v>
      </c>
    </row>
    <row r="7244">
      <c r="A7244" s="11">
        <v>7243.0</v>
      </c>
      <c r="B7244" s="12">
        <f t="shared" si="1148"/>
        <v>41066</v>
      </c>
      <c r="C7244" s="11" t="s">
        <v>1901</v>
      </c>
      <c r="D7244" s="11" t="s">
        <v>66</v>
      </c>
    </row>
    <row r="7245">
      <c r="A7245" s="11">
        <v>7244.0</v>
      </c>
      <c r="B7245" s="12">
        <f t="shared" si="1148"/>
        <v>41066</v>
      </c>
      <c r="C7245" s="11" t="s">
        <v>2217</v>
      </c>
      <c r="D7245" s="11" t="s">
        <v>28</v>
      </c>
    </row>
    <row r="7246">
      <c r="A7246" s="11">
        <v>7245.0</v>
      </c>
      <c r="B7246" s="12">
        <f t="shared" ref="B7246:B7253" si="1149">DATE(2012,12,31)-207</f>
        <v>41067</v>
      </c>
      <c r="C7246" s="11" t="s">
        <v>2167</v>
      </c>
      <c r="D7246" s="11" t="s">
        <v>28</v>
      </c>
    </row>
    <row r="7247">
      <c r="A7247" s="11">
        <v>7246.0</v>
      </c>
      <c r="B7247" s="12">
        <f t="shared" si="1149"/>
        <v>41067</v>
      </c>
      <c r="C7247" s="11" t="s">
        <v>2167</v>
      </c>
      <c r="D7247" s="11" t="s">
        <v>49</v>
      </c>
    </row>
    <row r="7248">
      <c r="A7248" s="11">
        <v>7247.0</v>
      </c>
      <c r="B7248" s="12">
        <f t="shared" si="1149"/>
        <v>41067</v>
      </c>
      <c r="C7248" s="11" t="s">
        <v>1462</v>
      </c>
      <c r="D7248" s="11" t="s">
        <v>66</v>
      </c>
    </row>
    <row r="7249">
      <c r="A7249" s="11">
        <v>7248.0</v>
      </c>
      <c r="B7249" s="12">
        <f t="shared" si="1149"/>
        <v>41067</v>
      </c>
      <c r="C7249" s="11" t="s">
        <v>1462</v>
      </c>
      <c r="D7249" s="11" t="s">
        <v>66</v>
      </c>
    </row>
    <row r="7250">
      <c r="A7250" s="11">
        <v>7249.0</v>
      </c>
      <c r="B7250" s="12">
        <f t="shared" si="1149"/>
        <v>41067</v>
      </c>
      <c r="C7250" s="11" t="s">
        <v>1702</v>
      </c>
      <c r="D7250" s="11" t="s">
        <v>28</v>
      </c>
    </row>
    <row r="7251">
      <c r="A7251" s="11">
        <v>7250.0</v>
      </c>
      <c r="B7251" s="12">
        <f t="shared" si="1149"/>
        <v>41067</v>
      </c>
      <c r="C7251" s="11" t="s">
        <v>613</v>
      </c>
      <c r="D7251" s="11" t="s">
        <v>66</v>
      </c>
    </row>
    <row r="7252">
      <c r="A7252" s="11">
        <v>7251.0</v>
      </c>
      <c r="B7252" s="12">
        <f t="shared" si="1149"/>
        <v>41067</v>
      </c>
      <c r="C7252" s="11" t="s">
        <v>613</v>
      </c>
      <c r="D7252" s="11" t="s">
        <v>66</v>
      </c>
    </row>
    <row r="7253">
      <c r="A7253" s="11">
        <v>7252.0</v>
      </c>
      <c r="B7253" s="12">
        <f t="shared" si="1149"/>
        <v>41067</v>
      </c>
      <c r="C7253" s="11" t="s">
        <v>456</v>
      </c>
      <c r="D7253" s="11" t="s">
        <v>28</v>
      </c>
    </row>
    <row r="7254">
      <c r="A7254" s="11">
        <v>7253.0</v>
      </c>
      <c r="B7254" s="12">
        <f t="shared" ref="B7254:B7263" si="1150">DATE(2012,12,31)-206</f>
        <v>41068</v>
      </c>
      <c r="C7254" s="11" t="s">
        <v>863</v>
      </c>
      <c r="D7254" s="11" t="s">
        <v>28</v>
      </c>
    </row>
    <row r="7255">
      <c r="A7255" s="11">
        <v>7254.0</v>
      </c>
      <c r="B7255" s="12">
        <f t="shared" si="1150"/>
        <v>41068</v>
      </c>
      <c r="C7255" s="11" t="s">
        <v>863</v>
      </c>
      <c r="D7255" s="11" t="s">
        <v>66</v>
      </c>
    </row>
    <row r="7256">
      <c r="A7256" s="11">
        <v>7255.0</v>
      </c>
      <c r="B7256" s="12">
        <f t="shared" si="1150"/>
        <v>41068</v>
      </c>
      <c r="C7256" s="11" t="s">
        <v>1353</v>
      </c>
      <c r="D7256" s="11" t="s">
        <v>28</v>
      </c>
    </row>
    <row r="7257">
      <c r="A7257" s="11">
        <v>7256.0</v>
      </c>
      <c r="B7257" s="12">
        <f t="shared" si="1150"/>
        <v>41068</v>
      </c>
      <c r="C7257" s="11" t="s">
        <v>2069</v>
      </c>
      <c r="D7257" s="11" t="s">
        <v>28</v>
      </c>
    </row>
    <row r="7258">
      <c r="A7258" s="11">
        <v>7257.0</v>
      </c>
      <c r="B7258" s="12">
        <f t="shared" si="1150"/>
        <v>41068</v>
      </c>
      <c r="C7258" s="11" t="s">
        <v>898</v>
      </c>
      <c r="D7258" s="11" t="s">
        <v>28</v>
      </c>
    </row>
    <row r="7259">
      <c r="A7259" s="11">
        <v>7258.0</v>
      </c>
      <c r="B7259" s="12">
        <f t="shared" si="1150"/>
        <v>41068</v>
      </c>
      <c r="C7259" s="11" t="s">
        <v>898</v>
      </c>
      <c r="D7259" s="11" t="s">
        <v>66</v>
      </c>
    </row>
    <row r="7260">
      <c r="A7260" s="11">
        <v>7259.0</v>
      </c>
      <c r="B7260" s="12">
        <f t="shared" si="1150"/>
        <v>41068</v>
      </c>
      <c r="C7260" s="11" t="s">
        <v>2033</v>
      </c>
      <c r="D7260" s="11" t="s">
        <v>28</v>
      </c>
    </row>
    <row r="7261">
      <c r="A7261" s="11">
        <v>7260.0</v>
      </c>
      <c r="B7261" s="12">
        <f t="shared" si="1150"/>
        <v>41068</v>
      </c>
      <c r="C7261" s="11" t="s">
        <v>2033</v>
      </c>
      <c r="D7261" s="11" t="s">
        <v>66</v>
      </c>
    </row>
    <row r="7262">
      <c r="A7262" s="11">
        <v>7261.0</v>
      </c>
      <c r="B7262" s="12">
        <f t="shared" si="1150"/>
        <v>41068</v>
      </c>
      <c r="C7262" s="11" t="s">
        <v>2391</v>
      </c>
      <c r="D7262" s="11" t="s">
        <v>28</v>
      </c>
    </row>
    <row r="7263">
      <c r="A7263" s="11">
        <v>7262.0</v>
      </c>
      <c r="B7263" s="12">
        <f t="shared" si="1150"/>
        <v>41068</v>
      </c>
      <c r="C7263" s="11" t="s">
        <v>2391</v>
      </c>
      <c r="D7263" s="11" t="s">
        <v>28</v>
      </c>
    </row>
    <row r="7264">
      <c r="A7264" s="11">
        <v>7263.0</v>
      </c>
      <c r="B7264" s="12">
        <f>DATE(2012,12,31)-205</f>
        <v>41069</v>
      </c>
      <c r="C7264" s="11" t="s">
        <v>1876</v>
      </c>
      <c r="D7264" s="11" t="s">
        <v>49</v>
      </c>
    </row>
    <row r="7265">
      <c r="A7265" s="11">
        <v>7264.0</v>
      </c>
      <c r="B7265" s="12">
        <f t="shared" ref="B7265:B7270" si="1151">DATE(2012,12,31)-204</f>
        <v>41070</v>
      </c>
      <c r="C7265" s="11" t="s">
        <v>1108</v>
      </c>
      <c r="D7265" s="11" t="s">
        <v>28</v>
      </c>
    </row>
    <row r="7266">
      <c r="A7266" s="11">
        <v>7265.0</v>
      </c>
      <c r="B7266" s="12">
        <f t="shared" si="1151"/>
        <v>41070</v>
      </c>
      <c r="C7266" s="11" t="s">
        <v>485</v>
      </c>
      <c r="D7266" s="11" t="s">
        <v>28</v>
      </c>
    </row>
    <row r="7267">
      <c r="A7267" s="11">
        <v>7266.0</v>
      </c>
      <c r="B7267" s="12">
        <f t="shared" si="1151"/>
        <v>41070</v>
      </c>
      <c r="C7267" s="11" t="s">
        <v>148</v>
      </c>
      <c r="D7267" s="11" t="s">
        <v>28</v>
      </c>
    </row>
    <row r="7268">
      <c r="A7268" s="11">
        <v>7267.0</v>
      </c>
      <c r="B7268" s="12">
        <f t="shared" si="1151"/>
        <v>41070</v>
      </c>
      <c r="C7268" s="11" t="s">
        <v>148</v>
      </c>
      <c r="D7268" s="11" t="s">
        <v>28</v>
      </c>
    </row>
    <row r="7269">
      <c r="A7269" s="11">
        <v>7268.0</v>
      </c>
      <c r="B7269" s="12">
        <f t="shared" si="1151"/>
        <v>41070</v>
      </c>
      <c r="C7269" s="11" t="s">
        <v>148</v>
      </c>
      <c r="D7269" s="11" t="s">
        <v>49</v>
      </c>
    </row>
    <row r="7270">
      <c r="A7270" s="11">
        <v>7269.0</v>
      </c>
      <c r="B7270" s="12">
        <f t="shared" si="1151"/>
        <v>41070</v>
      </c>
      <c r="C7270" s="11" t="s">
        <v>1921</v>
      </c>
      <c r="D7270" s="11" t="s">
        <v>28</v>
      </c>
    </row>
    <row r="7271">
      <c r="A7271" s="11">
        <v>7270.0</v>
      </c>
      <c r="B7271" s="12">
        <f t="shared" ref="B7271:B7278" si="1152">DATE(2012,12,31)-203</f>
        <v>41071</v>
      </c>
      <c r="C7271" s="11" t="s">
        <v>174</v>
      </c>
      <c r="D7271" s="11" t="s">
        <v>66</v>
      </c>
    </row>
    <row r="7272">
      <c r="A7272" s="11">
        <v>7271.0</v>
      </c>
      <c r="B7272" s="12">
        <f t="shared" si="1152"/>
        <v>41071</v>
      </c>
      <c r="C7272" s="11" t="s">
        <v>815</v>
      </c>
      <c r="D7272" s="11" t="s">
        <v>28</v>
      </c>
    </row>
    <row r="7273">
      <c r="A7273" s="11">
        <v>7272.0</v>
      </c>
      <c r="B7273" s="12">
        <f t="shared" si="1152"/>
        <v>41071</v>
      </c>
      <c r="C7273" s="11" t="s">
        <v>1345</v>
      </c>
      <c r="D7273" s="11" t="s">
        <v>28</v>
      </c>
    </row>
    <row r="7274">
      <c r="A7274" s="11">
        <v>7273.0</v>
      </c>
      <c r="B7274" s="12">
        <f t="shared" si="1152"/>
        <v>41071</v>
      </c>
      <c r="C7274" s="11" t="s">
        <v>155</v>
      </c>
      <c r="D7274" s="11" t="s">
        <v>49</v>
      </c>
    </row>
    <row r="7275">
      <c r="A7275" s="11">
        <v>7274.0</v>
      </c>
      <c r="B7275" s="12">
        <f t="shared" si="1152"/>
        <v>41071</v>
      </c>
      <c r="C7275" s="11" t="s">
        <v>2297</v>
      </c>
      <c r="D7275" s="11" t="s">
        <v>28</v>
      </c>
    </row>
    <row r="7276">
      <c r="A7276" s="11">
        <v>7275.0</v>
      </c>
      <c r="B7276" s="12">
        <f t="shared" si="1152"/>
        <v>41071</v>
      </c>
      <c r="C7276" s="11" t="s">
        <v>1629</v>
      </c>
      <c r="D7276" s="11" t="s">
        <v>49</v>
      </c>
    </row>
    <row r="7277">
      <c r="A7277" s="11">
        <v>7276.0</v>
      </c>
      <c r="B7277" s="12">
        <f t="shared" si="1152"/>
        <v>41071</v>
      </c>
      <c r="C7277" s="11" t="s">
        <v>1629</v>
      </c>
      <c r="D7277" s="11" t="s">
        <v>66</v>
      </c>
    </row>
    <row r="7278">
      <c r="A7278" s="11">
        <v>7277.0</v>
      </c>
      <c r="B7278" s="12">
        <f t="shared" si="1152"/>
        <v>41071</v>
      </c>
      <c r="C7278" s="11" t="s">
        <v>1629</v>
      </c>
      <c r="D7278" s="11" t="s">
        <v>66</v>
      </c>
    </row>
    <row r="7279">
      <c r="A7279" s="11">
        <v>7278.0</v>
      </c>
      <c r="B7279" s="12">
        <f t="shared" ref="B7279:B7284" si="1153">DATE(2012,12,31)-202</f>
        <v>41072</v>
      </c>
      <c r="C7279" s="11" t="s">
        <v>2375</v>
      </c>
      <c r="D7279" s="11" t="s">
        <v>28</v>
      </c>
    </row>
    <row r="7280">
      <c r="A7280" s="11">
        <v>7279.0</v>
      </c>
      <c r="B7280" s="12">
        <f t="shared" si="1153"/>
        <v>41072</v>
      </c>
      <c r="C7280" s="11" t="s">
        <v>597</v>
      </c>
      <c r="D7280" s="11" t="s">
        <v>28</v>
      </c>
    </row>
    <row r="7281">
      <c r="A7281" s="11">
        <v>7280.0</v>
      </c>
      <c r="B7281" s="12">
        <f t="shared" si="1153"/>
        <v>41072</v>
      </c>
      <c r="C7281" s="11" t="s">
        <v>1490</v>
      </c>
      <c r="D7281" s="11" t="s">
        <v>28</v>
      </c>
    </row>
    <row r="7282">
      <c r="A7282" s="11">
        <v>7281.0</v>
      </c>
      <c r="B7282" s="12">
        <f t="shared" si="1153"/>
        <v>41072</v>
      </c>
      <c r="C7282" s="11" t="s">
        <v>1490</v>
      </c>
      <c r="D7282" s="11" t="s">
        <v>66</v>
      </c>
    </row>
    <row r="7283">
      <c r="A7283" s="11">
        <v>7282.0</v>
      </c>
      <c r="B7283" s="12">
        <f t="shared" si="1153"/>
        <v>41072</v>
      </c>
      <c r="C7283" s="11" t="s">
        <v>46</v>
      </c>
      <c r="D7283" s="11" t="s">
        <v>28</v>
      </c>
    </row>
    <row r="7284">
      <c r="A7284" s="11">
        <v>7283.0</v>
      </c>
      <c r="B7284" s="12">
        <f t="shared" si="1153"/>
        <v>41072</v>
      </c>
      <c r="C7284" s="11" t="s">
        <v>436</v>
      </c>
      <c r="D7284" s="11" t="s">
        <v>28</v>
      </c>
    </row>
    <row r="7285">
      <c r="A7285" s="11">
        <v>7284.0</v>
      </c>
      <c r="B7285" s="12">
        <f t="shared" ref="B7285:B7291" si="1154">DATE(2012,12,31)-201</f>
        <v>41073</v>
      </c>
      <c r="C7285" s="11" t="s">
        <v>1355</v>
      </c>
      <c r="D7285" s="11" t="s">
        <v>28</v>
      </c>
    </row>
    <row r="7286">
      <c r="A7286" s="11">
        <v>7285.0</v>
      </c>
      <c r="B7286" s="12">
        <f t="shared" si="1154"/>
        <v>41073</v>
      </c>
      <c r="C7286" s="11" t="s">
        <v>1355</v>
      </c>
      <c r="D7286" s="11" t="s">
        <v>28</v>
      </c>
    </row>
    <row r="7287">
      <c r="A7287" s="11">
        <v>7286.0</v>
      </c>
      <c r="B7287" s="12">
        <f t="shared" si="1154"/>
        <v>41073</v>
      </c>
      <c r="C7287" s="11" t="s">
        <v>2405</v>
      </c>
      <c r="D7287" s="11" t="s">
        <v>28</v>
      </c>
    </row>
    <row r="7288">
      <c r="A7288" s="11">
        <v>7287.0</v>
      </c>
      <c r="B7288" s="12">
        <f t="shared" si="1154"/>
        <v>41073</v>
      </c>
      <c r="C7288" s="11" t="s">
        <v>2405</v>
      </c>
      <c r="D7288" s="11" t="s">
        <v>28</v>
      </c>
    </row>
    <row r="7289">
      <c r="A7289" s="11">
        <v>7288.0</v>
      </c>
      <c r="B7289" s="12">
        <f t="shared" si="1154"/>
        <v>41073</v>
      </c>
      <c r="C7289" s="11" t="s">
        <v>2405</v>
      </c>
      <c r="D7289" s="11" t="s">
        <v>28</v>
      </c>
    </row>
    <row r="7290">
      <c r="A7290" s="11">
        <v>7289.0</v>
      </c>
      <c r="B7290" s="12">
        <f t="shared" si="1154"/>
        <v>41073</v>
      </c>
      <c r="C7290" s="11" t="s">
        <v>2267</v>
      </c>
      <c r="D7290" s="11" t="s">
        <v>28</v>
      </c>
    </row>
    <row r="7291">
      <c r="A7291" s="11">
        <v>7290.0</v>
      </c>
      <c r="B7291" s="12">
        <f t="shared" si="1154"/>
        <v>41073</v>
      </c>
      <c r="C7291" s="11" t="s">
        <v>2267</v>
      </c>
      <c r="D7291" s="11" t="s">
        <v>66</v>
      </c>
    </row>
    <row r="7292">
      <c r="A7292" s="11">
        <v>7291.0</v>
      </c>
      <c r="B7292" s="12">
        <f t="shared" ref="B7292:B7295" si="1155">DATE(2012,12,31)-200</f>
        <v>41074</v>
      </c>
      <c r="C7292" s="11" t="s">
        <v>1716</v>
      </c>
      <c r="D7292" s="11" t="s">
        <v>28</v>
      </c>
    </row>
    <row r="7293">
      <c r="A7293" s="11">
        <v>7292.0</v>
      </c>
      <c r="B7293" s="12">
        <f t="shared" si="1155"/>
        <v>41074</v>
      </c>
      <c r="C7293" s="11" t="s">
        <v>653</v>
      </c>
      <c r="D7293" s="11" t="s">
        <v>66</v>
      </c>
    </row>
    <row r="7294">
      <c r="A7294" s="11">
        <v>7293.0</v>
      </c>
      <c r="B7294" s="12">
        <f t="shared" si="1155"/>
        <v>41074</v>
      </c>
      <c r="C7294" s="11" t="s">
        <v>1209</v>
      </c>
      <c r="D7294" s="11" t="s">
        <v>49</v>
      </c>
    </row>
    <row r="7295">
      <c r="A7295" s="11">
        <v>7294.0</v>
      </c>
      <c r="B7295" s="12">
        <f t="shared" si="1155"/>
        <v>41074</v>
      </c>
      <c r="C7295" s="11" t="s">
        <v>1209</v>
      </c>
      <c r="D7295" s="11" t="s">
        <v>49</v>
      </c>
    </row>
    <row r="7296">
      <c r="A7296" s="11">
        <v>7295.0</v>
      </c>
      <c r="B7296" s="12">
        <f t="shared" ref="B7296:B7299" si="1156">DATE(2012,12,31)-199</f>
        <v>41075</v>
      </c>
      <c r="C7296" s="11" t="s">
        <v>604</v>
      </c>
      <c r="D7296" s="11" t="s">
        <v>28</v>
      </c>
    </row>
    <row r="7297">
      <c r="A7297" s="11">
        <v>7296.0</v>
      </c>
      <c r="B7297" s="12">
        <f t="shared" si="1156"/>
        <v>41075</v>
      </c>
      <c r="C7297" s="11" t="s">
        <v>1332</v>
      </c>
      <c r="D7297" s="11" t="s">
        <v>28</v>
      </c>
    </row>
    <row r="7298">
      <c r="A7298" s="11">
        <v>7297.0</v>
      </c>
      <c r="B7298" s="12">
        <f t="shared" si="1156"/>
        <v>41075</v>
      </c>
      <c r="C7298" s="11" t="s">
        <v>703</v>
      </c>
      <c r="D7298" s="11" t="s">
        <v>49</v>
      </c>
    </row>
    <row r="7299">
      <c r="A7299" s="11">
        <v>7298.0</v>
      </c>
      <c r="B7299" s="12">
        <f t="shared" si="1156"/>
        <v>41075</v>
      </c>
      <c r="C7299" s="11" t="s">
        <v>703</v>
      </c>
      <c r="D7299" s="11" t="s">
        <v>28</v>
      </c>
    </row>
    <row r="7300">
      <c r="A7300" s="11">
        <v>7299.0</v>
      </c>
      <c r="B7300" s="12">
        <f t="shared" ref="B7300:B7302" si="1157">DATE(2012,12,31)-198</f>
        <v>41076</v>
      </c>
      <c r="C7300" s="11" t="s">
        <v>271</v>
      </c>
      <c r="D7300" s="11" t="s">
        <v>49</v>
      </c>
    </row>
    <row r="7301">
      <c r="A7301" s="11">
        <v>7300.0</v>
      </c>
      <c r="B7301" s="12">
        <f t="shared" si="1157"/>
        <v>41076</v>
      </c>
      <c r="C7301" s="11" t="s">
        <v>2187</v>
      </c>
      <c r="D7301" s="11" t="s">
        <v>28</v>
      </c>
    </row>
    <row r="7302">
      <c r="A7302" s="11">
        <v>7301.0</v>
      </c>
      <c r="B7302" s="12">
        <f t="shared" si="1157"/>
        <v>41076</v>
      </c>
      <c r="C7302" s="11" t="s">
        <v>963</v>
      </c>
      <c r="D7302" s="11" t="s">
        <v>28</v>
      </c>
    </row>
    <row r="7303">
      <c r="A7303" s="11">
        <v>7302.0</v>
      </c>
      <c r="B7303" s="12">
        <f t="shared" ref="B7303:B7304" si="1158">DATE(2012,12,31)-197</f>
        <v>41077</v>
      </c>
      <c r="C7303" s="11" t="s">
        <v>1450</v>
      </c>
      <c r="D7303" s="11" t="s">
        <v>49</v>
      </c>
    </row>
    <row r="7304">
      <c r="A7304" s="11">
        <v>7303.0</v>
      </c>
      <c r="B7304" s="12">
        <f t="shared" si="1158"/>
        <v>41077</v>
      </c>
      <c r="C7304" s="11" t="s">
        <v>634</v>
      </c>
      <c r="D7304" s="11" t="s">
        <v>49</v>
      </c>
    </row>
    <row r="7305">
      <c r="A7305" s="11">
        <v>7304.0</v>
      </c>
      <c r="B7305" s="12">
        <f t="shared" ref="B7305:B7310" si="1159">DATE(2012,12,31)-196</f>
        <v>41078</v>
      </c>
      <c r="C7305" s="11" t="s">
        <v>285</v>
      </c>
      <c r="D7305" s="11" t="s">
        <v>28</v>
      </c>
    </row>
    <row r="7306">
      <c r="A7306" s="11">
        <v>7305.0</v>
      </c>
      <c r="B7306" s="12">
        <f t="shared" si="1159"/>
        <v>41078</v>
      </c>
      <c r="C7306" s="11" t="s">
        <v>285</v>
      </c>
      <c r="D7306" s="11" t="s">
        <v>28</v>
      </c>
    </row>
    <row r="7307">
      <c r="A7307" s="11">
        <v>7306.0</v>
      </c>
      <c r="B7307" s="12">
        <f t="shared" si="1159"/>
        <v>41078</v>
      </c>
      <c r="C7307" s="11" t="s">
        <v>285</v>
      </c>
      <c r="D7307" s="11" t="s">
        <v>49</v>
      </c>
    </row>
    <row r="7308">
      <c r="A7308" s="11">
        <v>7307.0</v>
      </c>
      <c r="B7308" s="12">
        <f t="shared" si="1159"/>
        <v>41078</v>
      </c>
      <c r="C7308" s="11" t="s">
        <v>285</v>
      </c>
      <c r="D7308" s="11" t="s">
        <v>28</v>
      </c>
    </row>
    <row r="7309">
      <c r="A7309" s="11">
        <v>7308.0</v>
      </c>
      <c r="B7309" s="12">
        <f t="shared" si="1159"/>
        <v>41078</v>
      </c>
      <c r="C7309" s="11" t="s">
        <v>285</v>
      </c>
      <c r="D7309" s="11" t="s">
        <v>66</v>
      </c>
    </row>
    <row r="7310">
      <c r="A7310" s="11">
        <v>7309.0</v>
      </c>
      <c r="B7310" s="12">
        <f t="shared" si="1159"/>
        <v>41078</v>
      </c>
      <c r="C7310" s="11" t="s">
        <v>499</v>
      </c>
      <c r="D7310" s="11" t="s">
        <v>66</v>
      </c>
    </row>
    <row r="7311">
      <c r="A7311" s="11">
        <v>7310.0</v>
      </c>
      <c r="B7311" s="12">
        <f t="shared" ref="B7311:B7319" si="1160">DATE(2012,12,31)-195</f>
        <v>41079</v>
      </c>
      <c r="C7311" s="11" t="s">
        <v>1929</v>
      </c>
      <c r="D7311" s="11" t="s">
        <v>49</v>
      </c>
    </row>
    <row r="7312">
      <c r="A7312" s="11">
        <v>7311.0</v>
      </c>
      <c r="B7312" s="12">
        <f t="shared" si="1160"/>
        <v>41079</v>
      </c>
      <c r="C7312" s="11" t="s">
        <v>1929</v>
      </c>
      <c r="D7312" s="11" t="s">
        <v>66</v>
      </c>
    </row>
    <row r="7313">
      <c r="A7313" s="11">
        <v>7312.0</v>
      </c>
      <c r="B7313" s="12">
        <f t="shared" si="1160"/>
        <v>41079</v>
      </c>
      <c r="C7313" s="11" t="s">
        <v>1326</v>
      </c>
      <c r="D7313" s="11" t="s">
        <v>28</v>
      </c>
    </row>
    <row r="7314">
      <c r="A7314" s="11">
        <v>7313.0</v>
      </c>
      <c r="B7314" s="12">
        <f t="shared" si="1160"/>
        <v>41079</v>
      </c>
      <c r="C7314" s="11" t="s">
        <v>1326</v>
      </c>
      <c r="D7314" s="11" t="s">
        <v>66</v>
      </c>
    </row>
    <row r="7315">
      <c r="A7315" s="11">
        <v>7314.0</v>
      </c>
      <c r="B7315" s="12">
        <f t="shared" si="1160"/>
        <v>41079</v>
      </c>
      <c r="C7315" s="11" t="s">
        <v>617</v>
      </c>
      <c r="D7315" s="11" t="s">
        <v>28</v>
      </c>
    </row>
    <row r="7316">
      <c r="A7316" s="11">
        <v>7315.0</v>
      </c>
      <c r="B7316" s="12">
        <f t="shared" si="1160"/>
        <v>41079</v>
      </c>
      <c r="C7316" s="11" t="s">
        <v>617</v>
      </c>
      <c r="D7316" s="11" t="s">
        <v>49</v>
      </c>
    </row>
    <row r="7317">
      <c r="A7317" s="11">
        <v>7316.0</v>
      </c>
      <c r="B7317" s="12">
        <f t="shared" si="1160"/>
        <v>41079</v>
      </c>
      <c r="C7317" s="11" t="s">
        <v>617</v>
      </c>
      <c r="D7317" s="11" t="s">
        <v>28</v>
      </c>
    </row>
    <row r="7318">
      <c r="A7318" s="11">
        <v>7317.0</v>
      </c>
      <c r="B7318" s="12">
        <f t="shared" si="1160"/>
        <v>41079</v>
      </c>
      <c r="C7318" s="11" t="s">
        <v>1257</v>
      </c>
      <c r="D7318" s="11" t="s">
        <v>49</v>
      </c>
    </row>
    <row r="7319">
      <c r="A7319" s="11">
        <v>7318.0</v>
      </c>
      <c r="B7319" s="12">
        <f t="shared" si="1160"/>
        <v>41079</v>
      </c>
      <c r="C7319" s="11" t="s">
        <v>2449</v>
      </c>
      <c r="D7319" s="11" t="s">
        <v>28</v>
      </c>
    </row>
    <row r="7320">
      <c r="A7320" s="11">
        <v>7319.0</v>
      </c>
      <c r="B7320" s="12">
        <f t="shared" ref="B7320:B7324" si="1161">DATE(2012,12,31)-194</f>
        <v>41080</v>
      </c>
      <c r="C7320" s="11" t="s">
        <v>2194</v>
      </c>
      <c r="D7320" s="11" t="s">
        <v>66</v>
      </c>
    </row>
    <row r="7321">
      <c r="A7321" s="11">
        <v>7320.0</v>
      </c>
      <c r="B7321" s="12">
        <f t="shared" si="1161"/>
        <v>41080</v>
      </c>
      <c r="C7321" s="11" t="s">
        <v>2194</v>
      </c>
      <c r="D7321" s="11" t="s">
        <v>28</v>
      </c>
    </row>
    <row r="7322">
      <c r="A7322" s="11">
        <v>7321.0</v>
      </c>
      <c r="B7322" s="12">
        <f t="shared" si="1161"/>
        <v>41080</v>
      </c>
      <c r="C7322" s="11" t="s">
        <v>2194</v>
      </c>
      <c r="D7322" s="11" t="s">
        <v>49</v>
      </c>
    </row>
    <row r="7323">
      <c r="A7323" s="11">
        <v>7322.0</v>
      </c>
      <c r="B7323" s="12">
        <f t="shared" si="1161"/>
        <v>41080</v>
      </c>
      <c r="C7323" s="11" t="s">
        <v>1961</v>
      </c>
      <c r="D7323" s="11" t="s">
        <v>66</v>
      </c>
    </row>
    <row r="7324">
      <c r="A7324" s="11">
        <v>7323.0</v>
      </c>
      <c r="B7324" s="12">
        <f t="shared" si="1161"/>
        <v>41080</v>
      </c>
      <c r="C7324" s="11" t="s">
        <v>829</v>
      </c>
      <c r="D7324" s="11" t="s">
        <v>66</v>
      </c>
    </row>
    <row r="7325">
      <c r="A7325" s="11">
        <v>7324.0</v>
      </c>
      <c r="B7325" s="12">
        <f t="shared" ref="B7325:B7326" si="1162">DATE(2012,12,31)-192</f>
        <v>41082</v>
      </c>
      <c r="C7325" s="11" t="s">
        <v>2314</v>
      </c>
      <c r="D7325" s="11" t="s">
        <v>28</v>
      </c>
    </row>
    <row r="7326">
      <c r="A7326" s="11">
        <v>7325.0</v>
      </c>
      <c r="B7326" s="12">
        <f t="shared" si="1162"/>
        <v>41082</v>
      </c>
      <c r="C7326" s="11" t="s">
        <v>1831</v>
      </c>
      <c r="D7326" s="11" t="s">
        <v>49</v>
      </c>
    </row>
    <row r="7327">
      <c r="A7327" s="11">
        <v>7326.0</v>
      </c>
      <c r="B7327" s="12">
        <f t="shared" ref="B7327:B7328" si="1163">DATE(2012,12,31)-191</f>
        <v>41083</v>
      </c>
      <c r="C7327" s="11" t="s">
        <v>1831</v>
      </c>
      <c r="D7327" s="11" t="s">
        <v>28</v>
      </c>
    </row>
    <row r="7328">
      <c r="A7328" s="11">
        <v>7327.0</v>
      </c>
      <c r="B7328" s="12">
        <f t="shared" si="1163"/>
        <v>41083</v>
      </c>
      <c r="C7328" s="11" t="s">
        <v>1831</v>
      </c>
      <c r="D7328" s="11" t="s">
        <v>49</v>
      </c>
    </row>
    <row r="7329">
      <c r="A7329" s="11">
        <v>7328.0</v>
      </c>
      <c r="B7329" s="12">
        <f t="shared" ref="B7329:B7332" si="1164">DATE(2012,12,31)-190</f>
        <v>41084</v>
      </c>
      <c r="C7329" s="11" t="s">
        <v>1214</v>
      </c>
      <c r="D7329" s="11" t="s">
        <v>28</v>
      </c>
    </row>
    <row r="7330">
      <c r="A7330" s="11">
        <v>7329.0</v>
      </c>
      <c r="B7330" s="12">
        <f t="shared" si="1164"/>
        <v>41084</v>
      </c>
      <c r="C7330" s="11" t="s">
        <v>1939</v>
      </c>
      <c r="D7330" s="11" t="s">
        <v>28</v>
      </c>
    </row>
    <row r="7331">
      <c r="A7331" s="11">
        <v>7330.0</v>
      </c>
      <c r="B7331" s="12">
        <f t="shared" si="1164"/>
        <v>41084</v>
      </c>
      <c r="C7331" s="11" t="s">
        <v>133</v>
      </c>
      <c r="D7331" s="11" t="s">
        <v>66</v>
      </c>
    </row>
    <row r="7332">
      <c r="A7332" s="11">
        <v>7331.0</v>
      </c>
      <c r="B7332" s="12">
        <f t="shared" si="1164"/>
        <v>41084</v>
      </c>
      <c r="C7332" s="11" t="s">
        <v>453</v>
      </c>
      <c r="D7332" s="11" t="s">
        <v>49</v>
      </c>
    </row>
    <row r="7333">
      <c r="A7333" s="11">
        <v>7332.0</v>
      </c>
      <c r="B7333" s="12">
        <f t="shared" ref="B7333:B7335" si="1165">DATE(2012,12,31)-189</f>
        <v>41085</v>
      </c>
      <c r="C7333" s="11" t="s">
        <v>546</v>
      </c>
      <c r="D7333" s="11" t="s">
        <v>28</v>
      </c>
    </row>
    <row r="7334">
      <c r="A7334" s="11">
        <v>7333.0</v>
      </c>
      <c r="B7334" s="12">
        <f t="shared" si="1165"/>
        <v>41085</v>
      </c>
      <c r="C7334" s="11" t="s">
        <v>887</v>
      </c>
      <c r="D7334" s="11" t="s">
        <v>28</v>
      </c>
    </row>
    <row r="7335">
      <c r="A7335" s="11">
        <v>7334.0</v>
      </c>
      <c r="B7335" s="12">
        <f t="shared" si="1165"/>
        <v>41085</v>
      </c>
      <c r="C7335" s="11" t="s">
        <v>887</v>
      </c>
      <c r="D7335" s="11" t="s">
        <v>28</v>
      </c>
    </row>
    <row r="7336">
      <c r="A7336" s="11">
        <v>7335.0</v>
      </c>
      <c r="B7336" s="12">
        <f t="shared" ref="B7336:B7341" si="1166">DATE(2012,12,31)-188</f>
        <v>41086</v>
      </c>
      <c r="C7336" s="11" t="s">
        <v>597</v>
      </c>
      <c r="D7336" s="11" t="s">
        <v>66</v>
      </c>
    </row>
    <row r="7337">
      <c r="A7337" s="11">
        <v>7336.0</v>
      </c>
      <c r="B7337" s="12">
        <f t="shared" si="1166"/>
        <v>41086</v>
      </c>
      <c r="C7337" s="11" t="s">
        <v>1942</v>
      </c>
      <c r="D7337" s="11" t="s">
        <v>66</v>
      </c>
    </row>
    <row r="7338">
      <c r="A7338" s="11">
        <v>7337.0</v>
      </c>
      <c r="B7338" s="12">
        <f t="shared" si="1166"/>
        <v>41086</v>
      </c>
      <c r="C7338" s="11" t="s">
        <v>1942</v>
      </c>
      <c r="D7338" s="11" t="s">
        <v>66</v>
      </c>
    </row>
    <row r="7339">
      <c r="A7339" s="11">
        <v>7338.0</v>
      </c>
      <c r="B7339" s="12">
        <f t="shared" si="1166"/>
        <v>41086</v>
      </c>
      <c r="C7339" s="11" t="s">
        <v>1942</v>
      </c>
      <c r="D7339" s="11" t="s">
        <v>28</v>
      </c>
    </row>
    <row r="7340">
      <c r="A7340" s="11">
        <v>7339.0</v>
      </c>
      <c r="B7340" s="12">
        <f t="shared" si="1166"/>
        <v>41086</v>
      </c>
      <c r="C7340" s="11" t="s">
        <v>2383</v>
      </c>
      <c r="D7340" s="11" t="s">
        <v>28</v>
      </c>
    </row>
    <row r="7341">
      <c r="A7341" s="11">
        <v>7340.0</v>
      </c>
      <c r="B7341" s="12">
        <f t="shared" si="1166"/>
        <v>41086</v>
      </c>
      <c r="C7341" s="11" t="s">
        <v>2304</v>
      </c>
      <c r="D7341" s="11" t="s">
        <v>28</v>
      </c>
    </row>
    <row r="7342">
      <c r="A7342" s="11">
        <v>7341.0</v>
      </c>
      <c r="B7342" s="12">
        <f t="shared" ref="B7342:B7349" si="1167">DATE(2012,12,31)-187</f>
        <v>41087</v>
      </c>
      <c r="C7342" s="11" t="s">
        <v>370</v>
      </c>
      <c r="D7342" s="11" t="s">
        <v>28</v>
      </c>
    </row>
    <row r="7343">
      <c r="A7343" s="11">
        <v>7342.0</v>
      </c>
      <c r="B7343" s="12">
        <f t="shared" si="1167"/>
        <v>41087</v>
      </c>
      <c r="C7343" s="11" t="s">
        <v>910</v>
      </c>
      <c r="D7343" s="11" t="s">
        <v>49</v>
      </c>
    </row>
    <row r="7344">
      <c r="A7344" s="11">
        <v>7343.0</v>
      </c>
      <c r="B7344" s="12">
        <f t="shared" si="1167"/>
        <v>41087</v>
      </c>
      <c r="C7344" s="11" t="s">
        <v>910</v>
      </c>
      <c r="D7344" s="11" t="s">
        <v>28</v>
      </c>
    </row>
    <row r="7345">
      <c r="A7345" s="11">
        <v>7344.0</v>
      </c>
      <c r="B7345" s="12">
        <f t="shared" si="1167"/>
        <v>41087</v>
      </c>
      <c r="C7345" s="11" t="s">
        <v>910</v>
      </c>
      <c r="D7345" s="11" t="s">
        <v>66</v>
      </c>
    </row>
    <row r="7346">
      <c r="A7346" s="11">
        <v>7345.0</v>
      </c>
      <c r="B7346" s="12">
        <f t="shared" si="1167"/>
        <v>41087</v>
      </c>
      <c r="C7346" s="11" t="s">
        <v>1123</v>
      </c>
      <c r="D7346" s="11" t="s">
        <v>28</v>
      </c>
    </row>
    <row r="7347">
      <c r="A7347" s="11">
        <v>7346.0</v>
      </c>
      <c r="B7347" s="12">
        <f t="shared" si="1167"/>
        <v>41087</v>
      </c>
      <c r="C7347" s="11" t="s">
        <v>363</v>
      </c>
      <c r="D7347" s="11" t="s">
        <v>28</v>
      </c>
    </row>
    <row r="7348">
      <c r="A7348" s="11">
        <v>7347.0</v>
      </c>
      <c r="B7348" s="12">
        <f t="shared" si="1167"/>
        <v>41087</v>
      </c>
      <c r="C7348" s="11" t="s">
        <v>1777</v>
      </c>
      <c r="D7348" s="11" t="s">
        <v>28</v>
      </c>
    </row>
    <row r="7349">
      <c r="A7349" s="11">
        <v>7348.0</v>
      </c>
      <c r="B7349" s="12">
        <f t="shared" si="1167"/>
        <v>41087</v>
      </c>
      <c r="C7349" s="11" t="s">
        <v>1936</v>
      </c>
      <c r="D7349" s="11" t="s">
        <v>49</v>
      </c>
    </row>
    <row r="7350">
      <c r="A7350" s="11">
        <v>7349.0</v>
      </c>
      <c r="B7350" s="12">
        <f t="shared" ref="B7350:B7355" si="1168">DATE(2012,12,31)-186</f>
        <v>41088</v>
      </c>
      <c r="C7350" s="11" t="s">
        <v>337</v>
      </c>
      <c r="D7350" s="11" t="s">
        <v>49</v>
      </c>
    </row>
    <row r="7351">
      <c r="A7351" s="11">
        <v>7350.0</v>
      </c>
      <c r="B7351" s="12">
        <f t="shared" si="1168"/>
        <v>41088</v>
      </c>
      <c r="C7351" s="11" t="s">
        <v>337</v>
      </c>
      <c r="D7351" s="11" t="s">
        <v>49</v>
      </c>
    </row>
    <row r="7352">
      <c r="A7352" s="11">
        <v>7351.0</v>
      </c>
      <c r="B7352" s="12">
        <f t="shared" si="1168"/>
        <v>41088</v>
      </c>
      <c r="C7352" s="11" t="s">
        <v>2156</v>
      </c>
      <c r="D7352" s="11" t="s">
        <v>49</v>
      </c>
    </row>
    <row r="7353">
      <c r="A7353" s="11">
        <v>7352.0</v>
      </c>
      <c r="B7353" s="12">
        <f t="shared" si="1168"/>
        <v>41088</v>
      </c>
      <c r="C7353" s="11" t="s">
        <v>353</v>
      </c>
      <c r="D7353" s="11" t="s">
        <v>49</v>
      </c>
    </row>
    <row r="7354">
      <c r="A7354" s="11">
        <v>7353.0</v>
      </c>
      <c r="B7354" s="12">
        <f t="shared" si="1168"/>
        <v>41088</v>
      </c>
      <c r="C7354" s="11" t="s">
        <v>353</v>
      </c>
      <c r="D7354" s="11" t="s">
        <v>66</v>
      </c>
    </row>
    <row r="7355">
      <c r="A7355" s="11">
        <v>7354.0</v>
      </c>
      <c r="B7355" s="12">
        <f t="shared" si="1168"/>
        <v>41088</v>
      </c>
      <c r="C7355" s="11" t="s">
        <v>2545</v>
      </c>
      <c r="D7355" s="11" t="s">
        <v>28</v>
      </c>
    </row>
    <row r="7356">
      <c r="A7356" s="11">
        <v>7355.0</v>
      </c>
      <c r="B7356" s="12">
        <f t="shared" ref="B7356:B7365" si="1169">DATE(2012,12,31)-185</f>
        <v>41089</v>
      </c>
      <c r="C7356" s="11" t="s">
        <v>373</v>
      </c>
      <c r="D7356" s="11" t="s">
        <v>28</v>
      </c>
    </row>
    <row r="7357">
      <c r="A7357" s="11">
        <v>7356.0</v>
      </c>
      <c r="B7357" s="12">
        <f t="shared" si="1169"/>
        <v>41089</v>
      </c>
      <c r="C7357" s="11" t="s">
        <v>1901</v>
      </c>
      <c r="D7357" s="11" t="s">
        <v>66</v>
      </c>
    </row>
    <row r="7358">
      <c r="A7358" s="11">
        <v>7357.0</v>
      </c>
      <c r="B7358" s="12">
        <f t="shared" si="1169"/>
        <v>41089</v>
      </c>
      <c r="C7358" s="11" t="s">
        <v>1901</v>
      </c>
      <c r="D7358" s="11" t="s">
        <v>28</v>
      </c>
    </row>
    <row r="7359">
      <c r="A7359" s="11">
        <v>7358.0</v>
      </c>
      <c r="B7359" s="12">
        <f t="shared" si="1169"/>
        <v>41089</v>
      </c>
      <c r="C7359" s="11" t="s">
        <v>446</v>
      </c>
      <c r="D7359" s="11" t="s">
        <v>66</v>
      </c>
    </row>
    <row r="7360">
      <c r="A7360" s="11">
        <v>7359.0</v>
      </c>
      <c r="B7360" s="12">
        <f t="shared" si="1169"/>
        <v>41089</v>
      </c>
      <c r="C7360" s="11" t="s">
        <v>863</v>
      </c>
      <c r="D7360" s="11" t="s">
        <v>49</v>
      </c>
    </row>
    <row r="7361">
      <c r="A7361" s="11">
        <v>7360.0</v>
      </c>
      <c r="B7361" s="12">
        <f t="shared" si="1169"/>
        <v>41089</v>
      </c>
      <c r="C7361" s="11" t="s">
        <v>2194</v>
      </c>
      <c r="D7361" s="11" t="s">
        <v>28</v>
      </c>
    </row>
    <row r="7362">
      <c r="A7362" s="11">
        <v>7361.0</v>
      </c>
      <c r="B7362" s="12">
        <f t="shared" si="1169"/>
        <v>41089</v>
      </c>
      <c r="C7362" s="11" t="s">
        <v>2194</v>
      </c>
      <c r="D7362" s="11" t="s">
        <v>28</v>
      </c>
    </row>
    <row r="7363">
      <c r="A7363" s="11">
        <v>7362.0</v>
      </c>
      <c r="B7363" s="12">
        <f t="shared" si="1169"/>
        <v>41089</v>
      </c>
      <c r="C7363" s="11" t="s">
        <v>2023</v>
      </c>
      <c r="D7363" s="11" t="s">
        <v>66</v>
      </c>
    </row>
    <row r="7364">
      <c r="A7364" s="11">
        <v>7363.0</v>
      </c>
      <c r="B7364" s="12">
        <f t="shared" si="1169"/>
        <v>41089</v>
      </c>
      <c r="C7364" s="11" t="s">
        <v>2023</v>
      </c>
      <c r="D7364" s="11" t="s">
        <v>66</v>
      </c>
    </row>
    <row r="7365">
      <c r="A7365" s="11">
        <v>7364.0</v>
      </c>
      <c r="B7365" s="12">
        <f t="shared" si="1169"/>
        <v>41089</v>
      </c>
      <c r="C7365" s="11" t="s">
        <v>2276</v>
      </c>
      <c r="D7365" s="11" t="s">
        <v>49</v>
      </c>
    </row>
    <row r="7366">
      <c r="A7366" s="11">
        <v>7365.0</v>
      </c>
      <c r="B7366" s="12">
        <f t="shared" ref="B7366:B7367" si="1170">DATE(2012,12,31)-184</f>
        <v>41090</v>
      </c>
      <c r="C7366" s="11" t="s">
        <v>1857</v>
      </c>
      <c r="D7366" s="11" t="s">
        <v>28</v>
      </c>
    </row>
    <row r="7367">
      <c r="A7367" s="11">
        <v>7366.0</v>
      </c>
      <c r="B7367" s="12">
        <f t="shared" si="1170"/>
        <v>41090</v>
      </c>
      <c r="C7367" s="11" t="s">
        <v>821</v>
      </c>
      <c r="D7367" s="11" t="s">
        <v>49</v>
      </c>
    </row>
    <row r="7368">
      <c r="A7368" s="11">
        <v>7367.0</v>
      </c>
      <c r="B7368" s="12">
        <f>DATE(2012,12,31)-183</f>
        <v>41091</v>
      </c>
      <c r="C7368" s="11" t="s">
        <v>1798</v>
      </c>
      <c r="D7368" s="11" t="s">
        <v>28</v>
      </c>
    </row>
    <row r="7369">
      <c r="A7369" s="11">
        <v>7368.0</v>
      </c>
      <c r="B7369" s="12">
        <f t="shared" ref="B7369:B7377" si="1171">DATE(2012,12,31)-182</f>
        <v>41092</v>
      </c>
      <c r="C7369" s="11" t="s">
        <v>659</v>
      </c>
      <c r="D7369" s="11" t="s">
        <v>28</v>
      </c>
    </row>
    <row r="7370">
      <c r="A7370" s="11">
        <v>7369.0</v>
      </c>
      <c r="B7370" s="12">
        <f t="shared" si="1171"/>
        <v>41092</v>
      </c>
      <c r="C7370" s="11" t="s">
        <v>1370</v>
      </c>
      <c r="D7370" s="11" t="s">
        <v>28</v>
      </c>
    </row>
    <row r="7371">
      <c r="A7371" s="11">
        <v>7370.0</v>
      </c>
      <c r="B7371" s="12">
        <f t="shared" si="1171"/>
        <v>41092</v>
      </c>
      <c r="C7371" s="11" t="s">
        <v>491</v>
      </c>
      <c r="D7371" s="11" t="s">
        <v>28</v>
      </c>
    </row>
    <row r="7372">
      <c r="A7372" s="11">
        <v>7371.0</v>
      </c>
      <c r="B7372" s="12">
        <f t="shared" si="1171"/>
        <v>41092</v>
      </c>
      <c r="C7372" s="11" t="s">
        <v>491</v>
      </c>
      <c r="D7372" s="11" t="s">
        <v>28</v>
      </c>
    </row>
    <row r="7373">
      <c r="A7373" s="11">
        <v>7372.0</v>
      </c>
      <c r="B7373" s="12">
        <f t="shared" si="1171"/>
        <v>41092</v>
      </c>
      <c r="C7373" s="11" t="s">
        <v>494</v>
      </c>
      <c r="D7373" s="11" t="s">
        <v>49</v>
      </c>
    </row>
    <row r="7374">
      <c r="A7374" s="11">
        <v>7373.0</v>
      </c>
      <c r="B7374" s="12">
        <f t="shared" si="1171"/>
        <v>41092</v>
      </c>
      <c r="C7374" s="11" t="s">
        <v>494</v>
      </c>
      <c r="D7374" s="11" t="s">
        <v>66</v>
      </c>
    </row>
    <row r="7375">
      <c r="A7375" s="11">
        <v>7374.0</v>
      </c>
      <c r="B7375" s="12">
        <f t="shared" si="1171"/>
        <v>41092</v>
      </c>
      <c r="C7375" s="11" t="s">
        <v>274</v>
      </c>
      <c r="D7375" s="11" t="s">
        <v>28</v>
      </c>
    </row>
    <row r="7376">
      <c r="A7376" s="11">
        <v>7375.0</v>
      </c>
      <c r="B7376" s="12">
        <f t="shared" si="1171"/>
        <v>41092</v>
      </c>
      <c r="C7376" s="11" t="s">
        <v>205</v>
      </c>
      <c r="D7376" s="11" t="s">
        <v>28</v>
      </c>
    </row>
    <row r="7377">
      <c r="A7377" s="11">
        <v>7376.0</v>
      </c>
      <c r="B7377" s="12">
        <f t="shared" si="1171"/>
        <v>41092</v>
      </c>
      <c r="C7377" s="11" t="s">
        <v>205</v>
      </c>
      <c r="D7377" s="11" t="s">
        <v>28</v>
      </c>
    </row>
    <row r="7378">
      <c r="A7378" s="11">
        <v>7377.0</v>
      </c>
      <c r="B7378" s="12">
        <f t="shared" ref="B7378:B7383" si="1172">DATE(2012,12,31)-181</f>
        <v>41093</v>
      </c>
      <c r="C7378" s="11" t="s">
        <v>823</v>
      </c>
      <c r="D7378" s="11" t="s">
        <v>28</v>
      </c>
    </row>
    <row r="7379">
      <c r="A7379" s="11">
        <v>7378.0</v>
      </c>
      <c r="B7379" s="12">
        <f t="shared" si="1172"/>
        <v>41093</v>
      </c>
      <c r="C7379" s="11" t="s">
        <v>1581</v>
      </c>
      <c r="D7379" s="11" t="s">
        <v>66</v>
      </c>
    </row>
    <row r="7380">
      <c r="A7380" s="11">
        <v>7379.0</v>
      </c>
      <c r="B7380" s="12">
        <f t="shared" si="1172"/>
        <v>41093</v>
      </c>
      <c r="C7380" s="11" t="s">
        <v>1581</v>
      </c>
      <c r="D7380" s="11" t="s">
        <v>28</v>
      </c>
    </row>
    <row r="7381">
      <c r="A7381" s="11">
        <v>7380.0</v>
      </c>
      <c r="B7381" s="12">
        <f t="shared" si="1172"/>
        <v>41093</v>
      </c>
      <c r="C7381" s="11" t="s">
        <v>1581</v>
      </c>
      <c r="D7381" s="11" t="s">
        <v>49</v>
      </c>
    </row>
    <row r="7382">
      <c r="A7382" s="11">
        <v>7381.0</v>
      </c>
      <c r="B7382" s="12">
        <f t="shared" si="1172"/>
        <v>41093</v>
      </c>
      <c r="C7382" s="11" t="s">
        <v>1811</v>
      </c>
      <c r="D7382" s="11" t="s">
        <v>28</v>
      </c>
    </row>
    <row r="7383">
      <c r="A7383" s="11">
        <v>7382.0</v>
      </c>
      <c r="B7383" s="12">
        <f t="shared" si="1172"/>
        <v>41093</v>
      </c>
      <c r="C7383" s="11" t="s">
        <v>863</v>
      </c>
      <c r="D7383" s="11" t="s">
        <v>66</v>
      </c>
    </row>
    <row r="7384">
      <c r="A7384" s="11">
        <v>7383.0</v>
      </c>
      <c r="B7384" s="12">
        <f t="shared" ref="B7384:B7386" si="1173">DATE(2012,12,31)-179</f>
        <v>41095</v>
      </c>
      <c r="C7384" s="11" t="s">
        <v>1384</v>
      </c>
      <c r="D7384" s="11" t="s">
        <v>28</v>
      </c>
    </row>
    <row r="7385">
      <c r="A7385" s="11">
        <v>7384.0</v>
      </c>
      <c r="B7385" s="12">
        <f t="shared" si="1173"/>
        <v>41095</v>
      </c>
      <c r="C7385" s="11" t="s">
        <v>1384</v>
      </c>
      <c r="D7385" s="11" t="s">
        <v>28</v>
      </c>
    </row>
    <row r="7386">
      <c r="A7386" s="11">
        <v>7385.0</v>
      </c>
      <c r="B7386" s="12">
        <f t="shared" si="1173"/>
        <v>41095</v>
      </c>
      <c r="C7386" s="11" t="s">
        <v>1447</v>
      </c>
      <c r="D7386" s="11" t="s">
        <v>28</v>
      </c>
    </row>
    <row r="7387">
      <c r="A7387" s="11">
        <v>7386.0</v>
      </c>
      <c r="B7387" s="12">
        <f>DATE(2012,12,31)-178</f>
        <v>41096</v>
      </c>
      <c r="C7387" s="11" t="s">
        <v>716</v>
      </c>
      <c r="D7387" s="11" t="s">
        <v>49</v>
      </c>
    </row>
    <row r="7388">
      <c r="A7388" s="11">
        <v>7387.0</v>
      </c>
      <c r="B7388" s="12">
        <f t="shared" ref="B7388:B7391" si="1174">DATE(2012,12,31)-177</f>
        <v>41097</v>
      </c>
      <c r="C7388" s="11" t="s">
        <v>91</v>
      </c>
      <c r="D7388" s="11" t="s">
        <v>28</v>
      </c>
    </row>
    <row r="7389">
      <c r="A7389" s="11">
        <v>7388.0</v>
      </c>
      <c r="B7389" s="12">
        <f t="shared" si="1174"/>
        <v>41097</v>
      </c>
      <c r="C7389" s="11" t="s">
        <v>528</v>
      </c>
      <c r="D7389" s="11" t="s">
        <v>66</v>
      </c>
    </row>
    <row r="7390">
      <c r="A7390" s="11">
        <v>7389.0</v>
      </c>
      <c r="B7390" s="12">
        <f t="shared" si="1174"/>
        <v>41097</v>
      </c>
      <c r="C7390" s="11" t="s">
        <v>120</v>
      </c>
      <c r="D7390" s="11" t="s">
        <v>49</v>
      </c>
    </row>
    <row r="7391">
      <c r="A7391" s="11">
        <v>7390.0</v>
      </c>
      <c r="B7391" s="12">
        <f t="shared" si="1174"/>
        <v>41097</v>
      </c>
      <c r="C7391" s="11" t="s">
        <v>120</v>
      </c>
      <c r="D7391" s="11" t="s">
        <v>49</v>
      </c>
    </row>
    <row r="7392">
      <c r="A7392" s="11">
        <v>7391.0</v>
      </c>
      <c r="B7392" s="12">
        <f t="shared" ref="B7392:B7396" si="1175">DATE(2012,12,31)-176</f>
        <v>41098</v>
      </c>
      <c r="C7392" s="11" t="s">
        <v>588</v>
      </c>
      <c r="D7392" s="11" t="s">
        <v>66</v>
      </c>
    </row>
    <row r="7393">
      <c r="A7393" s="11">
        <v>7392.0</v>
      </c>
      <c r="B7393" s="12">
        <f t="shared" si="1175"/>
        <v>41098</v>
      </c>
      <c r="C7393" s="11" t="s">
        <v>588</v>
      </c>
      <c r="D7393" s="11" t="s">
        <v>28</v>
      </c>
    </row>
    <row r="7394">
      <c r="A7394" s="11">
        <v>7393.0</v>
      </c>
      <c r="B7394" s="12">
        <f t="shared" si="1175"/>
        <v>41098</v>
      </c>
      <c r="C7394" s="11" t="s">
        <v>588</v>
      </c>
      <c r="D7394" s="11" t="s">
        <v>28</v>
      </c>
    </row>
    <row r="7395">
      <c r="A7395" s="11">
        <v>7394.0</v>
      </c>
      <c r="B7395" s="12">
        <f t="shared" si="1175"/>
        <v>41098</v>
      </c>
      <c r="C7395" s="11" t="s">
        <v>588</v>
      </c>
      <c r="D7395" s="11" t="s">
        <v>28</v>
      </c>
    </row>
    <row r="7396">
      <c r="A7396" s="11">
        <v>7395.0</v>
      </c>
      <c r="B7396" s="12">
        <f t="shared" si="1175"/>
        <v>41098</v>
      </c>
      <c r="C7396" s="11" t="s">
        <v>1101</v>
      </c>
      <c r="D7396" s="11" t="s">
        <v>28</v>
      </c>
    </row>
    <row r="7397">
      <c r="A7397" s="11">
        <v>7396.0</v>
      </c>
      <c r="B7397" s="12">
        <f t="shared" ref="B7397:B7410" si="1176">DATE(2012,12,31)-175</f>
        <v>41099</v>
      </c>
      <c r="C7397" s="11" t="s">
        <v>2439</v>
      </c>
      <c r="D7397" s="11" t="s">
        <v>49</v>
      </c>
    </row>
    <row r="7398">
      <c r="A7398" s="11">
        <v>7397.0</v>
      </c>
      <c r="B7398" s="12">
        <f t="shared" si="1176"/>
        <v>41099</v>
      </c>
      <c r="C7398" s="11" t="s">
        <v>2439</v>
      </c>
      <c r="D7398" s="11" t="s">
        <v>28</v>
      </c>
    </row>
    <row r="7399">
      <c r="A7399" s="11">
        <v>7398.0</v>
      </c>
      <c r="B7399" s="12">
        <f t="shared" si="1176"/>
        <v>41099</v>
      </c>
      <c r="C7399" s="11" t="s">
        <v>2439</v>
      </c>
      <c r="D7399" s="11" t="s">
        <v>28</v>
      </c>
    </row>
    <row r="7400">
      <c r="A7400" s="11">
        <v>7399.0</v>
      </c>
      <c r="B7400" s="12">
        <f t="shared" si="1176"/>
        <v>41099</v>
      </c>
      <c r="C7400" s="11" t="s">
        <v>2439</v>
      </c>
      <c r="D7400" s="11" t="s">
        <v>66</v>
      </c>
    </row>
    <row r="7401">
      <c r="A7401" s="11">
        <v>7400.0</v>
      </c>
      <c r="B7401" s="12">
        <f t="shared" si="1176"/>
        <v>41099</v>
      </c>
      <c r="C7401" s="11" t="s">
        <v>243</v>
      </c>
      <c r="D7401" s="11" t="s">
        <v>28</v>
      </c>
    </row>
    <row r="7402">
      <c r="A7402" s="11">
        <v>7401.0</v>
      </c>
      <c r="B7402" s="12">
        <f t="shared" si="1176"/>
        <v>41099</v>
      </c>
      <c r="C7402" s="11" t="s">
        <v>243</v>
      </c>
      <c r="D7402" s="11" t="s">
        <v>49</v>
      </c>
    </row>
    <row r="7403">
      <c r="A7403" s="11">
        <v>7402.0</v>
      </c>
      <c r="B7403" s="12">
        <f t="shared" si="1176"/>
        <v>41099</v>
      </c>
      <c r="C7403" s="11" t="s">
        <v>243</v>
      </c>
      <c r="D7403" s="11" t="s">
        <v>28</v>
      </c>
    </row>
    <row r="7404">
      <c r="A7404" s="11">
        <v>7403.0</v>
      </c>
      <c r="B7404" s="12">
        <f t="shared" si="1176"/>
        <v>41099</v>
      </c>
      <c r="C7404" s="11" t="s">
        <v>2251</v>
      </c>
      <c r="D7404" s="11" t="s">
        <v>28</v>
      </c>
    </row>
    <row r="7405">
      <c r="A7405" s="11">
        <v>7404.0</v>
      </c>
      <c r="B7405" s="12">
        <f t="shared" si="1176"/>
        <v>41099</v>
      </c>
      <c r="C7405" s="11" t="s">
        <v>1017</v>
      </c>
      <c r="D7405" s="11" t="s">
        <v>28</v>
      </c>
    </row>
    <row r="7406">
      <c r="A7406" s="11">
        <v>7405.0</v>
      </c>
      <c r="B7406" s="12">
        <f t="shared" si="1176"/>
        <v>41099</v>
      </c>
      <c r="C7406" s="11" t="s">
        <v>1444</v>
      </c>
      <c r="D7406" s="11" t="s">
        <v>28</v>
      </c>
    </row>
    <row r="7407">
      <c r="A7407" s="11">
        <v>7406.0</v>
      </c>
      <c r="B7407" s="12">
        <f t="shared" si="1176"/>
        <v>41099</v>
      </c>
      <c r="C7407" s="11" t="s">
        <v>2476</v>
      </c>
      <c r="D7407" s="11" t="s">
        <v>28</v>
      </c>
    </row>
    <row r="7408">
      <c r="A7408" s="11">
        <v>7407.0</v>
      </c>
      <c r="B7408" s="12">
        <f t="shared" si="1176"/>
        <v>41099</v>
      </c>
      <c r="C7408" s="11" t="s">
        <v>1884</v>
      </c>
      <c r="D7408" s="11" t="s">
        <v>49</v>
      </c>
    </row>
    <row r="7409">
      <c r="A7409" s="11">
        <v>7408.0</v>
      </c>
      <c r="B7409" s="12">
        <f t="shared" si="1176"/>
        <v>41099</v>
      </c>
      <c r="C7409" s="11" t="s">
        <v>1884</v>
      </c>
      <c r="D7409" s="11" t="s">
        <v>28</v>
      </c>
    </row>
    <row r="7410">
      <c r="A7410" s="11">
        <v>7409.0</v>
      </c>
      <c r="B7410" s="12">
        <f t="shared" si="1176"/>
        <v>41099</v>
      </c>
      <c r="C7410" s="11" t="s">
        <v>1884</v>
      </c>
      <c r="D7410" s="11" t="s">
        <v>28</v>
      </c>
    </row>
    <row r="7411">
      <c r="A7411" s="11">
        <v>7410.0</v>
      </c>
      <c r="B7411" s="12">
        <f t="shared" ref="B7411:B7417" si="1177">DATE(2012,12,31)-174</f>
        <v>41100</v>
      </c>
      <c r="C7411" s="11" t="s">
        <v>639</v>
      </c>
      <c r="D7411" s="11" t="s">
        <v>49</v>
      </c>
    </row>
    <row r="7412">
      <c r="A7412" s="11">
        <v>7411.0</v>
      </c>
      <c r="B7412" s="12">
        <f t="shared" si="1177"/>
        <v>41100</v>
      </c>
      <c r="C7412" s="11" t="s">
        <v>639</v>
      </c>
      <c r="D7412" s="11" t="s">
        <v>28</v>
      </c>
    </row>
    <row r="7413">
      <c r="A7413" s="11">
        <v>7412.0</v>
      </c>
      <c r="B7413" s="12">
        <f t="shared" si="1177"/>
        <v>41100</v>
      </c>
      <c r="C7413" s="11" t="s">
        <v>1355</v>
      </c>
      <c r="D7413" s="11" t="s">
        <v>28</v>
      </c>
    </row>
    <row r="7414">
      <c r="A7414" s="11">
        <v>7413.0</v>
      </c>
      <c r="B7414" s="12">
        <f t="shared" si="1177"/>
        <v>41100</v>
      </c>
      <c r="C7414" s="11" t="s">
        <v>1355</v>
      </c>
      <c r="D7414" s="11" t="s">
        <v>28</v>
      </c>
    </row>
    <row r="7415">
      <c r="A7415" s="11">
        <v>7414.0</v>
      </c>
      <c r="B7415" s="12">
        <f t="shared" si="1177"/>
        <v>41100</v>
      </c>
      <c r="C7415" s="11" t="s">
        <v>1533</v>
      </c>
      <c r="D7415" s="11" t="s">
        <v>66</v>
      </c>
    </row>
    <row r="7416">
      <c r="A7416" s="11">
        <v>7415.0</v>
      </c>
      <c r="B7416" s="12">
        <f t="shared" si="1177"/>
        <v>41100</v>
      </c>
      <c r="C7416" s="11" t="s">
        <v>1903</v>
      </c>
      <c r="D7416" s="11" t="s">
        <v>28</v>
      </c>
    </row>
    <row r="7417">
      <c r="A7417" s="11">
        <v>7416.0</v>
      </c>
      <c r="B7417" s="12">
        <f t="shared" si="1177"/>
        <v>41100</v>
      </c>
      <c r="C7417" s="11" t="s">
        <v>1861</v>
      </c>
      <c r="D7417" s="11" t="s">
        <v>28</v>
      </c>
    </row>
    <row r="7418">
      <c r="A7418" s="11">
        <v>7417.0</v>
      </c>
      <c r="B7418" s="12">
        <f t="shared" ref="B7418:B7423" si="1178">DATE(2012,12,31)-173</f>
        <v>41101</v>
      </c>
      <c r="C7418" s="11" t="s">
        <v>202</v>
      </c>
      <c r="D7418" s="11" t="s">
        <v>28</v>
      </c>
    </row>
    <row r="7419">
      <c r="A7419" s="11">
        <v>7418.0</v>
      </c>
      <c r="B7419" s="12">
        <f t="shared" si="1178"/>
        <v>41101</v>
      </c>
      <c r="C7419" s="11" t="s">
        <v>1423</v>
      </c>
      <c r="D7419" s="11" t="s">
        <v>49</v>
      </c>
    </row>
    <row r="7420">
      <c r="A7420" s="11">
        <v>7419.0</v>
      </c>
      <c r="B7420" s="12">
        <f t="shared" si="1178"/>
        <v>41101</v>
      </c>
      <c r="C7420" s="11" t="s">
        <v>1415</v>
      </c>
      <c r="D7420" s="11" t="s">
        <v>28</v>
      </c>
    </row>
    <row r="7421">
      <c r="A7421" s="11">
        <v>7420.0</v>
      </c>
      <c r="B7421" s="12">
        <f t="shared" si="1178"/>
        <v>41101</v>
      </c>
      <c r="C7421" s="11" t="s">
        <v>423</v>
      </c>
      <c r="D7421" s="11" t="s">
        <v>28</v>
      </c>
    </row>
    <row r="7422">
      <c r="A7422" s="11">
        <v>7421.0</v>
      </c>
      <c r="B7422" s="12">
        <f t="shared" si="1178"/>
        <v>41101</v>
      </c>
      <c r="C7422" s="11" t="s">
        <v>426</v>
      </c>
      <c r="D7422" s="11" t="s">
        <v>49</v>
      </c>
    </row>
    <row r="7423">
      <c r="A7423" s="11">
        <v>7422.0</v>
      </c>
      <c r="B7423" s="12">
        <f t="shared" si="1178"/>
        <v>41101</v>
      </c>
      <c r="C7423" s="11" t="s">
        <v>412</v>
      </c>
      <c r="D7423" s="11" t="s">
        <v>28</v>
      </c>
    </row>
    <row r="7424">
      <c r="A7424" s="11">
        <v>7423.0</v>
      </c>
      <c r="B7424" s="12">
        <f t="shared" ref="B7424:B7430" si="1179">DATE(2012,12,31)-172</f>
        <v>41102</v>
      </c>
      <c r="C7424" s="11" t="s">
        <v>462</v>
      </c>
      <c r="D7424" s="11" t="s">
        <v>28</v>
      </c>
    </row>
    <row r="7425">
      <c r="A7425" s="11">
        <v>7424.0</v>
      </c>
      <c r="B7425" s="12">
        <f t="shared" si="1179"/>
        <v>41102</v>
      </c>
      <c r="C7425" s="11" t="s">
        <v>462</v>
      </c>
      <c r="D7425" s="11" t="s">
        <v>28</v>
      </c>
    </row>
    <row r="7426">
      <c r="A7426" s="11">
        <v>7425.0</v>
      </c>
      <c r="B7426" s="12">
        <f t="shared" si="1179"/>
        <v>41102</v>
      </c>
      <c r="C7426" s="11" t="s">
        <v>462</v>
      </c>
      <c r="D7426" s="11" t="s">
        <v>28</v>
      </c>
    </row>
    <row r="7427">
      <c r="A7427" s="11">
        <v>7426.0</v>
      </c>
      <c r="B7427" s="12">
        <f t="shared" si="1179"/>
        <v>41102</v>
      </c>
      <c r="C7427" s="11" t="s">
        <v>1754</v>
      </c>
      <c r="D7427" s="11" t="s">
        <v>28</v>
      </c>
    </row>
    <row r="7428">
      <c r="A7428" s="11">
        <v>7427.0</v>
      </c>
      <c r="B7428" s="12">
        <f t="shared" si="1179"/>
        <v>41102</v>
      </c>
      <c r="C7428" s="11" t="s">
        <v>1754</v>
      </c>
      <c r="D7428" s="11" t="s">
        <v>28</v>
      </c>
    </row>
    <row r="7429">
      <c r="A7429" s="11">
        <v>7428.0</v>
      </c>
      <c r="B7429" s="12">
        <f t="shared" si="1179"/>
        <v>41102</v>
      </c>
      <c r="C7429" s="11" t="s">
        <v>82</v>
      </c>
      <c r="D7429" s="11" t="s">
        <v>66</v>
      </c>
    </row>
    <row r="7430">
      <c r="A7430" s="11">
        <v>7429.0</v>
      </c>
      <c r="B7430" s="12">
        <f t="shared" si="1179"/>
        <v>41102</v>
      </c>
      <c r="C7430" s="11" t="s">
        <v>2271</v>
      </c>
      <c r="D7430" s="11" t="s">
        <v>28</v>
      </c>
    </row>
    <row r="7431">
      <c r="A7431" s="11">
        <v>7430.0</v>
      </c>
      <c r="B7431" s="12">
        <f t="shared" ref="B7431:B7437" si="1180">DATE(2012,12,31)-171</f>
        <v>41103</v>
      </c>
      <c r="C7431" s="11" t="s">
        <v>2105</v>
      </c>
      <c r="D7431" s="11" t="s">
        <v>28</v>
      </c>
    </row>
    <row r="7432">
      <c r="A7432" s="11">
        <v>7431.0</v>
      </c>
      <c r="B7432" s="12">
        <f t="shared" si="1180"/>
        <v>41103</v>
      </c>
      <c r="C7432" s="11" t="s">
        <v>2105</v>
      </c>
      <c r="D7432" s="11" t="s">
        <v>66</v>
      </c>
    </row>
    <row r="7433">
      <c r="A7433" s="11">
        <v>7432.0</v>
      </c>
      <c r="B7433" s="12">
        <f t="shared" si="1180"/>
        <v>41103</v>
      </c>
      <c r="C7433" s="11" t="s">
        <v>1472</v>
      </c>
      <c r="D7433" s="11" t="s">
        <v>28</v>
      </c>
    </row>
    <row r="7434">
      <c r="A7434" s="11">
        <v>7433.0</v>
      </c>
      <c r="B7434" s="12">
        <f t="shared" si="1180"/>
        <v>41103</v>
      </c>
      <c r="C7434" s="11" t="s">
        <v>514</v>
      </c>
      <c r="D7434" s="11" t="s">
        <v>28</v>
      </c>
    </row>
    <row r="7435">
      <c r="A7435" s="11">
        <v>7434.0</v>
      </c>
      <c r="B7435" s="12">
        <f t="shared" si="1180"/>
        <v>41103</v>
      </c>
      <c r="C7435" s="11" t="s">
        <v>1231</v>
      </c>
      <c r="D7435" s="11" t="s">
        <v>66</v>
      </c>
    </row>
    <row r="7436">
      <c r="A7436" s="11">
        <v>7435.0</v>
      </c>
      <c r="B7436" s="12">
        <f t="shared" si="1180"/>
        <v>41103</v>
      </c>
      <c r="C7436" s="11" t="s">
        <v>1231</v>
      </c>
      <c r="D7436" s="11" t="s">
        <v>49</v>
      </c>
    </row>
    <row r="7437">
      <c r="A7437" s="11">
        <v>7436.0</v>
      </c>
      <c r="B7437" s="12">
        <f t="shared" si="1180"/>
        <v>41103</v>
      </c>
      <c r="C7437" s="11" t="s">
        <v>1231</v>
      </c>
      <c r="D7437" s="11" t="s">
        <v>66</v>
      </c>
    </row>
    <row r="7438">
      <c r="A7438" s="11">
        <v>7437.0</v>
      </c>
      <c r="B7438" s="12">
        <f t="shared" ref="B7438:B7440" si="1181">DATE(2012,12,31)-170</f>
        <v>41104</v>
      </c>
      <c r="C7438" s="11" t="s">
        <v>2241</v>
      </c>
      <c r="D7438" s="11" t="s">
        <v>66</v>
      </c>
    </row>
    <row r="7439">
      <c r="A7439" s="11">
        <v>7438.0</v>
      </c>
      <c r="B7439" s="12">
        <f t="shared" si="1181"/>
        <v>41104</v>
      </c>
      <c r="C7439" s="11" t="s">
        <v>1814</v>
      </c>
      <c r="D7439" s="11" t="s">
        <v>28</v>
      </c>
    </row>
    <row r="7440">
      <c r="A7440" s="11">
        <v>7439.0</v>
      </c>
      <c r="B7440" s="12">
        <f t="shared" si="1181"/>
        <v>41104</v>
      </c>
      <c r="C7440" s="11" t="s">
        <v>2392</v>
      </c>
      <c r="D7440" s="11" t="s">
        <v>28</v>
      </c>
    </row>
    <row r="7441">
      <c r="A7441" s="11">
        <v>7440.0</v>
      </c>
      <c r="B7441" s="12">
        <f t="shared" ref="B7441:B7444" si="1182">DATE(2012,12,31)-169</f>
        <v>41105</v>
      </c>
      <c r="C7441" s="11" t="s">
        <v>507</v>
      </c>
      <c r="D7441" s="11" t="s">
        <v>28</v>
      </c>
    </row>
    <row r="7442">
      <c r="A7442" s="11">
        <v>7441.0</v>
      </c>
      <c r="B7442" s="12">
        <f t="shared" si="1182"/>
        <v>41105</v>
      </c>
      <c r="C7442" s="11" t="s">
        <v>507</v>
      </c>
      <c r="D7442" s="11" t="s">
        <v>28</v>
      </c>
    </row>
    <row r="7443">
      <c r="A7443" s="11">
        <v>7442.0</v>
      </c>
      <c r="B7443" s="12">
        <f t="shared" si="1182"/>
        <v>41105</v>
      </c>
      <c r="C7443" s="11" t="s">
        <v>1415</v>
      </c>
      <c r="D7443" s="11" t="s">
        <v>28</v>
      </c>
    </row>
    <row r="7444">
      <c r="A7444" s="11">
        <v>7443.0</v>
      </c>
      <c r="B7444" s="12">
        <f t="shared" si="1182"/>
        <v>41105</v>
      </c>
      <c r="C7444" s="11" t="s">
        <v>1415</v>
      </c>
      <c r="D7444" s="11" t="s">
        <v>49</v>
      </c>
    </row>
    <row r="7445">
      <c r="A7445" s="11">
        <v>7444.0</v>
      </c>
      <c r="B7445" s="12">
        <f t="shared" ref="B7445:B7455" si="1183">DATE(2012,12,31)-168</f>
        <v>41106</v>
      </c>
      <c r="C7445" s="11" t="s">
        <v>942</v>
      </c>
      <c r="D7445" s="11" t="s">
        <v>28</v>
      </c>
    </row>
    <row r="7446">
      <c r="A7446" s="11">
        <v>7445.0</v>
      </c>
      <c r="B7446" s="12">
        <f t="shared" si="1183"/>
        <v>41106</v>
      </c>
      <c r="C7446" s="11" t="s">
        <v>167</v>
      </c>
      <c r="D7446" s="11" t="s">
        <v>66</v>
      </c>
    </row>
    <row r="7447">
      <c r="A7447" s="11">
        <v>7446.0</v>
      </c>
      <c r="B7447" s="12">
        <f t="shared" si="1183"/>
        <v>41106</v>
      </c>
      <c r="C7447" s="11" t="s">
        <v>167</v>
      </c>
      <c r="D7447" s="11" t="s">
        <v>28</v>
      </c>
    </row>
    <row r="7448">
      <c r="A7448" s="11">
        <v>7447.0</v>
      </c>
      <c r="B7448" s="12">
        <f t="shared" si="1183"/>
        <v>41106</v>
      </c>
      <c r="C7448" s="11" t="s">
        <v>167</v>
      </c>
      <c r="D7448" s="11" t="s">
        <v>28</v>
      </c>
    </row>
    <row r="7449">
      <c r="A7449" s="11">
        <v>7448.0</v>
      </c>
      <c r="B7449" s="12">
        <f t="shared" si="1183"/>
        <v>41106</v>
      </c>
      <c r="C7449" s="11" t="s">
        <v>2329</v>
      </c>
      <c r="D7449" s="11" t="s">
        <v>66</v>
      </c>
    </row>
    <row r="7450">
      <c r="A7450" s="11">
        <v>7449.0</v>
      </c>
      <c r="B7450" s="12">
        <f t="shared" si="1183"/>
        <v>41106</v>
      </c>
      <c r="C7450" s="11" t="s">
        <v>803</v>
      </c>
      <c r="D7450" s="11" t="s">
        <v>28</v>
      </c>
    </row>
    <row r="7451">
      <c r="A7451" s="11">
        <v>7450.0</v>
      </c>
      <c r="B7451" s="12">
        <f t="shared" si="1183"/>
        <v>41106</v>
      </c>
      <c r="C7451" s="11" t="s">
        <v>803</v>
      </c>
      <c r="D7451" s="11" t="s">
        <v>28</v>
      </c>
    </row>
    <row r="7452">
      <c r="A7452" s="11">
        <v>7451.0</v>
      </c>
      <c r="B7452" s="12">
        <f t="shared" si="1183"/>
        <v>41106</v>
      </c>
      <c r="C7452" s="11" t="s">
        <v>793</v>
      </c>
      <c r="D7452" s="11" t="s">
        <v>49</v>
      </c>
    </row>
    <row r="7453">
      <c r="A7453" s="11">
        <v>7452.0</v>
      </c>
      <c r="B7453" s="12">
        <f t="shared" si="1183"/>
        <v>41106</v>
      </c>
      <c r="C7453" s="11" t="s">
        <v>1277</v>
      </c>
      <c r="D7453" s="11" t="s">
        <v>66</v>
      </c>
    </row>
    <row r="7454">
      <c r="A7454" s="11">
        <v>7453.0</v>
      </c>
      <c r="B7454" s="12">
        <f t="shared" si="1183"/>
        <v>41106</v>
      </c>
      <c r="C7454" s="11" t="s">
        <v>1277</v>
      </c>
      <c r="D7454" s="11" t="s">
        <v>28</v>
      </c>
    </row>
    <row r="7455">
      <c r="A7455" s="11">
        <v>7454.0</v>
      </c>
      <c r="B7455" s="12">
        <f t="shared" si="1183"/>
        <v>41106</v>
      </c>
      <c r="C7455" s="11" t="s">
        <v>1982</v>
      </c>
      <c r="D7455" s="11" t="s">
        <v>28</v>
      </c>
    </row>
    <row r="7456">
      <c r="A7456" s="11">
        <v>7455.0</v>
      </c>
      <c r="B7456" s="12">
        <f t="shared" ref="B7456:B7461" si="1184">DATE(2012,12,31)-167</f>
        <v>41107</v>
      </c>
      <c r="C7456" s="11" t="s">
        <v>235</v>
      </c>
      <c r="D7456" s="11" t="s">
        <v>66</v>
      </c>
    </row>
    <row r="7457">
      <c r="A7457" s="11">
        <v>7456.0</v>
      </c>
      <c r="B7457" s="12">
        <f t="shared" si="1184"/>
        <v>41107</v>
      </c>
      <c r="C7457" s="11" t="s">
        <v>2127</v>
      </c>
      <c r="D7457" s="11" t="s">
        <v>28</v>
      </c>
    </row>
    <row r="7458">
      <c r="A7458" s="11">
        <v>7457.0</v>
      </c>
      <c r="B7458" s="12">
        <f t="shared" si="1184"/>
        <v>41107</v>
      </c>
      <c r="C7458" s="11" t="s">
        <v>2116</v>
      </c>
      <c r="D7458" s="11" t="s">
        <v>66</v>
      </c>
    </row>
    <row r="7459">
      <c r="A7459" s="11">
        <v>7458.0</v>
      </c>
      <c r="B7459" s="12">
        <f t="shared" si="1184"/>
        <v>41107</v>
      </c>
      <c r="C7459" s="11" t="s">
        <v>2116</v>
      </c>
      <c r="D7459" s="11" t="s">
        <v>28</v>
      </c>
    </row>
    <row r="7460">
      <c r="A7460" s="11">
        <v>7459.0</v>
      </c>
      <c r="B7460" s="12">
        <f t="shared" si="1184"/>
        <v>41107</v>
      </c>
      <c r="C7460" s="11" t="s">
        <v>2116</v>
      </c>
      <c r="D7460" s="11" t="s">
        <v>28</v>
      </c>
    </row>
    <row r="7461">
      <c r="A7461" s="11">
        <v>7460.0</v>
      </c>
      <c r="B7461" s="12">
        <f t="shared" si="1184"/>
        <v>41107</v>
      </c>
      <c r="C7461" s="11" t="s">
        <v>320</v>
      </c>
      <c r="D7461" s="11" t="s">
        <v>28</v>
      </c>
    </row>
    <row r="7462">
      <c r="A7462" s="11">
        <v>7461.0</v>
      </c>
      <c r="B7462" s="12">
        <f t="shared" ref="B7462:B7463" si="1185">DATE(2012,12,31)-166</f>
        <v>41108</v>
      </c>
      <c r="C7462" s="11" t="s">
        <v>1578</v>
      </c>
      <c r="D7462" s="11" t="s">
        <v>49</v>
      </c>
    </row>
    <row r="7463">
      <c r="A7463" s="11">
        <v>7462.0</v>
      </c>
      <c r="B7463" s="12">
        <f t="shared" si="1185"/>
        <v>41108</v>
      </c>
      <c r="C7463" s="11" t="s">
        <v>1130</v>
      </c>
      <c r="D7463" s="11" t="s">
        <v>28</v>
      </c>
    </row>
    <row r="7464">
      <c r="A7464" s="11">
        <v>7463.0</v>
      </c>
      <c r="B7464" s="12">
        <f t="shared" ref="B7464:B7469" si="1186">DATE(2012,12,31)-165</f>
        <v>41109</v>
      </c>
      <c r="C7464" s="11" t="s">
        <v>1831</v>
      </c>
      <c r="D7464" s="11" t="s">
        <v>66</v>
      </c>
    </row>
    <row r="7465">
      <c r="A7465" s="11">
        <v>7464.0</v>
      </c>
      <c r="B7465" s="12">
        <f t="shared" si="1186"/>
        <v>41109</v>
      </c>
      <c r="C7465" s="11" t="s">
        <v>1507</v>
      </c>
      <c r="D7465" s="11" t="s">
        <v>49</v>
      </c>
    </row>
    <row r="7466">
      <c r="A7466" s="11">
        <v>7465.0</v>
      </c>
      <c r="B7466" s="12">
        <f t="shared" si="1186"/>
        <v>41109</v>
      </c>
      <c r="C7466" s="11" t="s">
        <v>1507</v>
      </c>
      <c r="D7466" s="11" t="s">
        <v>28</v>
      </c>
    </row>
    <row r="7467">
      <c r="A7467" s="11">
        <v>7466.0</v>
      </c>
      <c r="B7467" s="12">
        <f t="shared" si="1186"/>
        <v>41109</v>
      </c>
      <c r="C7467" s="11" t="s">
        <v>1572</v>
      </c>
      <c r="D7467" s="11" t="s">
        <v>28</v>
      </c>
    </row>
    <row r="7468">
      <c r="A7468" s="11">
        <v>7467.0</v>
      </c>
      <c r="B7468" s="12">
        <f t="shared" si="1186"/>
        <v>41109</v>
      </c>
      <c r="C7468" s="11" t="s">
        <v>1572</v>
      </c>
      <c r="D7468" s="11" t="s">
        <v>28</v>
      </c>
    </row>
    <row r="7469">
      <c r="A7469" s="11">
        <v>7468.0</v>
      </c>
      <c r="B7469" s="12">
        <f t="shared" si="1186"/>
        <v>41109</v>
      </c>
      <c r="C7469" s="11" t="s">
        <v>1061</v>
      </c>
      <c r="D7469" s="11" t="s">
        <v>28</v>
      </c>
    </row>
    <row r="7470">
      <c r="A7470" s="11">
        <v>7469.0</v>
      </c>
      <c r="B7470" s="12">
        <f t="shared" ref="B7470:B7474" si="1187">DATE(2012,12,31)-164</f>
        <v>41110</v>
      </c>
      <c r="C7470" s="11" t="s">
        <v>581</v>
      </c>
      <c r="D7470" s="11" t="s">
        <v>28</v>
      </c>
    </row>
    <row r="7471">
      <c r="A7471" s="11">
        <v>7470.0</v>
      </c>
      <c r="B7471" s="12">
        <f t="shared" si="1187"/>
        <v>41110</v>
      </c>
      <c r="C7471" s="11" t="s">
        <v>581</v>
      </c>
      <c r="D7471" s="11" t="s">
        <v>49</v>
      </c>
    </row>
    <row r="7472">
      <c r="A7472" s="11">
        <v>7471.0</v>
      </c>
      <c r="B7472" s="12">
        <f t="shared" si="1187"/>
        <v>41110</v>
      </c>
      <c r="C7472" s="11" t="s">
        <v>1094</v>
      </c>
      <c r="D7472" s="11" t="s">
        <v>28</v>
      </c>
    </row>
    <row r="7473">
      <c r="A7473" s="11">
        <v>7472.0</v>
      </c>
      <c r="B7473" s="12">
        <f t="shared" si="1187"/>
        <v>41110</v>
      </c>
      <c r="C7473" s="11" t="s">
        <v>1094</v>
      </c>
      <c r="D7473" s="11" t="s">
        <v>49</v>
      </c>
    </row>
    <row r="7474">
      <c r="A7474" s="11">
        <v>7473.0</v>
      </c>
      <c r="B7474" s="12">
        <f t="shared" si="1187"/>
        <v>41110</v>
      </c>
      <c r="C7474" s="11" t="s">
        <v>1094</v>
      </c>
      <c r="D7474" s="11" t="s">
        <v>28</v>
      </c>
    </row>
    <row r="7475">
      <c r="A7475" s="11">
        <v>7474.0</v>
      </c>
      <c r="B7475" s="12">
        <f t="shared" ref="B7475:B7489" si="1188">DATE(2012,12,31)-163</f>
        <v>41111</v>
      </c>
      <c r="C7475" s="11" t="s">
        <v>1017</v>
      </c>
      <c r="D7475" s="11" t="s">
        <v>28</v>
      </c>
    </row>
    <row r="7476">
      <c r="A7476" s="11">
        <v>7475.0</v>
      </c>
      <c r="B7476" s="12">
        <f t="shared" si="1188"/>
        <v>41111</v>
      </c>
      <c r="C7476" s="11" t="s">
        <v>1017</v>
      </c>
      <c r="D7476" s="11" t="s">
        <v>28</v>
      </c>
    </row>
    <row r="7477">
      <c r="A7477" s="11">
        <v>7476.0</v>
      </c>
      <c r="B7477" s="12">
        <f t="shared" si="1188"/>
        <v>41111</v>
      </c>
      <c r="C7477" s="11" t="s">
        <v>1165</v>
      </c>
      <c r="D7477" s="11" t="s">
        <v>28</v>
      </c>
    </row>
    <row r="7478">
      <c r="A7478" s="11">
        <v>7477.0</v>
      </c>
      <c r="B7478" s="12">
        <f t="shared" si="1188"/>
        <v>41111</v>
      </c>
      <c r="C7478" s="11" t="s">
        <v>2224</v>
      </c>
      <c r="D7478" s="11" t="s">
        <v>49</v>
      </c>
    </row>
    <row r="7479">
      <c r="A7479" s="11">
        <v>7478.0</v>
      </c>
      <c r="B7479" s="12">
        <f t="shared" si="1188"/>
        <v>41111</v>
      </c>
      <c r="C7479" s="11" t="s">
        <v>2224</v>
      </c>
      <c r="D7479" s="11" t="s">
        <v>28</v>
      </c>
    </row>
    <row r="7480">
      <c r="A7480" s="11">
        <v>7479.0</v>
      </c>
      <c r="B7480" s="12">
        <f t="shared" si="1188"/>
        <v>41111</v>
      </c>
      <c r="C7480" s="11" t="s">
        <v>2000</v>
      </c>
      <c r="D7480" s="11" t="s">
        <v>66</v>
      </c>
    </row>
    <row r="7481">
      <c r="A7481" s="11">
        <v>7480.0</v>
      </c>
      <c r="B7481" s="12">
        <f t="shared" si="1188"/>
        <v>41111</v>
      </c>
      <c r="C7481" s="11" t="s">
        <v>786</v>
      </c>
      <c r="D7481" s="11" t="s">
        <v>49</v>
      </c>
    </row>
    <row r="7482">
      <c r="A7482" s="11">
        <v>7481.0</v>
      </c>
      <c r="B7482" s="12">
        <f t="shared" si="1188"/>
        <v>41111</v>
      </c>
      <c r="C7482" s="11" t="s">
        <v>1685</v>
      </c>
      <c r="D7482" s="11" t="s">
        <v>66</v>
      </c>
    </row>
    <row r="7483">
      <c r="A7483" s="11">
        <v>7482.0</v>
      </c>
      <c r="B7483" s="12">
        <f t="shared" si="1188"/>
        <v>41111</v>
      </c>
      <c r="C7483" s="11" t="s">
        <v>1685</v>
      </c>
      <c r="D7483" s="11" t="s">
        <v>49</v>
      </c>
    </row>
    <row r="7484">
      <c r="A7484" s="11">
        <v>7483.0</v>
      </c>
      <c r="B7484" s="12">
        <f t="shared" si="1188"/>
        <v>41111</v>
      </c>
      <c r="C7484" s="11" t="s">
        <v>2541</v>
      </c>
      <c r="D7484" s="11" t="s">
        <v>49</v>
      </c>
    </row>
    <row r="7485">
      <c r="A7485" s="11">
        <v>7484.0</v>
      </c>
      <c r="B7485" s="12">
        <f t="shared" si="1188"/>
        <v>41111</v>
      </c>
      <c r="C7485" s="11" t="s">
        <v>1536</v>
      </c>
      <c r="D7485" s="11" t="s">
        <v>49</v>
      </c>
    </row>
    <row r="7486">
      <c r="A7486" s="11">
        <v>7485.0</v>
      </c>
      <c r="B7486" s="12">
        <f t="shared" si="1188"/>
        <v>41111</v>
      </c>
      <c r="C7486" s="11" t="s">
        <v>1536</v>
      </c>
      <c r="D7486" s="11" t="s">
        <v>28</v>
      </c>
    </row>
    <row r="7487">
      <c r="A7487" s="11">
        <v>7486.0</v>
      </c>
      <c r="B7487" s="12">
        <f t="shared" si="1188"/>
        <v>41111</v>
      </c>
      <c r="C7487" s="11" t="s">
        <v>1355</v>
      </c>
      <c r="D7487" s="11" t="s">
        <v>28</v>
      </c>
    </row>
    <row r="7488">
      <c r="A7488" s="11">
        <v>7487.0</v>
      </c>
      <c r="B7488" s="12">
        <f t="shared" si="1188"/>
        <v>41111</v>
      </c>
      <c r="C7488" s="11" t="s">
        <v>2495</v>
      </c>
      <c r="D7488" s="11" t="s">
        <v>66</v>
      </c>
    </row>
    <row r="7489">
      <c r="A7489" s="11">
        <v>7488.0</v>
      </c>
      <c r="B7489" s="12">
        <f t="shared" si="1188"/>
        <v>41111</v>
      </c>
      <c r="C7489" s="11" t="s">
        <v>2495</v>
      </c>
      <c r="D7489" s="11" t="s">
        <v>28</v>
      </c>
    </row>
    <row r="7490">
      <c r="A7490" s="11">
        <v>7489.0</v>
      </c>
      <c r="B7490" s="12">
        <f t="shared" ref="B7490:B7492" si="1189">DATE(2012,12,31)-162</f>
        <v>41112</v>
      </c>
      <c r="C7490" s="11" t="s">
        <v>1715</v>
      </c>
      <c r="D7490" s="11" t="s">
        <v>28</v>
      </c>
    </row>
    <row r="7491">
      <c r="A7491" s="11">
        <v>7490.0</v>
      </c>
      <c r="B7491" s="12">
        <f t="shared" si="1189"/>
        <v>41112</v>
      </c>
      <c r="C7491" s="11" t="s">
        <v>2026</v>
      </c>
      <c r="D7491" s="11" t="s">
        <v>28</v>
      </c>
    </row>
    <row r="7492">
      <c r="A7492" s="11">
        <v>7491.0</v>
      </c>
      <c r="B7492" s="12">
        <f t="shared" si="1189"/>
        <v>41112</v>
      </c>
      <c r="C7492" s="11" t="s">
        <v>2016</v>
      </c>
      <c r="D7492" s="11" t="s">
        <v>28</v>
      </c>
    </row>
    <row r="7493">
      <c r="A7493" s="11">
        <v>7492.0</v>
      </c>
      <c r="B7493" s="12">
        <f t="shared" ref="B7493:B7494" si="1190">DATE(2012,12,31)-161</f>
        <v>41113</v>
      </c>
      <c r="C7493" s="11" t="s">
        <v>2603</v>
      </c>
      <c r="D7493" s="11" t="s">
        <v>28</v>
      </c>
    </row>
    <row r="7494">
      <c r="A7494" s="11">
        <v>7493.0</v>
      </c>
      <c r="B7494" s="12">
        <f t="shared" si="1190"/>
        <v>41113</v>
      </c>
      <c r="C7494" s="11" t="s">
        <v>2281</v>
      </c>
      <c r="D7494" s="11" t="s">
        <v>49</v>
      </c>
    </row>
    <row r="7495">
      <c r="A7495" s="11">
        <v>7494.0</v>
      </c>
      <c r="B7495" s="12">
        <f>DATE(2012,12,31)-160</f>
        <v>41114</v>
      </c>
      <c r="C7495" s="11" t="s">
        <v>196</v>
      </c>
      <c r="D7495" s="11" t="s">
        <v>28</v>
      </c>
    </row>
    <row r="7496">
      <c r="A7496" s="11">
        <v>7495.0</v>
      </c>
      <c r="B7496" s="12">
        <f t="shared" ref="B7496:B7499" si="1191">DATE(2012,12,31)-159</f>
        <v>41115</v>
      </c>
      <c r="C7496" s="11" t="s">
        <v>953</v>
      </c>
      <c r="D7496" s="11" t="s">
        <v>66</v>
      </c>
    </row>
    <row r="7497">
      <c r="A7497" s="11">
        <v>7496.0</v>
      </c>
      <c r="B7497" s="12">
        <f t="shared" si="1191"/>
        <v>41115</v>
      </c>
      <c r="C7497" s="11" t="s">
        <v>1039</v>
      </c>
      <c r="D7497" s="11" t="s">
        <v>49</v>
      </c>
    </row>
    <row r="7498">
      <c r="A7498" s="11">
        <v>7497.0</v>
      </c>
      <c r="B7498" s="12">
        <f t="shared" si="1191"/>
        <v>41115</v>
      </c>
      <c r="C7498" s="11" t="s">
        <v>1039</v>
      </c>
      <c r="D7498" s="11" t="s">
        <v>49</v>
      </c>
    </row>
    <row r="7499">
      <c r="A7499" s="11">
        <v>7498.0</v>
      </c>
      <c r="B7499" s="12">
        <f t="shared" si="1191"/>
        <v>41115</v>
      </c>
      <c r="C7499" s="11" t="s">
        <v>2000</v>
      </c>
      <c r="D7499" s="11" t="s">
        <v>28</v>
      </c>
    </row>
    <row r="7500">
      <c r="A7500" s="11">
        <v>7499.0</v>
      </c>
      <c r="B7500" s="12">
        <f t="shared" ref="B7500:B7503" si="1192">DATE(2012,12,31)-158</f>
        <v>41116</v>
      </c>
      <c r="C7500" s="11" t="s">
        <v>2360</v>
      </c>
      <c r="D7500" s="11" t="s">
        <v>49</v>
      </c>
    </row>
    <row r="7501">
      <c r="A7501" s="11">
        <v>7500.0</v>
      </c>
      <c r="B7501" s="12">
        <f t="shared" si="1192"/>
        <v>41116</v>
      </c>
      <c r="C7501" s="11" t="s">
        <v>2360</v>
      </c>
      <c r="D7501" s="11" t="s">
        <v>28</v>
      </c>
    </row>
    <row r="7502">
      <c r="A7502" s="11">
        <v>7501.0</v>
      </c>
      <c r="B7502" s="12">
        <f t="shared" si="1192"/>
        <v>41116</v>
      </c>
      <c r="C7502" s="11" t="s">
        <v>1744</v>
      </c>
      <c r="D7502" s="11" t="s">
        <v>28</v>
      </c>
    </row>
    <row r="7503">
      <c r="A7503" s="11">
        <v>7502.0</v>
      </c>
      <c r="B7503" s="12">
        <f t="shared" si="1192"/>
        <v>41116</v>
      </c>
      <c r="C7503" s="11" t="s">
        <v>200</v>
      </c>
      <c r="D7503" s="11" t="s">
        <v>66</v>
      </c>
    </row>
    <row r="7504">
      <c r="A7504" s="11">
        <v>7503.0</v>
      </c>
      <c r="B7504" s="12">
        <f t="shared" ref="B7504:B7507" si="1193">DATE(2012,12,31)-157</f>
        <v>41117</v>
      </c>
      <c r="C7504" s="11" t="s">
        <v>1058</v>
      </c>
      <c r="D7504" s="11" t="s">
        <v>49</v>
      </c>
    </row>
    <row r="7505">
      <c r="A7505" s="11">
        <v>7504.0</v>
      </c>
      <c r="B7505" s="12">
        <f t="shared" si="1193"/>
        <v>41117</v>
      </c>
      <c r="C7505" s="11" t="s">
        <v>2545</v>
      </c>
      <c r="D7505" s="11" t="s">
        <v>66</v>
      </c>
    </row>
    <row r="7506">
      <c r="A7506" s="11">
        <v>7505.0</v>
      </c>
      <c r="B7506" s="12">
        <f t="shared" si="1193"/>
        <v>41117</v>
      </c>
      <c r="C7506" s="11" t="s">
        <v>1303</v>
      </c>
      <c r="D7506" s="11" t="s">
        <v>49</v>
      </c>
    </row>
    <row r="7507">
      <c r="A7507" s="11">
        <v>7506.0</v>
      </c>
      <c r="B7507" s="12">
        <f t="shared" si="1193"/>
        <v>41117</v>
      </c>
      <c r="C7507" s="11" t="s">
        <v>1303</v>
      </c>
      <c r="D7507" s="11" t="s">
        <v>49</v>
      </c>
    </row>
    <row r="7508">
      <c r="A7508" s="11">
        <v>7507.0</v>
      </c>
      <c r="B7508" s="12">
        <f t="shared" ref="B7508:B7513" si="1194">DATE(2012,12,31)-156</f>
        <v>41118</v>
      </c>
      <c r="C7508" s="11" t="s">
        <v>113</v>
      </c>
      <c r="D7508" s="11" t="s">
        <v>28</v>
      </c>
    </row>
    <row r="7509">
      <c r="A7509" s="11">
        <v>7508.0</v>
      </c>
      <c r="B7509" s="12">
        <f t="shared" si="1194"/>
        <v>41118</v>
      </c>
      <c r="C7509" s="11" t="s">
        <v>113</v>
      </c>
      <c r="D7509" s="11" t="s">
        <v>66</v>
      </c>
    </row>
    <row r="7510">
      <c r="A7510" s="11">
        <v>7509.0</v>
      </c>
      <c r="B7510" s="12">
        <f t="shared" si="1194"/>
        <v>41118</v>
      </c>
      <c r="C7510" s="11" t="s">
        <v>243</v>
      </c>
      <c r="D7510" s="11" t="s">
        <v>66</v>
      </c>
    </row>
    <row r="7511">
      <c r="A7511" s="11">
        <v>7510.0</v>
      </c>
      <c r="B7511" s="12">
        <f t="shared" si="1194"/>
        <v>41118</v>
      </c>
      <c r="C7511" s="11" t="s">
        <v>243</v>
      </c>
      <c r="D7511" s="11" t="s">
        <v>28</v>
      </c>
    </row>
    <row r="7512">
      <c r="A7512" s="11">
        <v>7511.0</v>
      </c>
      <c r="B7512" s="12">
        <f t="shared" si="1194"/>
        <v>41118</v>
      </c>
      <c r="C7512" s="11" t="s">
        <v>1482</v>
      </c>
      <c r="D7512" s="11" t="s">
        <v>49</v>
      </c>
    </row>
    <row r="7513">
      <c r="A7513" s="11">
        <v>7512.0</v>
      </c>
      <c r="B7513" s="12">
        <f t="shared" si="1194"/>
        <v>41118</v>
      </c>
      <c r="C7513" s="11" t="s">
        <v>219</v>
      </c>
      <c r="D7513" s="11" t="s">
        <v>49</v>
      </c>
    </row>
    <row r="7514">
      <c r="A7514" s="11">
        <v>7513.0</v>
      </c>
      <c r="B7514" s="12">
        <f t="shared" ref="B7514:B7525" si="1195">DATE(2012,12,31)-155</f>
        <v>41119</v>
      </c>
      <c r="C7514" s="11" t="s">
        <v>2016</v>
      </c>
      <c r="D7514" s="11" t="s">
        <v>28</v>
      </c>
    </row>
    <row r="7515">
      <c r="A7515" s="11">
        <v>7514.0</v>
      </c>
      <c r="B7515" s="12">
        <f t="shared" si="1195"/>
        <v>41119</v>
      </c>
      <c r="C7515" s="11" t="s">
        <v>2016</v>
      </c>
      <c r="D7515" s="11" t="s">
        <v>28</v>
      </c>
    </row>
    <row r="7516">
      <c r="A7516" s="11">
        <v>7515.0</v>
      </c>
      <c r="B7516" s="12">
        <f t="shared" si="1195"/>
        <v>41119</v>
      </c>
      <c r="C7516" s="11" t="s">
        <v>1130</v>
      </c>
      <c r="D7516" s="11" t="s">
        <v>28</v>
      </c>
    </row>
    <row r="7517">
      <c r="A7517" s="11">
        <v>7516.0</v>
      </c>
      <c r="B7517" s="12">
        <f t="shared" si="1195"/>
        <v>41119</v>
      </c>
      <c r="C7517" s="11" t="s">
        <v>1277</v>
      </c>
      <c r="D7517" s="11" t="s">
        <v>28</v>
      </c>
    </row>
    <row r="7518">
      <c r="A7518" s="11">
        <v>7517.0</v>
      </c>
      <c r="B7518" s="12">
        <f t="shared" si="1195"/>
        <v>41119</v>
      </c>
      <c r="C7518" s="11" t="s">
        <v>1277</v>
      </c>
      <c r="D7518" s="11" t="s">
        <v>28</v>
      </c>
    </row>
    <row r="7519">
      <c r="A7519" s="11">
        <v>7518.0</v>
      </c>
      <c r="B7519" s="12">
        <f t="shared" si="1195"/>
        <v>41119</v>
      </c>
      <c r="C7519" s="11" t="s">
        <v>2434</v>
      </c>
      <c r="D7519" s="11" t="s">
        <v>28</v>
      </c>
    </row>
    <row r="7520">
      <c r="A7520" s="11">
        <v>7519.0</v>
      </c>
      <c r="B7520" s="12">
        <f t="shared" si="1195"/>
        <v>41119</v>
      </c>
      <c r="C7520" s="11" t="s">
        <v>756</v>
      </c>
      <c r="D7520" s="11" t="s">
        <v>66</v>
      </c>
    </row>
    <row r="7521">
      <c r="A7521" s="11">
        <v>7520.0</v>
      </c>
      <c r="B7521" s="12">
        <f t="shared" si="1195"/>
        <v>41119</v>
      </c>
      <c r="C7521" s="11" t="s">
        <v>756</v>
      </c>
      <c r="D7521" s="11" t="s">
        <v>66</v>
      </c>
    </row>
    <row r="7522">
      <c r="A7522" s="11">
        <v>7521.0</v>
      </c>
      <c r="B7522" s="12">
        <f t="shared" si="1195"/>
        <v>41119</v>
      </c>
      <c r="C7522" s="11" t="s">
        <v>2017</v>
      </c>
      <c r="D7522" s="11" t="s">
        <v>49</v>
      </c>
    </row>
    <row r="7523">
      <c r="A7523" s="11">
        <v>7522.0</v>
      </c>
      <c r="B7523" s="12">
        <f t="shared" si="1195"/>
        <v>41119</v>
      </c>
      <c r="C7523" s="11" t="s">
        <v>1008</v>
      </c>
      <c r="D7523" s="11" t="s">
        <v>28</v>
      </c>
    </row>
    <row r="7524">
      <c r="A7524" s="11">
        <v>7523.0</v>
      </c>
      <c r="B7524" s="12">
        <f t="shared" si="1195"/>
        <v>41119</v>
      </c>
      <c r="C7524" s="11" t="s">
        <v>2524</v>
      </c>
      <c r="D7524" s="11" t="s">
        <v>28</v>
      </c>
    </row>
    <row r="7525">
      <c r="A7525" s="11">
        <v>7524.0</v>
      </c>
      <c r="B7525" s="12">
        <f t="shared" si="1195"/>
        <v>41119</v>
      </c>
      <c r="C7525" s="11" t="s">
        <v>2524</v>
      </c>
      <c r="D7525" s="11" t="s">
        <v>49</v>
      </c>
    </row>
    <row r="7526">
      <c r="A7526" s="11">
        <v>7525.0</v>
      </c>
      <c r="B7526" s="12">
        <f t="shared" ref="B7526:B7529" si="1196">DATE(2012,12,31)-154</f>
        <v>41120</v>
      </c>
      <c r="C7526" s="11" t="s">
        <v>1524</v>
      </c>
      <c r="D7526" s="11" t="s">
        <v>28</v>
      </c>
    </row>
    <row r="7527">
      <c r="A7527" s="11">
        <v>7526.0</v>
      </c>
      <c r="B7527" s="12">
        <f t="shared" si="1196"/>
        <v>41120</v>
      </c>
      <c r="C7527" s="11" t="s">
        <v>398</v>
      </c>
      <c r="D7527" s="11" t="s">
        <v>28</v>
      </c>
    </row>
    <row r="7528">
      <c r="A7528" s="11">
        <v>7527.0</v>
      </c>
      <c r="B7528" s="12">
        <f t="shared" si="1196"/>
        <v>41120</v>
      </c>
      <c r="C7528" s="11" t="s">
        <v>398</v>
      </c>
      <c r="D7528" s="11" t="s">
        <v>28</v>
      </c>
    </row>
    <row r="7529">
      <c r="A7529" s="11">
        <v>7528.0</v>
      </c>
      <c r="B7529" s="12">
        <f t="shared" si="1196"/>
        <v>41120</v>
      </c>
      <c r="C7529" s="11" t="s">
        <v>1470</v>
      </c>
      <c r="D7529" s="11" t="s">
        <v>66</v>
      </c>
    </row>
    <row r="7530">
      <c r="A7530" s="11">
        <v>7529.0</v>
      </c>
      <c r="B7530" s="12">
        <f t="shared" ref="B7530:B7535" si="1197">DATE(2012,12,31)-153</f>
        <v>41121</v>
      </c>
      <c r="C7530" s="11" t="s">
        <v>485</v>
      </c>
      <c r="D7530" s="11" t="s">
        <v>66</v>
      </c>
    </row>
    <row r="7531">
      <c r="A7531" s="11">
        <v>7530.0</v>
      </c>
      <c r="B7531" s="12">
        <f t="shared" si="1197"/>
        <v>41121</v>
      </c>
      <c r="C7531" s="11" t="s">
        <v>485</v>
      </c>
      <c r="D7531" s="11" t="s">
        <v>28</v>
      </c>
    </row>
    <row r="7532">
      <c r="A7532" s="11">
        <v>7531.0</v>
      </c>
      <c r="B7532" s="12">
        <f t="shared" si="1197"/>
        <v>41121</v>
      </c>
      <c r="C7532" s="11" t="s">
        <v>485</v>
      </c>
      <c r="D7532" s="11" t="s">
        <v>28</v>
      </c>
    </row>
    <row r="7533">
      <c r="A7533" s="11">
        <v>7532.0</v>
      </c>
      <c r="B7533" s="12">
        <f t="shared" si="1197"/>
        <v>41121</v>
      </c>
      <c r="C7533" s="11" t="s">
        <v>2441</v>
      </c>
      <c r="D7533" s="11" t="s">
        <v>49</v>
      </c>
    </row>
    <row r="7534">
      <c r="A7534" s="11">
        <v>7533.0</v>
      </c>
      <c r="B7534" s="12">
        <f t="shared" si="1197"/>
        <v>41121</v>
      </c>
      <c r="C7534" s="11" t="s">
        <v>1935</v>
      </c>
      <c r="D7534" s="11" t="s">
        <v>28</v>
      </c>
    </row>
    <row r="7535">
      <c r="A7535" s="11">
        <v>7534.0</v>
      </c>
      <c r="B7535" s="12">
        <f t="shared" si="1197"/>
        <v>41121</v>
      </c>
      <c r="C7535" s="11" t="s">
        <v>1935</v>
      </c>
      <c r="D7535" s="11" t="s">
        <v>49</v>
      </c>
    </row>
    <row r="7536">
      <c r="A7536" s="11">
        <v>7535.0</v>
      </c>
      <c r="B7536" s="12">
        <f t="shared" ref="B7536:B7543" si="1198">DATE(2012,12,31)-152</f>
        <v>41122</v>
      </c>
      <c r="C7536" s="11" t="s">
        <v>1951</v>
      </c>
      <c r="D7536" s="11" t="s">
        <v>66</v>
      </c>
    </row>
    <row r="7537">
      <c r="A7537" s="11">
        <v>7536.0</v>
      </c>
      <c r="B7537" s="12">
        <f t="shared" si="1198"/>
        <v>41122</v>
      </c>
      <c r="C7537" s="11" t="s">
        <v>1825</v>
      </c>
      <c r="D7537" s="11" t="s">
        <v>28</v>
      </c>
    </row>
    <row r="7538">
      <c r="A7538" s="11">
        <v>7537.0</v>
      </c>
      <c r="B7538" s="12">
        <f t="shared" si="1198"/>
        <v>41122</v>
      </c>
      <c r="C7538" s="11" t="s">
        <v>1825</v>
      </c>
      <c r="D7538" s="11" t="s">
        <v>66</v>
      </c>
    </row>
    <row r="7539">
      <c r="A7539" s="11">
        <v>7538.0</v>
      </c>
      <c r="B7539" s="12">
        <f t="shared" si="1198"/>
        <v>41122</v>
      </c>
      <c r="C7539" s="11" t="s">
        <v>1716</v>
      </c>
      <c r="D7539" s="11" t="s">
        <v>49</v>
      </c>
    </row>
    <row r="7540">
      <c r="A7540" s="11">
        <v>7539.0</v>
      </c>
      <c r="B7540" s="12">
        <f t="shared" si="1198"/>
        <v>41122</v>
      </c>
      <c r="C7540" s="11" t="s">
        <v>1716</v>
      </c>
      <c r="D7540" s="11" t="s">
        <v>28</v>
      </c>
    </row>
    <row r="7541">
      <c r="A7541" s="11">
        <v>7540.0</v>
      </c>
      <c r="B7541" s="12">
        <f t="shared" si="1198"/>
        <v>41122</v>
      </c>
      <c r="C7541" s="11" t="s">
        <v>1716</v>
      </c>
      <c r="D7541" s="11" t="s">
        <v>28</v>
      </c>
    </row>
    <row r="7542">
      <c r="A7542" s="11">
        <v>7541.0</v>
      </c>
      <c r="B7542" s="12">
        <f t="shared" si="1198"/>
        <v>41122</v>
      </c>
      <c r="C7542" s="11" t="s">
        <v>1199</v>
      </c>
      <c r="D7542" s="11" t="s">
        <v>66</v>
      </c>
    </row>
    <row r="7543">
      <c r="A7543" s="11">
        <v>7542.0</v>
      </c>
      <c r="B7543" s="12">
        <f t="shared" si="1198"/>
        <v>41122</v>
      </c>
      <c r="C7543" s="11" t="s">
        <v>2478</v>
      </c>
      <c r="D7543" s="11" t="s">
        <v>28</v>
      </c>
    </row>
    <row r="7544">
      <c r="A7544" s="11">
        <v>7543.0</v>
      </c>
      <c r="B7544" s="12">
        <f t="shared" ref="B7544:B7547" si="1199">DATE(2012,12,31)-151</f>
        <v>41123</v>
      </c>
      <c r="C7544" s="11" t="s">
        <v>2084</v>
      </c>
      <c r="D7544" s="11" t="s">
        <v>49</v>
      </c>
    </row>
    <row r="7545">
      <c r="A7545" s="11">
        <v>7544.0</v>
      </c>
      <c r="B7545" s="12">
        <f t="shared" si="1199"/>
        <v>41123</v>
      </c>
      <c r="C7545" s="11" t="s">
        <v>2084</v>
      </c>
      <c r="D7545" s="11" t="s">
        <v>49</v>
      </c>
    </row>
    <row r="7546">
      <c r="A7546" s="11">
        <v>7545.0</v>
      </c>
      <c r="B7546" s="12">
        <f t="shared" si="1199"/>
        <v>41123</v>
      </c>
      <c r="C7546" s="11" t="s">
        <v>2084</v>
      </c>
      <c r="D7546" s="11" t="s">
        <v>49</v>
      </c>
    </row>
    <row r="7547">
      <c r="A7547" s="11">
        <v>7546.0</v>
      </c>
      <c r="B7547" s="12">
        <f t="shared" si="1199"/>
        <v>41123</v>
      </c>
      <c r="C7547" s="11" t="s">
        <v>2131</v>
      </c>
      <c r="D7547" s="11" t="s">
        <v>66</v>
      </c>
    </row>
    <row r="7548">
      <c r="A7548" s="11">
        <v>7547.0</v>
      </c>
      <c r="B7548" s="12">
        <f t="shared" ref="B7548:B7549" si="1200">DATE(2012,12,31)-150</f>
        <v>41124</v>
      </c>
      <c r="C7548" s="11" t="s">
        <v>2205</v>
      </c>
      <c r="D7548" s="11" t="s">
        <v>28</v>
      </c>
    </row>
    <row r="7549">
      <c r="A7549" s="11">
        <v>7548.0</v>
      </c>
      <c r="B7549" s="12">
        <f t="shared" si="1200"/>
        <v>41124</v>
      </c>
      <c r="C7549" s="11" t="s">
        <v>1401</v>
      </c>
      <c r="D7549" s="11" t="s">
        <v>28</v>
      </c>
    </row>
    <row r="7550">
      <c r="A7550" s="11">
        <v>7549.0</v>
      </c>
      <c r="B7550" s="12">
        <f t="shared" ref="B7550:B7560" si="1201">DATE(2012,12,31)-149</f>
        <v>41125</v>
      </c>
      <c r="C7550" s="11" t="s">
        <v>1393</v>
      </c>
      <c r="D7550" s="11" t="s">
        <v>28</v>
      </c>
    </row>
    <row r="7551">
      <c r="A7551" s="11">
        <v>7550.0</v>
      </c>
      <c r="B7551" s="12">
        <f t="shared" si="1201"/>
        <v>41125</v>
      </c>
      <c r="C7551" s="11" t="s">
        <v>1827</v>
      </c>
      <c r="D7551" s="11" t="s">
        <v>28</v>
      </c>
    </row>
    <row r="7552">
      <c r="A7552" s="11">
        <v>7551.0</v>
      </c>
      <c r="B7552" s="12">
        <f t="shared" si="1201"/>
        <v>41125</v>
      </c>
      <c r="C7552" s="11" t="s">
        <v>2527</v>
      </c>
      <c r="D7552" s="11" t="s">
        <v>28</v>
      </c>
    </row>
    <row r="7553">
      <c r="A7553" s="11">
        <v>7552.0</v>
      </c>
      <c r="B7553" s="12">
        <f t="shared" si="1201"/>
        <v>41125</v>
      </c>
      <c r="C7553" s="11" t="s">
        <v>2527</v>
      </c>
      <c r="D7553" s="11" t="s">
        <v>66</v>
      </c>
    </row>
    <row r="7554">
      <c r="A7554" s="11">
        <v>7553.0</v>
      </c>
      <c r="B7554" s="12">
        <f t="shared" si="1201"/>
        <v>41125</v>
      </c>
      <c r="C7554" s="11" t="s">
        <v>1975</v>
      </c>
      <c r="D7554" s="11" t="s">
        <v>28</v>
      </c>
    </row>
    <row r="7555">
      <c r="A7555" s="11">
        <v>7554.0</v>
      </c>
      <c r="B7555" s="12">
        <f t="shared" si="1201"/>
        <v>41125</v>
      </c>
      <c r="C7555" s="11" t="s">
        <v>1496</v>
      </c>
      <c r="D7555" s="11" t="s">
        <v>28</v>
      </c>
    </row>
    <row r="7556">
      <c r="A7556" s="11">
        <v>7555.0</v>
      </c>
      <c r="B7556" s="12">
        <f t="shared" si="1201"/>
        <v>41125</v>
      </c>
      <c r="C7556" s="11" t="s">
        <v>1496</v>
      </c>
      <c r="D7556" s="11" t="s">
        <v>49</v>
      </c>
    </row>
    <row r="7557">
      <c r="A7557" s="11">
        <v>7556.0</v>
      </c>
      <c r="B7557" s="12">
        <f t="shared" si="1201"/>
        <v>41125</v>
      </c>
      <c r="C7557" s="11" t="s">
        <v>1496</v>
      </c>
      <c r="D7557" s="11" t="s">
        <v>66</v>
      </c>
    </row>
    <row r="7558">
      <c r="A7558" s="11">
        <v>7557.0</v>
      </c>
      <c r="B7558" s="12">
        <f t="shared" si="1201"/>
        <v>41125</v>
      </c>
      <c r="C7558" s="11" t="s">
        <v>832</v>
      </c>
      <c r="D7558" s="11" t="s">
        <v>28</v>
      </c>
    </row>
    <row r="7559">
      <c r="A7559" s="11">
        <v>7558.0</v>
      </c>
      <c r="B7559" s="12">
        <f t="shared" si="1201"/>
        <v>41125</v>
      </c>
      <c r="C7559" s="11" t="s">
        <v>832</v>
      </c>
      <c r="D7559" s="11" t="s">
        <v>28</v>
      </c>
    </row>
    <row r="7560">
      <c r="A7560" s="11">
        <v>7559.0</v>
      </c>
      <c r="B7560" s="12">
        <f t="shared" si="1201"/>
        <v>41125</v>
      </c>
      <c r="C7560" s="11" t="s">
        <v>1980</v>
      </c>
      <c r="D7560" s="11" t="s">
        <v>49</v>
      </c>
    </row>
    <row r="7561">
      <c r="A7561" s="11">
        <v>7560.0</v>
      </c>
      <c r="B7561" s="12">
        <f t="shared" ref="B7561:B7569" si="1202">DATE(2012,12,31)-148</f>
        <v>41126</v>
      </c>
      <c r="C7561" s="11" t="s">
        <v>2568</v>
      </c>
      <c r="D7561" s="11" t="s">
        <v>28</v>
      </c>
    </row>
    <row r="7562">
      <c r="A7562" s="11">
        <v>7561.0</v>
      </c>
      <c r="B7562" s="12">
        <f t="shared" si="1202"/>
        <v>41126</v>
      </c>
      <c r="C7562" s="11" t="s">
        <v>1684</v>
      </c>
      <c r="D7562" s="11" t="s">
        <v>28</v>
      </c>
    </row>
    <row r="7563">
      <c r="A7563" s="11">
        <v>7562.0</v>
      </c>
      <c r="B7563" s="12">
        <f t="shared" si="1202"/>
        <v>41126</v>
      </c>
      <c r="C7563" s="11" t="s">
        <v>1684</v>
      </c>
      <c r="D7563" s="11" t="s">
        <v>28</v>
      </c>
    </row>
    <row r="7564">
      <c r="A7564" s="11">
        <v>7563.0</v>
      </c>
      <c r="B7564" s="12">
        <f t="shared" si="1202"/>
        <v>41126</v>
      </c>
      <c r="C7564" s="11" t="s">
        <v>1684</v>
      </c>
      <c r="D7564" s="11" t="s">
        <v>49</v>
      </c>
    </row>
    <row r="7565">
      <c r="A7565" s="11">
        <v>7564.0</v>
      </c>
      <c r="B7565" s="12">
        <f t="shared" si="1202"/>
        <v>41126</v>
      </c>
      <c r="C7565" s="11" t="s">
        <v>1560</v>
      </c>
      <c r="D7565" s="11" t="s">
        <v>49</v>
      </c>
    </row>
    <row r="7566">
      <c r="A7566" s="11">
        <v>7565.0</v>
      </c>
      <c r="B7566" s="12">
        <f t="shared" si="1202"/>
        <v>41126</v>
      </c>
      <c r="C7566" s="11" t="s">
        <v>1068</v>
      </c>
      <c r="D7566" s="11" t="s">
        <v>49</v>
      </c>
    </row>
    <row r="7567">
      <c r="A7567" s="11">
        <v>7566.0</v>
      </c>
      <c r="B7567" s="12">
        <f t="shared" si="1202"/>
        <v>41126</v>
      </c>
      <c r="C7567" s="11" t="s">
        <v>1068</v>
      </c>
      <c r="D7567" s="11" t="s">
        <v>28</v>
      </c>
    </row>
    <row r="7568">
      <c r="A7568" s="11">
        <v>7567.0</v>
      </c>
      <c r="B7568" s="12">
        <f t="shared" si="1202"/>
        <v>41126</v>
      </c>
      <c r="C7568" s="11" t="s">
        <v>567</v>
      </c>
      <c r="D7568" s="11" t="s">
        <v>66</v>
      </c>
    </row>
    <row r="7569">
      <c r="A7569" s="11">
        <v>7568.0</v>
      </c>
      <c r="B7569" s="12">
        <f t="shared" si="1202"/>
        <v>41126</v>
      </c>
      <c r="C7569" s="11" t="s">
        <v>567</v>
      </c>
      <c r="D7569" s="11" t="s">
        <v>28</v>
      </c>
    </row>
    <row r="7570">
      <c r="A7570" s="11">
        <v>7569.0</v>
      </c>
      <c r="B7570" s="12">
        <f t="shared" ref="B7570:B7572" si="1203">DATE(2012,12,31)-147</f>
        <v>41127</v>
      </c>
      <c r="C7570" s="11" t="s">
        <v>1357</v>
      </c>
      <c r="D7570" s="11" t="s">
        <v>28</v>
      </c>
    </row>
    <row r="7571">
      <c r="A7571" s="11">
        <v>7570.0</v>
      </c>
      <c r="B7571" s="12">
        <f t="shared" si="1203"/>
        <v>41127</v>
      </c>
      <c r="C7571" s="11" t="s">
        <v>1357</v>
      </c>
      <c r="D7571" s="11" t="s">
        <v>28</v>
      </c>
    </row>
    <row r="7572">
      <c r="A7572" s="11">
        <v>7571.0</v>
      </c>
      <c r="B7572" s="12">
        <f t="shared" si="1203"/>
        <v>41127</v>
      </c>
      <c r="C7572" s="11" t="s">
        <v>479</v>
      </c>
      <c r="D7572" s="11" t="s">
        <v>28</v>
      </c>
    </row>
    <row r="7573">
      <c r="A7573" s="11">
        <v>7572.0</v>
      </c>
      <c r="B7573" s="12">
        <f t="shared" ref="B7573:B7579" si="1204">DATE(2012,12,31)-146</f>
        <v>41128</v>
      </c>
      <c r="C7573" s="11" t="s">
        <v>1817</v>
      </c>
      <c r="D7573" s="11" t="s">
        <v>28</v>
      </c>
    </row>
    <row r="7574">
      <c r="A7574" s="11">
        <v>7573.0</v>
      </c>
      <c r="B7574" s="12">
        <f t="shared" si="1204"/>
        <v>41128</v>
      </c>
      <c r="C7574" s="11" t="s">
        <v>2097</v>
      </c>
      <c r="D7574" s="11" t="s">
        <v>66</v>
      </c>
    </row>
    <row r="7575">
      <c r="A7575" s="11">
        <v>7574.0</v>
      </c>
      <c r="B7575" s="12">
        <f t="shared" si="1204"/>
        <v>41128</v>
      </c>
      <c r="C7575" s="11" t="s">
        <v>373</v>
      </c>
      <c r="D7575" s="11" t="s">
        <v>49</v>
      </c>
    </row>
    <row r="7576">
      <c r="A7576" s="11">
        <v>7575.0</v>
      </c>
      <c r="B7576" s="12">
        <f t="shared" si="1204"/>
        <v>41128</v>
      </c>
      <c r="C7576" s="11" t="s">
        <v>919</v>
      </c>
      <c r="D7576" s="11" t="s">
        <v>66</v>
      </c>
    </row>
    <row r="7577">
      <c r="A7577" s="11">
        <v>7576.0</v>
      </c>
      <c r="B7577" s="12">
        <f t="shared" si="1204"/>
        <v>41128</v>
      </c>
      <c r="C7577" s="11" t="s">
        <v>2092</v>
      </c>
      <c r="D7577" s="11" t="s">
        <v>28</v>
      </c>
    </row>
    <row r="7578">
      <c r="A7578" s="11">
        <v>7577.0</v>
      </c>
      <c r="B7578" s="12">
        <f t="shared" si="1204"/>
        <v>41128</v>
      </c>
      <c r="C7578" s="11" t="s">
        <v>1450</v>
      </c>
      <c r="D7578" s="11" t="s">
        <v>49</v>
      </c>
    </row>
    <row r="7579">
      <c r="A7579" s="11">
        <v>7578.0</v>
      </c>
      <c r="B7579" s="12">
        <f t="shared" si="1204"/>
        <v>41128</v>
      </c>
      <c r="C7579" s="11" t="s">
        <v>1450</v>
      </c>
      <c r="D7579" s="11" t="s">
        <v>49</v>
      </c>
    </row>
    <row r="7580">
      <c r="A7580" s="11">
        <v>7579.0</v>
      </c>
      <c r="B7580" s="12">
        <f>DATE(2012,12,31)-145</f>
        <v>41129</v>
      </c>
      <c r="C7580" s="11" t="s">
        <v>64</v>
      </c>
      <c r="D7580" s="11" t="s">
        <v>28</v>
      </c>
    </row>
    <row r="7581">
      <c r="A7581" s="11">
        <v>7580.0</v>
      </c>
      <c r="B7581" s="12">
        <f t="shared" ref="B7581:B7587" si="1205">DATE(2012,12,31)-144</f>
        <v>41130</v>
      </c>
      <c r="C7581" s="11" t="s">
        <v>1877</v>
      </c>
      <c r="D7581" s="11" t="s">
        <v>28</v>
      </c>
    </row>
    <row r="7582">
      <c r="A7582" s="11">
        <v>7581.0</v>
      </c>
      <c r="B7582" s="12">
        <f t="shared" si="1205"/>
        <v>41130</v>
      </c>
      <c r="C7582" s="11" t="s">
        <v>2409</v>
      </c>
      <c r="D7582" s="11" t="s">
        <v>66</v>
      </c>
    </row>
    <row r="7583">
      <c r="A7583" s="11">
        <v>7582.0</v>
      </c>
      <c r="B7583" s="12">
        <f t="shared" si="1205"/>
        <v>41130</v>
      </c>
      <c r="C7583" s="11" t="s">
        <v>2409</v>
      </c>
      <c r="D7583" s="11" t="s">
        <v>66</v>
      </c>
    </row>
    <row r="7584">
      <c r="A7584" s="11">
        <v>7583.0</v>
      </c>
      <c r="B7584" s="12">
        <f t="shared" si="1205"/>
        <v>41130</v>
      </c>
      <c r="C7584" s="11" t="s">
        <v>1245</v>
      </c>
      <c r="D7584" s="11" t="s">
        <v>66</v>
      </c>
    </row>
    <row r="7585">
      <c r="A7585" s="11">
        <v>7584.0</v>
      </c>
      <c r="B7585" s="12">
        <f t="shared" si="1205"/>
        <v>41130</v>
      </c>
      <c r="C7585" s="11" t="s">
        <v>2524</v>
      </c>
      <c r="D7585" s="11" t="s">
        <v>49</v>
      </c>
    </row>
    <row r="7586">
      <c r="A7586" s="11">
        <v>7585.0</v>
      </c>
      <c r="B7586" s="12">
        <f t="shared" si="1205"/>
        <v>41130</v>
      </c>
      <c r="C7586" s="11" t="s">
        <v>966</v>
      </c>
      <c r="D7586" s="11" t="s">
        <v>49</v>
      </c>
    </row>
    <row r="7587">
      <c r="A7587" s="11">
        <v>7586.0</v>
      </c>
      <c r="B7587" s="12">
        <f t="shared" si="1205"/>
        <v>41130</v>
      </c>
      <c r="C7587" s="11" t="s">
        <v>2528</v>
      </c>
      <c r="D7587" s="11" t="s">
        <v>28</v>
      </c>
    </row>
    <row r="7588">
      <c r="A7588" s="11">
        <v>7587.0</v>
      </c>
      <c r="B7588" s="12">
        <f t="shared" ref="B7588:B7599" si="1206">DATE(2012,12,31)-143</f>
        <v>41131</v>
      </c>
      <c r="C7588" s="11" t="s">
        <v>340</v>
      </c>
      <c r="D7588" s="11" t="s">
        <v>28</v>
      </c>
    </row>
    <row r="7589">
      <c r="A7589" s="11">
        <v>7588.0</v>
      </c>
      <c r="B7589" s="12">
        <f t="shared" si="1206"/>
        <v>41131</v>
      </c>
      <c r="C7589" s="11" t="s">
        <v>340</v>
      </c>
      <c r="D7589" s="11" t="s">
        <v>66</v>
      </c>
    </row>
    <row r="7590">
      <c r="A7590" s="11">
        <v>7589.0</v>
      </c>
      <c r="B7590" s="12">
        <f t="shared" si="1206"/>
        <v>41131</v>
      </c>
      <c r="C7590" s="11" t="s">
        <v>841</v>
      </c>
      <c r="D7590" s="11" t="s">
        <v>49</v>
      </c>
    </row>
    <row r="7591">
      <c r="A7591" s="11">
        <v>7590.0</v>
      </c>
      <c r="B7591" s="12">
        <f t="shared" si="1206"/>
        <v>41131</v>
      </c>
      <c r="C7591" s="11" t="s">
        <v>841</v>
      </c>
      <c r="D7591" s="11" t="s">
        <v>66</v>
      </c>
    </row>
    <row r="7592">
      <c r="A7592" s="11">
        <v>7591.0</v>
      </c>
      <c r="B7592" s="12">
        <f t="shared" si="1206"/>
        <v>41131</v>
      </c>
      <c r="C7592" s="11" t="s">
        <v>876</v>
      </c>
      <c r="D7592" s="11" t="s">
        <v>28</v>
      </c>
    </row>
    <row r="7593">
      <c r="A7593" s="11">
        <v>7592.0</v>
      </c>
      <c r="B7593" s="12">
        <f t="shared" si="1206"/>
        <v>41131</v>
      </c>
      <c r="C7593" s="11" t="s">
        <v>839</v>
      </c>
      <c r="D7593" s="11" t="s">
        <v>28</v>
      </c>
    </row>
    <row r="7594">
      <c r="A7594" s="11">
        <v>7593.0</v>
      </c>
      <c r="B7594" s="12">
        <f t="shared" si="1206"/>
        <v>41131</v>
      </c>
      <c r="C7594" s="11" t="s">
        <v>839</v>
      </c>
      <c r="D7594" s="11" t="s">
        <v>28</v>
      </c>
    </row>
    <row r="7595">
      <c r="A7595" s="11">
        <v>7594.0</v>
      </c>
      <c r="B7595" s="12">
        <f t="shared" si="1206"/>
        <v>41131</v>
      </c>
      <c r="C7595" s="11" t="s">
        <v>1476</v>
      </c>
      <c r="D7595" s="11" t="s">
        <v>66</v>
      </c>
    </row>
    <row r="7596">
      <c r="A7596" s="11">
        <v>7595.0</v>
      </c>
      <c r="B7596" s="12">
        <f t="shared" si="1206"/>
        <v>41131</v>
      </c>
      <c r="C7596" s="11" t="s">
        <v>1621</v>
      </c>
      <c r="D7596" s="11" t="s">
        <v>28</v>
      </c>
    </row>
    <row r="7597">
      <c r="A7597" s="11">
        <v>7596.0</v>
      </c>
      <c r="B7597" s="12">
        <f t="shared" si="1206"/>
        <v>41131</v>
      </c>
      <c r="C7597" s="11" t="s">
        <v>1621</v>
      </c>
      <c r="D7597" s="11" t="s">
        <v>49</v>
      </c>
    </row>
    <row r="7598">
      <c r="A7598" s="11">
        <v>7597.0</v>
      </c>
      <c r="B7598" s="12">
        <f t="shared" si="1206"/>
        <v>41131</v>
      </c>
      <c r="C7598" s="11" t="s">
        <v>1621</v>
      </c>
      <c r="D7598" s="11" t="s">
        <v>28</v>
      </c>
    </row>
    <row r="7599">
      <c r="A7599" s="11">
        <v>7598.0</v>
      </c>
      <c r="B7599" s="12">
        <f t="shared" si="1206"/>
        <v>41131</v>
      </c>
      <c r="C7599" s="11" t="s">
        <v>1527</v>
      </c>
      <c r="D7599" s="11" t="s">
        <v>28</v>
      </c>
    </row>
    <row r="7600">
      <c r="A7600" s="11">
        <v>7599.0</v>
      </c>
      <c r="B7600" s="12">
        <f t="shared" ref="B7600:B7604" si="1207">DATE(2012,12,31)-142</f>
        <v>41132</v>
      </c>
      <c r="C7600" s="11" t="s">
        <v>1027</v>
      </c>
      <c r="D7600" s="11" t="s">
        <v>28</v>
      </c>
    </row>
    <row r="7601">
      <c r="A7601" s="11">
        <v>7600.0</v>
      </c>
      <c r="B7601" s="12">
        <f t="shared" si="1207"/>
        <v>41132</v>
      </c>
      <c r="C7601" s="11" t="s">
        <v>2098</v>
      </c>
      <c r="D7601" s="11" t="s">
        <v>49</v>
      </c>
    </row>
    <row r="7602">
      <c r="A7602" s="11">
        <v>7601.0</v>
      </c>
      <c r="B7602" s="12">
        <f t="shared" si="1207"/>
        <v>41132</v>
      </c>
      <c r="C7602" s="11" t="s">
        <v>2098</v>
      </c>
      <c r="D7602" s="11" t="s">
        <v>49</v>
      </c>
    </row>
    <row r="7603">
      <c r="A7603" s="11">
        <v>7602.0</v>
      </c>
      <c r="B7603" s="12">
        <f t="shared" si="1207"/>
        <v>41132</v>
      </c>
      <c r="C7603" s="11" t="s">
        <v>2098</v>
      </c>
      <c r="D7603" s="11" t="s">
        <v>49</v>
      </c>
    </row>
    <row r="7604">
      <c r="A7604" s="11">
        <v>7603.0</v>
      </c>
      <c r="B7604" s="12">
        <f t="shared" si="1207"/>
        <v>41132</v>
      </c>
      <c r="C7604" s="11" t="s">
        <v>2098</v>
      </c>
      <c r="D7604" s="11" t="s">
        <v>28</v>
      </c>
    </row>
    <row r="7605">
      <c r="A7605" s="11">
        <v>7604.0</v>
      </c>
      <c r="B7605" s="12">
        <f t="shared" ref="B7605:B7615" si="1208">DATE(2012,12,31)-141</f>
        <v>41133</v>
      </c>
      <c r="C7605" s="11" t="s">
        <v>2495</v>
      </c>
      <c r="D7605" s="11" t="s">
        <v>28</v>
      </c>
    </row>
    <row r="7606">
      <c r="A7606" s="11">
        <v>7605.0</v>
      </c>
      <c r="B7606" s="12">
        <f t="shared" si="1208"/>
        <v>41133</v>
      </c>
      <c r="C7606" s="11" t="s">
        <v>2495</v>
      </c>
      <c r="D7606" s="11" t="s">
        <v>28</v>
      </c>
    </row>
    <row r="7607">
      <c r="A7607" s="11">
        <v>7606.0</v>
      </c>
      <c r="B7607" s="12">
        <f t="shared" si="1208"/>
        <v>41133</v>
      </c>
      <c r="C7607" s="11" t="s">
        <v>514</v>
      </c>
      <c r="D7607" s="11" t="s">
        <v>28</v>
      </c>
    </row>
    <row r="7608">
      <c r="A7608" s="11">
        <v>7607.0</v>
      </c>
      <c r="B7608" s="12">
        <f t="shared" si="1208"/>
        <v>41133</v>
      </c>
      <c r="C7608" s="11" t="s">
        <v>514</v>
      </c>
      <c r="D7608" s="11" t="s">
        <v>49</v>
      </c>
    </row>
    <row r="7609">
      <c r="A7609" s="11">
        <v>7608.0</v>
      </c>
      <c r="B7609" s="12">
        <f t="shared" si="1208"/>
        <v>41133</v>
      </c>
      <c r="C7609" s="11" t="s">
        <v>1377</v>
      </c>
      <c r="D7609" s="11" t="s">
        <v>66</v>
      </c>
    </row>
    <row r="7610">
      <c r="A7610" s="11">
        <v>7609.0</v>
      </c>
      <c r="B7610" s="12">
        <f t="shared" si="1208"/>
        <v>41133</v>
      </c>
      <c r="C7610" s="11" t="s">
        <v>429</v>
      </c>
      <c r="D7610" s="11" t="s">
        <v>28</v>
      </c>
    </row>
    <row r="7611">
      <c r="A7611" s="11">
        <v>7610.0</v>
      </c>
      <c r="B7611" s="12">
        <f t="shared" si="1208"/>
        <v>41133</v>
      </c>
      <c r="C7611" s="11" t="s">
        <v>392</v>
      </c>
      <c r="D7611" s="11" t="s">
        <v>28</v>
      </c>
    </row>
    <row r="7612">
      <c r="A7612" s="11">
        <v>7611.0</v>
      </c>
      <c r="B7612" s="12">
        <f t="shared" si="1208"/>
        <v>41133</v>
      </c>
      <c r="C7612" s="11" t="s">
        <v>1020</v>
      </c>
      <c r="D7612" s="11" t="s">
        <v>28</v>
      </c>
    </row>
    <row r="7613">
      <c r="A7613" s="11">
        <v>7612.0</v>
      </c>
      <c r="B7613" s="12">
        <f t="shared" si="1208"/>
        <v>41133</v>
      </c>
      <c r="C7613" s="11" t="s">
        <v>1020</v>
      </c>
      <c r="D7613" s="11" t="s">
        <v>49</v>
      </c>
    </row>
    <row r="7614">
      <c r="A7614" s="11">
        <v>7613.0</v>
      </c>
      <c r="B7614" s="12">
        <f t="shared" si="1208"/>
        <v>41133</v>
      </c>
      <c r="C7614" s="11" t="s">
        <v>1769</v>
      </c>
      <c r="D7614" s="11" t="s">
        <v>28</v>
      </c>
    </row>
    <row r="7615">
      <c r="A7615" s="11">
        <v>7614.0</v>
      </c>
      <c r="B7615" s="12">
        <f t="shared" si="1208"/>
        <v>41133</v>
      </c>
      <c r="C7615" s="11" t="s">
        <v>1720</v>
      </c>
      <c r="D7615" s="11" t="s">
        <v>28</v>
      </c>
    </row>
    <row r="7616">
      <c r="A7616" s="11">
        <v>7615.0</v>
      </c>
      <c r="B7616" s="12">
        <f t="shared" ref="B7616:B7617" si="1209">DATE(2012,12,31)-140</f>
        <v>41134</v>
      </c>
      <c r="C7616" s="11" t="s">
        <v>744</v>
      </c>
      <c r="D7616" s="11" t="s">
        <v>28</v>
      </c>
    </row>
    <row r="7617">
      <c r="A7617" s="11">
        <v>7616.0</v>
      </c>
      <c r="B7617" s="12">
        <f t="shared" si="1209"/>
        <v>41134</v>
      </c>
      <c r="C7617" s="11" t="s">
        <v>444</v>
      </c>
      <c r="D7617" s="11" t="s">
        <v>66</v>
      </c>
    </row>
    <row r="7618">
      <c r="A7618" s="11">
        <v>7617.0</v>
      </c>
      <c r="B7618" s="12">
        <f t="shared" ref="B7618:B7625" si="1210">DATE(2012,12,31)-139</f>
        <v>41135</v>
      </c>
      <c r="C7618" s="11" t="s">
        <v>581</v>
      </c>
      <c r="D7618" s="11" t="s">
        <v>28</v>
      </c>
    </row>
    <row r="7619">
      <c r="A7619" s="11">
        <v>7618.0</v>
      </c>
      <c r="B7619" s="12">
        <f t="shared" si="1210"/>
        <v>41135</v>
      </c>
      <c r="C7619" s="11" t="s">
        <v>1205</v>
      </c>
      <c r="D7619" s="11" t="s">
        <v>49</v>
      </c>
    </row>
    <row r="7620">
      <c r="A7620" s="11">
        <v>7619.0</v>
      </c>
      <c r="B7620" s="12">
        <f t="shared" si="1210"/>
        <v>41135</v>
      </c>
      <c r="C7620" s="11" t="s">
        <v>803</v>
      </c>
      <c r="D7620" s="11" t="s">
        <v>28</v>
      </c>
    </row>
    <row r="7621">
      <c r="A7621" s="11">
        <v>7620.0</v>
      </c>
      <c r="B7621" s="12">
        <f t="shared" si="1210"/>
        <v>41135</v>
      </c>
      <c r="C7621" s="11" t="s">
        <v>2205</v>
      </c>
      <c r="D7621" s="11" t="s">
        <v>28</v>
      </c>
    </row>
    <row r="7622">
      <c r="A7622" s="11">
        <v>7621.0</v>
      </c>
      <c r="B7622" s="12">
        <f t="shared" si="1210"/>
        <v>41135</v>
      </c>
      <c r="C7622" s="11" t="s">
        <v>829</v>
      </c>
      <c r="D7622" s="11" t="s">
        <v>28</v>
      </c>
    </row>
    <row r="7623">
      <c r="A7623" s="11">
        <v>7622.0</v>
      </c>
      <c r="B7623" s="12">
        <f t="shared" si="1210"/>
        <v>41135</v>
      </c>
      <c r="C7623" s="11" t="s">
        <v>829</v>
      </c>
      <c r="D7623" s="11" t="s">
        <v>28</v>
      </c>
    </row>
    <row r="7624">
      <c r="A7624" s="11">
        <v>7623.0</v>
      </c>
      <c r="B7624" s="12">
        <f t="shared" si="1210"/>
        <v>41135</v>
      </c>
      <c r="C7624" s="11" t="s">
        <v>499</v>
      </c>
      <c r="D7624" s="11" t="s">
        <v>28</v>
      </c>
    </row>
    <row r="7625">
      <c r="A7625" s="11">
        <v>7624.0</v>
      </c>
      <c r="B7625" s="12">
        <f t="shared" si="1210"/>
        <v>41135</v>
      </c>
      <c r="C7625" s="11" t="s">
        <v>499</v>
      </c>
      <c r="D7625" s="11" t="s">
        <v>66</v>
      </c>
    </row>
    <row r="7626">
      <c r="A7626" s="11">
        <v>7625.0</v>
      </c>
      <c r="B7626" s="12">
        <f t="shared" ref="B7626:B7629" si="1211">DATE(2012,12,31)-138</f>
        <v>41136</v>
      </c>
      <c r="C7626" s="11" t="s">
        <v>1817</v>
      </c>
      <c r="D7626" s="11" t="s">
        <v>28</v>
      </c>
    </row>
    <row r="7627">
      <c r="A7627" s="11">
        <v>7626.0</v>
      </c>
      <c r="B7627" s="12">
        <f t="shared" si="1211"/>
        <v>41136</v>
      </c>
      <c r="C7627" s="11" t="s">
        <v>1817</v>
      </c>
      <c r="D7627" s="11" t="s">
        <v>49</v>
      </c>
    </row>
    <row r="7628">
      <c r="A7628" s="11">
        <v>7627.0</v>
      </c>
      <c r="B7628" s="12">
        <f t="shared" si="1211"/>
        <v>41136</v>
      </c>
      <c r="C7628" s="11" t="s">
        <v>2348</v>
      </c>
      <c r="D7628" s="11" t="s">
        <v>28</v>
      </c>
    </row>
    <row r="7629">
      <c r="A7629" s="11">
        <v>7628.0</v>
      </c>
      <c r="B7629" s="12">
        <f t="shared" si="1211"/>
        <v>41136</v>
      </c>
      <c r="C7629" s="11" t="s">
        <v>398</v>
      </c>
      <c r="D7629" s="11" t="s">
        <v>66</v>
      </c>
    </row>
    <row r="7630">
      <c r="A7630" s="11">
        <v>7629.0</v>
      </c>
      <c r="B7630" s="12">
        <f t="shared" ref="B7630:B7634" si="1212">DATE(2012,12,31)-137</f>
        <v>41137</v>
      </c>
      <c r="C7630" s="11" t="s">
        <v>395</v>
      </c>
      <c r="D7630" s="11" t="s">
        <v>28</v>
      </c>
    </row>
    <row r="7631">
      <c r="A7631" s="11">
        <v>7630.0</v>
      </c>
      <c r="B7631" s="12">
        <f t="shared" si="1212"/>
        <v>41137</v>
      </c>
      <c r="C7631" s="11" t="s">
        <v>202</v>
      </c>
      <c r="D7631" s="11" t="s">
        <v>28</v>
      </c>
    </row>
    <row r="7632">
      <c r="A7632" s="11">
        <v>7631.0</v>
      </c>
      <c r="B7632" s="12">
        <f t="shared" si="1212"/>
        <v>41137</v>
      </c>
      <c r="C7632" s="11" t="s">
        <v>60</v>
      </c>
      <c r="D7632" s="11" t="s">
        <v>28</v>
      </c>
    </row>
    <row r="7633">
      <c r="A7633" s="11">
        <v>7632.0</v>
      </c>
      <c r="B7633" s="12">
        <f t="shared" si="1212"/>
        <v>41137</v>
      </c>
      <c r="C7633" s="11" t="s">
        <v>1349</v>
      </c>
      <c r="D7633" s="11" t="s">
        <v>66</v>
      </c>
    </row>
    <row r="7634">
      <c r="A7634" s="11">
        <v>7633.0</v>
      </c>
      <c r="B7634" s="12">
        <f t="shared" si="1212"/>
        <v>41137</v>
      </c>
      <c r="C7634" s="11" t="s">
        <v>429</v>
      </c>
      <c r="D7634" s="11" t="s">
        <v>28</v>
      </c>
    </row>
    <row r="7635">
      <c r="A7635" s="11">
        <v>7634.0</v>
      </c>
      <c r="B7635" s="12">
        <f t="shared" ref="B7635:B7639" si="1213">DATE(2012,12,31)-136</f>
        <v>41138</v>
      </c>
      <c r="C7635" s="11" t="s">
        <v>104</v>
      </c>
      <c r="D7635" s="11" t="s">
        <v>28</v>
      </c>
    </row>
    <row r="7636">
      <c r="A7636" s="11">
        <v>7635.0</v>
      </c>
      <c r="B7636" s="12">
        <f t="shared" si="1213"/>
        <v>41138</v>
      </c>
      <c r="C7636" s="11" t="s">
        <v>1546</v>
      </c>
      <c r="D7636" s="11" t="s">
        <v>28</v>
      </c>
    </row>
    <row r="7637">
      <c r="A7637" s="11">
        <v>7636.0</v>
      </c>
      <c r="B7637" s="12">
        <f t="shared" si="1213"/>
        <v>41138</v>
      </c>
      <c r="C7637" s="11" t="s">
        <v>1546</v>
      </c>
      <c r="D7637" s="11" t="s">
        <v>49</v>
      </c>
    </row>
    <row r="7638">
      <c r="A7638" s="11">
        <v>7637.0</v>
      </c>
      <c r="B7638" s="12">
        <f t="shared" si="1213"/>
        <v>41138</v>
      </c>
      <c r="C7638" s="11" t="s">
        <v>1448</v>
      </c>
      <c r="D7638" s="11" t="s">
        <v>28</v>
      </c>
    </row>
    <row r="7639">
      <c r="A7639" s="11">
        <v>7638.0</v>
      </c>
      <c r="B7639" s="12">
        <f t="shared" si="1213"/>
        <v>41138</v>
      </c>
      <c r="C7639" s="11" t="s">
        <v>1448</v>
      </c>
      <c r="D7639" s="11" t="s">
        <v>28</v>
      </c>
    </row>
    <row r="7640">
      <c r="A7640" s="11">
        <v>7639.0</v>
      </c>
      <c r="B7640" s="12">
        <f t="shared" ref="B7640:B7648" si="1214">DATE(2012,12,31)-135</f>
        <v>41139</v>
      </c>
      <c r="C7640" s="11" t="s">
        <v>973</v>
      </c>
      <c r="D7640" s="11" t="s">
        <v>28</v>
      </c>
    </row>
    <row r="7641">
      <c r="A7641" s="11">
        <v>7640.0</v>
      </c>
      <c r="B7641" s="12">
        <f t="shared" si="1214"/>
        <v>41139</v>
      </c>
      <c r="C7641" s="11" t="s">
        <v>973</v>
      </c>
      <c r="D7641" s="11" t="s">
        <v>28</v>
      </c>
    </row>
    <row r="7642">
      <c r="A7642" s="11">
        <v>7641.0</v>
      </c>
      <c r="B7642" s="12">
        <f t="shared" si="1214"/>
        <v>41139</v>
      </c>
      <c r="C7642" s="11" t="s">
        <v>973</v>
      </c>
      <c r="D7642" s="11" t="s">
        <v>66</v>
      </c>
    </row>
    <row r="7643">
      <c r="A7643" s="11">
        <v>7642.0</v>
      </c>
      <c r="B7643" s="12">
        <f t="shared" si="1214"/>
        <v>41139</v>
      </c>
      <c r="C7643" s="11" t="s">
        <v>2545</v>
      </c>
      <c r="D7643" s="11" t="s">
        <v>49</v>
      </c>
    </row>
    <row r="7644">
      <c r="A7644" s="11">
        <v>7643.0</v>
      </c>
      <c r="B7644" s="12">
        <f t="shared" si="1214"/>
        <v>41139</v>
      </c>
      <c r="C7644" s="11" t="s">
        <v>2545</v>
      </c>
      <c r="D7644" s="11" t="s">
        <v>28</v>
      </c>
    </row>
    <row r="7645">
      <c r="A7645" s="11">
        <v>7644.0</v>
      </c>
      <c r="B7645" s="12">
        <f t="shared" si="1214"/>
        <v>41139</v>
      </c>
      <c r="C7645" s="11" t="s">
        <v>634</v>
      </c>
      <c r="D7645" s="11" t="s">
        <v>28</v>
      </c>
    </row>
    <row r="7646">
      <c r="A7646" s="11">
        <v>7645.0</v>
      </c>
      <c r="B7646" s="12">
        <f t="shared" si="1214"/>
        <v>41139</v>
      </c>
      <c r="C7646" s="11" t="s">
        <v>703</v>
      </c>
      <c r="D7646" s="11" t="s">
        <v>66</v>
      </c>
    </row>
    <row r="7647">
      <c r="A7647" s="11">
        <v>7646.0</v>
      </c>
      <c r="B7647" s="12">
        <f t="shared" si="1214"/>
        <v>41139</v>
      </c>
      <c r="C7647" s="11" t="s">
        <v>878</v>
      </c>
      <c r="D7647" s="11" t="s">
        <v>28</v>
      </c>
    </row>
    <row r="7648">
      <c r="A7648" s="11">
        <v>7647.0</v>
      </c>
      <c r="B7648" s="12">
        <f t="shared" si="1214"/>
        <v>41139</v>
      </c>
      <c r="C7648" s="11" t="s">
        <v>878</v>
      </c>
      <c r="D7648" s="11" t="s">
        <v>28</v>
      </c>
    </row>
    <row r="7649">
      <c r="A7649" s="11">
        <v>7648.0</v>
      </c>
      <c r="B7649" s="12">
        <f t="shared" ref="B7649:B7656" si="1215">DATE(2012,12,31)-134</f>
        <v>41140</v>
      </c>
      <c r="C7649" s="11" t="s">
        <v>721</v>
      </c>
      <c r="D7649" s="11" t="s">
        <v>49</v>
      </c>
    </row>
    <row r="7650">
      <c r="A7650" s="11">
        <v>7649.0</v>
      </c>
      <c r="B7650" s="12">
        <f t="shared" si="1215"/>
        <v>41140</v>
      </c>
      <c r="C7650" s="11" t="s">
        <v>40</v>
      </c>
      <c r="D7650" s="11" t="s">
        <v>49</v>
      </c>
    </row>
    <row r="7651">
      <c r="A7651" s="11">
        <v>7650.0</v>
      </c>
      <c r="B7651" s="12">
        <f t="shared" si="1215"/>
        <v>41140</v>
      </c>
      <c r="C7651" s="11" t="s">
        <v>1218</v>
      </c>
      <c r="D7651" s="11" t="s">
        <v>28</v>
      </c>
    </row>
    <row r="7652">
      <c r="A7652" s="11">
        <v>7651.0</v>
      </c>
      <c r="B7652" s="12">
        <f t="shared" si="1215"/>
        <v>41140</v>
      </c>
      <c r="C7652" s="11" t="s">
        <v>1218</v>
      </c>
      <c r="D7652" s="11" t="s">
        <v>66</v>
      </c>
    </row>
    <row r="7653">
      <c r="A7653" s="11">
        <v>7652.0</v>
      </c>
      <c r="B7653" s="12">
        <f t="shared" si="1215"/>
        <v>41140</v>
      </c>
      <c r="C7653" s="11" t="s">
        <v>659</v>
      </c>
      <c r="D7653" s="11" t="s">
        <v>28</v>
      </c>
    </row>
    <row r="7654">
      <c r="A7654" s="11">
        <v>7653.0</v>
      </c>
      <c r="B7654" s="12">
        <f t="shared" si="1215"/>
        <v>41140</v>
      </c>
      <c r="C7654" s="11" t="s">
        <v>659</v>
      </c>
      <c r="D7654" s="11" t="s">
        <v>28</v>
      </c>
    </row>
    <row r="7655">
      <c r="A7655" s="11">
        <v>7654.0</v>
      </c>
      <c r="B7655" s="12">
        <f t="shared" si="1215"/>
        <v>41140</v>
      </c>
      <c r="C7655" s="11" t="s">
        <v>1130</v>
      </c>
      <c r="D7655" s="11" t="s">
        <v>28</v>
      </c>
    </row>
    <row r="7656">
      <c r="A7656" s="11">
        <v>7655.0</v>
      </c>
      <c r="B7656" s="12">
        <f t="shared" si="1215"/>
        <v>41140</v>
      </c>
      <c r="C7656" s="11" t="s">
        <v>1130</v>
      </c>
      <c r="D7656" s="11" t="s">
        <v>28</v>
      </c>
    </row>
    <row r="7657">
      <c r="A7657" s="11">
        <v>7656.0</v>
      </c>
      <c r="B7657" s="12">
        <f t="shared" ref="B7657:B7666" si="1216">DATE(2012,12,31)-133</f>
        <v>41141</v>
      </c>
      <c r="C7657" s="11" t="s">
        <v>588</v>
      </c>
      <c r="D7657" s="11" t="s">
        <v>28</v>
      </c>
    </row>
    <row r="7658">
      <c r="A7658" s="11">
        <v>7657.0</v>
      </c>
      <c r="B7658" s="12">
        <f t="shared" si="1216"/>
        <v>41141</v>
      </c>
      <c r="C7658" s="11" t="s">
        <v>588</v>
      </c>
      <c r="D7658" s="11" t="s">
        <v>28</v>
      </c>
    </row>
    <row r="7659">
      <c r="A7659" s="11">
        <v>7658.0</v>
      </c>
      <c r="B7659" s="12">
        <f t="shared" si="1216"/>
        <v>41141</v>
      </c>
      <c r="C7659" s="11" t="s">
        <v>588</v>
      </c>
      <c r="D7659" s="11" t="s">
        <v>49</v>
      </c>
    </row>
    <row r="7660">
      <c r="A7660" s="11">
        <v>7659.0</v>
      </c>
      <c r="B7660" s="12">
        <f t="shared" si="1216"/>
        <v>41141</v>
      </c>
      <c r="C7660" s="11" t="s">
        <v>588</v>
      </c>
      <c r="D7660" s="11" t="s">
        <v>66</v>
      </c>
    </row>
    <row r="7661">
      <c r="A7661" s="11">
        <v>7660.0</v>
      </c>
      <c r="B7661" s="12">
        <f t="shared" si="1216"/>
        <v>41141</v>
      </c>
      <c r="C7661" s="11" t="s">
        <v>2542</v>
      </c>
      <c r="D7661" s="11" t="s">
        <v>28</v>
      </c>
    </row>
    <row r="7662">
      <c r="A7662" s="11">
        <v>7661.0</v>
      </c>
      <c r="B7662" s="12">
        <f t="shared" si="1216"/>
        <v>41141</v>
      </c>
      <c r="C7662" s="11" t="s">
        <v>961</v>
      </c>
      <c r="D7662" s="11" t="s">
        <v>28</v>
      </c>
    </row>
    <row r="7663">
      <c r="A7663" s="11">
        <v>7662.0</v>
      </c>
      <c r="B7663" s="12">
        <f t="shared" si="1216"/>
        <v>41141</v>
      </c>
      <c r="C7663" s="11" t="s">
        <v>961</v>
      </c>
      <c r="D7663" s="11" t="s">
        <v>28</v>
      </c>
    </row>
    <row r="7664">
      <c r="A7664" s="11">
        <v>7663.0</v>
      </c>
      <c r="B7664" s="12">
        <f t="shared" si="1216"/>
        <v>41141</v>
      </c>
      <c r="C7664" s="11" t="s">
        <v>961</v>
      </c>
      <c r="D7664" s="11" t="s">
        <v>28</v>
      </c>
    </row>
    <row r="7665">
      <c r="A7665" s="11">
        <v>7664.0</v>
      </c>
      <c r="B7665" s="12">
        <f t="shared" si="1216"/>
        <v>41141</v>
      </c>
      <c r="C7665" s="11" t="s">
        <v>76</v>
      </c>
      <c r="D7665" s="11" t="s">
        <v>49</v>
      </c>
    </row>
    <row r="7666">
      <c r="A7666" s="11">
        <v>7665.0</v>
      </c>
      <c r="B7666" s="12">
        <f t="shared" si="1216"/>
        <v>41141</v>
      </c>
      <c r="C7666" s="11" t="s">
        <v>215</v>
      </c>
      <c r="D7666" s="11" t="s">
        <v>28</v>
      </c>
    </row>
    <row r="7667">
      <c r="A7667" s="11">
        <v>7666.0</v>
      </c>
      <c r="B7667" s="12">
        <f t="shared" ref="B7667:B7671" si="1217">DATE(2012,12,31)-132</f>
        <v>41142</v>
      </c>
      <c r="C7667" s="11" t="s">
        <v>887</v>
      </c>
      <c r="D7667" s="11" t="s">
        <v>66</v>
      </c>
    </row>
    <row r="7668">
      <c r="A7668" s="11">
        <v>7667.0</v>
      </c>
      <c r="B7668" s="12">
        <f t="shared" si="1217"/>
        <v>41142</v>
      </c>
      <c r="C7668" s="11" t="s">
        <v>887</v>
      </c>
      <c r="D7668" s="11" t="s">
        <v>66</v>
      </c>
    </row>
    <row r="7669">
      <c r="A7669" s="11">
        <v>7668.0</v>
      </c>
      <c r="B7669" s="12">
        <f t="shared" si="1217"/>
        <v>41142</v>
      </c>
      <c r="C7669" s="11" t="s">
        <v>887</v>
      </c>
      <c r="D7669" s="11" t="s">
        <v>28</v>
      </c>
    </row>
    <row r="7670">
      <c r="A7670" s="11">
        <v>7669.0</v>
      </c>
      <c r="B7670" s="12">
        <f t="shared" si="1217"/>
        <v>41142</v>
      </c>
      <c r="C7670" s="11" t="s">
        <v>1472</v>
      </c>
      <c r="D7670" s="11" t="s">
        <v>28</v>
      </c>
    </row>
    <row r="7671">
      <c r="A7671" s="11">
        <v>7670.0</v>
      </c>
      <c r="B7671" s="12">
        <f t="shared" si="1217"/>
        <v>41142</v>
      </c>
      <c r="C7671" s="11" t="s">
        <v>793</v>
      </c>
      <c r="D7671" s="11" t="s">
        <v>28</v>
      </c>
    </row>
    <row r="7672">
      <c r="A7672" s="11">
        <v>7671.0</v>
      </c>
      <c r="B7672" s="12">
        <f t="shared" ref="B7672:B7678" si="1218">DATE(2012,12,31)-131</f>
        <v>41143</v>
      </c>
      <c r="C7672" s="11" t="s">
        <v>1572</v>
      </c>
      <c r="D7672" s="11" t="s">
        <v>28</v>
      </c>
    </row>
    <row r="7673">
      <c r="A7673" s="11">
        <v>7672.0</v>
      </c>
      <c r="B7673" s="12">
        <f t="shared" si="1218"/>
        <v>41143</v>
      </c>
      <c r="C7673" s="11" t="s">
        <v>1572</v>
      </c>
      <c r="D7673" s="11" t="s">
        <v>28</v>
      </c>
    </row>
    <row r="7674">
      <c r="A7674" s="11">
        <v>7673.0</v>
      </c>
      <c r="B7674" s="12">
        <f t="shared" si="1218"/>
        <v>41143</v>
      </c>
      <c r="C7674" s="11" t="s">
        <v>2373</v>
      </c>
      <c r="D7674" s="11" t="s">
        <v>28</v>
      </c>
    </row>
    <row r="7675">
      <c r="A7675" s="11">
        <v>7674.0</v>
      </c>
      <c r="B7675" s="12">
        <f t="shared" si="1218"/>
        <v>41143</v>
      </c>
      <c r="C7675" s="11" t="s">
        <v>2373</v>
      </c>
      <c r="D7675" s="11" t="s">
        <v>28</v>
      </c>
    </row>
    <row r="7676">
      <c r="A7676" s="11">
        <v>7675.0</v>
      </c>
      <c r="B7676" s="12">
        <f t="shared" si="1218"/>
        <v>41143</v>
      </c>
      <c r="C7676" s="11" t="s">
        <v>2373</v>
      </c>
      <c r="D7676" s="11" t="s">
        <v>66</v>
      </c>
    </row>
    <row r="7677">
      <c r="A7677" s="11">
        <v>7676.0</v>
      </c>
      <c r="B7677" s="12">
        <f t="shared" si="1218"/>
        <v>41143</v>
      </c>
      <c r="C7677" s="11" t="s">
        <v>2374</v>
      </c>
      <c r="D7677" s="11" t="s">
        <v>28</v>
      </c>
    </row>
    <row r="7678">
      <c r="A7678" s="11">
        <v>7677.0</v>
      </c>
      <c r="B7678" s="12">
        <f t="shared" si="1218"/>
        <v>41143</v>
      </c>
      <c r="C7678" s="11" t="s">
        <v>857</v>
      </c>
      <c r="D7678" s="11" t="s">
        <v>28</v>
      </c>
    </row>
    <row r="7679">
      <c r="A7679" s="11">
        <v>7678.0</v>
      </c>
      <c r="B7679" s="12">
        <f t="shared" ref="B7679:B7682" si="1219">DATE(2012,12,31)-130</f>
        <v>41144</v>
      </c>
      <c r="C7679" s="11" t="s">
        <v>604</v>
      </c>
      <c r="D7679" s="11" t="s">
        <v>28</v>
      </c>
    </row>
    <row r="7680">
      <c r="A7680" s="11">
        <v>7679.0</v>
      </c>
      <c r="B7680" s="12">
        <f t="shared" si="1219"/>
        <v>41144</v>
      </c>
      <c r="C7680" s="11" t="s">
        <v>665</v>
      </c>
      <c r="D7680" s="11" t="s">
        <v>28</v>
      </c>
    </row>
    <row r="7681">
      <c r="A7681" s="11">
        <v>7680.0</v>
      </c>
      <c r="B7681" s="12">
        <f t="shared" si="1219"/>
        <v>41144</v>
      </c>
      <c r="C7681" s="11" t="s">
        <v>1133</v>
      </c>
      <c r="D7681" s="11" t="s">
        <v>28</v>
      </c>
    </row>
    <row r="7682">
      <c r="A7682" s="11">
        <v>7681.0</v>
      </c>
      <c r="B7682" s="12">
        <f t="shared" si="1219"/>
        <v>41144</v>
      </c>
      <c r="C7682" s="11" t="s">
        <v>988</v>
      </c>
      <c r="D7682" s="11" t="s">
        <v>66</v>
      </c>
    </row>
    <row r="7683">
      <c r="A7683" s="11">
        <v>7682.0</v>
      </c>
      <c r="B7683" s="12">
        <f t="shared" ref="B7683:B7684" si="1220">DATE(2012,12,31)-129</f>
        <v>41145</v>
      </c>
      <c r="C7683" s="11" t="s">
        <v>928</v>
      </c>
      <c r="D7683" s="11" t="s">
        <v>49</v>
      </c>
    </row>
    <row r="7684">
      <c r="A7684" s="11">
        <v>7683.0</v>
      </c>
      <c r="B7684" s="12">
        <f t="shared" si="1220"/>
        <v>41145</v>
      </c>
      <c r="C7684" s="11" t="s">
        <v>928</v>
      </c>
      <c r="D7684" s="11" t="s">
        <v>28</v>
      </c>
    </row>
    <row r="7685">
      <c r="A7685" s="11">
        <v>7684.0</v>
      </c>
      <c r="B7685" s="12">
        <f t="shared" ref="B7685:B7687" si="1221">DATE(2012,12,31)-127</f>
        <v>41147</v>
      </c>
      <c r="C7685" s="11" t="s">
        <v>622</v>
      </c>
      <c r="D7685" s="11" t="s">
        <v>66</v>
      </c>
    </row>
    <row r="7686">
      <c r="A7686" s="11">
        <v>7685.0</v>
      </c>
      <c r="B7686" s="12">
        <f t="shared" si="1221"/>
        <v>41147</v>
      </c>
      <c r="C7686" s="11" t="s">
        <v>786</v>
      </c>
      <c r="D7686" s="11" t="s">
        <v>66</v>
      </c>
    </row>
    <row r="7687">
      <c r="A7687" s="11">
        <v>7686.0</v>
      </c>
      <c r="B7687" s="12">
        <f t="shared" si="1221"/>
        <v>41147</v>
      </c>
      <c r="C7687" s="11" t="s">
        <v>213</v>
      </c>
      <c r="D7687" s="11" t="s">
        <v>28</v>
      </c>
    </row>
    <row r="7688">
      <c r="A7688" s="11">
        <v>7687.0</v>
      </c>
      <c r="B7688" s="12">
        <f t="shared" ref="B7688:B7692" si="1222">DATE(2012,12,31)-126</f>
        <v>41148</v>
      </c>
      <c r="C7688" s="11" t="s">
        <v>159</v>
      </c>
      <c r="D7688" s="11" t="s">
        <v>66</v>
      </c>
    </row>
    <row r="7689">
      <c r="A7689" s="11">
        <v>7688.0</v>
      </c>
      <c r="B7689" s="12">
        <f t="shared" si="1222"/>
        <v>41148</v>
      </c>
      <c r="C7689" s="11" t="s">
        <v>744</v>
      </c>
      <c r="D7689" s="11" t="s">
        <v>28</v>
      </c>
    </row>
    <row r="7690">
      <c r="A7690" s="11">
        <v>7689.0</v>
      </c>
      <c r="B7690" s="12">
        <f t="shared" si="1222"/>
        <v>41148</v>
      </c>
      <c r="C7690" s="11" t="s">
        <v>744</v>
      </c>
      <c r="D7690" s="11" t="s">
        <v>28</v>
      </c>
    </row>
    <row r="7691">
      <c r="A7691" s="11">
        <v>7690.0</v>
      </c>
      <c r="B7691" s="12">
        <f t="shared" si="1222"/>
        <v>41148</v>
      </c>
      <c r="C7691" s="11" t="s">
        <v>744</v>
      </c>
      <c r="D7691" s="11" t="s">
        <v>28</v>
      </c>
    </row>
    <row r="7692">
      <c r="A7692" s="11">
        <v>7691.0</v>
      </c>
      <c r="B7692" s="12">
        <f t="shared" si="1222"/>
        <v>41148</v>
      </c>
      <c r="C7692" s="11" t="s">
        <v>2104</v>
      </c>
      <c r="D7692" s="11" t="s">
        <v>66</v>
      </c>
    </row>
    <row r="7693">
      <c r="A7693" s="11">
        <v>7692.0</v>
      </c>
      <c r="B7693" s="12">
        <f t="shared" ref="B7693:B7701" si="1223">DATE(2012,12,31)-125</f>
        <v>41149</v>
      </c>
      <c r="C7693" s="11" t="s">
        <v>145</v>
      </c>
      <c r="D7693" s="11" t="s">
        <v>28</v>
      </c>
    </row>
    <row r="7694">
      <c r="A7694" s="11">
        <v>7693.0</v>
      </c>
      <c r="B7694" s="12">
        <f t="shared" si="1223"/>
        <v>41149</v>
      </c>
      <c r="C7694" s="11" t="s">
        <v>2062</v>
      </c>
      <c r="D7694" s="11" t="s">
        <v>49</v>
      </c>
    </row>
    <row r="7695">
      <c r="A7695" s="11">
        <v>7694.0</v>
      </c>
      <c r="B7695" s="12">
        <f t="shared" si="1223"/>
        <v>41149</v>
      </c>
      <c r="C7695" s="11" t="s">
        <v>2271</v>
      </c>
      <c r="D7695" s="11" t="s">
        <v>66</v>
      </c>
    </row>
    <row r="7696">
      <c r="A7696" s="11">
        <v>7695.0</v>
      </c>
      <c r="B7696" s="12">
        <f t="shared" si="1223"/>
        <v>41149</v>
      </c>
      <c r="C7696" s="11" t="s">
        <v>1131</v>
      </c>
      <c r="D7696" s="11" t="s">
        <v>66</v>
      </c>
    </row>
    <row r="7697">
      <c r="A7697" s="11">
        <v>7696.0</v>
      </c>
      <c r="B7697" s="12">
        <f t="shared" si="1223"/>
        <v>41149</v>
      </c>
      <c r="C7697" s="11" t="s">
        <v>2064</v>
      </c>
      <c r="D7697" s="11" t="s">
        <v>28</v>
      </c>
    </row>
    <row r="7698">
      <c r="A7698" s="11">
        <v>7697.0</v>
      </c>
      <c r="B7698" s="12">
        <f t="shared" si="1223"/>
        <v>41149</v>
      </c>
      <c r="C7698" s="11" t="s">
        <v>1633</v>
      </c>
      <c r="D7698" s="11" t="s">
        <v>66</v>
      </c>
    </row>
    <row r="7699">
      <c r="A7699" s="11">
        <v>7698.0</v>
      </c>
      <c r="B7699" s="12">
        <f t="shared" si="1223"/>
        <v>41149</v>
      </c>
      <c r="C7699" s="11" t="s">
        <v>349</v>
      </c>
      <c r="D7699" s="11" t="s">
        <v>66</v>
      </c>
    </row>
    <row r="7700">
      <c r="A7700" s="11">
        <v>7699.0</v>
      </c>
      <c r="B7700" s="12">
        <f t="shared" si="1223"/>
        <v>41149</v>
      </c>
      <c r="C7700" s="11" t="s">
        <v>349</v>
      </c>
      <c r="D7700" s="11" t="s">
        <v>28</v>
      </c>
    </row>
    <row r="7701">
      <c r="A7701" s="11">
        <v>7700.0</v>
      </c>
      <c r="B7701" s="12">
        <f t="shared" si="1223"/>
        <v>41149</v>
      </c>
      <c r="C7701" s="11" t="s">
        <v>320</v>
      </c>
      <c r="D7701" s="11" t="s">
        <v>28</v>
      </c>
    </row>
    <row r="7702">
      <c r="A7702" s="11">
        <v>7701.0</v>
      </c>
      <c r="B7702" s="12">
        <f t="shared" ref="B7702:B7707" si="1224">DATE(2012,12,31)-124</f>
        <v>41150</v>
      </c>
      <c r="C7702" s="11" t="s">
        <v>395</v>
      </c>
      <c r="D7702" s="11" t="s">
        <v>28</v>
      </c>
    </row>
    <row r="7703">
      <c r="A7703" s="11">
        <v>7702.0</v>
      </c>
      <c r="B7703" s="12">
        <f t="shared" si="1224"/>
        <v>41150</v>
      </c>
      <c r="C7703" s="11" t="s">
        <v>2422</v>
      </c>
      <c r="D7703" s="11" t="s">
        <v>28</v>
      </c>
    </row>
    <row r="7704">
      <c r="A7704" s="11">
        <v>7703.0</v>
      </c>
      <c r="B7704" s="12">
        <f t="shared" si="1224"/>
        <v>41150</v>
      </c>
      <c r="C7704" s="11" t="s">
        <v>2422</v>
      </c>
      <c r="D7704" s="11" t="s">
        <v>28</v>
      </c>
    </row>
    <row r="7705">
      <c r="A7705" s="11">
        <v>7704.0</v>
      </c>
      <c r="B7705" s="12">
        <f t="shared" si="1224"/>
        <v>41150</v>
      </c>
      <c r="C7705" s="11" t="s">
        <v>2063</v>
      </c>
      <c r="D7705" s="11" t="s">
        <v>49</v>
      </c>
    </row>
    <row r="7706">
      <c r="A7706" s="11">
        <v>7705.0</v>
      </c>
      <c r="B7706" s="12">
        <f t="shared" si="1224"/>
        <v>41150</v>
      </c>
      <c r="C7706" s="11" t="s">
        <v>2105</v>
      </c>
      <c r="D7706" s="11" t="s">
        <v>28</v>
      </c>
    </row>
    <row r="7707">
      <c r="A7707" s="11">
        <v>7706.0</v>
      </c>
      <c r="B7707" s="12">
        <f t="shared" si="1224"/>
        <v>41150</v>
      </c>
      <c r="C7707" s="11" t="s">
        <v>416</v>
      </c>
      <c r="D7707" s="11" t="s">
        <v>66</v>
      </c>
    </row>
    <row r="7708">
      <c r="A7708" s="11">
        <v>7707.0</v>
      </c>
      <c r="B7708" s="12">
        <f t="shared" ref="B7708:B7716" si="1225">DATE(2012,12,31)-123</f>
        <v>41151</v>
      </c>
      <c r="C7708" s="11" t="s">
        <v>1906</v>
      </c>
      <c r="D7708" s="11" t="s">
        <v>28</v>
      </c>
    </row>
    <row r="7709">
      <c r="A7709" s="11">
        <v>7708.0</v>
      </c>
      <c r="B7709" s="12">
        <f t="shared" si="1225"/>
        <v>41151</v>
      </c>
      <c r="C7709" s="11" t="s">
        <v>1425</v>
      </c>
      <c r="D7709" s="11" t="s">
        <v>28</v>
      </c>
    </row>
    <row r="7710">
      <c r="A7710" s="11">
        <v>7709.0</v>
      </c>
      <c r="B7710" s="12">
        <f t="shared" si="1225"/>
        <v>41151</v>
      </c>
      <c r="C7710" s="11" t="s">
        <v>647</v>
      </c>
      <c r="D7710" s="11" t="s">
        <v>66</v>
      </c>
    </row>
    <row r="7711">
      <c r="A7711" s="11">
        <v>7710.0</v>
      </c>
      <c r="B7711" s="12">
        <f t="shared" si="1225"/>
        <v>41151</v>
      </c>
      <c r="C7711" s="11" t="s">
        <v>647</v>
      </c>
      <c r="D7711" s="11" t="s">
        <v>28</v>
      </c>
    </row>
    <row r="7712">
      <c r="A7712" s="11">
        <v>7711.0</v>
      </c>
      <c r="B7712" s="12">
        <f t="shared" si="1225"/>
        <v>41151</v>
      </c>
      <c r="C7712" s="11" t="s">
        <v>72</v>
      </c>
      <c r="D7712" s="11" t="s">
        <v>28</v>
      </c>
    </row>
    <row r="7713">
      <c r="A7713" s="11">
        <v>7712.0</v>
      </c>
      <c r="B7713" s="12">
        <f t="shared" si="1225"/>
        <v>41151</v>
      </c>
      <c r="C7713" s="11" t="s">
        <v>337</v>
      </c>
      <c r="D7713" s="11" t="s">
        <v>28</v>
      </c>
    </row>
    <row r="7714">
      <c r="A7714" s="11">
        <v>7713.0</v>
      </c>
      <c r="B7714" s="12">
        <f t="shared" si="1225"/>
        <v>41151</v>
      </c>
      <c r="C7714" s="11" t="s">
        <v>1984</v>
      </c>
      <c r="D7714" s="11" t="s">
        <v>49</v>
      </c>
    </row>
    <row r="7715">
      <c r="A7715" s="11">
        <v>7714.0</v>
      </c>
      <c r="B7715" s="12">
        <f t="shared" si="1225"/>
        <v>41151</v>
      </c>
      <c r="C7715" s="11" t="s">
        <v>1915</v>
      </c>
      <c r="D7715" s="11" t="s">
        <v>28</v>
      </c>
    </row>
    <row r="7716">
      <c r="A7716" s="11">
        <v>7715.0</v>
      </c>
      <c r="B7716" s="12">
        <f t="shared" si="1225"/>
        <v>41151</v>
      </c>
      <c r="C7716" s="11" t="s">
        <v>1915</v>
      </c>
      <c r="D7716" s="11" t="s">
        <v>66</v>
      </c>
    </row>
    <row r="7717">
      <c r="A7717" s="11">
        <v>7716.0</v>
      </c>
      <c r="B7717" s="12">
        <f t="shared" ref="B7717:B7722" si="1226">DATE(2012,12,31)-121</f>
        <v>41153</v>
      </c>
      <c r="C7717" s="11" t="s">
        <v>697</v>
      </c>
      <c r="D7717" s="11" t="s">
        <v>66</v>
      </c>
    </row>
    <row r="7718">
      <c r="A7718" s="11">
        <v>7717.0</v>
      </c>
      <c r="B7718" s="12">
        <f t="shared" si="1226"/>
        <v>41153</v>
      </c>
      <c r="C7718" s="11" t="s">
        <v>535</v>
      </c>
      <c r="D7718" s="11" t="s">
        <v>49</v>
      </c>
    </row>
    <row r="7719">
      <c r="A7719" s="11">
        <v>7718.0</v>
      </c>
      <c r="B7719" s="12">
        <f t="shared" si="1226"/>
        <v>41153</v>
      </c>
      <c r="C7719" s="11" t="s">
        <v>2081</v>
      </c>
      <c r="D7719" s="11" t="s">
        <v>66</v>
      </c>
    </row>
    <row r="7720">
      <c r="A7720" s="11">
        <v>7719.0</v>
      </c>
      <c r="B7720" s="12">
        <f t="shared" si="1226"/>
        <v>41153</v>
      </c>
      <c r="C7720" s="11" t="s">
        <v>1681</v>
      </c>
      <c r="D7720" s="11" t="s">
        <v>28</v>
      </c>
    </row>
    <row r="7721">
      <c r="A7721" s="11">
        <v>7720.0</v>
      </c>
      <c r="B7721" s="12">
        <f t="shared" si="1226"/>
        <v>41153</v>
      </c>
      <c r="C7721" s="11" t="s">
        <v>288</v>
      </c>
      <c r="D7721" s="11" t="s">
        <v>28</v>
      </c>
    </row>
    <row r="7722">
      <c r="A7722" s="11">
        <v>7721.0</v>
      </c>
      <c r="B7722" s="12">
        <f t="shared" si="1226"/>
        <v>41153</v>
      </c>
      <c r="C7722" s="11" t="s">
        <v>288</v>
      </c>
      <c r="D7722" s="11" t="s">
        <v>49</v>
      </c>
    </row>
    <row r="7723">
      <c r="A7723" s="11">
        <v>7722.0</v>
      </c>
      <c r="B7723" s="12">
        <f t="shared" ref="B7723:B7734" si="1227">DATE(2012,12,31)-120</f>
        <v>41154</v>
      </c>
      <c r="C7723" s="11" t="s">
        <v>78</v>
      </c>
      <c r="D7723" s="11" t="s">
        <v>66</v>
      </c>
    </row>
    <row r="7724">
      <c r="A7724" s="11">
        <v>7723.0</v>
      </c>
      <c r="B7724" s="12">
        <f t="shared" si="1227"/>
        <v>41154</v>
      </c>
      <c r="C7724" s="11" t="s">
        <v>78</v>
      </c>
      <c r="D7724" s="11" t="s">
        <v>28</v>
      </c>
    </row>
    <row r="7725">
      <c r="A7725" s="11">
        <v>7724.0</v>
      </c>
      <c r="B7725" s="12">
        <f t="shared" si="1227"/>
        <v>41154</v>
      </c>
      <c r="C7725" s="11" t="s">
        <v>907</v>
      </c>
      <c r="D7725" s="11" t="s">
        <v>28</v>
      </c>
    </row>
    <row r="7726">
      <c r="A7726" s="11">
        <v>7725.0</v>
      </c>
      <c r="B7726" s="12">
        <f t="shared" si="1227"/>
        <v>41154</v>
      </c>
      <c r="C7726" s="11" t="s">
        <v>907</v>
      </c>
      <c r="D7726" s="11" t="s">
        <v>28</v>
      </c>
    </row>
    <row r="7727">
      <c r="A7727" s="11">
        <v>7726.0</v>
      </c>
      <c r="B7727" s="12">
        <f t="shared" si="1227"/>
        <v>41154</v>
      </c>
      <c r="C7727" s="11" t="s">
        <v>2076</v>
      </c>
      <c r="D7727" s="11" t="s">
        <v>28</v>
      </c>
    </row>
    <row r="7728">
      <c r="A7728" s="11">
        <v>7727.0</v>
      </c>
      <c r="B7728" s="12">
        <f t="shared" si="1227"/>
        <v>41154</v>
      </c>
      <c r="C7728" s="11" t="s">
        <v>2076</v>
      </c>
      <c r="D7728" s="11" t="s">
        <v>28</v>
      </c>
    </row>
    <row r="7729">
      <c r="A7729" s="11">
        <v>7728.0</v>
      </c>
      <c r="B7729" s="12">
        <f t="shared" si="1227"/>
        <v>41154</v>
      </c>
      <c r="C7729" s="11" t="s">
        <v>928</v>
      </c>
      <c r="D7729" s="11" t="s">
        <v>49</v>
      </c>
    </row>
    <row r="7730">
      <c r="A7730" s="11">
        <v>7729.0</v>
      </c>
      <c r="B7730" s="12">
        <f t="shared" si="1227"/>
        <v>41154</v>
      </c>
      <c r="C7730" s="11" t="s">
        <v>928</v>
      </c>
      <c r="D7730" s="11" t="s">
        <v>28</v>
      </c>
    </row>
    <row r="7731">
      <c r="A7731" s="11">
        <v>7730.0</v>
      </c>
      <c r="B7731" s="12">
        <f t="shared" si="1227"/>
        <v>41154</v>
      </c>
      <c r="C7731" s="11" t="s">
        <v>491</v>
      </c>
      <c r="D7731" s="11" t="s">
        <v>28</v>
      </c>
    </row>
    <row r="7732">
      <c r="A7732" s="11">
        <v>7731.0</v>
      </c>
      <c r="B7732" s="12">
        <f t="shared" si="1227"/>
        <v>41154</v>
      </c>
      <c r="C7732" s="11" t="s">
        <v>900</v>
      </c>
      <c r="D7732" s="11" t="s">
        <v>28</v>
      </c>
    </row>
    <row r="7733">
      <c r="A7733" s="11">
        <v>7732.0</v>
      </c>
      <c r="B7733" s="12">
        <f t="shared" si="1227"/>
        <v>41154</v>
      </c>
      <c r="C7733" s="11" t="s">
        <v>900</v>
      </c>
      <c r="D7733" s="11" t="s">
        <v>66</v>
      </c>
    </row>
    <row r="7734">
      <c r="A7734" s="11">
        <v>7733.0</v>
      </c>
      <c r="B7734" s="12">
        <f t="shared" si="1227"/>
        <v>41154</v>
      </c>
      <c r="C7734" s="11" t="s">
        <v>507</v>
      </c>
      <c r="D7734" s="11" t="s">
        <v>66</v>
      </c>
    </row>
    <row r="7735">
      <c r="A7735" s="11">
        <v>7734.0</v>
      </c>
      <c r="B7735" s="12">
        <f t="shared" ref="B7735:B7740" si="1228">DATE(2012,12,31)-119</f>
        <v>41155</v>
      </c>
      <c r="C7735" s="11" t="s">
        <v>2541</v>
      </c>
      <c r="D7735" s="11" t="s">
        <v>28</v>
      </c>
    </row>
    <row r="7736">
      <c r="A7736" s="11">
        <v>7735.0</v>
      </c>
      <c r="B7736" s="12">
        <f t="shared" si="1228"/>
        <v>41155</v>
      </c>
      <c r="C7736" s="11" t="s">
        <v>1133</v>
      </c>
      <c r="D7736" s="11" t="s">
        <v>66</v>
      </c>
    </row>
    <row r="7737">
      <c r="A7737" s="11">
        <v>7736.0</v>
      </c>
      <c r="B7737" s="12">
        <f t="shared" si="1228"/>
        <v>41155</v>
      </c>
      <c r="C7737" s="11" t="s">
        <v>1179</v>
      </c>
      <c r="D7737" s="11" t="s">
        <v>66</v>
      </c>
    </row>
    <row r="7738">
      <c r="A7738" s="11">
        <v>7737.0</v>
      </c>
      <c r="B7738" s="12">
        <f t="shared" si="1228"/>
        <v>41155</v>
      </c>
      <c r="C7738" s="11" t="s">
        <v>279</v>
      </c>
      <c r="D7738" s="11" t="s">
        <v>66</v>
      </c>
    </row>
    <row r="7739">
      <c r="A7739" s="11">
        <v>7738.0</v>
      </c>
      <c r="B7739" s="12">
        <f t="shared" si="1228"/>
        <v>41155</v>
      </c>
      <c r="C7739" s="11" t="s">
        <v>930</v>
      </c>
      <c r="D7739" s="11" t="s">
        <v>28</v>
      </c>
    </row>
    <row r="7740">
      <c r="A7740" s="11">
        <v>7739.0</v>
      </c>
      <c r="B7740" s="12">
        <f t="shared" si="1228"/>
        <v>41155</v>
      </c>
      <c r="C7740" s="11" t="s">
        <v>930</v>
      </c>
      <c r="D7740" s="11" t="s">
        <v>28</v>
      </c>
    </row>
    <row r="7741">
      <c r="A7741" s="11">
        <v>7740.0</v>
      </c>
      <c r="B7741" s="12">
        <f t="shared" ref="B7741:B7744" si="1229">DATE(2012,12,31)-118</f>
        <v>41156</v>
      </c>
      <c r="C7741" s="11" t="s">
        <v>412</v>
      </c>
      <c r="D7741" s="11" t="s">
        <v>66</v>
      </c>
    </row>
    <row r="7742">
      <c r="A7742" s="11">
        <v>7741.0</v>
      </c>
      <c r="B7742" s="12">
        <f t="shared" si="1229"/>
        <v>41156</v>
      </c>
      <c r="C7742" s="11" t="s">
        <v>412</v>
      </c>
      <c r="D7742" s="11" t="s">
        <v>28</v>
      </c>
    </row>
    <row r="7743">
      <c r="A7743" s="11">
        <v>7742.0</v>
      </c>
      <c r="B7743" s="12">
        <f t="shared" si="1229"/>
        <v>41156</v>
      </c>
      <c r="C7743" s="11" t="s">
        <v>1014</v>
      </c>
      <c r="D7743" s="11" t="s">
        <v>49</v>
      </c>
    </row>
    <row r="7744">
      <c r="A7744" s="11">
        <v>7743.0</v>
      </c>
      <c r="B7744" s="12">
        <f t="shared" si="1229"/>
        <v>41156</v>
      </c>
      <c r="C7744" s="11" t="s">
        <v>876</v>
      </c>
      <c r="D7744" s="11" t="s">
        <v>28</v>
      </c>
    </row>
    <row r="7745">
      <c r="A7745" s="11">
        <v>7744.0</v>
      </c>
      <c r="B7745" s="12">
        <f t="shared" ref="B7745:B7756" si="1230">DATE(2012,12,31)-117</f>
        <v>41157</v>
      </c>
      <c r="C7745" s="11" t="s">
        <v>2276</v>
      </c>
      <c r="D7745" s="11" t="s">
        <v>28</v>
      </c>
    </row>
    <row r="7746">
      <c r="A7746" s="11">
        <v>7745.0</v>
      </c>
      <c r="B7746" s="12">
        <f t="shared" si="1230"/>
        <v>41157</v>
      </c>
      <c r="C7746" s="11" t="s">
        <v>2597</v>
      </c>
      <c r="D7746" s="11" t="s">
        <v>49</v>
      </c>
    </row>
    <row r="7747">
      <c r="A7747" s="11">
        <v>7746.0</v>
      </c>
      <c r="B7747" s="12">
        <f t="shared" si="1230"/>
        <v>41157</v>
      </c>
      <c r="C7747" s="11" t="s">
        <v>395</v>
      </c>
      <c r="D7747" s="11" t="s">
        <v>28</v>
      </c>
    </row>
    <row r="7748">
      <c r="A7748" s="11">
        <v>7747.0</v>
      </c>
      <c r="B7748" s="12">
        <f t="shared" si="1230"/>
        <v>41157</v>
      </c>
      <c r="C7748" s="11" t="s">
        <v>395</v>
      </c>
      <c r="D7748" s="11" t="s">
        <v>66</v>
      </c>
    </row>
    <row r="7749">
      <c r="A7749" s="11">
        <v>7748.0</v>
      </c>
      <c r="B7749" s="12">
        <f t="shared" si="1230"/>
        <v>41157</v>
      </c>
      <c r="C7749" s="11" t="s">
        <v>395</v>
      </c>
      <c r="D7749" s="11" t="s">
        <v>49</v>
      </c>
    </row>
    <row r="7750">
      <c r="A7750" s="11">
        <v>7749.0</v>
      </c>
      <c r="B7750" s="12">
        <f t="shared" si="1230"/>
        <v>41157</v>
      </c>
      <c r="C7750" s="11" t="s">
        <v>1320</v>
      </c>
      <c r="D7750" s="11" t="s">
        <v>66</v>
      </c>
    </row>
    <row r="7751">
      <c r="A7751" s="11">
        <v>7750.0</v>
      </c>
      <c r="B7751" s="12">
        <f t="shared" si="1230"/>
        <v>41157</v>
      </c>
      <c r="C7751" s="11" t="s">
        <v>1320</v>
      </c>
      <c r="D7751" s="11" t="s">
        <v>66</v>
      </c>
    </row>
    <row r="7752">
      <c r="A7752" s="11">
        <v>7751.0</v>
      </c>
      <c r="B7752" s="12">
        <f t="shared" si="1230"/>
        <v>41157</v>
      </c>
      <c r="C7752" s="11" t="s">
        <v>1887</v>
      </c>
      <c r="D7752" s="11" t="s">
        <v>49</v>
      </c>
    </row>
    <row r="7753">
      <c r="A7753" s="11">
        <v>7752.0</v>
      </c>
      <c r="B7753" s="12">
        <f t="shared" si="1230"/>
        <v>41157</v>
      </c>
      <c r="C7753" s="11" t="s">
        <v>1605</v>
      </c>
      <c r="D7753" s="11" t="s">
        <v>28</v>
      </c>
    </row>
    <row r="7754">
      <c r="A7754" s="11">
        <v>7753.0</v>
      </c>
      <c r="B7754" s="12">
        <f t="shared" si="1230"/>
        <v>41157</v>
      </c>
      <c r="C7754" s="11" t="s">
        <v>353</v>
      </c>
      <c r="D7754" s="11" t="s">
        <v>28</v>
      </c>
    </row>
    <row r="7755">
      <c r="A7755" s="11">
        <v>7754.0</v>
      </c>
      <c r="B7755" s="12">
        <f t="shared" si="1230"/>
        <v>41157</v>
      </c>
      <c r="C7755" s="11" t="s">
        <v>353</v>
      </c>
      <c r="D7755" s="11" t="s">
        <v>49</v>
      </c>
    </row>
    <row r="7756">
      <c r="A7756" s="11">
        <v>7755.0</v>
      </c>
      <c r="B7756" s="12">
        <f t="shared" si="1230"/>
        <v>41157</v>
      </c>
      <c r="C7756" s="11" t="s">
        <v>2101</v>
      </c>
      <c r="D7756" s="11" t="s">
        <v>49</v>
      </c>
    </row>
    <row r="7757">
      <c r="A7757" s="11">
        <v>7756.0</v>
      </c>
      <c r="B7757" s="12">
        <f t="shared" ref="B7757:B7760" si="1231">DATE(2012,12,31)-116</f>
        <v>41158</v>
      </c>
      <c r="C7757" s="11" t="s">
        <v>2092</v>
      </c>
      <c r="D7757" s="11" t="s">
        <v>49</v>
      </c>
    </row>
    <row r="7758">
      <c r="A7758" s="11">
        <v>7757.0</v>
      </c>
      <c r="B7758" s="12">
        <f t="shared" si="1231"/>
        <v>41158</v>
      </c>
      <c r="C7758" s="11" t="s">
        <v>2092</v>
      </c>
      <c r="D7758" s="11" t="s">
        <v>66</v>
      </c>
    </row>
    <row r="7759">
      <c r="A7759" s="11">
        <v>7758.0</v>
      </c>
      <c r="B7759" s="12">
        <f t="shared" si="1231"/>
        <v>41158</v>
      </c>
      <c r="C7759" s="11" t="s">
        <v>2315</v>
      </c>
      <c r="D7759" s="11" t="s">
        <v>28</v>
      </c>
    </row>
    <row r="7760">
      <c r="A7760" s="11">
        <v>7759.0</v>
      </c>
      <c r="B7760" s="12">
        <f t="shared" si="1231"/>
        <v>41158</v>
      </c>
      <c r="C7760" s="11" t="s">
        <v>1142</v>
      </c>
      <c r="D7760" s="11" t="s">
        <v>66</v>
      </c>
    </row>
    <row r="7761">
      <c r="A7761" s="11">
        <v>7760.0</v>
      </c>
      <c r="B7761" s="12">
        <f t="shared" ref="B7761:B7764" si="1232">DATE(2012,12,31)-115</f>
        <v>41159</v>
      </c>
      <c r="C7761" s="11" t="s">
        <v>819</v>
      </c>
      <c r="D7761" s="11" t="s">
        <v>28</v>
      </c>
    </row>
    <row r="7762">
      <c r="A7762" s="11">
        <v>7761.0</v>
      </c>
      <c r="B7762" s="12">
        <f t="shared" si="1232"/>
        <v>41159</v>
      </c>
      <c r="C7762" s="11" t="s">
        <v>819</v>
      </c>
      <c r="D7762" s="11" t="s">
        <v>49</v>
      </c>
    </row>
    <row r="7763">
      <c r="A7763" s="11">
        <v>7762.0</v>
      </c>
      <c r="B7763" s="12">
        <f t="shared" si="1232"/>
        <v>41159</v>
      </c>
      <c r="C7763" s="11" t="s">
        <v>819</v>
      </c>
      <c r="D7763" s="11" t="s">
        <v>28</v>
      </c>
    </row>
    <row r="7764">
      <c r="A7764" s="11">
        <v>7763.0</v>
      </c>
      <c r="B7764" s="12">
        <f t="shared" si="1232"/>
        <v>41159</v>
      </c>
      <c r="C7764" s="11" t="s">
        <v>1045</v>
      </c>
      <c r="D7764" s="11" t="s">
        <v>28</v>
      </c>
    </row>
    <row r="7765">
      <c r="A7765" s="11">
        <v>7764.0</v>
      </c>
      <c r="B7765" s="12">
        <f t="shared" ref="B7765:B7769" si="1233">DATE(2012,12,31)-114</f>
        <v>41160</v>
      </c>
      <c r="C7765" s="11" t="s">
        <v>1664</v>
      </c>
      <c r="D7765" s="11" t="s">
        <v>49</v>
      </c>
    </row>
    <row r="7766">
      <c r="A7766" s="11">
        <v>7765.0</v>
      </c>
      <c r="B7766" s="12">
        <f t="shared" si="1233"/>
        <v>41160</v>
      </c>
      <c r="C7766" s="11" t="s">
        <v>1664</v>
      </c>
      <c r="D7766" s="11" t="s">
        <v>49</v>
      </c>
    </row>
    <row r="7767">
      <c r="A7767" s="11">
        <v>7766.0</v>
      </c>
      <c r="B7767" s="12">
        <f t="shared" si="1233"/>
        <v>41160</v>
      </c>
      <c r="C7767" s="11" t="s">
        <v>2043</v>
      </c>
      <c r="D7767" s="11" t="s">
        <v>49</v>
      </c>
    </row>
    <row r="7768">
      <c r="A7768" s="11">
        <v>7767.0</v>
      </c>
      <c r="B7768" s="12">
        <f t="shared" si="1233"/>
        <v>41160</v>
      </c>
      <c r="C7768" s="11" t="s">
        <v>2346</v>
      </c>
      <c r="D7768" s="11" t="s">
        <v>28</v>
      </c>
    </row>
    <row r="7769">
      <c r="A7769" s="11">
        <v>7768.0</v>
      </c>
      <c r="B7769" s="12">
        <f t="shared" si="1233"/>
        <v>41160</v>
      </c>
      <c r="C7769" s="11" t="s">
        <v>2346</v>
      </c>
      <c r="D7769" s="11" t="s">
        <v>28</v>
      </c>
    </row>
    <row r="7770">
      <c r="A7770" s="11">
        <v>7769.0</v>
      </c>
      <c r="B7770" s="12">
        <f t="shared" ref="B7770:B7776" si="1234">DATE(2012,12,31)-113</f>
        <v>41161</v>
      </c>
      <c r="C7770" s="11" t="s">
        <v>2441</v>
      </c>
      <c r="D7770" s="11" t="s">
        <v>66</v>
      </c>
    </row>
    <row r="7771">
      <c r="A7771" s="11">
        <v>7770.0</v>
      </c>
      <c r="B7771" s="12">
        <f t="shared" si="1234"/>
        <v>41161</v>
      </c>
      <c r="C7771" s="11" t="s">
        <v>2441</v>
      </c>
      <c r="D7771" s="11" t="s">
        <v>28</v>
      </c>
    </row>
    <row r="7772">
      <c r="A7772" s="11">
        <v>7771.0</v>
      </c>
      <c r="B7772" s="12">
        <f t="shared" si="1234"/>
        <v>41161</v>
      </c>
      <c r="C7772" s="11" t="s">
        <v>2228</v>
      </c>
      <c r="D7772" s="11" t="s">
        <v>28</v>
      </c>
    </row>
    <row r="7773">
      <c r="A7773" s="11">
        <v>7772.0</v>
      </c>
      <c r="B7773" s="12">
        <f t="shared" si="1234"/>
        <v>41161</v>
      </c>
      <c r="C7773" s="11" t="s">
        <v>2228</v>
      </c>
      <c r="D7773" s="11" t="s">
        <v>49</v>
      </c>
    </row>
    <row r="7774">
      <c r="A7774" s="11">
        <v>7773.0</v>
      </c>
      <c r="B7774" s="12">
        <f t="shared" si="1234"/>
        <v>41161</v>
      </c>
      <c r="C7774" s="11" t="s">
        <v>1963</v>
      </c>
      <c r="D7774" s="11" t="s">
        <v>28</v>
      </c>
    </row>
    <row r="7775">
      <c r="A7775" s="11">
        <v>7774.0</v>
      </c>
      <c r="B7775" s="12">
        <f t="shared" si="1234"/>
        <v>41161</v>
      </c>
      <c r="C7775" s="11" t="s">
        <v>2052</v>
      </c>
      <c r="D7775" s="11" t="s">
        <v>28</v>
      </c>
    </row>
    <row r="7776">
      <c r="A7776" s="11">
        <v>7775.0</v>
      </c>
      <c r="B7776" s="12">
        <f t="shared" si="1234"/>
        <v>41161</v>
      </c>
      <c r="C7776" s="11" t="s">
        <v>2052</v>
      </c>
      <c r="D7776" s="11" t="s">
        <v>28</v>
      </c>
    </row>
    <row r="7777">
      <c r="A7777" s="11">
        <v>7776.0</v>
      </c>
      <c r="B7777" s="12">
        <f t="shared" ref="B7777:B7785" si="1235">DATE(2012,12,31)-112</f>
        <v>41162</v>
      </c>
      <c r="C7777" s="11" t="s">
        <v>1773</v>
      </c>
      <c r="D7777" s="11" t="s">
        <v>28</v>
      </c>
    </row>
    <row r="7778">
      <c r="A7778" s="11">
        <v>7777.0</v>
      </c>
      <c r="B7778" s="12">
        <f t="shared" si="1235"/>
        <v>41162</v>
      </c>
      <c r="C7778" s="11" t="s">
        <v>1773</v>
      </c>
      <c r="D7778" s="11" t="s">
        <v>28</v>
      </c>
    </row>
    <row r="7779">
      <c r="A7779" s="11">
        <v>7778.0</v>
      </c>
      <c r="B7779" s="12">
        <f t="shared" si="1235"/>
        <v>41162</v>
      </c>
      <c r="C7779" s="11" t="s">
        <v>2098</v>
      </c>
      <c r="D7779" s="11" t="s">
        <v>49</v>
      </c>
    </row>
    <row r="7780">
      <c r="A7780" s="11">
        <v>7779.0</v>
      </c>
      <c r="B7780" s="12">
        <f t="shared" si="1235"/>
        <v>41162</v>
      </c>
      <c r="C7780" s="11" t="s">
        <v>2098</v>
      </c>
      <c r="D7780" s="11" t="s">
        <v>28</v>
      </c>
    </row>
    <row r="7781">
      <c r="A7781" s="11">
        <v>7780.0</v>
      </c>
      <c r="B7781" s="12">
        <f t="shared" si="1235"/>
        <v>41162</v>
      </c>
      <c r="C7781" s="11" t="s">
        <v>2098</v>
      </c>
      <c r="D7781" s="11" t="s">
        <v>66</v>
      </c>
    </row>
    <row r="7782">
      <c r="A7782" s="11">
        <v>7781.0</v>
      </c>
      <c r="B7782" s="12">
        <f t="shared" si="1235"/>
        <v>41162</v>
      </c>
      <c r="C7782" s="11" t="s">
        <v>2098</v>
      </c>
      <c r="D7782" s="11" t="s">
        <v>66</v>
      </c>
    </row>
    <row r="7783">
      <c r="A7783" s="11">
        <v>7782.0</v>
      </c>
      <c r="B7783" s="12">
        <f t="shared" si="1235"/>
        <v>41162</v>
      </c>
      <c r="C7783" s="11" t="s">
        <v>2493</v>
      </c>
      <c r="D7783" s="11" t="s">
        <v>28</v>
      </c>
    </row>
    <row r="7784">
      <c r="A7784" s="11">
        <v>7783.0</v>
      </c>
      <c r="B7784" s="12">
        <f t="shared" si="1235"/>
        <v>41162</v>
      </c>
      <c r="C7784" s="11" t="s">
        <v>1524</v>
      </c>
      <c r="D7784" s="11" t="s">
        <v>49</v>
      </c>
    </row>
    <row r="7785">
      <c r="A7785" s="11">
        <v>7784.0</v>
      </c>
      <c r="B7785" s="12">
        <f t="shared" si="1235"/>
        <v>41162</v>
      </c>
      <c r="C7785" s="11" t="s">
        <v>1524</v>
      </c>
      <c r="D7785" s="11" t="s">
        <v>66</v>
      </c>
    </row>
    <row r="7786">
      <c r="A7786" s="11">
        <v>7785.0</v>
      </c>
      <c r="B7786" s="12">
        <f t="shared" ref="B7786:B7788" si="1236">DATE(2012,12,31)-111</f>
        <v>41163</v>
      </c>
      <c r="C7786" s="11" t="s">
        <v>1564</v>
      </c>
      <c r="D7786" s="11" t="s">
        <v>28</v>
      </c>
    </row>
    <row r="7787">
      <c r="A7787" s="11">
        <v>7786.0</v>
      </c>
      <c r="B7787" s="12">
        <f t="shared" si="1236"/>
        <v>41163</v>
      </c>
      <c r="C7787" s="11" t="s">
        <v>1319</v>
      </c>
      <c r="D7787" s="11" t="s">
        <v>28</v>
      </c>
    </row>
    <row r="7788">
      <c r="A7788" s="11">
        <v>7787.0</v>
      </c>
      <c r="B7788" s="12">
        <f t="shared" si="1236"/>
        <v>41163</v>
      </c>
      <c r="C7788" s="11" t="s">
        <v>1319</v>
      </c>
      <c r="D7788" s="11" t="s">
        <v>66</v>
      </c>
    </row>
    <row r="7789">
      <c r="A7789" s="11">
        <v>7788.0</v>
      </c>
      <c r="B7789" s="12">
        <f t="shared" ref="B7789:B7798" si="1237">DATE(2012,12,31)-110</f>
        <v>41164</v>
      </c>
      <c r="C7789" s="11" t="s">
        <v>1123</v>
      </c>
      <c r="D7789" s="11" t="s">
        <v>28</v>
      </c>
    </row>
    <row r="7790">
      <c r="A7790" s="11">
        <v>7789.0</v>
      </c>
      <c r="B7790" s="12">
        <f t="shared" si="1237"/>
        <v>41164</v>
      </c>
      <c r="C7790" s="11" t="s">
        <v>1123</v>
      </c>
      <c r="D7790" s="11" t="s">
        <v>28</v>
      </c>
    </row>
    <row r="7791">
      <c r="A7791" s="11">
        <v>7790.0</v>
      </c>
      <c r="B7791" s="12">
        <f t="shared" si="1237"/>
        <v>41164</v>
      </c>
      <c r="C7791" s="11" t="s">
        <v>1123</v>
      </c>
      <c r="D7791" s="11" t="s">
        <v>49</v>
      </c>
    </row>
    <row r="7792">
      <c r="A7792" s="11">
        <v>7791.0</v>
      </c>
      <c r="B7792" s="12">
        <f t="shared" si="1237"/>
        <v>41164</v>
      </c>
      <c r="C7792" s="11" t="s">
        <v>1720</v>
      </c>
      <c r="D7792" s="11" t="s">
        <v>49</v>
      </c>
    </row>
    <row r="7793">
      <c r="A7793" s="11">
        <v>7792.0</v>
      </c>
      <c r="B7793" s="12">
        <f t="shared" si="1237"/>
        <v>41164</v>
      </c>
      <c r="C7793" s="11" t="s">
        <v>1720</v>
      </c>
      <c r="D7793" s="11" t="s">
        <v>28</v>
      </c>
    </row>
    <row r="7794">
      <c r="A7794" s="11">
        <v>7793.0</v>
      </c>
      <c r="B7794" s="12">
        <f t="shared" si="1237"/>
        <v>41164</v>
      </c>
      <c r="C7794" s="11" t="s">
        <v>1799</v>
      </c>
      <c r="D7794" s="11" t="s">
        <v>49</v>
      </c>
    </row>
    <row r="7795">
      <c r="A7795" s="11">
        <v>7794.0</v>
      </c>
      <c r="B7795" s="12">
        <f t="shared" si="1237"/>
        <v>41164</v>
      </c>
      <c r="C7795" s="11" t="s">
        <v>600</v>
      </c>
      <c r="D7795" s="11" t="s">
        <v>49</v>
      </c>
    </row>
    <row r="7796">
      <c r="A7796" s="11">
        <v>7795.0</v>
      </c>
      <c r="B7796" s="12">
        <f t="shared" si="1237"/>
        <v>41164</v>
      </c>
      <c r="C7796" s="11" t="s">
        <v>600</v>
      </c>
      <c r="D7796" s="11" t="s">
        <v>28</v>
      </c>
    </row>
    <row r="7797">
      <c r="A7797" s="11">
        <v>7796.0</v>
      </c>
      <c r="B7797" s="12">
        <f t="shared" si="1237"/>
        <v>41164</v>
      </c>
      <c r="C7797" s="11" t="s">
        <v>1516</v>
      </c>
      <c r="D7797" s="11" t="s">
        <v>66</v>
      </c>
    </row>
    <row r="7798">
      <c r="A7798" s="11">
        <v>7797.0</v>
      </c>
      <c r="B7798" s="12">
        <f t="shared" si="1237"/>
        <v>41164</v>
      </c>
      <c r="C7798" s="11" t="s">
        <v>839</v>
      </c>
      <c r="D7798" s="11" t="s">
        <v>28</v>
      </c>
    </row>
    <row r="7799">
      <c r="A7799" s="11">
        <v>7798.0</v>
      </c>
      <c r="B7799" s="12">
        <f t="shared" ref="B7799:B7807" si="1238">DATE(2012,12,31)-109</f>
        <v>41165</v>
      </c>
      <c r="C7799" s="11" t="s">
        <v>1625</v>
      </c>
      <c r="D7799" s="11" t="s">
        <v>66</v>
      </c>
    </row>
    <row r="7800">
      <c r="A7800" s="11">
        <v>7799.0</v>
      </c>
      <c r="B7800" s="12">
        <f t="shared" si="1238"/>
        <v>41165</v>
      </c>
      <c r="C7800" s="11" t="s">
        <v>1625</v>
      </c>
      <c r="D7800" s="11" t="s">
        <v>28</v>
      </c>
    </row>
    <row r="7801">
      <c r="A7801" s="11">
        <v>7800.0</v>
      </c>
      <c r="B7801" s="12">
        <f t="shared" si="1238"/>
        <v>41165</v>
      </c>
      <c r="C7801" s="11" t="s">
        <v>1605</v>
      </c>
      <c r="D7801" s="11" t="s">
        <v>28</v>
      </c>
    </row>
    <row r="7802">
      <c r="A7802" s="11">
        <v>7801.0</v>
      </c>
      <c r="B7802" s="12">
        <f t="shared" si="1238"/>
        <v>41165</v>
      </c>
      <c r="C7802" s="11" t="s">
        <v>925</v>
      </c>
      <c r="D7802" s="11" t="s">
        <v>28</v>
      </c>
    </row>
    <row r="7803">
      <c r="A7803" s="11">
        <v>7802.0</v>
      </c>
      <c r="B7803" s="12">
        <f t="shared" si="1238"/>
        <v>41165</v>
      </c>
      <c r="C7803" s="11" t="s">
        <v>925</v>
      </c>
      <c r="D7803" s="11" t="s">
        <v>49</v>
      </c>
    </row>
    <row r="7804">
      <c r="A7804" s="11">
        <v>7803.0</v>
      </c>
      <c r="B7804" s="12">
        <f t="shared" si="1238"/>
        <v>41165</v>
      </c>
      <c r="C7804" s="11" t="s">
        <v>2329</v>
      </c>
      <c r="D7804" s="11" t="s">
        <v>66</v>
      </c>
    </row>
    <row r="7805">
      <c r="A7805" s="11">
        <v>7804.0</v>
      </c>
      <c r="B7805" s="12">
        <f t="shared" si="1238"/>
        <v>41165</v>
      </c>
      <c r="C7805" s="11" t="s">
        <v>746</v>
      </c>
      <c r="D7805" s="11" t="s">
        <v>28</v>
      </c>
    </row>
    <row r="7806">
      <c r="A7806" s="11">
        <v>7805.0</v>
      </c>
      <c r="B7806" s="12">
        <f t="shared" si="1238"/>
        <v>41165</v>
      </c>
      <c r="C7806" s="11" t="s">
        <v>1906</v>
      </c>
      <c r="D7806" s="11" t="s">
        <v>66</v>
      </c>
    </row>
    <row r="7807">
      <c r="A7807" s="11">
        <v>7806.0</v>
      </c>
      <c r="B7807" s="12">
        <f t="shared" si="1238"/>
        <v>41165</v>
      </c>
      <c r="C7807" s="11" t="s">
        <v>1906</v>
      </c>
      <c r="D7807" s="11" t="s">
        <v>28</v>
      </c>
    </row>
    <row r="7808">
      <c r="A7808" s="11">
        <v>7807.0</v>
      </c>
      <c r="B7808" s="12">
        <f t="shared" ref="B7808:B7816" si="1239">DATE(2012,12,31)-108</f>
        <v>41166</v>
      </c>
      <c r="C7808" s="11" t="s">
        <v>617</v>
      </c>
      <c r="D7808" s="11" t="s">
        <v>66</v>
      </c>
    </row>
    <row r="7809">
      <c r="A7809" s="11">
        <v>7808.0</v>
      </c>
      <c r="B7809" s="12">
        <f t="shared" si="1239"/>
        <v>41166</v>
      </c>
      <c r="C7809" s="11" t="s">
        <v>1948</v>
      </c>
      <c r="D7809" s="11" t="s">
        <v>28</v>
      </c>
    </row>
    <row r="7810">
      <c r="A7810" s="11">
        <v>7809.0</v>
      </c>
      <c r="B7810" s="12">
        <f t="shared" si="1239"/>
        <v>41166</v>
      </c>
      <c r="C7810" s="11" t="s">
        <v>2194</v>
      </c>
      <c r="D7810" s="11" t="s">
        <v>28</v>
      </c>
    </row>
    <row r="7811">
      <c r="A7811" s="11">
        <v>7810.0</v>
      </c>
      <c r="B7811" s="12">
        <f t="shared" si="1239"/>
        <v>41166</v>
      </c>
      <c r="C7811" s="11" t="s">
        <v>2194</v>
      </c>
      <c r="D7811" s="11" t="s">
        <v>28</v>
      </c>
    </row>
    <row r="7812">
      <c r="A7812" s="11">
        <v>7811.0</v>
      </c>
      <c r="B7812" s="12">
        <f t="shared" si="1239"/>
        <v>41166</v>
      </c>
      <c r="C7812" s="11" t="s">
        <v>2194</v>
      </c>
      <c r="D7812" s="11" t="s">
        <v>28</v>
      </c>
    </row>
    <row r="7813">
      <c r="A7813" s="11">
        <v>7812.0</v>
      </c>
      <c r="B7813" s="12">
        <f t="shared" si="1239"/>
        <v>41166</v>
      </c>
      <c r="C7813" s="11" t="s">
        <v>1008</v>
      </c>
      <c r="D7813" s="11" t="s">
        <v>28</v>
      </c>
    </row>
    <row r="7814">
      <c r="A7814" s="11">
        <v>7813.0</v>
      </c>
      <c r="B7814" s="12">
        <f t="shared" si="1239"/>
        <v>41166</v>
      </c>
      <c r="C7814" s="11" t="s">
        <v>479</v>
      </c>
      <c r="D7814" s="11" t="s">
        <v>28</v>
      </c>
    </row>
    <row r="7815">
      <c r="A7815" s="11">
        <v>7814.0</v>
      </c>
      <c r="B7815" s="12">
        <f t="shared" si="1239"/>
        <v>41166</v>
      </c>
      <c r="C7815" s="11" t="s">
        <v>479</v>
      </c>
      <c r="D7815" s="11" t="s">
        <v>66</v>
      </c>
    </row>
    <row r="7816">
      <c r="A7816" s="11">
        <v>7815.0</v>
      </c>
      <c r="B7816" s="12">
        <f t="shared" si="1239"/>
        <v>41166</v>
      </c>
      <c r="C7816" s="11" t="s">
        <v>479</v>
      </c>
      <c r="D7816" s="11" t="s">
        <v>49</v>
      </c>
    </row>
    <row r="7817">
      <c r="A7817" s="11">
        <v>7816.0</v>
      </c>
      <c r="B7817" s="12">
        <f t="shared" ref="B7817:B7825" si="1240">DATE(2012,12,31)-107</f>
        <v>41167</v>
      </c>
      <c r="C7817" s="11" t="s">
        <v>187</v>
      </c>
      <c r="D7817" s="11" t="s">
        <v>28</v>
      </c>
    </row>
    <row r="7818">
      <c r="A7818" s="11">
        <v>7817.0</v>
      </c>
      <c r="B7818" s="12">
        <f t="shared" si="1240"/>
        <v>41167</v>
      </c>
      <c r="C7818" s="11" t="s">
        <v>187</v>
      </c>
      <c r="D7818" s="11" t="s">
        <v>28</v>
      </c>
    </row>
    <row r="7819">
      <c r="A7819" s="11">
        <v>7818.0</v>
      </c>
      <c r="B7819" s="12">
        <f t="shared" si="1240"/>
        <v>41167</v>
      </c>
      <c r="C7819" s="11" t="s">
        <v>239</v>
      </c>
      <c r="D7819" s="11" t="s">
        <v>49</v>
      </c>
    </row>
    <row r="7820">
      <c r="A7820" s="11">
        <v>7819.0</v>
      </c>
      <c r="B7820" s="12">
        <f t="shared" si="1240"/>
        <v>41167</v>
      </c>
      <c r="C7820" s="11" t="s">
        <v>1110</v>
      </c>
      <c r="D7820" s="11" t="s">
        <v>28</v>
      </c>
    </row>
    <row r="7821">
      <c r="A7821" s="11">
        <v>7820.0</v>
      </c>
      <c r="B7821" s="12">
        <f t="shared" si="1240"/>
        <v>41167</v>
      </c>
      <c r="C7821" s="11" t="s">
        <v>1110</v>
      </c>
      <c r="D7821" s="11" t="s">
        <v>49</v>
      </c>
    </row>
    <row r="7822">
      <c r="A7822" s="11">
        <v>7821.0</v>
      </c>
      <c r="B7822" s="12">
        <f t="shared" si="1240"/>
        <v>41167</v>
      </c>
      <c r="C7822" s="11" t="s">
        <v>735</v>
      </c>
      <c r="D7822" s="11" t="s">
        <v>28</v>
      </c>
    </row>
    <row r="7823">
      <c r="A7823" s="11">
        <v>7822.0</v>
      </c>
      <c r="B7823" s="12">
        <f t="shared" si="1240"/>
        <v>41167</v>
      </c>
      <c r="C7823" s="11" t="s">
        <v>735</v>
      </c>
      <c r="D7823" s="11" t="s">
        <v>28</v>
      </c>
    </row>
    <row r="7824">
      <c r="A7824" s="11">
        <v>7823.0</v>
      </c>
      <c r="B7824" s="12">
        <f t="shared" si="1240"/>
        <v>41167</v>
      </c>
      <c r="C7824" s="11" t="s">
        <v>145</v>
      </c>
      <c r="D7824" s="11" t="s">
        <v>49</v>
      </c>
    </row>
    <row r="7825">
      <c r="A7825" s="11">
        <v>7824.0</v>
      </c>
      <c r="B7825" s="12">
        <f t="shared" si="1240"/>
        <v>41167</v>
      </c>
      <c r="C7825" s="11" t="s">
        <v>839</v>
      </c>
      <c r="D7825" s="11" t="s">
        <v>49</v>
      </c>
    </row>
    <row r="7826">
      <c r="A7826" s="11">
        <v>7825.0</v>
      </c>
      <c r="B7826" s="12">
        <f t="shared" ref="B7826:B7833" si="1241">DATE(2012,12,31)-106</f>
        <v>41168</v>
      </c>
      <c r="C7826" s="11" t="s">
        <v>392</v>
      </c>
      <c r="D7826" s="11" t="s">
        <v>28</v>
      </c>
    </row>
    <row r="7827">
      <c r="A7827" s="11">
        <v>7826.0</v>
      </c>
      <c r="B7827" s="12">
        <f t="shared" si="1241"/>
        <v>41168</v>
      </c>
      <c r="C7827" s="11" t="s">
        <v>392</v>
      </c>
      <c r="D7827" s="11" t="s">
        <v>28</v>
      </c>
    </row>
    <row r="7828">
      <c r="A7828" s="11">
        <v>7827.0</v>
      </c>
      <c r="B7828" s="12">
        <f t="shared" si="1241"/>
        <v>41168</v>
      </c>
      <c r="C7828" s="11" t="s">
        <v>2169</v>
      </c>
      <c r="D7828" s="11" t="s">
        <v>28</v>
      </c>
    </row>
    <row r="7829">
      <c r="A7829" s="11">
        <v>7828.0</v>
      </c>
      <c r="B7829" s="12">
        <f t="shared" si="1241"/>
        <v>41168</v>
      </c>
      <c r="C7829" s="11" t="s">
        <v>116</v>
      </c>
      <c r="D7829" s="11" t="s">
        <v>28</v>
      </c>
    </row>
    <row r="7830">
      <c r="A7830" s="11">
        <v>7829.0</v>
      </c>
      <c r="B7830" s="12">
        <f t="shared" si="1241"/>
        <v>41168</v>
      </c>
      <c r="C7830" s="11" t="s">
        <v>116</v>
      </c>
      <c r="D7830" s="11" t="s">
        <v>28</v>
      </c>
    </row>
    <row r="7831">
      <c r="A7831" s="11">
        <v>7830.0</v>
      </c>
      <c r="B7831" s="12">
        <f t="shared" si="1241"/>
        <v>41168</v>
      </c>
      <c r="C7831" s="11" t="s">
        <v>934</v>
      </c>
      <c r="D7831" s="11" t="s">
        <v>28</v>
      </c>
    </row>
    <row r="7832">
      <c r="A7832" s="11">
        <v>7831.0</v>
      </c>
      <c r="B7832" s="12">
        <f t="shared" si="1241"/>
        <v>41168</v>
      </c>
      <c r="C7832" s="11" t="s">
        <v>2435</v>
      </c>
      <c r="D7832" s="11" t="s">
        <v>28</v>
      </c>
    </row>
    <row r="7833">
      <c r="A7833" s="11">
        <v>7832.0</v>
      </c>
      <c r="B7833" s="12">
        <f t="shared" si="1241"/>
        <v>41168</v>
      </c>
      <c r="C7833" s="11" t="s">
        <v>2434</v>
      </c>
      <c r="D7833" s="11" t="s">
        <v>66</v>
      </c>
    </row>
    <row r="7834">
      <c r="A7834" s="11">
        <v>7833.0</v>
      </c>
      <c r="B7834" s="12">
        <f t="shared" ref="B7834:B7837" si="1242">DATE(2012,12,31)-105</f>
        <v>41169</v>
      </c>
      <c r="C7834" s="11" t="s">
        <v>2350</v>
      </c>
      <c r="D7834" s="11" t="s">
        <v>28</v>
      </c>
    </row>
    <row r="7835">
      <c r="A7835" s="11">
        <v>7834.0</v>
      </c>
      <c r="B7835" s="12">
        <f t="shared" si="1242"/>
        <v>41169</v>
      </c>
      <c r="C7835" s="11" t="s">
        <v>2594</v>
      </c>
      <c r="D7835" s="11" t="s">
        <v>66</v>
      </c>
    </row>
    <row r="7836">
      <c r="A7836" s="11">
        <v>7835.0</v>
      </c>
      <c r="B7836" s="12">
        <f t="shared" si="1242"/>
        <v>41169</v>
      </c>
      <c r="C7836" s="11" t="s">
        <v>2594</v>
      </c>
      <c r="D7836" s="11" t="s">
        <v>28</v>
      </c>
    </row>
    <row r="7837">
      <c r="A7837" s="11">
        <v>7836.0</v>
      </c>
      <c r="B7837" s="12">
        <f t="shared" si="1242"/>
        <v>41169</v>
      </c>
      <c r="C7837" s="11" t="s">
        <v>2594</v>
      </c>
      <c r="D7837" s="11" t="s">
        <v>28</v>
      </c>
    </row>
    <row r="7838">
      <c r="A7838" s="11">
        <v>7837.0</v>
      </c>
      <c r="B7838" s="12">
        <f t="shared" ref="B7838:B7846" si="1243">DATE(2012,12,31)-104</f>
        <v>41170</v>
      </c>
      <c r="C7838" s="11" t="s">
        <v>839</v>
      </c>
      <c r="D7838" s="11" t="s">
        <v>28</v>
      </c>
    </row>
    <row r="7839">
      <c r="A7839" s="11">
        <v>7838.0</v>
      </c>
      <c r="B7839" s="12">
        <f t="shared" si="1243"/>
        <v>41170</v>
      </c>
      <c r="C7839" s="11" t="s">
        <v>839</v>
      </c>
      <c r="D7839" s="11" t="s">
        <v>28</v>
      </c>
    </row>
    <row r="7840">
      <c r="A7840" s="11">
        <v>7839.0</v>
      </c>
      <c r="B7840" s="12">
        <f t="shared" si="1243"/>
        <v>41170</v>
      </c>
      <c r="C7840" s="11" t="s">
        <v>2156</v>
      </c>
      <c r="D7840" s="11" t="s">
        <v>28</v>
      </c>
    </row>
    <row r="7841">
      <c r="A7841" s="11">
        <v>7840.0</v>
      </c>
      <c r="B7841" s="12">
        <f t="shared" si="1243"/>
        <v>41170</v>
      </c>
      <c r="C7841" s="11" t="s">
        <v>2156</v>
      </c>
      <c r="D7841" s="11" t="s">
        <v>28</v>
      </c>
    </row>
    <row r="7842">
      <c r="A7842" s="11">
        <v>7841.0</v>
      </c>
      <c r="B7842" s="12">
        <f t="shared" si="1243"/>
        <v>41170</v>
      </c>
      <c r="C7842" s="11" t="s">
        <v>2156</v>
      </c>
      <c r="D7842" s="11" t="s">
        <v>28</v>
      </c>
    </row>
    <row r="7843">
      <c r="A7843" s="11">
        <v>7842.0</v>
      </c>
      <c r="B7843" s="12">
        <f t="shared" si="1243"/>
        <v>41170</v>
      </c>
      <c r="C7843" s="11" t="s">
        <v>1513</v>
      </c>
      <c r="D7843" s="11" t="s">
        <v>28</v>
      </c>
    </row>
    <row r="7844">
      <c r="A7844" s="11">
        <v>7843.0</v>
      </c>
      <c r="B7844" s="12">
        <f t="shared" si="1243"/>
        <v>41170</v>
      </c>
      <c r="C7844" s="11" t="s">
        <v>82</v>
      </c>
      <c r="D7844" s="11" t="s">
        <v>28</v>
      </c>
    </row>
    <row r="7845">
      <c r="A7845" s="11">
        <v>7844.0</v>
      </c>
      <c r="B7845" s="12">
        <f t="shared" si="1243"/>
        <v>41170</v>
      </c>
      <c r="C7845" s="11" t="s">
        <v>82</v>
      </c>
      <c r="D7845" s="11" t="s">
        <v>66</v>
      </c>
    </row>
    <row r="7846">
      <c r="A7846" s="11">
        <v>7845.0</v>
      </c>
      <c r="B7846" s="12">
        <f t="shared" si="1243"/>
        <v>41170</v>
      </c>
      <c r="C7846" s="11" t="s">
        <v>82</v>
      </c>
      <c r="D7846" s="11" t="s">
        <v>28</v>
      </c>
    </row>
    <row r="7847">
      <c r="A7847" s="11">
        <v>7846.0</v>
      </c>
      <c r="B7847" s="12">
        <f t="shared" ref="B7847:B7852" si="1244">DATE(2012,12,31)-103</f>
        <v>41171</v>
      </c>
      <c r="C7847" s="11" t="s">
        <v>2524</v>
      </c>
      <c r="D7847" s="11" t="s">
        <v>66</v>
      </c>
    </row>
    <row r="7848">
      <c r="A7848" s="11">
        <v>7847.0</v>
      </c>
      <c r="B7848" s="12">
        <f t="shared" si="1244"/>
        <v>41171</v>
      </c>
      <c r="C7848" s="11" t="s">
        <v>2524</v>
      </c>
      <c r="D7848" s="11" t="s">
        <v>49</v>
      </c>
    </row>
    <row r="7849">
      <c r="A7849" s="11">
        <v>7848.0</v>
      </c>
      <c r="B7849" s="12">
        <f t="shared" si="1244"/>
        <v>41171</v>
      </c>
      <c r="C7849" s="11" t="s">
        <v>1185</v>
      </c>
      <c r="D7849" s="11" t="s">
        <v>66</v>
      </c>
    </row>
    <row r="7850">
      <c r="A7850" s="11">
        <v>7849.0</v>
      </c>
      <c r="B7850" s="12">
        <f t="shared" si="1244"/>
        <v>41171</v>
      </c>
      <c r="C7850" s="11" t="s">
        <v>1524</v>
      </c>
      <c r="D7850" s="11" t="s">
        <v>28</v>
      </c>
    </row>
    <row r="7851">
      <c r="A7851" s="11">
        <v>7850.0</v>
      </c>
      <c r="B7851" s="12">
        <f t="shared" si="1244"/>
        <v>41171</v>
      </c>
      <c r="C7851" s="11" t="s">
        <v>2189</v>
      </c>
      <c r="D7851" s="11" t="s">
        <v>28</v>
      </c>
    </row>
    <row r="7852">
      <c r="A7852" s="11">
        <v>7851.0</v>
      </c>
      <c r="B7852" s="12">
        <f t="shared" si="1244"/>
        <v>41171</v>
      </c>
      <c r="C7852" s="11" t="s">
        <v>1168</v>
      </c>
      <c r="D7852" s="11" t="s">
        <v>28</v>
      </c>
    </row>
    <row r="7853">
      <c r="A7853" s="11">
        <v>7852.0</v>
      </c>
      <c r="B7853" s="12">
        <f t="shared" ref="B7853:B7860" si="1245">DATE(2012,12,31)-102</f>
        <v>41172</v>
      </c>
      <c r="C7853" s="11" t="s">
        <v>120</v>
      </c>
      <c r="D7853" s="11" t="s">
        <v>49</v>
      </c>
    </row>
    <row r="7854">
      <c r="A7854" s="11">
        <v>7853.0</v>
      </c>
      <c r="B7854" s="12">
        <f t="shared" si="1245"/>
        <v>41172</v>
      </c>
      <c r="C7854" s="11" t="s">
        <v>2086</v>
      </c>
      <c r="D7854" s="11" t="s">
        <v>28</v>
      </c>
    </row>
    <row r="7855">
      <c r="A7855" s="11">
        <v>7854.0</v>
      </c>
      <c r="B7855" s="12">
        <f t="shared" si="1245"/>
        <v>41172</v>
      </c>
      <c r="C7855" s="11" t="s">
        <v>2086</v>
      </c>
      <c r="D7855" s="11" t="s">
        <v>28</v>
      </c>
    </row>
    <row r="7856">
      <c r="A7856" s="11">
        <v>7855.0</v>
      </c>
      <c r="B7856" s="12">
        <f t="shared" si="1245"/>
        <v>41172</v>
      </c>
      <c r="C7856" s="11" t="s">
        <v>1975</v>
      </c>
      <c r="D7856" s="11" t="s">
        <v>28</v>
      </c>
    </row>
    <row r="7857">
      <c r="A7857" s="11">
        <v>7856.0</v>
      </c>
      <c r="B7857" s="12">
        <f t="shared" si="1245"/>
        <v>41172</v>
      </c>
      <c r="C7857" s="11" t="s">
        <v>1975</v>
      </c>
      <c r="D7857" s="11" t="s">
        <v>66</v>
      </c>
    </row>
    <row r="7858">
      <c r="A7858" s="11">
        <v>7857.0</v>
      </c>
      <c r="B7858" s="12">
        <f t="shared" si="1245"/>
        <v>41172</v>
      </c>
      <c r="C7858" s="11" t="s">
        <v>1221</v>
      </c>
      <c r="D7858" s="11" t="s">
        <v>28</v>
      </c>
    </row>
    <row r="7859">
      <c r="A7859" s="11">
        <v>7858.0</v>
      </c>
      <c r="B7859" s="12">
        <f t="shared" si="1245"/>
        <v>41172</v>
      </c>
      <c r="C7859" s="11" t="s">
        <v>1221</v>
      </c>
      <c r="D7859" s="11" t="s">
        <v>28</v>
      </c>
    </row>
    <row r="7860">
      <c r="A7860" s="11">
        <v>7859.0</v>
      </c>
      <c r="B7860" s="12">
        <f t="shared" si="1245"/>
        <v>41172</v>
      </c>
      <c r="C7860" s="11" t="s">
        <v>1221</v>
      </c>
      <c r="D7860" s="11" t="s">
        <v>28</v>
      </c>
    </row>
    <row r="7861">
      <c r="A7861" s="11">
        <v>7860.0</v>
      </c>
      <c r="B7861" s="12">
        <f t="shared" ref="B7861:B7863" si="1246">DATE(2012,12,31)-101</f>
        <v>41173</v>
      </c>
      <c r="C7861" s="11" t="s">
        <v>1767</v>
      </c>
      <c r="D7861" s="11" t="s">
        <v>66</v>
      </c>
    </row>
    <row r="7862">
      <c r="A7862" s="11">
        <v>7861.0</v>
      </c>
      <c r="B7862" s="12">
        <f t="shared" si="1246"/>
        <v>41173</v>
      </c>
      <c r="C7862" s="11" t="s">
        <v>1767</v>
      </c>
      <c r="D7862" s="11" t="s">
        <v>49</v>
      </c>
    </row>
    <row r="7863">
      <c r="A7863" s="11">
        <v>7862.0</v>
      </c>
      <c r="B7863" s="12">
        <f t="shared" si="1246"/>
        <v>41173</v>
      </c>
      <c r="C7863" s="11" t="s">
        <v>823</v>
      </c>
      <c r="D7863" s="11" t="s">
        <v>28</v>
      </c>
    </row>
    <row r="7864">
      <c r="A7864" s="11">
        <v>7863.0</v>
      </c>
      <c r="B7864" s="12">
        <f t="shared" ref="B7864:B7872" si="1247">DATE(2012,12,31)-100</f>
        <v>41174</v>
      </c>
      <c r="C7864" s="11" t="s">
        <v>1433</v>
      </c>
      <c r="D7864" s="11" t="s">
        <v>28</v>
      </c>
    </row>
    <row r="7865">
      <c r="A7865" s="11">
        <v>7864.0</v>
      </c>
      <c r="B7865" s="12">
        <f t="shared" si="1247"/>
        <v>41174</v>
      </c>
      <c r="C7865" s="11" t="s">
        <v>1433</v>
      </c>
      <c r="D7865" s="11" t="s">
        <v>49</v>
      </c>
    </row>
    <row r="7866">
      <c r="A7866" s="11">
        <v>7865.0</v>
      </c>
      <c r="B7866" s="12">
        <f t="shared" si="1247"/>
        <v>41174</v>
      </c>
      <c r="C7866" s="11" t="s">
        <v>613</v>
      </c>
      <c r="D7866" s="11" t="s">
        <v>66</v>
      </c>
    </row>
    <row r="7867">
      <c r="A7867" s="11">
        <v>7866.0</v>
      </c>
      <c r="B7867" s="12">
        <f t="shared" si="1247"/>
        <v>41174</v>
      </c>
      <c r="C7867" s="11" t="s">
        <v>403</v>
      </c>
      <c r="D7867" s="11" t="s">
        <v>28</v>
      </c>
    </row>
    <row r="7868">
      <c r="A7868" s="11">
        <v>7867.0</v>
      </c>
      <c r="B7868" s="12">
        <f t="shared" si="1247"/>
        <v>41174</v>
      </c>
      <c r="C7868" s="11" t="s">
        <v>403</v>
      </c>
      <c r="D7868" s="11" t="s">
        <v>66</v>
      </c>
    </row>
    <row r="7869">
      <c r="A7869" s="11">
        <v>7868.0</v>
      </c>
      <c r="B7869" s="12">
        <f t="shared" si="1247"/>
        <v>41174</v>
      </c>
      <c r="C7869" s="11" t="s">
        <v>403</v>
      </c>
      <c r="D7869" s="11" t="s">
        <v>28</v>
      </c>
    </row>
    <row r="7870">
      <c r="A7870" s="11">
        <v>7869.0</v>
      </c>
      <c r="B7870" s="12">
        <f t="shared" si="1247"/>
        <v>41174</v>
      </c>
      <c r="C7870" s="11" t="s">
        <v>403</v>
      </c>
      <c r="D7870" s="11" t="s">
        <v>49</v>
      </c>
    </row>
    <row r="7871">
      <c r="A7871" s="11">
        <v>7870.0</v>
      </c>
      <c r="B7871" s="12">
        <f t="shared" si="1247"/>
        <v>41174</v>
      </c>
      <c r="C7871" s="11" t="s">
        <v>716</v>
      </c>
      <c r="D7871" s="11" t="s">
        <v>28</v>
      </c>
    </row>
    <row r="7872">
      <c r="A7872" s="11">
        <v>7871.0</v>
      </c>
      <c r="B7872" s="12">
        <f t="shared" si="1247"/>
        <v>41174</v>
      </c>
      <c r="C7872" s="11" t="s">
        <v>1546</v>
      </c>
      <c r="D7872" s="11" t="s">
        <v>66</v>
      </c>
    </row>
    <row r="7873">
      <c r="A7873" s="11">
        <v>7872.0</v>
      </c>
      <c r="B7873" s="12">
        <f t="shared" ref="B7873:B7880" si="1248">DATE(2012,12,31)-99</f>
        <v>41175</v>
      </c>
      <c r="C7873" s="11" t="s">
        <v>1965</v>
      </c>
      <c r="D7873" s="11" t="s">
        <v>66</v>
      </c>
    </row>
    <row r="7874">
      <c r="A7874" s="11">
        <v>7873.0</v>
      </c>
      <c r="B7874" s="12">
        <f t="shared" si="1248"/>
        <v>41175</v>
      </c>
      <c r="C7874" s="11" t="s">
        <v>1259</v>
      </c>
      <c r="D7874" s="11" t="s">
        <v>28</v>
      </c>
    </row>
    <row r="7875">
      <c r="A7875" s="11">
        <v>7874.0</v>
      </c>
      <c r="B7875" s="12">
        <f t="shared" si="1248"/>
        <v>41175</v>
      </c>
      <c r="C7875" s="11" t="s">
        <v>1259</v>
      </c>
      <c r="D7875" s="11" t="s">
        <v>28</v>
      </c>
    </row>
    <row r="7876">
      <c r="A7876" s="11">
        <v>7875.0</v>
      </c>
      <c r="B7876" s="12">
        <f t="shared" si="1248"/>
        <v>41175</v>
      </c>
      <c r="C7876" s="11" t="s">
        <v>1259</v>
      </c>
      <c r="D7876" s="11" t="s">
        <v>49</v>
      </c>
    </row>
    <row r="7877">
      <c r="A7877" s="11">
        <v>7876.0</v>
      </c>
      <c r="B7877" s="12">
        <f t="shared" si="1248"/>
        <v>41175</v>
      </c>
      <c r="C7877" s="11" t="s">
        <v>2392</v>
      </c>
      <c r="D7877" s="11" t="s">
        <v>49</v>
      </c>
    </row>
    <row r="7878">
      <c r="A7878" s="11">
        <v>7877.0</v>
      </c>
      <c r="B7878" s="12">
        <f t="shared" si="1248"/>
        <v>41175</v>
      </c>
      <c r="C7878" s="11" t="s">
        <v>2478</v>
      </c>
      <c r="D7878" s="11" t="s">
        <v>28</v>
      </c>
    </row>
    <row r="7879">
      <c r="A7879" s="11">
        <v>7878.0</v>
      </c>
      <c r="B7879" s="12">
        <f t="shared" si="1248"/>
        <v>41175</v>
      </c>
      <c r="C7879" s="11" t="s">
        <v>2478</v>
      </c>
      <c r="D7879" s="11" t="s">
        <v>66</v>
      </c>
    </row>
    <row r="7880">
      <c r="A7880" s="11">
        <v>7879.0</v>
      </c>
      <c r="B7880" s="12">
        <f t="shared" si="1248"/>
        <v>41175</v>
      </c>
      <c r="C7880" s="11" t="s">
        <v>2478</v>
      </c>
      <c r="D7880" s="11" t="s">
        <v>66</v>
      </c>
    </row>
    <row r="7881">
      <c r="A7881" s="11">
        <v>7880.0</v>
      </c>
      <c r="B7881" s="12">
        <f t="shared" ref="B7881:B7889" si="1249">DATE(2012,12,31)-98</f>
        <v>41176</v>
      </c>
      <c r="C7881" s="11" t="s">
        <v>2498</v>
      </c>
      <c r="D7881" s="11" t="s">
        <v>66</v>
      </c>
    </row>
    <row r="7882">
      <c r="A7882" s="11">
        <v>7881.0</v>
      </c>
      <c r="B7882" s="12">
        <f t="shared" si="1249"/>
        <v>41176</v>
      </c>
      <c r="C7882" s="11" t="s">
        <v>2498</v>
      </c>
      <c r="D7882" s="11" t="s">
        <v>28</v>
      </c>
    </row>
    <row r="7883">
      <c r="A7883" s="11">
        <v>7882.0</v>
      </c>
      <c r="B7883" s="12">
        <f t="shared" si="1249"/>
        <v>41176</v>
      </c>
      <c r="C7883" s="11" t="s">
        <v>426</v>
      </c>
      <c r="D7883" s="11" t="s">
        <v>49</v>
      </c>
    </row>
    <row r="7884">
      <c r="A7884" s="11">
        <v>7883.0</v>
      </c>
      <c r="B7884" s="12">
        <f t="shared" si="1249"/>
        <v>41176</v>
      </c>
      <c r="C7884" s="11" t="s">
        <v>2516</v>
      </c>
      <c r="D7884" s="11" t="s">
        <v>28</v>
      </c>
    </row>
    <row r="7885">
      <c r="A7885" s="11">
        <v>7884.0</v>
      </c>
      <c r="B7885" s="12">
        <f t="shared" si="1249"/>
        <v>41176</v>
      </c>
      <c r="C7885" s="11" t="s">
        <v>1620</v>
      </c>
      <c r="D7885" s="11" t="s">
        <v>66</v>
      </c>
    </row>
    <row r="7886">
      <c r="A7886" s="11">
        <v>7885.0</v>
      </c>
      <c r="B7886" s="12">
        <f t="shared" si="1249"/>
        <v>41176</v>
      </c>
      <c r="C7886" s="11" t="s">
        <v>1620</v>
      </c>
      <c r="D7886" s="11" t="s">
        <v>28</v>
      </c>
    </row>
    <row r="7887">
      <c r="A7887" s="11">
        <v>7886.0</v>
      </c>
      <c r="B7887" s="12">
        <f t="shared" si="1249"/>
        <v>41176</v>
      </c>
      <c r="C7887" s="11" t="s">
        <v>120</v>
      </c>
      <c r="D7887" s="11" t="s">
        <v>49</v>
      </c>
    </row>
    <row r="7888">
      <c r="A7888" s="11">
        <v>7887.0</v>
      </c>
      <c r="B7888" s="12">
        <f t="shared" si="1249"/>
        <v>41176</v>
      </c>
      <c r="C7888" s="11" t="s">
        <v>2204</v>
      </c>
      <c r="D7888" s="11" t="s">
        <v>28</v>
      </c>
    </row>
    <row r="7889">
      <c r="A7889" s="11">
        <v>7888.0</v>
      </c>
      <c r="B7889" s="12">
        <f t="shared" si="1249"/>
        <v>41176</v>
      </c>
      <c r="C7889" s="11" t="s">
        <v>2545</v>
      </c>
      <c r="D7889" s="11" t="s">
        <v>66</v>
      </c>
    </row>
    <row r="7890">
      <c r="A7890" s="11">
        <v>7889.0</v>
      </c>
      <c r="B7890" s="12">
        <f t="shared" ref="B7890:B7894" si="1250">DATE(2012,12,31)-97</f>
        <v>41177</v>
      </c>
      <c r="C7890" s="11" t="s">
        <v>1439</v>
      </c>
      <c r="D7890" s="11" t="s">
        <v>28</v>
      </c>
    </row>
    <row r="7891">
      <c r="A7891" s="11">
        <v>7890.0</v>
      </c>
      <c r="B7891" s="12">
        <f t="shared" si="1250"/>
        <v>41177</v>
      </c>
      <c r="C7891" s="11" t="s">
        <v>1390</v>
      </c>
      <c r="D7891" s="11" t="s">
        <v>28</v>
      </c>
    </row>
    <row r="7892">
      <c r="A7892" s="11">
        <v>7891.0</v>
      </c>
      <c r="B7892" s="12">
        <f t="shared" si="1250"/>
        <v>41177</v>
      </c>
      <c r="C7892" s="11" t="s">
        <v>1390</v>
      </c>
      <c r="D7892" s="11" t="s">
        <v>28</v>
      </c>
    </row>
    <row r="7893">
      <c r="A7893" s="11">
        <v>7892.0</v>
      </c>
      <c r="B7893" s="12">
        <f t="shared" si="1250"/>
        <v>41177</v>
      </c>
      <c r="C7893" s="11" t="s">
        <v>1390</v>
      </c>
      <c r="D7893" s="11" t="s">
        <v>28</v>
      </c>
    </row>
    <row r="7894">
      <c r="A7894" s="11">
        <v>7893.0</v>
      </c>
      <c r="B7894" s="12">
        <f t="shared" si="1250"/>
        <v>41177</v>
      </c>
      <c r="C7894" s="11" t="s">
        <v>1682</v>
      </c>
      <c r="D7894" s="11" t="s">
        <v>28</v>
      </c>
    </row>
    <row r="7895">
      <c r="A7895" s="11">
        <v>7894.0</v>
      </c>
      <c r="B7895" s="12">
        <f t="shared" ref="B7895:B7897" si="1251">DATE(2012,12,31)-95</f>
        <v>41179</v>
      </c>
      <c r="C7895" s="11" t="s">
        <v>1338</v>
      </c>
      <c r="D7895" s="11" t="s">
        <v>28</v>
      </c>
    </row>
    <row r="7896">
      <c r="A7896" s="11">
        <v>7895.0</v>
      </c>
      <c r="B7896" s="12">
        <f t="shared" si="1251"/>
        <v>41179</v>
      </c>
      <c r="C7896" s="11" t="s">
        <v>1338</v>
      </c>
      <c r="D7896" s="11" t="s">
        <v>66</v>
      </c>
    </row>
    <row r="7897">
      <c r="A7897" s="11">
        <v>7896.0</v>
      </c>
      <c r="B7897" s="12">
        <f t="shared" si="1251"/>
        <v>41179</v>
      </c>
      <c r="C7897" s="11" t="s">
        <v>1338</v>
      </c>
      <c r="D7897" s="11" t="s">
        <v>49</v>
      </c>
    </row>
    <row r="7898">
      <c r="A7898" s="11">
        <v>7897.0</v>
      </c>
      <c r="B7898" s="12">
        <f t="shared" ref="B7898:B7900" si="1252">DATE(2012,12,31)-94</f>
        <v>41180</v>
      </c>
      <c r="C7898" s="11" t="s">
        <v>2280</v>
      </c>
      <c r="D7898" s="11" t="s">
        <v>28</v>
      </c>
    </row>
    <row r="7899">
      <c r="A7899" s="11">
        <v>7898.0</v>
      </c>
      <c r="B7899" s="12">
        <f t="shared" si="1252"/>
        <v>41180</v>
      </c>
      <c r="C7899" s="11" t="s">
        <v>884</v>
      </c>
      <c r="D7899" s="11" t="s">
        <v>49</v>
      </c>
    </row>
    <row r="7900">
      <c r="A7900" s="11">
        <v>7899.0</v>
      </c>
      <c r="B7900" s="12">
        <f t="shared" si="1252"/>
        <v>41180</v>
      </c>
      <c r="C7900" s="11" t="s">
        <v>884</v>
      </c>
      <c r="D7900" s="11" t="s">
        <v>28</v>
      </c>
    </row>
    <row r="7901">
      <c r="A7901" s="11">
        <v>7900.0</v>
      </c>
      <c r="B7901" s="12">
        <f t="shared" ref="B7901:B7906" si="1253">DATE(2012,12,31)-93</f>
        <v>41181</v>
      </c>
      <c r="C7901" s="11" t="s">
        <v>1581</v>
      </c>
      <c r="D7901" s="11" t="s">
        <v>28</v>
      </c>
    </row>
    <row r="7902">
      <c r="A7902" s="11">
        <v>7901.0</v>
      </c>
      <c r="B7902" s="12">
        <f t="shared" si="1253"/>
        <v>41181</v>
      </c>
      <c r="C7902" s="11" t="s">
        <v>1581</v>
      </c>
      <c r="D7902" s="11" t="s">
        <v>66</v>
      </c>
    </row>
    <row r="7903">
      <c r="A7903" s="11">
        <v>7902.0</v>
      </c>
      <c r="B7903" s="12">
        <f t="shared" si="1253"/>
        <v>41181</v>
      </c>
      <c r="C7903" s="11" t="s">
        <v>1586</v>
      </c>
      <c r="D7903" s="11" t="s">
        <v>28</v>
      </c>
    </row>
    <row r="7904">
      <c r="A7904" s="11">
        <v>7903.0</v>
      </c>
      <c r="B7904" s="12">
        <f t="shared" si="1253"/>
        <v>41181</v>
      </c>
      <c r="C7904" s="11" t="s">
        <v>603</v>
      </c>
      <c r="D7904" s="11" t="s">
        <v>49</v>
      </c>
    </row>
    <row r="7905">
      <c r="A7905" s="11">
        <v>7904.0</v>
      </c>
      <c r="B7905" s="12">
        <f t="shared" si="1253"/>
        <v>41181</v>
      </c>
      <c r="C7905" s="11" t="s">
        <v>603</v>
      </c>
      <c r="D7905" s="11" t="s">
        <v>28</v>
      </c>
    </row>
    <row r="7906">
      <c r="A7906" s="11">
        <v>7905.0</v>
      </c>
      <c r="B7906" s="12">
        <f t="shared" si="1253"/>
        <v>41181</v>
      </c>
      <c r="C7906" s="11" t="s">
        <v>603</v>
      </c>
      <c r="D7906" s="11" t="s">
        <v>28</v>
      </c>
    </row>
    <row r="7907">
      <c r="A7907" s="11">
        <v>7906.0</v>
      </c>
      <c r="B7907" s="12">
        <f t="shared" ref="B7907:B7913" si="1254">DATE(2012,12,31)-92</f>
        <v>41182</v>
      </c>
      <c r="C7907" s="11" t="s">
        <v>2163</v>
      </c>
      <c r="D7907" s="11" t="s">
        <v>28</v>
      </c>
    </row>
    <row r="7908">
      <c r="A7908" s="11">
        <v>7907.0</v>
      </c>
      <c r="B7908" s="12">
        <f t="shared" si="1254"/>
        <v>41182</v>
      </c>
      <c r="C7908" s="11" t="s">
        <v>1903</v>
      </c>
      <c r="D7908" s="11" t="s">
        <v>28</v>
      </c>
    </row>
    <row r="7909">
      <c r="A7909" s="11">
        <v>7908.0</v>
      </c>
      <c r="B7909" s="12">
        <f t="shared" si="1254"/>
        <v>41182</v>
      </c>
      <c r="C7909" s="11" t="s">
        <v>1082</v>
      </c>
      <c r="D7909" s="11" t="s">
        <v>28</v>
      </c>
    </row>
    <row r="7910">
      <c r="A7910" s="11">
        <v>7909.0</v>
      </c>
      <c r="B7910" s="12">
        <f t="shared" si="1254"/>
        <v>41182</v>
      </c>
      <c r="C7910" s="11" t="s">
        <v>1235</v>
      </c>
      <c r="D7910" s="11" t="s">
        <v>66</v>
      </c>
    </row>
    <row r="7911">
      <c r="A7911" s="11">
        <v>7910.0</v>
      </c>
      <c r="B7911" s="12">
        <f t="shared" si="1254"/>
        <v>41182</v>
      </c>
      <c r="C7911" s="11" t="s">
        <v>1235</v>
      </c>
      <c r="D7911" s="11" t="s">
        <v>28</v>
      </c>
    </row>
    <row r="7912">
      <c r="A7912" s="11">
        <v>7911.0</v>
      </c>
      <c r="B7912" s="12">
        <f t="shared" si="1254"/>
        <v>41182</v>
      </c>
      <c r="C7912" s="11" t="s">
        <v>1080</v>
      </c>
      <c r="D7912" s="11" t="s">
        <v>28</v>
      </c>
    </row>
    <row r="7913">
      <c r="A7913" s="11">
        <v>7912.0</v>
      </c>
      <c r="B7913" s="12">
        <f t="shared" si="1254"/>
        <v>41182</v>
      </c>
      <c r="C7913" s="11" t="s">
        <v>871</v>
      </c>
      <c r="D7913" s="11" t="s">
        <v>28</v>
      </c>
    </row>
    <row r="7914">
      <c r="A7914" s="11">
        <v>7913.0</v>
      </c>
      <c r="B7914" s="12">
        <f t="shared" ref="B7914:B7921" si="1255">DATE(2012,12,31)-91</f>
        <v>41183</v>
      </c>
      <c r="C7914" s="11" t="s">
        <v>2244</v>
      </c>
      <c r="D7914" s="11" t="s">
        <v>28</v>
      </c>
    </row>
    <row r="7915">
      <c r="A7915" s="11">
        <v>7914.0</v>
      </c>
      <c r="B7915" s="12">
        <f t="shared" si="1255"/>
        <v>41183</v>
      </c>
      <c r="C7915" s="11" t="s">
        <v>2244</v>
      </c>
      <c r="D7915" s="11" t="s">
        <v>28</v>
      </c>
    </row>
    <row r="7916">
      <c r="A7916" s="11">
        <v>7915.0</v>
      </c>
      <c r="B7916" s="12">
        <f t="shared" si="1255"/>
        <v>41183</v>
      </c>
      <c r="C7916" s="11" t="s">
        <v>1682</v>
      </c>
      <c r="D7916" s="11" t="s">
        <v>66</v>
      </c>
    </row>
    <row r="7917">
      <c r="A7917" s="11">
        <v>7916.0</v>
      </c>
      <c r="B7917" s="12">
        <f t="shared" si="1255"/>
        <v>41183</v>
      </c>
      <c r="C7917" s="11" t="s">
        <v>1682</v>
      </c>
      <c r="D7917" s="11" t="s">
        <v>28</v>
      </c>
    </row>
    <row r="7918">
      <c r="A7918" s="11">
        <v>7917.0</v>
      </c>
      <c r="B7918" s="12">
        <f t="shared" si="1255"/>
        <v>41183</v>
      </c>
      <c r="C7918" s="11" t="s">
        <v>1349</v>
      </c>
      <c r="D7918" s="11" t="s">
        <v>28</v>
      </c>
    </row>
    <row r="7919">
      <c r="A7919" s="11">
        <v>7918.0</v>
      </c>
      <c r="B7919" s="12">
        <f t="shared" si="1255"/>
        <v>41183</v>
      </c>
      <c r="C7919" s="11" t="s">
        <v>1199</v>
      </c>
      <c r="D7919" s="11" t="s">
        <v>66</v>
      </c>
    </row>
    <row r="7920">
      <c r="A7920" s="11">
        <v>7919.0</v>
      </c>
      <c r="B7920" s="12">
        <f t="shared" si="1255"/>
        <v>41183</v>
      </c>
      <c r="C7920" s="11" t="s">
        <v>239</v>
      </c>
      <c r="D7920" s="11" t="s">
        <v>28</v>
      </c>
    </row>
    <row r="7921">
      <c r="A7921" s="11">
        <v>7920.0</v>
      </c>
      <c r="B7921" s="12">
        <f t="shared" si="1255"/>
        <v>41183</v>
      </c>
      <c r="C7921" s="11" t="s">
        <v>239</v>
      </c>
      <c r="D7921" s="11" t="s">
        <v>28</v>
      </c>
    </row>
    <row r="7922">
      <c r="A7922" s="11">
        <v>7921.0</v>
      </c>
      <c r="B7922" s="12">
        <f t="shared" ref="B7922:B7929" si="1256">DATE(2012,12,31)-90</f>
        <v>41184</v>
      </c>
      <c r="C7922" s="11" t="s">
        <v>1490</v>
      </c>
      <c r="D7922" s="11" t="s">
        <v>28</v>
      </c>
    </row>
    <row r="7923">
      <c r="A7923" s="11">
        <v>7922.0</v>
      </c>
      <c r="B7923" s="12">
        <f t="shared" si="1256"/>
        <v>41184</v>
      </c>
      <c r="C7923" s="11" t="s">
        <v>1490</v>
      </c>
      <c r="D7923" s="11" t="s">
        <v>28</v>
      </c>
    </row>
    <row r="7924">
      <c r="A7924" s="11">
        <v>7923.0</v>
      </c>
      <c r="B7924" s="12">
        <f t="shared" si="1256"/>
        <v>41184</v>
      </c>
      <c r="C7924" s="11" t="s">
        <v>1490</v>
      </c>
      <c r="D7924" s="11" t="s">
        <v>28</v>
      </c>
    </row>
    <row r="7925">
      <c r="A7925" s="11">
        <v>7924.0</v>
      </c>
      <c r="B7925" s="12">
        <f t="shared" si="1256"/>
        <v>41184</v>
      </c>
      <c r="C7925" s="11" t="s">
        <v>1490</v>
      </c>
      <c r="D7925" s="11" t="s">
        <v>28</v>
      </c>
    </row>
    <row r="7926">
      <c r="A7926" s="11">
        <v>7925.0</v>
      </c>
      <c r="B7926" s="12">
        <f t="shared" si="1256"/>
        <v>41184</v>
      </c>
      <c r="C7926" s="11" t="s">
        <v>1308</v>
      </c>
      <c r="D7926" s="11" t="s">
        <v>49</v>
      </c>
    </row>
    <row r="7927">
      <c r="A7927" s="11">
        <v>7926.0</v>
      </c>
      <c r="B7927" s="12">
        <f t="shared" si="1256"/>
        <v>41184</v>
      </c>
      <c r="C7927" s="11" t="s">
        <v>1308</v>
      </c>
      <c r="D7927" s="11" t="s">
        <v>28</v>
      </c>
    </row>
    <row r="7928">
      <c r="A7928" s="11">
        <v>7927.0</v>
      </c>
      <c r="B7928" s="12">
        <f t="shared" si="1256"/>
        <v>41184</v>
      </c>
      <c r="C7928" s="11" t="s">
        <v>2401</v>
      </c>
      <c r="D7928" s="11" t="s">
        <v>66</v>
      </c>
    </row>
    <row r="7929">
      <c r="A7929" s="11">
        <v>7928.0</v>
      </c>
      <c r="B7929" s="12">
        <f t="shared" si="1256"/>
        <v>41184</v>
      </c>
      <c r="C7929" s="11" t="s">
        <v>2401</v>
      </c>
      <c r="D7929" s="11" t="s">
        <v>66</v>
      </c>
    </row>
    <row r="7930">
      <c r="A7930" s="11">
        <v>7929.0</v>
      </c>
      <c r="B7930" s="12">
        <f t="shared" ref="B7930:B7931" si="1257">DATE(2012,12,31)-89</f>
        <v>41185</v>
      </c>
      <c r="C7930" s="11" t="s">
        <v>239</v>
      </c>
      <c r="D7930" s="11" t="s">
        <v>66</v>
      </c>
    </row>
    <row r="7931">
      <c r="A7931" s="11">
        <v>7930.0</v>
      </c>
      <c r="B7931" s="12">
        <f t="shared" si="1257"/>
        <v>41185</v>
      </c>
      <c r="C7931" s="11" t="s">
        <v>387</v>
      </c>
      <c r="D7931" s="11" t="s">
        <v>66</v>
      </c>
    </row>
    <row r="7932">
      <c r="A7932" s="11">
        <v>7931.0</v>
      </c>
      <c r="B7932" s="12">
        <f t="shared" ref="B7932:B7942" si="1258">DATE(2012,12,31)-88</f>
        <v>41186</v>
      </c>
      <c r="C7932" s="11" t="s">
        <v>1648</v>
      </c>
      <c r="D7932" s="11" t="s">
        <v>28</v>
      </c>
    </row>
    <row r="7933">
      <c r="A7933" s="11">
        <v>7932.0</v>
      </c>
      <c r="B7933" s="12">
        <f t="shared" si="1258"/>
        <v>41186</v>
      </c>
      <c r="C7933" s="11" t="s">
        <v>2217</v>
      </c>
      <c r="D7933" s="11" t="s">
        <v>28</v>
      </c>
    </row>
    <row r="7934">
      <c r="A7934" s="11">
        <v>7933.0</v>
      </c>
      <c r="B7934" s="12">
        <f t="shared" si="1258"/>
        <v>41186</v>
      </c>
      <c r="C7934" s="11" t="s">
        <v>2217</v>
      </c>
      <c r="D7934" s="11" t="s">
        <v>28</v>
      </c>
    </row>
    <row r="7935">
      <c r="A7935" s="11">
        <v>7934.0</v>
      </c>
      <c r="B7935" s="12">
        <f t="shared" si="1258"/>
        <v>41186</v>
      </c>
      <c r="C7935" s="11" t="s">
        <v>2217</v>
      </c>
      <c r="D7935" s="11" t="s">
        <v>49</v>
      </c>
    </row>
    <row r="7936">
      <c r="A7936" s="11">
        <v>7935.0</v>
      </c>
      <c r="B7936" s="12">
        <f t="shared" si="1258"/>
        <v>41186</v>
      </c>
      <c r="C7936" s="11" t="s">
        <v>744</v>
      </c>
      <c r="D7936" s="11" t="s">
        <v>28</v>
      </c>
    </row>
    <row r="7937">
      <c r="A7937" s="11">
        <v>7936.0</v>
      </c>
      <c r="B7937" s="12">
        <f t="shared" si="1258"/>
        <v>41186</v>
      </c>
      <c r="C7937" s="11" t="s">
        <v>744</v>
      </c>
      <c r="D7937" s="11" t="s">
        <v>28</v>
      </c>
    </row>
    <row r="7938">
      <c r="A7938" s="11">
        <v>7937.0</v>
      </c>
      <c r="B7938" s="12">
        <f t="shared" si="1258"/>
        <v>41186</v>
      </c>
      <c r="C7938" s="11" t="s">
        <v>744</v>
      </c>
      <c r="D7938" s="11" t="s">
        <v>49</v>
      </c>
    </row>
    <row r="7939">
      <c r="A7939" s="11">
        <v>7938.0</v>
      </c>
      <c r="B7939" s="12">
        <f t="shared" si="1258"/>
        <v>41186</v>
      </c>
      <c r="C7939" s="11" t="s">
        <v>744</v>
      </c>
      <c r="D7939" s="11" t="s">
        <v>28</v>
      </c>
    </row>
    <row r="7940">
      <c r="A7940" s="11">
        <v>7939.0</v>
      </c>
      <c r="B7940" s="12">
        <f t="shared" si="1258"/>
        <v>41186</v>
      </c>
      <c r="C7940" s="11" t="s">
        <v>72</v>
      </c>
      <c r="D7940" s="11" t="s">
        <v>28</v>
      </c>
    </row>
    <row r="7941">
      <c r="A7941" s="11">
        <v>7940.0</v>
      </c>
      <c r="B7941" s="12">
        <f t="shared" si="1258"/>
        <v>41186</v>
      </c>
      <c r="C7941" s="11" t="s">
        <v>1450</v>
      </c>
      <c r="D7941" s="11" t="s">
        <v>66</v>
      </c>
    </row>
    <row r="7942">
      <c r="A7942" s="11">
        <v>7941.0</v>
      </c>
      <c r="B7942" s="12">
        <f t="shared" si="1258"/>
        <v>41186</v>
      </c>
      <c r="C7942" s="11" t="s">
        <v>1450</v>
      </c>
      <c r="D7942" s="11" t="s">
        <v>28</v>
      </c>
    </row>
    <row r="7943">
      <c r="A7943" s="11">
        <v>7942.0</v>
      </c>
      <c r="B7943" s="12">
        <f t="shared" ref="B7943:B7948" si="1259">DATE(2012,12,31)-87</f>
        <v>41187</v>
      </c>
      <c r="C7943" s="11" t="s">
        <v>928</v>
      </c>
      <c r="D7943" s="11" t="s">
        <v>28</v>
      </c>
    </row>
    <row r="7944">
      <c r="A7944" s="11">
        <v>7943.0</v>
      </c>
      <c r="B7944" s="12">
        <f t="shared" si="1259"/>
        <v>41187</v>
      </c>
      <c r="C7944" s="11" t="s">
        <v>928</v>
      </c>
      <c r="D7944" s="11" t="s">
        <v>66</v>
      </c>
    </row>
    <row r="7945">
      <c r="A7945" s="11">
        <v>7944.0</v>
      </c>
      <c r="B7945" s="12">
        <f t="shared" si="1259"/>
        <v>41187</v>
      </c>
      <c r="C7945" s="11" t="s">
        <v>1009</v>
      </c>
      <c r="D7945" s="11" t="s">
        <v>28</v>
      </c>
    </row>
    <row r="7946">
      <c r="A7946" s="11">
        <v>7945.0</v>
      </c>
      <c r="B7946" s="12">
        <f t="shared" si="1259"/>
        <v>41187</v>
      </c>
      <c r="C7946" s="11" t="s">
        <v>2255</v>
      </c>
      <c r="D7946" s="11" t="s">
        <v>28</v>
      </c>
    </row>
    <row r="7947">
      <c r="A7947" s="11">
        <v>7946.0</v>
      </c>
      <c r="B7947" s="12">
        <f t="shared" si="1259"/>
        <v>41187</v>
      </c>
      <c r="C7947" s="11" t="s">
        <v>2255</v>
      </c>
      <c r="D7947" s="11" t="s">
        <v>66</v>
      </c>
    </row>
    <row r="7948">
      <c r="A7948" s="11">
        <v>7947.0</v>
      </c>
      <c r="B7948" s="12">
        <f t="shared" si="1259"/>
        <v>41187</v>
      </c>
      <c r="C7948" s="11" t="s">
        <v>1865</v>
      </c>
      <c r="D7948" s="11" t="s">
        <v>49</v>
      </c>
    </row>
    <row r="7949">
      <c r="A7949" s="11">
        <v>7948.0</v>
      </c>
      <c r="B7949" s="12">
        <f t="shared" ref="B7949:B7954" si="1260">DATE(2012,12,31)-86</f>
        <v>41188</v>
      </c>
      <c r="C7949" s="11" t="s">
        <v>1110</v>
      </c>
      <c r="D7949" s="11" t="s">
        <v>28</v>
      </c>
    </row>
    <row r="7950">
      <c r="A7950" s="11">
        <v>7949.0</v>
      </c>
      <c r="B7950" s="12">
        <f t="shared" si="1260"/>
        <v>41188</v>
      </c>
      <c r="C7950" s="11" t="s">
        <v>232</v>
      </c>
      <c r="D7950" s="11" t="s">
        <v>28</v>
      </c>
    </row>
    <row r="7951">
      <c r="A7951" s="11">
        <v>7950.0</v>
      </c>
      <c r="B7951" s="12">
        <f t="shared" si="1260"/>
        <v>41188</v>
      </c>
      <c r="C7951" s="11" t="s">
        <v>248</v>
      </c>
      <c r="D7951" s="11" t="s">
        <v>28</v>
      </c>
    </row>
    <row r="7952">
      <c r="A7952" s="11">
        <v>7951.0</v>
      </c>
      <c r="B7952" s="12">
        <f t="shared" si="1260"/>
        <v>41188</v>
      </c>
      <c r="C7952" s="11" t="s">
        <v>248</v>
      </c>
      <c r="D7952" s="11" t="s">
        <v>28</v>
      </c>
    </row>
    <row r="7953">
      <c r="A7953" s="11">
        <v>7952.0</v>
      </c>
      <c r="B7953" s="12">
        <f t="shared" si="1260"/>
        <v>41188</v>
      </c>
      <c r="C7953" s="11" t="s">
        <v>40</v>
      </c>
      <c r="D7953" s="11" t="s">
        <v>28</v>
      </c>
    </row>
    <row r="7954">
      <c r="A7954" s="11">
        <v>7953.0</v>
      </c>
      <c r="B7954" s="12">
        <f t="shared" si="1260"/>
        <v>41188</v>
      </c>
      <c r="C7954" s="11" t="s">
        <v>2417</v>
      </c>
      <c r="D7954" s="11" t="s">
        <v>66</v>
      </c>
    </row>
    <row r="7955">
      <c r="A7955" s="11">
        <v>7954.0</v>
      </c>
      <c r="B7955" s="12">
        <f t="shared" ref="B7955:B7963" si="1261">DATE(2012,12,31)-85</f>
        <v>41189</v>
      </c>
      <c r="C7955" s="11" t="s">
        <v>510</v>
      </c>
      <c r="D7955" s="11" t="s">
        <v>66</v>
      </c>
    </row>
    <row r="7956">
      <c r="A7956" s="11">
        <v>7955.0</v>
      </c>
      <c r="B7956" s="12">
        <f t="shared" si="1261"/>
        <v>41189</v>
      </c>
      <c r="C7956" s="11" t="s">
        <v>1801</v>
      </c>
      <c r="D7956" s="11" t="s">
        <v>28</v>
      </c>
    </row>
    <row r="7957">
      <c r="A7957" s="11">
        <v>7956.0</v>
      </c>
      <c r="B7957" s="12">
        <f t="shared" si="1261"/>
        <v>41189</v>
      </c>
      <c r="C7957" s="11" t="s">
        <v>821</v>
      </c>
      <c r="D7957" s="11" t="s">
        <v>49</v>
      </c>
    </row>
    <row r="7958">
      <c r="A7958" s="11">
        <v>7957.0</v>
      </c>
      <c r="B7958" s="12">
        <f t="shared" si="1261"/>
        <v>41189</v>
      </c>
      <c r="C7958" s="11" t="s">
        <v>821</v>
      </c>
      <c r="D7958" s="11" t="s">
        <v>28</v>
      </c>
    </row>
    <row r="7959">
      <c r="A7959" s="11">
        <v>7958.0</v>
      </c>
      <c r="B7959" s="12">
        <f t="shared" si="1261"/>
        <v>41189</v>
      </c>
      <c r="C7959" s="11" t="s">
        <v>821</v>
      </c>
      <c r="D7959" s="11" t="s">
        <v>28</v>
      </c>
    </row>
    <row r="7960">
      <c r="A7960" s="11">
        <v>7959.0</v>
      </c>
      <c r="B7960" s="12">
        <f t="shared" si="1261"/>
        <v>41189</v>
      </c>
      <c r="C7960" s="11" t="s">
        <v>1021</v>
      </c>
      <c r="D7960" s="11" t="s">
        <v>28</v>
      </c>
    </row>
    <row r="7961">
      <c r="A7961" s="11">
        <v>7960.0</v>
      </c>
      <c r="B7961" s="12">
        <f t="shared" si="1261"/>
        <v>41189</v>
      </c>
      <c r="C7961" s="11" t="s">
        <v>1021</v>
      </c>
      <c r="D7961" s="11" t="s">
        <v>49</v>
      </c>
    </row>
    <row r="7962">
      <c r="A7962" s="11">
        <v>7961.0</v>
      </c>
      <c r="B7962" s="12">
        <f t="shared" si="1261"/>
        <v>41189</v>
      </c>
      <c r="C7962" s="11" t="s">
        <v>271</v>
      </c>
      <c r="D7962" s="11" t="s">
        <v>28</v>
      </c>
    </row>
    <row r="7963">
      <c r="A7963" s="11">
        <v>7962.0</v>
      </c>
      <c r="B7963" s="12">
        <f t="shared" si="1261"/>
        <v>41189</v>
      </c>
      <c r="C7963" s="11" t="s">
        <v>953</v>
      </c>
      <c r="D7963" s="11" t="s">
        <v>28</v>
      </c>
    </row>
    <row r="7964">
      <c r="A7964" s="11">
        <v>7963.0</v>
      </c>
      <c r="B7964" s="12">
        <f t="shared" ref="B7964:B7968" si="1262">DATE(2012,12,31)-84</f>
        <v>41190</v>
      </c>
      <c r="C7964" s="11" t="s">
        <v>1120</v>
      </c>
      <c r="D7964" s="11" t="s">
        <v>28</v>
      </c>
    </row>
    <row r="7965">
      <c r="A7965" s="11">
        <v>7964.0</v>
      </c>
      <c r="B7965" s="12">
        <f t="shared" si="1262"/>
        <v>41190</v>
      </c>
      <c r="C7965" s="11" t="s">
        <v>1008</v>
      </c>
      <c r="D7965" s="11" t="s">
        <v>49</v>
      </c>
    </row>
    <row r="7966">
      <c r="A7966" s="11">
        <v>7965.0</v>
      </c>
      <c r="B7966" s="12">
        <f t="shared" si="1262"/>
        <v>41190</v>
      </c>
      <c r="C7966" s="11" t="s">
        <v>1008</v>
      </c>
      <c r="D7966" s="11" t="s">
        <v>28</v>
      </c>
    </row>
    <row r="7967">
      <c r="A7967" s="11">
        <v>7966.0</v>
      </c>
      <c r="B7967" s="12">
        <f t="shared" si="1262"/>
        <v>41190</v>
      </c>
      <c r="C7967" s="11" t="s">
        <v>1008</v>
      </c>
      <c r="D7967" s="11" t="s">
        <v>28</v>
      </c>
    </row>
    <row r="7968">
      <c r="A7968" s="11">
        <v>7967.0</v>
      </c>
      <c r="B7968" s="12">
        <f t="shared" si="1262"/>
        <v>41190</v>
      </c>
      <c r="C7968" s="11" t="s">
        <v>2384</v>
      </c>
      <c r="D7968" s="11" t="s">
        <v>28</v>
      </c>
    </row>
    <row r="7969">
      <c r="A7969" s="11">
        <v>7968.0</v>
      </c>
      <c r="B7969" s="12">
        <f t="shared" ref="B7969:B7973" si="1263">DATE(2012,12,31)-83</f>
        <v>41191</v>
      </c>
      <c r="C7969" s="11" t="s">
        <v>2026</v>
      </c>
      <c r="D7969" s="11" t="s">
        <v>28</v>
      </c>
    </row>
    <row r="7970">
      <c r="A7970" s="11">
        <v>7969.0</v>
      </c>
      <c r="B7970" s="12">
        <f t="shared" si="1263"/>
        <v>41191</v>
      </c>
      <c r="C7970" s="11" t="s">
        <v>2026</v>
      </c>
      <c r="D7970" s="11" t="s">
        <v>28</v>
      </c>
    </row>
    <row r="7971">
      <c r="A7971" s="11">
        <v>7970.0</v>
      </c>
      <c r="B7971" s="12">
        <f t="shared" si="1263"/>
        <v>41191</v>
      </c>
      <c r="C7971" s="11" t="s">
        <v>2187</v>
      </c>
      <c r="D7971" s="11" t="s">
        <v>28</v>
      </c>
    </row>
    <row r="7972">
      <c r="A7972" s="11">
        <v>7971.0</v>
      </c>
      <c r="B7972" s="12">
        <f t="shared" si="1263"/>
        <v>41191</v>
      </c>
      <c r="C7972" s="11" t="s">
        <v>2311</v>
      </c>
      <c r="D7972" s="11" t="s">
        <v>28</v>
      </c>
    </row>
    <row r="7973">
      <c r="A7973" s="11">
        <v>7972.0</v>
      </c>
      <c r="B7973" s="12">
        <f t="shared" si="1263"/>
        <v>41191</v>
      </c>
      <c r="C7973" s="11" t="s">
        <v>2311</v>
      </c>
      <c r="D7973" s="11" t="s">
        <v>28</v>
      </c>
    </row>
    <row r="7974">
      <c r="A7974" s="11">
        <v>7973.0</v>
      </c>
      <c r="B7974" s="12">
        <f t="shared" ref="B7974:B7976" si="1264">DATE(2012,12,31)-82</f>
        <v>41192</v>
      </c>
      <c r="C7974" s="11" t="s">
        <v>2293</v>
      </c>
      <c r="D7974" s="11" t="s">
        <v>28</v>
      </c>
    </row>
    <row r="7975">
      <c r="A7975" s="11">
        <v>7974.0</v>
      </c>
      <c r="B7975" s="12">
        <f t="shared" si="1264"/>
        <v>41192</v>
      </c>
      <c r="C7975" s="11" t="s">
        <v>2293</v>
      </c>
      <c r="D7975" s="11" t="s">
        <v>49</v>
      </c>
    </row>
    <row r="7976">
      <c r="A7976" s="11">
        <v>7975.0</v>
      </c>
      <c r="B7976" s="12">
        <f t="shared" si="1264"/>
        <v>41192</v>
      </c>
      <c r="C7976" s="11" t="s">
        <v>1884</v>
      </c>
      <c r="D7976" s="11" t="s">
        <v>66</v>
      </c>
    </row>
    <row r="7977">
      <c r="A7977" s="11">
        <v>7976.0</v>
      </c>
      <c r="B7977" s="12">
        <f t="shared" ref="B7977:B7981" si="1265">DATE(2012,12,31)-81</f>
        <v>41193</v>
      </c>
      <c r="C7977" s="11" t="s">
        <v>1008</v>
      </c>
      <c r="D7977" s="11" t="s">
        <v>28</v>
      </c>
    </row>
    <row r="7978">
      <c r="A7978" s="11">
        <v>7977.0</v>
      </c>
      <c r="B7978" s="12">
        <f t="shared" si="1265"/>
        <v>41193</v>
      </c>
      <c r="C7978" s="11" t="s">
        <v>1008</v>
      </c>
      <c r="D7978" s="11" t="s">
        <v>28</v>
      </c>
    </row>
    <row r="7979">
      <c r="A7979" s="11">
        <v>7978.0</v>
      </c>
      <c r="B7979" s="12">
        <f t="shared" si="1265"/>
        <v>41193</v>
      </c>
      <c r="C7979" s="11" t="s">
        <v>1008</v>
      </c>
      <c r="D7979" s="11" t="s">
        <v>28</v>
      </c>
    </row>
    <row r="7980">
      <c r="A7980" s="11">
        <v>7979.0</v>
      </c>
      <c r="B7980" s="12">
        <f t="shared" si="1265"/>
        <v>41193</v>
      </c>
      <c r="C7980" s="11" t="s">
        <v>456</v>
      </c>
      <c r="D7980" s="11" t="s">
        <v>28</v>
      </c>
    </row>
    <row r="7981">
      <c r="A7981" s="11">
        <v>7980.0</v>
      </c>
      <c r="B7981" s="12">
        <f t="shared" si="1265"/>
        <v>41193</v>
      </c>
      <c r="C7981" s="11" t="s">
        <v>1444</v>
      </c>
      <c r="D7981" s="11" t="s">
        <v>49</v>
      </c>
    </row>
    <row r="7982">
      <c r="A7982" s="11">
        <v>7981.0</v>
      </c>
      <c r="B7982" s="12">
        <f t="shared" ref="B7982:B7985" si="1266">DATE(2012,12,31)-80</f>
        <v>41194</v>
      </c>
      <c r="C7982" s="11" t="s">
        <v>928</v>
      </c>
      <c r="D7982" s="11" t="s">
        <v>66</v>
      </c>
    </row>
    <row r="7983">
      <c r="A7983" s="11">
        <v>7982.0</v>
      </c>
      <c r="B7983" s="12">
        <f t="shared" si="1266"/>
        <v>41194</v>
      </c>
      <c r="C7983" s="11" t="s">
        <v>928</v>
      </c>
      <c r="D7983" s="11" t="s">
        <v>28</v>
      </c>
    </row>
    <row r="7984">
      <c r="A7984" s="11">
        <v>7983.0</v>
      </c>
      <c r="B7984" s="12">
        <f t="shared" si="1266"/>
        <v>41194</v>
      </c>
      <c r="C7984" s="11" t="s">
        <v>826</v>
      </c>
      <c r="D7984" s="11" t="s">
        <v>49</v>
      </c>
    </row>
    <row r="7985">
      <c r="A7985" s="11">
        <v>7984.0</v>
      </c>
      <c r="B7985" s="12">
        <f t="shared" si="1266"/>
        <v>41194</v>
      </c>
      <c r="C7985" s="11" t="s">
        <v>337</v>
      </c>
      <c r="D7985" s="11" t="s">
        <v>66</v>
      </c>
    </row>
    <row r="7986">
      <c r="A7986" s="11">
        <v>7985.0</v>
      </c>
      <c r="B7986" s="12">
        <f t="shared" ref="B7986:B7989" si="1267">DATE(2012,12,31)-79</f>
        <v>41195</v>
      </c>
      <c r="C7986" s="11" t="s">
        <v>2116</v>
      </c>
      <c r="D7986" s="11" t="s">
        <v>49</v>
      </c>
    </row>
    <row r="7987">
      <c r="A7987" s="11">
        <v>7986.0</v>
      </c>
      <c r="B7987" s="12">
        <f t="shared" si="1267"/>
        <v>41195</v>
      </c>
      <c r="C7987" s="11" t="s">
        <v>2116</v>
      </c>
      <c r="D7987" s="11" t="s">
        <v>28</v>
      </c>
    </row>
    <row r="7988">
      <c r="A7988" s="11">
        <v>7987.0</v>
      </c>
      <c r="B7988" s="12">
        <f t="shared" si="1267"/>
        <v>41195</v>
      </c>
      <c r="C7988" s="11" t="s">
        <v>2516</v>
      </c>
      <c r="D7988" s="11" t="s">
        <v>49</v>
      </c>
    </row>
    <row r="7989">
      <c r="A7989" s="11">
        <v>7988.0</v>
      </c>
      <c r="B7989" s="12">
        <f t="shared" si="1267"/>
        <v>41195</v>
      </c>
      <c r="C7989" s="11" t="s">
        <v>78</v>
      </c>
      <c r="D7989" s="11" t="s">
        <v>28</v>
      </c>
    </row>
    <row r="7990">
      <c r="A7990" s="11">
        <v>7989.0</v>
      </c>
      <c r="B7990" s="12">
        <f t="shared" ref="B7990:B7995" si="1268">DATE(2012,12,31)-78</f>
        <v>41196</v>
      </c>
      <c r="C7990" s="11" t="s">
        <v>1715</v>
      </c>
      <c r="D7990" s="11" t="s">
        <v>66</v>
      </c>
    </row>
    <row r="7991">
      <c r="A7991" s="11">
        <v>7990.0</v>
      </c>
      <c r="B7991" s="12">
        <f t="shared" si="1268"/>
        <v>41196</v>
      </c>
      <c r="C7991" s="11" t="s">
        <v>1266</v>
      </c>
      <c r="D7991" s="11" t="s">
        <v>66</v>
      </c>
    </row>
    <row r="7992">
      <c r="A7992" s="11">
        <v>7991.0</v>
      </c>
      <c r="B7992" s="12">
        <f t="shared" si="1268"/>
        <v>41196</v>
      </c>
      <c r="C7992" s="11" t="s">
        <v>1266</v>
      </c>
      <c r="D7992" s="11" t="s">
        <v>28</v>
      </c>
    </row>
    <row r="7993">
      <c r="A7993" s="11">
        <v>7992.0</v>
      </c>
      <c r="B7993" s="12">
        <f t="shared" si="1268"/>
        <v>41196</v>
      </c>
      <c r="C7993" s="11" t="s">
        <v>1907</v>
      </c>
      <c r="D7993" s="11" t="s">
        <v>66</v>
      </c>
    </row>
    <row r="7994">
      <c r="A7994" s="11">
        <v>7993.0</v>
      </c>
      <c r="B7994" s="12">
        <f t="shared" si="1268"/>
        <v>41196</v>
      </c>
      <c r="C7994" s="11" t="s">
        <v>1907</v>
      </c>
      <c r="D7994" s="11" t="s">
        <v>66</v>
      </c>
    </row>
    <row r="7995">
      <c r="A7995" s="11">
        <v>7994.0</v>
      </c>
      <c r="B7995" s="12">
        <f t="shared" si="1268"/>
        <v>41196</v>
      </c>
      <c r="C7995" s="11" t="s">
        <v>1245</v>
      </c>
      <c r="D7995" s="11" t="s">
        <v>28</v>
      </c>
    </row>
    <row r="7996">
      <c r="A7996" s="11">
        <v>7995.0</v>
      </c>
      <c r="B7996" s="12">
        <f t="shared" ref="B7996:B7998" si="1269">DATE(2012,12,31)-77</f>
        <v>41197</v>
      </c>
      <c r="C7996" s="11" t="s">
        <v>578</v>
      </c>
      <c r="D7996" s="11" t="s">
        <v>28</v>
      </c>
    </row>
    <row r="7997">
      <c r="A7997" s="11">
        <v>7996.0</v>
      </c>
      <c r="B7997" s="12">
        <f t="shared" si="1269"/>
        <v>41197</v>
      </c>
      <c r="C7997" s="11" t="s">
        <v>398</v>
      </c>
      <c r="D7997" s="11" t="s">
        <v>66</v>
      </c>
    </row>
    <row r="7998">
      <c r="A7998" s="11">
        <v>7997.0</v>
      </c>
      <c r="B7998" s="12">
        <f t="shared" si="1269"/>
        <v>41197</v>
      </c>
      <c r="C7998" s="11" t="s">
        <v>1165</v>
      </c>
      <c r="D7998" s="11" t="s">
        <v>28</v>
      </c>
    </row>
    <row r="7999">
      <c r="A7999" s="11">
        <v>7998.0</v>
      </c>
      <c r="B7999" s="12">
        <f t="shared" ref="B7999:B8004" si="1270">DATE(2012,12,31)-76</f>
        <v>41198</v>
      </c>
      <c r="C7999" s="11" t="s">
        <v>2495</v>
      </c>
      <c r="D7999" s="11" t="s">
        <v>28</v>
      </c>
    </row>
    <row r="8000">
      <c r="A8000" s="11">
        <v>7999.0</v>
      </c>
      <c r="B8000" s="12">
        <f t="shared" si="1270"/>
        <v>41198</v>
      </c>
      <c r="C8000" s="11" t="s">
        <v>1145</v>
      </c>
      <c r="D8000" s="11" t="s">
        <v>28</v>
      </c>
    </row>
    <row r="8001">
      <c r="A8001" s="11">
        <v>8000.0</v>
      </c>
      <c r="B8001" s="12">
        <f t="shared" si="1270"/>
        <v>41198</v>
      </c>
      <c r="C8001" s="11" t="s">
        <v>2603</v>
      </c>
      <c r="D8001" s="11" t="s">
        <v>28</v>
      </c>
    </row>
    <row r="8002">
      <c r="A8002" s="11">
        <v>8001.0</v>
      </c>
      <c r="B8002" s="12">
        <f t="shared" si="1270"/>
        <v>41198</v>
      </c>
      <c r="C8002" s="11" t="s">
        <v>1086</v>
      </c>
      <c r="D8002" s="11" t="s">
        <v>28</v>
      </c>
    </row>
    <row r="8003">
      <c r="A8003" s="11">
        <v>8002.0</v>
      </c>
      <c r="B8003" s="12">
        <f t="shared" si="1270"/>
        <v>41198</v>
      </c>
      <c r="C8003" s="11" t="s">
        <v>1086</v>
      </c>
      <c r="D8003" s="11" t="s">
        <v>28</v>
      </c>
    </row>
    <row r="8004">
      <c r="A8004" s="11">
        <v>8003.0</v>
      </c>
      <c r="B8004" s="12">
        <f t="shared" si="1270"/>
        <v>41198</v>
      </c>
      <c r="C8004" s="11" t="s">
        <v>426</v>
      </c>
      <c r="D8004" s="11" t="s">
        <v>49</v>
      </c>
    </row>
    <row r="8005">
      <c r="A8005" s="11">
        <v>8004.0</v>
      </c>
      <c r="B8005" s="12">
        <f t="shared" ref="B8005:B8007" si="1271">DATE(2012,12,31)-75</f>
        <v>41199</v>
      </c>
      <c r="C8005" s="11" t="s">
        <v>1326</v>
      </c>
      <c r="D8005" s="11" t="s">
        <v>49</v>
      </c>
    </row>
    <row r="8006">
      <c r="A8006" s="11">
        <v>8005.0</v>
      </c>
      <c r="B8006" s="12">
        <f t="shared" si="1271"/>
        <v>41199</v>
      </c>
      <c r="C8006" s="11" t="s">
        <v>2436</v>
      </c>
      <c r="D8006" s="11" t="s">
        <v>28</v>
      </c>
    </row>
    <row r="8007">
      <c r="A8007" s="11">
        <v>8006.0</v>
      </c>
      <c r="B8007" s="12">
        <f t="shared" si="1271"/>
        <v>41199</v>
      </c>
      <c r="C8007" s="11" t="s">
        <v>1686</v>
      </c>
      <c r="D8007" s="11" t="s">
        <v>66</v>
      </c>
    </row>
    <row r="8008">
      <c r="A8008" s="11">
        <v>8007.0</v>
      </c>
      <c r="B8008" s="12">
        <f t="shared" ref="B8008:B8021" si="1272">DATE(2012,12,31)-74</f>
        <v>41200</v>
      </c>
      <c r="C8008" s="11" t="s">
        <v>106</v>
      </c>
      <c r="D8008" s="11" t="s">
        <v>28</v>
      </c>
    </row>
    <row r="8009">
      <c r="A8009" s="11">
        <v>8008.0</v>
      </c>
      <c r="B8009" s="12">
        <f t="shared" si="1272"/>
        <v>41200</v>
      </c>
      <c r="C8009" s="11" t="s">
        <v>106</v>
      </c>
      <c r="D8009" s="11" t="s">
        <v>49</v>
      </c>
    </row>
    <row r="8010">
      <c r="A8010" s="11">
        <v>8009.0</v>
      </c>
      <c r="B8010" s="12">
        <f t="shared" si="1272"/>
        <v>41200</v>
      </c>
      <c r="C8010" s="11" t="s">
        <v>1218</v>
      </c>
      <c r="D8010" s="11" t="s">
        <v>28</v>
      </c>
    </row>
    <row r="8011">
      <c r="A8011" s="11">
        <v>8010.0</v>
      </c>
      <c r="B8011" s="12">
        <f t="shared" si="1272"/>
        <v>41200</v>
      </c>
      <c r="C8011" s="11" t="s">
        <v>1917</v>
      </c>
      <c r="D8011" s="11" t="s">
        <v>28</v>
      </c>
    </row>
    <row r="8012">
      <c r="A8012" s="11">
        <v>8011.0</v>
      </c>
      <c r="B8012" s="12">
        <f t="shared" si="1272"/>
        <v>41200</v>
      </c>
      <c r="C8012" s="11" t="s">
        <v>1423</v>
      </c>
      <c r="D8012" s="11" t="s">
        <v>28</v>
      </c>
    </row>
    <row r="8013">
      <c r="A8013" s="11">
        <v>8012.0</v>
      </c>
      <c r="B8013" s="12">
        <f t="shared" si="1272"/>
        <v>41200</v>
      </c>
      <c r="C8013" s="11" t="s">
        <v>2475</v>
      </c>
      <c r="D8013" s="11" t="s">
        <v>66</v>
      </c>
    </row>
    <row r="8014">
      <c r="A8014" s="11">
        <v>8013.0</v>
      </c>
      <c r="B8014" s="12">
        <f t="shared" si="1272"/>
        <v>41200</v>
      </c>
      <c r="C8014" s="11" t="s">
        <v>2043</v>
      </c>
      <c r="D8014" s="11" t="s">
        <v>66</v>
      </c>
    </row>
    <row r="8015">
      <c r="A8015" s="11">
        <v>8014.0</v>
      </c>
      <c r="B8015" s="12">
        <f t="shared" si="1272"/>
        <v>41200</v>
      </c>
      <c r="C8015" s="11" t="s">
        <v>2043</v>
      </c>
      <c r="D8015" s="11" t="s">
        <v>28</v>
      </c>
    </row>
    <row r="8016">
      <c r="A8016" s="11">
        <v>8015.0</v>
      </c>
      <c r="B8016" s="12">
        <f t="shared" si="1272"/>
        <v>41200</v>
      </c>
      <c r="C8016" s="11" t="s">
        <v>2043</v>
      </c>
      <c r="D8016" s="11" t="s">
        <v>66</v>
      </c>
    </row>
    <row r="8017">
      <c r="A8017" s="11">
        <v>8016.0</v>
      </c>
      <c r="B8017" s="12">
        <f t="shared" si="1272"/>
        <v>41200</v>
      </c>
      <c r="C8017" s="11" t="s">
        <v>945</v>
      </c>
      <c r="D8017" s="11" t="s">
        <v>28</v>
      </c>
    </row>
    <row r="8018">
      <c r="A8018" s="11">
        <v>8017.0</v>
      </c>
      <c r="B8018" s="12">
        <f t="shared" si="1272"/>
        <v>41200</v>
      </c>
      <c r="C8018" s="11" t="s">
        <v>945</v>
      </c>
      <c r="D8018" s="11" t="s">
        <v>28</v>
      </c>
    </row>
    <row r="8019">
      <c r="A8019" s="11">
        <v>8018.0</v>
      </c>
      <c r="B8019" s="12">
        <f t="shared" si="1272"/>
        <v>41200</v>
      </c>
      <c r="C8019" s="11" t="s">
        <v>1560</v>
      </c>
      <c r="D8019" s="11" t="s">
        <v>28</v>
      </c>
    </row>
    <row r="8020">
      <c r="A8020" s="11">
        <v>8019.0</v>
      </c>
      <c r="B8020" s="12">
        <f t="shared" si="1272"/>
        <v>41200</v>
      </c>
      <c r="C8020" s="11" t="s">
        <v>1560</v>
      </c>
      <c r="D8020" s="11" t="s">
        <v>49</v>
      </c>
    </row>
    <row r="8021">
      <c r="A8021" s="11">
        <v>8020.0</v>
      </c>
      <c r="B8021" s="12">
        <f t="shared" si="1272"/>
        <v>41200</v>
      </c>
      <c r="C8021" s="11" t="s">
        <v>2597</v>
      </c>
      <c r="D8021" s="11" t="s">
        <v>28</v>
      </c>
    </row>
    <row r="8022">
      <c r="A8022" s="11">
        <v>8021.0</v>
      </c>
      <c r="B8022" s="12">
        <f t="shared" ref="B8022:B8027" si="1273">DATE(2012,12,31)-73</f>
        <v>41201</v>
      </c>
      <c r="C8022" s="11" t="s">
        <v>106</v>
      </c>
      <c r="D8022" s="11" t="s">
        <v>28</v>
      </c>
    </row>
    <row r="8023">
      <c r="A8023" s="11">
        <v>8022.0</v>
      </c>
      <c r="B8023" s="12">
        <f t="shared" si="1273"/>
        <v>41201</v>
      </c>
      <c r="C8023" s="11" t="s">
        <v>106</v>
      </c>
      <c r="D8023" s="11" t="s">
        <v>28</v>
      </c>
    </row>
    <row r="8024">
      <c r="A8024" s="11">
        <v>8023.0</v>
      </c>
      <c r="B8024" s="12">
        <f t="shared" si="1273"/>
        <v>41201</v>
      </c>
      <c r="C8024" s="11" t="s">
        <v>106</v>
      </c>
      <c r="D8024" s="11" t="s">
        <v>66</v>
      </c>
    </row>
    <row r="8025">
      <c r="A8025" s="11">
        <v>8024.0</v>
      </c>
      <c r="B8025" s="12">
        <f t="shared" si="1273"/>
        <v>41201</v>
      </c>
      <c r="C8025" s="11" t="s">
        <v>1907</v>
      </c>
      <c r="D8025" s="11" t="s">
        <v>49</v>
      </c>
    </row>
    <row r="8026">
      <c r="A8026" s="11">
        <v>8025.0</v>
      </c>
      <c r="B8026" s="12">
        <f t="shared" si="1273"/>
        <v>41201</v>
      </c>
      <c r="C8026" s="11" t="s">
        <v>1907</v>
      </c>
      <c r="D8026" s="11" t="s">
        <v>66</v>
      </c>
    </row>
    <row r="8027">
      <c r="A8027" s="11">
        <v>8026.0</v>
      </c>
      <c r="B8027" s="12">
        <f t="shared" si="1273"/>
        <v>41201</v>
      </c>
      <c r="C8027" s="11" t="s">
        <v>1332</v>
      </c>
      <c r="D8027" s="11" t="s">
        <v>28</v>
      </c>
    </row>
    <row r="8028">
      <c r="A8028" s="11">
        <v>8027.0</v>
      </c>
      <c r="B8028" s="12">
        <f t="shared" ref="B8028:B8032" si="1274">DATE(2012,12,31)-72</f>
        <v>41202</v>
      </c>
      <c r="C8028" s="11" t="s">
        <v>1390</v>
      </c>
      <c r="D8028" s="11" t="s">
        <v>28</v>
      </c>
    </row>
    <row r="8029">
      <c r="A8029" s="11">
        <v>8028.0</v>
      </c>
      <c r="B8029" s="12">
        <f t="shared" si="1274"/>
        <v>41202</v>
      </c>
      <c r="C8029" s="11" t="s">
        <v>1390</v>
      </c>
      <c r="D8029" s="11" t="s">
        <v>66</v>
      </c>
    </row>
    <row r="8030">
      <c r="A8030" s="11">
        <v>8029.0</v>
      </c>
      <c r="B8030" s="12">
        <f t="shared" si="1274"/>
        <v>41202</v>
      </c>
      <c r="C8030" s="11" t="s">
        <v>1747</v>
      </c>
      <c r="D8030" s="11" t="s">
        <v>28</v>
      </c>
    </row>
    <row r="8031">
      <c r="A8031" s="11">
        <v>8030.0</v>
      </c>
      <c r="B8031" s="12">
        <f t="shared" si="1274"/>
        <v>41202</v>
      </c>
      <c r="C8031" s="11" t="s">
        <v>1747</v>
      </c>
      <c r="D8031" s="11" t="s">
        <v>28</v>
      </c>
    </row>
    <row r="8032">
      <c r="A8032" s="11">
        <v>8031.0</v>
      </c>
      <c r="B8032" s="12">
        <f t="shared" si="1274"/>
        <v>41202</v>
      </c>
      <c r="C8032" s="11" t="s">
        <v>1747</v>
      </c>
      <c r="D8032" s="11" t="s">
        <v>66</v>
      </c>
    </row>
    <row r="8033">
      <c r="A8033" s="11">
        <v>8032.0</v>
      </c>
      <c r="B8033" s="12">
        <f t="shared" ref="B8033:B8035" si="1275">DATE(2012,12,31)-71</f>
        <v>41203</v>
      </c>
      <c r="C8033" s="11" t="s">
        <v>1017</v>
      </c>
      <c r="D8033" s="11" t="s">
        <v>28</v>
      </c>
    </row>
    <row r="8034">
      <c r="A8034" s="11">
        <v>8033.0</v>
      </c>
      <c r="B8034" s="12">
        <f t="shared" si="1275"/>
        <v>41203</v>
      </c>
      <c r="C8034" s="11" t="s">
        <v>453</v>
      </c>
      <c r="D8034" s="11" t="s">
        <v>49</v>
      </c>
    </row>
    <row r="8035">
      <c r="A8035" s="11">
        <v>8034.0</v>
      </c>
      <c r="B8035" s="12">
        <f t="shared" si="1275"/>
        <v>41203</v>
      </c>
      <c r="C8035" s="11" t="s">
        <v>1737</v>
      </c>
      <c r="D8035" s="11" t="s">
        <v>49</v>
      </c>
    </row>
    <row r="8036">
      <c r="A8036" s="11">
        <v>8035.0</v>
      </c>
      <c r="B8036" s="12">
        <f t="shared" ref="B8036:B8039" si="1276">DATE(2012,12,31)-70</f>
        <v>41204</v>
      </c>
      <c r="C8036" s="11" t="s">
        <v>1929</v>
      </c>
      <c r="D8036" s="11" t="s">
        <v>28</v>
      </c>
    </row>
    <row r="8037">
      <c r="A8037" s="11">
        <v>8036.0</v>
      </c>
      <c r="B8037" s="12">
        <f t="shared" si="1276"/>
        <v>41204</v>
      </c>
      <c r="C8037" s="11" t="s">
        <v>1929</v>
      </c>
      <c r="D8037" s="11" t="s">
        <v>28</v>
      </c>
    </row>
    <row r="8038">
      <c r="A8038" s="11">
        <v>8037.0</v>
      </c>
      <c r="B8038" s="12">
        <f t="shared" si="1276"/>
        <v>41204</v>
      </c>
      <c r="C8038" s="11" t="s">
        <v>759</v>
      </c>
      <c r="D8038" s="11" t="s">
        <v>28</v>
      </c>
    </row>
    <row r="8039">
      <c r="A8039" s="11">
        <v>8038.0</v>
      </c>
      <c r="B8039" s="12">
        <f t="shared" si="1276"/>
        <v>41204</v>
      </c>
      <c r="C8039" s="11" t="s">
        <v>1010</v>
      </c>
      <c r="D8039" s="11" t="s">
        <v>28</v>
      </c>
    </row>
    <row r="8040">
      <c r="A8040" s="11">
        <v>8039.0</v>
      </c>
      <c r="B8040" s="12">
        <f t="shared" ref="B8040:B8046" si="1277">DATE(2012,12,31)-69</f>
        <v>41205</v>
      </c>
      <c r="C8040" s="11" t="s">
        <v>1145</v>
      </c>
      <c r="D8040" s="11" t="s">
        <v>28</v>
      </c>
    </row>
    <row r="8041">
      <c r="A8041" s="11">
        <v>8040.0</v>
      </c>
      <c r="B8041" s="12">
        <f t="shared" si="1277"/>
        <v>41205</v>
      </c>
      <c r="C8041" s="11" t="s">
        <v>1524</v>
      </c>
      <c r="D8041" s="11" t="s">
        <v>28</v>
      </c>
    </row>
    <row r="8042">
      <c r="A8042" s="11">
        <v>8041.0</v>
      </c>
      <c r="B8042" s="12">
        <f t="shared" si="1277"/>
        <v>41205</v>
      </c>
      <c r="C8042" s="11" t="s">
        <v>910</v>
      </c>
      <c r="D8042" s="11" t="s">
        <v>49</v>
      </c>
    </row>
    <row r="8043">
      <c r="A8043" s="11">
        <v>8042.0</v>
      </c>
      <c r="B8043" s="12">
        <f t="shared" si="1277"/>
        <v>41205</v>
      </c>
      <c r="C8043" s="11" t="s">
        <v>1264</v>
      </c>
      <c r="D8043" s="11" t="s">
        <v>66</v>
      </c>
    </row>
    <row r="8044">
      <c r="A8044" s="11">
        <v>8043.0</v>
      </c>
      <c r="B8044" s="12">
        <f t="shared" si="1277"/>
        <v>41205</v>
      </c>
      <c r="C8044" s="11" t="s">
        <v>1264</v>
      </c>
      <c r="D8044" s="11" t="s">
        <v>28</v>
      </c>
    </row>
    <row r="8045">
      <c r="A8045" s="11">
        <v>8044.0</v>
      </c>
      <c r="B8045" s="12">
        <f t="shared" si="1277"/>
        <v>41205</v>
      </c>
      <c r="C8045" s="11" t="s">
        <v>2084</v>
      </c>
      <c r="D8045" s="11" t="s">
        <v>28</v>
      </c>
    </row>
    <row r="8046">
      <c r="A8046" s="11">
        <v>8045.0</v>
      </c>
      <c r="B8046" s="12">
        <f t="shared" si="1277"/>
        <v>41205</v>
      </c>
      <c r="C8046" s="11" t="s">
        <v>213</v>
      </c>
      <c r="D8046" s="11" t="s">
        <v>28</v>
      </c>
    </row>
    <row r="8047">
      <c r="A8047" s="11">
        <v>8046.0</v>
      </c>
      <c r="B8047" s="12">
        <f t="shared" ref="B8047:B8050" si="1278">DATE(2012,12,31)-68</f>
        <v>41206</v>
      </c>
      <c r="C8047" s="11" t="s">
        <v>603</v>
      </c>
      <c r="D8047" s="11" t="s">
        <v>49</v>
      </c>
    </row>
    <row r="8048">
      <c r="A8048" s="11">
        <v>8047.0</v>
      </c>
      <c r="B8048" s="12">
        <f t="shared" si="1278"/>
        <v>41206</v>
      </c>
      <c r="C8048" s="11" t="s">
        <v>945</v>
      </c>
      <c r="D8048" s="11" t="s">
        <v>66</v>
      </c>
    </row>
    <row r="8049">
      <c r="A8049" s="11">
        <v>8048.0</v>
      </c>
      <c r="B8049" s="12">
        <f t="shared" si="1278"/>
        <v>41206</v>
      </c>
      <c r="C8049" s="11" t="s">
        <v>1045</v>
      </c>
      <c r="D8049" s="11" t="s">
        <v>28</v>
      </c>
    </row>
    <row r="8050">
      <c r="A8050" s="11">
        <v>8049.0</v>
      </c>
      <c r="B8050" s="12">
        <f t="shared" si="1278"/>
        <v>41206</v>
      </c>
      <c r="C8050" s="11" t="s">
        <v>1045</v>
      </c>
      <c r="D8050" s="11" t="s">
        <v>28</v>
      </c>
    </row>
    <row r="8051">
      <c r="A8051" s="11">
        <v>8050.0</v>
      </c>
      <c r="B8051" s="12">
        <f t="shared" ref="B8051:B8059" si="1279">DATE(2012,12,31)-67</f>
        <v>41207</v>
      </c>
      <c r="C8051" s="11" t="s">
        <v>2409</v>
      </c>
      <c r="D8051" s="11" t="s">
        <v>28</v>
      </c>
    </row>
    <row r="8052">
      <c r="A8052" s="11">
        <v>8051.0</v>
      </c>
      <c r="B8052" s="12">
        <f t="shared" si="1279"/>
        <v>41207</v>
      </c>
      <c r="C8052" s="11" t="s">
        <v>2557</v>
      </c>
      <c r="D8052" s="11" t="s">
        <v>49</v>
      </c>
    </row>
    <row r="8053">
      <c r="A8053" s="11">
        <v>8052.0</v>
      </c>
      <c r="B8053" s="12">
        <f t="shared" si="1279"/>
        <v>41207</v>
      </c>
      <c r="C8053" s="11" t="s">
        <v>2557</v>
      </c>
      <c r="D8053" s="11" t="s">
        <v>28</v>
      </c>
    </row>
    <row r="8054">
      <c r="A8054" s="11">
        <v>8053.0</v>
      </c>
      <c r="B8054" s="12">
        <f t="shared" si="1279"/>
        <v>41207</v>
      </c>
      <c r="C8054" s="11" t="s">
        <v>1857</v>
      </c>
      <c r="D8054" s="11" t="s">
        <v>28</v>
      </c>
    </row>
    <row r="8055">
      <c r="A8055" s="11">
        <v>8054.0</v>
      </c>
      <c r="B8055" s="12">
        <f t="shared" si="1279"/>
        <v>41207</v>
      </c>
      <c r="C8055" s="11" t="s">
        <v>1857</v>
      </c>
      <c r="D8055" s="11" t="s">
        <v>49</v>
      </c>
    </row>
    <row r="8056">
      <c r="A8056" s="11">
        <v>8055.0</v>
      </c>
      <c r="B8056" s="12">
        <f t="shared" si="1279"/>
        <v>41207</v>
      </c>
      <c r="C8056" s="11" t="s">
        <v>1857</v>
      </c>
      <c r="D8056" s="11" t="s">
        <v>28</v>
      </c>
    </row>
    <row r="8057">
      <c r="A8057" s="11">
        <v>8056.0</v>
      </c>
      <c r="B8057" s="12">
        <f t="shared" si="1279"/>
        <v>41207</v>
      </c>
      <c r="C8057" s="11" t="s">
        <v>1857</v>
      </c>
      <c r="D8057" s="11" t="s">
        <v>49</v>
      </c>
    </row>
    <row r="8058">
      <c r="A8058" s="11">
        <v>8057.0</v>
      </c>
      <c r="B8058" s="12">
        <f t="shared" si="1279"/>
        <v>41207</v>
      </c>
      <c r="C8058" s="11" t="s">
        <v>992</v>
      </c>
      <c r="D8058" s="11" t="s">
        <v>28</v>
      </c>
    </row>
    <row r="8059">
      <c r="A8059" s="11">
        <v>8058.0</v>
      </c>
      <c r="B8059" s="12">
        <f t="shared" si="1279"/>
        <v>41207</v>
      </c>
      <c r="C8059" s="11" t="s">
        <v>1168</v>
      </c>
      <c r="D8059" s="11" t="s">
        <v>28</v>
      </c>
    </row>
    <row r="8060">
      <c r="A8060" s="11">
        <v>8059.0</v>
      </c>
      <c r="B8060" s="12">
        <f t="shared" ref="B8060:B8067" si="1280">DATE(2012,12,31)-66</f>
        <v>41208</v>
      </c>
      <c r="C8060" s="11" t="s">
        <v>499</v>
      </c>
      <c r="D8060" s="11" t="s">
        <v>28</v>
      </c>
    </row>
    <row r="8061">
      <c r="A8061" s="11">
        <v>8060.0</v>
      </c>
      <c r="B8061" s="12">
        <f t="shared" si="1280"/>
        <v>41208</v>
      </c>
      <c r="C8061" s="11" t="s">
        <v>499</v>
      </c>
      <c r="D8061" s="11" t="s">
        <v>28</v>
      </c>
    </row>
    <row r="8062">
      <c r="A8062" s="11">
        <v>8061.0</v>
      </c>
      <c r="B8062" s="12">
        <f t="shared" si="1280"/>
        <v>41208</v>
      </c>
      <c r="C8062" s="11" t="s">
        <v>2527</v>
      </c>
      <c r="D8062" s="11" t="s">
        <v>66</v>
      </c>
    </row>
    <row r="8063">
      <c r="A8063" s="11">
        <v>8062.0</v>
      </c>
      <c r="B8063" s="12">
        <f t="shared" si="1280"/>
        <v>41208</v>
      </c>
      <c r="C8063" s="11" t="s">
        <v>2527</v>
      </c>
      <c r="D8063" s="11" t="s">
        <v>66</v>
      </c>
    </row>
    <row r="8064">
      <c r="A8064" s="11">
        <v>8063.0</v>
      </c>
      <c r="B8064" s="12">
        <f t="shared" si="1280"/>
        <v>41208</v>
      </c>
      <c r="C8064" s="11" t="s">
        <v>2527</v>
      </c>
      <c r="D8064" s="11" t="s">
        <v>66</v>
      </c>
    </row>
    <row r="8065">
      <c r="A8065" s="11">
        <v>8064.0</v>
      </c>
      <c r="B8065" s="12">
        <f t="shared" si="1280"/>
        <v>41208</v>
      </c>
      <c r="C8065" s="11" t="s">
        <v>1414</v>
      </c>
      <c r="D8065" s="11" t="s">
        <v>66</v>
      </c>
    </row>
    <row r="8066">
      <c r="A8066" s="11">
        <v>8065.0</v>
      </c>
      <c r="B8066" s="12">
        <f t="shared" si="1280"/>
        <v>41208</v>
      </c>
      <c r="C8066" s="11" t="s">
        <v>317</v>
      </c>
      <c r="D8066" s="11" t="s">
        <v>66</v>
      </c>
    </row>
    <row r="8067">
      <c r="A8067" s="11">
        <v>8066.0</v>
      </c>
      <c r="B8067" s="12">
        <f t="shared" si="1280"/>
        <v>41208</v>
      </c>
      <c r="C8067" s="11" t="s">
        <v>317</v>
      </c>
      <c r="D8067" s="11" t="s">
        <v>28</v>
      </c>
    </row>
    <row r="8068">
      <c r="A8068" s="11">
        <v>8067.0</v>
      </c>
      <c r="B8068" s="12">
        <f t="shared" ref="B8068:B8073" si="1281">DATE(2012,12,31)-65</f>
        <v>41209</v>
      </c>
      <c r="C8068" s="11" t="s">
        <v>2271</v>
      </c>
      <c r="D8068" s="11" t="s">
        <v>49</v>
      </c>
    </row>
    <row r="8069">
      <c r="A8069" s="11">
        <v>8068.0</v>
      </c>
      <c r="B8069" s="12">
        <f t="shared" si="1281"/>
        <v>41209</v>
      </c>
      <c r="C8069" s="11" t="s">
        <v>1951</v>
      </c>
      <c r="D8069" s="11" t="s">
        <v>28</v>
      </c>
    </row>
    <row r="8070">
      <c r="A8070" s="11">
        <v>8069.0</v>
      </c>
      <c r="B8070" s="12">
        <f t="shared" si="1281"/>
        <v>41209</v>
      </c>
      <c r="C8070" s="11" t="s">
        <v>120</v>
      </c>
      <c r="D8070" s="11" t="s">
        <v>49</v>
      </c>
    </row>
    <row r="8071">
      <c r="A8071" s="11">
        <v>8070.0</v>
      </c>
      <c r="B8071" s="12">
        <f t="shared" si="1281"/>
        <v>41209</v>
      </c>
      <c r="C8071" s="11" t="s">
        <v>803</v>
      </c>
      <c r="D8071" s="11" t="s">
        <v>66</v>
      </c>
    </row>
    <row r="8072">
      <c r="A8072" s="11">
        <v>8071.0</v>
      </c>
      <c r="B8072" s="12">
        <f t="shared" si="1281"/>
        <v>41209</v>
      </c>
      <c r="C8072" s="11" t="s">
        <v>1222</v>
      </c>
      <c r="D8072" s="11" t="s">
        <v>66</v>
      </c>
    </row>
    <row r="8073">
      <c r="A8073" s="11">
        <v>8072.0</v>
      </c>
      <c r="B8073" s="12">
        <f t="shared" si="1281"/>
        <v>41209</v>
      </c>
      <c r="C8073" s="11" t="s">
        <v>2373</v>
      </c>
      <c r="D8073" s="11" t="s">
        <v>28</v>
      </c>
    </row>
    <row r="8074">
      <c r="A8074" s="11">
        <v>8073.0</v>
      </c>
      <c r="B8074" s="12">
        <f t="shared" ref="B8074:B8082" si="1282">DATE(2012,12,31)-64</f>
        <v>41210</v>
      </c>
      <c r="C8074" s="11" t="s">
        <v>2540</v>
      </c>
      <c r="D8074" s="11" t="s">
        <v>28</v>
      </c>
    </row>
    <row r="8075">
      <c r="A8075" s="11">
        <v>8074.0</v>
      </c>
      <c r="B8075" s="12">
        <f t="shared" si="1282"/>
        <v>41210</v>
      </c>
      <c r="C8075" s="11" t="s">
        <v>1896</v>
      </c>
      <c r="D8075" s="11" t="s">
        <v>28</v>
      </c>
    </row>
    <row r="8076">
      <c r="A8076" s="11">
        <v>8075.0</v>
      </c>
      <c r="B8076" s="12">
        <f t="shared" si="1282"/>
        <v>41210</v>
      </c>
      <c r="C8076" s="11" t="s">
        <v>2329</v>
      </c>
      <c r="D8076" s="11" t="s">
        <v>28</v>
      </c>
    </row>
    <row r="8077">
      <c r="A8077" s="11">
        <v>8076.0</v>
      </c>
      <c r="B8077" s="12">
        <f t="shared" si="1282"/>
        <v>41210</v>
      </c>
      <c r="C8077" s="11" t="s">
        <v>2329</v>
      </c>
      <c r="D8077" s="11" t="s">
        <v>66</v>
      </c>
    </row>
    <row r="8078">
      <c r="A8078" s="11">
        <v>8077.0</v>
      </c>
      <c r="B8078" s="12">
        <f t="shared" si="1282"/>
        <v>41210</v>
      </c>
      <c r="C8078" s="11" t="s">
        <v>2529</v>
      </c>
      <c r="D8078" s="11" t="s">
        <v>28</v>
      </c>
    </row>
    <row r="8079">
      <c r="A8079" s="11">
        <v>8078.0</v>
      </c>
      <c r="B8079" s="12">
        <f t="shared" si="1282"/>
        <v>41210</v>
      </c>
      <c r="C8079" s="11" t="s">
        <v>1667</v>
      </c>
      <c r="D8079" s="11" t="s">
        <v>66</v>
      </c>
    </row>
    <row r="8080">
      <c r="A8080" s="11">
        <v>8079.0</v>
      </c>
      <c r="B8080" s="12">
        <f t="shared" si="1282"/>
        <v>41210</v>
      </c>
      <c r="C8080" s="11" t="s">
        <v>1667</v>
      </c>
      <c r="D8080" s="11" t="s">
        <v>66</v>
      </c>
    </row>
    <row r="8081">
      <c r="A8081" s="11">
        <v>8080.0</v>
      </c>
      <c r="B8081" s="12">
        <f t="shared" si="1282"/>
        <v>41210</v>
      </c>
      <c r="C8081" s="11" t="s">
        <v>1851</v>
      </c>
      <c r="D8081" s="11" t="s">
        <v>28</v>
      </c>
    </row>
    <row r="8082">
      <c r="A8082" s="11">
        <v>8081.0</v>
      </c>
      <c r="B8082" s="12">
        <f t="shared" si="1282"/>
        <v>41210</v>
      </c>
      <c r="C8082" s="11" t="s">
        <v>1747</v>
      </c>
      <c r="D8082" s="11" t="s">
        <v>66</v>
      </c>
    </row>
    <row r="8083">
      <c r="A8083" s="11">
        <v>8082.0</v>
      </c>
      <c r="B8083" s="12">
        <f t="shared" ref="B8083:B8090" si="1283">DATE(2012,12,31)-63</f>
        <v>41211</v>
      </c>
      <c r="C8083" s="11" t="s">
        <v>940</v>
      </c>
      <c r="D8083" s="11" t="s">
        <v>28</v>
      </c>
    </row>
    <row r="8084">
      <c r="A8084" s="11">
        <v>8083.0</v>
      </c>
      <c r="B8084" s="12">
        <f t="shared" si="1283"/>
        <v>41211</v>
      </c>
      <c r="C8084" s="11" t="s">
        <v>485</v>
      </c>
      <c r="D8084" s="11" t="s">
        <v>49</v>
      </c>
    </row>
    <row r="8085">
      <c r="A8085" s="11">
        <v>8084.0</v>
      </c>
      <c r="B8085" s="12">
        <f t="shared" si="1283"/>
        <v>41211</v>
      </c>
      <c r="C8085" s="11" t="s">
        <v>2074</v>
      </c>
      <c r="D8085" s="11" t="s">
        <v>49</v>
      </c>
    </row>
    <row r="8086">
      <c r="A8086" s="11">
        <v>8085.0</v>
      </c>
      <c r="B8086" s="12">
        <f t="shared" si="1283"/>
        <v>41211</v>
      </c>
      <c r="C8086" s="11" t="s">
        <v>353</v>
      </c>
      <c r="D8086" s="11" t="s">
        <v>28</v>
      </c>
    </row>
    <row r="8087">
      <c r="A8087" s="11">
        <v>8086.0</v>
      </c>
      <c r="B8087" s="12">
        <f t="shared" si="1283"/>
        <v>41211</v>
      </c>
      <c r="C8087" s="11" t="s">
        <v>1715</v>
      </c>
      <c r="D8087" s="11" t="s">
        <v>49</v>
      </c>
    </row>
    <row r="8088">
      <c r="A8088" s="11">
        <v>8087.0</v>
      </c>
      <c r="B8088" s="12">
        <f t="shared" si="1283"/>
        <v>41211</v>
      </c>
      <c r="C8088" s="11" t="s">
        <v>412</v>
      </c>
      <c r="D8088" s="11" t="s">
        <v>49</v>
      </c>
    </row>
    <row r="8089">
      <c r="A8089" s="11">
        <v>8088.0</v>
      </c>
      <c r="B8089" s="12">
        <f t="shared" si="1283"/>
        <v>41211</v>
      </c>
      <c r="C8089" s="11" t="s">
        <v>412</v>
      </c>
      <c r="D8089" s="11" t="s">
        <v>66</v>
      </c>
    </row>
    <row r="8090">
      <c r="A8090" s="11">
        <v>8089.0</v>
      </c>
      <c r="B8090" s="12">
        <f t="shared" si="1283"/>
        <v>41211</v>
      </c>
      <c r="C8090" s="11" t="s">
        <v>1112</v>
      </c>
      <c r="D8090" s="11" t="s">
        <v>49</v>
      </c>
    </row>
    <row r="8091">
      <c r="A8091" s="11">
        <v>8090.0</v>
      </c>
      <c r="B8091" s="12">
        <f t="shared" ref="B8091:B8106" si="1284">DATE(2012,12,31)-62</f>
        <v>41212</v>
      </c>
      <c r="C8091" s="11" t="s">
        <v>2079</v>
      </c>
      <c r="D8091" s="11" t="s">
        <v>28</v>
      </c>
    </row>
    <row r="8092">
      <c r="A8092" s="11">
        <v>8091.0</v>
      </c>
      <c r="B8092" s="12">
        <f t="shared" si="1284"/>
        <v>41212</v>
      </c>
      <c r="C8092" s="11" t="s">
        <v>2079</v>
      </c>
      <c r="D8092" s="11" t="s">
        <v>28</v>
      </c>
    </row>
    <row r="8093">
      <c r="A8093" s="11">
        <v>8092.0</v>
      </c>
      <c r="B8093" s="12">
        <f t="shared" si="1284"/>
        <v>41212</v>
      </c>
      <c r="C8093" s="11" t="s">
        <v>2079</v>
      </c>
      <c r="D8093" s="11" t="s">
        <v>28</v>
      </c>
    </row>
    <row r="8094">
      <c r="A8094" s="11">
        <v>8093.0</v>
      </c>
      <c r="B8094" s="12">
        <f t="shared" si="1284"/>
        <v>41212</v>
      </c>
      <c r="C8094" s="11" t="s">
        <v>2475</v>
      </c>
      <c r="D8094" s="11" t="s">
        <v>28</v>
      </c>
    </row>
    <row r="8095">
      <c r="A8095" s="11">
        <v>8094.0</v>
      </c>
      <c r="B8095" s="12">
        <f t="shared" si="1284"/>
        <v>41212</v>
      </c>
      <c r="C8095" s="11" t="s">
        <v>1142</v>
      </c>
      <c r="D8095" s="11" t="s">
        <v>28</v>
      </c>
    </row>
    <row r="8096">
      <c r="A8096" s="11">
        <v>8095.0</v>
      </c>
      <c r="B8096" s="12">
        <f t="shared" si="1284"/>
        <v>41212</v>
      </c>
      <c r="C8096" s="11" t="s">
        <v>900</v>
      </c>
      <c r="D8096" s="11" t="s">
        <v>49</v>
      </c>
    </row>
    <row r="8097">
      <c r="A8097" s="11">
        <v>8096.0</v>
      </c>
      <c r="B8097" s="12">
        <f t="shared" si="1284"/>
        <v>41212</v>
      </c>
      <c r="C8097" s="11" t="s">
        <v>900</v>
      </c>
      <c r="D8097" s="11" t="s">
        <v>49</v>
      </c>
    </row>
    <row r="8098">
      <c r="A8098" s="11">
        <v>8097.0</v>
      </c>
      <c r="B8098" s="12">
        <f t="shared" si="1284"/>
        <v>41212</v>
      </c>
      <c r="C8098" s="11" t="s">
        <v>353</v>
      </c>
      <c r="D8098" s="11" t="s">
        <v>28</v>
      </c>
    </row>
    <row r="8099">
      <c r="A8099" s="11">
        <v>8098.0</v>
      </c>
      <c r="B8099" s="12">
        <f t="shared" si="1284"/>
        <v>41212</v>
      </c>
      <c r="C8099" s="11" t="s">
        <v>353</v>
      </c>
      <c r="D8099" s="11" t="s">
        <v>28</v>
      </c>
    </row>
    <row r="8100">
      <c r="A8100" s="11">
        <v>8099.0</v>
      </c>
      <c r="B8100" s="12">
        <f t="shared" si="1284"/>
        <v>41212</v>
      </c>
      <c r="C8100" s="11" t="s">
        <v>320</v>
      </c>
      <c r="D8100" s="11" t="s">
        <v>28</v>
      </c>
    </row>
    <row r="8101">
      <c r="A8101" s="11">
        <v>8100.0</v>
      </c>
      <c r="B8101" s="12">
        <f t="shared" si="1284"/>
        <v>41212</v>
      </c>
      <c r="C8101" s="11" t="s">
        <v>320</v>
      </c>
      <c r="D8101" s="11" t="s">
        <v>28</v>
      </c>
    </row>
    <row r="8102">
      <c r="A8102" s="11">
        <v>8101.0</v>
      </c>
      <c r="B8102" s="12">
        <f t="shared" si="1284"/>
        <v>41212</v>
      </c>
      <c r="C8102" s="11" t="s">
        <v>320</v>
      </c>
      <c r="D8102" s="11" t="s">
        <v>28</v>
      </c>
    </row>
    <row r="8103">
      <c r="A8103" s="11">
        <v>8102.0</v>
      </c>
      <c r="B8103" s="12">
        <f t="shared" si="1284"/>
        <v>41212</v>
      </c>
      <c r="C8103" s="11" t="s">
        <v>1217</v>
      </c>
      <c r="D8103" s="11" t="s">
        <v>28</v>
      </c>
    </row>
    <row r="8104">
      <c r="A8104" s="11">
        <v>8103.0</v>
      </c>
      <c r="B8104" s="12">
        <f t="shared" si="1284"/>
        <v>41212</v>
      </c>
      <c r="C8104" s="11" t="s">
        <v>1217</v>
      </c>
      <c r="D8104" s="11" t="s">
        <v>28</v>
      </c>
    </row>
    <row r="8105">
      <c r="A8105" s="11">
        <v>8104.0</v>
      </c>
      <c r="B8105" s="12">
        <f t="shared" si="1284"/>
        <v>41212</v>
      </c>
      <c r="C8105" s="11" t="s">
        <v>2384</v>
      </c>
      <c r="D8105" s="11" t="s">
        <v>49</v>
      </c>
    </row>
    <row r="8106">
      <c r="A8106" s="11">
        <v>8105.0</v>
      </c>
      <c r="B8106" s="12">
        <f t="shared" si="1284"/>
        <v>41212</v>
      </c>
      <c r="C8106" s="11" t="s">
        <v>2384</v>
      </c>
      <c r="D8106" s="11" t="s">
        <v>49</v>
      </c>
    </row>
    <row r="8107">
      <c r="A8107" s="11">
        <v>8106.0</v>
      </c>
      <c r="B8107" s="12">
        <f t="shared" ref="B8107:B8112" si="1285">DATE(2012,12,31)-61</f>
        <v>41213</v>
      </c>
      <c r="C8107" s="11" t="s">
        <v>120</v>
      </c>
      <c r="D8107" s="11" t="s">
        <v>49</v>
      </c>
    </row>
    <row r="8108">
      <c r="A8108" s="11">
        <v>8107.0</v>
      </c>
      <c r="B8108" s="12">
        <f t="shared" si="1285"/>
        <v>41213</v>
      </c>
      <c r="C8108" s="11" t="s">
        <v>120</v>
      </c>
      <c r="D8108" s="11" t="s">
        <v>49</v>
      </c>
    </row>
    <row r="8109">
      <c r="A8109" s="11">
        <v>8108.0</v>
      </c>
      <c r="B8109" s="12">
        <f t="shared" si="1285"/>
        <v>41213</v>
      </c>
      <c r="C8109" s="11" t="s">
        <v>2136</v>
      </c>
      <c r="D8109" s="11" t="s">
        <v>28</v>
      </c>
    </row>
    <row r="8110">
      <c r="A8110" s="11">
        <v>8109.0</v>
      </c>
      <c r="B8110" s="12">
        <f t="shared" si="1285"/>
        <v>41213</v>
      </c>
      <c r="C8110" s="11" t="s">
        <v>808</v>
      </c>
      <c r="D8110" s="11" t="s">
        <v>28</v>
      </c>
    </row>
    <row r="8111">
      <c r="A8111" s="11">
        <v>8110.0</v>
      </c>
      <c r="B8111" s="12">
        <f t="shared" si="1285"/>
        <v>41213</v>
      </c>
      <c r="C8111" s="11" t="s">
        <v>541</v>
      </c>
      <c r="D8111" s="11" t="s">
        <v>28</v>
      </c>
    </row>
    <row r="8112">
      <c r="A8112" s="11">
        <v>8111.0</v>
      </c>
      <c r="B8112" s="12">
        <f t="shared" si="1285"/>
        <v>41213</v>
      </c>
      <c r="C8112" s="11" t="s">
        <v>2387</v>
      </c>
      <c r="D8112" s="11" t="s">
        <v>28</v>
      </c>
    </row>
    <row r="8113">
      <c r="A8113" s="11">
        <v>8112.0</v>
      </c>
      <c r="B8113" s="12">
        <f t="shared" ref="B8113:B8120" si="1286">DATE(2012,12,31)-60</f>
        <v>41214</v>
      </c>
      <c r="C8113" s="11" t="s">
        <v>1961</v>
      </c>
      <c r="D8113" s="11" t="s">
        <v>28</v>
      </c>
    </row>
    <row r="8114">
      <c r="A8114" s="11">
        <v>8113.0</v>
      </c>
      <c r="B8114" s="12">
        <f t="shared" si="1286"/>
        <v>41214</v>
      </c>
      <c r="C8114" s="11" t="s">
        <v>1906</v>
      </c>
      <c r="D8114" s="11" t="s">
        <v>28</v>
      </c>
    </row>
    <row r="8115">
      <c r="A8115" s="11">
        <v>8114.0</v>
      </c>
      <c r="B8115" s="12">
        <f t="shared" si="1286"/>
        <v>41214</v>
      </c>
      <c r="C8115" s="11" t="s">
        <v>219</v>
      </c>
      <c r="D8115" s="11" t="s">
        <v>49</v>
      </c>
    </row>
    <row r="8116">
      <c r="A8116" s="11">
        <v>8115.0</v>
      </c>
      <c r="B8116" s="12">
        <f t="shared" si="1286"/>
        <v>41214</v>
      </c>
      <c r="C8116" s="11" t="s">
        <v>485</v>
      </c>
      <c r="D8116" s="11" t="s">
        <v>28</v>
      </c>
    </row>
    <row r="8117">
      <c r="A8117" s="11">
        <v>8116.0</v>
      </c>
      <c r="B8117" s="12">
        <f t="shared" si="1286"/>
        <v>41214</v>
      </c>
      <c r="C8117" s="11" t="s">
        <v>1108</v>
      </c>
      <c r="D8117" s="11" t="s">
        <v>49</v>
      </c>
    </row>
    <row r="8118">
      <c r="A8118" s="11">
        <v>8117.0</v>
      </c>
      <c r="B8118" s="12">
        <f t="shared" si="1286"/>
        <v>41214</v>
      </c>
      <c r="C8118" s="11" t="s">
        <v>1108</v>
      </c>
      <c r="D8118" s="11" t="s">
        <v>66</v>
      </c>
    </row>
    <row r="8119">
      <c r="A8119" s="11">
        <v>8118.0</v>
      </c>
      <c r="B8119" s="12">
        <f t="shared" si="1286"/>
        <v>41214</v>
      </c>
      <c r="C8119" s="11" t="s">
        <v>1108</v>
      </c>
      <c r="D8119" s="11" t="s">
        <v>28</v>
      </c>
    </row>
    <row r="8120">
      <c r="A8120" s="11">
        <v>8119.0</v>
      </c>
      <c r="B8120" s="12">
        <f t="shared" si="1286"/>
        <v>41214</v>
      </c>
      <c r="C8120" s="11" t="s">
        <v>863</v>
      </c>
      <c r="D8120" s="11" t="s">
        <v>66</v>
      </c>
    </row>
    <row r="8121">
      <c r="A8121" s="11">
        <v>8120.0</v>
      </c>
      <c r="B8121" s="12">
        <f>DATE(2012,12,31)-59</f>
        <v>41215</v>
      </c>
      <c r="C8121" s="11" t="s">
        <v>819</v>
      </c>
      <c r="D8121" s="11" t="s">
        <v>28</v>
      </c>
    </row>
    <row r="8122">
      <c r="A8122" s="11">
        <v>8121.0</v>
      </c>
      <c r="B8122" s="12">
        <f t="shared" ref="B8122:B8124" si="1287">DATE(2012,12,31)-58</f>
        <v>41216</v>
      </c>
      <c r="C8122" s="11" t="s">
        <v>40</v>
      </c>
      <c r="D8122" s="11" t="s">
        <v>66</v>
      </c>
    </row>
    <row r="8123">
      <c r="A8123" s="11">
        <v>8122.0</v>
      </c>
      <c r="B8123" s="12">
        <f t="shared" si="1287"/>
        <v>41216</v>
      </c>
      <c r="C8123" s="11" t="s">
        <v>340</v>
      </c>
      <c r="D8123" s="11" t="s">
        <v>49</v>
      </c>
    </row>
    <row r="8124">
      <c r="A8124" s="11">
        <v>8123.0</v>
      </c>
      <c r="B8124" s="12">
        <f t="shared" si="1287"/>
        <v>41216</v>
      </c>
      <c r="C8124" s="11" t="s">
        <v>340</v>
      </c>
      <c r="D8124" s="11" t="s">
        <v>49</v>
      </c>
    </row>
    <row r="8125">
      <c r="A8125" s="11">
        <v>8124.0</v>
      </c>
      <c r="B8125" s="12">
        <f t="shared" ref="B8125:B8126" si="1288">DATE(2012,12,31)-57</f>
        <v>41217</v>
      </c>
      <c r="C8125" s="11" t="s">
        <v>588</v>
      </c>
      <c r="D8125" s="11" t="s">
        <v>66</v>
      </c>
    </row>
    <row r="8126">
      <c r="A8126" s="11">
        <v>8125.0</v>
      </c>
      <c r="B8126" s="12">
        <f t="shared" si="1288"/>
        <v>41217</v>
      </c>
      <c r="C8126" s="11" t="s">
        <v>2068</v>
      </c>
      <c r="D8126" s="11" t="s">
        <v>49</v>
      </c>
    </row>
    <row r="8127">
      <c r="A8127" s="11">
        <v>8126.0</v>
      </c>
      <c r="B8127" s="12">
        <f t="shared" ref="B8127:B8129" si="1289">DATE(2012,12,31)-56</f>
        <v>41218</v>
      </c>
      <c r="C8127" s="11" t="s">
        <v>1620</v>
      </c>
      <c r="D8127" s="11" t="s">
        <v>66</v>
      </c>
    </row>
    <row r="8128">
      <c r="A8128" s="11">
        <v>8127.0</v>
      </c>
      <c r="B8128" s="12">
        <f t="shared" si="1289"/>
        <v>41218</v>
      </c>
      <c r="C8128" s="11" t="s">
        <v>1384</v>
      </c>
      <c r="D8128" s="11" t="s">
        <v>28</v>
      </c>
    </row>
    <row r="8129">
      <c r="A8129" s="11">
        <v>8128.0</v>
      </c>
      <c r="B8129" s="12">
        <f t="shared" si="1289"/>
        <v>41218</v>
      </c>
      <c r="C8129" s="11" t="s">
        <v>94</v>
      </c>
      <c r="D8129" s="11" t="s">
        <v>28</v>
      </c>
    </row>
    <row r="8130">
      <c r="A8130" s="11">
        <v>8129.0</v>
      </c>
      <c r="B8130" s="12">
        <f t="shared" ref="B8130:B8134" si="1290">DATE(2012,12,31)-55</f>
        <v>41219</v>
      </c>
      <c r="C8130" s="11" t="s">
        <v>1209</v>
      </c>
      <c r="D8130" s="11" t="s">
        <v>49</v>
      </c>
    </row>
    <row r="8131">
      <c r="A8131" s="11">
        <v>8130.0</v>
      </c>
      <c r="B8131" s="12">
        <f t="shared" si="1290"/>
        <v>41219</v>
      </c>
      <c r="C8131" s="11" t="s">
        <v>1756</v>
      </c>
      <c r="D8131" s="11" t="s">
        <v>66</v>
      </c>
    </row>
    <row r="8132">
      <c r="A8132" s="11">
        <v>8131.0</v>
      </c>
      <c r="B8132" s="12">
        <f t="shared" si="1290"/>
        <v>41219</v>
      </c>
      <c r="C8132" s="11" t="s">
        <v>1756</v>
      </c>
      <c r="D8132" s="11" t="s">
        <v>49</v>
      </c>
    </row>
    <row r="8133">
      <c r="A8133" s="11">
        <v>8132.0</v>
      </c>
      <c r="B8133" s="12">
        <f t="shared" si="1290"/>
        <v>41219</v>
      </c>
      <c r="C8133" s="11" t="s">
        <v>1409</v>
      </c>
      <c r="D8133" s="11" t="s">
        <v>28</v>
      </c>
    </row>
    <row r="8134">
      <c r="A8134" s="11">
        <v>8133.0</v>
      </c>
      <c r="B8134" s="12">
        <f t="shared" si="1290"/>
        <v>41219</v>
      </c>
      <c r="C8134" s="11" t="s">
        <v>525</v>
      </c>
      <c r="D8134" s="11" t="s">
        <v>28</v>
      </c>
    </row>
    <row r="8135">
      <c r="A8135" s="11">
        <v>8134.0</v>
      </c>
      <c r="B8135" s="12">
        <f t="shared" ref="B8135:B8137" si="1291">DATE(2012,12,31)-54</f>
        <v>41220</v>
      </c>
      <c r="C8135" s="11" t="s">
        <v>1942</v>
      </c>
      <c r="D8135" s="11" t="s">
        <v>28</v>
      </c>
    </row>
    <row r="8136">
      <c r="A8136" s="11">
        <v>8135.0</v>
      </c>
      <c r="B8136" s="12">
        <f t="shared" si="1291"/>
        <v>41220</v>
      </c>
      <c r="C8136" s="11" t="s">
        <v>1772</v>
      </c>
      <c r="D8136" s="11" t="s">
        <v>28</v>
      </c>
    </row>
    <row r="8137">
      <c r="A8137" s="11">
        <v>8136.0</v>
      </c>
      <c r="B8137" s="12">
        <f t="shared" si="1291"/>
        <v>41220</v>
      </c>
      <c r="C8137" s="11" t="s">
        <v>271</v>
      </c>
      <c r="D8137" s="11" t="s">
        <v>28</v>
      </c>
    </row>
    <row r="8138">
      <c r="A8138" s="11">
        <v>8137.0</v>
      </c>
      <c r="B8138" s="12">
        <f t="shared" ref="B8138:B8143" si="1292">DATE(2012,12,31)-53</f>
        <v>41221</v>
      </c>
      <c r="C8138" s="11" t="s">
        <v>550</v>
      </c>
      <c r="D8138" s="11" t="s">
        <v>28</v>
      </c>
    </row>
    <row r="8139">
      <c r="A8139" s="11">
        <v>8138.0</v>
      </c>
      <c r="B8139" s="12">
        <f t="shared" si="1292"/>
        <v>41221</v>
      </c>
      <c r="C8139" s="11" t="s">
        <v>550</v>
      </c>
      <c r="D8139" s="11" t="s">
        <v>66</v>
      </c>
    </row>
    <row r="8140">
      <c r="A8140" s="11">
        <v>8139.0</v>
      </c>
      <c r="B8140" s="12">
        <f t="shared" si="1292"/>
        <v>41221</v>
      </c>
      <c r="C8140" s="11" t="s">
        <v>145</v>
      </c>
      <c r="D8140" s="11" t="s">
        <v>28</v>
      </c>
    </row>
    <row r="8141">
      <c r="A8141" s="11">
        <v>8140.0</v>
      </c>
      <c r="B8141" s="12">
        <f t="shared" si="1292"/>
        <v>41221</v>
      </c>
      <c r="C8141" s="11" t="s">
        <v>145</v>
      </c>
      <c r="D8141" s="11" t="s">
        <v>28</v>
      </c>
    </row>
    <row r="8142">
      <c r="A8142" s="11">
        <v>8141.0</v>
      </c>
      <c r="B8142" s="12">
        <f t="shared" si="1292"/>
        <v>41221</v>
      </c>
      <c r="C8142" s="11" t="s">
        <v>2232</v>
      </c>
      <c r="D8142" s="11" t="s">
        <v>28</v>
      </c>
    </row>
    <row r="8143">
      <c r="A8143" s="11">
        <v>8142.0</v>
      </c>
      <c r="B8143" s="12">
        <f t="shared" si="1292"/>
        <v>41221</v>
      </c>
      <c r="C8143" s="11" t="s">
        <v>2343</v>
      </c>
      <c r="D8143" s="11" t="s">
        <v>49</v>
      </c>
    </row>
    <row r="8144">
      <c r="A8144" s="11">
        <v>8143.0</v>
      </c>
      <c r="B8144" s="12">
        <f t="shared" ref="B8144:B8149" si="1293">DATE(2012,12,31)-52</f>
        <v>41222</v>
      </c>
      <c r="C8144" s="11" t="s">
        <v>1684</v>
      </c>
      <c r="D8144" s="11" t="s">
        <v>28</v>
      </c>
    </row>
    <row r="8145">
      <c r="A8145" s="11">
        <v>8144.0</v>
      </c>
      <c r="B8145" s="12">
        <f t="shared" si="1293"/>
        <v>41222</v>
      </c>
      <c r="C8145" s="11" t="s">
        <v>1684</v>
      </c>
      <c r="D8145" s="11" t="s">
        <v>66</v>
      </c>
    </row>
    <row r="8146">
      <c r="A8146" s="11">
        <v>8145.0</v>
      </c>
      <c r="B8146" s="12">
        <f t="shared" si="1293"/>
        <v>41222</v>
      </c>
      <c r="C8146" s="11" t="s">
        <v>120</v>
      </c>
      <c r="D8146" s="11" t="s">
        <v>66</v>
      </c>
    </row>
    <row r="8147">
      <c r="A8147" s="11">
        <v>8146.0</v>
      </c>
      <c r="B8147" s="12">
        <f t="shared" si="1293"/>
        <v>41222</v>
      </c>
      <c r="C8147" s="11" t="s">
        <v>2365</v>
      </c>
      <c r="D8147" s="11" t="s">
        <v>49</v>
      </c>
    </row>
    <row r="8148">
      <c r="A8148" s="11">
        <v>8147.0</v>
      </c>
      <c r="B8148" s="12">
        <f t="shared" si="1293"/>
        <v>41222</v>
      </c>
      <c r="C8148" s="11" t="s">
        <v>2365</v>
      </c>
      <c r="D8148" s="11" t="s">
        <v>28</v>
      </c>
    </row>
    <row r="8149">
      <c r="A8149" s="11">
        <v>8148.0</v>
      </c>
      <c r="B8149" s="12">
        <f t="shared" si="1293"/>
        <v>41222</v>
      </c>
      <c r="C8149" s="11" t="s">
        <v>973</v>
      </c>
      <c r="D8149" s="11" t="s">
        <v>28</v>
      </c>
    </row>
    <row r="8150">
      <c r="A8150" s="11">
        <v>8149.0</v>
      </c>
      <c r="B8150" s="12">
        <f t="shared" ref="B8150:B8161" si="1294">DATE(2012,12,31)-51</f>
        <v>41223</v>
      </c>
      <c r="C8150" s="11" t="s">
        <v>1496</v>
      </c>
      <c r="D8150" s="11" t="s">
        <v>28</v>
      </c>
    </row>
    <row r="8151">
      <c r="A8151" s="11">
        <v>8150.0</v>
      </c>
      <c r="B8151" s="12">
        <f t="shared" si="1294"/>
        <v>41223</v>
      </c>
      <c r="C8151" s="11" t="s">
        <v>2076</v>
      </c>
      <c r="D8151" s="11" t="s">
        <v>66</v>
      </c>
    </row>
    <row r="8152">
      <c r="A8152" s="11">
        <v>8151.0</v>
      </c>
      <c r="B8152" s="12">
        <f t="shared" si="1294"/>
        <v>41223</v>
      </c>
      <c r="C8152" s="11" t="s">
        <v>2076</v>
      </c>
      <c r="D8152" s="11" t="s">
        <v>66</v>
      </c>
    </row>
    <row r="8153">
      <c r="A8153" s="11">
        <v>8152.0</v>
      </c>
      <c r="B8153" s="12">
        <f t="shared" si="1294"/>
        <v>41223</v>
      </c>
      <c r="C8153" s="11" t="s">
        <v>2076</v>
      </c>
      <c r="D8153" s="11" t="s">
        <v>49</v>
      </c>
    </row>
    <row r="8154">
      <c r="A8154" s="11">
        <v>8153.0</v>
      </c>
      <c r="B8154" s="12">
        <f t="shared" si="1294"/>
        <v>41223</v>
      </c>
      <c r="C8154" s="11" t="s">
        <v>82</v>
      </c>
      <c r="D8154" s="11" t="s">
        <v>28</v>
      </c>
    </row>
    <row r="8155">
      <c r="A8155" s="11">
        <v>8154.0</v>
      </c>
      <c r="B8155" s="12">
        <f t="shared" si="1294"/>
        <v>41223</v>
      </c>
      <c r="C8155" s="11" t="s">
        <v>839</v>
      </c>
      <c r="D8155" s="11" t="s">
        <v>66</v>
      </c>
    </row>
    <row r="8156">
      <c r="A8156" s="11">
        <v>8155.0</v>
      </c>
      <c r="B8156" s="12">
        <f t="shared" si="1294"/>
        <v>41223</v>
      </c>
      <c r="C8156" s="11" t="s">
        <v>839</v>
      </c>
      <c r="D8156" s="11" t="s">
        <v>28</v>
      </c>
    </row>
    <row r="8157">
      <c r="A8157" s="11">
        <v>8156.0</v>
      </c>
      <c r="B8157" s="12">
        <f t="shared" si="1294"/>
        <v>41223</v>
      </c>
      <c r="C8157" s="11" t="s">
        <v>1123</v>
      </c>
      <c r="D8157" s="11" t="s">
        <v>49</v>
      </c>
    </row>
    <row r="8158">
      <c r="A8158" s="11">
        <v>8157.0</v>
      </c>
      <c r="B8158" s="12">
        <f t="shared" si="1294"/>
        <v>41223</v>
      </c>
      <c r="C8158" s="11" t="s">
        <v>1123</v>
      </c>
      <c r="D8158" s="11" t="s">
        <v>66</v>
      </c>
    </row>
    <row r="8159">
      <c r="A8159" s="11">
        <v>8158.0</v>
      </c>
      <c r="B8159" s="12">
        <f t="shared" si="1294"/>
        <v>41223</v>
      </c>
      <c r="C8159" s="11" t="s">
        <v>1446</v>
      </c>
      <c r="D8159" s="11" t="s">
        <v>66</v>
      </c>
    </row>
    <row r="8160">
      <c r="A8160" s="11">
        <v>8159.0</v>
      </c>
      <c r="B8160" s="12">
        <f t="shared" si="1294"/>
        <v>41223</v>
      </c>
      <c r="C8160" s="11" t="s">
        <v>1446</v>
      </c>
      <c r="D8160" s="11" t="s">
        <v>28</v>
      </c>
    </row>
    <row r="8161">
      <c r="A8161" s="11">
        <v>8160.0</v>
      </c>
      <c r="B8161" s="12">
        <f t="shared" si="1294"/>
        <v>41223</v>
      </c>
      <c r="C8161" s="11" t="s">
        <v>1446</v>
      </c>
      <c r="D8161" s="11" t="s">
        <v>49</v>
      </c>
    </row>
    <row r="8162">
      <c r="A8162" s="11">
        <v>8161.0</v>
      </c>
      <c r="B8162" s="12">
        <f t="shared" ref="B8162:B8167" si="1295">DATE(2012,12,31)-50</f>
        <v>41224</v>
      </c>
      <c r="C8162" s="11" t="s">
        <v>786</v>
      </c>
      <c r="D8162" s="11" t="s">
        <v>66</v>
      </c>
    </row>
    <row r="8163">
      <c r="A8163" s="11">
        <v>8162.0</v>
      </c>
      <c r="B8163" s="12">
        <f t="shared" si="1295"/>
        <v>41224</v>
      </c>
      <c r="C8163" s="11" t="s">
        <v>786</v>
      </c>
      <c r="D8163" s="11" t="s">
        <v>66</v>
      </c>
    </row>
    <row r="8164">
      <c r="A8164" s="11">
        <v>8163.0</v>
      </c>
      <c r="B8164" s="12">
        <f t="shared" si="1295"/>
        <v>41224</v>
      </c>
      <c r="C8164" s="11" t="s">
        <v>1444</v>
      </c>
      <c r="D8164" s="11" t="s">
        <v>28</v>
      </c>
    </row>
    <row r="8165">
      <c r="A8165" s="11">
        <v>8164.0</v>
      </c>
      <c r="B8165" s="12">
        <f t="shared" si="1295"/>
        <v>41224</v>
      </c>
      <c r="C8165" s="11" t="s">
        <v>1017</v>
      </c>
      <c r="D8165" s="11" t="s">
        <v>28</v>
      </c>
    </row>
    <row r="8166">
      <c r="A8166" s="11">
        <v>8165.0</v>
      </c>
      <c r="B8166" s="12">
        <f t="shared" si="1295"/>
        <v>41224</v>
      </c>
      <c r="C8166" s="11" t="s">
        <v>1017</v>
      </c>
      <c r="D8166" s="11" t="s">
        <v>28</v>
      </c>
    </row>
    <row r="8167">
      <c r="A8167" s="11">
        <v>8166.0</v>
      </c>
      <c r="B8167" s="12">
        <f t="shared" si="1295"/>
        <v>41224</v>
      </c>
      <c r="C8167" s="11" t="s">
        <v>1017</v>
      </c>
      <c r="D8167" s="11" t="s">
        <v>28</v>
      </c>
    </row>
    <row r="8168">
      <c r="A8168" s="11">
        <v>8167.0</v>
      </c>
      <c r="B8168" s="12">
        <f>DATE(2012,12,31)-49</f>
        <v>41225</v>
      </c>
      <c r="C8168" s="11" t="s">
        <v>1294</v>
      </c>
      <c r="D8168" s="11" t="s">
        <v>28</v>
      </c>
    </row>
    <row r="8169">
      <c r="A8169" s="11">
        <v>8168.0</v>
      </c>
      <c r="B8169" s="12">
        <f t="shared" ref="B8169:B8171" si="1296">DATE(2012,12,31)-48</f>
        <v>41226</v>
      </c>
      <c r="C8169" s="11" t="s">
        <v>323</v>
      </c>
      <c r="D8169" s="11" t="s">
        <v>28</v>
      </c>
    </row>
    <row r="8170">
      <c r="A8170" s="11">
        <v>8169.0</v>
      </c>
      <c r="B8170" s="12">
        <f t="shared" si="1296"/>
        <v>41226</v>
      </c>
      <c r="C8170" s="11" t="s">
        <v>323</v>
      </c>
      <c r="D8170" s="11" t="s">
        <v>66</v>
      </c>
    </row>
    <row r="8171">
      <c r="A8171" s="11">
        <v>8170.0</v>
      </c>
      <c r="B8171" s="12">
        <f t="shared" si="1296"/>
        <v>41226</v>
      </c>
      <c r="C8171" s="11" t="s">
        <v>958</v>
      </c>
      <c r="D8171" s="11" t="s">
        <v>28</v>
      </c>
    </row>
    <row r="8172">
      <c r="A8172" s="11">
        <v>8171.0</v>
      </c>
      <c r="B8172" s="12">
        <f>DATE(2012,12,31)-47</f>
        <v>41227</v>
      </c>
      <c r="C8172" s="11" t="s">
        <v>120</v>
      </c>
      <c r="D8172" s="11" t="s">
        <v>66</v>
      </c>
    </row>
    <row r="8173">
      <c r="A8173" s="11">
        <v>8172.0</v>
      </c>
      <c r="B8173" s="12">
        <f t="shared" ref="B8173:B8178" si="1297">DATE(2012,12,31)-46</f>
        <v>41228</v>
      </c>
      <c r="C8173" s="11" t="s">
        <v>1884</v>
      </c>
      <c r="D8173" s="11" t="s">
        <v>28</v>
      </c>
    </row>
    <row r="8174">
      <c r="A8174" s="11">
        <v>8173.0</v>
      </c>
      <c r="B8174" s="12">
        <f t="shared" si="1297"/>
        <v>41228</v>
      </c>
      <c r="C8174" s="11" t="s">
        <v>1737</v>
      </c>
      <c r="D8174" s="11" t="s">
        <v>28</v>
      </c>
    </row>
    <row r="8175">
      <c r="A8175" s="11">
        <v>8174.0</v>
      </c>
      <c r="B8175" s="12">
        <f t="shared" si="1297"/>
        <v>41228</v>
      </c>
      <c r="C8175" s="11" t="s">
        <v>1737</v>
      </c>
      <c r="D8175" s="11" t="s">
        <v>49</v>
      </c>
    </row>
    <row r="8176">
      <c r="A8176" s="11">
        <v>8175.0</v>
      </c>
      <c r="B8176" s="12">
        <f t="shared" si="1297"/>
        <v>41228</v>
      </c>
      <c r="C8176" s="11" t="s">
        <v>1737</v>
      </c>
      <c r="D8176" s="11" t="s">
        <v>66</v>
      </c>
    </row>
    <row r="8177">
      <c r="A8177" s="11">
        <v>8176.0</v>
      </c>
      <c r="B8177" s="12">
        <f t="shared" si="1297"/>
        <v>41228</v>
      </c>
      <c r="C8177" s="11" t="s">
        <v>648</v>
      </c>
      <c r="D8177" s="11" t="s">
        <v>28</v>
      </c>
    </row>
    <row r="8178">
      <c r="A8178" s="11">
        <v>8177.0</v>
      </c>
      <c r="B8178" s="12">
        <f t="shared" si="1297"/>
        <v>41228</v>
      </c>
      <c r="C8178" s="11" t="s">
        <v>1607</v>
      </c>
      <c r="D8178" s="11" t="s">
        <v>28</v>
      </c>
    </row>
    <row r="8179">
      <c r="A8179" s="11">
        <v>8178.0</v>
      </c>
      <c r="B8179" s="12">
        <f t="shared" ref="B8179:B8180" si="1298">DATE(2012,12,31)-45</f>
        <v>41229</v>
      </c>
      <c r="C8179" s="11" t="s">
        <v>1264</v>
      </c>
      <c r="D8179" s="11" t="s">
        <v>28</v>
      </c>
    </row>
    <row r="8180">
      <c r="A8180" s="11">
        <v>8179.0</v>
      </c>
      <c r="B8180" s="12">
        <f t="shared" si="1298"/>
        <v>41229</v>
      </c>
      <c r="C8180" s="11" t="s">
        <v>363</v>
      </c>
      <c r="D8180" s="11" t="s">
        <v>66</v>
      </c>
    </row>
    <row r="8181">
      <c r="A8181" s="11">
        <v>8180.0</v>
      </c>
      <c r="B8181" s="12">
        <f t="shared" ref="B8181:B8182" si="1299">DATE(2012,12,31)-44</f>
        <v>41230</v>
      </c>
      <c r="C8181" s="11" t="s">
        <v>1298</v>
      </c>
      <c r="D8181" s="11" t="s">
        <v>49</v>
      </c>
    </row>
    <row r="8182">
      <c r="A8182" s="11">
        <v>8181.0</v>
      </c>
      <c r="B8182" s="12">
        <f t="shared" si="1299"/>
        <v>41230</v>
      </c>
      <c r="C8182" s="11" t="s">
        <v>1298</v>
      </c>
      <c r="D8182" s="11" t="s">
        <v>28</v>
      </c>
    </row>
    <row r="8183">
      <c r="A8183" s="11">
        <v>8182.0</v>
      </c>
      <c r="B8183" s="12">
        <f t="shared" ref="B8183:B8187" si="1300">DATE(2012,12,31)-43</f>
        <v>41231</v>
      </c>
      <c r="C8183" s="11" t="s">
        <v>106</v>
      </c>
      <c r="D8183" s="11" t="s">
        <v>28</v>
      </c>
    </row>
    <row r="8184">
      <c r="A8184" s="11">
        <v>8183.0</v>
      </c>
      <c r="B8184" s="12">
        <f t="shared" si="1300"/>
        <v>41231</v>
      </c>
      <c r="C8184" s="11" t="s">
        <v>491</v>
      </c>
      <c r="D8184" s="11" t="s">
        <v>49</v>
      </c>
    </row>
    <row r="8185">
      <c r="A8185" s="11">
        <v>8184.0</v>
      </c>
      <c r="B8185" s="12">
        <f t="shared" si="1300"/>
        <v>41231</v>
      </c>
      <c r="C8185" s="11" t="s">
        <v>1564</v>
      </c>
      <c r="D8185" s="11" t="s">
        <v>28</v>
      </c>
    </row>
    <row r="8186">
      <c r="A8186" s="11">
        <v>8185.0</v>
      </c>
      <c r="B8186" s="12">
        <f t="shared" si="1300"/>
        <v>41231</v>
      </c>
      <c r="C8186" s="11" t="s">
        <v>1564</v>
      </c>
      <c r="D8186" s="11" t="s">
        <v>28</v>
      </c>
    </row>
    <row r="8187">
      <c r="A8187" s="11">
        <v>8186.0</v>
      </c>
      <c r="B8187" s="12">
        <f t="shared" si="1300"/>
        <v>41231</v>
      </c>
      <c r="C8187" s="11" t="s">
        <v>448</v>
      </c>
      <c r="D8187" s="11" t="s">
        <v>49</v>
      </c>
    </row>
    <row r="8188">
      <c r="A8188" s="11">
        <v>8187.0</v>
      </c>
      <c r="B8188" s="12">
        <f t="shared" ref="B8188:B8195" si="1301">DATE(2012,12,31)-42</f>
        <v>41232</v>
      </c>
      <c r="C8188" s="11" t="s">
        <v>808</v>
      </c>
      <c r="D8188" s="11" t="s">
        <v>66</v>
      </c>
    </row>
    <row r="8189">
      <c r="A8189" s="11">
        <v>8188.0</v>
      </c>
      <c r="B8189" s="12">
        <f t="shared" si="1301"/>
        <v>41232</v>
      </c>
      <c r="C8189" s="11" t="s">
        <v>429</v>
      </c>
      <c r="D8189" s="11" t="s">
        <v>66</v>
      </c>
    </row>
    <row r="8190">
      <c r="A8190" s="11">
        <v>8189.0</v>
      </c>
      <c r="B8190" s="12">
        <f t="shared" si="1301"/>
        <v>41232</v>
      </c>
      <c r="C8190" s="11" t="s">
        <v>2285</v>
      </c>
      <c r="D8190" s="11" t="s">
        <v>49</v>
      </c>
    </row>
    <row r="8191">
      <c r="A8191" s="11">
        <v>8190.0</v>
      </c>
      <c r="B8191" s="12">
        <f t="shared" si="1301"/>
        <v>41232</v>
      </c>
      <c r="C8191" s="11" t="s">
        <v>2285</v>
      </c>
      <c r="D8191" s="11" t="s">
        <v>28</v>
      </c>
    </row>
    <row r="8192">
      <c r="A8192" s="11">
        <v>8191.0</v>
      </c>
      <c r="B8192" s="12">
        <f t="shared" si="1301"/>
        <v>41232</v>
      </c>
      <c r="C8192" s="11" t="s">
        <v>485</v>
      </c>
      <c r="D8192" s="11" t="s">
        <v>28</v>
      </c>
    </row>
    <row r="8193">
      <c r="A8193" s="11">
        <v>8192.0</v>
      </c>
      <c r="B8193" s="12">
        <f t="shared" si="1301"/>
        <v>41232</v>
      </c>
      <c r="C8193" s="11" t="s">
        <v>1112</v>
      </c>
      <c r="D8193" s="11" t="s">
        <v>28</v>
      </c>
    </row>
    <row r="8194">
      <c r="A8194" s="11">
        <v>8193.0</v>
      </c>
      <c r="B8194" s="12">
        <f t="shared" si="1301"/>
        <v>41232</v>
      </c>
      <c r="C8194" s="11" t="s">
        <v>1112</v>
      </c>
      <c r="D8194" s="11" t="s">
        <v>66</v>
      </c>
    </row>
    <row r="8195">
      <c r="A8195" s="11">
        <v>8194.0</v>
      </c>
      <c r="B8195" s="12">
        <f t="shared" si="1301"/>
        <v>41232</v>
      </c>
      <c r="C8195" s="11" t="s">
        <v>307</v>
      </c>
      <c r="D8195" s="11" t="s">
        <v>28</v>
      </c>
    </row>
    <row r="8196">
      <c r="A8196" s="11">
        <v>8195.0</v>
      </c>
      <c r="B8196" s="12">
        <f t="shared" ref="B8196:B8199" si="1302">DATE(2012,12,31)-41</f>
        <v>41233</v>
      </c>
      <c r="C8196" s="11" t="s">
        <v>1684</v>
      </c>
      <c r="D8196" s="11" t="s">
        <v>28</v>
      </c>
    </row>
    <row r="8197">
      <c r="A8197" s="11">
        <v>8196.0</v>
      </c>
      <c r="B8197" s="12">
        <f t="shared" si="1302"/>
        <v>41233</v>
      </c>
      <c r="C8197" s="11" t="s">
        <v>942</v>
      </c>
      <c r="D8197" s="11" t="s">
        <v>28</v>
      </c>
    </row>
    <row r="8198">
      <c r="A8198" s="11">
        <v>8197.0</v>
      </c>
      <c r="B8198" s="12">
        <f t="shared" si="1302"/>
        <v>41233</v>
      </c>
      <c r="C8198" s="11" t="s">
        <v>639</v>
      </c>
      <c r="D8198" s="11" t="s">
        <v>28</v>
      </c>
    </row>
    <row r="8199">
      <c r="A8199" s="11">
        <v>8198.0</v>
      </c>
      <c r="B8199" s="12">
        <f t="shared" si="1302"/>
        <v>41233</v>
      </c>
      <c r="C8199" s="11" t="s">
        <v>639</v>
      </c>
      <c r="D8199" s="11" t="s">
        <v>28</v>
      </c>
    </row>
    <row r="8200">
      <c r="A8200" s="11">
        <v>8199.0</v>
      </c>
      <c r="B8200" s="12">
        <f t="shared" ref="B8200:B8204" si="1303">DATE(2012,12,31)-40</f>
        <v>41234</v>
      </c>
      <c r="C8200" s="11" t="s">
        <v>1550</v>
      </c>
      <c r="D8200" s="11" t="s">
        <v>49</v>
      </c>
    </row>
    <row r="8201">
      <c r="A8201" s="11">
        <v>8200.0</v>
      </c>
      <c r="B8201" s="12">
        <f t="shared" si="1303"/>
        <v>41234</v>
      </c>
      <c r="C8201" s="11" t="s">
        <v>2162</v>
      </c>
      <c r="D8201" s="11" t="s">
        <v>28</v>
      </c>
    </row>
    <row r="8202">
      <c r="A8202" s="11">
        <v>8201.0</v>
      </c>
      <c r="B8202" s="12">
        <f t="shared" si="1303"/>
        <v>41234</v>
      </c>
      <c r="C8202" s="11" t="s">
        <v>2162</v>
      </c>
      <c r="D8202" s="11" t="s">
        <v>66</v>
      </c>
    </row>
    <row r="8203">
      <c r="A8203" s="11">
        <v>8202.0</v>
      </c>
      <c r="B8203" s="12">
        <f t="shared" si="1303"/>
        <v>41234</v>
      </c>
      <c r="C8203" s="11" t="s">
        <v>2162</v>
      </c>
      <c r="D8203" s="11" t="s">
        <v>66</v>
      </c>
    </row>
    <row r="8204">
      <c r="A8204" s="11">
        <v>8203.0</v>
      </c>
      <c r="B8204" s="12">
        <f t="shared" si="1303"/>
        <v>41234</v>
      </c>
      <c r="C8204" s="11" t="s">
        <v>2384</v>
      </c>
      <c r="D8204" s="11" t="s">
        <v>66</v>
      </c>
    </row>
    <row r="8205">
      <c r="A8205" s="11">
        <v>8204.0</v>
      </c>
      <c r="B8205" s="12">
        <f t="shared" ref="B8205:B8207" si="1304">DATE(2012,12,31)-39</f>
        <v>41235</v>
      </c>
      <c r="C8205" s="11" t="s">
        <v>370</v>
      </c>
      <c r="D8205" s="11" t="s">
        <v>28</v>
      </c>
    </row>
    <row r="8206">
      <c r="A8206" s="11">
        <v>8205.0</v>
      </c>
      <c r="B8206" s="12">
        <f t="shared" si="1304"/>
        <v>41235</v>
      </c>
      <c r="C8206" s="11" t="s">
        <v>1110</v>
      </c>
      <c r="D8206" s="11" t="s">
        <v>28</v>
      </c>
    </row>
    <row r="8207">
      <c r="A8207" s="11">
        <v>8206.0</v>
      </c>
      <c r="B8207" s="12">
        <f t="shared" si="1304"/>
        <v>41235</v>
      </c>
      <c r="C8207" s="11" t="s">
        <v>2311</v>
      </c>
      <c r="D8207" s="11" t="s">
        <v>66</v>
      </c>
    </row>
    <row r="8208">
      <c r="A8208" s="11">
        <v>8207.0</v>
      </c>
      <c r="B8208" s="12">
        <f t="shared" ref="B8208:B8210" si="1305">DATE(2012,12,31)-38</f>
        <v>41236</v>
      </c>
      <c r="C8208" s="11" t="s">
        <v>2524</v>
      </c>
      <c r="D8208" s="11" t="s">
        <v>49</v>
      </c>
    </row>
    <row r="8209">
      <c r="A8209" s="11">
        <v>8208.0</v>
      </c>
      <c r="B8209" s="12">
        <f t="shared" si="1305"/>
        <v>41236</v>
      </c>
      <c r="C8209" s="11" t="s">
        <v>2524</v>
      </c>
      <c r="D8209" s="11" t="s">
        <v>49</v>
      </c>
    </row>
    <row r="8210">
      <c r="A8210" s="11">
        <v>8209.0</v>
      </c>
      <c r="B8210" s="12">
        <f t="shared" si="1305"/>
        <v>41236</v>
      </c>
      <c r="C8210" s="11" t="s">
        <v>2524</v>
      </c>
      <c r="D8210" s="11" t="s">
        <v>66</v>
      </c>
    </row>
    <row r="8211">
      <c r="A8211" s="11">
        <v>8210.0</v>
      </c>
      <c r="B8211" s="12">
        <f t="shared" ref="B8211:B8216" si="1306">DATE(2012,12,31)-37</f>
        <v>41237</v>
      </c>
      <c r="C8211" s="11" t="s">
        <v>960</v>
      </c>
      <c r="D8211" s="11" t="s">
        <v>49</v>
      </c>
    </row>
    <row r="8212">
      <c r="A8212" s="11">
        <v>8211.0</v>
      </c>
      <c r="B8212" s="12">
        <f t="shared" si="1306"/>
        <v>41237</v>
      </c>
      <c r="C8212" s="11" t="s">
        <v>1802</v>
      </c>
      <c r="D8212" s="11" t="s">
        <v>49</v>
      </c>
    </row>
    <row r="8213">
      <c r="A8213" s="11">
        <v>8212.0</v>
      </c>
      <c r="B8213" s="12">
        <f t="shared" si="1306"/>
        <v>41237</v>
      </c>
      <c r="C8213" s="11" t="s">
        <v>1802</v>
      </c>
      <c r="D8213" s="11" t="s">
        <v>28</v>
      </c>
    </row>
    <row r="8214">
      <c r="A8214" s="11">
        <v>8213.0</v>
      </c>
      <c r="B8214" s="12">
        <f t="shared" si="1306"/>
        <v>41237</v>
      </c>
      <c r="C8214" s="11" t="s">
        <v>1999</v>
      </c>
      <c r="D8214" s="11" t="s">
        <v>28</v>
      </c>
    </row>
    <row r="8215">
      <c r="A8215" s="11">
        <v>8214.0</v>
      </c>
      <c r="B8215" s="12">
        <f t="shared" si="1306"/>
        <v>41237</v>
      </c>
      <c r="C8215" s="11" t="s">
        <v>1999</v>
      </c>
      <c r="D8215" s="11" t="s">
        <v>28</v>
      </c>
    </row>
    <row r="8216">
      <c r="A8216" s="11">
        <v>8215.0</v>
      </c>
      <c r="B8216" s="12">
        <f t="shared" si="1306"/>
        <v>41237</v>
      </c>
      <c r="C8216" s="11" t="s">
        <v>1999</v>
      </c>
      <c r="D8216" s="11" t="s">
        <v>49</v>
      </c>
    </row>
    <row r="8217">
      <c r="A8217" s="11">
        <v>8216.0</v>
      </c>
      <c r="B8217" s="12">
        <f t="shared" ref="B8217:B8219" si="1307">DATE(2012,12,31)-36</f>
        <v>41238</v>
      </c>
      <c r="C8217" s="11" t="s">
        <v>2350</v>
      </c>
      <c r="D8217" s="11" t="s">
        <v>66</v>
      </c>
    </row>
    <row r="8218">
      <c r="A8218" s="11">
        <v>8217.0</v>
      </c>
      <c r="B8218" s="12">
        <f t="shared" si="1307"/>
        <v>41238</v>
      </c>
      <c r="C8218" s="11" t="s">
        <v>152</v>
      </c>
      <c r="D8218" s="11" t="s">
        <v>66</v>
      </c>
    </row>
    <row r="8219">
      <c r="A8219" s="11">
        <v>8218.0</v>
      </c>
      <c r="B8219" s="12">
        <f t="shared" si="1307"/>
        <v>41238</v>
      </c>
      <c r="C8219" s="11" t="s">
        <v>1736</v>
      </c>
      <c r="D8219" s="11" t="s">
        <v>28</v>
      </c>
    </row>
    <row r="8220">
      <c r="A8220" s="11">
        <v>8219.0</v>
      </c>
      <c r="B8220" s="12">
        <f t="shared" ref="B8220:B8226" si="1308">DATE(2012,12,31)-35</f>
        <v>41239</v>
      </c>
      <c r="C8220" s="11" t="s">
        <v>395</v>
      </c>
      <c r="D8220" s="11" t="s">
        <v>28</v>
      </c>
    </row>
    <row r="8221">
      <c r="A8221" s="11">
        <v>8220.0</v>
      </c>
      <c r="B8221" s="12">
        <f t="shared" si="1308"/>
        <v>41239</v>
      </c>
      <c r="C8221" s="11" t="s">
        <v>932</v>
      </c>
      <c r="D8221" s="11" t="s">
        <v>28</v>
      </c>
    </row>
    <row r="8222">
      <c r="A8222" s="11">
        <v>8221.0</v>
      </c>
      <c r="B8222" s="12">
        <f t="shared" si="1308"/>
        <v>41239</v>
      </c>
      <c r="C8222" s="11" t="s">
        <v>1633</v>
      </c>
      <c r="D8222" s="11" t="s">
        <v>66</v>
      </c>
    </row>
    <row r="8223">
      <c r="A8223" s="11">
        <v>8222.0</v>
      </c>
      <c r="B8223" s="12">
        <f t="shared" si="1308"/>
        <v>41239</v>
      </c>
      <c r="C8223" s="11" t="s">
        <v>145</v>
      </c>
      <c r="D8223" s="11" t="s">
        <v>28</v>
      </c>
    </row>
    <row r="8224">
      <c r="A8224" s="11">
        <v>8223.0</v>
      </c>
      <c r="B8224" s="12">
        <f t="shared" si="1308"/>
        <v>41239</v>
      </c>
      <c r="C8224" s="11" t="s">
        <v>145</v>
      </c>
      <c r="D8224" s="11" t="s">
        <v>28</v>
      </c>
    </row>
    <row r="8225">
      <c r="A8225" s="11">
        <v>8224.0</v>
      </c>
      <c r="B8225" s="12">
        <f t="shared" si="1308"/>
        <v>41239</v>
      </c>
      <c r="C8225" s="11" t="s">
        <v>1984</v>
      </c>
      <c r="D8225" s="11" t="s">
        <v>49</v>
      </c>
    </row>
    <row r="8226">
      <c r="A8226" s="11">
        <v>8225.0</v>
      </c>
      <c r="B8226" s="12">
        <f t="shared" si="1308"/>
        <v>41239</v>
      </c>
      <c r="C8226" s="11" t="s">
        <v>1984</v>
      </c>
      <c r="D8226" s="11" t="s">
        <v>66</v>
      </c>
    </row>
    <row r="8227">
      <c r="A8227" s="11">
        <v>8226.0</v>
      </c>
      <c r="B8227" s="12">
        <f>DATE(2012,12,31)-34</f>
        <v>41240</v>
      </c>
      <c r="C8227" s="11" t="s">
        <v>2452</v>
      </c>
      <c r="D8227" s="11" t="s">
        <v>66</v>
      </c>
    </row>
    <row r="8228">
      <c r="A8228" s="11">
        <v>8227.0</v>
      </c>
      <c r="B8228" s="12">
        <f t="shared" ref="B8228:B8234" si="1309">DATE(2012,12,31)-33</f>
        <v>41241</v>
      </c>
      <c r="C8228" s="11" t="s">
        <v>604</v>
      </c>
      <c r="D8228" s="11" t="s">
        <v>28</v>
      </c>
    </row>
    <row r="8229">
      <c r="A8229" s="11">
        <v>8228.0</v>
      </c>
      <c r="B8229" s="12">
        <f t="shared" si="1309"/>
        <v>41241</v>
      </c>
      <c r="C8229" s="11" t="s">
        <v>741</v>
      </c>
      <c r="D8229" s="11" t="s">
        <v>66</v>
      </c>
    </row>
    <row r="8230">
      <c r="A8230" s="11">
        <v>8229.0</v>
      </c>
      <c r="B8230" s="12">
        <f t="shared" si="1309"/>
        <v>41241</v>
      </c>
      <c r="C8230" s="11" t="s">
        <v>751</v>
      </c>
      <c r="D8230" s="11" t="s">
        <v>66</v>
      </c>
    </row>
    <row r="8231">
      <c r="A8231" s="11">
        <v>8230.0</v>
      </c>
      <c r="B8231" s="12">
        <f t="shared" si="1309"/>
        <v>41241</v>
      </c>
      <c r="C8231" s="11" t="s">
        <v>751</v>
      </c>
      <c r="D8231" s="11" t="s">
        <v>49</v>
      </c>
    </row>
    <row r="8232">
      <c r="A8232" s="11">
        <v>8231.0</v>
      </c>
      <c r="B8232" s="12">
        <f t="shared" si="1309"/>
        <v>41241</v>
      </c>
      <c r="C8232" s="11" t="s">
        <v>751</v>
      </c>
      <c r="D8232" s="11" t="s">
        <v>66</v>
      </c>
    </row>
    <row r="8233">
      <c r="A8233" s="11">
        <v>8232.0</v>
      </c>
      <c r="B8233" s="12">
        <f t="shared" si="1309"/>
        <v>41241</v>
      </c>
      <c r="C8233" s="11" t="s">
        <v>1048</v>
      </c>
      <c r="D8233" s="11" t="s">
        <v>28</v>
      </c>
    </row>
    <row r="8234">
      <c r="A8234" s="11">
        <v>8233.0</v>
      </c>
      <c r="B8234" s="12">
        <f t="shared" si="1309"/>
        <v>41241</v>
      </c>
      <c r="C8234" s="11" t="s">
        <v>1355</v>
      </c>
      <c r="D8234" s="11" t="s">
        <v>28</v>
      </c>
    </row>
    <row r="8235">
      <c r="A8235" s="11">
        <v>8234.0</v>
      </c>
      <c r="B8235" s="12">
        <f t="shared" ref="B8235:B8238" si="1310">DATE(2012,12,31)-32</f>
        <v>41242</v>
      </c>
      <c r="C8235" s="11" t="s">
        <v>1654</v>
      </c>
      <c r="D8235" s="11" t="s">
        <v>28</v>
      </c>
    </row>
    <row r="8236">
      <c r="A8236" s="11">
        <v>8235.0</v>
      </c>
      <c r="B8236" s="12">
        <f t="shared" si="1310"/>
        <v>41242</v>
      </c>
      <c r="C8236" s="11" t="s">
        <v>808</v>
      </c>
      <c r="D8236" s="11" t="s">
        <v>66</v>
      </c>
    </row>
    <row r="8237">
      <c r="A8237" s="11">
        <v>8236.0</v>
      </c>
      <c r="B8237" s="12">
        <f t="shared" si="1310"/>
        <v>41242</v>
      </c>
      <c r="C8237" s="11" t="s">
        <v>808</v>
      </c>
      <c r="D8237" s="11" t="s">
        <v>66</v>
      </c>
    </row>
    <row r="8238">
      <c r="A8238" s="11">
        <v>8237.0</v>
      </c>
      <c r="B8238" s="12">
        <f t="shared" si="1310"/>
        <v>41242</v>
      </c>
      <c r="C8238" s="11" t="s">
        <v>808</v>
      </c>
      <c r="D8238" s="11" t="s">
        <v>28</v>
      </c>
    </row>
    <row r="8239">
      <c r="A8239" s="11">
        <v>8238.0</v>
      </c>
      <c r="B8239" s="12">
        <f t="shared" ref="B8239:B8244" si="1311">DATE(2012,12,31)-31</f>
        <v>41243</v>
      </c>
      <c r="C8239" s="11" t="s">
        <v>91</v>
      </c>
      <c r="D8239" s="11" t="s">
        <v>49</v>
      </c>
    </row>
    <row r="8240">
      <c r="A8240" s="11">
        <v>8239.0</v>
      </c>
      <c r="B8240" s="12">
        <f t="shared" si="1311"/>
        <v>41243</v>
      </c>
      <c r="C8240" s="11" t="s">
        <v>91</v>
      </c>
      <c r="D8240" s="11" t="s">
        <v>49</v>
      </c>
    </row>
    <row r="8241">
      <c r="A8241" s="11">
        <v>8240.0</v>
      </c>
      <c r="B8241" s="12">
        <f t="shared" si="1311"/>
        <v>41243</v>
      </c>
      <c r="C8241" s="11" t="s">
        <v>2250</v>
      </c>
      <c r="D8241" s="11" t="s">
        <v>28</v>
      </c>
    </row>
    <row r="8242">
      <c r="A8242" s="11">
        <v>8241.0</v>
      </c>
      <c r="B8242" s="12">
        <f t="shared" si="1311"/>
        <v>41243</v>
      </c>
      <c r="C8242" s="11" t="s">
        <v>2250</v>
      </c>
      <c r="D8242" s="11" t="s">
        <v>28</v>
      </c>
    </row>
    <row r="8243">
      <c r="A8243" s="11">
        <v>8242.0</v>
      </c>
      <c r="B8243" s="12">
        <f t="shared" si="1311"/>
        <v>41243</v>
      </c>
      <c r="C8243" s="11" t="s">
        <v>2250</v>
      </c>
      <c r="D8243" s="11" t="s">
        <v>66</v>
      </c>
    </row>
    <row r="8244">
      <c r="A8244" s="11">
        <v>8243.0</v>
      </c>
      <c r="B8244" s="12">
        <f t="shared" si="1311"/>
        <v>41243</v>
      </c>
      <c r="C8244" s="11" t="s">
        <v>960</v>
      </c>
      <c r="D8244" s="11" t="s">
        <v>66</v>
      </c>
    </row>
    <row r="8245">
      <c r="A8245" s="11">
        <v>8244.0</v>
      </c>
      <c r="B8245" s="12">
        <f t="shared" ref="B8245:B8249" si="1312">DATE(2012,12,31)-30</f>
        <v>41244</v>
      </c>
      <c r="C8245" s="11" t="s">
        <v>855</v>
      </c>
      <c r="D8245" s="11" t="s">
        <v>49</v>
      </c>
    </row>
    <row r="8246">
      <c r="A8246" s="11">
        <v>8245.0</v>
      </c>
      <c r="B8246" s="12">
        <f t="shared" si="1312"/>
        <v>41244</v>
      </c>
      <c r="C8246" s="11" t="s">
        <v>855</v>
      </c>
      <c r="D8246" s="11" t="s">
        <v>66</v>
      </c>
    </row>
    <row r="8247">
      <c r="A8247" s="11">
        <v>8246.0</v>
      </c>
      <c r="B8247" s="12">
        <f t="shared" si="1312"/>
        <v>41244</v>
      </c>
      <c r="C8247" s="11" t="s">
        <v>855</v>
      </c>
      <c r="D8247" s="11" t="s">
        <v>28</v>
      </c>
    </row>
    <row r="8248">
      <c r="A8248" s="11">
        <v>8247.0</v>
      </c>
      <c r="B8248" s="12">
        <f t="shared" si="1312"/>
        <v>41244</v>
      </c>
      <c r="C8248" s="11" t="s">
        <v>1214</v>
      </c>
      <c r="D8248" s="11" t="s">
        <v>28</v>
      </c>
    </row>
    <row r="8249">
      <c r="A8249" s="11">
        <v>8248.0</v>
      </c>
      <c r="B8249" s="12">
        <f t="shared" si="1312"/>
        <v>41244</v>
      </c>
      <c r="C8249" s="11" t="s">
        <v>1214</v>
      </c>
      <c r="D8249" s="11" t="s">
        <v>28</v>
      </c>
    </row>
    <row r="8250">
      <c r="A8250" s="11">
        <v>8249.0</v>
      </c>
      <c r="B8250" s="12">
        <f t="shared" ref="B8250:B8259" si="1313">DATE(2012,12,31)-29</f>
        <v>41245</v>
      </c>
      <c r="C8250" s="11" t="s">
        <v>2513</v>
      </c>
      <c r="D8250" s="11" t="s">
        <v>66</v>
      </c>
    </row>
    <row r="8251">
      <c r="A8251" s="11">
        <v>8250.0</v>
      </c>
      <c r="B8251" s="12">
        <f t="shared" si="1313"/>
        <v>41245</v>
      </c>
      <c r="C8251" s="11" t="s">
        <v>91</v>
      </c>
      <c r="D8251" s="11" t="s">
        <v>28</v>
      </c>
    </row>
    <row r="8252">
      <c r="A8252" s="11">
        <v>8251.0</v>
      </c>
      <c r="B8252" s="12">
        <f t="shared" si="1313"/>
        <v>41245</v>
      </c>
      <c r="C8252" s="11" t="s">
        <v>91</v>
      </c>
      <c r="D8252" s="11" t="s">
        <v>66</v>
      </c>
    </row>
    <row r="8253">
      <c r="A8253" s="11">
        <v>8252.0</v>
      </c>
      <c r="B8253" s="12">
        <f t="shared" si="1313"/>
        <v>41245</v>
      </c>
      <c r="C8253" s="11" t="s">
        <v>1080</v>
      </c>
      <c r="D8253" s="11" t="s">
        <v>49</v>
      </c>
    </row>
    <row r="8254">
      <c r="A8254" s="11">
        <v>8253.0</v>
      </c>
      <c r="B8254" s="12">
        <f t="shared" si="1313"/>
        <v>41245</v>
      </c>
      <c r="C8254" s="11" t="s">
        <v>1080</v>
      </c>
      <c r="D8254" s="11" t="s">
        <v>66</v>
      </c>
    </row>
    <row r="8255">
      <c r="A8255" s="11">
        <v>8254.0</v>
      </c>
      <c r="B8255" s="12">
        <f t="shared" si="1313"/>
        <v>41245</v>
      </c>
      <c r="C8255" s="11" t="s">
        <v>1009</v>
      </c>
      <c r="D8255" s="11" t="s">
        <v>66</v>
      </c>
    </row>
    <row r="8256">
      <c r="A8256" s="11">
        <v>8255.0</v>
      </c>
      <c r="B8256" s="12">
        <f t="shared" si="1313"/>
        <v>41245</v>
      </c>
      <c r="C8256" s="11" t="s">
        <v>1257</v>
      </c>
      <c r="D8256" s="11" t="s">
        <v>49</v>
      </c>
    </row>
    <row r="8257">
      <c r="A8257" s="11">
        <v>8256.0</v>
      </c>
      <c r="B8257" s="12">
        <f t="shared" si="1313"/>
        <v>41245</v>
      </c>
      <c r="C8257" s="11" t="s">
        <v>1257</v>
      </c>
      <c r="D8257" s="11" t="s">
        <v>49</v>
      </c>
    </row>
    <row r="8258">
      <c r="A8258" s="11">
        <v>8257.0</v>
      </c>
      <c r="B8258" s="12">
        <f t="shared" si="1313"/>
        <v>41245</v>
      </c>
      <c r="C8258" s="11" t="s">
        <v>2027</v>
      </c>
      <c r="D8258" s="11" t="s">
        <v>49</v>
      </c>
    </row>
    <row r="8259">
      <c r="A8259" s="11">
        <v>8258.0</v>
      </c>
      <c r="B8259" s="12">
        <f t="shared" si="1313"/>
        <v>41245</v>
      </c>
      <c r="C8259" s="11" t="s">
        <v>2027</v>
      </c>
      <c r="D8259" s="11" t="s">
        <v>28</v>
      </c>
    </row>
    <row r="8260">
      <c r="A8260" s="11">
        <v>8259.0</v>
      </c>
      <c r="B8260" s="12">
        <f t="shared" ref="B8260:B8266" si="1314">DATE(2012,12,31)-28</f>
        <v>41246</v>
      </c>
      <c r="C8260" s="11" t="s">
        <v>988</v>
      </c>
      <c r="D8260" s="11" t="s">
        <v>49</v>
      </c>
    </row>
    <row r="8261">
      <c r="A8261" s="11">
        <v>8260.0</v>
      </c>
      <c r="B8261" s="12">
        <f t="shared" si="1314"/>
        <v>41246</v>
      </c>
      <c r="C8261" s="11" t="s">
        <v>2099</v>
      </c>
      <c r="D8261" s="11" t="s">
        <v>28</v>
      </c>
    </row>
    <row r="8262">
      <c r="A8262" s="11">
        <v>8261.0</v>
      </c>
      <c r="B8262" s="12">
        <f t="shared" si="1314"/>
        <v>41246</v>
      </c>
      <c r="C8262" s="11" t="s">
        <v>2402</v>
      </c>
      <c r="D8262" s="11" t="s">
        <v>28</v>
      </c>
    </row>
    <row r="8263">
      <c r="A8263" s="11">
        <v>8262.0</v>
      </c>
      <c r="B8263" s="12">
        <f t="shared" si="1314"/>
        <v>41246</v>
      </c>
      <c r="C8263" s="11" t="s">
        <v>2256</v>
      </c>
      <c r="D8263" s="11" t="s">
        <v>28</v>
      </c>
    </row>
    <row r="8264">
      <c r="A8264" s="11">
        <v>8263.0</v>
      </c>
      <c r="B8264" s="12">
        <f t="shared" si="1314"/>
        <v>41246</v>
      </c>
      <c r="C8264" s="11" t="s">
        <v>2256</v>
      </c>
      <c r="D8264" s="11" t="s">
        <v>49</v>
      </c>
    </row>
    <row r="8265">
      <c r="A8265" s="11">
        <v>8264.0</v>
      </c>
      <c r="B8265" s="12">
        <f t="shared" si="1314"/>
        <v>41246</v>
      </c>
      <c r="C8265" s="11" t="s">
        <v>1761</v>
      </c>
      <c r="D8265" s="11" t="s">
        <v>49</v>
      </c>
    </row>
    <row r="8266">
      <c r="A8266" s="11">
        <v>8265.0</v>
      </c>
      <c r="B8266" s="12">
        <f t="shared" si="1314"/>
        <v>41246</v>
      </c>
      <c r="C8266" s="11" t="s">
        <v>1761</v>
      </c>
      <c r="D8266" s="11" t="s">
        <v>28</v>
      </c>
    </row>
    <row r="8267">
      <c r="A8267" s="11">
        <v>8266.0</v>
      </c>
      <c r="B8267" s="12">
        <f t="shared" ref="B8267:B8273" si="1315">DATE(2012,12,31)-27</f>
        <v>41247</v>
      </c>
      <c r="C8267" s="11" t="s">
        <v>1681</v>
      </c>
      <c r="D8267" s="11" t="s">
        <v>28</v>
      </c>
    </row>
    <row r="8268">
      <c r="A8268" s="11">
        <v>8267.0</v>
      </c>
      <c r="B8268" s="12">
        <f t="shared" si="1315"/>
        <v>41247</v>
      </c>
      <c r="C8268" s="11" t="s">
        <v>370</v>
      </c>
      <c r="D8268" s="11" t="s">
        <v>49</v>
      </c>
    </row>
    <row r="8269">
      <c r="A8269" s="11">
        <v>8268.0</v>
      </c>
      <c r="B8269" s="12">
        <f t="shared" si="1315"/>
        <v>41247</v>
      </c>
      <c r="C8269" s="11" t="s">
        <v>1123</v>
      </c>
      <c r="D8269" s="11" t="s">
        <v>28</v>
      </c>
    </row>
    <row r="8270">
      <c r="A8270" s="11">
        <v>8269.0</v>
      </c>
      <c r="B8270" s="12">
        <f t="shared" si="1315"/>
        <v>41247</v>
      </c>
      <c r="C8270" s="11" t="s">
        <v>1623</v>
      </c>
      <c r="D8270" s="11" t="s">
        <v>28</v>
      </c>
    </row>
    <row r="8271">
      <c r="A8271" s="11">
        <v>8270.0</v>
      </c>
      <c r="B8271" s="12">
        <f t="shared" si="1315"/>
        <v>41247</v>
      </c>
      <c r="C8271" s="11" t="s">
        <v>1623</v>
      </c>
      <c r="D8271" s="11" t="s">
        <v>49</v>
      </c>
    </row>
    <row r="8272">
      <c r="A8272" s="11">
        <v>8271.0</v>
      </c>
      <c r="B8272" s="12">
        <f t="shared" si="1315"/>
        <v>41247</v>
      </c>
      <c r="C8272" s="11" t="s">
        <v>1623</v>
      </c>
      <c r="D8272" s="11" t="s">
        <v>49</v>
      </c>
    </row>
    <row r="8273">
      <c r="A8273" s="11">
        <v>8272.0</v>
      </c>
      <c r="B8273" s="12">
        <f t="shared" si="1315"/>
        <v>41247</v>
      </c>
      <c r="C8273" s="11" t="s">
        <v>1623</v>
      </c>
      <c r="D8273" s="11" t="s">
        <v>28</v>
      </c>
    </row>
    <row r="8274">
      <c r="A8274" s="11">
        <v>8273.0</v>
      </c>
      <c r="B8274" s="12">
        <f t="shared" ref="B8274:B8275" si="1316">DATE(2012,12,31)-26</f>
        <v>41248</v>
      </c>
      <c r="C8274" s="11" t="s">
        <v>1886</v>
      </c>
      <c r="D8274" s="11" t="s">
        <v>49</v>
      </c>
    </row>
    <row r="8275">
      <c r="A8275" s="11">
        <v>8274.0</v>
      </c>
      <c r="B8275" s="12">
        <f t="shared" si="1316"/>
        <v>41248</v>
      </c>
      <c r="C8275" s="11" t="s">
        <v>1886</v>
      </c>
      <c r="D8275" s="11" t="s">
        <v>49</v>
      </c>
    </row>
    <row r="8276">
      <c r="A8276" s="11">
        <v>8275.0</v>
      </c>
      <c r="B8276" s="12">
        <f t="shared" ref="B8276:B8278" si="1317">DATE(2012,12,31)-25</f>
        <v>41249</v>
      </c>
      <c r="C8276" s="11" t="s">
        <v>334</v>
      </c>
      <c r="D8276" s="11" t="s">
        <v>28</v>
      </c>
    </row>
    <row r="8277">
      <c r="A8277" s="11">
        <v>8276.0</v>
      </c>
      <c r="B8277" s="12">
        <f t="shared" si="1317"/>
        <v>41249</v>
      </c>
      <c r="C8277" s="11" t="s">
        <v>334</v>
      </c>
      <c r="D8277" s="11" t="s">
        <v>49</v>
      </c>
    </row>
    <row r="8278">
      <c r="A8278" s="11">
        <v>8277.0</v>
      </c>
      <c r="B8278" s="12">
        <f t="shared" si="1317"/>
        <v>41249</v>
      </c>
      <c r="C8278" s="11" t="s">
        <v>1767</v>
      </c>
      <c r="D8278" s="11" t="s">
        <v>28</v>
      </c>
    </row>
    <row r="8279">
      <c r="A8279" s="11">
        <v>8278.0</v>
      </c>
      <c r="B8279" s="12">
        <f t="shared" ref="B8279:B8280" si="1318">DATE(2012,12,31)-24</f>
        <v>41250</v>
      </c>
      <c r="C8279" s="11" t="s">
        <v>588</v>
      </c>
      <c r="D8279" s="11" t="s">
        <v>49</v>
      </c>
    </row>
    <row r="8280">
      <c r="A8280" s="11">
        <v>8279.0</v>
      </c>
      <c r="B8280" s="12">
        <f t="shared" si="1318"/>
        <v>41250</v>
      </c>
      <c r="C8280" s="11" t="s">
        <v>919</v>
      </c>
      <c r="D8280" s="11" t="s">
        <v>28</v>
      </c>
    </row>
    <row r="8281">
      <c r="A8281" s="11">
        <v>8280.0</v>
      </c>
      <c r="B8281" s="12">
        <f t="shared" ref="B8281:B8284" si="1319">DATE(2012,12,31)-23</f>
        <v>41251</v>
      </c>
      <c r="C8281" s="11" t="s">
        <v>756</v>
      </c>
      <c r="D8281" s="11" t="s">
        <v>66</v>
      </c>
    </row>
    <row r="8282">
      <c r="A8282" s="11">
        <v>8281.0</v>
      </c>
      <c r="B8282" s="12">
        <f t="shared" si="1319"/>
        <v>41251</v>
      </c>
      <c r="C8282" s="11" t="s">
        <v>756</v>
      </c>
      <c r="D8282" s="11" t="s">
        <v>28</v>
      </c>
    </row>
    <row r="8283">
      <c r="A8283" s="11">
        <v>8282.0</v>
      </c>
      <c r="B8283" s="12">
        <f t="shared" si="1319"/>
        <v>41251</v>
      </c>
      <c r="C8283" s="11" t="s">
        <v>1342</v>
      </c>
      <c r="D8283" s="11" t="s">
        <v>49</v>
      </c>
    </row>
    <row r="8284">
      <c r="A8284" s="11">
        <v>8283.0</v>
      </c>
      <c r="B8284" s="12">
        <f t="shared" si="1319"/>
        <v>41251</v>
      </c>
      <c r="C8284" s="11" t="s">
        <v>1342</v>
      </c>
      <c r="D8284" s="11" t="s">
        <v>28</v>
      </c>
    </row>
    <row r="8285">
      <c r="A8285" s="11">
        <v>8284.0</v>
      </c>
      <c r="B8285" s="12">
        <f t="shared" ref="B8285:B8298" si="1320">DATE(2012,12,31)-22</f>
        <v>41252</v>
      </c>
      <c r="C8285" s="11" t="s">
        <v>1099</v>
      </c>
      <c r="D8285" s="11" t="s">
        <v>28</v>
      </c>
    </row>
    <row r="8286">
      <c r="A8286" s="11">
        <v>8285.0</v>
      </c>
      <c r="B8286" s="12">
        <f t="shared" si="1320"/>
        <v>41252</v>
      </c>
      <c r="C8286" s="11" t="s">
        <v>1099</v>
      </c>
      <c r="D8286" s="11" t="s">
        <v>28</v>
      </c>
    </row>
    <row r="8287">
      <c r="A8287" s="11">
        <v>8286.0</v>
      </c>
      <c r="B8287" s="12">
        <f t="shared" si="1320"/>
        <v>41252</v>
      </c>
      <c r="C8287" s="11" t="s">
        <v>1507</v>
      </c>
      <c r="D8287" s="11" t="s">
        <v>66</v>
      </c>
    </row>
    <row r="8288">
      <c r="A8288" s="11">
        <v>8287.0</v>
      </c>
      <c r="B8288" s="12">
        <f t="shared" si="1320"/>
        <v>41252</v>
      </c>
      <c r="C8288" s="11" t="s">
        <v>1507</v>
      </c>
      <c r="D8288" s="11" t="s">
        <v>28</v>
      </c>
    </row>
    <row r="8289">
      <c r="A8289" s="11">
        <v>8288.0</v>
      </c>
      <c r="B8289" s="12">
        <f t="shared" si="1320"/>
        <v>41252</v>
      </c>
      <c r="C8289" s="11" t="s">
        <v>1507</v>
      </c>
      <c r="D8289" s="11" t="s">
        <v>49</v>
      </c>
    </row>
    <row r="8290">
      <c r="A8290" s="11">
        <v>8289.0</v>
      </c>
      <c r="B8290" s="12">
        <f t="shared" si="1320"/>
        <v>41252</v>
      </c>
      <c r="C8290" s="11" t="s">
        <v>76</v>
      </c>
      <c r="D8290" s="11" t="s">
        <v>28</v>
      </c>
    </row>
    <row r="8291">
      <c r="A8291" s="11">
        <v>8290.0</v>
      </c>
      <c r="B8291" s="12">
        <f t="shared" si="1320"/>
        <v>41252</v>
      </c>
      <c r="C8291" s="11" t="s">
        <v>76</v>
      </c>
      <c r="D8291" s="11" t="s">
        <v>49</v>
      </c>
    </row>
    <row r="8292">
      <c r="A8292" s="11">
        <v>8291.0</v>
      </c>
      <c r="B8292" s="12">
        <f t="shared" si="1320"/>
        <v>41252</v>
      </c>
      <c r="C8292" s="11" t="s">
        <v>76</v>
      </c>
      <c r="D8292" s="11" t="s">
        <v>66</v>
      </c>
    </row>
    <row r="8293">
      <c r="A8293" s="11">
        <v>8292.0</v>
      </c>
      <c r="B8293" s="12">
        <f t="shared" si="1320"/>
        <v>41252</v>
      </c>
      <c r="C8293" s="11" t="s">
        <v>2417</v>
      </c>
      <c r="D8293" s="11" t="s">
        <v>66</v>
      </c>
    </row>
    <row r="8294">
      <c r="A8294" s="11">
        <v>8293.0</v>
      </c>
      <c r="B8294" s="12">
        <f t="shared" si="1320"/>
        <v>41252</v>
      </c>
      <c r="C8294" s="11" t="s">
        <v>2417</v>
      </c>
      <c r="D8294" s="11" t="s">
        <v>66</v>
      </c>
    </row>
    <row r="8295">
      <c r="A8295" s="11">
        <v>8294.0</v>
      </c>
      <c r="B8295" s="12">
        <f t="shared" si="1320"/>
        <v>41252</v>
      </c>
      <c r="C8295" s="11" t="s">
        <v>2417</v>
      </c>
      <c r="D8295" s="11" t="s">
        <v>66</v>
      </c>
    </row>
    <row r="8296">
      <c r="A8296" s="11">
        <v>8295.0</v>
      </c>
      <c r="B8296" s="12">
        <f t="shared" si="1320"/>
        <v>41252</v>
      </c>
      <c r="C8296" s="11" t="s">
        <v>1972</v>
      </c>
      <c r="D8296" s="11" t="s">
        <v>49</v>
      </c>
    </row>
    <row r="8297">
      <c r="A8297" s="11">
        <v>8296.0</v>
      </c>
      <c r="B8297" s="12">
        <f t="shared" si="1320"/>
        <v>41252</v>
      </c>
      <c r="C8297" s="11" t="s">
        <v>2016</v>
      </c>
      <c r="D8297" s="11" t="s">
        <v>66</v>
      </c>
    </row>
    <row r="8298">
      <c r="A8298" s="11">
        <v>8297.0</v>
      </c>
      <c r="B8298" s="12">
        <f t="shared" si="1320"/>
        <v>41252</v>
      </c>
      <c r="C8298" s="11" t="s">
        <v>2016</v>
      </c>
      <c r="D8298" s="11" t="s">
        <v>66</v>
      </c>
    </row>
    <row r="8299">
      <c r="A8299" s="11">
        <v>8298.0</v>
      </c>
      <c r="B8299" s="12">
        <f t="shared" ref="B8299:B8309" si="1321">DATE(2012,12,31)-21</f>
        <v>41253</v>
      </c>
      <c r="C8299" s="11" t="s">
        <v>1848</v>
      </c>
      <c r="D8299" s="11" t="s">
        <v>28</v>
      </c>
    </row>
    <row r="8300">
      <c r="A8300" s="11">
        <v>8299.0</v>
      </c>
      <c r="B8300" s="12">
        <f t="shared" si="1321"/>
        <v>41253</v>
      </c>
      <c r="C8300" s="11" t="s">
        <v>1848</v>
      </c>
      <c r="D8300" s="11" t="s">
        <v>28</v>
      </c>
    </row>
    <row r="8301">
      <c r="A8301" s="11">
        <v>8300.0</v>
      </c>
      <c r="B8301" s="12">
        <f t="shared" si="1321"/>
        <v>41253</v>
      </c>
      <c r="C8301" s="11" t="s">
        <v>1848</v>
      </c>
      <c r="D8301" s="11" t="s">
        <v>28</v>
      </c>
    </row>
    <row r="8302">
      <c r="A8302" s="11">
        <v>8301.0</v>
      </c>
      <c r="B8302" s="12">
        <f t="shared" si="1321"/>
        <v>41253</v>
      </c>
      <c r="C8302" s="11" t="s">
        <v>571</v>
      </c>
      <c r="D8302" s="11" t="s">
        <v>28</v>
      </c>
    </row>
    <row r="8303">
      <c r="A8303" s="11">
        <v>8302.0</v>
      </c>
      <c r="B8303" s="12">
        <f t="shared" si="1321"/>
        <v>41253</v>
      </c>
      <c r="C8303" s="11" t="s">
        <v>571</v>
      </c>
      <c r="D8303" s="11" t="s">
        <v>28</v>
      </c>
    </row>
    <row r="8304">
      <c r="A8304" s="11">
        <v>8303.0</v>
      </c>
      <c r="B8304" s="12">
        <f t="shared" si="1321"/>
        <v>41253</v>
      </c>
      <c r="C8304" s="11" t="s">
        <v>2319</v>
      </c>
      <c r="D8304" s="11" t="s">
        <v>28</v>
      </c>
    </row>
    <row r="8305">
      <c r="A8305" s="11">
        <v>8304.0</v>
      </c>
      <c r="B8305" s="12">
        <f t="shared" si="1321"/>
        <v>41253</v>
      </c>
      <c r="C8305" s="11" t="s">
        <v>958</v>
      </c>
      <c r="D8305" s="11" t="s">
        <v>28</v>
      </c>
    </row>
    <row r="8306">
      <c r="A8306" s="11">
        <v>8305.0</v>
      </c>
      <c r="B8306" s="12">
        <f t="shared" si="1321"/>
        <v>41253</v>
      </c>
      <c r="C8306" s="11" t="s">
        <v>958</v>
      </c>
      <c r="D8306" s="11" t="s">
        <v>28</v>
      </c>
    </row>
    <row r="8307">
      <c r="A8307" s="11">
        <v>8306.0</v>
      </c>
      <c r="B8307" s="12">
        <f t="shared" si="1321"/>
        <v>41253</v>
      </c>
      <c r="C8307" s="11" t="s">
        <v>613</v>
      </c>
      <c r="D8307" s="11" t="s">
        <v>28</v>
      </c>
    </row>
    <row r="8308">
      <c r="A8308" s="11">
        <v>8307.0</v>
      </c>
      <c r="B8308" s="12">
        <f t="shared" si="1321"/>
        <v>41253</v>
      </c>
      <c r="C8308" s="11" t="s">
        <v>1712</v>
      </c>
      <c r="D8308" s="11" t="s">
        <v>28</v>
      </c>
    </row>
    <row r="8309">
      <c r="A8309" s="11">
        <v>8308.0</v>
      </c>
      <c r="B8309" s="12">
        <f t="shared" si="1321"/>
        <v>41253</v>
      </c>
      <c r="C8309" s="11" t="s">
        <v>1712</v>
      </c>
      <c r="D8309" s="11" t="s">
        <v>49</v>
      </c>
    </row>
    <row r="8310">
      <c r="A8310" s="11">
        <v>8309.0</v>
      </c>
      <c r="B8310" s="12">
        <f t="shared" ref="B8310:B8318" si="1322">DATE(2012,12,31)-20</f>
        <v>41254</v>
      </c>
      <c r="C8310" s="11" t="s">
        <v>1008</v>
      </c>
      <c r="D8310" s="11" t="s">
        <v>28</v>
      </c>
    </row>
    <row r="8311">
      <c r="A8311" s="11">
        <v>8310.0</v>
      </c>
      <c r="B8311" s="12">
        <f t="shared" si="1322"/>
        <v>41254</v>
      </c>
      <c r="C8311" s="11" t="s">
        <v>491</v>
      </c>
      <c r="D8311" s="11" t="s">
        <v>28</v>
      </c>
    </row>
    <row r="8312">
      <c r="A8312" s="11">
        <v>8311.0</v>
      </c>
      <c r="B8312" s="12">
        <f t="shared" si="1322"/>
        <v>41254</v>
      </c>
      <c r="C8312" s="11" t="s">
        <v>491</v>
      </c>
      <c r="D8312" s="11" t="s">
        <v>66</v>
      </c>
    </row>
    <row r="8313">
      <c r="A8313" s="11">
        <v>8312.0</v>
      </c>
      <c r="B8313" s="12">
        <f t="shared" si="1322"/>
        <v>41254</v>
      </c>
      <c r="C8313" s="11" t="s">
        <v>2319</v>
      </c>
      <c r="D8313" s="11" t="s">
        <v>66</v>
      </c>
    </row>
    <row r="8314">
      <c r="A8314" s="11">
        <v>8313.0</v>
      </c>
      <c r="B8314" s="12">
        <f t="shared" si="1322"/>
        <v>41254</v>
      </c>
      <c r="C8314" s="11" t="s">
        <v>2319</v>
      </c>
      <c r="D8314" s="11" t="s">
        <v>49</v>
      </c>
    </row>
    <row r="8315">
      <c r="A8315" s="11">
        <v>8314.0</v>
      </c>
      <c r="B8315" s="12">
        <f t="shared" si="1322"/>
        <v>41254</v>
      </c>
      <c r="C8315" s="11" t="s">
        <v>538</v>
      </c>
      <c r="D8315" s="11" t="s">
        <v>28</v>
      </c>
    </row>
    <row r="8316">
      <c r="A8316" s="11">
        <v>8315.0</v>
      </c>
      <c r="B8316" s="12">
        <f t="shared" si="1322"/>
        <v>41254</v>
      </c>
      <c r="C8316" s="11" t="s">
        <v>1934</v>
      </c>
      <c r="D8316" s="11" t="s">
        <v>28</v>
      </c>
    </row>
    <row r="8317">
      <c r="A8317" s="11">
        <v>8316.0</v>
      </c>
      <c r="B8317" s="12">
        <f t="shared" si="1322"/>
        <v>41254</v>
      </c>
      <c r="C8317" s="11" t="s">
        <v>1934</v>
      </c>
      <c r="D8317" s="11" t="s">
        <v>28</v>
      </c>
    </row>
    <row r="8318">
      <c r="A8318" s="11">
        <v>8317.0</v>
      </c>
      <c r="B8318" s="12">
        <f t="shared" si="1322"/>
        <v>41254</v>
      </c>
      <c r="C8318" s="11" t="s">
        <v>1099</v>
      </c>
      <c r="D8318" s="11" t="s">
        <v>28</v>
      </c>
    </row>
    <row r="8319">
      <c r="A8319" s="11">
        <v>8318.0</v>
      </c>
      <c r="B8319" s="12">
        <f t="shared" ref="B8319:B8325" si="1323">DATE(2012,12,31)-19</f>
        <v>41255</v>
      </c>
      <c r="C8319" s="11" t="s">
        <v>2033</v>
      </c>
      <c r="D8319" s="11" t="s">
        <v>28</v>
      </c>
    </row>
    <row r="8320">
      <c r="A8320" s="11">
        <v>8319.0</v>
      </c>
      <c r="B8320" s="12">
        <f t="shared" si="1323"/>
        <v>41255</v>
      </c>
      <c r="C8320" s="11" t="s">
        <v>2033</v>
      </c>
      <c r="D8320" s="11" t="s">
        <v>28</v>
      </c>
    </row>
    <row r="8321">
      <c r="A8321" s="11">
        <v>8320.0</v>
      </c>
      <c r="B8321" s="12">
        <f t="shared" si="1323"/>
        <v>41255</v>
      </c>
      <c r="C8321" s="11" t="s">
        <v>152</v>
      </c>
      <c r="D8321" s="11" t="s">
        <v>49</v>
      </c>
    </row>
    <row r="8322">
      <c r="A8322" s="11">
        <v>8321.0</v>
      </c>
      <c r="B8322" s="12">
        <f t="shared" si="1323"/>
        <v>41255</v>
      </c>
      <c r="C8322" s="11" t="s">
        <v>152</v>
      </c>
      <c r="D8322" s="11" t="s">
        <v>49</v>
      </c>
    </row>
    <row r="8323">
      <c r="A8323" s="11">
        <v>8322.0</v>
      </c>
      <c r="B8323" s="12">
        <f t="shared" si="1323"/>
        <v>41255</v>
      </c>
      <c r="C8323" s="11" t="s">
        <v>152</v>
      </c>
      <c r="D8323" s="11" t="s">
        <v>49</v>
      </c>
    </row>
    <row r="8324">
      <c r="A8324" s="11">
        <v>8323.0</v>
      </c>
      <c r="B8324" s="12">
        <f t="shared" si="1323"/>
        <v>41255</v>
      </c>
      <c r="C8324" s="11" t="s">
        <v>152</v>
      </c>
      <c r="D8324" s="11" t="s">
        <v>28</v>
      </c>
    </row>
    <row r="8325">
      <c r="A8325" s="11">
        <v>8324.0</v>
      </c>
      <c r="B8325" s="12">
        <f t="shared" si="1323"/>
        <v>41255</v>
      </c>
      <c r="C8325" s="11" t="s">
        <v>152</v>
      </c>
      <c r="D8325" s="11" t="s">
        <v>28</v>
      </c>
    </row>
    <row r="8326">
      <c r="A8326" s="11">
        <v>8325.0</v>
      </c>
      <c r="B8326" s="12">
        <f t="shared" ref="B8326:B8327" si="1324">DATE(2012,12,31)-18</f>
        <v>41256</v>
      </c>
      <c r="C8326" s="11" t="s">
        <v>1196</v>
      </c>
      <c r="D8326" s="11" t="s">
        <v>49</v>
      </c>
    </row>
    <row r="8327">
      <c r="A8327" s="11">
        <v>8326.0</v>
      </c>
      <c r="B8327" s="12">
        <f t="shared" si="1324"/>
        <v>41256</v>
      </c>
      <c r="C8327" s="11" t="s">
        <v>1092</v>
      </c>
      <c r="D8327" s="11" t="s">
        <v>28</v>
      </c>
    </row>
    <row r="8328">
      <c r="A8328" s="11">
        <v>8327.0</v>
      </c>
      <c r="B8328" s="12">
        <f>DATE(2012,12,31)-17</f>
        <v>41257</v>
      </c>
      <c r="C8328" s="11" t="s">
        <v>2262</v>
      </c>
      <c r="D8328" s="11" t="s">
        <v>28</v>
      </c>
    </row>
    <row r="8329">
      <c r="A8329" s="11">
        <v>8328.0</v>
      </c>
      <c r="B8329" s="12">
        <f t="shared" ref="B8329:B8334" si="1325">DATE(2012,12,31)-16</f>
        <v>41258</v>
      </c>
      <c r="C8329" s="11" t="s">
        <v>2236</v>
      </c>
      <c r="D8329" s="11" t="s">
        <v>28</v>
      </c>
    </row>
    <row r="8330">
      <c r="A8330" s="11">
        <v>8329.0</v>
      </c>
      <c r="B8330" s="12">
        <f t="shared" si="1325"/>
        <v>41258</v>
      </c>
      <c r="C8330" s="11" t="s">
        <v>2557</v>
      </c>
      <c r="D8330" s="11" t="s">
        <v>28</v>
      </c>
    </row>
    <row r="8331">
      <c r="A8331" s="11">
        <v>8330.0</v>
      </c>
      <c r="B8331" s="12">
        <f t="shared" si="1325"/>
        <v>41258</v>
      </c>
      <c r="C8331" s="11" t="s">
        <v>2557</v>
      </c>
      <c r="D8331" s="11" t="s">
        <v>28</v>
      </c>
    </row>
    <row r="8332">
      <c r="A8332" s="11">
        <v>8331.0</v>
      </c>
      <c r="B8332" s="12">
        <f t="shared" si="1325"/>
        <v>41258</v>
      </c>
      <c r="C8332" s="11" t="s">
        <v>550</v>
      </c>
      <c r="D8332" s="11" t="s">
        <v>28</v>
      </c>
    </row>
    <row r="8333">
      <c r="A8333" s="11">
        <v>8332.0</v>
      </c>
      <c r="B8333" s="12">
        <f t="shared" si="1325"/>
        <v>41258</v>
      </c>
      <c r="C8333" s="11" t="s">
        <v>550</v>
      </c>
      <c r="D8333" s="11" t="s">
        <v>28</v>
      </c>
    </row>
    <row r="8334">
      <c r="A8334" s="11">
        <v>8333.0</v>
      </c>
      <c r="B8334" s="12">
        <f t="shared" si="1325"/>
        <v>41258</v>
      </c>
      <c r="C8334" s="11" t="s">
        <v>1636</v>
      </c>
      <c r="D8334" s="11" t="s">
        <v>28</v>
      </c>
    </row>
    <row r="8335">
      <c r="A8335" s="11">
        <v>8334.0</v>
      </c>
      <c r="B8335" s="12">
        <f t="shared" ref="B8335:B8340" si="1326">DATE(2012,12,31)-15</f>
        <v>41259</v>
      </c>
      <c r="C8335" s="11" t="s">
        <v>416</v>
      </c>
      <c r="D8335" s="11" t="s">
        <v>28</v>
      </c>
    </row>
    <row r="8336">
      <c r="A8336" s="11">
        <v>8335.0</v>
      </c>
      <c r="B8336" s="12">
        <f t="shared" si="1326"/>
        <v>41259</v>
      </c>
      <c r="C8336" s="11" t="s">
        <v>2513</v>
      </c>
      <c r="D8336" s="11" t="s">
        <v>28</v>
      </c>
    </row>
    <row r="8337">
      <c r="A8337" s="11">
        <v>8336.0</v>
      </c>
      <c r="B8337" s="12">
        <f t="shared" si="1326"/>
        <v>41259</v>
      </c>
      <c r="C8337" s="11" t="s">
        <v>2513</v>
      </c>
      <c r="D8337" s="11" t="s">
        <v>66</v>
      </c>
    </row>
    <row r="8338">
      <c r="A8338" s="11">
        <v>8337.0</v>
      </c>
      <c r="B8338" s="12">
        <f t="shared" si="1326"/>
        <v>41259</v>
      </c>
      <c r="C8338" s="11" t="s">
        <v>2513</v>
      </c>
      <c r="D8338" s="11" t="s">
        <v>66</v>
      </c>
    </row>
    <row r="8339">
      <c r="A8339" s="11">
        <v>8338.0</v>
      </c>
      <c r="B8339" s="12">
        <f t="shared" si="1326"/>
        <v>41259</v>
      </c>
      <c r="C8339" s="11" t="s">
        <v>839</v>
      </c>
      <c r="D8339" s="11" t="s">
        <v>28</v>
      </c>
    </row>
    <row r="8340">
      <c r="A8340" s="11">
        <v>8339.0</v>
      </c>
      <c r="B8340" s="12">
        <f t="shared" si="1326"/>
        <v>41259</v>
      </c>
      <c r="C8340" s="11" t="s">
        <v>928</v>
      </c>
      <c r="D8340" s="11" t="s">
        <v>66</v>
      </c>
    </row>
    <row r="8341">
      <c r="A8341" s="11">
        <v>8340.0</v>
      </c>
      <c r="B8341" s="12">
        <f>DATE(2012,12,31)-14</f>
        <v>41260</v>
      </c>
      <c r="C8341" s="11" t="s">
        <v>2061</v>
      </c>
      <c r="D8341" s="11" t="s">
        <v>28</v>
      </c>
    </row>
    <row r="8342">
      <c r="A8342" s="11">
        <v>8341.0</v>
      </c>
      <c r="B8342" s="12">
        <f t="shared" ref="B8342:B8346" si="1327">DATE(2012,12,31)-13</f>
        <v>41261</v>
      </c>
      <c r="C8342" s="11" t="s">
        <v>202</v>
      </c>
      <c r="D8342" s="11" t="s">
        <v>28</v>
      </c>
    </row>
    <row r="8343">
      <c r="A8343" s="11">
        <v>8342.0</v>
      </c>
      <c r="B8343" s="12">
        <f t="shared" si="1327"/>
        <v>41261</v>
      </c>
      <c r="C8343" s="11" t="s">
        <v>1447</v>
      </c>
      <c r="D8343" s="11" t="s">
        <v>49</v>
      </c>
    </row>
    <row r="8344">
      <c r="A8344" s="11">
        <v>8343.0</v>
      </c>
      <c r="B8344" s="12">
        <f t="shared" si="1327"/>
        <v>41261</v>
      </c>
      <c r="C8344" s="11" t="s">
        <v>1447</v>
      </c>
      <c r="D8344" s="11" t="s">
        <v>66</v>
      </c>
    </row>
    <row r="8345">
      <c r="A8345" s="11">
        <v>8344.0</v>
      </c>
      <c r="B8345" s="12">
        <f t="shared" si="1327"/>
        <v>41261</v>
      </c>
      <c r="C8345" s="11" t="s">
        <v>1447</v>
      </c>
      <c r="D8345" s="11" t="s">
        <v>66</v>
      </c>
    </row>
    <row r="8346">
      <c r="A8346" s="11">
        <v>8345.0</v>
      </c>
      <c r="B8346" s="12">
        <f t="shared" si="1327"/>
        <v>41261</v>
      </c>
      <c r="C8346" s="11" t="s">
        <v>1447</v>
      </c>
      <c r="D8346" s="11" t="s">
        <v>28</v>
      </c>
    </row>
    <row r="8347">
      <c r="A8347" s="11">
        <v>8346.0</v>
      </c>
      <c r="B8347" s="12">
        <f t="shared" ref="B8347:B8348" si="1328">DATE(2012,12,31)-12</f>
        <v>41262</v>
      </c>
      <c r="C8347" s="11" t="s">
        <v>727</v>
      </c>
      <c r="D8347" s="11" t="s">
        <v>66</v>
      </c>
    </row>
    <row r="8348">
      <c r="A8348" s="11">
        <v>8347.0</v>
      </c>
      <c r="B8348" s="12">
        <f t="shared" si="1328"/>
        <v>41262</v>
      </c>
      <c r="C8348" s="11" t="s">
        <v>2391</v>
      </c>
      <c r="D8348" s="11" t="s">
        <v>28</v>
      </c>
    </row>
    <row r="8349">
      <c r="A8349" s="11">
        <v>8348.0</v>
      </c>
      <c r="B8349" s="12">
        <f t="shared" ref="B8349:B8353" si="1329">DATE(2012,12,31)-11</f>
        <v>41263</v>
      </c>
      <c r="C8349" s="11" t="s">
        <v>953</v>
      </c>
      <c r="D8349" s="11" t="s">
        <v>28</v>
      </c>
    </row>
    <row r="8350">
      <c r="A8350" s="11">
        <v>8349.0</v>
      </c>
      <c r="B8350" s="12">
        <f t="shared" si="1329"/>
        <v>41263</v>
      </c>
      <c r="C8350" s="11" t="s">
        <v>953</v>
      </c>
      <c r="D8350" s="11" t="s">
        <v>28</v>
      </c>
    </row>
    <row r="8351">
      <c r="A8351" s="11">
        <v>8350.0</v>
      </c>
      <c r="B8351" s="12">
        <f t="shared" si="1329"/>
        <v>41263</v>
      </c>
      <c r="C8351" s="11" t="s">
        <v>2069</v>
      </c>
      <c r="D8351" s="11" t="s">
        <v>49</v>
      </c>
    </row>
    <row r="8352">
      <c r="A8352" s="11">
        <v>8351.0</v>
      </c>
      <c r="B8352" s="12">
        <f t="shared" si="1329"/>
        <v>41263</v>
      </c>
      <c r="C8352" s="11" t="s">
        <v>2069</v>
      </c>
      <c r="D8352" s="11" t="s">
        <v>28</v>
      </c>
    </row>
    <row r="8353">
      <c r="A8353" s="11">
        <v>8352.0</v>
      </c>
      <c r="B8353" s="12">
        <f t="shared" si="1329"/>
        <v>41263</v>
      </c>
      <c r="C8353" s="11" t="s">
        <v>2069</v>
      </c>
      <c r="D8353" s="11" t="s">
        <v>49</v>
      </c>
    </row>
    <row r="8354">
      <c r="A8354" s="11">
        <v>8353.0</v>
      </c>
      <c r="B8354" s="12">
        <f t="shared" ref="B8354:B8362" si="1330">DATE(2012,12,31)-10</f>
        <v>41264</v>
      </c>
      <c r="C8354" s="11" t="s">
        <v>2064</v>
      </c>
      <c r="D8354" s="11" t="s">
        <v>49</v>
      </c>
    </row>
    <row r="8355">
      <c r="A8355" s="11">
        <v>8354.0</v>
      </c>
      <c r="B8355" s="12">
        <f t="shared" si="1330"/>
        <v>41264</v>
      </c>
      <c r="C8355" s="11" t="s">
        <v>2350</v>
      </c>
      <c r="D8355" s="11" t="s">
        <v>66</v>
      </c>
    </row>
    <row r="8356">
      <c r="A8356" s="11">
        <v>8355.0</v>
      </c>
      <c r="B8356" s="12">
        <f t="shared" si="1330"/>
        <v>41264</v>
      </c>
      <c r="C8356" s="11" t="s">
        <v>1014</v>
      </c>
      <c r="D8356" s="11" t="s">
        <v>66</v>
      </c>
    </row>
    <row r="8357">
      <c r="A8357" s="11">
        <v>8356.0</v>
      </c>
      <c r="B8357" s="12">
        <f t="shared" si="1330"/>
        <v>41264</v>
      </c>
      <c r="C8357" s="11" t="s">
        <v>1014</v>
      </c>
      <c r="D8357" s="11" t="s">
        <v>49</v>
      </c>
    </row>
    <row r="8358">
      <c r="A8358" s="11">
        <v>8357.0</v>
      </c>
      <c r="B8358" s="12">
        <f t="shared" si="1330"/>
        <v>41264</v>
      </c>
      <c r="C8358" s="11" t="s">
        <v>1014</v>
      </c>
      <c r="D8358" s="11" t="s">
        <v>66</v>
      </c>
    </row>
    <row r="8359">
      <c r="A8359" s="11">
        <v>8358.0</v>
      </c>
      <c r="B8359" s="12">
        <f t="shared" si="1330"/>
        <v>41264</v>
      </c>
      <c r="C8359" s="11" t="s">
        <v>1025</v>
      </c>
      <c r="D8359" s="11" t="s">
        <v>28</v>
      </c>
    </row>
    <row r="8360">
      <c r="A8360" s="11">
        <v>8359.0</v>
      </c>
      <c r="B8360" s="12">
        <f t="shared" si="1330"/>
        <v>41264</v>
      </c>
      <c r="C8360" s="11" t="s">
        <v>1025</v>
      </c>
      <c r="D8360" s="11" t="s">
        <v>66</v>
      </c>
    </row>
    <row r="8361">
      <c r="A8361" s="11">
        <v>8360.0</v>
      </c>
      <c r="B8361" s="12">
        <f t="shared" si="1330"/>
        <v>41264</v>
      </c>
      <c r="C8361" s="11" t="s">
        <v>1025</v>
      </c>
      <c r="D8361" s="11" t="s">
        <v>66</v>
      </c>
    </row>
    <row r="8362">
      <c r="A8362" s="11">
        <v>8361.0</v>
      </c>
      <c r="B8362" s="12">
        <f t="shared" si="1330"/>
        <v>41264</v>
      </c>
      <c r="C8362" s="11" t="s">
        <v>648</v>
      </c>
      <c r="D8362" s="11" t="s">
        <v>28</v>
      </c>
    </row>
    <row r="8363">
      <c r="A8363" s="11">
        <v>8362.0</v>
      </c>
      <c r="B8363" s="12">
        <f>DATE(2012,12,31)-9</f>
        <v>41265</v>
      </c>
      <c r="C8363" s="11" t="s">
        <v>1466</v>
      </c>
      <c r="D8363" s="11" t="s">
        <v>66</v>
      </c>
    </row>
    <row r="8364">
      <c r="A8364" s="11">
        <v>8363.0</v>
      </c>
      <c r="B8364" s="12">
        <f t="shared" ref="B8364:B8365" si="1331">DATE(2012,12,31)-8</f>
        <v>41266</v>
      </c>
      <c r="C8364" s="11" t="s">
        <v>2283</v>
      </c>
      <c r="D8364" s="11" t="s">
        <v>66</v>
      </c>
    </row>
    <row r="8365">
      <c r="A8365" s="11">
        <v>8364.0</v>
      </c>
      <c r="B8365" s="12">
        <f t="shared" si="1331"/>
        <v>41266</v>
      </c>
      <c r="C8365" s="11" t="s">
        <v>711</v>
      </c>
      <c r="D8365" s="11" t="s">
        <v>49</v>
      </c>
    </row>
    <row r="8366">
      <c r="A8366" s="11">
        <v>8365.0</v>
      </c>
      <c r="B8366" s="12">
        <f t="shared" ref="B8366:B8370" si="1332">DATE(2012,12,31)-7</f>
        <v>41267</v>
      </c>
      <c r="C8366" s="11" t="s">
        <v>1056</v>
      </c>
      <c r="D8366" s="11" t="s">
        <v>28</v>
      </c>
    </row>
    <row r="8367">
      <c r="A8367" s="11">
        <v>8366.0</v>
      </c>
      <c r="B8367" s="12">
        <f t="shared" si="1332"/>
        <v>41267</v>
      </c>
      <c r="C8367" s="11" t="s">
        <v>2386</v>
      </c>
      <c r="D8367" s="11" t="s">
        <v>28</v>
      </c>
    </row>
    <row r="8368">
      <c r="A8368" s="11">
        <v>8367.0</v>
      </c>
      <c r="B8368" s="12">
        <f t="shared" si="1332"/>
        <v>41267</v>
      </c>
      <c r="C8368" s="11" t="s">
        <v>2386</v>
      </c>
      <c r="D8368" s="11" t="s">
        <v>66</v>
      </c>
    </row>
    <row r="8369">
      <c r="A8369" s="11">
        <v>8368.0</v>
      </c>
      <c r="B8369" s="12">
        <f t="shared" si="1332"/>
        <v>41267</v>
      </c>
      <c r="C8369" s="11" t="s">
        <v>2597</v>
      </c>
      <c r="D8369" s="11" t="s">
        <v>66</v>
      </c>
    </row>
    <row r="8370">
      <c r="A8370" s="11">
        <v>8369.0</v>
      </c>
      <c r="B8370" s="12">
        <f t="shared" si="1332"/>
        <v>41267</v>
      </c>
      <c r="C8370" s="11" t="s">
        <v>2597</v>
      </c>
      <c r="D8370" s="11" t="s">
        <v>49</v>
      </c>
    </row>
    <row r="8371">
      <c r="A8371" s="11">
        <v>8370.0</v>
      </c>
      <c r="B8371" s="12">
        <f t="shared" ref="B8371:B8375" si="1333">DATE(2012,12,31)-6</f>
        <v>41268</v>
      </c>
      <c r="C8371" s="11" t="s">
        <v>1099</v>
      </c>
      <c r="D8371" s="11" t="s">
        <v>28</v>
      </c>
    </row>
    <row r="8372">
      <c r="A8372" s="11">
        <v>8371.0</v>
      </c>
      <c r="B8372" s="12">
        <f t="shared" si="1333"/>
        <v>41268</v>
      </c>
      <c r="C8372" s="11" t="s">
        <v>323</v>
      </c>
      <c r="D8372" s="11" t="s">
        <v>49</v>
      </c>
    </row>
    <row r="8373">
      <c r="A8373" s="11">
        <v>8372.0</v>
      </c>
      <c r="B8373" s="12">
        <f t="shared" si="1333"/>
        <v>41268</v>
      </c>
      <c r="C8373" s="11" t="s">
        <v>219</v>
      </c>
      <c r="D8373" s="11" t="s">
        <v>66</v>
      </c>
    </row>
    <row r="8374">
      <c r="A8374" s="11">
        <v>8373.0</v>
      </c>
      <c r="B8374" s="12">
        <f t="shared" si="1333"/>
        <v>41268</v>
      </c>
      <c r="C8374" s="11" t="s">
        <v>219</v>
      </c>
      <c r="D8374" s="11" t="s">
        <v>66</v>
      </c>
    </row>
    <row r="8375">
      <c r="A8375" s="11">
        <v>8374.0</v>
      </c>
      <c r="B8375" s="12">
        <f t="shared" si="1333"/>
        <v>41268</v>
      </c>
      <c r="C8375" s="11" t="s">
        <v>485</v>
      </c>
      <c r="D8375" s="11" t="s">
        <v>28</v>
      </c>
    </row>
    <row r="8376">
      <c r="A8376" s="11">
        <v>8375.0</v>
      </c>
      <c r="B8376" s="12">
        <f t="shared" ref="B8376:B8377" si="1334">DATE(2012,12,31)-5</f>
        <v>41269</v>
      </c>
      <c r="C8376" s="11" t="s">
        <v>60</v>
      </c>
      <c r="D8376" s="11" t="s">
        <v>28</v>
      </c>
    </row>
    <row r="8377">
      <c r="A8377" s="11">
        <v>8376.0</v>
      </c>
      <c r="B8377" s="12">
        <f t="shared" si="1334"/>
        <v>41269</v>
      </c>
      <c r="C8377" s="11" t="s">
        <v>1014</v>
      </c>
      <c r="D8377" s="11" t="s">
        <v>28</v>
      </c>
    </row>
    <row r="8378">
      <c r="A8378" s="11">
        <v>8377.0</v>
      </c>
      <c r="B8378" s="12">
        <f t="shared" ref="B8378:B8384" si="1335">DATE(2012,12,31)-4</f>
        <v>41270</v>
      </c>
      <c r="C8378" s="11" t="s">
        <v>2095</v>
      </c>
      <c r="D8378" s="11" t="s">
        <v>49</v>
      </c>
    </row>
    <row r="8379">
      <c r="A8379" s="11">
        <v>8378.0</v>
      </c>
      <c r="B8379" s="12">
        <f t="shared" si="1335"/>
        <v>41270</v>
      </c>
      <c r="C8379" s="11" t="s">
        <v>1861</v>
      </c>
      <c r="D8379" s="11" t="s">
        <v>28</v>
      </c>
    </row>
    <row r="8380">
      <c r="A8380" s="11">
        <v>8379.0</v>
      </c>
      <c r="B8380" s="12">
        <f t="shared" si="1335"/>
        <v>41270</v>
      </c>
      <c r="C8380" s="11" t="s">
        <v>1861</v>
      </c>
      <c r="D8380" s="11" t="s">
        <v>28</v>
      </c>
    </row>
    <row r="8381">
      <c r="A8381" s="11">
        <v>8380.0</v>
      </c>
      <c r="B8381" s="12">
        <f t="shared" si="1335"/>
        <v>41270</v>
      </c>
      <c r="C8381" s="11" t="s">
        <v>1861</v>
      </c>
      <c r="D8381" s="11" t="s">
        <v>28</v>
      </c>
    </row>
    <row r="8382">
      <c r="A8382" s="11">
        <v>8381.0</v>
      </c>
      <c r="B8382" s="12">
        <f t="shared" si="1335"/>
        <v>41270</v>
      </c>
      <c r="C8382" s="11" t="s">
        <v>1938</v>
      </c>
      <c r="D8382" s="11" t="s">
        <v>28</v>
      </c>
    </row>
    <row r="8383">
      <c r="A8383" s="11">
        <v>8382.0</v>
      </c>
      <c r="B8383" s="12">
        <f t="shared" si="1335"/>
        <v>41270</v>
      </c>
      <c r="C8383" s="11" t="s">
        <v>1938</v>
      </c>
      <c r="D8383" s="11" t="s">
        <v>66</v>
      </c>
    </row>
    <row r="8384">
      <c r="A8384" s="11">
        <v>8383.0</v>
      </c>
      <c r="B8384" s="12">
        <f t="shared" si="1335"/>
        <v>41270</v>
      </c>
      <c r="C8384" s="11" t="s">
        <v>1108</v>
      </c>
      <c r="D8384" s="11" t="s">
        <v>28</v>
      </c>
    </row>
    <row r="8385">
      <c r="A8385" s="11">
        <v>8384.0</v>
      </c>
      <c r="B8385" s="12">
        <f t="shared" ref="B8385:B8387" si="1336">DATE(2012,12,31)-3</f>
        <v>41271</v>
      </c>
      <c r="C8385" s="11" t="s">
        <v>253</v>
      </c>
      <c r="D8385" s="11" t="s">
        <v>28</v>
      </c>
    </row>
    <row r="8386">
      <c r="A8386" s="11">
        <v>8385.0</v>
      </c>
      <c r="B8386" s="12">
        <f t="shared" si="1336"/>
        <v>41271</v>
      </c>
      <c r="C8386" s="11" t="s">
        <v>510</v>
      </c>
      <c r="D8386" s="11" t="s">
        <v>28</v>
      </c>
    </row>
    <row r="8387">
      <c r="A8387" s="11">
        <v>8386.0</v>
      </c>
      <c r="B8387" s="12">
        <f t="shared" si="1336"/>
        <v>41271</v>
      </c>
      <c r="C8387" s="11" t="s">
        <v>2052</v>
      </c>
      <c r="D8387" s="11" t="s">
        <v>28</v>
      </c>
    </row>
    <row r="8388">
      <c r="A8388" s="11">
        <v>8387.0</v>
      </c>
      <c r="B8388" s="12">
        <f t="shared" ref="B8388:B8393" si="1337">DATE(2012,12,31)-2</f>
        <v>41272</v>
      </c>
      <c r="C8388" s="11" t="s">
        <v>1887</v>
      </c>
      <c r="D8388" s="11" t="s">
        <v>28</v>
      </c>
    </row>
    <row r="8389">
      <c r="A8389" s="11">
        <v>8388.0</v>
      </c>
      <c r="B8389" s="12">
        <f t="shared" si="1337"/>
        <v>41272</v>
      </c>
      <c r="C8389" s="11" t="s">
        <v>317</v>
      </c>
      <c r="D8389" s="11" t="s">
        <v>66</v>
      </c>
    </row>
    <row r="8390">
      <c r="A8390" s="11">
        <v>8389.0</v>
      </c>
      <c r="B8390" s="12">
        <f t="shared" si="1337"/>
        <v>41272</v>
      </c>
      <c r="C8390" s="11" t="s">
        <v>317</v>
      </c>
      <c r="D8390" s="11" t="s">
        <v>49</v>
      </c>
    </row>
    <row r="8391">
      <c r="A8391" s="11">
        <v>8390.0</v>
      </c>
      <c r="B8391" s="12">
        <f t="shared" si="1337"/>
        <v>41272</v>
      </c>
      <c r="C8391" s="11" t="s">
        <v>1524</v>
      </c>
      <c r="D8391" s="11" t="s">
        <v>28</v>
      </c>
    </row>
    <row r="8392">
      <c r="A8392" s="11">
        <v>8391.0</v>
      </c>
      <c r="B8392" s="12">
        <f t="shared" si="1337"/>
        <v>41272</v>
      </c>
      <c r="C8392" s="11" t="s">
        <v>803</v>
      </c>
      <c r="D8392" s="11" t="s">
        <v>28</v>
      </c>
    </row>
    <row r="8393">
      <c r="A8393" s="11">
        <v>8392.0</v>
      </c>
      <c r="B8393" s="12">
        <f t="shared" si="1337"/>
        <v>41272</v>
      </c>
      <c r="C8393" s="11" t="s">
        <v>2428</v>
      </c>
      <c r="D8393" s="11" t="s">
        <v>28</v>
      </c>
    </row>
    <row r="8394">
      <c r="A8394" s="11">
        <v>8393.0</v>
      </c>
      <c r="B8394" s="12">
        <f t="shared" ref="B8394:B8400" si="1338">DATE(2012,12,31)-1</f>
        <v>41273</v>
      </c>
      <c r="C8394" s="11" t="s">
        <v>2519</v>
      </c>
      <c r="D8394" s="11" t="s">
        <v>28</v>
      </c>
    </row>
    <row r="8395">
      <c r="A8395" s="11">
        <v>8394.0</v>
      </c>
      <c r="B8395" s="12">
        <f t="shared" si="1338"/>
        <v>41273</v>
      </c>
      <c r="C8395" s="11" t="s">
        <v>793</v>
      </c>
      <c r="D8395" s="11" t="s">
        <v>28</v>
      </c>
    </row>
    <row r="8396">
      <c r="A8396" s="11">
        <v>8395.0</v>
      </c>
      <c r="B8396" s="12">
        <f t="shared" si="1338"/>
        <v>41273</v>
      </c>
      <c r="C8396" s="11" t="s">
        <v>1199</v>
      </c>
      <c r="D8396" s="11" t="s">
        <v>49</v>
      </c>
    </row>
    <row r="8397">
      <c r="A8397" s="11">
        <v>8396.0</v>
      </c>
      <c r="B8397" s="12">
        <f t="shared" si="1338"/>
        <v>41273</v>
      </c>
      <c r="C8397" s="11" t="s">
        <v>2293</v>
      </c>
      <c r="D8397" s="11" t="s">
        <v>66</v>
      </c>
    </row>
    <row r="8398">
      <c r="A8398" s="11">
        <v>8397.0</v>
      </c>
      <c r="B8398" s="12">
        <f t="shared" si="1338"/>
        <v>41273</v>
      </c>
      <c r="C8398" s="11" t="s">
        <v>2293</v>
      </c>
      <c r="D8398" s="11" t="s">
        <v>28</v>
      </c>
    </row>
    <row r="8399">
      <c r="A8399" s="11">
        <v>8398.0</v>
      </c>
      <c r="B8399" s="12">
        <f t="shared" si="1338"/>
        <v>41273</v>
      </c>
      <c r="C8399" s="11" t="s">
        <v>1324</v>
      </c>
      <c r="D8399" s="11" t="s">
        <v>49</v>
      </c>
    </row>
    <row r="8400">
      <c r="A8400" s="11">
        <v>8399.0</v>
      </c>
      <c r="B8400" s="12">
        <f t="shared" si="1338"/>
        <v>41273</v>
      </c>
      <c r="C8400" s="11" t="s">
        <v>1324</v>
      </c>
      <c r="D8400" s="11" t="s">
        <v>28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2.86"/>
    <col customWidth="1" min="7" max="7" width="17.29"/>
  </cols>
  <sheetData>
    <row r="1">
      <c r="B1" s="46" t="s">
        <v>2618</v>
      </c>
      <c r="D1" s="39" t="str">
        <f>IFERROR(__xludf.DUMMYFUNCTION("unique(G:G)"),"Order Date")</f>
        <v>Order Date</v>
      </c>
      <c r="E1" s="37" t="s">
        <v>2617</v>
      </c>
      <c r="G1" s="2" t="s">
        <v>1</v>
      </c>
      <c r="I1" s="41" t="s">
        <v>2647</v>
      </c>
    </row>
    <row r="2">
      <c r="A2" s="39" t="s">
        <v>120</v>
      </c>
      <c r="B2" s="39">
        <v>41.0</v>
      </c>
      <c r="D2" s="38">
        <f>IFERROR(__xludf.DUMMYFUNCTION("""COMPUTED_VALUE"""),39814.0)</f>
        <v>39814</v>
      </c>
      <c r="E2" s="39">
        <v>2.0</v>
      </c>
      <c r="G2" s="12">
        <f t="shared" ref="G2:G3" si="1">DATE(2012,12,31)-1460</f>
        <v>39814</v>
      </c>
      <c r="J2" s="39" t="s">
        <v>588</v>
      </c>
      <c r="K2" s="39">
        <v>38.0</v>
      </c>
    </row>
    <row r="3">
      <c r="A3" s="39" t="s">
        <v>588</v>
      </c>
      <c r="B3" s="39">
        <v>38.0</v>
      </c>
      <c r="D3" s="38">
        <f>IFERROR(__xludf.DUMMYFUNCTION("""COMPUTED_VALUE"""),39815.0)</f>
        <v>39815</v>
      </c>
      <c r="E3" s="39">
        <v>6.0</v>
      </c>
      <c r="G3" s="12">
        <f t="shared" si="1"/>
        <v>39814</v>
      </c>
      <c r="J3" s="39" t="s">
        <v>120</v>
      </c>
      <c r="K3" s="41">
        <v>35.0</v>
      </c>
    </row>
    <row r="4">
      <c r="A4" s="39" t="s">
        <v>1108</v>
      </c>
      <c r="B4" s="39">
        <v>35.0</v>
      </c>
      <c r="D4" s="38">
        <f>IFERROR(__xludf.DUMMYFUNCTION("""COMPUTED_VALUE"""),39816.0)</f>
        <v>39816</v>
      </c>
      <c r="E4" s="39">
        <v>10.0</v>
      </c>
      <c r="G4" s="12">
        <f t="shared" ref="G4:G7" si="2">DATE(2012,12,31)-1459</f>
        <v>39815</v>
      </c>
      <c r="J4" s="39" t="s">
        <v>1108</v>
      </c>
      <c r="K4" s="39">
        <v>35.0</v>
      </c>
    </row>
    <row r="5">
      <c r="A5" s="39" t="s">
        <v>353</v>
      </c>
      <c r="B5" s="39">
        <v>33.0</v>
      </c>
      <c r="D5" s="38">
        <f>IFERROR(__xludf.DUMMYFUNCTION("""COMPUTED_VALUE"""),39817.0)</f>
        <v>39817</v>
      </c>
      <c r="E5" s="39">
        <v>3.0</v>
      </c>
      <c r="G5" s="12">
        <f t="shared" si="2"/>
        <v>39815</v>
      </c>
      <c r="J5" s="39" t="s">
        <v>353</v>
      </c>
      <c r="K5" s="39">
        <v>33.0</v>
      </c>
    </row>
    <row r="6">
      <c r="A6" s="39" t="s">
        <v>82</v>
      </c>
      <c r="B6" s="39">
        <v>30.0</v>
      </c>
      <c r="D6" s="38">
        <f>IFERROR(__xludf.DUMMYFUNCTION("""COMPUTED_VALUE"""),39818.0)</f>
        <v>39818</v>
      </c>
      <c r="E6" s="39">
        <v>15.0</v>
      </c>
      <c r="G6" s="12">
        <f t="shared" si="2"/>
        <v>39815</v>
      </c>
      <c r="J6" s="39" t="s">
        <v>82</v>
      </c>
      <c r="K6" s="39">
        <v>30.0</v>
      </c>
    </row>
    <row r="7">
      <c r="A7" s="39" t="s">
        <v>928</v>
      </c>
      <c r="B7" s="39">
        <v>29.0</v>
      </c>
      <c r="D7" s="38">
        <f>IFERROR(__xludf.DUMMYFUNCTION("""COMPUTED_VALUE"""),39819.0)</f>
        <v>39819</v>
      </c>
      <c r="E7" s="39">
        <v>13.0</v>
      </c>
      <c r="G7" s="12">
        <f t="shared" si="2"/>
        <v>39815</v>
      </c>
    </row>
    <row r="8">
      <c r="A8" s="39" t="s">
        <v>839</v>
      </c>
      <c r="B8" s="39">
        <v>28.0</v>
      </c>
      <c r="D8" s="38">
        <f>IFERROR(__xludf.DUMMYFUNCTION("""COMPUTED_VALUE"""),39820.0)</f>
        <v>39820</v>
      </c>
      <c r="E8" s="39">
        <v>12.0</v>
      </c>
      <c r="G8" s="12">
        <f>DATE(2012,12,31)-1458</f>
        <v>39816</v>
      </c>
    </row>
    <row r="9">
      <c r="A9" s="39" t="s">
        <v>232</v>
      </c>
      <c r="B9" s="39">
        <v>28.0</v>
      </c>
      <c r="D9" s="38">
        <f>IFERROR(__xludf.DUMMYFUNCTION("""COMPUTED_VALUE"""),39822.0)</f>
        <v>39822</v>
      </c>
      <c r="E9" s="39">
        <v>9.0</v>
      </c>
      <c r="G9" s="12">
        <f>DATE(2012,12,31)-1459</f>
        <v>39815</v>
      </c>
    </row>
    <row r="10">
      <c r="A10" s="39" t="s">
        <v>648</v>
      </c>
      <c r="B10" s="39">
        <v>28.0</v>
      </c>
      <c r="D10" s="38">
        <f>IFERROR(__xludf.DUMMYFUNCTION("""COMPUTED_VALUE"""),39821.0)</f>
        <v>39821</v>
      </c>
      <c r="E10" s="39">
        <v>8.0</v>
      </c>
      <c r="G10" s="12">
        <f t="shared" ref="G10:G12" si="3">DATE(2012,12,31)-1458</f>
        <v>39816</v>
      </c>
    </row>
    <row r="11">
      <c r="A11" s="39" t="s">
        <v>1831</v>
      </c>
      <c r="B11" s="39">
        <v>28.0</v>
      </c>
      <c r="D11" s="38">
        <f>IFERROR(__xludf.DUMMYFUNCTION("""COMPUTED_VALUE"""),39823.0)</f>
        <v>39823</v>
      </c>
      <c r="E11" s="39">
        <v>8.0</v>
      </c>
      <c r="G11" s="12">
        <f t="shared" si="3"/>
        <v>39816</v>
      </c>
    </row>
    <row r="12">
      <c r="A12" s="39" t="s">
        <v>945</v>
      </c>
      <c r="B12" s="39">
        <v>28.0</v>
      </c>
      <c r="D12" s="38">
        <f>IFERROR(__xludf.DUMMYFUNCTION("""COMPUTED_VALUE"""),39824.0)</f>
        <v>39824</v>
      </c>
      <c r="E12" s="39">
        <v>7.0</v>
      </c>
      <c r="G12" s="12">
        <f t="shared" si="3"/>
        <v>39816</v>
      </c>
    </row>
    <row r="13">
      <c r="A13" s="39" t="s">
        <v>528</v>
      </c>
      <c r="B13" s="39">
        <v>28.0</v>
      </c>
      <c r="D13" s="38">
        <f>IFERROR(__xludf.DUMMYFUNCTION("""COMPUTED_VALUE"""),39825.0)</f>
        <v>39825</v>
      </c>
      <c r="E13" s="39">
        <v>4.0</v>
      </c>
      <c r="G13" s="12">
        <f>DATE(2012,12,31)-1459</f>
        <v>39815</v>
      </c>
    </row>
    <row r="14">
      <c r="A14" s="39" t="s">
        <v>781</v>
      </c>
      <c r="B14" s="39">
        <v>27.0</v>
      </c>
      <c r="D14" s="38">
        <f>IFERROR(__xludf.DUMMYFUNCTION("""COMPUTED_VALUE"""),39826.0)</f>
        <v>39826</v>
      </c>
      <c r="E14" s="39">
        <v>12.0</v>
      </c>
      <c r="G14" s="12">
        <f t="shared" ref="G14:G19" si="4">DATE(2012,12,31)-1458</f>
        <v>39816</v>
      </c>
    </row>
    <row r="15">
      <c r="A15" s="39" t="s">
        <v>1017</v>
      </c>
      <c r="B15" s="39">
        <v>27.0</v>
      </c>
      <c r="D15" s="38">
        <f>IFERROR(__xludf.DUMMYFUNCTION("""COMPUTED_VALUE"""),39827.0)</f>
        <v>39827</v>
      </c>
      <c r="E15" s="39">
        <v>12.0</v>
      </c>
      <c r="G15" s="12">
        <f t="shared" si="4"/>
        <v>39816</v>
      </c>
    </row>
    <row r="16">
      <c r="A16" s="39" t="s">
        <v>897</v>
      </c>
      <c r="B16" s="39">
        <v>27.0</v>
      </c>
      <c r="D16" s="38">
        <f>IFERROR(__xludf.DUMMYFUNCTION("""COMPUTED_VALUE"""),39829.0)</f>
        <v>39829</v>
      </c>
      <c r="E16" s="39">
        <v>10.0</v>
      </c>
      <c r="G16" s="12">
        <f t="shared" si="4"/>
        <v>39816</v>
      </c>
    </row>
    <row r="17">
      <c r="A17" s="39" t="s">
        <v>1221</v>
      </c>
      <c r="B17" s="39">
        <v>27.0</v>
      </c>
      <c r="D17" s="38">
        <f>IFERROR(__xludf.DUMMYFUNCTION("""COMPUTED_VALUE"""),39828.0)</f>
        <v>39828</v>
      </c>
      <c r="E17" s="39">
        <v>7.0</v>
      </c>
      <c r="G17" s="12">
        <f t="shared" si="4"/>
        <v>39816</v>
      </c>
    </row>
    <row r="18">
      <c r="A18" s="39" t="s">
        <v>786</v>
      </c>
      <c r="B18" s="39">
        <v>27.0</v>
      </c>
      <c r="D18" s="38">
        <f>IFERROR(__xludf.DUMMYFUNCTION("""COMPUTED_VALUE"""),39832.0)</f>
        <v>39832</v>
      </c>
      <c r="E18" s="39">
        <v>6.0</v>
      </c>
      <c r="G18" s="12">
        <f t="shared" si="4"/>
        <v>39816</v>
      </c>
    </row>
    <row r="19">
      <c r="A19" s="39" t="s">
        <v>491</v>
      </c>
      <c r="B19" s="39">
        <v>27.0</v>
      </c>
      <c r="D19" s="38">
        <f>IFERROR(__xludf.DUMMYFUNCTION("""COMPUTED_VALUE"""),39830.0)</f>
        <v>39830</v>
      </c>
      <c r="E19" s="39">
        <v>4.0</v>
      </c>
      <c r="G19" s="12">
        <f t="shared" si="4"/>
        <v>39816</v>
      </c>
    </row>
    <row r="20">
      <c r="A20" s="39" t="s">
        <v>1123</v>
      </c>
      <c r="B20" s="39">
        <v>26.0</v>
      </c>
      <c r="D20" s="38">
        <f>IFERROR(__xludf.DUMMYFUNCTION("""COMPUTED_VALUE"""),39831.0)</f>
        <v>39831</v>
      </c>
      <c r="E20" s="39">
        <v>14.0</v>
      </c>
      <c r="G20" s="12">
        <f>DATE(2012,12,31)-1457</f>
        <v>39817</v>
      </c>
    </row>
    <row r="21">
      <c r="A21" s="39" t="s">
        <v>1196</v>
      </c>
      <c r="B21" s="39">
        <v>26.0</v>
      </c>
      <c r="D21" s="38">
        <f>IFERROR(__xludf.DUMMYFUNCTION("""COMPUTED_VALUE"""),39833.0)</f>
        <v>39833</v>
      </c>
      <c r="E21" s="39">
        <v>10.0</v>
      </c>
      <c r="G21" s="12">
        <f>DATE(2012,12,31)-1456</f>
        <v>39818</v>
      </c>
    </row>
    <row r="22">
      <c r="A22" s="39" t="s">
        <v>546</v>
      </c>
      <c r="B22" s="39">
        <v>26.0</v>
      </c>
      <c r="D22" s="38">
        <f>IFERROR(__xludf.DUMMYFUNCTION("""COMPUTED_VALUE"""),39834.0)</f>
        <v>39834</v>
      </c>
      <c r="E22" s="39">
        <v>4.0</v>
      </c>
      <c r="G22" s="12">
        <f t="shared" ref="G22:G23" si="5">DATE(2012,12,31)-1457</f>
        <v>39817</v>
      </c>
    </row>
    <row r="23">
      <c r="A23" s="39" t="s">
        <v>1054</v>
      </c>
      <c r="B23" s="39">
        <v>26.0</v>
      </c>
      <c r="D23" s="38">
        <f>IFERROR(__xludf.DUMMYFUNCTION("""COMPUTED_VALUE"""),39835.0)</f>
        <v>39835</v>
      </c>
      <c r="E23" s="39">
        <v>2.0</v>
      </c>
      <c r="G23" s="12">
        <f t="shared" si="5"/>
        <v>39817</v>
      </c>
    </row>
    <row r="24">
      <c r="A24" s="39" t="s">
        <v>803</v>
      </c>
      <c r="B24" s="39">
        <v>25.0</v>
      </c>
      <c r="D24" s="38">
        <f>IFERROR(__xludf.DUMMYFUNCTION("""COMPUTED_VALUE"""),39837.0)</f>
        <v>39837</v>
      </c>
      <c r="E24" s="39">
        <v>9.0</v>
      </c>
      <c r="G24" s="12">
        <f t="shared" ref="G24:G37" si="6">DATE(2012,12,31)-1456</f>
        <v>39818</v>
      </c>
    </row>
    <row r="25">
      <c r="A25" s="39" t="s">
        <v>227</v>
      </c>
      <c r="B25" s="39">
        <v>25.0</v>
      </c>
      <c r="D25" s="38">
        <f>IFERROR(__xludf.DUMMYFUNCTION("""COMPUTED_VALUE"""),39839.0)</f>
        <v>39839</v>
      </c>
      <c r="E25" s="39">
        <v>5.0</v>
      </c>
      <c r="G25" s="12">
        <f t="shared" si="6"/>
        <v>39818</v>
      </c>
    </row>
    <row r="26">
      <c r="A26" s="39" t="s">
        <v>78</v>
      </c>
      <c r="B26" s="39">
        <v>25.0</v>
      </c>
      <c r="D26" s="38">
        <f>IFERROR(__xludf.DUMMYFUNCTION("""COMPUTED_VALUE"""),39836.0)</f>
        <v>39836</v>
      </c>
      <c r="E26" s="39">
        <v>3.0</v>
      </c>
      <c r="G26" s="12">
        <f t="shared" si="6"/>
        <v>39818</v>
      </c>
    </row>
    <row r="27">
      <c r="A27" s="39" t="s">
        <v>395</v>
      </c>
      <c r="B27" s="39">
        <v>25.0</v>
      </c>
      <c r="D27" s="38">
        <f>IFERROR(__xludf.DUMMYFUNCTION("""COMPUTED_VALUE"""),39838.0)</f>
        <v>39838</v>
      </c>
      <c r="E27" s="39">
        <v>2.0</v>
      </c>
      <c r="G27" s="12">
        <f t="shared" si="6"/>
        <v>39818</v>
      </c>
    </row>
    <row r="28">
      <c r="A28" s="39" t="s">
        <v>337</v>
      </c>
      <c r="B28" s="39">
        <v>24.0</v>
      </c>
      <c r="D28" s="38">
        <f>IFERROR(__xludf.DUMMYFUNCTION("""COMPUTED_VALUE"""),39844.0)</f>
        <v>39844</v>
      </c>
      <c r="E28" s="39">
        <v>6.0</v>
      </c>
      <c r="G28" s="12">
        <f t="shared" si="6"/>
        <v>39818</v>
      </c>
    </row>
    <row r="29">
      <c r="A29" s="39" t="s">
        <v>106</v>
      </c>
      <c r="B29" s="39">
        <v>24.0</v>
      </c>
      <c r="D29" s="38">
        <f>IFERROR(__xludf.DUMMYFUNCTION("""COMPUTED_VALUE"""),39840.0)</f>
        <v>39840</v>
      </c>
      <c r="E29" s="39">
        <v>5.0</v>
      </c>
      <c r="G29" s="12">
        <f t="shared" si="6"/>
        <v>39818</v>
      </c>
    </row>
    <row r="30">
      <c r="A30" s="39" t="s">
        <v>1564</v>
      </c>
      <c r="B30" s="39">
        <v>24.0</v>
      </c>
      <c r="D30" s="38">
        <f>IFERROR(__xludf.DUMMYFUNCTION("""COMPUTED_VALUE"""),39843.0)</f>
        <v>39843</v>
      </c>
      <c r="E30" s="39">
        <v>3.0</v>
      </c>
      <c r="G30" s="12">
        <f t="shared" si="6"/>
        <v>39818</v>
      </c>
    </row>
    <row r="31">
      <c r="A31" s="39" t="s">
        <v>1802</v>
      </c>
      <c r="B31" s="39">
        <v>24.0</v>
      </c>
      <c r="D31" s="38">
        <f>IFERROR(__xludf.DUMMYFUNCTION("""COMPUTED_VALUE"""),39841.0)</f>
        <v>39841</v>
      </c>
      <c r="E31" s="39">
        <v>3.0</v>
      </c>
      <c r="G31" s="12">
        <f t="shared" si="6"/>
        <v>39818</v>
      </c>
    </row>
    <row r="32">
      <c r="A32" s="39" t="s">
        <v>1472</v>
      </c>
      <c r="B32" s="39">
        <v>23.0</v>
      </c>
      <c r="D32" s="38">
        <f>IFERROR(__xludf.DUMMYFUNCTION("""COMPUTED_VALUE"""),39842.0)</f>
        <v>39842</v>
      </c>
      <c r="E32" s="39">
        <v>16.0</v>
      </c>
      <c r="G32" s="12">
        <f t="shared" si="6"/>
        <v>39818</v>
      </c>
    </row>
    <row r="33">
      <c r="A33" s="39" t="s">
        <v>239</v>
      </c>
      <c r="B33" s="39">
        <v>23.0</v>
      </c>
      <c r="D33" s="38">
        <f>IFERROR(__xludf.DUMMYFUNCTION("""COMPUTED_VALUE"""),39845.0)</f>
        <v>39845</v>
      </c>
      <c r="E33" s="39">
        <v>9.0</v>
      </c>
      <c r="G33" s="12">
        <f t="shared" si="6"/>
        <v>39818</v>
      </c>
    </row>
    <row r="34">
      <c r="A34" s="39" t="s">
        <v>1884</v>
      </c>
      <c r="B34" s="39">
        <v>23.0</v>
      </c>
      <c r="D34" s="38">
        <f>IFERROR(__xludf.DUMMYFUNCTION("""COMPUTED_VALUE"""),39846.0)</f>
        <v>39846</v>
      </c>
      <c r="E34" s="39">
        <v>7.0</v>
      </c>
      <c r="G34" s="12">
        <f t="shared" si="6"/>
        <v>39818</v>
      </c>
    </row>
    <row r="35">
      <c r="A35" s="39" t="s">
        <v>953</v>
      </c>
      <c r="B35" s="39">
        <v>23.0</v>
      </c>
      <c r="D35" s="38">
        <f>IFERROR(__xludf.DUMMYFUNCTION("""COMPUTED_VALUE"""),39852.0)</f>
        <v>39852</v>
      </c>
      <c r="E35" s="39">
        <v>6.0</v>
      </c>
      <c r="G35" s="12">
        <f t="shared" si="6"/>
        <v>39818</v>
      </c>
    </row>
    <row r="36">
      <c r="A36" s="39" t="s">
        <v>639</v>
      </c>
      <c r="B36" s="39">
        <v>23.0</v>
      </c>
      <c r="D36" s="38">
        <f>IFERROR(__xludf.DUMMYFUNCTION("""COMPUTED_VALUE"""),39854.0)</f>
        <v>39854</v>
      </c>
      <c r="E36" s="39">
        <v>3.0</v>
      </c>
      <c r="G36" s="12">
        <f t="shared" si="6"/>
        <v>39818</v>
      </c>
    </row>
    <row r="37">
      <c r="A37" s="39" t="s">
        <v>1110</v>
      </c>
      <c r="B37" s="39">
        <v>23.0</v>
      </c>
      <c r="D37" s="38">
        <f>IFERROR(__xludf.DUMMYFUNCTION("""COMPUTED_VALUE"""),39848.0)</f>
        <v>39848</v>
      </c>
      <c r="E37" s="39">
        <v>2.0</v>
      </c>
      <c r="G37" s="12">
        <f t="shared" si="6"/>
        <v>39818</v>
      </c>
    </row>
    <row r="38">
      <c r="A38" s="39" t="s">
        <v>1008</v>
      </c>
      <c r="B38" s="39">
        <v>22.0</v>
      </c>
      <c r="D38" s="38">
        <f>IFERROR(__xludf.DUMMYFUNCTION("""COMPUTED_VALUE"""),39849.0)</f>
        <v>39849</v>
      </c>
      <c r="E38" s="39">
        <v>12.0</v>
      </c>
      <c r="G38" s="12">
        <f t="shared" ref="G38:G48" si="7">DATE(2012,12,31)-1455</f>
        <v>39819</v>
      </c>
    </row>
    <row r="39">
      <c r="A39" s="39" t="s">
        <v>2069</v>
      </c>
      <c r="B39" s="39">
        <v>22.0</v>
      </c>
      <c r="D39" s="38">
        <f>IFERROR(__xludf.DUMMYFUNCTION("""COMPUTED_VALUE"""),39850.0)</f>
        <v>39850</v>
      </c>
      <c r="E39" s="39">
        <v>8.0</v>
      </c>
      <c r="G39" s="12">
        <f t="shared" si="7"/>
        <v>39819</v>
      </c>
    </row>
    <row r="40">
      <c r="A40" s="39" t="s">
        <v>145</v>
      </c>
      <c r="B40" s="39">
        <v>22.0</v>
      </c>
      <c r="D40" s="38">
        <f>IFERROR(__xludf.DUMMYFUNCTION("""COMPUTED_VALUE"""),39847.0)</f>
        <v>39847</v>
      </c>
      <c r="E40" s="39">
        <v>6.0</v>
      </c>
      <c r="G40" s="12">
        <f t="shared" si="7"/>
        <v>39819</v>
      </c>
    </row>
    <row r="41">
      <c r="A41" s="39" t="s">
        <v>2099</v>
      </c>
      <c r="B41" s="39">
        <v>22.0</v>
      </c>
      <c r="D41" s="38">
        <f>IFERROR(__xludf.DUMMYFUNCTION("""COMPUTED_VALUE"""),39851.0)</f>
        <v>39851</v>
      </c>
      <c r="E41" s="39">
        <v>6.0</v>
      </c>
      <c r="G41" s="12">
        <f t="shared" si="7"/>
        <v>39819</v>
      </c>
    </row>
    <row r="42">
      <c r="A42" s="39" t="s">
        <v>392</v>
      </c>
      <c r="B42" s="39">
        <v>22.0</v>
      </c>
      <c r="D42" s="38">
        <f>IFERROR(__xludf.DUMMYFUNCTION("""COMPUTED_VALUE"""),39855.0)</f>
        <v>39855</v>
      </c>
      <c r="E42" s="39">
        <v>5.0</v>
      </c>
      <c r="G42" s="12">
        <f t="shared" si="7"/>
        <v>39819</v>
      </c>
    </row>
    <row r="43">
      <c r="A43" s="39" t="s">
        <v>613</v>
      </c>
      <c r="B43" s="39">
        <v>22.0</v>
      </c>
      <c r="D43" s="38">
        <f>IFERROR(__xludf.DUMMYFUNCTION("""COMPUTED_VALUE"""),39853.0)</f>
        <v>39853</v>
      </c>
      <c r="E43" s="39">
        <v>5.0</v>
      </c>
      <c r="G43" s="12">
        <f t="shared" si="7"/>
        <v>39819</v>
      </c>
    </row>
    <row r="44">
      <c r="A44" s="39" t="s">
        <v>617</v>
      </c>
      <c r="B44" s="39">
        <v>22.0</v>
      </c>
      <c r="D44" s="38">
        <f>IFERROR(__xludf.DUMMYFUNCTION("""COMPUTED_VALUE"""),39860.0)</f>
        <v>39860</v>
      </c>
      <c r="E44" s="39">
        <v>5.0</v>
      </c>
      <c r="G44" s="12">
        <f t="shared" si="7"/>
        <v>39819</v>
      </c>
    </row>
    <row r="45">
      <c r="A45" s="39" t="s">
        <v>1209</v>
      </c>
      <c r="B45" s="39">
        <v>22.0</v>
      </c>
      <c r="D45" s="38">
        <f>IFERROR(__xludf.DUMMYFUNCTION("""COMPUTED_VALUE"""),39864.0)</f>
        <v>39864</v>
      </c>
      <c r="E45" s="39">
        <v>5.0</v>
      </c>
      <c r="G45" s="12">
        <f t="shared" si="7"/>
        <v>39819</v>
      </c>
    </row>
    <row r="46">
      <c r="A46" s="39" t="s">
        <v>429</v>
      </c>
      <c r="B46" s="39">
        <v>22.0</v>
      </c>
      <c r="D46" s="38">
        <f>IFERROR(__xludf.DUMMYFUNCTION("""COMPUTED_VALUE"""),39857.0)</f>
        <v>39857</v>
      </c>
      <c r="E46" s="39">
        <v>4.0</v>
      </c>
      <c r="G46" s="12">
        <f t="shared" si="7"/>
        <v>39819</v>
      </c>
    </row>
    <row r="47">
      <c r="A47" s="39" t="s">
        <v>2052</v>
      </c>
      <c r="B47" s="39">
        <v>22.0</v>
      </c>
      <c r="D47" s="38">
        <f>IFERROR(__xludf.DUMMYFUNCTION("""COMPUTED_VALUE"""),39861.0)</f>
        <v>39861</v>
      </c>
      <c r="E47" s="39">
        <v>4.0</v>
      </c>
      <c r="G47" s="12">
        <f t="shared" si="7"/>
        <v>39819</v>
      </c>
    </row>
    <row r="48">
      <c r="A48" s="39" t="s">
        <v>597</v>
      </c>
      <c r="B48" s="39">
        <v>22.0</v>
      </c>
      <c r="D48" s="38">
        <f>IFERROR(__xludf.DUMMYFUNCTION("""COMPUTED_VALUE"""),39863.0)</f>
        <v>39863</v>
      </c>
      <c r="E48" s="39">
        <v>1.0</v>
      </c>
      <c r="G48" s="12">
        <f t="shared" si="7"/>
        <v>39819</v>
      </c>
    </row>
    <row r="49">
      <c r="A49" s="39" t="s">
        <v>1684</v>
      </c>
      <c r="B49" s="39">
        <v>21.0</v>
      </c>
      <c r="D49" s="38">
        <f>IFERROR(__xludf.DUMMYFUNCTION("""COMPUTED_VALUE"""),39856.0)</f>
        <v>39856</v>
      </c>
      <c r="E49" s="39">
        <v>9.0</v>
      </c>
      <c r="G49" s="12">
        <f t="shared" ref="G49:G51" si="8">DATE(2012,12,31)-1454</f>
        <v>39820</v>
      </c>
    </row>
    <row r="50">
      <c r="A50" s="39" t="s">
        <v>271</v>
      </c>
      <c r="B50" s="39">
        <v>21.0</v>
      </c>
      <c r="D50" s="38">
        <f>IFERROR(__xludf.DUMMYFUNCTION("""COMPUTED_VALUE"""),39859.0)</f>
        <v>39859</v>
      </c>
      <c r="E50" s="39">
        <v>6.0</v>
      </c>
      <c r="G50" s="12">
        <f t="shared" si="8"/>
        <v>39820</v>
      </c>
    </row>
    <row r="51">
      <c r="A51" s="39" t="s">
        <v>611</v>
      </c>
      <c r="B51" s="39">
        <v>21.0</v>
      </c>
      <c r="D51" s="38">
        <f>IFERROR(__xludf.DUMMYFUNCTION("""COMPUTED_VALUE"""),39858.0)</f>
        <v>39858</v>
      </c>
      <c r="E51" s="39">
        <v>6.0</v>
      </c>
      <c r="G51" s="12">
        <f t="shared" si="8"/>
        <v>39820</v>
      </c>
    </row>
    <row r="52">
      <c r="A52" s="39" t="s">
        <v>91</v>
      </c>
      <c r="B52" s="39">
        <v>21.0</v>
      </c>
      <c r="D52" s="38">
        <f>IFERROR(__xludf.DUMMYFUNCTION("""COMPUTED_VALUE"""),39862.0)</f>
        <v>39862</v>
      </c>
      <c r="E52" s="39">
        <v>5.0</v>
      </c>
      <c r="G52" s="12">
        <f>DATE(2012,12,31)-1455</f>
        <v>39819</v>
      </c>
    </row>
    <row r="53">
      <c r="A53" s="39" t="s">
        <v>1288</v>
      </c>
      <c r="B53" s="39">
        <v>21.0</v>
      </c>
      <c r="D53" s="38">
        <f>IFERROR(__xludf.DUMMYFUNCTION("""COMPUTED_VALUE"""),39865.0)</f>
        <v>39865</v>
      </c>
      <c r="E53" s="39">
        <v>5.0</v>
      </c>
      <c r="G53" s="12">
        <f t="shared" ref="G53:G58" si="9">DATE(2012,12,31)-1454</f>
        <v>39820</v>
      </c>
    </row>
    <row r="54">
      <c r="A54" s="39" t="s">
        <v>1715</v>
      </c>
      <c r="B54" s="39">
        <v>21.0</v>
      </c>
      <c r="D54" s="38">
        <f>IFERROR(__xludf.DUMMYFUNCTION("""COMPUTED_VALUE"""),39871.0)</f>
        <v>39871</v>
      </c>
      <c r="E54" s="39">
        <v>5.0</v>
      </c>
      <c r="G54" s="12">
        <f t="shared" si="9"/>
        <v>39820</v>
      </c>
    </row>
    <row r="55">
      <c r="A55" s="39" t="s">
        <v>744</v>
      </c>
      <c r="B55" s="39">
        <v>21.0</v>
      </c>
      <c r="D55" s="38">
        <f>IFERROR(__xludf.DUMMYFUNCTION("""COMPUTED_VALUE"""),39872.0)</f>
        <v>39872</v>
      </c>
      <c r="E55" s="39">
        <v>4.0</v>
      </c>
      <c r="G55" s="12">
        <f t="shared" si="9"/>
        <v>39820</v>
      </c>
    </row>
    <row r="56">
      <c r="A56" s="39" t="s">
        <v>1252</v>
      </c>
      <c r="B56" s="39">
        <v>21.0</v>
      </c>
      <c r="D56" s="38">
        <f>IFERROR(__xludf.DUMMYFUNCTION("""COMPUTED_VALUE"""),39873.0)</f>
        <v>39873</v>
      </c>
      <c r="E56" s="39">
        <v>4.0</v>
      </c>
      <c r="G56" s="12">
        <f t="shared" si="9"/>
        <v>39820</v>
      </c>
    </row>
    <row r="57">
      <c r="A57" s="39" t="s">
        <v>1256</v>
      </c>
      <c r="B57" s="39">
        <v>21.0</v>
      </c>
      <c r="D57" s="38">
        <f>IFERROR(__xludf.DUMMYFUNCTION("""COMPUTED_VALUE"""),39869.0)</f>
        <v>39869</v>
      </c>
      <c r="E57" s="39">
        <v>4.0</v>
      </c>
      <c r="G57" s="12">
        <f t="shared" si="9"/>
        <v>39820</v>
      </c>
    </row>
    <row r="58">
      <c r="A58" s="39" t="s">
        <v>703</v>
      </c>
      <c r="B58" s="39">
        <v>21.0</v>
      </c>
      <c r="D58" s="38">
        <f>IFERROR(__xludf.DUMMYFUNCTION("""COMPUTED_VALUE"""),39870.0)</f>
        <v>39870</v>
      </c>
      <c r="E58" s="39">
        <v>3.0</v>
      </c>
      <c r="G58" s="12">
        <f t="shared" si="9"/>
        <v>39820</v>
      </c>
    </row>
    <row r="59">
      <c r="A59" s="39" t="s">
        <v>152</v>
      </c>
      <c r="B59" s="39">
        <v>21.0</v>
      </c>
      <c r="D59" s="38">
        <f>IFERROR(__xludf.DUMMYFUNCTION("""COMPUTED_VALUE"""),39867.0)</f>
        <v>39867</v>
      </c>
      <c r="E59" s="39">
        <v>2.0</v>
      </c>
      <c r="G59" s="12">
        <f>DATE(2012,12,31)-1455</f>
        <v>39819</v>
      </c>
    </row>
    <row r="60">
      <c r="A60" s="39" t="s">
        <v>793</v>
      </c>
      <c r="B60" s="39">
        <v>20.0</v>
      </c>
      <c r="D60" s="38">
        <f>IFERROR(__xludf.DUMMYFUNCTION("""COMPUTED_VALUE"""),39866.0)</f>
        <v>39866</v>
      </c>
      <c r="E60" s="39">
        <v>9.0</v>
      </c>
      <c r="G60" s="12">
        <f>DATE(2012,12,31)-1452</f>
        <v>39822</v>
      </c>
    </row>
    <row r="61">
      <c r="A61" s="39" t="s">
        <v>485</v>
      </c>
      <c r="B61" s="39">
        <v>20.0</v>
      </c>
      <c r="D61" s="38">
        <f>IFERROR(__xludf.DUMMYFUNCTION("""COMPUTED_VALUE"""),39868.0)</f>
        <v>39868</v>
      </c>
      <c r="E61" s="39">
        <v>7.0</v>
      </c>
      <c r="G61" s="12">
        <f>DATE(2012,12,31)-1453</f>
        <v>39821</v>
      </c>
    </row>
    <row r="62">
      <c r="A62" s="39" t="s">
        <v>2116</v>
      </c>
      <c r="B62" s="39">
        <v>20.0</v>
      </c>
      <c r="D62" s="38">
        <f>IFERROR(__xludf.DUMMYFUNCTION("""COMPUTED_VALUE"""),39874.0)</f>
        <v>39874</v>
      </c>
      <c r="E62" s="39">
        <v>7.0</v>
      </c>
      <c r="G62" s="12">
        <f>DATE(2012,12,31)-1451</f>
        <v>39823</v>
      </c>
    </row>
    <row r="63">
      <c r="A63" s="39" t="s">
        <v>494</v>
      </c>
      <c r="B63" s="39">
        <v>20.0</v>
      </c>
      <c r="D63" s="38">
        <f>IFERROR(__xludf.DUMMYFUNCTION("""COMPUTED_VALUE"""),39881.0)</f>
        <v>39881</v>
      </c>
      <c r="E63" s="39">
        <v>6.0</v>
      </c>
      <c r="G63" s="12">
        <f>DATE(2012,12,31)-1453</f>
        <v>39821</v>
      </c>
    </row>
    <row r="64">
      <c r="A64" s="39" t="s">
        <v>910</v>
      </c>
      <c r="B64" s="39">
        <v>20.0</v>
      </c>
      <c r="D64" s="38">
        <f>IFERROR(__xludf.DUMMYFUNCTION("""COMPUTED_VALUE"""),39883.0)</f>
        <v>39883</v>
      </c>
      <c r="E64" s="39">
        <v>5.0</v>
      </c>
      <c r="G64" s="12">
        <f t="shared" ref="G64:G65" si="10">DATE(2012,12,31)-1452</f>
        <v>39822</v>
      </c>
    </row>
    <row r="65">
      <c r="A65" s="39" t="s">
        <v>1152</v>
      </c>
      <c r="B65" s="39">
        <v>20.0</v>
      </c>
      <c r="D65" s="38">
        <f>IFERROR(__xludf.DUMMYFUNCTION("""COMPUTED_VALUE"""),39884.0)</f>
        <v>39884</v>
      </c>
      <c r="E65" s="39">
        <v>5.0</v>
      </c>
      <c r="G65" s="12">
        <f t="shared" si="10"/>
        <v>39822</v>
      </c>
    </row>
    <row r="66">
      <c r="A66" s="39" t="s">
        <v>320</v>
      </c>
      <c r="B66" s="39">
        <v>20.0</v>
      </c>
      <c r="D66" s="38">
        <f>IFERROR(__xludf.DUMMYFUNCTION("""COMPUTED_VALUE"""),39876.0)</f>
        <v>39876</v>
      </c>
      <c r="E66" s="39">
        <v>4.0</v>
      </c>
      <c r="G66" s="12">
        <f>DATE(2012,12,31)-1453</f>
        <v>39821</v>
      </c>
    </row>
    <row r="67">
      <c r="A67" s="39" t="s">
        <v>819</v>
      </c>
      <c r="B67" s="39">
        <v>20.0</v>
      </c>
      <c r="D67" s="38">
        <f>IFERROR(__xludf.DUMMYFUNCTION("""COMPUTED_VALUE"""),39877.0)</f>
        <v>39877</v>
      </c>
      <c r="E67" s="39">
        <v>4.0</v>
      </c>
      <c r="G67" s="12">
        <f t="shared" ref="G67:G70" si="11">DATE(2012,12,31)-1452</f>
        <v>39822</v>
      </c>
    </row>
    <row r="68">
      <c r="A68" s="39" t="s">
        <v>1210</v>
      </c>
      <c r="B68" s="39">
        <v>20.0</v>
      </c>
      <c r="D68" s="38">
        <f>IFERROR(__xludf.DUMMYFUNCTION("""COMPUTED_VALUE"""),39880.0)</f>
        <v>39880</v>
      </c>
      <c r="E68" s="39">
        <v>4.0</v>
      </c>
      <c r="G68" s="12">
        <f t="shared" si="11"/>
        <v>39822</v>
      </c>
    </row>
    <row r="69">
      <c r="A69" s="39" t="s">
        <v>1264</v>
      </c>
      <c r="B69" s="39">
        <v>20.0</v>
      </c>
      <c r="D69" s="38">
        <f>IFERROR(__xludf.DUMMYFUNCTION("""COMPUTED_VALUE"""),39882.0)</f>
        <v>39882</v>
      </c>
      <c r="E69" s="39">
        <v>4.0</v>
      </c>
      <c r="G69" s="12">
        <f t="shared" si="11"/>
        <v>39822</v>
      </c>
    </row>
    <row r="70">
      <c r="A70" s="39" t="s">
        <v>659</v>
      </c>
      <c r="B70" s="39">
        <v>20.0</v>
      </c>
      <c r="D70" s="38">
        <f>IFERROR(__xludf.DUMMYFUNCTION("""COMPUTED_VALUE"""),39886.0)</f>
        <v>39886</v>
      </c>
      <c r="E70" s="39">
        <v>3.0</v>
      </c>
      <c r="G70" s="12">
        <f t="shared" si="11"/>
        <v>39822</v>
      </c>
    </row>
    <row r="71">
      <c r="A71" s="39" t="s">
        <v>571</v>
      </c>
      <c r="B71" s="39">
        <v>20.0</v>
      </c>
      <c r="D71" s="38">
        <f>IFERROR(__xludf.DUMMYFUNCTION("""COMPUTED_VALUE"""),39875.0)</f>
        <v>39875</v>
      </c>
      <c r="E71" s="39">
        <v>1.0</v>
      </c>
      <c r="G71" s="12">
        <f>DATE(2012,12,31)-1453</f>
        <v>39821</v>
      </c>
    </row>
    <row r="72">
      <c r="A72" s="39" t="s">
        <v>855</v>
      </c>
      <c r="B72" s="39">
        <v>20.0</v>
      </c>
      <c r="D72" s="38">
        <f>IFERROR(__xludf.DUMMYFUNCTION("""COMPUTED_VALUE"""),39887.0)</f>
        <v>39887</v>
      </c>
      <c r="E72" s="39">
        <v>1.0</v>
      </c>
      <c r="G72" s="12">
        <f>DATE(2012,12,31)-1452</f>
        <v>39822</v>
      </c>
    </row>
    <row r="73">
      <c r="A73" s="39" t="s">
        <v>2043</v>
      </c>
      <c r="B73" s="39">
        <v>19.0</v>
      </c>
      <c r="D73" s="38">
        <f>IFERROR(__xludf.DUMMYFUNCTION("""COMPUTED_VALUE"""),39878.0)</f>
        <v>39878</v>
      </c>
      <c r="E73" s="39">
        <v>15.0</v>
      </c>
      <c r="G73" s="12">
        <f>DATE(2012,12,31)-1450</f>
        <v>39824</v>
      </c>
    </row>
    <row r="74">
      <c r="A74" s="39" t="s">
        <v>1276</v>
      </c>
      <c r="B74" s="39">
        <v>19.0</v>
      </c>
      <c r="D74" s="38">
        <f>IFERROR(__xludf.DUMMYFUNCTION("""COMPUTED_VALUE"""),39885.0)</f>
        <v>39885</v>
      </c>
      <c r="E74" s="39">
        <v>12.0</v>
      </c>
      <c r="G74" s="12">
        <f>DATE(2012,12,31)-1451</f>
        <v>39823</v>
      </c>
    </row>
    <row r="75">
      <c r="A75" s="39" t="s">
        <v>1578</v>
      </c>
      <c r="B75" s="39">
        <v>19.0</v>
      </c>
      <c r="D75" s="38">
        <f>IFERROR(__xludf.DUMMYFUNCTION("""COMPUTED_VALUE"""),39879.0)</f>
        <v>39879</v>
      </c>
      <c r="E75" s="39">
        <v>10.0</v>
      </c>
      <c r="G75" s="12">
        <f>DATE(2012,12,31)-1450</f>
        <v>39824</v>
      </c>
    </row>
    <row r="76">
      <c r="A76" s="39" t="s">
        <v>973</v>
      </c>
      <c r="B76" s="39">
        <v>19.0</v>
      </c>
      <c r="D76" s="38">
        <f>IFERROR(__xludf.DUMMYFUNCTION("""COMPUTED_VALUE"""),39891.0)</f>
        <v>39891</v>
      </c>
      <c r="E76" s="39">
        <v>8.0</v>
      </c>
      <c r="G76" s="12">
        <f t="shared" ref="G76:G79" si="12">DATE(2012,12,31)-1451</f>
        <v>39823</v>
      </c>
    </row>
    <row r="77">
      <c r="A77" s="39" t="s">
        <v>456</v>
      </c>
      <c r="B77" s="39">
        <v>19.0</v>
      </c>
      <c r="D77" s="38">
        <f>IFERROR(__xludf.DUMMYFUNCTION("""COMPUTED_VALUE"""),39890.0)</f>
        <v>39890</v>
      </c>
      <c r="E77" s="39">
        <v>7.0</v>
      </c>
      <c r="G77" s="12">
        <f t="shared" si="12"/>
        <v>39823</v>
      </c>
    </row>
    <row r="78">
      <c r="A78" s="39" t="s">
        <v>1010</v>
      </c>
      <c r="B78" s="39">
        <v>19.0</v>
      </c>
      <c r="D78" s="38">
        <f>IFERROR(__xludf.DUMMYFUNCTION("""COMPUTED_VALUE"""),39894.0)</f>
        <v>39894</v>
      </c>
      <c r="E78" s="39">
        <v>7.0</v>
      </c>
      <c r="G78" s="12">
        <f t="shared" si="12"/>
        <v>39823</v>
      </c>
    </row>
    <row r="79">
      <c r="A79" s="39" t="s">
        <v>1355</v>
      </c>
      <c r="B79" s="39">
        <v>19.0</v>
      </c>
      <c r="D79" s="38">
        <f>IFERROR(__xludf.DUMMYFUNCTION("""COMPUTED_VALUE"""),39895.0)</f>
        <v>39895</v>
      </c>
      <c r="E79" s="39">
        <v>7.0</v>
      </c>
      <c r="G79" s="12">
        <f t="shared" si="12"/>
        <v>39823</v>
      </c>
    </row>
    <row r="80">
      <c r="A80" s="39" t="s">
        <v>1507</v>
      </c>
      <c r="B80" s="39">
        <v>19.0</v>
      </c>
      <c r="D80" s="38">
        <f>IFERROR(__xludf.DUMMYFUNCTION("""COMPUTED_VALUE"""),39898.0)</f>
        <v>39898</v>
      </c>
      <c r="E80" s="39">
        <v>7.0</v>
      </c>
      <c r="G80" s="12">
        <f t="shared" ref="G80:G81" si="13">DATE(2012,12,31)-1450</f>
        <v>39824</v>
      </c>
    </row>
    <row r="81">
      <c r="A81" s="39" t="s">
        <v>2064</v>
      </c>
      <c r="B81" s="39">
        <v>19.0</v>
      </c>
      <c r="D81" s="38">
        <f>IFERROR(__xludf.DUMMYFUNCTION("""COMPUTED_VALUE"""),39893.0)</f>
        <v>39893</v>
      </c>
      <c r="E81" s="39">
        <v>7.0</v>
      </c>
      <c r="G81" s="12">
        <f t="shared" si="13"/>
        <v>39824</v>
      </c>
    </row>
    <row r="82">
      <c r="A82" s="39" t="s">
        <v>567</v>
      </c>
      <c r="B82" s="39">
        <v>19.0</v>
      </c>
      <c r="D82" s="38">
        <f>IFERROR(__xludf.DUMMYFUNCTION("""COMPUTED_VALUE"""),39897.0)</f>
        <v>39897</v>
      </c>
      <c r="E82" s="39">
        <v>6.0</v>
      </c>
      <c r="G82" s="12">
        <f t="shared" ref="G82:G84" si="14">DATE(2012,12,31)-1451</f>
        <v>39823</v>
      </c>
    </row>
    <row r="83">
      <c r="A83" s="39" t="s">
        <v>1020</v>
      </c>
      <c r="B83" s="39">
        <v>19.0</v>
      </c>
      <c r="D83" s="38">
        <f>IFERROR(__xludf.DUMMYFUNCTION("""COMPUTED_VALUE"""),39892.0)</f>
        <v>39892</v>
      </c>
      <c r="E83" s="39">
        <v>6.0</v>
      </c>
      <c r="G83" s="12">
        <f t="shared" si="14"/>
        <v>39823</v>
      </c>
    </row>
    <row r="84">
      <c r="A84" s="39" t="s">
        <v>1259</v>
      </c>
      <c r="B84" s="39">
        <v>19.0</v>
      </c>
      <c r="D84" s="38">
        <f>IFERROR(__xludf.DUMMYFUNCTION("""COMPUTED_VALUE"""),39888.0)</f>
        <v>39888</v>
      </c>
      <c r="E84" s="39">
        <v>6.0</v>
      </c>
      <c r="G84" s="12">
        <f t="shared" si="14"/>
        <v>39823</v>
      </c>
    </row>
    <row r="85">
      <c r="A85" s="39" t="s">
        <v>1773</v>
      </c>
      <c r="B85" s="39">
        <v>19.0</v>
      </c>
      <c r="D85" s="38">
        <f>IFERROR(__xludf.DUMMYFUNCTION("""COMPUTED_VALUE"""),39889.0)</f>
        <v>39889</v>
      </c>
      <c r="E85" s="39">
        <v>6.0</v>
      </c>
      <c r="G85" s="12">
        <f>DATE(2012,12,31)-1450</f>
        <v>39824</v>
      </c>
    </row>
    <row r="86">
      <c r="A86" s="39" t="s">
        <v>326</v>
      </c>
      <c r="B86" s="39">
        <v>19.0</v>
      </c>
      <c r="D86" s="38">
        <f>IFERROR(__xludf.DUMMYFUNCTION("""COMPUTED_VALUE"""),39896.0)</f>
        <v>39896</v>
      </c>
      <c r="E86" s="39">
        <v>4.0</v>
      </c>
      <c r="G86" s="12">
        <f t="shared" ref="G86:G88" si="15">DATE(2012,12,31)-1451</f>
        <v>39823</v>
      </c>
    </row>
    <row r="87">
      <c r="A87" s="39" t="s">
        <v>690</v>
      </c>
      <c r="B87" s="39">
        <v>19.0</v>
      </c>
      <c r="D87" s="38">
        <f>IFERROR(__xludf.DUMMYFUNCTION("""COMPUTED_VALUE"""),39904.0)</f>
        <v>39904</v>
      </c>
      <c r="E87" s="39">
        <v>4.0</v>
      </c>
      <c r="G87" s="12">
        <f t="shared" si="15"/>
        <v>39823</v>
      </c>
    </row>
    <row r="88">
      <c r="A88" s="39" t="s">
        <v>873</v>
      </c>
      <c r="B88" s="39">
        <v>19.0</v>
      </c>
      <c r="D88" s="38">
        <f>IFERROR(__xludf.DUMMYFUNCTION("""COMPUTED_VALUE"""),39899.0)</f>
        <v>39899</v>
      </c>
      <c r="E88" s="39">
        <v>3.0</v>
      </c>
      <c r="G88" s="12">
        <f t="shared" si="15"/>
        <v>39823</v>
      </c>
    </row>
    <row r="89">
      <c r="A89" s="39" t="s">
        <v>514</v>
      </c>
      <c r="B89" s="39">
        <v>18.0</v>
      </c>
      <c r="D89" s="38">
        <f>IFERROR(__xludf.DUMMYFUNCTION("""COMPUTED_VALUE"""),39900.0)</f>
        <v>39900</v>
      </c>
      <c r="E89" s="39">
        <v>14.0</v>
      </c>
      <c r="G89" s="12">
        <f>DATE(2012,12,31)-1449</f>
        <v>39825</v>
      </c>
    </row>
    <row r="90">
      <c r="A90" s="39" t="s">
        <v>763</v>
      </c>
      <c r="B90" s="39">
        <v>18.0</v>
      </c>
      <c r="D90" s="38">
        <f>IFERROR(__xludf.DUMMYFUNCTION("""COMPUTED_VALUE"""),39902.0)</f>
        <v>39902</v>
      </c>
      <c r="E90" s="39">
        <v>14.0</v>
      </c>
      <c r="G90" s="12">
        <f t="shared" ref="G90:G91" si="16">DATE(2012,12,31)-1448</f>
        <v>39826</v>
      </c>
    </row>
    <row r="91">
      <c r="A91" s="39" t="s">
        <v>771</v>
      </c>
      <c r="B91" s="39">
        <v>18.0</v>
      </c>
      <c r="D91" s="38">
        <f>IFERROR(__xludf.DUMMYFUNCTION("""COMPUTED_VALUE"""),39901.0)</f>
        <v>39901</v>
      </c>
      <c r="E91" s="39">
        <v>11.0</v>
      </c>
      <c r="G91" s="12">
        <f t="shared" si="16"/>
        <v>39826</v>
      </c>
    </row>
    <row r="92">
      <c r="A92" s="39" t="s">
        <v>1524</v>
      </c>
      <c r="B92" s="39">
        <v>18.0</v>
      </c>
      <c r="D92" s="38">
        <f>IFERROR(__xludf.DUMMYFUNCTION("""COMPUTED_VALUE"""),39903.0)</f>
        <v>39903</v>
      </c>
      <c r="E92" s="39">
        <v>8.0</v>
      </c>
      <c r="G92" s="12">
        <f t="shared" ref="G92:G93" si="17">DATE(2012,12,31)-1447</f>
        <v>39827</v>
      </c>
    </row>
    <row r="93">
      <c r="A93" s="39" t="s">
        <v>2009</v>
      </c>
      <c r="B93" s="39">
        <v>18.0</v>
      </c>
      <c r="D93" s="38">
        <f>IFERROR(__xludf.DUMMYFUNCTION("""COMPUTED_VALUE"""),39907.0)</f>
        <v>39907</v>
      </c>
      <c r="E93" s="39">
        <v>8.0</v>
      </c>
      <c r="G93" s="12">
        <f t="shared" si="17"/>
        <v>39827</v>
      </c>
    </row>
    <row r="94">
      <c r="A94" s="39" t="s">
        <v>196</v>
      </c>
      <c r="B94" s="39">
        <v>18.0</v>
      </c>
      <c r="D94" s="38">
        <f>IFERROR(__xludf.DUMMYFUNCTION("""COMPUTED_VALUE"""),39905.0)</f>
        <v>39905</v>
      </c>
      <c r="E94" s="39">
        <v>7.0</v>
      </c>
      <c r="G94" s="12">
        <f>DATE(2012,12,31)-1450</f>
        <v>39824</v>
      </c>
    </row>
    <row r="95">
      <c r="A95" s="39" t="s">
        <v>300</v>
      </c>
      <c r="B95" s="39">
        <v>18.0</v>
      </c>
      <c r="D95" s="38">
        <f>IFERROR(__xludf.DUMMYFUNCTION("""COMPUTED_VALUE"""),39906.0)</f>
        <v>39906</v>
      </c>
      <c r="E95" s="39">
        <v>7.0</v>
      </c>
      <c r="G95" s="12">
        <f t="shared" ref="G95:G96" si="18">DATE(2012,12,31)-1449</f>
        <v>39825</v>
      </c>
    </row>
    <row r="96">
      <c r="A96" s="39" t="s">
        <v>604</v>
      </c>
      <c r="B96" s="39">
        <v>18.0</v>
      </c>
      <c r="D96" s="38">
        <f>IFERROR(__xludf.DUMMYFUNCTION("""COMPUTED_VALUE"""),39913.0)</f>
        <v>39913</v>
      </c>
      <c r="E96" s="39">
        <v>7.0</v>
      </c>
      <c r="G96" s="12">
        <f t="shared" si="18"/>
        <v>39825</v>
      </c>
    </row>
    <row r="97">
      <c r="A97" s="39" t="s">
        <v>1664</v>
      </c>
      <c r="B97" s="39">
        <v>18.0</v>
      </c>
      <c r="D97" s="38">
        <f>IFERROR(__xludf.DUMMYFUNCTION("""COMPUTED_VALUE"""),39909.0)</f>
        <v>39909</v>
      </c>
      <c r="E97" s="39">
        <v>7.0</v>
      </c>
      <c r="G97" s="12">
        <f>DATE(2012,12,31)-1447</f>
        <v>39827</v>
      </c>
    </row>
    <row r="98">
      <c r="A98" s="39" t="s">
        <v>373</v>
      </c>
      <c r="B98" s="39">
        <v>18.0</v>
      </c>
      <c r="D98" s="38">
        <f>IFERROR(__xludf.DUMMYFUNCTION("""COMPUTED_VALUE"""),39911.0)</f>
        <v>39911</v>
      </c>
      <c r="E98" s="39">
        <v>6.0</v>
      </c>
      <c r="G98" s="12">
        <f>DATE(2012,12,31)-1449</f>
        <v>39825</v>
      </c>
    </row>
    <row r="99">
      <c r="A99" s="39" t="s">
        <v>608</v>
      </c>
      <c r="B99" s="39">
        <v>18.0</v>
      </c>
      <c r="D99" s="38">
        <f>IFERROR(__xludf.DUMMYFUNCTION("""COMPUTED_VALUE"""),39912.0)</f>
        <v>39912</v>
      </c>
      <c r="E99" s="39">
        <v>6.0</v>
      </c>
      <c r="G99" s="12">
        <f>DATE(2012,12,31)-1448</f>
        <v>39826</v>
      </c>
    </row>
    <row r="100">
      <c r="A100" s="39" t="s">
        <v>1747</v>
      </c>
      <c r="B100" s="39">
        <v>18.0</v>
      </c>
      <c r="D100" s="38">
        <f>IFERROR(__xludf.DUMMYFUNCTION("""COMPUTED_VALUE"""),39910.0)</f>
        <v>39910</v>
      </c>
      <c r="E100" s="39">
        <v>6.0</v>
      </c>
      <c r="G100" s="12">
        <f t="shared" ref="G100:G101" si="19">DATE(2012,12,31)-1447</f>
        <v>39827</v>
      </c>
    </row>
    <row r="101">
      <c r="A101" s="39" t="s">
        <v>2039</v>
      </c>
      <c r="B101" s="39">
        <v>18.0</v>
      </c>
      <c r="D101" s="38">
        <f>IFERROR(__xludf.DUMMYFUNCTION("""COMPUTED_VALUE"""),39908.0)</f>
        <v>39908</v>
      </c>
      <c r="E101" s="39">
        <v>6.0</v>
      </c>
      <c r="G101" s="12">
        <f t="shared" si="19"/>
        <v>39827</v>
      </c>
    </row>
    <row r="102">
      <c r="A102" s="39" t="s">
        <v>357</v>
      </c>
      <c r="B102" s="39">
        <v>18.0</v>
      </c>
      <c r="D102" s="38">
        <f>IFERROR(__xludf.DUMMYFUNCTION("""COMPUTED_VALUE"""),39914.0)</f>
        <v>39914</v>
      </c>
      <c r="E102" s="39">
        <v>5.0</v>
      </c>
      <c r="G102" s="12">
        <f>DATE(2012,12,31)-1449</f>
        <v>39825</v>
      </c>
    </row>
    <row r="103">
      <c r="A103" s="39" t="s">
        <v>1257</v>
      </c>
      <c r="B103" s="39">
        <v>18.0</v>
      </c>
      <c r="D103" s="38">
        <f>IFERROR(__xludf.DUMMYFUNCTION("""COMPUTED_VALUE"""),39915.0)</f>
        <v>39915</v>
      </c>
      <c r="E103" s="39">
        <v>5.0</v>
      </c>
      <c r="G103" s="12">
        <f>DATE(2012,12,31)-1447</f>
        <v>39827</v>
      </c>
    </row>
    <row r="104">
      <c r="A104" s="39" t="s">
        <v>148</v>
      </c>
      <c r="B104" s="39">
        <v>18.0</v>
      </c>
      <c r="D104" s="38">
        <f>IFERROR(__xludf.DUMMYFUNCTION("""COMPUTED_VALUE"""),39923.0)</f>
        <v>39923</v>
      </c>
      <c r="E104" s="39">
        <v>4.0</v>
      </c>
      <c r="G104" s="12">
        <f>DATE(2012,12,31)-1450</f>
        <v>39824</v>
      </c>
    </row>
    <row r="105">
      <c r="A105" s="39" t="s">
        <v>403</v>
      </c>
      <c r="B105" s="39">
        <v>18.0</v>
      </c>
      <c r="D105" s="38">
        <f>IFERROR(__xludf.DUMMYFUNCTION("""COMPUTED_VALUE"""),39922.0)</f>
        <v>39922</v>
      </c>
      <c r="E105" s="39">
        <v>4.0</v>
      </c>
      <c r="G105" s="12">
        <f>DATE(2012,12,31)-1449</f>
        <v>39825</v>
      </c>
    </row>
    <row r="106">
      <c r="A106" s="39" t="s">
        <v>960</v>
      </c>
      <c r="B106" s="39">
        <v>18.0</v>
      </c>
      <c r="D106" s="38">
        <f>IFERROR(__xludf.DUMMYFUNCTION("""COMPUTED_VALUE"""),39916.0)</f>
        <v>39916</v>
      </c>
      <c r="E106" s="39">
        <v>4.0</v>
      </c>
      <c r="G106" s="12">
        <f>DATE(2012,12,31)-1448</f>
        <v>39826</v>
      </c>
    </row>
    <row r="107">
      <c r="A107" s="39" t="s">
        <v>1061</v>
      </c>
      <c r="B107" s="39">
        <v>18.0</v>
      </c>
      <c r="D107" s="38">
        <f>IFERROR(__xludf.DUMMYFUNCTION("""COMPUTED_VALUE"""),39918.0)</f>
        <v>39918</v>
      </c>
      <c r="E107" s="39">
        <v>4.0</v>
      </c>
      <c r="G107" s="12">
        <f t="shared" ref="G107:G109" si="20">DATE(2012,12,31)-1447</f>
        <v>39827</v>
      </c>
    </row>
    <row r="108">
      <c r="A108" s="39" t="s">
        <v>1314</v>
      </c>
      <c r="B108" s="39">
        <v>18.0</v>
      </c>
      <c r="D108" s="38">
        <f>IFERROR(__xludf.DUMMYFUNCTION("""COMPUTED_VALUE"""),39921.0)</f>
        <v>39921</v>
      </c>
      <c r="E108" s="39">
        <v>4.0</v>
      </c>
      <c r="G108" s="12">
        <f t="shared" si="20"/>
        <v>39827</v>
      </c>
    </row>
    <row r="109">
      <c r="A109" s="39" t="s">
        <v>1496</v>
      </c>
      <c r="B109" s="39">
        <v>18.0</v>
      </c>
      <c r="D109" s="38">
        <f>IFERROR(__xludf.DUMMYFUNCTION("""COMPUTED_VALUE"""),39917.0)</f>
        <v>39917</v>
      </c>
      <c r="E109" s="39">
        <v>4.0</v>
      </c>
      <c r="G109" s="12">
        <f t="shared" si="20"/>
        <v>39827</v>
      </c>
    </row>
    <row r="110">
      <c r="A110" s="39" t="s">
        <v>288</v>
      </c>
      <c r="B110" s="39">
        <v>18.0</v>
      </c>
      <c r="D110" s="38">
        <f>IFERROR(__xludf.DUMMYFUNCTION("""COMPUTED_VALUE"""),39920.0)</f>
        <v>39920</v>
      </c>
      <c r="E110" s="39">
        <v>3.0</v>
      </c>
      <c r="G110" s="12">
        <f>DATE(2012,12,31)-1449</f>
        <v>39825</v>
      </c>
    </row>
    <row r="111">
      <c r="A111" s="39" t="s">
        <v>1068</v>
      </c>
      <c r="B111" s="39">
        <v>18.0</v>
      </c>
      <c r="D111" s="38">
        <f>IFERROR(__xludf.DUMMYFUNCTION("""COMPUTED_VALUE"""),39919.0)</f>
        <v>39919</v>
      </c>
      <c r="E111" s="39">
        <v>3.0</v>
      </c>
      <c r="G111" s="12">
        <f t="shared" ref="G111:G112" si="21">DATE(2012,12,31)-1447</f>
        <v>39827</v>
      </c>
    </row>
    <row r="112">
      <c r="A112" s="39" t="s">
        <v>1214</v>
      </c>
      <c r="B112" s="39">
        <v>18.0</v>
      </c>
      <c r="D112" s="38">
        <f>IFERROR(__xludf.DUMMYFUNCTION("""COMPUTED_VALUE"""),39924.0)</f>
        <v>39924</v>
      </c>
      <c r="E112" s="39">
        <v>3.0</v>
      </c>
      <c r="G112" s="12">
        <f t="shared" si="21"/>
        <v>39827</v>
      </c>
    </row>
    <row r="113">
      <c r="A113" s="39" t="s">
        <v>370</v>
      </c>
      <c r="B113" s="39">
        <v>18.0</v>
      </c>
      <c r="D113" s="38">
        <f>IFERROR(__xludf.DUMMYFUNCTION("""COMPUTED_VALUE"""),39926.0)</f>
        <v>39926</v>
      </c>
      <c r="E113" s="39">
        <v>1.0</v>
      </c>
      <c r="G113" s="12">
        <f>DATE(2012,12,31)-1449</f>
        <v>39825</v>
      </c>
    </row>
    <row r="114">
      <c r="A114" s="39" t="s">
        <v>1685</v>
      </c>
      <c r="B114" s="39">
        <v>17.0</v>
      </c>
      <c r="D114" s="38">
        <f>IFERROR(__xludf.DUMMYFUNCTION("""COMPUTED_VALUE"""),39930.0)</f>
        <v>39930</v>
      </c>
      <c r="E114" s="39">
        <v>8.0</v>
      </c>
      <c r="G114" s="12">
        <f t="shared" ref="G114:G116" si="22">DATE(2012,12,31)-1445</f>
        <v>39829</v>
      </c>
    </row>
    <row r="115">
      <c r="A115" s="39" t="s">
        <v>1080</v>
      </c>
      <c r="B115" s="39">
        <v>17.0</v>
      </c>
      <c r="D115" s="38">
        <f>IFERROR(__xludf.DUMMYFUNCTION("""COMPUTED_VALUE"""),39929.0)</f>
        <v>39929</v>
      </c>
      <c r="E115" s="39">
        <v>7.0</v>
      </c>
      <c r="G115" s="12">
        <f t="shared" si="22"/>
        <v>39829</v>
      </c>
    </row>
    <row r="116">
      <c r="A116" s="39" t="s">
        <v>1384</v>
      </c>
      <c r="B116" s="39">
        <v>17.0</v>
      </c>
      <c r="D116" s="38">
        <f>IFERROR(__xludf.DUMMYFUNCTION("""COMPUTED_VALUE"""),39925.0)</f>
        <v>39925</v>
      </c>
      <c r="E116" s="39">
        <v>7.0</v>
      </c>
      <c r="G116" s="12">
        <f t="shared" si="22"/>
        <v>39829</v>
      </c>
    </row>
    <row r="117">
      <c r="A117" s="39" t="s">
        <v>25</v>
      </c>
      <c r="B117" s="39">
        <v>17.0</v>
      </c>
      <c r="D117" s="38">
        <f>IFERROR(__xludf.DUMMYFUNCTION("""COMPUTED_VALUE"""),39927.0)</f>
        <v>39927</v>
      </c>
      <c r="E117" s="39">
        <v>6.0</v>
      </c>
      <c r="G117" s="12">
        <f>DATE(2012,12,31)-1447</f>
        <v>39827</v>
      </c>
    </row>
    <row r="118">
      <c r="A118" s="39" t="s">
        <v>253</v>
      </c>
      <c r="B118" s="39">
        <v>17.0</v>
      </c>
      <c r="D118" s="38">
        <f>IFERROR(__xludf.DUMMYFUNCTION("""COMPUTED_VALUE"""),39934.0)</f>
        <v>39934</v>
      </c>
      <c r="E118" s="39">
        <v>6.0</v>
      </c>
      <c r="G118" s="12">
        <f t="shared" ref="G118:G119" si="23">DATE(2012,12,31)-1446</f>
        <v>39828</v>
      </c>
    </row>
    <row r="119">
      <c r="A119" s="39" t="s">
        <v>1014</v>
      </c>
      <c r="B119" s="39">
        <v>17.0</v>
      </c>
      <c r="D119" s="38">
        <f>IFERROR(__xludf.DUMMYFUNCTION("""COMPUTED_VALUE"""),39932.0)</f>
        <v>39932</v>
      </c>
      <c r="E119" s="39">
        <v>6.0</v>
      </c>
      <c r="G119" s="12">
        <f t="shared" si="23"/>
        <v>39828</v>
      </c>
    </row>
    <row r="120">
      <c r="A120" s="39" t="s">
        <v>1621</v>
      </c>
      <c r="B120" s="39">
        <v>17.0</v>
      </c>
      <c r="D120" s="38">
        <f>IFERROR(__xludf.DUMMYFUNCTION("""COMPUTED_VALUE"""),39933.0)</f>
        <v>39933</v>
      </c>
      <c r="E120" s="39">
        <v>6.0</v>
      </c>
      <c r="G120" s="12">
        <f>DATE(2012,12,31)-1445</f>
        <v>39829</v>
      </c>
    </row>
    <row r="121">
      <c r="A121" s="39" t="s">
        <v>603</v>
      </c>
      <c r="B121" s="39">
        <v>17.0</v>
      </c>
      <c r="D121" s="38">
        <f>IFERROR(__xludf.DUMMYFUNCTION("""COMPUTED_VALUE"""),39928.0)</f>
        <v>39928</v>
      </c>
      <c r="E121" s="39">
        <v>5.0</v>
      </c>
      <c r="G121" s="12">
        <f>DATE(2012,12,31)-1446</f>
        <v>39828</v>
      </c>
    </row>
    <row r="122">
      <c r="A122" s="39" t="s">
        <v>1332</v>
      </c>
      <c r="B122" s="39">
        <v>17.0</v>
      </c>
      <c r="D122" s="38">
        <f>IFERROR(__xludf.DUMMYFUNCTION("""COMPUTED_VALUE"""),39931.0)</f>
        <v>39931</v>
      </c>
      <c r="E122" s="39">
        <v>5.0</v>
      </c>
      <c r="G122" s="12">
        <f>DATE(2012,12,31)-1445</f>
        <v>39829</v>
      </c>
    </row>
    <row r="123">
      <c r="A123" s="39" t="s">
        <v>525</v>
      </c>
      <c r="B123" s="39">
        <v>17.0</v>
      </c>
      <c r="D123" s="38">
        <f>IFERROR(__xludf.DUMMYFUNCTION("""COMPUTED_VALUE"""),39935.0)</f>
        <v>39935</v>
      </c>
      <c r="E123" s="39">
        <v>4.0</v>
      </c>
      <c r="G123" s="12">
        <f t="shared" ref="G123:G124" si="24">DATE(2012,12,31)-1446</f>
        <v>39828</v>
      </c>
    </row>
    <row r="124">
      <c r="A124" s="39" t="s">
        <v>1021</v>
      </c>
      <c r="B124" s="39">
        <v>17.0</v>
      </c>
      <c r="D124" s="38">
        <f>IFERROR(__xludf.DUMMYFUNCTION("""COMPUTED_VALUE"""),39937.0)</f>
        <v>39937</v>
      </c>
      <c r="E124" s="39">
        <v>4.0</v>
      </c>
      <c r="G124" s="12">
        <f t="shared" si="24"/>
        <v>39828</v>
      </c>
    </row>
    <row r="125">
      <c r="A125" s="39" t="s">
        <v>1353</v>
      </c>
      <c r="B125" s="39">
        <v>17.0</v>
      </c>
      <c r="D125" s="38">
        <f>IFERROR(__xludf.DUMMYFUNCTION("""COMPUTED_VALUE"""),39939.0)</f>
        <v>39939</v>
      </c>
      <c r="E125" s="39">
        <v>4.0</v>
      </c>
      <c r="G125" s="12">
        <f t="shared" ref="G125:G127" si="25">DATE(2012,12,31)-1445</f>
        <v>39829</v>
      </c>
    </row>
    <row r="126">
      <c r="A126" s="39" t="s">
        <v>1025</v>
      </c>
      <c r="B126" s="39">
        <v>17.0</v>
      </c>
      <c r="D126" s="38">
        <f>IFERROR(__xludf.DUMMYFUNCTION("""COMPUTED_VALUE"""),39940.0)</f>
        <v>39940</v>
      </c>
      <c r="E126" s="39">
        <v>3.0</v>
      </c>
      <c r="G126" s="12">
        <f t="shared" si="25"/>
        <v>39829</v>
      </c>
    </row>
    <row r="127">
      <c r="A127" s="39" t="s">
        <v>1625</v>
      </c>
      <c r="B127" s="39">
        <v>17.0</v>
      </c>
      <c r="D127" s="38">
        <f>IFERROR(__xludf.DUMMYFUNCTION("""COMPUTED_VALUE"""),39936.0)</f>
        <v>39936</v>
      </c>
      <c r="E127" s="39">
        <v>3.0</v>
      </c>
      <c r="G127" s="12">
        <f t="shared" si="25"/>
        <v>39829</v>
      </c>
    </row>
    <row r="128">
      <c r="A128" s="39" t="s">
        <v>426</v>
      </c>
      <c r="B128" s="39">
        <v>17.0</v>
      </c>
      <c r="D128" s="38">
        <f>IFERROR(__xludf.DUMMYFUNCTION("""COMPUTED_VALUE"""),39938.0)</f>
        <v>39938</v>
      </c>
      <c r="E128" s="39">
        <v>1.0</v>
      </c>
      <c r="G128" s="12">
        <f>DATE(2012,12,31)-1446</f>
        <v>39828</v>
      </c>
    </row>
    <row r="129">
      <c r="A129" s="39" t="s">
        <v>1772</v>
      </c>
      <c r="B129" s="39">
        <v>16.0</v>
      </c>
      <c r="D129" s="38">
        <f>IFERROR(__xludf.DUMMYFUNCTION("""COMPUTED_VALUE"""),39942.0)</f>
        <v>39942</v>
      </c>
      <c r="E129" s="39">
        <v>12.0</v>
      </c>
      <c r="G129" s="12">
        <f>DATE(2012,12,31)-1442</f>
        <v>39832</v>
      </c>
    </row>
    <row r="130">
      <c r="A130" s="39" t="s">
        <v>925</v>
      </c>
      <c r="B130" s="39">
        <v>16.0</v>
      </c>
      <c r="D130" s="38">
        <f>IFERROR(__xludf.DUMMYFUNCTION("""COMPUTED_VALUE"""),39941.0)</f>
        <v>39941</v>
      </c>
      <c r="E130" s="39">
        <v>11.0</v>
      </c>
      <c r="G130" s="12">
        <f>DATE(2012,12,31)-1444</f>
        <v>39830</v>
      </c>
    </row>
    <row r="131">
      <c r="A131" s="39" t="s">
        <v>1482</v>
      </c>
      <c r="B131" s="39">
        <v>16.0</v>
      </c>
      <c r="D131" s="38">
        <f>IFERROR(__xludf.DUMMYFUNCTION("""COMPUTED_VALUE"""),39944.0)</f>
        <v>39944</v>
      </c>
      <c r="E131" s="39">
        <v>11.0</v>
      </c>
      <c r="G131" s="12">
        <f>DATE(2012,12,31)-1443</f>
        <v>39831</v>
      </c>
    </row>
    <row r="132">
      <c r="A132" s="39" t="s">
        <v>2271</v>
      </c>
      <c r="B132" s="39">
        <v>16.0</v>
      </c>
      <c r="D132" s="38">
        <f>IFERROR(__xludf.DUMMYFUNCTION("""COMPUTED_VALUE"""),39943.0)</f>
        <v>39943</v>
      </c>
      <c r="E132" s="39">
        <v>10.0</v>
      </c>
      <c r="G132" s="12">
        <f>DATE(2012,12,31)-1441</f>
        <v>39833</v>
      </c>
    </row>
    <row r="133">
      <c r="A133" s="39" t="s">
        <v>293</v>
      </c>
      <c r="B133" s="39">
        <v>16.0</v>
      </c>
      <c r="D133" s="38">
        <f>IFERROR(__xludf.DUMMYFUNCTION("""COMPUTED_VALUE"""),39945.0)</f>
        <v>39945</v>
      </c>
      <c r="E133" s="39">
        <v>9.0</v>
      </c>
      <c r="G133" s="12">
        <f t="shared" ref="G133:G138" si="26">DATE(2012,12,31)-1444</f>
        <v>39830</v>
      </c>
    </row>
    <row r="134">
      <c r="A134" s="39" t="s">
        <v>488</v>
      </c>
      <c r="B134" s="39">
        <v>16.0</v>
      </c>
      <c r="D134" s="38">
        <f>IFERROR(__xludf.DUMMYFUNCTION("""COMPUTED_VALUE"""),39971.0)</f>
        <v>39971</v>
      </c>
      <c r="E134" s="39">
        <v>9.0</v>
      </c>
      <c r="G134" s="12">
        <f t="shared" si="26"/>
        <v>39830</v>
      </c>
    </row>
    <row r="135">
      <c r="A135" s="39" t="s">
        <v>832</v>
      </c>
      <c r="B135" s="39">
        <v>16.0</v>
      </c>
      <c r="D135" s="38">
        <f>IFERROR(__xludf.DUMMYFUNCTION("""COMPUTED_VALUE"""),40003.0)</f>
        <v>40003</v>
      </c>
      <c r="E135" s="39">
        <v>9.0</v>
      </c>
      <c r="G135" s="12">
        <f t="shared" si="26"/>
        <v>39830</v>
      </c>
    </row>
    <row r="136">
      <c r="A136" s="39" t="s">
        <v>323</v>
      </c>
      <c r="B136" s="39">
        <v>16.0</v>
      </c>
      <c r="D136" s="38">
        <f>IFERROR(__xludf.DUMMYFUNCTION("""COMPUTED_VALUE"""),39984.0)</f>
        <v>39984</v>
      </c>
      <c r="E136" s="39">
        <v>8.0</v>
      </c>
      <c r="G136" s="12">
        <f t="shared" si="26"/>
        <v>39830</v>
      </c>
    </row>
    <row r="137">
      <c r="A137" s="39" t="s">
        <v>360</v>
      </c>
      <c r="B137" s="39">
        <v>16.0</v>
      </c>
      <c r="D137" s="38">
        <f>IFERROR(__xludf.DUMMYFUNCTION("""COMPUTED_VALUE"""),40039.0)</f>
        <v>40039</v>
      </c>
      <c r="E137" s="39">
        <v>8.0</v>
      </c>
      <c r="G137" s="12">
        <f t="shared" si="26"/>
        <v>39830</v>
      </c>
    </row>
    <row r="138">
      <c r="A138" s="39" t="s">
        <v>657</v>
      </c>
      <c r="B138" s="39">
        <v>16.0</v>
      </c>
      <c r="D138" s="38">
        <f>IFERROR(__xludf.DUMMYFUNCTION("""COMPUTED_VALUE"""),40024.0)</f>
        <v>40024</v>
      </c>
      <c r="E138" s="39">
        <v>7.0</v>
      </c>
      <c r="G138" s="12">
        <f t="shared" si="26"/>
        <v>39830</v>
      </c>
    </row>
    <row r="139">
      <c r="A139" s="39" t="s">
        <v>1045</v>
      </c>
      <c r="B139" s="39">
        <v>16.0</v>
      </c>
      <c r="D139" s="38">
        <f>IFERROR(__xludf.DUMMYFUNCTION("""COMPUTED_VALUE"""),39957.0)</f>
        <v>39957</v>
      </c>
      <c r="E139" s="39">
        <v>7.0</v>
      </c>
      <c r="G139" s="12">
        <f t="shared" ref="G139:G140" si="27">DATE(2012,12,31)-1443</f>
        <v>39831</v>
      </c>
    </row>
    <row r="140">
      <c r="A140" s="39" t="s">
        <v>1448</v>
      </c>
      <c r="B140" s="39">
        <v>16.0</v>
      </c>
      <c r="D140" s="38">
        <f>IFERROR(__xludf.DUMMYFUNCTION("""COMPUTED_VALUE"""),39988.0)</f>
        <v>39988</v>
      </c>
      <c r="E140" s="39">
        <v>7.0</v>
      </c>
      <c r="G140" s="12">
        <f t="shared" si="27"/>
        <v>39831</v>
      </c>
    </row>
    <row r="141">
      <c r="A141" s="39" t="s">
        <v>479</v>
      </c>
      <c r="B141" s="39">
        <v>16.0</v>
      </c>
      <c r="D141" s="38">
        <f>IFERROR(__xludf.DUMMYFUNCTION("""COMPUTED_VALUE"""),39993.0)</f>
        <v>39993</v>
      </c>
      <c r="E141" s="39">
        <v>6.0</v>
      </c>
      <c r="G141" s="12">
        <f>DATE(2012,12,31)-1444</f>
        <v>39830</v>
      </c>
    </row>
    <row r="142">
      <c r="A142" s="39" t="s">
        <v>1490</v>
      </c>
      <c r="B142" s="39">
        <v>16.0</v>
      </c>
      <c r="D142" s="38">
        <f>IFERROR(__xludf.DUMMYFUNCTION("""COMPUTED_VALUE"""),40007.0)</f>
        <v>40007</v>
      </c>
      <c r="E142" s="39">
        <v>6.0</v>
      </c>
      <c r="G142" s="12">
        <f t="shared" ref="G142:G143" si="28">DATE(2012,12,31)-1443</f>
        <v>39831</v>
      </c>
    </row>
    <row r="143">
      <c r="A143" s="39" t="s">
        <v>1623</v>
      </c>
      <c r="B143" s="39">
        <v>16.0</v>
      </c>
      <c r="D143" s="38">
        <f>IFERROR(__xludf.DUMMYFUNCTION("""COMPUTED_VALUE"""),40011.0)</f>
        <v>40011</v>
      </c>
      <c r="E143" s="39">
        <v>6.0</v>
      </c>
      <c r="G143" s="12">
        <f t="shared" si="28"/>
        <v>39831</v>
      </c>
    </row>
    <row r="144">
      <c r="A144" s="39" t="s">
        <v>2026</v>
      </c>
      <c r="B144" s="39">
        <v>16.0</v>
      </c>
      <c r="D144" s="38">
        <f>IFERROR(__xludf.DUMMYFUNCTION("""COMPUTED_VALUE"""),40021.0)</f>
        <v>40021</v>
      </c>
      <c r="E144" s="39">
        <v>6.0</v>
      </c>
      <c r="G144" s="12">
        <f>DATE(2012,12,31)-1442</f>
        <v>39832</v>
      </c>
    </row>
    <row r="145">
      <c r="A145" s="39" t="s">
        <v>202</v>
      </c>
      <c r="B145" s="39">
        <v>16.0</v>
      </c>
      <c r="D145" s="38">
        <f>IFERROR(__xludf.DUMMYFUNCTION("""COMPUTED_VALUE"""),40038.0)</f>
        <v>40038</v>
      </c>
      <c r="E145" s="39">
        <v>5.0</v>
      </c>
      <c r="G145" s="12">
        <f>DATE(2012,12,31)-1445</f>
        <v>39829</v>
      </c>
    </row>
    <row r="146">
      <c r="A146" s="39" t="s">
        <v>550</v>
      </c>
      <c r="B146" s="39">
        <v>16.0</v>
      </c>
      <c r="D146" s="38">
        <f>IFERROR(__xludf.DUMMYFUNCTION("""COMPUTED_VALUE"""),40045.0)</f>
        <v>40045</v>
      </c>
      <c r="E146" s="39">
        <v>5.0</v>
      </c>
      <c r="G146" s="12">
        <f t="shared" ref="G146:G147" si="29">DATE(2012,12,31)-1444</f>
        <v>39830</v>
      </c>
    </row>
    <row r="147">
      <c r="A147" s="39" t="s">
        <v>581</v>
      </c>
      <c r="B147" s="39">
        <v>16.0</v>
      </c>
      <c r="D147" s="38">
        <f>IFERROR(__xludf.DUMMYFUNCTION("""COMPUTED_VALUE"""),39946.0)</f>
        <v>39946</v>
      </c>
      <c r="E147" s="39">
        <v>5.0</v>
      </c>
      <c r="G147" s="12">
        <f t="shared" si="29"/>
        <v>39830</v>
      </c>
    </row>
    <row r="148">
      <c r="A148" s="39" t="s">
        <v>1417</v>
      </c>
      <c r="B148" s="39">
        <v>16.0</v>
      </c>
      <c r="D148" s="38">
        <f>IFERROR(__xludf.DUMMYFUNCTION("""COMPUTED_VALUE"""),39953.0)</f>
        <v>39953</v>
      </c>
      <c r="E148" s="39">
        <v>5.0</v>
      </c>
      <c r="G148" s="12">
        <f t="shared" ref="G148:G149" si="30">DATE(2012,12,31)-1443</f>
        <v>39831</v>
      </c>
    </row>
    <row r="149">
      <c r="A149" s="39" t="s">
        <v>1560</v>
      </c>
      <c r="B149" s="39">
        <v>16.0</v>
      </c>
      <c r="D149" s="38">
        <f>IFERROR(__xludf.DUMMYFUNCTION("""COMPUTED_VALUE"""),39978.0)</f>
        <v>39978</v>
      </c>
      <c r="E149" s="39">
        <v>5.0</v>
      </c>
      <c r="G149" s="12">
        <f t="shared" si="30"/>
        <v>39831</v>
      </c>
    </row>
    <row r="150">
      <c r="A150" s="39" t="s">
        <v>2315</v>
      </c>
      <c r="B150" s="39">
        <v>16.0</v>
      </c>
      <c r="D150" s="38">
        <f>IFERROR(__xludf.DUMMYFUNCTION("""COMPUTED_VALUE"""),39987.0)</f>
        <v>39987</v>
      </c>
      <c r="E150" s="39">
        <v>5.0</v>
      </c>
      <c r="G150" s="12">
        <f>DATE(2012,12,31)-1441</f>
        <v>39833</v>
      </c>
    </row>
    <row r="151">
      <c r="A151" s="39" t="s">
        <v>72</v>
      </c>
      <c r="B151" s="39">
        <v>16.0</v>
      </c>
      <c r="D151" s="38">
        <f>IFERROR(__xludf.DUMMYFUNCTION("""COMPUTED_VALUE"""),40000.0)</f>
        <v>40000</v>
      </c>
      <c r="E151" s="39">
        <v>3.0</v>
      </c>
      <c r="G151" s="12">
        <f>DATE(2012,12,31)-1445</f>
        <v>39829</v>
      </c>
    </row>
    <row r="152">
      <c r="A152" s="39" t="s">
        <v>681</v>
      </c>
      <c r="B152" s="39">
        <v>16.0</v>
      </c>
      <c r="D152" s="38">
        <f>IFERROR(__xludf.DUMMYFUNCTION("""COMPUTED_VALUE"""),39976.0)</f>
        <v>39976</v>
      </c>
      <c r="E152" s="39">
        <v>3.0</v>
      </c>
      <c r="G152" s="12">
        <f>DATE(2012,12,31)-1444</f>
        <v>39830</v>
      </c>
    </row>
    <row r="153">
      <c r="A153" s="39" t="s">
        <v>1629</v>
      </c>
      <c r="B153" s="39">
        <v>16.0</v>
      </c>
      <c r="D153" s="38">
        <f>IFERROR(__xludf.DUMMYFUNCTION("""COMPUTED_VALUE"""),39981.0)</f>
        <v>39981</v>
      </c>
      <c r="E153" s="39">
        <v>3.0</v>
      </c>
      <c r="G153" s="12">
        <f>DATE(2012,12,31)-1442</f>
        <v>39832</v>
      </c>
    </row>
    <row r="154">
      <c r="A154" s="39" t="s">
        <v>279</v>
      </c>
      <c r="B154" s="39">
        <v>16.0</v>
      </c>
      <c r="D154" s="38">
        <f>IFERROR(__xludf.DUMMYFUNCTION("""COMPUTED_VALUE"""),39983.0)</f>
        <v>39983</v>
      </c>
      <c r="E154" s="39">
        <v>2.0</v>
      </c>
      <c r="G154" s="12">
        <f>DATE(2012,12,31)-1444</f>
        <v>39830</v>
      </c>
    </row>
    <row r="155">
      <c r="A155" s="39" t="s">
        <v>1731</v>
      </c>
      <c r="B155" s="39">
        <v>16.0</v>
      </c>
      <c r="D155" s="38">
        <f>IFERROR(__xludf.DUMMYFUNCTION("""COMPUTED_VALUE"""),39998.0)</f>
        <v>39998</v>
      </c>
      <c r="E155" s="39">
        <v>2.0</v>
      </c>
      <c r="G155" s="12">
        <f>DATE(2012,12,31)-1442</f>
        <v>39832</v>
      </c>
    </row>
    <row r="156">
      <c r="A156" s="39" t="s">
        <v>1466</v>
      </c>
      <c r="B156" s="39">
        <v>15.0</v>
      </c>
      <c r="D156" s="38">
        <f>IFERROR(__xludf.DUMMYFUNCTION("""COMPUTED_VALUE"""),40009.0)</f>
        <v>40009</v>
      </c>
      <c r="E156" s="39">
        <v>14.0</v>
      </c>
      <c r="G156" s="12">
        <f t="shared" ref="G156:G159" si="31">DATE(2012,12,31)-1440</f>
        <v>39834</v>
      </c>
    </row>
    <row r="157">
      <c r="A157" s="39" t="s">
        <v>1069</v>
      </c>
      <c r="B157" s="39">
        <v>15.0</v>
      </c>
      <c r="D157" s="38">
        <f>IFERROR(__xludf.DUMMYFUNCTION("""COMPUTED_VALUE"""),40015.0)</f>
        <v>40015</v>
      </c>
      <c r="E157" s="39">
        <v>11.0</v>
      </c>
      <c r="G157" s="12">
        <f t="shared" si="31"/>
        <v>39834</v>
      </c>
    </row>
    <row r="158">
      <c r="A158" s="39" t="s">
        <v>982</v>
      </c>
      <c r="B158" s="39">
        <v>15.0</v>
      </c>
      <c r="D158" s="38">
        <f>IFERROR(__xludf.DUMMYFUNCTION("""COMPUTED_VALUE"""),40025.0)</f>
        <v>40025</v>
      </c>
      <c r="E158" s="39">
        <v>10.0</v>
      </c>
      <c r="G158" s="12">
        <f t="shared" si="31"/>
        <v>39834</v>
      </c>
    </row>
    <row r="159">
      <c r="A159" s="39" t="s">
        <v>510</v>
      </c>
      <c r="B159" s="39">
        <v>15.0</v>
      </c>
      <c r="D159" s="38">
        <f>IFERROR(__xludf.DUMMYFUNCTION("""COMPUTED_VALUE"""),40027.0)</f>
        <v>40027</v>
      </c>
      <c r="E159" s="39">
        <v>9.0</v>
      </c>
      <c r="G159" s="12">
        <f t="shared" si="31"/>
        <v>39834</v>
      </c>
    </row>
    <row r="160">
      <c r="A160" s="39" t="s">
        <v>2098</v>
      </c>
      <c r="B160" s="39">
        <v>15.0</v>
      </c>
      <c r="D160" s="38">
        <f>IFERROR(__xludf.DUMMYFUNCTION("""COMPUTED_VALUE"""),40030.0)</f>
        <v>40030</v>
      </c>
      <c r="E160" s="39">
        <v>8.0</v>
      </c>
      <c r="G160" s="12">
        <f>DATE(2012,12,31)-1439</f>
        <v>39835</v>
      </c>
    </row>
    <row r="161">
      <c r="A161" s="39" t="s">
        <v>1199</v>
      </c>
      <c r="B161" s="39">
        <v>15.0</v>
      </c>
      <c r="D161" s="38">
        <f>IFERROR(__xludf.DUMMYFUNCTION("""COMPUTED_VALUE"""),40031.0)</f>
        <v>40031</v>
      </c>
      <c r="E161" s="39">
        <v>7.0</v>
      </c>
      <c r="G161" s="12">
        <f t="shared" ref="G161:G162" si="32">DATE(2012,12,31)-1440</f>
        <v>39834</v>
      </c>
    </row>
    <row r="162">
      <c r="A162" s="39" t="s">
        <v>1101</v>
      </c>
      <c r="B162" s="39">
        <v>15.0</v>
      </c>
      <c r="D162" s="38">
        <f>IFERROR(__xludf.DUMMYFUNCTION("""COMPUTED_VALUE"""),40040.0)</f>
        <v>40040</v>
      </c>
      <c r="E162" s="39">
        <v>5.0</v>
      </c>
      <c r="G162" s="12">
        <f t="shared" si="32"/>
        <v>39834</v>
      </c>
    </row>
    <row r="163">
      <c r="A163" s="39" t="s">
        <v>1876</v>
      </c>
      <c r="B163" s="39">
        <v>15.0</v>
      </c>
      <c r="D163" s="38">
        <f>IFERROR(__xludf.DUMMYFUNCTION("""COMPUTED_VALUE"""),39950.0)</f>
        <v>39950</v>
      </c>
      <c r="E163" s="39">
        <v>5.0</v>
      </c>
      <c r="G163" s="12">
        <f t="shared" ref="G163:G164" si="33">DATE(2012,12,31)-1439</f>
        <v>39835</v>
      </c>
    </row>
    <row r="164">
      <c r="A164" s="39" t="s">
        <v>2084</v>
      </c>
      <c r="B164" s="39">
        <v>15.0</v>
      </c>
      <c r="D164" s="38">
        <f>IFERROR(__xludf.DUMMYFUNCTION("""COMPUTED_VALUE"""),39967.0)</f>
        <v>39967</v>
      </c>
      <c r="E164" s="39">
        <v>5.0</v>
      </c>
      <c r="G164" s="12">
        <f t="shared" si="33"/>
        <v>39835</v>
      </c>
    </row>
    <row r="165">
      <c r="A165" s="39" t="s">
        <v>1145</v>
      </c>
      <c r="B165" s="39">
        <v>15.0</v>
      </c>
      <c r="D165" s="38">
        <f>IFERROR(__xludf.DUMMYFUNCTION("""COMPUTED_VALUE"""),39992.0)</f>
        <v>39992</v>
      </c>
      <c r="E165" s="39">
        <v>4.0</v>
      </c>
      <c r="G165" s="12">
        <f>DATE(2012,12,31)-1440</f>
        <v>39834</v>
      </c>
    </row>
    <row r="166">
      <c r="A166" s="39" t="s">
        <v>1634</v>
      </c>
      <c r="B166" s="39">
        <v>15.0</v>
      </c>
      <c r="D166" s="38">
        <f>IFERROR(__xludf.DUMMYFUNCTION("""COMPUTED_VALUE"""),39994.0)</f>
        <v>39994</v>
      </c>
      <c r="E166" s="39">
        <v>4.0</v>
      </c>
      <c r="G166" s="12">
        <f>DATE(2012,12,31)-1439</f>
        <v>39835</v>
      </c>
    </row>
    <row r="167">
      <c r="A167" s="39" t="s">
        <v>222</v>
      </c>
      <c r="B167" s="39">
        <v>15.0</v>
      </c>
      <c r="D167" s="38">
        <f>IFERROR(__xludf.DUMMYFUNCTION("""COMPUTED_VALUE"""),40006.0)</f>
        <v>40006</v>
      </c>
      <c r="E167" s="39">
        <v>2.0</v>
      </c>
      <c r="G167" s="12">
        <f t="shared" ref="G167:G173" si="34">DATE(2012,12,31)-1440</f>
        <v>39834</v>
      </c>
    </row>
    <row r="168">
      <c r="A168" s="39" t="s">
        <v>674</v>
      </c>
      <c r="B168" s="39">
        <v>15.0</v>
      </c>
      <c r="D168" s="38">
        <f>IFERROR(__xludf.DUMMYFUNCTION("""COMPUTED_VALUE"""),40023.0)</f>
        <v>40023</v>
      </c>
      <c r="E168" s="39">
        <v>2.0</v>
      </c>
      <c r="G168" s="12">
        <f t="shared" si="34"/>
        <v>39834</v>
      </c>
    </row>
    <row r="169">
      <c r="A169" s="39" t="s">
        <v>808</v>
      </c>
      <c r="B169" s="39">
        <v>15.0</v>
      </c>
      <c r="D169" s="38">
        <f>IFERROR(__xludf.DUMMYFUNCTION("""COMPUTED_VALUE"""),40026.0)</f>
        <v>40026</v>
      </c>
      <c r="E169" s="39">
        <v>2.0</v>
      </c>
      <c r="G169" s="12">
        <f t="shared" si="34"/>
        <v>39834</v>
      </c>
    </row>
    <row r="170">
      <c r="A170" s="39" t="s">
        <v>1586</v>
      </c>
      <c r="B170" s="39">
        <v>15.0</v>
      </c>
      <c r="D170" s="38">
        <f>IFERROR(__xludf.DUMMYFUNCTION("""COMPUTED_VALUE"""),40028.0)</f>
        <v>40028</v>
      </c>
      <c r="E170" s="39">
        <v>2.0</v>
      </c>
      <c r="G170" s="12">
        <f t="shared" si="34"/>
        <v>39834</v>
      </c>
    </row>
    <row r="171">
      <c r="A171" s="39" t="s">
        <v>211</v>
      </c>
      <c r="B171" s="39">
        <v>15.0</v>
      </c>
      <c r="D171" s="38">
        <f>IFERROR(__xludf.DUMMYFUNCTION("""COMPUTED_VALUE"""),40035.0)</f>
        <v>40035</v>
      </c>
      <c r="E171" s="39">
        <v>1.0</v>
      </c>
      <c r="G171" s="12">
        <f t="shared" si="34"/>
        <v>39834</v>
      </c>
    </row>
    <row r="172">
      <c r="A172" s="39" t="s">
        <v>738</v>
      </c>
      <c r="B172" s="39">
        <v>15.0</v>
      </c>
      <c r="D172" s="38">
        <f>IFERROR(__xludf.DUMMYFUNCTION("""COMPUTED_VALUE"""),40046.0)</f>
        <v>40046</v>
      </c>
      <c r="E172" s="39">
        <v>1.0</v>
      </c>
      <c r="G172" s="12">
        <f t="shared" si="34"/>
        <v>39834</v>
      </c>
    </row>
    <row r="173">
      <c r="A173" s="39" t="s">
        <v>1409</v>
      </c>
      <c r="B173" s="39">
        <v>15.0</v>
      </c>
      <c r="D173" s="38">
        <f>IFERROR(__xludf.DUMMYFUNCTION("""COMPUTED_VALUE"""),39948.0)</f>
        <v>39948</v>
      </c>
      <c r="E173" s="39">
        <v>1.0</v>
      </c>
      <c r="G173" s="12">
        <f t="shared" si="34"/>
        <v>39834</v>
      </c>
    </row>
    <row r="174">
      <c r="A174" s="39" t="s">
        <v>934</v>
      </c>
      <c r="B174" s="39">
        <v>14.0</v>
      </c>
      <c r="D174" s="38">
        <f>IFERROR(__xludf.DUMMYFUNCTION("""COMPUTED_VALUE"""),39955.0)</f>
        <v>39955</v>
      </c>
      <c r="E174" s="39">
        <v>14.0</v>
      </c>
      <c r="G174" s="12">
        <f>DATE(2012,12,31)-1437</f>
        <v>39837</v>
      </c>
    </row>
    <row r="175">
      <c r="A175" s="39" t="s">
        <v>1901</v>
      </c>
      <c r="B175" s="39">
        <v>14.0</v>
      </c>
      <c r="D175" s="38">
        <f>IFERROR(__xludf.DUMMYFUNCTION("""COMPUTED_VALUE"""),39958.0)</f>
        <v>39958</v>
      </c>
      <c r="E175" s="39">
        <v>11.0</v>
      </c>
      <c r="G175" s="12">
        <f>DATE(2012,12,31)-1435</f>
        <v>39839</v>
      </c>
    </row>
    <row r="176">
      <c r="A176" s="39" t="s">
        <v>665</v>
      </c>
      <c r="B176" s="39">
        <v>14.0</v>
      </c>
      <c r="D176" s="38">
        <f>IFERROR(__xludf.DUMMYFUNCTION("""COMPUTED_VALUE"""),39959.0)</f>
        <v>39959</v>
      </c>
      <c r="E176" s="39">
        <v>10.0</v>
      </c>
      <c r="G176" s="12">
        <f>DATE(2012,12,31)-1438</f>
        <v>39836</v>
      </c>
    </row>
    <row r="177">
      <c r="A177" s="39" t="s">
        <v>876</v>
      </c>
      <c r="B177" s="39">
        <v>14.0</v>
      </c>
      <c r="D177" s="38">
        <f>IFERROR(__xludf.DUMMYFUNCTION("""COMPUTED_VALUE"""),39961.0)</f>
        <v>39961</v>
      </c>
      <c r="E177" s="39">
        <v>10.0</v>
      </c>
      <c r="G177" s="12">
        <f>DATE(2012,12,31)-1437</f>
        <v>39837</v>
      </c>
    </row>
    <row r="178">
      <c r="A178" s="39" t="s">
        <v>2194</v>
      </c>
      <c r="B178" s="39">
        <v>14.0</v>
      </c>
      <c r="D178" s="38">
        <f>IFERROR(__xludf.DUMMYFUNCTION("""COMPUTED_VALUE"""),39962.0)</f>
        <v>39962</v>
      </c>
      <c r="E178" s="39">
        <v>10.0</v>
      </c>
      <c r="G178" s="12">
        <f>DATE(2012,12,31)-1435</f>
        <v>39839</v>
      </c>
    </row>
    <row r="179">
      <c r="A179" s="39" t="s">
        <v>535</v>
      </c>
      <c r="B179" s="39">
        <v>14.0</v>
      </c>
      <c r="D179" s="38">
        <f>IFERROR(__xludf.DUMMYFUNCTION("""COMPUTED_VALUE"""),39975.0)</f>
        <v>39975</v>
      </c>
      <c r="E179" s="39">
        <v>9.0</v>
      </c>
      <c r="G179" s="12">
        <f t="shared" ref="G179:G180" si="35">DATE(2012,12,31)-1438</f>
        <v>39836</v>
      </c>
    </row>
    <row r="180">
      <c r="A180" s="39" t="s">
        <v>800</v>
      </c>
      <c r="B180" s="39">
        <v>14.0</v>
      </c>
      <c r="D180" s="38">
        <f>IFERROR(__xludf.DUMMYFUNCTION("""COMPUTED_VALUE"""),39995.0)</f>
        <v>39995</v>
      </c>
      <c r="E180" s="39">
        <v>9.0</v>
      </c>
      <c r="G180" s="12">
        <f t="shared" si="35"/>
        <v>39836</v>
      </c>
    </row>
    <row r="181">
      <c r="A181" s="39" t="s">
        <v>823</v>
      </c>
      <c r="B181" s="39">
        <v>14.0</v>
      </c>
      <c r="D181" s="38">
        <f>IFERROR(__xludf.DUMMYFUNCTION("""COMPUTED_VALUE"""),39997.0)</f>
        <v>39997</v>
      </c>
      <c r="E181" s="39">
        <v>8.0</v>
      </c>
      <c r="G181" s="12">
        <f t="shared" ref="G181:G182" si="36">DATE(2012,12,31)-1437</f>
        <v>39837</v>
      </c>
    </row>
    <row r="182">
      <c r="A182" s="39" t="s">
        <v>992</v>
      </c>
      <c r="B182" s="39">
        <v>14.0</v>
      </c>
      <c r="D182" s="38">
        <f>IFERROR(__xludf.DUMMYFUNCTION("""COMPUTED_VALUE"""),40014.0)</f>
        <v>40014</v>
      </c>
      <c r="E182" s="39">
        <v>8.0</v>
      </c>
      <c r="G182" s="12">
        <f t="shared" si="36"/>
        <v>39837</v>
      </c>
    </row>
    <row r="183">
      <c r="A183" s="39" t="s">
        <v>2105</v>
      </c>
      <c r="B183" s="39">
        <v>14.0</v>
      </c>
      <c r="D183" s="38">
        <f>IFERROR(__xludf.DUMMYFUNCTION("""COMPUTED_VALUE"""),40016.0)</f>
        <v>40016</v>
      </c>
      <c r="E183" s="39">
        <v>8.0</v>
      </c>
      <c r="G183" s="12">
        <f t="shared" ref="G183:G184" si="37">DATE(2012,12,31)-1435</f>
        <v>39839</v>
      </c>
    </row>
    <row r="184">
      <c r="A184" s="39" t="s">
        <v>2524</v>
      </c>
      <c r="B184" s="39">
        <v>14.0</v>
      </c>
      <c r="D184" s="38">
        <f>IFERROR(__xludf.DUMMYFUNCTION("""COMPUTED_VALUE"""),40020.0)</f>
        <v>40020</v>
      </c>
      <c r="E184" s="39">
        <v>8.0</v>
      </c>
      <c r="G184" s="12">
        <f t="shared" si="37"/>
        <v>39839</v>
      </c>
    </row>
    <row r="185">
      <c r="A185" s="39" t="s">
        <v>174</v>
      </c>
      <c r="B185" s="39">
        <v>14.0</v>
      </c>
      <c r="D185" s="38">
        <f>IFERROR(__xludf.DUMMYFUNCTION("""COMPUTED_VALUE"""),40029.0)</f>
        <v>40029</v>
      </c>
      <c r="E185" s="39">
        <v>7.0</v>
      </c>
      <c r="G185" s="12">
        <f>DATE(2012,12,31)-1439</f>
        <v>39835</v>
      </c>
    </row>
    <row r="186">
      <c r="A186" s="39" t="s">
        <v>1550</v>
      </c>
      <c r="B186" s="39">
        <v>14.0</v>
      </c>
      <c r="D186" s="38">
        <f>IFERROR(__xludf.DUMMYFUNCTION("""COMPUTED_VALUE"""),40044.0)</f>
        <v>40044</v>
      </c>
      <c r="E186" s="39">
        <v>7.0</v>
      </c>
      <c r="G186" s="12">
        <f>DATE(2012,12,31)-1436</f>
        <v>39838</v>
      </c>
    </row>
    <row r="187">
      <c r="A187" s="39" t="s">
        <v>116</v>
      </c>
      <c r="B187" s="39">
        <v>14.0</v>
      </c>
      <c r="D187" s="38">
        <f>IFERROR(__xludf.DUMMYFUNCTION("""COMPUTED_VALUE"""),39949.0)</f>
        <v>39949</v>
      </c>
      <c r="E187" s="39">
        <v>6.0</v>
      </c>
      <c r="G187" s="12">
        <f t="shared" ref="G187:G188" si="38">DATE(2012,12,31)-1439</f>
        <v>39835</v>
      </c>
    </row>
    <row r="188">
      <c r="A188" s="39" t="s">
        <v>407</v>
      </c>
      <c r="B188" s="39">
        <v>14.0</v>
      </c>
      <c r="D188" s="38">
        <f>IFERROR(__xludf.DUMMYFUNCTION("""COMPUTED_VALUE"""),39954.0)</f>
        <v>39954</v>
      </c>
      <c r="E188" s="39">
        <v>6.0</v>
      </c>
      <c r="G188" s="12">
        <f t="shared" si="38"/>
        <v>39835</v>
      </c>
    </row>
    <row r="189">
      <c r="A189" s="39" t="s">
        <v>2079</v>
      </c>
      <c r="B189" s="39">
        <v>14.0</v>
      </c>
      <c r="D189" s="38">
        <f>IFERROR(__xludf.DUMMYFUNCTION("""COMPUTED_VALUE"""),39960.0)</f>
        <v>39960</v>
      </c>
      <c r="E189" s="39">
        <v>6.0</v>
      </c>
      <c r="G189" s="12">
        <f>DATE(2012,12,31)-1435</f>
        <v>39839</v>
      </c>
    </row>
    <row r="190">
      <c r="A190" s="39" t="s">
        <v>243</v>
      </c>
      <c r="B190" s="39">
        <v>14.0</v>
      </c>
      <c r="D190" s="38">
        <f>IFERROR(__xludf.DUMMYFUNCTION("""COMPUTED_VALUE"""),39968.0)</f>
        <v>39968</v>
      </c>
      <c r="E190" s="39">
        <v>5.0</v>
      </c>
      <c r="G190" s="12">
        <f t="shared" ref="G190:G191" si="39">DATE(2012,12,31)-1439</f>
        <v>39835</v>
      </c>
    </row>
    <row r="191">
      <c r="A191" s="39" t="s">
        <v>334</v>
      </c>
      <c r="B191" s="39">
        <v>14.0</v>
      </c>
      <c r="D191" s="38">
        <f>IFERROR(__xludf.DUMMYFUNCTION("""COMPUTED_VALUE"""),39980.0)</f>
        <v>39980</v>
      </c>
      <c r="E191" s="39">
        <v>4.0</v>
      </c>
      <c r="G191" s="12">
        <f t="shared" si="39"/>
        <v>39835</v>
      </c>
    </row>
    <row r="192">
      <c r="A192" s="39" t="s">
        <v>878</v>
      </c>
      <c r="B192" s="39">
        <v>14.0</v>
      </c>
      <c r="D192" s="38">
        <f>IFERROR(__xludf.DUMMYFUNCTION("""COMPUTED_VALUE"""),39989.0)</f>
        <v>39989</v>
      </c>
      <c r="E192" s="39">
        <v>4.0</v>
      </c>
      <c r="G192" s="12">
        <f>DATE(2012,12,31)-1437</f>
        <v>39837</v>
      </c>
    </row>
    <row r="193">
      <c r="A193" s="39" t="s">
        <v>1906</v>
      </c>
      <c r="B193" s="39">
        <v>14.0</v>
      </c>
      <c r="D193" s="38">
        <f>IFERROR(__xludf.DUMMYFUNCTION("""COMPUTED_VALUE"""),39996.0)</f>
        <v>39996</v>
      </c>
      <c r="E193" s="39">
        <v>4.0</v>
      </c>
      <c r="G193" s="12">
        <f t="shared" ref="G193:G195" si="40">DATE(2012,12,31)-1435</f>
        <v>39839</v>
      </c>
    </row>
    <row r="194">
      <c r="A194" s="39" t="s">
        <v>1972</v>
      </c>
      <c r="B194" s="39">
        <v>14.0</v>
      </c>
      <c r="D194" s="38">
        <f>IFERROR(__xludf.DUMMYFUNCTION("""COMPUTED_VALUE"""),39999.0)</f>
        <v>39999</v>
      </c>
      <c r="E194" s="39">
        <v>4.0</v>
      </c>
      <c r="G194" s="12">
        <f t="shared" si="40"/>
        <v>39839</v>
      </c>
    </row>
    <row r="195">
      <c r="A195" s="39" t="s">
        <v>1754</v>
      </c>
      <c r="B195" s="39">
        <v>14.0</v>
      </c>
      <c r="D195" s="38">
        <f>IFERROR(__xludf.DUMMYFUNCTION("""COMPUTED_VALUE"""),40001.0)</f>
        <v>40001</v>
      </c>
      <c r="E195" s="39">
        <v>2.0</v>
      </c>
      <c r="G195" s="12">
        <f t="shared" si="40"/>
        <v>39839</v>
      </c>
    </row>
    <row r="196">
      <c r="A196" s="39" t="s">
        <v>248</v>
      </c>
      <c r="B196" s="39">
        <v>14.0</v>
      </c>
      <c r="D196" s="38">
        <f>IFERROR(__xludf.DUMMYFUNCTION("""COMPUTED_VALUE"""),40010.0)</f>
        <v>40010</v>
      </c>
      <c r="E196" s="39">
        <v>1.0</v>
      </c>
      <c r="G196" s="12">
        <f>DATE(2012,12,31)-1439</f>
        <v>39835</v>
      </c>
    </row>
    <row r="197">
      <c r="A197" s="39" t="s">
        <v>1024</v>
      </c>
      <c r="B197" s="39">
        <v>14.0</v>
      </c>
      <c r="D197" s="38">
        <f>IFERROR(__xludf.DUMMYFUNCTION("""COMPUTED_VALUE"""),40032.0)</f>
        <v>40032</v>
      </c>
      <c r="E197" s="39">
        <v>1.0</v>
      </c>
      <c r="G197" s="12">
        <f>DATE(2012,12,31)-1436</f>
        <v>39838</v>
      </c>
    </row>
    <row r="198">
      <c r="A198" s="39" t="s">
        <v>1857</v>
      </c>
      <c r="B198" s="39">
        <v>14.0</v>
      </c>
      <c r="D198" s="38">
        <f>IFERROR(__xludf.DUMMYFUNCTION("""COMPUTED_VALUE"""),40034.0)</f>
        <v>40034</v>
      </c>
      <c r="E198" s="39">
        <v>1.0</v>
      </c>
      <c r="G198" s="12">
        <f>DATE(2012,12,31)-1435</f>
        <v>39839</v>
      </c>
    </row>
    <row r="199">
      <c r="A199" s="39" t="s">
        <v>1929</v>
      </c>
      <c r="B199" s="39">
        <v>13.0</v>
      </c>
      <c r="D199" s="38">
        <f>IFERROR(__xludf.DUMMYFUNCTION("""COMPUTED_VALUE"""),40036.0)</f>
        <v>40036</v>
      </c>
      <c r="E199" s="39">
        <v>15.0</v>
      </c>
      <c r="G199" s="12">
        <f t="shared" ref="G199:G200" si="41">DATE(2012,12,31)-1430</f>
        <v>39844</v>
      </c>
    </row>
    <row r="200">
      <c r="A200" s="39" t="s">
        <v>1907</v>
      </c>
      <c r="B200" s="39">
        <v>13.0</v>
      </c>
      <c r="D200" s="38">
        <f>IFERROR(__xludf.DUMMYFUNCTION("""COMPUTED_VALUE"""),40047.0)</f>
        <v>40047</v>
      </c>
      <c r="E200" s="39">
        <v>13.0</v>
      </c>
      <c r="G200" s="12">
        <f t="shared" si="41"/>
        <v>39844</v>
      </c>
    </row>
    <row r="201">
      <c r="A201" s="39" t="s">
        <v>94</v>
      </c>
      <c r="B201" s="39">
        <v>13.0</v>
      </c>
      <c r="D201" s="38">
        <f>IFERROR(__xludf.DUMMYFUNCTION("""COMPUTED_VALUE"""),39952.0)</f>
        <v>39952</v>
      </c>
      <c r="E201" s="39">
        <v>12.0</v>
      </c>
      <c r="G201" s="12">
        <f t="shared" ref="G201:G202" si="42">DATE(2012,12,31)-1434</f>
        <v>39840</v>
      </c>
    </row>
    <row r="202">
      <c r="A202" s="39" t="s">
        <v>634</v>
      </c>
      <c r="B202" s="39">
        <v>13.0</v>
      </c>
      <c r="D202" s="38">
        <f>IFERROR(__xludf.DUMMYFUNCTION("""COMPUTED_VALUE"""),39969.0)</f>
        <v>39969</v>
      </c>
      <c r="E202" s="39">
        <v>12.0</v>
      </c>
      <c r="G202" s="12">
        <f t="shared" si="42"/>
        <v>39840</v>
      </c>
    </row>
    <row r="203">
      <c r="A203" s="39" t="s">
        <v>1338</v>
      </c>
      <c r="B203" s="39">
        <v>13.0</v>
      </c>
      <c r="D203" s="38">
        <f>IFERROR(__xludf.DUMMYFUNCTION("""COMPUTED_VALUE"""),39974.0)</f>
        <v>39974</v>
      </c>
      <c r="E203" s="39">
        <v>11.0</v>
      </c>
      <c r="G203" s="12">
        <f>DATE(2012,12,31)-1431</f>
        <v>39843</v>
      </c>
    </row>
    <row r="204">
      <c r="A204" s="39" t="s">
        <v>1572</v>
      </c>
      <c r="B204" s="39">
        <v>13.0</v>
      </c>
      <c r="D204" s="38">
        <f>IFERROR(__xludf.DUMMYFUNCTION("""COMPUTED_VALUE"""),39985.0)</f>
        <v>39985</v>
      </c>
      <c r="E204" s="39">
        <v>10.0</v>
      </c>
      <c r="G204" s="12">
        <f>DATE(2012,12,31)-1430</f>
        <v>39844</v>
      </c>
    </row>
    <row r="205">
      <c r="A205" s="39" t="s">
        <v>1277</v>
      </c>
      <c r="B205" s="39">
        <v>13.0</v>
      </c>
      <c r="D205" s="38">
        <f>IFERROR(__xludf.DUMMYFUNCTION("""COMPUTED_VALUE"""),40018.0)</f>
        <v>40018</v>
      </c>
      <c r="E205" s="39">
        <v>9.0</v>
      </c>
      <c r="G205" s="12">
        <f>DATE(2012,12,31)-1431</f>
        <v>39843</v>
      </c>
    </row>
    <row r="206">
      <c r="A206" s="39" t="s">
        <v>1058</v>
      </c>
      <c r="B206" s="39">
        <v>13.0</v>
      </c>
      <c r="D206" s="38">
        <f>IFERROR(__xludf.DUMMYFUNCTION("""COMPUTED_VALUE"""),40041.0)</f>
        <v>40041</v>
      </c>
      <c r="E206" s="39">
        <v>8.0</v>
      </c>
      <c r="G206" s="12">
        <f>DATE(2012,12,31)-1433</f>
        <v>39841</v>
      </c>
    </row>
    <row r="207">
      <c r="A207" s="39" t="s">
        <v>1245</v>
      </c>
      <c r="B207" s="39">
        <v>13.0</v>
      </c>
      <c r="D207" s="38">
        <f>IFERROR(__xludf.DUMMYFUNCTION("""COMPUTED_VALUE"""),39947.0)</f>
        <v>39947</v>
      </c>
      <c r="E207" s="39">
        <v>8.0</v>
      </c>
      <c r="G207" s="12">
        <f>DATE(2012,12,31)-1432</f>
        <v>39842</v>
      </c>
    </row>
    <row r="208">
      <c r="A208" s="39" t="s">
        <v>1948</v>
      </c>
      <c r="B208" s="39">
        <v>13.0</v>
      </c>
      <c r="D208" s="38">
        <f>IFERROR(__xludf.DUMMYFUNCTION("""COMPUTED_VALUE"""),39951.0)</f>
        <v>39951</v>
      </c>
      <c r="E208" s="39">
        <v>8.0</v>
      </c>
      <c r="G208" s="12">
        <f>DATE(2012,12,31)-1429</f>
        <v>39845</v>
      </c>
    </row>
    <row r="209">
      <c r="A209" s="39" t="s">
        <v>2475</v>
      </c>
      <c r="B209" s="39">
        <v>13.0</v>
      </c>
      <c r="D209" s="38">
        <f>IFERROR(__xludf.DUMMYFUNCTION("""COMPUTED_VALUE"""),39956.0)</f>
        <v>39956</v>
      </c>
      <c r="E209" s="39">
        <v>8.0</v>
      </c>
      <c r="G209" s="12">
        <f>DATE(2012,12,31)-1428</f>
        <v>39846</v>
      </c>
    </row>
    <row r="210">
      <c r="A210" s="39" t="s">
        <v>268</v>
      </c>
      <c r="B210" s="39">
        <v>13.0</v>
      </c>
      <c r="D210" s="38">
        <f>IFERROR(__xludf.DUMMYFUNCTION("""COMPUTED_VALUE"""),39965.0)</f>
        <v>39965</v>
      </c>
      <c r="E210" s="39">
        <v>7.0</v>
      </c>
      <c r="G210" s="12">
        <f>DATE(2012,12,31)-1434</f>
        <v>39840</v>
      </c>
    </row>
    <row r="211">
      <c r="A211" s="39" t="s">
        <v>769</v>
      </c>
      <c r="B211" s="39">
        <v>13.0</v>
      </c>
      <c r="D211" s="38">
        <f>IFERROR(__xludf.DUMMYFUNCTION("""COMPUTED_VALUE"""),39966.0)</f>
        <v>39966</v>
      </c>
      <c r="E211" s="39">
        <v>7.0</v>
      </c>
      <c r="G211" s="12">
        <f>DATE(2012,12,31)-1433</f>
        <v>39841</v>
      </c>
    </row>
    <row r="212">
      <c r="A212" s="39" t="s">
        <v>1137</v>
      </c>
      <c r="B212" s="39">
        <v>13.0</v>
      </c>
      <c r="D212" s="38">
        <f>IFERROR(__xludf.DUMMYFUNCTION("""COMPUTED_VALUE"""),39986.0)</f>
        <v>39986</v>
      </c>
      <c r="E212" s="39">
        <v>7.0</v>
      </c>
      <c r="G212" s="12">
        <f>DATE(2012,12,31)-1432</f>
        <v>39842</v>
      </c>
    </row>
    <row r="213">
      <c r="A213" s="39" t="s">
        <v>1648</v>
      </c>
      <c r="B213" s="39">
        <v>13.0</v>
      </c>
      <c r="D213" s="38">
        <f>IFERROR(__xludf.DUMMYFUNCTION("""COMPUTED_VALUE"""),40004.0)</f>
        <v>40004</v>
      </c>
      <c r="E213" s="39">
        <v>7.0</v>
      </c>
      <c r="G213" s="12">
        <f>DATE(2012,12,31)-1430</f>
        <v>39844</v>
      </c>
    </row>
    <row r="214">
      <c r="A214" s="39" t="s">
        <v>961</v>
      </c>
      <c r="B214" s="39">
        <v>13.0</v>
      </c>
      <c r="D214" s="38">
        <f>IFERROR(__xludf.DUMMYFUNCTION("""COMPUTED_VALUE"""),40008.0)</f>
        <v>40008</v>
      </c>
      <c r="E214" s="39">
        <v>6.0</v>
      </c>
      <c r="G214" s="12">
        <f>DATE(2012,12,31)-1433</f>
        <v>39841</v>
      </c>
    </row>
    <row r="215">
      <c r="A215" s="39" t="s">
        <v>1936</v>
      </c>
      <c r="B215" s="39">
        <v>13.0</v>
      </c>
      <c r="D215" s="38">
        <f>IFERROR(__xludf.DUMMYFUNCTION("""COMPUTED_VALUE"""),40022.0)</f>
        <v>40022</v>
      </c>
      <c r="E215" s="39">
        <v>6.0</v>
      </c>
      <c r="G215" s="12">
        <f>DATE(2012,12,31)-1430</f>
        <v>39844</v>
      </c>
    </row>
    <row r="216">
      <c r="A216" s="39" t="s">
        <v>2081</v>
      </c>
      <c r="B216" s="39">
        <v>13.0</v>
      </c>
      <c r="D216" s="38">
        <f>IFERROR(__xludf.DUMMYFUNCTION("""COMPUTED_VALUE"""),40043.0)</f>
        <v>40043</v>
      </c>
      <c r="E216" s="39">
        <v>6.0</v>
      </c>
      <c r="G216" s="12">
        <f>DATE(2012,12,31)-1428</f>
        <v>39846</v>
      </c>
    </row>
    <row r="217">
      <c r="A217" s="39" t="s">
        <v>219</v>
      </c>
      <c r="B217" s="39">
        <v>13.0</v>
      </c>
      <c r="D217" s="38">
        <f>IFERROR(__xludf.DUMMYFUNCTION("""COMPUTED_VALUE"""),40048.0)</f>
        <v>40048</v>
      </c>
      <c r="E217" s="39">
        <v>5.0</v>
      </c>
      <c r="G217" s="12">
        <f>DATE(2012,12,31)-1434</f>
        <v>39840</v>
      </c>
    </row>
    <row r="218">
      <c r="A218" s="39" t="s">
        <v>1082</v>
      </c>
      <c r="B218" s="39">
        <v>13.0</v>
      </c>
      <c r="D218" s="38">
        <f>IFERROR(__xludf.DUMMYFUNCTION("""COMPUTED_VALUE"""),39979.0)</f>
        <v>39979</v>
      </c>
      <c r="E218" s="39">
        <v>5.0</v>
      </c>
      <c r="G218" s="12">
        <f>DATE(2012,12,31)-1433</f>
        <v>39841</v>
      </c>
    </row>
    <row r="219">
      <c r="A219" s="39" t="s">
        <v>1349</v>
      </c>
      <c r="B219" s="39">
        <v>13.0</v>
      </c>
      <c r="D219" s="38">
        <f>IFERROR(__xludf.DUMMYFUNCTION("""COMPUTED_VALUE"""),40019.0)</f>
        <v>40019</v>
      </c>
      <c r="E219" s="39">
        <v>5.0</v>
      </c>
      <c r="G219" s="12">
        <f>DATE(2012,12,31)-1431</f>
        <v>39843</v>
      </c>
    </row>
    <row r="220">
      <c r="A220" s="39" t="s">
        <v>1877</v>
      </c>
      <c r="B220" s="39">
        <v>13.0</v>
      </c>
      <c r="D220" s="38">
        <f>IFERROR(__xludf.DUMMYFUNCTION("""COMPUTED_VALUE"""),40033.0)</f>
        <v>40033</v>
      </c>
      <c r="E220" s="39">
        <v>5.0</v>
      </c>
      <c r="G220" s="12">
        <f>DATE(2012,12,31)-1430</f>
        <v>39844</v>
      </c>
    </row>
    <row r="221">
      <c r="A221" s="39" t="s">
        <v>1961</v>
      </c>
      <c r="B221" s="39">
        <v>13.0</v>
      </c>
      <c r="D221" s="38">
        <f>IFERROR(__xludf.DUMMYFUNCTION("""COMPUTED_VALUE"""),40037.0)</f>
        <v>40037</v>
      </c>
      <c r="E221" s="39">
        <v>5.0</v>
      </c>
      <c r="G221" s="12">
        <f>DATE(2012,12,31)-1429</f>
        <v>39845</v>
      </c>
    </row>
    <row r="222">
      <c r="A222" s="39" t="s">
        <v>942</v>
      </c>
      <c r="B222" s="39">
        <v>13.0</v>
      </c>
      <c r="D222" s="38">
        <f>IFERROR(__xludf.DUMMYFUNCTION("""COMPUTED_VALUE"""),39963.0)</f>
        <v>39963</v>
      </c>
      <c r="E222" s="39">
        <v>4.0</v>
      </c>
      <c r="G222" s="12">
        <f>DATE(2012,12,31)-1433</f>
        <v>39841</v>
      </c>
    </row>
    <row r="223">
      <c r="A223" s="39" t="s">
        <v>1447</v>
      </c>
      <c r="B223" s="39">
        <v>13.0</v>
      </c>
      <c r="D223" s="38">
        <f>IFERROR(__xludf.DUMMYFUNCTION("""COMPUTED_VALUE"""),39977.0)</f>
        <v>39977</v>
      </c>
      <c r="E223" s="39">
        <v>4.0</v>
      </c>
      <c r="G223" s="12">
        <f>DATE(2012,12,31)-1430</f>
        <v>39844</v>
      </c>
    </row>
    <row r="224">
      <c r="A224" s="39" t="s">
        <v>882</v>
      </c>
      <c r="B224" s="39">
        <v>13.0</v>
      </c>
      <c r="D224" s="38">
        <f>IFERROR(__xludf.DUMMYFUNCTION("""COMPUTED_VALUE"""),40005.0)</f>
        <v>40005</v>
      </c>
      <c r="E224" s="39">
        <v>3.0</v>
      </c>
      <c r="G224" s="12">
        <f>DATE(2012,12,31)-1433</f>
        <v>39841</v>
      </c>
    </row>
    <row r="225">
      <c r="A225" s="39" t="s">
        <v>1240</v>
      </c>
      <c r="B225" s="39">
        <v>13.0</v>
      </c>
      <c r="D225" s="38">
        <f>IFERROR(__xludf.DUMMYFUNCTION("""COMPUTED_VALUE"""),39970.0)</f>
        <v>39970</v>
      </c>
      <c r="E225" s="39">
        <v>3.0</v>
      </c>
      <c r="G225" s="12">
        <f>DATE(2012,12,31)-1432</f>
        <v>39842</v>
      </c>
    </row>
    <row r="226">
      <c r="A226" s="39" t="s">
        <v>1979</v>
      </c>
      <c r="B226" s="39">
        <v>13.0</v>
      </c>
      <c r="D226" s="38">
        <f>IFERROR(__xludf.DUMMYFUNCTION("""COMPUTED_VALUE"""),39982.0)</f>
        <v>39982</v>
      </c>
      <c r="E226" s="39">
        <v>3.0</v>
      </c>
      <c r="G226" s="12">
        <f>DATE(2012,12,31)-1428</f>
        <v>39846</v>
      </c>
    </row>
    <row r="227">
      <c r="A227" s="39" t="s">
        <v>1903</v>
      </c>
      <c r="B227" s="39">
        <v>13.0</v>
      </c>
      <c r="D227" s="38">
        <f>IFERROR(__xludf.DUMMYFUNCTION("""COMPUTED_VALUE"""),40002.0)</f>
        <v>40002</v>
      </c>
      <c r="E227" s="39">
        <v>2.0</v>
      </c>
      <c r="G227" s="12">
        <f>DATE(2012,12,31)-1430</f>
        <v>39844</v>
      </c>
    </row>
    <row r="228">
      <c r="A228" s="39" t="s">
        <v>1938</v>
      </c>
      <c r="B228" s="39">
        <v>13.0</v>
      </c>
      <c r="D228" s="38">
        <f>IFERROR(__xludf.DUMMYFUNCTION("""COMPUTED_VALUE"""),40042.0)</f>
        <v>40042</v>
      </c>
      <c r="E228" s="39">
        <v>2.0</v>
      </c>
      <c r="G228" s="12">
        <f>DATE(2012,12,31)-1429</f>
        <v>39845</v>
      </c>
    </row>
    <row r="229">
      <c r="A229" s="39" t="s">
        <v>398</v>
      </c>
      <c r="B229" s="39">
        <v>13.0</v>
      </c>
      <c r="D229" s="38">
        <f>IFERROR(__xludf.DUMMYFUNCTION("""COMPUTED_VALUE"""),39990.0)</f>
        <v>39990</v>
      </c>
      <c r="E229" s="39">
        <v>1.0</v>
      </c>
      <c r="G229" s="12">
        <f>DATE(2012,12,31)-1434</f>
        <v>39840</v>
      </c>
    </row>
    <row r="230">
      <c r="A230" s="39" t="s">
        <v>1439</v>
      </c>
      <c r="B230" s="39">
        <v>13.0</v>
      </c>
      <c r="D230" s="38">
        <f>IFERROR(__xludf.DUMMYFUNCTION("""COMPUTED_VALUE"""),39972.0)</f>
        <v>39972</v>
      </c>
      <c r="E230" s="39">
        <v>1.0</v>
      </c>
      <c r="G230" s="12">
        <f>DATE(2012,12,31)-1430</f>
        <v>39844</v>
      </c>
    </row>
    <row r="231">
      <c r="A231" s="39" t="s">
        <v>2017</v>
      </c>
      <c r="B231" s="39">
        <v>12.0</v>
      </c>
      <c r="D231" s="38">
        <f>IFERROR(__xludf.DUMMYFUNCTION("""COMPUTED_VALUE"""),39973.0)</f>
        <v>39973</v>
      </c>
      <c r="E231" s="39">
        <v>14.0</v>
      </c>
      <c r="G231" s="12">
        <f>DATE(2012,12,31)-1422</f>
        <v>39852</v>
      </c>
    </row>
    <row r="232">
      <c r="A232" s="39" t="s">
        <v>2311</v>
      </c>
      <c r="B232" s="39">
        <v>12.0</v>
      </c>
      <c r="D232" s="38">
        <f>IFERROR(__xludf.DUMMYFUNCTION("""COMPUTED_VALUE"""),40049.0)</f>
        <v>40049</v>
      </c>
      <c r="E232" s="39">
        <v>14.0</v>
      </c>
      <c r="G232" s="12">
        <f>DATE(2012,12,31)-1420</f>
        <v>39854</v>
      </c>
    </row>
    <row r="233">
      <c r="A233" s="39" t="s">
        <v>724</v>
      </c>
      <c r="B233" s="39">
        <v>12.0</v>
      </c>
      <c r="D233" s="38">
        <f>IFERROR(__xludf.DUMMYFUNCTION("""COMPUTED_VALUE"""),40050.0)</f>
        <v>40050</v>
      </c>
      <c r="E233" s="39">
        <v>11.0</v>
      </c>
      <c r="G233" s="12">
        <f>DATE(2012,12,31)-1426</f>
        <v>39848</v>
      </c>
    </row>
    <row r="234">
      <c r="A234" s="39" t="s">
        <v>1377</v>
      </c>
      <c r="B234" s="39">
        <v>12.0</v>
      </c>
      <c r="D234" s="38">
        <f>IFERROR(__xludf.DUMMYFUNCTION("""COMPUTED_VALUE"""),40051.0)</f>
        <v>40051</v>
      </c>
      <c r="E234" s="39">
        <v>11.0</v>
      </c>
      <c r="G234" s="12">
        <f>DATE(2012,12,31)-1425</f>
        <v>39849</v>
      </c>
    </row>
    <row r="235">
      <c r="A235" s="39" t="s">
        <v>1529</v>
      </c>
      <c r="B235" s="39">
        <v>12.0</v>
      </c>
      <c r="D235" s="38">
        <f>IFERROR(__xludf.DUMMYFUNCTION("""COMPUTED_VALUE"""),40052.0)</f>
        <v>40052</v>
      </c>
      <c r="E235" s="39">
        <v>11.0</v>
      </c>
      <c r="G235" s="12">
        <f>DATE(2012,12,31)-1424</f>
        <v>39850</v>
      </c>
    </row>
    <row r="236">
      <c r="A236" s="39" t="s">
        <v>1086</v>
      </c>
      <c r="B236" s="39">
        <v>12.0</v>
      </c>
      <c r="D236" s="38">
        <f>IFERROR(__xludf.DUMMYFUNCTION("""COMPUTED_VALUE"""),40053.0)</f>
        <v>40053</v>
      </c>
      <c r="E236" s="39">
        <v>10.0</v>
      </c>
      <c r="G236" s="12">
        <f>DATE(2012,12,31)-1426</f>
        <v>39848</v>
      </c>
    </row>
    <row r="237">
      <c r="A237" s="39" t="s">
        <v>1253</v>
      </c>
      <c r="B237" s="39">
        <v>12.0</v>
      </c>
      <c r="D237" s="38">
        <f>IFERROR(__xludf.DUMMYFUNCTION("""COMPUTED_VALUE"""),40054.0)</f>
        <v>40054</v>
      </c>
      <c r="E237" s="39">
        <v>10.0</v>
      </c>
      <c r="G237" s="12">
        <f>DATE(2012,12,31)-1425</f>
        <v>39849</v>
      </c>
    </row>
    <row r="238">
      <c r="A238" s="39" t="s">
        <v>2169</v>
      </c>
      <c r="B238" s="39">
        <v>12.0</v>
      </c>
      <c r="D238" s="38">
        <f>IFERROR(__xludf.DUMMYFUNCTION("""COMPUTED_VALUE"""),40055.0)</f>
        <v>40055</v>
      </c>
      <c r="E238" s="39">
        <v>10.0</v>
      </c>
      <c r="G238" s="12">
        <f>DATE(2012,12,31)-1420</f>
        <v>39854</v>
      </c>
    </row>
    <row r="239">
      <c r="A239" s="39" t="s">
        <v>412</v>
      </c>
      <c r="B239" s="39">
        <v>12.0</v>
      </c>
      <c r="D239" s="38">
        <f>IFERROR(__xludf.DUMMYFUNCTION("""COMPUTED_VALUE"""),40056.0)</f>
        <v>40056</v>
      </c>
      <c r="E239" s="39">
        <v>9.0</v>
      </c>
      <c r="G239" s="12">
        <f>DATE(2012,12,31)-1427</f>
        <v>39847</v>
      </c>
    </row>
    <row r="240">
      <c r="A240" s="39" t="s">
        <v>576</v>
      </c>
      <c r="B240" s="39">
        <v>12.0</v>
      </c>
      <c r="D240" s="38">
        <f>IFERROR(__xludf.DUMMYFUNCTION("""COMPUTED_VALUE"""),40057.0)</f>
        <v>40057</v>
      </c>
      <c r="E240" s="39">
        <v>8.0</v>
      </c>
      <c r="G240" s="12">
        <f t="shared" ref="G240:G243" si="43">DATE(2012,12,31)-1426</f>
        <v>39848</v>
      </c>
    </row>
    <row r="241">
      <c r="A241" s="39" t="s">
        <v>626</v>
      </c>
      <c r="B241" s="39">
        <v>12.0</v>
      </c>
      <c r="D241" s="38">
        <f>IFERROR(__xludf.DUMMYFUNCTION("""COMPUTED_VALUE"""),40058.0)</f>
        <v>40058</v>
      </c>
      <c r="E241" s="39">
        <v>8.0</v>
      </c>
      <c r="G241" s="12">
        <f t="shared" si="43"/>
        <v>39848</v>
      </c>
    </row>
    <row r="242">
      <c r="A242" s="39" t="s">
        <v>751</v>
      </c>
      <c r="B242" s="39">
        <v>12.0</v>
      </c>
      <c r="D242" s="38">
        <f>IFERROR(__xludf.DUMMYFUNCTION("""COMPUTED_VALUE"""),40059.0)</f>
        <v>40059</v>
      </c>
      <c r="E242" s="39">
        <v>8.0</v>
      </c>
      <c r="G242" s="12">
        <f t="shared" si="43"/>
        <v>39848</v>
      </c>
    </row>
    <row r="243">
      <c r="A243" s="39" t="s">
        <v>1089</v>
      </c>
      <c r="B243" s="39">
        <v>12.0</v>
      </c>
      <c r="D243" s="38">
        <f>IFERROR(__xludf.DUMMYFUNCTION("""COMPUTED_VALUE"""),40060.0)</f>
        <v>40060</v>
      </c>
      <c r="E243" s="39">
        <v>8.0</v>
      </c>
      <c r="G243" s="12">
        <f t="shared" si="43"/>
        <v>39848</v>
      </c>
    </row>
    <row r="244">
      <c r="A244" s="39" t="s">
        <v>1462</v>
      </c>
      <c r="B244" s="39">
        <v>12.0</v>
      </c>
      <c r="D244" s="38">
        <f>IFERROR(__xludf.DUMMYFUNCTION("""COMPUTED_VALUE"""),40061.0)</f>
        <v>40061</v>
      </c>
      <c r="E244" s="39">
        <v>8.0</v>
      </c>
      <c r="G244" s="12">
        <f>DATE(2012,12,31)-1424</f>
        <v>39850</v>
      </c>
    </row>
    <row r="245">
      <c r="A245" s="39" t="s">
        <v>1862</v>
      </c>
      <c r="B245" s="39">
        <v>12.0</v>
      </c>
      <c r="D245" s="38">
        <f>IFERROR(__xludf.DUMMYFUNCTION("""COMPUTED_VALUE"""),40062.0)</f>
        <v>40062</v>
      </c>
      <c r="E245" s="39">
        <v>8.0</v>
      </c>
      <c r="G245" s="12">
        <f>DATE(2012,12,31)-1423</f>
        <v>39851</v>
      </c>
    </row>
    <row r="246">
      <c r="A246" s="39" t="s">
        <v>167</v>
      </c>
      <c r="B246" s="39">
        <v>12.0</v>
      </c>
      <c r="D246" s="38">
        <f>IFERROR(__xludf.DUMMYFUNCTION("""COMPUTED_VALUE"""),40063.0)</f>
        <v>40063</v>
      </c>
      <c r="E246" s="39">
        <v>7.0</v>
      </c>
      <c r="G246" s="12">
        <f t="shared" ref="G246:G247" si="44">DATE(2012,12,31)-1428</f>
        <v>39846</v>
      </c>
    </row>
    <row r="247">
      <c r="A247" s="39" t="s">
        <v>285</v>
      </c>
      <c r="B247" s="39">
        <v>12.0</v>
      </c>
      <c r="D247" s="38">
        <f>IFERROR(__xludf.DUMMYFUNCTION("""COMPUTED_VALUE"""),40064.0)</f>
        <v>40064</v>
      </c>
      <c r="E247" s="39">
        <v>7.0</v>
      </c>
      <c r="G247" s="12">
        <f t="shared" si="44"/>
        <v>39846</v>
      </c>
    </row>
    <row r="248">
      <c r="A248" s="39" t="s">
        <v>446</v>
      </c>
      <c r="B248" s="39">
        <v>12.0</v>
      </c>
      <c r="D248" s="38">
        <f>IFERROR(__xludf.DUMMYFUNCTION("""COMPUTED_VALUE"""),40065.0)</f>
        <v>40065</v>
      </c>
      <c r="E248" s="39">
        <v>7.0</v>
      </c>
      <c r="G248" s="12">
        <f t="shared" ref="G248:G249" si="45">DATE(2012,12,31)-1426</f>
        <v>39848</v>
      </c>
    </row>
    <row r="249">
      <c r="A249" s="39" t="s">
        <v>863</v>
      </c>
      <c r="B249" s="39">
        <v>12.0</v>
      </c>
      <c r="D249" s="38">
        <f>IFERROR(__xludf.DUMMYFUNCTION("""COMPUTED_VALUE"""),40066.0)</f>
        <v>40066</v>
      </c>
      <c r="E249" s="39">
        <v>7.0</v>
      </c>
      <c r="G249" s="12">
        <f t="shared" si="45"/>
        <v>39848</v>
      </c>
    </row>
    <row r="250">
      <c r="A250" s="39" t="s">
        <v>1308</v>
      </c>
      <c r="B250" s="39">
        <v>12.0</v>
      </c>
      <c r="D250" s="38">
        <f>IFERROR(__xludf.DUMMYFUNCTION("""COMPUTED_VALUE"""),40067.0)</f>
        <v>40067</v>
      </c>
      <c r="E250" s="39">
        <v>7.0</v>
      </c>
      <c r="G250" s="12">
        <f>DATE(2012,12,31)-1425</f>
        <v>39849</v>
      </c>
    </row>
    <row r="251">
      <c r="A251" s="39" t="s">
        <v>1761</v>
      </c>
      <c r="B251" s="39">
        <v>12.0</v>
      </c>
      <c r="D251" s="38">
        <f>IFERROR(__xludf.DUMMYFUNCTION("""COMPUTED_VALUE"""),40068.0)</f>
        <v>40068</v>
      </c>
      <c r="E251" s="39">
        <v>7.0</v>
      </c>
      <c r="G251" s="12">
        <f>DATE(2012,12,31)-1423</f>
        <v>39851</v>
      </c>
    </row>
    <row r="252">
      <c r="A252" s="39" t="s">
        <v>1872</v>
      </c>
      <c r="B252" s="39">
        <v>12.0</v>
      </c>
      <c r="D252" s="38">
        <f>IFERROR(__xludf.DUMMYFUNCTION("""COMPUTED_VALUE"""),40069.0)</f>
        <v>40069</v>
      </c>
      <c r="E252" s="39">
        <v>7.0</v>
      </c>
      <c r="G252" s="12">
        <f>DATE(2012,12,31)-1422</f>
        <v>39852</v>
      </c>
    </row>
    <row r="253">
      <c r="A253" s="39" t="s">
        <v>2217</v>
      </c>
      <c r="B253" s="39">
        <v>12.0</v>
      </c>
      <c r="D253" s="38">
        <f>IFERROR(__xludf.DUMMYFUNCTION("""COMPUTED_VALUE"""),40070.0)</f>
        <v>40070</v>
      </c>
      <c r="E253" s="39">
        <v>7.0</v>
      </c>
      <c r="G253" s="12">
        <f>DATE(2012,12,31)-1420</f>
        <v>39854</v>
      </c>
    </row>
    <row r="254">
      <c r="A254" s="39" t="s">
        <v>689</v>
      </c>
      <c r="B254" s="39">
        <v>12.0</v>
      </c>
      <c r="D254" s="38">
        <f>IFERROR(__xludf.DUMMYFUNCTION("""COMPUTED_VALUE"""),40071.0)</f>
        <v>40071</v>
      </c>
      <c r="E254" s="39">
        <v>6.0</v>
      </c>
      <c r="G254" s="12">
        <f>DATE(2012,12,31)-1426</f>
        <v>39848</v>
      </c>
    </row>
    <row r="255">
      <c r="A255" s="39" t="s">
        <v>1168</v>
      </c>
      <c r="B255" s="39">
        <v>12.0</v>
      </c>
      <c r="D255" s="38">
        <f>IFERROR(__xludf.DUMMYFUNCTION("""COMPUTED_VALUE"""),40072.0)</f>
        <v>40072</v>
      </c>
      <c r="E255" s="39">
        <v>6.0</v>
      </c>
      <c r="G255" s="12">
        <f t="shared" ref="G255:G256" si="46">DATE(2012,12,31)-1425</f>
        <v>39849</v>
      </c>
    </row>
    <row r="256">
      <c r="A256" s="39" t="s">
        <v>1179</v>
      </c>
      <c r="B256" s="39">
        <v>12.0</v>
      </c>
      <c r="D256" s="38">
        <f>IFERROR(__xludf.DUMMYFUNCTION("""COMPUTED_VALUE"""),40073.0)</f>
        <v>40073</v>
      </c>
      <c r="E256" s="39">
        <v>6.0</v>
      </c>
      <c r="G256" s="12">
        <f t="shared" si="46"/>
        <v>39849</v>
      </c>
    </row>
    <row r="257">
      <c r="A257" s="39" t="s">
        <v>1387</v>
      </c>
      <c r="B257" s="39">
        <v>12.0</v>
      </c>
      <c r="D257" s="38">
        <f>IFERROR(__xludf.DUMMYFUNCTION("""COMPUTED_VALUE"""),40074.0)</f>
        <v>40074</v>
      </c>
      <c r="E257" s="39">
        <v>6.0</v>
      </c>
      <c r="G257" s="12">
        <f t="shared" ref="G257:G258" si="47">DATE(2012,12,31)-1424</f>
        <v>39850</v>
      </c>
    </row>
    <row r="258">
      <c r="A258" s="39" t="s">
        <v>1444</v>
      </c>
      <c r="B258" s="39">
        <v>12.0</v>
      </c>
      <c r="D258" s="38">
        <f>IFERROR(__xludf.DUMMYFUNCTION("""COMPUTED_VALUE"""),40075.0)</f>
        <v>40075</v>
      </c>
      <c r="E258" s="39">
        <v>6.0</v>
      </c>
      <c r="G258" s="12">
        <f t="shared" si="47"/>
        <v>39850</v>
      </c>
    </row>
    <row r="259">
      <c r="A259" s="39" t="s">
        <v>2527</v>
      </c>
      <c r="B259" s="39">
        <v>12.0</v>
      </c>
      <c r="D259" s="38">
        <f>IFERROR(__xludf.DUMMYFUNCTION("""COMPUTED_VALUE"""),40076.0)</f>
        <v>40076</v>
      </c>
      <c r="E259" s="39">
        <v>6.0</v>
      </c>
      <c r="G259" s="12">
        <f>DATE(2012,12,31)-1419</f>
        <v>39855</v>
      </c>
    </row>
    <row r="260">
      <c r="A260" s="39" t="s">
        <v>1231</v>
      </c>
      <c r="B260" s="39">
        <v>12.0</v>
      </c>
      <c r="D260" s="38">
        <f>IFERROR(__xludf.DUMMYFUNCTION("""COMPUTED_VALUE"""),40077.0)</f>
        <v>40077</v>
      </c>
      <c r="E260" s="39">
        <v>5.0</v>
      </c>
      <c r="G260" s="12">
        <f t="shared" ref="G260:G261" si="48">DATE(2012,12,31)-1425</f>
        <v>39849</v>
      </c>
    </row>
    <row r="261">
      <c r="A261" s="39" t="s">
        <v>1345</v>
      </c>
      <c r="B261" s="39">
        <v>12.0</v>
      </c>
      <c r="D261" s="38">
        <f>IFERROR(__xludf.DUMMYFUNCTION("""COMPUTED_VALUE"""),40078.0)</f>
        <v>40078</v>
      </c>
      <c r="E261" s="39">
        <v>5.0</v>
      </c>
      <c r="G261" s="12">
        <f t="shared" si="48"/>
        <v>39849</v>
      </c>
    </row>
    <row r="262">
      <c r="A262" s="39" t="s">
        <v>1750</v>
      </c>
      <c r="B262" s="39">
        <v>12.0</v>
      </c>
      <c r="D262" s="38">
        <f>IFERROR(__xludf.DUMMYFUNCTION("""COMPUTED_VALUE"""),40079.0)</f>
        <v>40079</v>
      </c>
      <c r="E262" s="39">
        <v>5.0</v>
      </c>
      <c r="G262" s="12">
        <f>DATE(2012,12,31)-1423</f>
        <v>39851</v>
      </c>
    </row>
    <row r="263">
      <c r="A263" s="39" t="s">
        <v>2027</v>
      </c>
      <c r="B263" s="39">
        <v>12.0</v>
      </c>
      <c r="D263" s="38">
        <f>IFERROR(__xludf.DUMMYFUNCTION("""COMPUTED_VALUE"""),40080.0)</f>
        <v>40080</v>
      </c>
      <c r="E263" s="39">
        <v>5.0</v>
      </c>
      <c r="G263" s="12">
        <f>DATE(2012,12,31)-1422</f>
        <v>39852</v>
      </c>
    </row>
    <row r="264">
      <c r="A264" s="39" t="s">
        <v>2384</v>
      </c>
      <c r="B264" s="39">
        <v>12.0</v>
      </c>
      <c r="D264" s="38">
        <f>IFERROR(__xludf.DUMMYFUNCTION("""COMPUTED_VALUE"""),40081.0)</f>
        <v>40081</v>
      </c>
      <c r="E264" s="39">
        <v>5.0</v>
      </c>
      <c r="G264" s="12">
        <f t="shared" ref="G264:G265" si="49">DATE(2012,12,31)-1420</f>
        <v>39854</v>
      </c>
    </row>
    <row r="265">
      <c r="A265" s="39" t="s">
        <v>2441</v>
      </c>
      <c r="B265" s="39">
        <v>12.0</v>
      </c>
      <c r="D265" s="38">
        <f>IFERROR(__xludf.DUMMYFUNCTION("""COMPUTED_VALUE"""),40082.0)</f>
        <v>40082</v>
      </c>
      <c r="E265" s="39">
        <v>5.0</v>
      </c>
      <c r="G265" s="12">
        <f t="shared" si="49"/>
        <v>39854</v>
      </c>
    </row>
    <row r="266">
      <c r="A266" s="39" t="s">
        <v>307</v>
      </c>
      <c r="B266" s="39">
        <v>12.0</v>
      </c>
      <c r="D266" s="38">
        <f>IFERROR(__xludf.DUMMYFUNCTION("""COMPUTED_VALUE"""),40083.0)</f>
        <v>40083</v>
      </c>
      <c r="E266" s="39">
        <v>4.0</v>
      </c>
      <c r="G266" s="12">
        <f>DATE(2012,12,31)-1428</f>
        <v>39846</v>
      </c>
    </row>
    <row r="267">
      <c r="A267" s="39" t="s">
        <v>382</v>
      </c>
      <c r="B267" s="39">
        <v>12.0</v>
      </c>
      <c r="D267" s="38">
        <f>IFERROR(__xludf.DUMMYFUNCTION("""COMPUTED_VALUE"""),40084.0)</f>
        <v>40084</v>
      </c>
      <c r="E267" s="39">
        <v>4.0</v>
      </c>
      <c r="G267" s="12">
        <f>DATE(2012,12,31)-1427</f>
        <v>39847</v>
      </c>
    </row>
    <row r="268">
      <c r="A268" s="39" t="s">
        <v>904</v>
      </c>
      <c r="B268" s="39">
        <v>12.0</v>
      </c>
      <c r="D268" s="38">
        <f>IFERROR(__xludf.DUMMYFUNCTION("""COMPUTED_VALUE"""),40085.0)</f>
        <v>40085</v>
      </c>
      <c r="E268" s="39">
        <v>4.0</v>
      </c>
      <c r="G268" s="12">
        <f>DATE(2012,12,31)-1426</f>
        <v>39848</v>
      </c>
    </row>
    <row r="269">
      <c r="A269" s="39" t="s">
        <v>1581</v>
      </c>
      <c r="B269" s="39">
        <v>12.0</v>
      </c>
      <c r="D269" s="38">
        <f>IFERROR(__xludf.DUMMYFUNCTION("""COMPUTED_VALUE"""),40086.0)</f>
        <v>40086</v>
      </c>
      <c r="E269" s="39">
        <v>4.0</v>
      </c>
      <c r="G269" s="12">
        <f t="shared" ref="G269:G270" si="50">DATE(2012,12,31)-1423</f>
        <v>39851</v>
      </c>
    </row>
    <row r="270">
      <c r="A270" s="39" t="s">
        <v>1681</v>
      </c>
      <c r="B270" s="39">
        <v>12.0</v>
      </c>
      <c r="D270" s="38">
        <f>IFERROR(__xludf.DUMMYFUNCTION("""COMPUTED_VALUE"""),40087.0)</f>
        <v>40087</v>
      </c>
      <c r="E270" s="39">
        <v>4.0</v>
      </c>
      <c r="G270" s="12">
        <f t="shared" si="50"/>
        <v>39851</v>
      </c>
    </row>
    <row r="271">
      <c r="A271" s="39" t="s">
        <v>1935</v>
      </c>
      <c r="B271" s="39">
        <v>12.0</v>
      </c>
      <c r="D271" s="38">
        <f>IFERROR(__xludf.DUMMYFUNCTION("""COMPUTED_VALUE"""),40088.0)</f>
        <v>40088</v>
      </c>
      <c r="E271" s="39">
        <v>4.0</v>
      </c>
      <c r="G271" s="12">
        <f>DATE(2012,12,31)-1422</f>
        <v>39852</v>
      </c>
    </row>
    <row r="272">
      <c r="A272" s="39" t="s">
        <v>507</v>
      </c>
      <c r="B272" s="39">
        <v>12.0</v>
      </c>
      <c r="D272" s="38">
        <f>IFERROR(__xludf.DUMMYFUNCTION("""COMPUTED_VALUE"""),40090.0)</f>
        <v>40090</v>
      </c>
      <c r="E272" s="39">
        <v>3.0</v>
      </c>
      <c r="G272" s="12">
        <f t="shared" ref="G272:G274" si="51">DATE(2012,12,31)-1426</f>
        <v>39848</v>
      </c>
    </row>
    <row r="273">
      <c r="A273" s="39" t="s">
        <v>900</v>
      </c>
      <c r="B273" s="39">
        <v>12.0</v>
      </c>
      <c r="D273" s="38">
        <f>IFERROR(__xludf.DUMMYFUNCTION("""COMPUTED_VALUE"""),40091.0)</f>
        <v>40091</v>
      </c>
      <c r="E273" s="39">
        <v>3.0</v>
      </c>
      <c r="G273" s="12">
        <f t="shared" si="51"/>
        <v>39848</v>
      </c>
    </row>
    <row r="274">
      <c r="A274" s="39" t="s">
        <v>1027</v>
      </c>
      <c r="B274" s="39">
        <v>12.0</v>
      </c>
      <c r="D274" s="38">
        <f>IFERROR(__xludf.DUMMYFUNCTION("""COMPUTED_VALUE"""),40092.0)</f>
        <v>40092</v>
      </c>
      <c r="E274" s="39">
        <v>3.0</v>
      </c>
      <c r="G274" s="12">
        <f t="shared" si="51"/>
        <v>39848</v>
      </c>
    </row>
    <row r="275">
      <c r="A275" s="39" t="s">
        <v>2167</v>
      </c>
      <c r="B275" s="39">
        <v>12.0</v>
      </c>
      <c r="D275" s="38">
        <f>IFERROR(__xludf.DUMMYFUNCTION("""COMPUTED_VALUE"""),40093.0)</f>
        <v>40093</v>
      </c>
      <c r="E275" s="39">
        <v>3.0</v>
      </c>
      <c r="G275" s="12">
        <f>DATE(2012,12,31)-1421</f>
        <v>39853</v>
      </c>
    </row>
    <row r="276">
      <c r="A276" s="39" t="s">
        <v>1390</v>
      </c>
      <c r="B276" s="39">
        <v>12.0</v>
      </c>
      <c r="D276" s="38">
        <f>IFERROR(__xludf.DUMMYFUNCTION("""COMPUTED_VALUE"""),40094.0)</f>
        <v>40094</v>
      </c>
      <c r="E276" s="39">
        <v>2.0</v>
      </c>
      <c r="G276" s="12">
        <f t="shared" ref="G276:G277" si="52">DATE(2012,12,31)-1424</f>
        <v>39850</v>
      </c>
    </row>
    <row r="277">
      <c r="A277" s="39" t="s">
        <v>1415</v>
      </c>
      <c r="B277" s="39">
        <v>12.0</v>
      </c>
      <c r="D277" s="38">
        <f>IFERROR(__xludf.DUMMYFUNCTION("""COMPUTED_VALUE"""),40095.0)</f>
        <v>40095</v>
      </c>
      <c r="E277" s="39">
        <v>2.0</v>
      </c>
      <c r="G277" s="12">
        <f t="shared" si="52"/>
        <v>39850</v>
      </c>
    </row>
    <row r="278">
      <c r="A278" s="39" t="s">
        <v>2495</v>
      </c>
      <c r="B278" s="39">
        <v>12.0</v>
      </c>
      <c r="D278" s="38">
        <f>IFERROR(__xludf.DUMMYFUNCTION("""COMPUTED_VALUE"""),40096.0)</f>
        <v>40096</v>
      </c>
      <c r="E278" s="39">
        <v>2.0</v>
      </c>
      <c r="G278" s="12">
        <f>DATE(2012,12,31)-1419</f>
        <v>39855</v>
      </c>
    </row>
    <row r="279">
      <c r="A279" s="39" t="s">
        <v>563</v>
      </c>
      <c r="B279" s="39">
        <v>12.0</v>
      </c>
      <c r="D279" s="38">
        <f>IFERROR(__xludf.DUMMYFUNCTION("""COMPUTED_VALUE"""),40097.0)</f>
        <v>40097</v>
      </c>
      <c r="E279" s="39">
        <v>1.0</v>
      </c>
      <c r="G279" s="12">
        <f t="shared" ref="G279:G281" si="53">DATE(2012,12,31)-1426</f>
        <v>39848</v>
      </c>
    </row>
    <row r="280">
      <c r="A280" s="39" t="s">
        <v>719</v>
      </c>
      <c r="B280" s="39">
        <v>12.0</v>
      </c>
      <c r="D280" s="38">
        <f>IFERROR(__xludf.DUMMYFUNCTION("""COMPUTED_VALUE"""),40098.0)</f>
        <v>40098</v>
      </c>
      <c r="E280" s="39">
        <v>1.0</v>
      </c>
      <c r="G280" s="12">
        <f t="shared" si="53"/>
        <v>39848</v>
      </c>
    </row>
    <row r="281">
      <c r="A281" s="39" t="s">
        <v>930</v>
      </c>
      <c r="B281" s="39">
        <v>12.0</v>
      </c>
      <c r="D281" s="38">
        <f>IFERROR(__xludf.DUMMYFUNCTION("""COMPUTED_VALUE"""),40099.0)</f>
        <v>40099</v>
      </c>
      <c r="E281" s="39">
        <v>1.0</v>
      </c>
      <c r="G281" s="12">
        <f t="shared" si="53"/>
        <v>39848</v>
      </c>
    </row>
    <row r="282">
      <c r="A282" s="39" t="s">
        <v>1605</v>
      </c>
      <c r="B282" s="39">
        <v>11.0</v>
      </c>
      <c r="D282" s="38">
        <f>IFERROR(__xludf.DUMMYFUNCTION("""COMPUTED_VALUE"""),40101.0)</f>
        <v>40101</v>
      </c>
      <c r="E282" s="39">
        <v>13.0</v>
      </c>
      <c r="G282" s="12">
        <f>DATE(2012,12,31)-1414</f>
        <v>39860</v>
      </c>
    </row>
    <row r="283">
      <c r="A283" s="39" t="s">
        <v>2276</v>
      </c>
      <c r="B283" s="39">
        <v>11.0</v>
      </c>
      <c r="D283" s="38">
        <f>IFERROR(__xludf.DUMMYFUNCTION("""COMPUTED_VALUE"""),40103.0)</f>
        <v>40103</v>
      </c>
      <c r="E283" s="39">
        <v>13.0</v>
      </c>
      <c r="G283" s="12">
        <f>DATE(2012,12,31)-1410</f>
        <v>39864</v>
      </c>
    </row>
    <row r="284">
      <c r="A284" s="39" t="s">
        <v>988</v>
      </c>
      <c r="B284" s="39">
        <v>11.0</v>
      </c>
      <c r="D284" s="38">
        <f>IFERROR(__xludf.DUMMYFUNCTION("""COMPUTED_VALUE"""),40104.0)</f>
        <v>40104</v>
      </c>
      <c r="E284" s="39">
        <v>12.0</v>
      </c>
      <c r="G284" s="12">
        <f t="shared" ref="G284:G285" si="54">DATE(2012,12,31)-1417</f>
        <v>39857</v>
      </c>
    </row>
    <row r="285">
      <c r="A285" s="39" t="s">
        <v>966</v>
      </c>
      <c r="B285" s="39">
        <v>11.0</v>
      </c>
      <c r="D285" s="38">
        <f>IFERROR(__xludf.DUMMYFUNCTION("""COMPUTED_VALUE"""),40105.0)</f>
        <v>40105</v>
      </c>
      <c r="E285" s="39">
        <v>11.0</v>
      </c>
      <c r="G285" s="12">
        <f t="shared" si="54"/>
        <v>39857</v>
      </c>
    </row>
    <row r="286">
      <c r="A286" s="39" t="s">
        <v>1643</v>
      </c>
      <c r="B286" s="39">
        <v>11.0</v>
      </c>
      <c r="D286" s="38">
        <f>IFERROR(__xludf.DUMMYFUNCTION("""COMPUTED_VALUE"""),40106.0)</f>
        <v>40106</v>
      </c>
      <c r="E286" s="39">
        <v>11.0</v>
      </c>
      <c r="G286" s="12">
        <f>DATE(2012,12,31)-1413</f>
        <v>39861</v>
      </c>
    </row>
    <row r="287">
      <c r="A287" s="39" t="s">
        <v>2156</v>
      </c>
      <c r="B287" s="39">
        <v>11.0</v>
      </c>
      <c r="D287" s="38">
        <f>IFERROR(__xludf.DUMMYFUNCTION("""COMPUTED_VALUE"""),40107.0)</f>
        <v>40107</v>
      </c>
      <c r="E287" s="39">
        <v>11.0</v>
      </c>
      <c r="G287" s="12">
        <f>DATE(2012,12,31)-1411</f>
        <v>39863</v>
      </c>
    </row>
    <row r="288">
      <c r="A288" s="39" t="s">
        <v>329</v>
      </c>
      <c r="B288" s="39">
        <v>11.0</v>
      </c>
      <c r="D288" s="38">
        <f>IFERROR(__xludf.DUMMYFUNCTION("""COMPUTED_VALUE"""),40108.0)</f>
        <v>40108</v>
      </c>
      <c r="E288" s="39">
        <v>10.0</v>
      </c>
      <c r="G288" s="12">
        <f>DATE(2012,12,31)-1418</f>
        <v>39856</v>
      </c>
    </row>
    <row r="289">
      <c r="A289" s="39" t="s">
        <v>1405</v>
      </c>
      <c r="B289" s="39">
        <v>11.0</v>
      </c>
      <c r="D289" s="38">
        <f>IFERROR(__xludf.DUMMYFUNCTION("""COMPUTED_VALUE"""),40109.0)</f>
        <v>40109</v>
      </c>
      <c r="E289" s="39">
        <v>10.0</v>
      </c>
      <c r="G289" s="12">
        <f>DATE(2012,12,31)-1415</f>
        <v>39859</v>
      </c>
    </row>
    <row r="290">
      <c r="A290" s="39" t="s">
        <v>1716</v>
      </c>
      <c r="B290" s="39">
        <v>11.0</v>
      </c>
      <c r="D290" s="38">
        <f>IFERROR(__xludf.DUMMYFUNCTION("""COMPUTED_VALUE"""),40110.0)</f>
        <v>40110</v>
      </c>
      <c r="E290" s="39">
        <v>10.0</v>
      </c>
      <c r="G290" s="12">
        <f>DATE(2012,12,31)-1413</f>
        <v>39861</v>
      </c>
    </row>
    <row r="291">
      <c r="A291" s="39" t="s">
        <v>40</v>
      </c>
      <c r="B291" s="39">
        <v>11.0</v>
      </c>
      <c r="D291" s="38">
        <f>IFERROR(__xludf.DUMMYFUNCTION("""COMPUTED_VALUE"""),40111.0)</f>
        <v>40111</v>
      </c>
      <c r="E291" s="39">
        <v>9.0</v>
      </c>
      <c r="G291" s="12">
        <f>DATE(2012,12,31)-1419</f>
        <v>39855</v>
      </c>
    </row>
    <row r="292">
      <c r="A292" s="39" t="s">
        <v>653</v>
      </c>
      <c r="B292" s="39">
        <v>11.0</v>
      </c>
      <c r="D292" s="38">
        <f>IFERROR(__xludf.DUMMYFUNCTION("""COMPUTED_VALUE"""),40112.0)</f>
        <v>40112</v>
      </c>
      <c r="E292" s="39">
        <v>9.0</v>
      </c>
      <c r="G292" s="12">
        <f>DATE(2012,12,31)-1418</f>
        <v>39856</v>
      </c>
    </row>
    <row r="293">
      <c r="A293" s="39" t="s">
        <v>993</v>
      </c>
      <c r="B293" s="39">
        <v>11.0</v>
      </c>
      <c r="D293" s="38">
        <f>IFERROR(__xludf.DUMMYFUNCTION("""COMPUTED_VALUE"""),40113.0)</f>
        <v>40113</v>
      </c>
      <c r="E293" s="39">
        <v>9.0</v>
      </c>
      <c r="G293" s="12">
        <f>DATE(2012,12,31)-1417</f>
        <v>39857</v>
      </c>
    </row>
    <row r="294">
      <c r="A294" s="39" t="s">
        <v>1851</v>
      </c>
      <c r="B294" s="39">
        <v>11.0</v>
      </c>
      <c r="D294" s="38">
        <f>IFERROR(__xludf.DUMMYFUNCTION("""COMPUTED_VALUE"""),40114.0)</f>
        <v>40114</v>
      </c>
      <c r="E294" s="39">
        <v>9.0</v>
      </c>
      <c r="G294" s="12">
        <f>DATE(2012,12,31)-1411</f>
        <v>39863</v>
      </c>
    </row>
    <row r="295">
      <c r="A295" s="39" t="s">
        <v>1130</v>
      </c>
      <c r="B295" s="39">
        <v>11.0</v>
      </c>
      <c r="D295" s="38">
        <f>IFERROR(__xludf.DUMMYFUNCTION("""COMPUTED_VALUE"""),40115.0)</f>
        <v>40115</v>
      </c>
      <c r="E295" s="39">
        <v>8.0</v>
      </c>
      <c r="G295" s="12">
        <f>DATE(2012,12,31)-1416</f>
        <v>39858</v>
      </c>
    </row>
    <row r="296">
      <c r="A296" s="39" t="s">
        <v>1433</v>
      </c>
      <c r="B296" s="39">
        <v>11.0</v>
      </c>
      <c r="D296" s="38">
        <f>IFERROR(__xludf.DUMMYFUNCTION("""COMPUTED_VALUE"""),40116.0)</f>
        <v>40116</v>
      </c>
      <c r="E296" s="39">
        <v>8.0</v>
      </c>
      <c r="G296" s="12">
        <f>DATE(2012,12,31)-1414</f>
        <v>39860</v>
      </c>
    </row>
    <row r="297">
      <c r="A297" s="39" t="s">
        <v>1939</v>
      </c>
      <c r="B297" s="39">
        <v>11.0</v>
      </c>
      <c r="D297" s="38">
        <f>IFERROR(__xludf.DUMMYFUNCTION("""COMPUTED_VALUE"""),40117.0)</f>
        <v>40117</v>
      </c>
      <c r="E297" s="39">
        <v>8.0</v>
      </c>
      <c r="G297" s="12">
        <f>DATE(2012,12,31)-1411</f>
        <v>39863</v>
      </c>
    </row>
    <row r="298">
      <c r="A298" s="39" t="s">
        <v>187</v>
      </c>
      <c r="B298" s="39">
        <v>11.0</v>
      </c>
      <c r="D298" s="38">
        <f>IFERROR(__xludf.DUMMYFUNCTION("""COMPUTED_VALUE"""),40118.0)</f>
        <v>40118</v>
      </c>
      <c r="E298" s="39">
        <v>7.0</v>
      </c>
      <c r="G298" s="12">
        <f>DATE(2012,12,31)-1419</f>
        <v>39855</v>
      </c>
    </row>
    <row r="299">
      <c r="A299" s="39" t="s">
        <v>561</v>
      </c>
      <c r="B299" s="39">
        <v>11.0</v>
      </c>
      <c r="D299" s="38">
        <f>IFERROR(__xludf.DUMMYFUNCTION("""COMPUTED_VALUE"""),40119.0)</f>
        <v>40119</v>
      </c>
      <c r="E299" s="39">
        <v>7.0</v>
      </c>
      <c r="G299" s="12">
        <f>DATE(2012,12,31)-1418</f>
        <v>39856</v>
      </c>
    </row>
    <row r="300">
      <c r="A300" s="39" t="s">
        <v>1170</v>
      </c>
      <c r="B300" s="39">
        <v>11.0</v>
      </c>
      <c r="D300" s="38">
        <f>IFERROR(__xludf.DUMMYFUNCTION("""COMPUTED_VALUE"""),40120.0)</f>
        <v>40120</v>
      </c>
      <c r="E300" s="39">
        <v>7.0</v>
      </c>
      <c r="G300" s="12">
        <f>DATE(2012,12,31)-1415</f>
        <v>39859</v>
      </c>
    </row>
    <row r="301">
      <c r="A301" s="39" t="s">
        <v>317</v>
      </c>
      <c r="B301" s="39">
        <v>11.0</v>
      </c>
      <c r="D301" s="38">
        <f>IFERROR(__xludf.DUMMYFUNCTION("""COMPUTED_VALUE"""),40121.0)</f>
        <v>40121</v>
      </c>
      <c r="E301" s="39">
        <v>6.0</v>
      </c>
      <c r="G301" s="12">
        <f>DATE(2012,12,31)-1418</f>
        <v>39856</v>
      </c>
    </row>
    <row r="302">
      <c r="A302" s="39" t="s">
        <v>1697</v>
      </c>
      <c r="B302" s="39">
        <v>11.0</v>
      </c>
      <c r="D302" s="38">
        <f>IFERROR(__xludf.DUMMYFUNCTION("""COMPUTED_VALUE"""),40122.0)</f>
        <v>40122</v>
      </c>
      <c r="E302" s="39">
        <v>6.0</v>
      </c>
      <c r="G302" s="12">
        <f>DATE(2012,12,31)-1413</f>
        <v>39861</v>
      </c>
    </row>
    <row r="303">
      <c r="A303" s="39" t="s">
        <v>1829</v>
      </c>
      <c r="B303" s="39">
        <v>11.0</v>
      </c>
      <c r="D303" s="38">
        <f>IFERROR(__xludf.DUMMYFUNCTION("""COMPUTED_VALUE"""),40123.0)</f>
        <v>40123</v>
      </c>
      <c r="E303" s="39">
        <v>6.0</v>
      </c>
      <c r="G303" s="12">
        <f>DATE(2012,12,31)-1412</f>
        <v>39862</v>
      </c>
    </row>
    <row r="304">
      <c r="A304" s="39" t="s">
        <v>2319</v>
      </c>
      <c r="B304" s="39">
        <v>11.0</v>
      </c>
      <c r="D304" s="38">
        <f>IFERROR(__xludf.DUMMYFUNCTION("""COMPUTED_VALUE"""),40124.0)</f>
        <v>40124</v>
      </c>
      <c r="E304" s="39">
        <v>6.0</v>
      </c>
      <c r="G304" s="12">
        <f>DATE(2012,12,31)-1410</f>
        <v>39864</v>
      </c>
    </row>
    <row r="305">
      <c r="A305" s="39" t="s">
        <v>180</v>
      </c>
      <c r="B305" s="39">
        <v>11.0</v>
      </c>
      <c r="D305" s="38">
        <f>IFERROR(__xludf.DUMMYFUNCTION("""COMPUTED_VALUE"""),40125.0)</f>
        <v>40125</v>
      </c>
      <c r="E305" s="39">
        <v>5.0</v>
      </c>
      <c r="G305" s="12">
        <f>DATE(2012,12,31)-1419</f>
        <v>39855</v>
      </c>
    </row>
    <row r="306">
      <c r="A306" s="39" t="s">
        <v>340</v>
      </c>
      <c r="B306" s="39">
        <v>11.0</v>
      </c>
      <c r="D306" s="38">
        <f>IFERROR(__xludf.DUMMYFUNCTION("""COMPUTED_VALUE"""),40126.0)</f>
        <v>40126</v>
      </c>
      <c r="E306" s="39">
        <v>5.0</v>
      </c>
      <c r="G306" s="12">
        <f t="shared" ref="G306:G307" si="55">DATE(2012,12,31)-1418</f>
        <v>39856</v>
      </c>
    </row>
    <row r="307">
      <c r="A307" s="39" t="s">
        <v>444</v>
      </c>
      <c r="B307" s="39">
        <v>11.0</v>
      </c>
      <c r="D307" s="38">
        <f>IFERROR(__xludf.DUMMYFUNCTION("""COMPUTED_VALUE"""),40127.0)</f>
        <v>40127</v>
      </c>
      <c r="E307" s="39">
        <v>5.0</v>
      </c>
      <c r="G307" s="12">
        <f t="shared" si="55"/>
        <v>39856</v>
      </c>
    </row>
    <row r="308">
      <c r="A308" s="39" t="s">
        <v>871</v>
      </c>
      <c r="B308" s="39">
        <v>11.0</v>
      </c>
      <c r="D308" s="38">
        <f>IFERROR(__xludf.DUMMYFUNCTION("""COMPUTED_VALUE"""),40128.0)</f>
        <v>40128</v>
      </c>
      <c r="E308" s="39">
        <v>5.0</v>
      </c>
      <c r="G308" s="12">
        <f>DATE(2012,12,31)-1417</f>
        <v>39857</v>
      </c>
    </row>
    <row r="309">
      <c r="A309" s="39" t="s">
        <v>1099</v>
      </c>
      <c r="B309" s="39">
        <v>11.0</v>
      </c>
      <c r="D309" s="38">
        <f>IFERROR(__xludf.DUMMYFUNCTION("""COMPUTED_VALUE"""),40129.0)</f>
        <v>40129</v>
      </c>
      <c r="E309" s="39">
        <v>5.0</v>
      </c>
      <c r="G309" s="12">
        <f>DATE(2012,12,31)-1416</f>
        <v>39858</v>
      </c>
    </row>
    <row r="310">
      <c r="A310" s="39" t="s">
        <v>1235</v>
      </c>
      <c r="B310" s="39">
        <v>11.0</v>
      </c>
      <c r="D310" s="38">
        <f>IFERROR(__xludf.DUMMYFUNCTION("""COMPUTED_VALUE"""),40130.0)</f>
        <v>40130</v>
      </c>
      <c r="E310" s="39">
        <v>5.0</v>
      </c>
      <c r="G310" s="12">
        <f>DATE(2012,12,31)-1415</f>
        <v>39859</v>
      </c>
    </row>
    <row r="311">
      <c r="A311" s="39" t="s">
        <v>1896</v>
      </c>
      <c r="B311" s="39">
        <v>11.0</v>
      </c>
      <c r="D311" s="38">
        <f>IFERROR(__xludf.DUMMYFUNCTION("""COMPUTED_VALUE"""),40131.0)</f>
        <v>40131</v>
      </c>
      <c r="E311" s="39">
        <v>5.0</v>
      </c>
      <c r="G311" s="12">
        <f>DATE(2012,12,31)-1411</f>
        <v>39863</v>
      </c>
    </row>
    <row r="312">
      <c r="A312" s="39" t="s">
        <v>2513</v>
      </c>
      <c r="B312" s="39">
        <v>11.0</v>
      </c>
      <c r="D312" s="38">
        <f>IFERROR(__xludf.DUMMYFUNCTION("""COMPUTED_VALUE"""),40132.0)</f>
        <v>40132</v>
      </c>
      <c r="E312" s="39">
        <v>5.0</v>
      </c>
      <c r="G312" s="12">
        <f>DATE(2012,12,31)-1410</f>
        <v>39864</v>
      </c>
    </row>
    <row r="313">
      <c r="A313" s="39" t="s">
        <v>421</v>
      </c>
      <c r="B313" s="39">
        <v>11.0</v>
      </c>
      <c r="D313" s="38">
        <f>IFERROR(__xludf.DUMMYFUNCTION("""COMPUTED_VALUE"""),40133.0)</f>
        <v>40133</v>
      </c>
      <c r="E313" s="39">
        <v>4.0</v>
      </c>
      <c r="G313" s="12">
        <f t="shared" ref="G313:G314" si="56">DATE(2012,12,31)-1418</f>
        <v>39856</v>
      </c>
    </row>
    <row r="314">
      <c r="A314" s="39" t="s">
        <v>821</v>
      </c>
      <c r="B314" s="39">
        <v>11.0</v>
      </c>
      <c r="D314" s="38">
        <f>IFERROR(__xludf.DUMMYFUNCTION("""COMPUTED_VALUE"""),40134.0)</f>
        <v>40134</v>
      </c>
      <c r="E314" s="39">
        <v>4.0</v>
      </c>
      <c r="G314" s="12">
        <f t="shared" si="56"/>
        <v>39856</v>
      </c>
    </row>
    <row r="315">
      <c r="A315" s="39" t="s">
        <v>1192</v>
      </c>
      <c r="B315" s="39">
        <v>11.0</v>
      </c>
      <c r="D315" s="38">
        <f>IFERROR(__xludf.DUMMYFUNCTION("""COMPUTED_VALUE"""),40135.0)</f>
        <v>40135</v>
      </c>
      <c r="E315" s="39">
        <v>4.0</v>
      </c>
      <c r="G315" s="12">
        <f>DATE(2012,12,31)-1415</f>
        <v>39859</v>
      </c>
    </row>
    <row r="316">
      <c r="A316" s="39" t="s">
        <v>1607</v>
      </c>
      <c r="B316" s="39">
        <v>11.0</v>
      </c>
      <c r="D316" s="38">
        <f>IFERROR(__xludf.DUMMYFUNCTION("""COMPUTED_VALUE"""),40136.0)</f>
        <v>40136</v>
      </c>
      <c r="E316" s="39">
        <v>4.0</v>
      </c>
      <c r="G316" s="12">
        <f t="shared" ref="G316:G317" si="57">DATE(2012,12,31)-1414</f>
        <v>39860</v>
      </c>
    </row>
    <row r="317">
      <c r="A317" s="39" t="s">
        <v>1620</v>
      </c>
      <c r="B317" s="39">
        <v>11.0</v>
      </c>
      <c r="D317" s="38">
        <f>IFERROR(__xludf.DUMMYFUNCTION("""COMPUTED_VALUE"""),40137.0)</f>
        <v>40137</v>
      </c>
      <c r="E317" s="39">
        <v>4.0</v>
      </c>
      <c r="G317" s="12">
        <f t="shared" si="57"/>
        <v>39860</v>
      </c>
    </row>
    <row r="318">
      <c r="A318" s="39" t="s">
        <v>1756</v>
      </c>
      <c r="B318" s="39">
        <v>11.0</v>
      </c>
      <c r="D318" s="38">
        <f>IFERROR(__xludf.DUMMYFUNCTION("""COMPUTED_VALUE"""),40138.0)</f>
        <v>40138</v>
      </c>
      <c r="E318" s="39">
        <v>4.0</v>
      </c>
      <c r="G318" s="12">
        <f>DATE(2012,12,31)-1412</f>
        <v>39862</v>
      </c>
    </row>
    <row r="319">
      <c r="A319" s="39" t="s">
        <v>2101</v>
      </c>
      <c r="B319" s="39">
        <v>11.0</v>
      </c>
      <c r="D319" s="38">
        <f>IFERROR(__xludf.DUMMYFUNCTION("""COMPUTED_VALUE"""),40139.0)</f>
        <v>40139</v>
      </c>
      <c r="E319" s="39">
        <v>4.0</v>
      </c>
      <c r="G319" s="12">
        <f>DATE(2012,12,31)-1411</f>
        <v>39863</v>
      </c>
    </row>
    <row r="320">
      <c r="A320" s="39" t="s">
        <v>436</v>
      </c>
      <c r="B320" s="39">
        <v>11.0</v>
      </c>
      <c r="D320" s="38">
        <f>IFERROR(__xludf.DUMMYFUNCTION("""COMPUTED_VALUE"""),40140.0)</f>
        <v>40140</v>
      </c>
      <c r="E320" s="39">
        <v>3.0</v>
      </c>
      <c r="G320" s="12">
        <f t="shared" ref="G320:G321" si="58">DATE(2012,12,31)-1418</f>
        <v>39856</v>
      </c>
    </row>
    <row r="321">
      <c r="A321" s="39" t="s">
        <v>533</v>
      </c>
      <c r="B321" s="39">
        <v>11.0</v>
      </c>
      <c r="D321" s="38">
        <f>IFERROR(__xludf.DUMMYFUNCTION("""COMPUTED_VALUE"""),40141.0)</f>
        <v>40141</v>
      </c>
      <c r="E321" s="39">
        <v>3.0</v>
      </c>
      <c r="G321" s="12">
        <f t="shared" si="58"/>
        <v>39856</v>
      </c>
    </row>
    <row r="322">
      <c r="A322" s="39" t="s">
        <v>1212</v>
      </c>
      <c r="B322" s="39">
        <v>11.0</v>
      </c>
      <c r="D322" s="38">
        <f>IFERROR(__xludf.DUMMYFUNCTION("""COMPUTED_VALUE"""),40142.0)</f>
        <v>40142</v>
      </c>
      <c r="E322" s="39">
        <v>3.0</v>
      </c>
      <c r="G322" s="12">
        <f>DATE(2012,12,31)-1415</f>
        <v>39859</v>
      </c>
    </row>
    <row r="323">
      <c r="A323" s="39" t="s">
        <v>1450</v>
      </c>
      <c r="B323" s="39">
        <v>11.0</v>
      </c>
      <c r="D323" s="38">
        <f>IFERROR(__xludf.DUMMYFUNCTION("""COMPUTED_VALUE"""),40143.0)</f>
        <v>40143</v>
      </c>
      <c r="E323" s="39">
        <v>3.0</v>
      </c>
      <c r="G323" s="12">
        <f t="shared" ref="G323:G324" si="59">DATE(2012,12,31)-1414</f>
        <v>39860</v>
      </c>
    </row>
    <row r="324">
      <c r="A324" s="39" t="s">
        <v>1543</v>
      </c>
      <c r="B324" s="39">
        <v>11.0</v>
      </c>
      <c r="D324" s="38">
        <f>IFERROR(__xludf.DUMMYFUNCTION("""COMPUTED_VALUE"""),40144.0)</f>
        <v>40144</v>
      </c>
      <c r="E324" s="39">
        <v>3.0</v>
      </c>
      <c r="G324" s="12">
        <f t="shared" si="59"/>
        <v>39860</v>
      </c>
    </row>
    <row r="325">
      <c r="A325" s="39" t="s">
        <v>1720</v>
      </c>
      <c r="B325" s="39">
        <v>11.0</v>
      </c>
      <c r="D325" s="38">
        <f>IFERROR(__xludf.DUMMYFUNCTION("""COMPUTED_VALUE"""),40145.0)</f>
        <v>40145</v>
      </c>
      <c r="E325" s="39">
        <v>3.0</v>
      </c>
      <c r="G325" s="12">
        <f>DATE(2012,12,31)-1413</f>
        <v>39861</v>
      </c>
    </row>
    <row r="326">
      <c r="A326" s="39" t="s">
        <v>366</v>
      </c>
      <c r="B326" s="39">
        <v>11.0</v>
      </c>
      <c r="D326" s="38">
        <f>IFERROR(__xludf.DUMMYFUNCTION("""COMPUTED_VALUE"""),40146.0)</f>
        <v>40146</v>
      </c>
      <c r="E326" s="39">
        <v>2.0</v>
      </c>
      <c r="G326" s="12">
        <f>DATE(2012,12,31)-1418</f>
        <v>39856</v>
      </c>
    </row>
    <row r="327">
      <c r="A327" s="39" t="s">
        <v>1112</v>
      </c>
      <c r="B327" s="39">
        <v>11.0</v>
      </c>
      <c r="D327" s="38">
        <f>IFERROR(__xludf.DUMMYFUNCTION("""COMPUTED_VALUE"""),40147.0)</f>
        <v>40147</v>
      </c>
      <c r="E327" s="39">
        <v>2.0</v>
      </c>
      <c r="G327" s="12">
        <f t="shared" ref="G327:G328" si="60">DATE(2012,12,31)-1416</f>
        <v>39858</v>
      </c>
    </row>
    <row r="328">
      <c r="A328" s="39" t="s">
        <v>1120</v>
      </c>
      <c r="B328" s="39">
        <v>11.0</v>
      </c>
      <c r="D328" s="38">
        <f>IFERROR(__xludf.DUMMYFUNCTION("""COMPUTED_VALUE"""),40148.0)</f>
        <v>40148</v>
      </c>
      <c r="E328" s="39">
        <v>2.0</v>
      </c>
      <c r="G328" s="12">
        <f t="shared" si="60"/>
        <v>39858</v>
      </c>
    </row>
    <row r="329">
      <c r="A329" s="39" t="s">
        <v>1222</v>
      </c>
      <c r="B329" s="39">
        <v>11.0</v>
      </c>
      <c r="D329" s="38">
        <f>IFERROR(__xludf.DUMMYFUNCTION("""COMPUTED_VALUE"""),40149.0)</f>
        <v>40149</v>
      </c>
      <c r="E329" s="39">
        <v>2.0</v>
      </c>
      <c r="G329" s="12">
        <f t="shared" ref="G329:G330" si="61">DATE(2012,12,31)-1415</f>
        <v>39859</v>
      </c>
    </row>
    <row r="330">
      <c r="A330" s="39" t="s">
        <v>1303</v>
      </c>
      <c r="B330" s="39">
        <v>11.0</v>
      </c>
      <c r="D330" s="38">
        <f>IFERROR(__xludf.DUMMYFUNCTION("""COMPUTED_VALUE"""),40150.0)</f>
        <v>40150</v>
      </c>
      <c r="E330" s="39">
        <v>2.0</v>
      </c>
      <c r="G330" s="12">
        <f t="shared" si="61"/>
        <v>39859</v>
      </c>
    </row>
    <row r="331">
      <c r="A331" s="39" t="s">
        <v>2405</v>
      </c>
      <c r="B331" s="39">
        <v>11.0</v>
      </c>
      <c r="D331" s="38">
        <f>IFERROR(__xludf.DUMMYFUNCTION("""COMPUTED_VALUE"""),40151.0)</f>
        <v>40151</v>
      </c>
      <c r="E331" s="39">
        <v>2.0</v>
      </c>
      <c r="G331" s="12">
        <f>DATE(2012,12,31)-1410</f>
        <v>39864</v>
      </c>
    </row>
    <row r="332">
      <c r="A332" s="39" t="s">
        <v>453</v>
      </c>
      <c r="B332" s="39">
        <v>11.0</v>
      </c>
      <c r="D332" s="38">
        <f>IFERROR(__xludf.DUMMYFUNCTION("""COMPUTED_VALUE"""),40152.0)</f>
        <v>40152</v>
      </c>
      <c r="E332" s="39">
        <v>1.0</v>
      </c>
      <c r="G332" s="12">
        <f>DATE(2012,12,31)-1418</f>
        <v>39856</v>
      </c>
    </row>
    <row r="333">
      <c r="A333" s="39" t="s">
        <v>898</v>
      </c>
      <c r="B333" s="39">
        <v>11.0</v>
      </c>
      <c r="D333" s="38">
        <f>IFERROR(__xludf.DUMMYFUNCTION("""COMPUTED_VALUE"""),40153.0)</f>
        <v>40153</v>
      </c>
      <c r="E333" s="39">
        <v>1.0</v>
      </c>
      <c r="G333" s="12">
        <f>DATE(2012,12,31)-1417</f>
        <v>39857</v>
      </c>
    </row>
    <row r="334">
      <c r="A334" s="39" t="s">
        <v>1165</v>
      </c>
      <c r="B334" s="39">
        <v>11.0</v>
      </c>
      <c r="D334" s="38">
        <f>IFERROR(__xludf.DUMMYFUNCTION("""COMPUTED_VALUE"""),40154.0)</f>
        <v>40154</v>
      </c>
      <c r="E334" s="39">
        <v>1.0</v>
      </c>
      <c r="G334" s="12">
        <f>DATE(2012,12,31)-1415</f>
        <v>39859</v>
      </c>
    </row>
    <row r="335">
      <c r="A335" s="39" t="s">
        <v>1737</v>
      </c>
      <c r="B335" s="39">
        <v>11.0</v>
      </c>
      <c r="D335" s="38">
        <f>IFERROR(__xludf.DUMMYFUNCTION("""COMPUTED_VALUE"""),40155.0)</f>
        <v>40155</v>
      </c>
      <c r="E335" s="39">
        <v>1.0</v>
      </c>
      <c r="G335" s="12">
        <f>DATE(2012,12,31)-1413</f>
        <v>39861</v>
      </c>
    </row>
    <row r="336">
      <c r="A336" s="39" t="s">
        <v>2095</v>
      </c>
      <c r="B336" s="39">
        <v>11.0</v>
      </c>
      <c r="D336" s="38">
        <f>IFERROR(__xludf.DUMMYFUNCTION("""COMPUTED_VALUE"""),40156.0)</f>
        <v>40156</v>
      </c>
      <c r="E336" s="39">
        <v>1.0</v>
      </c>
      <c r="G336" s="12">
        <f>DATE(2012,12,31)-1411</f>
        <v>39863</v>
      </c>
    </row>
    <row r="337">
      <c r="A337" s="39" t="s">
        <v>60</v>
      </c>
      <c r="B337" s="39">
        <v>10.0</v>
      </c>
      <c r="D337" s="38">
        <f>IFERROR(__xludf.DUMMYFUNCTION("""COMPUTED_VALUE"""),40157.0)</f>
        <v>40157</v>
      </c>
      <c r="E337" s="39">
        <v>13.0</v>
      </c>
      <c r="G337" s="12">
        <f>DATE(2012,12,31)-1409</f>
        <v>39865</v>
      </c>
    </row>
    <row r="338">
      <c r="A338" s="39" t="s">
        <v>1594</v>
      </c>
      <c r="B338" s="39">
        <v>10.0</v>
      </c>
      <c r="D338" s="38">
        <f>IFERROR(__xludf.DUMMYFUNCTION("""COMPUTED_VALUE"""),40158.0)</f>
        <v>40158</v>
      </c>
      <c r="E338" s="39">
        <v>10.0</v>
      </c>
      <c r="G338" s="12">
        <f>DATE(2012,12,31)-1403</f>
        <v>39871</v>
      </c>
    </row>
    <row r="339">
      <c r="A339" s="39" t="s">
        <v>1942</v>
      </c>
      <c r="B339" s="39">
        <v>10.0</v>
      </c>
      <c r="D339" s="38">
        <f>IFERROR(__xludf.DUMMYFUNCTION("""COMPUTED_VALUE"""),40159.0)</f>
        <v>40159</v>
      </c>
      <c r="E339" s="39">
        <v>10.0</v>
      </c>
      <c r="G339" s="12">
        <f>DATE(2012,12,31)-1402</f>
        <v>39872</v>
      </c>
    </row>
    <row r="340">
      <c r="A340" s="39" t="s">
        <v>1963</v>
      </c>
      <c r="B340" s="39">
        <v>10.0</v>
      </c>
      <c r="D340" s="38">
        <f>IFERROR(__xludf.DUMMYFUNCTION("""COMPUTED_VALUE"""),40160.0)</f>
        <v>40160</v>
      </c>
      <c r="E340" s="39">
        <v>10.0</v>
      </c>
      <c r="G340" s="12">
        <f>DATE(2012,12,31)-1401</f>
        <v>39873</v>
      </c>
    </row>
    <row r="341">
      <c r="A341" s="39" t="s">
        <v>76</v>
      </c>
      <c r="B341" s="39">
        <v>10.0</v>
      </c>
      <c r="D341" s="38">
        <f>IFERROR(__xludf.DUMMYFUNCTION("""COMPUTED_VALUE"""),40161.0)</f>
        <v>40161</v>
      </c>
      <c r="E341" s="39">
        <v>9.0</v>
      </c>
      <c r="G341" s="12">
        <f>DATE(2012,12,31)-1409</f>
        <v>39865</v>
      </c>
    </row>
    <row r="342">
      <c r="A342" s="39" t="s">
        <v>849</v>
      </c>
      <c r="B342" s="39">
        <v>10.0</v>
      </c>
      <c r="D342" s="38">
        <f>IFERROR(__xludf.DUMMYFUNCTION("""COMPUTED_VALUE"""),40162.0)</f>
        <v>40162</v>
      </c>
      <c r="E342" s="39">
        <v>9.0</v>
      </c>
      <c r="G342" s="12">
        <f>DATE(2012,12,31)-1405</f>
        <v>39869</v>
      </c>
    </row>
    <row r="343">
      <c r="A343" s="39" t="s">
        <v>1185</v>
      </c>
      <c r="B343" s="39">
        <v>10.0</v>
      </c>
      <c r="D343" s="38">
        <f>IFERROR(__xludf.DUMMYFUNCTION("""COMPUTED_VALUE"""),40163.0)</f>
        <v>40163</v>
      </c>
      <c r="E343" s="39">
        <v>9.0</v>
      </c>
      <c r="G343" s="12">
        <f>DATE(2012,12,31)-1404</f>
        <v>39870</v>
      </c>
    </row>
    <row r="344">
      <c r="A344" s="39" t="s">
        <v>1636</v>
      </c>
      <c r="B344" s="39">
        <v>10.0</v>
      </c>
      <c r="D344" s="38">
        <f>IFERROR(__xludf.DUMMYFUNCTION("""COMPUTED_VALUE"""),40164.0)</f>
        <v>40164</v>
      </c>
      <c r="E344" s="39">
        <v>9.0</v>
      </c>
      <c r="G344" s="12">
        <f t="shared" ref="G344:G345" si="62">DATE(2012,12,31)-1403</f>
        <v>39871</v>
      </c>
    </row>
    <row r="345">
      <c r="A345" s="39" t="s">
        <v>1767</v>
      </c>
      <c r="B345" s="39">
        <v>10.0</v>
      </c>
      <c r="D345" s="38">
        <f>IFERROR(__xludf.DUMMYFUNCTION("""COMPUTED_VALUE"""),40165.0)</f>
        <v>40165</v>
      </c>
      <c r="E345" s="39">
        <v>9.0</v>
      </c>
      <c r="G345" s="12">
        <f t="shared" si="62"/>
        <v>39871</v>
      </c>
    </row>
    <row r="346">
      <c r="A346" s="39" t="s">
        <v>2016</v>
      </c>
      <c r="B346" s="39">
        <v>10.0</v>
      </c>
      <c r="D346" s="38">
        <f>IFERROR(__xludf.DUMMYFUNCTION("""COMPUTED_VALUE"""),40166.0)</f>
        <v>40166</v>
      </c>
      <c r="E346" s="39">
        <v>9.0</v>
      </c>
      <c r="G346" s="12">
        <f>DATE(2012,12,31)-1401</f>
        <v>39873</v>
      </c>
    </row>
    <row r="347">
      <c r="A347" s="39" t="s">
        <v>262</v>
      </c>
      <c r="B347" s="39">
        <v>10.0</v>
      </c>
      <c r="D347" s="38">
        <f>IFERROR(__xludf.DUMMYFUNCTION("""COMPUTED_VALUE"""),40167.0)</f>
        <v>40167</v>
      </c>
      <c r="E347" s="39">
        <v>8.0</v>
      </c>
      <c r="G347" s="12">
        <f>DATE(2012,12,31)-1407</f>
        <v>39867</v>
      </c>
    </row>
    <row r="348">
      <c r="A348" s="39" t="s">
        <v>46</v>
      </c>
      <c r="B348" s="39">
        <v>10.0</v>
      </c>
      <c r="D348" s="38">
        <f>IFERROR(__xludf.DUMMYFUNCTION("""COMPUTED_VALUE"""),40168.0)</f>
        <v>40168</v>
      </c>
      <c r="E348" s="39">
        <v>7.0</v>
      </c>
      <c r="G348" s="12">
        <f>DATE(2012,12,31)-1410</f>
        <v>39864</v>
      </c>
    </row>
    <row r="349">
      <c r="A349" s="39" t="s">
        <v>155</v>
      </c>
      <c r="B349" s="39">
        <v>10.0</v>
      </c>
      <c r="D349" s="38">
        <f>IFERROR(__xludf.DUMMYFUNCTION("""COMPUTED_VALUE"""),40169.0)</f>
        <v>40169</v>
      </c>
      <c r="E349" s="39">
        <v>7.0</v>
      </c>
      <c r="G349" s="12">
        <f t="shared" ref="G349:G350" si="63">DATE(2012,12,31)-1408</f>
        <v>39866</v>
      </c>
    </row>
    <row r="350">
      <c r="A350" s="39" t="s">
        <v>213</v>
      </c>
      <c r="B350" s="39">
        <v>10.0</v>
      </c>
      <c r="D350" s="38">
        <f>IFERROR(__xludf.DUMMYFUNCTION("""COMPUTED_VALUE"""),40170.0)</f>
        <v>40170</v>
      </c>
      <c r="E350" s="39">
        <v>7.0</v>
      </c>
      <c r="G350" s="12">
        <f t="shared" si="63"/>
        <v>39866</v>
      </c>
    </row>
    <row r="351">
      <c r="A351" s="39" t="s">
        <v>375</v>
      </c>
      <c r="B351" s="39">
        <v>10.0</v>
      </c>
      <c r="D351" s="38">
        <f>IFERROR(__xludf.DUMMYFUNCTION("""COMPUTED_VALUE"""),40171.0)</f>
        <v>40171</v>
      </c>
      <c r="E351" s="39">
        <v>7.0</v>
      </c>
      <c r="G351" s="12">
        <f t="shared" ref="G351:G352" si="64">DATE(2012,12,31)-1407</f>
        <v>39867</v>
      </c>
    </row>
    <row r="352">
      <c r="A352" s="39" t="s">
        <v>462</v>
      </c>
      <c r="B352" s="39">
        <v>10.0</v>
      </c>
      <c r="D352" s="38">
        <f>IFERROR(__xludf.DUMMYFUNCTION("""COMPUTED_VALUE"""),40172.0)</f>
        <v>40172</v>
      </c>
      <c r="E352" s="39">
        <v>7.0</v>
      </c>
      <c r="G352" s="12">
        <f t="shared" si="64"/>
        <v>39867</v>
      </c>
    </row>
    <row r="353">
      <c r="A353" s="39" t="s">
        <v>602</v>
      </c>
      <c r="B353" s="39">
        <v>10.0</v>
      </c>
      <c r="D353" s="38">
        <f>IFERROR(__xludf.DUMMYFUNCTION("""COMPUTED_VALUE"""),40173.0)</f>
        <v>40173</v>
      </c>
      <c r="E353" s="39">
        <v>7.0</v>
      </c>
      <c r="G353" s="12">
        <f>DATE(2012,12,31)-1406</f>
        <v>39868</v>
      </c>
    </row>
    <row r="354">
      <c r="A354" s="39" t="s">
        <v>1811</v>
      </c>
      <c r="B354" s="39">
        <v>10.0</v>
      </c>
      <c r="D354" s="38">
        <f>IFERROR(__xludf.DUMMYFUNCTION("""COMPUTED_VALUE"""),40174.0)</f>
        <v>40174</v>
      </c>
      <c r="E354" s="39">
        <v>7.0</v>
      </c>
      <c r="G354" s="12">
        <f>DATE(2012,12,31)-1402</f>
        <v>39872</v>
      </c>
    </row>
    <row r="355">
      <c r="A355" s="39" t="s">
        <v>2058</v>
      </c>
      <c r="B355" s="39">
        <v>10.0</v>
      </c>
      <c r="D355" s="38">
        <f>IFERROR(__xludf.DUMMYFUNCTION("""COMPUTED_VALUE"""),40175.0)</f>
        <v>40175</v>
      </c>
      <c r="E355" s="39">
        <v>7.0</v>
      </c>
      <c r="G355" s="12">
        <f>DATE(2012,12,31)-1401</f>
        <v>39873</v>
      </c>
    </row>
    <row r="356">
      <c r="A356" s="39" t="s">
        <v>1067</v>
      </c>
      <c r="B356" s="39">
        <v>10.0</v>
      </c>
      <c r="D356" s="38">
        <f>IFERROR(__xludf.DUMMYFUNCTION("""COMPUTED_VALUE"""),40176.0)</f>
        <v>40176</v>
      </c>
      <c r="E356" s="39">
        <v>6.0</v>
      </c>
      <c r="G356" s="12">
        <f t="shared" ref="G356:G358" si="65">DATE(2012,12,31)-1404</f>
        <v>39870</v>
      </c>
    </row>
    <row r="357">
      <c r="A357" s="39" t="s">
        <v>1217</v>
      </c>
      <c r="B357" s="39">
        <v>10.0</v>
      </c>
      <c r="D357" s="38">
        <f>IFERROR(__xludf.DUMMYFUNCTION("""COMPUTED_VALUE"""),40177.0)</f>
        <v>40177</v>
      </c>
      <c r="E357" s="39">
        <v>6.0</v>
      </c>
      <c r="G357" s="12">
        <f t="shared" si="65"/>
        <v>39870</v>
      </c>
    </row>
    <row r="358">
      <c r="A358" s="39" t="s">
        <v>1373</v>
      </c>
      <c r="B358" s="39">
        <v>10.0</v>
      </c>
      <c r="D358" s="38">
        <f>IFERROR(__xludf.DUMMYFUNCTION("""COMPUTED_VALUE"""),40178.0)</f>
        <v>40178</v>
      </c>
      <c r="E358" s="39">
        <v>6.0</v>
      </c>
      <c r="G358" s="12">
        <f t="shared" si="65"/>
        <v>39870</v>
      </c>
    </row>
    <row r="359">
      <c r="A359" s="39" t="s">
        <v>796</v>
      </c>
      <c r="B359" s="39">
        <v>10.0</v>
      </c>
      <c r="D359" s="38">
        <f>IFERROR(__xludf.DUMMYFUNCTION("""COMPUTED_VALUE"""),40179.0)</f>
        <v>40179</v>
      </c>
      <c r="E359" s="39">
        <v>5.0</v>
      </c>
      <c r="G359" s="12">
        <f>DATE(2012,12,31)-1405</f>
        <v>39869</v>
      </c>
    </row>
    <row r="360">
      <c r="A360" s="39" t="s">
        <v>1065</v>
      </c>
      <c r="B360" s="39">
        <v>10.0</v>
      </c>
      <c r="D360" s="38">
        <f>IFERROR(__xludf.DUMMYFUNCTION("""COMPUTED_VALUE"""),40180.0)</f>
        <v>40180</v>
      </c>
      <c r="E360" s="39">
        <v>5.0</v>
      </c>
      <c r="G360" s="12">
        <f>DATE(2012,12,31)-1404</f>
        <v>39870</v>
      </c>
    </row>
    <row r="361">
      <c r="A361" s="39" t="s">
        <v>1712</v>
      </c>
      <c r="B361" s="39">
        <v>10.0</v>
      </c>
      <c r="D361" s="38">
        <f>IFERROR(__xludf.DUMMYFUNCTION("""COMPUTED_VALUE"""),40181.0)</f>
        <v>40181</v>
      </c>
      <c r="E361" s="39">
        <v>5.0</v>
      </c>
      <c r="G361" s="12">
        <f>DATE(2012,12,31)-1403</f>
        <v>39871</v>
      </c>
    </row>
    <row r="362">
      <c r="A362" s="39" t="s">
        <v>1799</v>
      </c>
      <c r="B362" s="39">
        <v>10.0</v>
      </c>
      <c r="D362" s="38">
        <f>IFERROR(__xludf.DUMMYFUNCTION("""COMPUTED_VALUE"""),40182.0)</f>
        <v>40182</v>
      </c>
      <c r="E362" s="39">
        <v>5.0</v>
      </c>
      <c r="G362" s="12">
        <f>DATE(2012,12,31)-1402</f>
        <v>39872</v>
      </c>
    </row>
    <row r="363">
      <c r="A363" s="39" t="s">
        <v>2148</v>
      </c>
      <c r="B363" s="39">
        <v>10.0</v>
      </c>
      <c r="D363" s="38">
        <f>IFERROR(__xludf.DUMMYFUNCTION("""COMPUTED_VALUE"""),40183.0)</f>
        <v>40183</v>
      </c>
      <c r="E363" s="39">
        <v>5.0</v>
      </c>
      <c r="G363" s="12">
        <f>DATE(2012,12,31)-1400</f>
        <v>39874</v>
      </c>
    </row>
    <row r="364">
      <c r="A364" s="39" t="s">
        <v>716</v>
      </c>
      <c r="B364" s="39">
        <v>10.0</v>
      </c>
      <c r="D364" s="38">
        <f>IFERROR(__xludf.DUMMYFUNCTION("""COMPUTED_VALUE"""),40184.0)</f>
        <v>40184</v>
      </c>
      <c r="E364" s="39">
        <v>4.0</v>
      </c>
      <c r="G364" s="12">
        <f>DATE(2012,12,31)-1406</f>
        <v>39868</v>
      </c>
    </row>
    <row r="365">
      <c r="A365" s="39" t="s">
        <v>1393</v>
      </c>
      <c r="B365" s="39">
        <v>10.0</v>
      </c>
      <c r="D365" s="38">
        <f>IFERROR(__xludf.DUMMYFUNCTION("""COMPUTED_VALUE"""),40185.0)</f>
        <v>40185</v>
      </c>
      <c r="E365" s="39">
        <v>4.0</v>
      </c>
      <c r="G365" s="12">
        <f>DATE(2012,12,31)-1404</f>
        <v>39870</v>
      </c>
    </row>
    <row r="366">
      <c r="A366" s="39" t="s">
        <v>1725</v>
      </c>
      <c r="B366" s="39">
        <v>10.0</v>
      </c>
      <c r="D366" s="38">
        <f>IFERROR(__xludf.DUMMYFUNCTION("""COMPUTED_VALUE"""),40186.0)</f>
        <v>40186</v>
      </c>
      <c r="E366" s="39">
        <v>4.0</v>
      </c>
      <c r="G366" s="12">
        <f>DATE(2012,12,31)-1403</f>
        <v>39871</v>
      </c>
    </row>
    <row r="367">
      <c r="A367" s="39" t="s">
        <v>2033</v>
      </c>
      <c r="B367" s="39">
        <v>10.0</v>
      </c>
      <c r="D367" s="38">
        <f>IFERROR(__xludf.DUMMYFUNCTION("""COMPUTED_VALUE"""),40187.0)</f>
        <v>40187</v>
      </c>
      <c r="E367" s="39">
        <v>4.0</v>
      </c>
      <c r="G367" s="12">
        <f>DATE(2012,12,31)-1401</f>
        <v>39873</v>
      </c>
    </row>
    <row r="368">
      <c r="A368" s="39" t="s">
        <v>2293</v>
      </c>
      <c r="B368" s="39">
        <v>10.0</v>
      </c>
      <c r="D368" s="38">
        <f>IFERROR(__xludf.DUMMYFUNCTION("""COMPUTED_VALUE"""),40188.0)</f>
        <v>40188</v>
      </c>
      <c r="E368" s="39">
        <v>4.0</v>
      </c>
      <c r="G368" s="12">
        <f t="shared" ref="G368:G370" si="66">DATE(2012,12,31)-1400</f>
        <v>39874</v>
      </c>
    </row>
    <row r="369">
      <c r="A369" s="39" t="s">
        <v>2297</v>
      </c>
      <c r="B369" s="39">
        <v>10.0</v>
      </c>
      <c r="D369" s="38">
        <f>IFERROR(__xludf.DUMMYFUNCTION("""COMPUTED_VALUE"""),40189.0)</f>
        <v>40189</v>
      </c>
      <c r="E369" s="39">
        <v>4.0</v>
      </c>
      <c r="G369" s="12">
        <f t="shared" si="66"/>
        <v>39874</v>
      </c>
    </row>
    <row r="370">
      <c r="A370" s="39" t="s">
        <v>2439</v>
      </c>
      <c r="B370" s="39">
        <v>10.0</v>
      </c>
      <c r="D370" s="38">
        <f>IFERROR(__xludf.DUMMYFUNCTION("""COMPUTED_VALUE"""),40190.0)</f>
        <v>40190</v>
      </c>
      <c r="E370" s="39">
        <v>4.0</v>
      </c>
      <c r="G370" s="12">
        <f t="shared" si="66"/>
        <v>39874</v>
      </c>
    </row>
    <row r="371">
      <c r="A371" s="39" t="s">
        <v>34</v>
      </c>
      <c r="B371" s="39">
        <v>10.0</v>
      </c>
      <c r="D371" s="38">
        <f>IFERROR(__xludf.DUMMYFUNCTION("""COMPUTED_VALUE"""),40191.0)</f>
        <v>40191</v>
      </c>
      <c r="E371" s="39">
        <v>3.0</v>
      </c>
      <c r="G371" s="12">
        <f>DATE(2012,12,31)-1410</f>
        <v>39864</v>
      </c>
    </row>
    <row r="372">
      <c r="A372" s="39" t="s">
        <v>64</v>
      </c>
      <c r="B372" s="39">
        <v>10.0</v>
      </c>
      <c r="D372" s="38">
        <f>IFERROR(__xludf.DUMMYFUNCTION("""COMPUTED_VALUE"""),40192.0)</f>
        <v>40192</v>
      </c>
      <c r="E372" s="39">
        <v>3.0</v>
      </c>
      <c r="G372" s="12">
        <f>DATE(2012,12,31)-1409</f>
        <v>39865</v>
      </c>
    </row>
    <row r="373">
      <c r="A373" s="39" t="s">
        <v>193</v>
      </c>
      <c r="B373" s="39">
        <v>10.0</v>
      </c>
      <c r="D373" s="38">
        <f>IFERROR(__xludf.DUMMYFUNCTION("""COMPUTED_VALUE"""),40193.0)</f>
        <v>40193</v>
      </c>
      <c r="E373" s="39">
        <v>3.0</v>
      </c>
      <c r="G373" s="12">
        <f>DATE(2012,12,31)-1408</f>
        <v>39866</v>
      </c>
    </row>
    <row r="374">
      <c r="A374" s="39" t="s">
        <v>423</v>
      </c>
      <c r="B374" s="39">
        <v>10.0</v>
      </c>
      <c r="D374" s="38">
        <f>IFERROR(__xludf.DUMMYFUNCTION("""COMPUTED_VALUE"""),40194.0)</f>
        <v>40194</v>
      </c>
      <c r="E374" s="39">
        <v>3.0</v>
      </c>
      <c r="G374" s="12">
        <f>DATE(2012,12,31)-1407</f>
        <v>39867</v>
      </c>
    </row>
    <row r="375">
      <c r="A375" s="39" t="s">
        <v>465</v>
      </c>
      <c r="B375" s="39">
        <v>10.0</v>
      </c>
      <c r="D375" s="38">
        <f>IFERROR(__xludf.DUMMYFUNCTION("""COMPUTED_VALUE"""),40195.0)</f>
        <v>40195</v>
      </c>
      <c r="E375" s="39">
        <v>3.0</v>
      </c>
      <c r="G375" s="12">
        <f t="shared" ref="G375:G376" si="67">DATE(2012,12,31)-1406</f>
        <v>39868</v>
      </c>
    </row>
    <row r="376">
      <c r="A376" s="39" t="s">
        <v>504</v>
      </c>
      <c r="B376" s="39">
        <v>10.0</v>
      </c>
      <c r="D376" s="38">
        <f>IFERROR(__xludf.DUMMYFUNCTION("""COMPUTED_VALUE"""),40196.0)</f>
        <v>40196</v>
      </c>
      <c r="E376" s="39">
        <v>3.0</v>
      </c>
      <c r="G376" s="12">
        <f t="shared" si="67"/>
        <v>39868</v>
      </c>
    </row>
    <row r="377">
      <c r="A377" s="39" t="s">
        <v>932</v>
      </c>
      <c r="B377" s="39">
        <v>10.0</v>
      </c>
      <c r="D377" s="38">
        <f>IFERROR(__xludf.DUMMYFUNCTION("""COMPUTED_VALUE"""),40197.0)</f>
        <v>40197</v>
      </c>
      <c r="E377" s="39">
        <v>3.0</v>
      </c>
      <c r="G377" s="12">
        <f t="shared" ref="G377:G378" si="68">DATE(2012,12,31)-1405</f>
        <v>39869</v>
      </c>
    </row>
    <row r="378">
      <c r="A378" s="39" t="s">
        <v>958</v>
      </c>
      <c r="B378" s="39">
        <v>10.0</v>
      </c>
      <c r="D378" s="38">
        <f>IFERROR(__xludf.DUMMYFUNCTION("""COMPUTED_VALUE"""),40198.0)</f>
        <v>40198</v>
      </c>
      <c r="E378" s="39">
        <v>3.0</v>
      </c>
      <c r="G378" s="12">
        <f t="shared" si="68"/>
        <v>39869</v>
      </c>
    </row>
    <row r="379">
      <c r="A379" s="39" t="s">
        <v>1205</v>
      </c>
      <c r="B379" s="39">
        <v>10.0</v>
      </c>
      <c r="D379" s="38">
        <f>IFERROR(__xludf.DUMMYFUNCTION("""COMPUTED_VALUE"""),40199.0)</f>
        <v>40199</v>
      </c>
      <c r="E379" s="39">
        <v>3.0</v>
      </c>
      <c r="G379" s="12">
        <f t="shared" ref="G379:G380" si="69">DATE(2012,12,31)-1404</f>
        <v>39870</v>
      </c>
    </row>
    <row r="380">
      <c r="A380" s="39" t="s">
        <v>1324</v>
      </c>
      <c r="B380" s="39">
        <v>10.0</v>
      </c>
      <c r="D380" s="38">
        <f>IFERROR(__xludf.DUMMYFUNCTION("""COMPUTED_VALUE"""),40200.0)</f>
        <v>40200</v>
      </c>
      <c r="E380" s="39">
        <v>3.0</v>
      </c>
      <c r="G380" s="12">
        <f t="shared" si="69"/>
        <v>39870</v>
      </c>
    </row>
    <row r="381">
      <c r="A381" s="39" t="s">
        <v>1917</v>
      </c>
      <c r="B381" s="39">
        <v>10.0</v>
      </c>
      <c r="D381" s="38">
        <f>IFERROR(__xludf.DUMMYFUNCTION("""COMPUTED_VALUE"""),40201.0)</f>
        <v>40201</v>
      </c>
      <c r="E381" s="39">
        <v>3.0</v>
      </c>
      <c r="G381" s="12">
        <f>DATE(2012,12,31)-1402</f>
        <v>39872</v>
      </c>
    </row>
    <row r="382">
      <c r="A382" s="39" t="s">
        <v>2023</v>
      </c>
      <c r="B382" s="39">
        <v>10.0</v>
      </c>
      <c r="D382" s="38">
        <f>IFERROR(__xludf.DUMMYFUNCTION("""COMPUTED_VALUE"""),40202.0)</f>
        <v>40202</v>
      </c>
      <c r="E382" s="39">
        <v>3.0</v>
      </c>
      <c r="G382" s="12">
        <f>DATE(2012,12,31)-1401</f>
        <v>39873</v>
      </c>
    </row>
    <row r="383">
      <c r="A383" s="39" t="s">
        <v>138</v>
      </c>
      <c r="B383" s="39">
        <v>10.0</v>
      </c>
      <c r="D383" s="38">
        <f>IFERROR(__xludf.DUMMYFUNCTION("""COMPUTED_VALUE"""),40203.0)</f>
        <v>40203</v>
      </c>
      <c r="E383" s="39">
        <v>2.0</v>
      </c>
      <c r="G383" s="12">
        <f>DATE(2012,12,31)-1408</f>
        <v>39866</v>
      </c>
    </row>
    <row r="384">
      <c r="A384" s="39" t="s">
        <v>857</v>
      </c>
      <c r="B384" s="39">
        <v>10.0</v>
      </c>
      <c r="D384" s="38">
        <f>IFERROR(__xludf.DUMMYFUNCTION("""COMPUTED_VALUE"""),40204.0)</f>
        <v>40204</v>
      </c>
      <c r="E384" s="39">
        <v>2.0</v>
      </c>
      <c r="G384" s="12">
        <f>DATE(2012,12,31)-1405</f>
        <v>39869</v>
      </c>
    </row>
    <row r="385">
      <c r="A385" s="39" t="s">
        <v>1425</v>
      </c>
      <c r="B385" s="39">
        <v>10.0</v>
      </c>
      <c r="D385" s="38">
        <f>IFERROR(__xludf.DUMMYFUNCTION("""COMPUTED_VALUE"""),40205.0)</f>
        <v>40205</v>
      </c>
      <c r="E385" s="39">
        <v>2.0</v>
      </c>
      <c r="G385" s="12">
        <f>DATE(2012,12,31)-1404</f>
        <v>39870</v>
      </c>
    </row>
    <row r="386">
      <c r="A386" s="39" t="s">
        <v>1950</v>
      </c>
      <c r="B386" s="39">
        <v>10.0</v>
      </c>
      <c r="D386" s="38">
        <f>IFERROR(__xludf.DUMMYFUNCTION("""COMPUTED_VALUE"""),40206.0)</f>
        <v>40206</v>
      </c>
      <c r="E386" s="39">
        <v>1.0</v>
      </c>
      <c r="G386" s="12">
        <f t="shared" ref="G386:G387" si="70">DATE(2012,12,31)-1401</f>
        <v>39873</v>
      </c>
    </row>
    <row r="387">
      <c r="A387" s="39" t="s">
        <v>1982</v>
      </c>
      <c r="B387" s="39">
        <v>10.0</v>
      </c>
      <c r="D387" s="38">
        <f>IFERROR(__xludf.DUMMYFUNCTION("""COMPUTED_VALUE"""),40207.0)</f>
        <v>40207</v>
      </c>
      <c r="E387" s="39">
        <v>1.0</v>
      </c>
      <c r="G387" s="12">
        <f t="shared" si="70"/>
        <v>39873</v>
      </c>
    </row>
    <row r="388">
      <c r="A388" s="39" t="s">
        <v>2185</v>
      </c>
      <c r="B388" s="39">
        <v>10.0</v>
      </c>
      <c r="D388" s="38">
        <f>IFERROR(__xludf.DUMMYFUNCTION("""COMPUTED_VALUE"""),40208.0)</f>
        <v>40208</v>
      </c>
      <c r="E388" s="39">
        <v>1.0</v>
      </c>
      <c r="G388" s="12">
        <f>DATE(2012,12,31)-1400</f>
        <v>39874</v>
      </c>
    </row>
    <row r="389">
      <c r="A389" s="39" t="s">
        <v>1294</v>
      </c>
      <c r="B389" s="39">
        <v>9.0</v>
      </c>
      <c r="D389" s="38">
        <f>IFERROR(__xludf.DUMMYFUNCTION("""COMPUTED_VALUE"""),40209.0)</f>
        <v>40209</v>
      </c>
      <c r="E389" s="39">
        <v>17.0</v>
      </c>
      <c r="G389" s="12">
        <f t="shared" ref="G389:G390" si="71">DATE(2012,12,31)-1393</f>
        <v>39881</v>
      </c>
    </row>
    <row r="390">
      <c r="A390" s="39" t="s">
        <v>1218</v>
      </c>
      <c r="B390" s="39">
        <v>9.0</v>
      </c>
      <c r="D390" s="38">
        <f>IFERROR(__xludf.DUMMYFUNCTION("""COMPUTED_VALUE"""),40210.0)</f>
        <v>40210</v>
      </c>
      <c r="E390" s="39">
        <v>14.0</v>
      </c>
      <c r="G390" s="12">
        <f t="shared" si="71"/>
        <v>39881</v>
      </c>
    </row>
    <row r="391">
      <c r="A391" s="39" t="s">
        <v>1753</v>
      </c>
      <c r="B391" s="39">
        <v>9.0</v>
      </c>
      <c r="D391" s="38">
        <f>IFERROR(__xludf.DUMMYFUNCTION("""COMPUTED_VALUE"""),40211.0)</f>
        <v>40211</v>
      </c>
      <c r="E391" s="39">
        <v>14.0</v>
      </c>
      <c r="G391" s="12">
        <f>DATE(2012,12,31)-1391</f>
        <v>39883</v>
      </c>
    </row>
    <row r="392">
      <c r="A392" s="39" t="s">
        <v>1861</v>
      </c>
      <c r="B392" s="39">
        <v>9.0</v>
      </c>
      <c r="D392" s="38">
        <f>IFERROR(__xludf.DUMMYFUNCTION("""COMPUTED_VALUE"""),40212.0)</f>
        <v>40212</v>
      </c>
      <c r="E392" s="39">
        <v>12.0</v>
      </c>
      <c r="G392" s="12">
        <f>DATE(2012,12,31)-1390</f>
        <v>39884</v>
      </c>
    </row>
    <row r="393">
      <c r="A393" s="39" t="s">
        <v>235</v>
      </c>
      <c r="B393" s="39">
        <v>9.0</v>
      </c>
      <c r="D393" s="38">
        <f>IFERROR(__xludf.DUMMYFUNCTION("""COMPUTED_VALUE"""),40213.0)</f>
        <v>40213</v>
      </c>
      <c r="E393" s="39">
        <v>11.0</v>
      </c>
      <c r="G393" s="12">
        <f>DATE(2012,12,31)-1398</f>
        <v>39876</v>
      </c>
    </row>
    <row r="394">
      <c r="A394" s="39" t="s">
        <v>584</v>
      </c>
      <c r="B394" s="39">
        <v>9.0</v>
      </c>
      <c r="D394" s="38">
        <f>IFERROR(__xludf.DUMMYFUNCTION("""COMPUTED_VALUE"""),40214.0)</f>
        <v>40214</v>
      </c>
      <c r="E394" s="39">
        <v>11.0</v>
      </c>
      <c r="G394" s="12">
        <f>DATE(2012,12,31)-1397</f>
        <v>39877</v>
      </c>
    </row>
    <row r="395">
      <c r="A395" s="39" t="s">
        <v>282</v>
      </c>
      <c r="B395" s="39">
        <v>9.0</v>
      </c>
      <c r="D395" s="38">
        <f>IFERROR(__xludf.DUMMYFUNCTION("""COMPUTED_VALUE"""),40215.0)</f>
        <v>40215</v>
      </c>
      <c r="E395" s="39">
        <v>10.0</v>
      </c>
      <c r="G395" s="12">
        <f>DATE(2012,12,31)-1398</f>
        <v>39876</v>
      </c>
    </row>
    <row r="396">
      <c r="A396" s="39" t="s">
        <v>977</v>
      </c>
      <c r="B396" s="39">
        <v>9.0</v>
      </c>
      <c r="D396" s="38">
        <f>IFERROR(__xludf.DUMMYFUNCTION("""COMPUTED_VALUE"""),40216.0)</f>
        <v>40216</v>
      </c>
      <c r="E396" s="39">
        <v>10.0</v>
      </c>
      <c r="G396" s="12">
        <f>DATE(2012,12,31)-1394</f>
        <v>39880</v>
      </c>
    </row>
    <row r="397">
      <c r="A397" s="39" t="s">
        <v>1385</v>
      </c>
      <c r="B397" s="39">
        <v>9.0</v>
      </c>
      <c r="D397" s="38">
        <f>IFERROR(__xludf.DUMMYFUNCTION("""COMPUTED_VALUE"""),40217.0)</f>
        <v>40217</v>
      </c>
      <c r="E397" s="39">
        <v>10.0</v>
      </c>
      <c r="G397" s="12">
        <f>DATE(2012,12,31)-1392</f>
        <v>39882</v>
      </c>
    </row>
    <row r="398">
      <c r="A398" s="39" t="s">
        <v>385</v>
      </c>
      <c r="B398" s="39">
        <v>9.0</v>
      </c>
      <c r="D398" s="38">
        <f>IFERROR(__xludf.DUMMYFUNCTION("""COMPUTED_VALUE"""),40218.0)</f>
        <v>40218</v>
      </c>
      <c r="E398" s="39">
        <v>9.0</v>
      </c>
      <c r="G398" s="12">
        <f>DATE(2012,12,31)-1397</f>
        <v>39877</v>
      </c>
    </row>
    <row r="399">
      <c r="A399" s="39" t="s">
        <v>919</v>
      </c>
      <c r="B399" s="39">
        <v>9.0</v>
      </c>
      <c r="D399" s="38">
        <f>IFERROR(__xludf.DUMMYFUNCTION("""COMPUTED_VALUE"""),40219.0)</f>
        <v>40219</v>
      </c>
      <c r="E399" s="39">
        <v>9.0</v>
      </c>
      <c r="G399" s="12">
        <f>DATE(2012,12,31)-1394</f>
        <v>39880</v>
      </c>
    </row>
    <row r="400">
      <c r="A400" s="39" t="s">
        <v>1985</v>
      </c>
      <c r="B400" s="39">
        <v>9.0</v>
      </c>
      <c r="D400" s="38">
        <f>IFERROR(__xludf.DUMMYFUNCTION("""COMPUTED_VALUE"""),40220.0)</f>
        <v>40220</v>
      </c>
      <c r="E400" s="39">
        <v>9.0</v>
      </c>
      <c r="G400" s="12">
        <f>DATE(2012,12,31)-1390</f>
        <v>39884</v>
      </c>
    </row>
    <row r="401">
      <c r="A401" s="39" t="s">
        <v>574</v>
      </c>
      <c r="B401" s="39">
        <v>9.0</v>
      </c>
      <c r="D401" s="38">
        <f>IFERROR(__xludf.DUMMYFUNCTION("""COMPUTED_VALUE"""),40221.0)</f>
        <v>40221</v>
      </c>
      <c r="E401" s="39">
        <v>8.0</v>
      </c>
      <c r="G401" s="12">
        <f>DATE(2012,12,31)-1397</f>
        <v>39877</v>
      </c>
    </row>
    <row r="402">
      <c r="A402" s="39" t="s">
        <v>1414</v>
      </c>
      <c r="B402" s="39">
        <v>9.0</v>
      </c>
      <c r="D402" s="38">
        <f>IFERROR(__xludf.DUMMYFUNCTION("""COMPUTED_VALUE"""),40222.0)</f>
        <v>40222</v>
      </c>
      <c r="E402" s="39">
        <v>8.0</v>
      </c>
      <c r="G402" s="12">
        <f>DATE(2012,12,31)-1392</f>
        <v>39882</v>
      </c>
    </row>
    <row r="403">
      <c r="A403" s="39" t="s">
        <v>1827</v>
      </c>
      <c r="B403" s="39">
        <v>9.0</v>
      </c>
      <c r="D403" s="38">
        <f>IFERROR(__xludf.DUMMYFUNCTION("""COMPUTED_VALUE"""),40223.0)</f>
        <v>40223</v>
      </c>
      <c r="E403" s="39">
        <v>8.0</v>
      </c>
      <c r="G403" s="12">
        <f>DATE(2012,12,31)-1391</f>
        <v>39883</v>
      </c>
    </row>
    <row r="404">
      <c r="A404" s="39" t="s">
        <v>2256</v>
      </c>
      <c r="B404" s="39">
        <v>9.0</v>
      </c>
      <c r="D404" s="38">
        <f>IFERROR(__xludf.DUMMYFUNCTION("""COMPUTED_VALUE"""),40224.0)</f>
        <v>40224</v>
      </c>
      <c r="E404" s="39">
        <v>8.0</v>
      </c>
      <c r="G404" s="12">
        <f>DATE(2012,12,31)-1388</f>
        <v>39886</v>
      </c>
    </row>
    <row r="405">
      <c r="A405" s="39" t="s">
        <v>88</v>
      </c>
      <c r="B405" s="39">
        <v>9.0</v>
      </c>
      <c r="D405" s="38">
        <f>IFERROR(__xludf.DUMMYFUNCTION("""COMPUTED_VALUE"""),40225.0)</f>
        <v>40225</v>
      </c>
      <c r="E405" s="39">
        <v>7.0</v>
      </c>
      <c r="G405" s="12">
        <f>DATE(2012,12,31)-1400</f>
        <v>39874</v>
      </c>
    </row>
    <row r="406">
      <c r="A406" s="39" t="s">
        <v>104</v>
      </c>
      <c r="B406" s="39">
        <v>9.0</v>
      </c>
      <c r="D406" s="38">
        <f>IFERROR(__xludf.DUMMYFUNCTION("""COMPUTED_VALUE"""),40226.0)</f>
        <v>40226</v>
      </c>
      <c r="E406" s="39">
        <v>7.0</v>
      </c>
      <c r="G406" s="12">
        <f>DATE(2012,12,31)-1399</f>
        <v>39875</v>
      </c>
    </row>
    <row r="407">
      <c r="A407" s="39" t="s">
        <v>1018</v>
      </c>
      <c r="B407" s="39">
        <v>9.0</v>
      </c>
      <c r="D407" s="38">
        <f>IFERROR(__xludf.DUMMYFUNCTION("""COMPUTED_VALUE"""),40227.0)</f>
        <v>40227</v>
      </c>
      <c r="E407" s="39">
        <v>7.0</v>
      </c>
      <c r="G407" s="12">
        <f>DATE(2012,12,31)-1394</f>
        <v>39880</v>
      </c>
    </row>
    <row r="408">
      <c r="A408" s="39" t="s">
        <v>1036</v>
      </c>
      <c r="B408" s="39">
        <v>9.0</v>
      </c>
      <c r="D408" s="38">
        <f>IFERROR(__xludf.DUMMYFUNCTION("""COMPUTED_VALUE"""),40228.0)</f>
        <v>40228</v>
      </c>
      <c r="E408" s="39">
        <v>7.0</v>
      </c>
      <c r="G408" s="12">
        <f>DATE(2012,12,31)-1393</f>
        <v>39881</v>
      </c>
    </row>
    <row r="409">
      <c r="A409" s="39" t="s">
        <v>1975</v>
      </c>
      <c r="B409" s="39">
        <v>9.0</v>
      </c>
      <c r="D409" s="38">
        <f>IFERROR(__xludf.DUMMYFUNCTION("""COMPUTED_VALUE"""),40229.0)</f>
        <v>40229</v>
      </c>
      <c r="E409" s="39">
        <v>7.0</v>
      </c>
      <c r="G409" s="12">
        <f>DATE(2012,12,31)-1390</f>
        <v>39884</v>
      </c>
    </row>
    <row r="410">
      <c r="A410" s="39" t="s">
        <v>416</v>
      </c>
      <c r="B410" s="39">
        <v>9.0</v>
      </c>
      <c r="D410" s="38">
        <f>IFERROR(__xludf.DUMMYFUNCTION("""COMPUTED_VALUE"""),40230.0)</f>
        <v>40230</v>
      </c>
      <c r="E410" s="39">
        <v>6.0</v>
      </c>
      <c r="G410" s="12">
        <f>DATE(2012,12,31)-1397</f>
        <v>39877</v>
      </c>
    </row>
    <row r="411">
      <c r="A411" s="39" t="s">
        <v>1653</v>
      </c>
      <c r="B411" s="39">
        <v>9.0</v>
      </c>
      <c r="D411" s="38">
        <f>IFERROR(__xludf.DUMMYFUNCTION("""COMPUTED_VALUE"""),40231.0)</f>
        <v>40231</v>
      </c>
      <c r="E411" s="39">
        <v>6.0</v>
      </c>
      <c r="G411" s="12">
        <f>DATE(2012,12,31)-1391</f>
        <v>39883</v>
      </c>
    </row>
    <row r="412">
      <c r="A412" s="39" t="s">
        <v>2391</v>
      </c>
      <c r="B412" s="39">
        <v>9.0</v>
      </c>
      <c r="D412" s="38">
        <f>IFERROR(__xludf.DUMMYFUNCTION("""COMPUTED_VALUE"""),40232.0)</f>
        <v>40232</v>
      </c>
      <c r="E412" s="39">
        <v>6.0</v>
      </c>
      <c r="G412" s="12">
        <f>DATE(2012,12,31)-1388</f>
        <v>39886</v>
      </c>
    </row>
    <row r="413">
      <c r="A413" s="39" t="s">
        <v>2542</v>
      </c>
      <c r="B413" s="39">
        <v>9.0</v>
      </c>
      <c r="D413" s="38">
        <f>IFERROR(__xludf.DUMMYFUNCTION("""COMPUTED_VALUE"""),40233.0)</f>
        <v>40233</v>
      </c>
      <c r="E413" s="39">
        <v>6.0</v>
      </c>
      <c r="G413" s="12">
        <f>DATE(2012,12,31)-1387</f>
        <v>39887</v>
      </c>
    </row>
    <row r="414">
      <c r="A414" s="39" t="s">
        <v>448</v>
      </c>
      <c r="B414" s="39">
        <v>9.0</v>
      </c>
      <c r="D414" s="38">
        <f>IFERROR(__xludf.DUMMYFUNCTION("""COMPUTED_VALUE"""),40234.0)</f>
        <v>40234</v>
      </c>
      <c r="E414" s="39">
        <v>5.0</v>
      </c>
      <c r="G414" s="12">
        <f t="shared" ref="G414:G415" si="72">DATE(2012,12,31)-1397</f>
        <v>39877</v>
      </c>
    </row>
    <row r="415">
      <c r="A415" s="39" t="s">
        <v>636</v>
      </c>
      <c r="B415" s="39">
        <v>9.0</v>
      </c>
      <c r="D415" s="38">
        <f>IFERROR(__xludf.DUMMYFUNCTION("""COMPUTED_VALUE"""),40235.0)</f>
        <v>40235</v>
      </c>
      <c r="E415" s="39">
        <v>5.0</v>
      </c>
      <c r="G415" s="12">
        <f t="shared" si="72"/>
        <v>39877</v>
      </c>
    </row>
    <row r="416">
      <c r="A416" s="39" t="s">
        <v>892</v>
      </c>
      <c r="B416" s="39">
        <v>9.0</v>
      </c>
      <c r="D416" s="38">
        <f>IFERROR(__xludf.DUMMYFUNCTION("""COMPUTED_VALUE"""),40236.0)</f>
        <v>40236</v>
      </c>
      <c r="E416" s="39">
        <v>5.0</v>
      </c>
      <c r="G416" s="12">
        <f t="shared" ref="G416:G417" si="73">DATE(2012,12,31)-1394</f>
        <v>39880</v>
      </c>
    </row>
    <row r="417">
      <c r="A417" s="39" t="s">
        <v>963</v>
      </c>
      <c r="B417" s="39">
        <v>9.0</v>
      </c>
      <c r="D417" s="38">
        <f>IFERROR(__xludf.DUMMYFUNCTION("""COMPUTED_VALUE"""),40237.0)</f>
        <v>40237</v>
      </c>
      <c r="E417" s="39">
        <v>5.0</v>
      </c>
      <c r="G417" s="12">
        <f t="shared" si="73"/>
        <v>39880</v>
      </c>
    </row>
    <row r="418">
      <c r="A418" s="39" t="s">
        <v>1360</v>
      </c>
      <c r="B418" s="39">
        <v>9.0</v>
      </c>
      <c r="D418" s="38">
        <f>IFERROR(__xludf.DUMMYFUNCTION("""COMPUTED_VALUE"""),40238.0)</f>
        <v>40238</v>
      </c>
      <c r="E418" s="39">
        <v>5.0</v>
      </c>
      <c r="G418" s="12">
        <f>DATE(2012,12,31)-1392</f>
        <v>39882</v>
      </c>
    </row>
    <row r="419">
      <c r="A419" s="39" t="s">
        <v>2012</v>
      </c>
      <c r="B419" s="39">
        <v>9.0</v>
      </c>
      <c r="D419" s="38">
        <f>IFERROR(__xludf.DUMMYFUNCTION("""COMPUTED_VALUE"""),40239.0)</f>
        <v>40239</v>
      </c>
      <c r="E419" s="39">
        <v>5.0</v>
      </c>
      <c r="G419" s="12">
        <f>DATE(2012,12,31)-1390</f>
        <v>39884</v>
      </c>
    </row>
    <row r="420">
      <c r="A420" s="39" t="s">
        <v>2373</v>
      </c>
      <c r="B420" s="39">
        <v>9.0</v>
      </c>
      <c r="D420" s="38">
        <f>IFERROR(__xludf.DUMMYFUNCTION("""COMPUTED_VALUE"""),40240.0)</f>
        <v>40240</v>
      </c>
      <c r="E420" s="39">
        <v>5.0</v>
      </c>
      <c r="G420" s="12">
        <f>DATE(2012,12,31)-1388</f>
        <v>39886</v>
      </c>
    </row>
    <row r="421">
      <c r="A421" s="39" t="s">
        <v>538</v>
      </c>
      <c r="B421" s="39">
        <v>9.0</v>
      </c>
      <c r="D421" s="38">
        <f>IFERROR(__xludf.DUMMYFUNCTION("""COMPUTED_VALUE"""),40241.0)</f>
        <v>40241</v>
      </c>
      <c r="E421" s="39">
        <v>4.0</v>
      </c>
      <c r="G421" s="12">
        <f>DATE(2012,12,31)-1397</f>
        <v>39877</v>
      </c>
    </row>
    <row r="422">
      <c r="A422" s="39" t="s">
        <v>746</v>
      </c>
      <c r="B422" s="39">
        <v>9.0</v>
      </c>
      <c r="D422" s="38">
        <f>IFERROR(__xludf.DUMMYFUNCTION("""COMPUTED_VALUE"""),40242.0)</f>
        <v>40242</v>
      </c>
      <c r="E422" s="39">
        <v>4.0</v>
      </c>
      <c r="G422" s="12">
        <f t="shared" ref="G422:G423" si="74">DATE(2012,12,31)-1396</f>
        <v>39878</v>
      </c>
    </row>
    <row r="423">
      <c r="A423" s="39" t="s">
        <v>850</v>
      </c>
      <c r="B423" s="39">
        <v>9.0</v>
      </c>
      <c r="D423" s="38">
        <f>IFERROR(__xludf.DUMMYFUNCTION("""COMPUTED_VALUE"""),40243.0)</f>
        <v>40243</v>
      </c>
      <c r="E423" s="39">
        <v>4.0</v>
      </c>
      <c r="G423" s="12">
        <f t="shared" si="74"/>
        <v>39878</v>
      </c>
    </row>
    <row r="424">
      <c r="A424" s="39" t="s">
        <v>1118</v>
      </c>
      <c r="B424" s="39">
        <v>9.0</v>
      </c>
      <c r="D424" s="38">
        <f>IFERROR(__xludf.DUMMYFUNCTION("""COMPUTED_VALUE"""),40244.0)</f>
        <v>40244</v>
      </c>
      <c r="E424" s="39">
        <v>4.0</v>
      </c>
      <c r="G424" s="12">
        <f>DATE(2012,12,31)-1393</f>
        <v>39881</v>
      </c>
    </row>
    <row r="425">
      <c r="A425" s="39" t="s">
        <v>2000</v>
      </c>
      <c r="B425" s="39">
        <v>9.0</v>
      </c>
      <c r="D425" s="38">
        <f>IFERROR(__xludf.DUMMYFUNCTION("""COMPUTED_VALUE"""),40245.0)</f>
        <v>40245</v>
      </c>
      <c r="E425" s="39">
        <v>4.0</v>
      </c>
      <c r="G425" s="12">
        <f>DATE(2012,12,31)-1390</f>
        <v>39884</v>
      </c>
    </row>
    <row r="426">
      <c r="A426" s="39" t="s">
        <v>274</v>
      </c>
      <c r="B426" s="39">
        <v>9.0</v>
      </c>
      <c r="D426" s="38">
        <f>IFERROR(__xludf.DUMMYFUNCTION("""COMPUTED_VALUE"""),40246.0)</f>
        <v>40246</v>
      </c>
      <c r="E426" s="39">
        <v>3.0</v>
      </c>
      <c r="G426" s="12">
        <f>DATE(2012,12,31)-1398</f>
        <v>39876</v>
      </c>
    </row>
    <row r="427">
      <c r="A427" s="39" t="s">
        <v>312</v>
      </c>
      <c r="B427" s="39">
        <v>9.0</v>
      </c>
      <c r="D427" s="38">
        <f>IFERROR(__xludf.DUMMYFUNCTION("""COMPUTED_VALUE"""),40247.0)</f>
        <v>40247</v>
      </c>
      <c r="E427" s="39">
        <v>3.0</v>
      </c>
      <c r="G427" s="12">
        <f>DATE(2012,12,31)-1397</f>
        <v>39877</v>
      </c>
    </row>
    <row r="428">
      <c r="A428" s="39" t="s">
        <v>756</v>
      </c>
      <c r="B428" s="39">
        <v>9.0</v>
      </c>
      <c r="D428" s="38">
        <f>IFERROR(__xludf.DUMMYFUNCTION("""COMPUTED_VALUE"""),40248.0)</f>
        <v>40248</v>
      </c>
      <c r="E428" s="39">
        <v>3.0</v>
      </c>
      <c r="G428" s="12">
        <f>DATE(2012,12,31)-1396</f>
        <v>39878</v>
      </c>
    </row>
    <row r="429">
      <c r="A429" s="39" t="s">
        <v>1535</v>
      </c>
      <c r="B429" s="39">
        <v>9.0</v>
      </c>
      <c r="D429" s="38">
        <f>IFERROR(__xludf.DUMMYFUNCTION("""COMPUTED_VALUE"""),40249.0)</f>
        <v>40249</v>
      </c>
      <c r="E429" s="39">
        <v>3.0</v>
      </c>
      <c r="G429" s="12">
        <f>DATE(2012,12,31)-1392</f>
        <v>39882</v>
      </c>
    </row>
    <row r="430">
      <c r="A430" s="39" t="s">
        <v>2075</v>
      </c>
      <c r="B430" s="39">
        <v>9.0</v>
      </c>
      <c r="D430" s="38">
        <f>IFERROR(__xludf.DUMMYFUNCTION("""COMPUTED_VALUE"""),40250.0)</f>
        <v>40250</v>
      </c>
      <c r="E430" s="39">
        <v>3.0</v>
      </c>
      <c r="G430" s="12">
        <f t="shared" ref="G430:G432" si="75">DATE(2012,12,31)-1389</f>
        <v>39885</v>
      </c>
    </row>
    <row r="431">
      <c r="A431" s="39" t="s">
        <v>2092</v>
      </c>
      <c r="B431" s="39">
        <v>9.0</v>
      </c>
      <c r="D431" s="38">
        <f>IFERROR(__xludf.DUMMYFUNCTION("""COMPUTED_VALUE"""),40251.0)</f>
        <v>40251</v>
      </c>
      <c r="E431" s="39">
        <v>3.0</v>
      </c>
      <c r="G431" s="12">
        <f t="shared" si="75"/>
        <v>39885</v>
      </c>
    </row>
    <row r="432">
      <c r="A432" s="39" t="s">
        <v>2180</v>
      </c>
      <c r="B432" s="39">
        <v>9.0</v>
      </c>
      <c r="D432" s="38">
        <f>IFERROR(__xludf.DUMMYFUNCTION("""COMPUTED_VALUE"""),40252.0)</f>
        <v>40252</v>
      </c>
      <c r="E432" s="39">
        <v>3.0</v>
      </c>
      <c r="G432" s="12">
        <f t="shared" si="75"/>
        <v>39885</v>
      </c>
    </row>
    <row r="433">
      <c r="A433" s="39" t="s">
        <v>2324</v>
      </c>
      <c r="B433" s="39">
        <v>9.0</v>
      </c>
      <c r="D433" s="38">
        <f>IFERROR(__xludf.DUMMYFUNCTION("""COMPUTED_VALUE"""),40253.0)</f>
        <v>40253</v>
      </c>
      <c r="E433" s="39">
        <v>3.0</v>
      </c>
      <c r="G433" s="12">
        <f t="shared" ref="G433:G434" si="76">DATE(2012,12,31)-1388</f>
        <v>39886</v>
      </c>
    </row>
    <row r="434">
      <c r="A434" s="39" t="s">
        <v>2427</v>
      </c>
      <c r="B434" s="39">
        <v>9.0</v>
      </c>
      <c r="D434" s="38">
        <f>IFERROR(__xludf.DUMMYFUNCTION("""COMPUTED_VALUE"""),40254.0)</f>
        <v>40254</v>
      </c>
      <c r="E434" s="39">
        <v>3.0</v>
      </c>
      <c r="G434" s="12">
        <f t="shared" si="76"/>
        <v>39886</v>
      </c>
    </row>
    <row r="435">
      <c r="A435" s="39" t="s">
        <v>2478</v>
      </c>
      <c r="B435" s="39">
        <v>9.0</v>
      </c>
      <c r="D435" s="38">
        <f>IFERROR(__xludf.DUMMYFUNCTION("""COMPUTED_VALUE"""),40255.0)</f>
        <v>40255</v>
      </c>
      <c r="E435" s="39">
        <v>3.0</v>
      </c>
      <c r="G435" s="12">
        <f>DATE(2012,12,31)-1387</f>
        <v>39887</v>
      </c>
    </row>
    <row r="436">
      <c r="A436" s="39" t="s">
        <v>647</v>
      </c>
      <c r="B436" s="39">
        <v>9.0</v>
      </c>
      <c r="D436" s="38">
        <f>IFERROR(__xludf.DUMMYFUNCTION("""COMPUTED_VALUE"""),40256.0)</f>
        <v>40256</v>
      </c>
      <c r="E436" s="39">
        <v>2.0</v>
      </c>
      <c r="G436" s="12">
        <f>DATE(2012,12,31)-1397</f>
        <v>39877</v>
      </c>
    </row>
    <row r="437">
      <c r="A437" s="39" t="s">
        <v>843</v>
      </c>
      <c r="B437" s="39">
        <v>9.0</v>
      </c>
      <c r="D437" s="38">
        <f>IFERROR(__xludf.DUMMYFUNCTION("""COMPUTED_VALUE"""),40257.0)</f>
        <v>40257</v>
      </c>
      <c r="E437" s="39">
        <v>2.0</v>
      </c>
      <c r="G437" s="12">
        <f>DATE(2012,12,31)-1396</f>
        <v>39878</v>
      </c>
    </row>
    <row r="438">
      <c r="A438" s="39" t="s">
        <v>1319</v>
      </c>
      <c r="B438" s="39">
        <v>9.0</v>
      </c>
      <c r="D438" s="38">
        <f>IFERROR(__xludf.DUMMYFUNCTION("""COMPUTED_VALUE"""),40258.0)</f>
        <v>40258</v>
      </c>
      <c r="E438" s="39">
        <v>2.0</v>
      </c>
      <c r="G438" s="12">
        <f>DATE(2012,12,31)-1393</f>
        <v>39881</v>
      </c>
    </row>
    <row r="439">
      <c r="A439" s="39" t="s">
        <v>1886</v>
      </c>
      <c r="B439" s="39">
        <v>9.0</v>
      </c>
      <c r="D439" s="38">
        <f>IFERROR(__xludf.DUMMYFUNCTION("""COMPUTED_VALUE"""),40259.0)</f>
        <v>40259</v>
      </c>
      <c r="E439" s="39">
        <v>2.0</v>
      </c>
      <c r="G439" s="12">
        <f>DATE(2012,12,31)-1390</f>
        <v>39884</v>
      </c>
    </row>
    <row r="440">
      <c r="A440" s="39" t="s">
        <v>2229</v>
      </c>
      <c r="B440" s="39">
        <v>9.0</v>
      </c>
      <c r="D440" s="38">
        <f>IFERROR(__xludf.DUMMYFUNCTION("""COMPUTED_VALUE"""),40260.0)</f>
        <v>40260</v>
      </c>
      <c r="E440" s="39">
        <v>2.0</v>
      </c>
      <c r="G440" s="12">
        <f>DATE(2012,12,31)-1388</f>
        <v>39886</v>
      </c>
    </row>
    <row r="441">
      <c r="A441" s="39" t="s">
        <v>887</v>
      </c>
      <c r="B441" s="39">
        <v>9.0</v>
      </c>
      <c r="D441" s="38">
        <f>IFERROR(__xludf.DUMMYFUNCTION("""COMPUTED_VALUE"""),40261.0)</f>
        <v>40261</v>
      </c>
      <c r="E441" s="39">
        <v>1.0</v>
      </c>
      <c r="G441" s="12">
        <f>DATE(2012,12,31)-1395</f>
        <v>39879</v>
      </c>
    </row>
    <row r="442">
      <c r="A442" s="39" t="s">
        <v>1744</v>
      </c>
      <c r="B442" s="39">
        <v>9.0</v>
      </c>
      <c r="D442" s="38">
        <f>IFERROR(__xludf.DUMMYFUNCTION("""COMPUTED_VALUE"""),40262.0)</f>
        <v>40262</v>
      </c>
      <c r="E442" s="39">
        <v>1.0</v>
      </c>
      <c r="G442" s="12">
        <f>DATE(2012,12,31)-1391</f>
        <v>39883</v>
      </c>
    </row>
    <row r="443">
      <c r="A443" s="39" t="s">
        <v>1960</v>
      </c>
      <c r="B443" s="39">
        <v>9.0</v>
      </c>
      <c r="D443" s="38">
        <f>IFERROR(__xludf.DUMMYFUNCTION("""COMPUTED_VALUE"""),40263.0)</f>
        <v>40263</v>
      </c>
      <c r="E443" s="39">
        <v>1.0</v>
      </c>
      <c r="G443" s="12">
        <f>DATE(2012,12,31)-1390</f>
        <v>39884</v>
      </c>
    </row>
    <row r="444">
      <c r="A444" s="39" t="s">
        <v>2097</v>
      </c>
      <c r="B444" s="39">
        <v>9.0</v>
      </c>
      <c r="D444" s="38">
        <f>IFERROR(__xludf.DUMMYFUNCTION("""COMPUTED_VALUE"""),40264.0)</f>
        <v>40264</v>
      </c>
      <c r="E444" s="39">
        <v>1.0</v>
      </c>
      <c r="G444" s="12">
        <f>DATE(2012,12,31)-1389</f>
        <v>39885</v>
      </c>
    </row>
    <row r="445">
      <c r="A445" s="39" t="s">
        <v>2360</v>
      </c>
      <c r="B445" s="39">
        <v>9.0</v>
      </c>
      <c r="D445" s="38">
        <f>IFERROR(__xludf.DUMMYFUNCTION("""COMPUTED_VALUE"""),40265.0)</f>
        <v>40265</v>
      </c>
      <c r="E445" s="39">
        <v>1.0</v>
      </c>
      <c r="G445" s="12">
        <f>DATE(2012,12,31)-1388</f>
        <v>39886</v>
      </c>
    </row>
    <row r="446">
      <c r="A446" s="39" t="s">
        <v>968</v>
      </c>
      <c r="B446" s="39">
        <v>8.0</v>
      </c>
      <c r="D446" s="38">
        <f>IFERROR(__xludf.DUMMYFUNCTION("""COMPUTED_VALUE"""),40266.0)</f>
        <v>40266</v>
      </c>
      <c r="E446" s="39">
        <v>17.0</v>
      </c>
      <c r="G446" s="12">
        <f>DATE(2012,12,31)-1383</f>
        <v>39891</v>
      </c>
    </row>
    <row r="447">
      <c r="A447" s="39" t="s">
        <v>851</v>
      </c>
      <c r="B447" s="39">
        <v>8.0</v>
      </c>
      <c r="D447" s="38">
        <f>IFERROR(__xludf.DUMMYFUNCTION("""COMPUTED_VALUE"""),40267.0)</f>
        <v>40267</v>
      </c>
      <c r="E447" s="39">
        <v>13.0</v>
      </c>
      <c r="G447" s="12">
        <f>DATE(2012,12,31)-1384</f>
        <v>39890</v>
      </c>
    </row>
    <row r="448">
      <c r="A448" s="39" t="s">
        <v>1650</v>
      </c>
      <c r="B448" s="39">
        <v>8.0</v>
      </c>
      <c r="D448" s="38">
        <f>IFERROR(__xludf.DUMMYFUNCTION("""COMPUTED_VALUE"""),40268.0)</f>
        <v>40268</v>
      </c>
      <c r="E448" s="39">
        <v>13.0</v>
      </c>
      <c r="G448" s="12">
        <f>DATE(2012,12,31)-1380</f>
        <v>39894</v>
      </c>
    </row>
    <row r="449">
      <c r="A449" s="39" t="s">
        <v>829</v>
      </c>
      <c r="B449" s="39">
        <v>8.0</v>
      </c>
      <c r="D449" s="38">
        <f>IFERROR(__xludf.DUMMYFUNCTION("""COMPUTED_VALUE"""),40269.0)</f>
        <v>40269</v>
      </c>
      <c r="E449" s="39">
        <v>12.0</v>
      </c>
      <c r="G449" s="12">
        <f>DATE(2012,12,31)-1384</f>
        <v>39890</v>
      </c>
    </row>
    <row r="450">
      <c r="A450" s="39" t="s">
        <v>1930</v>
      </c>
      <c r="B450" s="39">
        <v>8.0</v>
      </c>
      <c r="D450" s="38">
        <f>IFERROR(__xludf.DUMMYFUNCTION("""COMPUTED_VALUE"""),40270.0)</f>
        <v>40270</v>
      </c>
      <c r="E450" s="39">
        <v>12.0</v>
      </c>
      <c r="G450" s="12">
        <f>DATE(2012,12,31)-1379</f>
        <v>39895</v>
      </c>
    </row>
    <row r="451">
      <c r="A451" s="39" t="s">
        <v>831</v>
      </c>
      <c r="B451" s="39">
        <v>8.0</v>
      </c>
      <c r="D451" s="38">
        <f>IFERROR(__xludf.DUMMYFUNCTION("""COMPUTED_VALUE"""),40271.0)</f>
        <v>40271</v>
      </c>
      <c r="E451" s="39">
        <v>11.0</v>
      </c>
      <c r="G451" s="12">
        <f>DATE(2012,12,31)-1384</f>
        <v>39890</v>
      </c>
    </row>
    <row r="452">
      <c r="A452" s="39" t="s">
        <v>1780</v>
      </c>
      <c r="B452" s="39">
        <v>8.0</v>
      </c>
      <c r="D452" s="38">
        <f>IFERROR(__xludf.DUMMYFUNCTION("""COMPUTED_VALUE"""),40272.0)</f>
        <v>40272</v>
      </c>
      <c r="E452" s="39">
        <v>11.0</v>
      </c>
      <c r="G452" s="12">
        <f>DATE(2012,12,31)-1380</f>
        <v>39894</v>
      </c>
    </row>
    <row r="453">
      <c r="A453" s="39" t="s">
        <v>1887</v>
      </c>
      <c r="B453" s="39">
        <v>8.0</v>
      </c>
      <c r="D453" s="38">
        <f>IFERROR(__xludf.DUMMYFUNCTION("""COMPUTED_VALUE"""),40273.0)</f>
        <v>40273</v>
      </c>
      <c r="E453" s="39">
        <v>11.0</v>
      </c>
      <c r="G453" s="12">
        <f t="shared" ref="G453:G454" si="77">DATE(2012,12,31)-1379</f>
        <v>39895</v>
      </c>
    </row>
    <row r="454">
      <c r="A454" s="39" t="s">
        <v>1858</v>
      </c>
      <c r="B454" s="39">
        <v>8.0</v>
      </c>
      <c r="D454" s="38">
        <f>IFERROR(__xludf.DUMMYFUNCTION("""COMPUTED_VALUE"""),40274.0)</f>
        <v>40274</v>
      </c>
      <c r="E454" s="39">
        <v>10.0</v>
      </c>
      <c r="G454" s="12">
        <f t="shared" si="77"/>
        <v>39895</v>
      </c>
    </row>
    <row r="455">
      <c r="A455" s="39" t="s">
        <v>2541</v>
      </c>
      <c r="B455" s="39">
        <v>8.0</v>
      </c>
      <c r="D455" s="38">
        <f>IFERROR(__xludf.DUMMYFUNCTION("""COMPUTED_VALUE"""),40275.0)</f>
        <v>40275</v>
      </c>
      <c r="E455" s="39">
        <v>10.0</v>
      </c>
      <c r="G455" s="12">
        <f>DATE(2012,12,31)-1376</f>
        <v>39898</v>
      </c>
    </row>
    <row r="456">
      <c r="A456" s="39" t="s">
        <v>181</v>
      </c>
      <c r="B456" s="39">
        <v>8.0</v>
      </c>
      <c r="D456" s="38">
        <f>IFERROR(__xludf.DUMMYFUNCTION("""COMPUTED_VALUE"""),40276.0)</f>
        <v>40276</v>
      </c>
      <c r="E456" s="39">
        <v>9.0</v>
      </c>
      <c r="G456" s="12">
        <f>DATE(2012,12,31)-1387</f>
        <v>39887</v>
      </c>
    </row>
    <row r="457">
      <c r="A457" s="39" t="s">
        <v>1446</v>
      </c>
      <c r="B457" s="39">
        <v>8.0</v>
      </c>
      <c r="D457" s="38">
        <f>IFERROR(__xludf.DUMMYFUNCTION("""COMPUTED_VALUE"""),40277.0)</f>
        <v>40277</v>
      </c>
      <c r="E457" s="39">
        <v>9.0</v>
      </c>
      <c r="G457" s="12">
        <f t="shared" ref="G457:G458" si="78">DATE(2012,12,31)-1381</f>
        <v>39893</v>
      </c>
    </row>
    <row r="458">
      <c r="A458" s="39" t="s">
        <v>1515</v>
      </c>
      <c r="B458" s="39">
        <v>8.0</v>
      </c>
      <c r="D458" s="38">
        <f>IFERROR(__xludf.DUMMYFUNCTION("""COMPUTED_VALUE"""),40278.0)</f>
        <v>40278</v>
      </c>
      <c r="E458" s="39">
        <v>9.0</v>
      </c>
      <c r="G458" s="12">
        <f t="shared" si="78"/>
        <v>39893</v>
      </c>
    </row>
    <row r="459">
      <c r="A459" s="39" t="s">
        <v>1848</v>
      </c>
      <c r="B459" s="39">
        <v>8.0</v>
      </c>
      <c r="D459" s="38">
        <f>IFERROR(__xludf.DUMMYFUNCTION("""COMPUTED_VALUE"""),40279.0)</f>
        <v>40279</v>
      </c>
      <c r="E459" s="39">
        <v>9.0</v>
      </c>
      <c r="G459" s="12">
        <f>DATE(2012,12,31)-1380</f>
        <v>39894</v>
      </c>
    </row>
    <row r="460">
      <c r="A460" s="39" t="s">
        <v>2285</v>
      </c>
      <c r="B460" s="39">
        <v>8.0</v>
      </c>
      <c r="D460" s="38">
        <f>IFERROR(__xludf.DUMMYFUNCTION("""COMPUTED_VALUE"""),40280.0)</f>
        <v>40280</v>
      </c>
      <c r="E460" s="39">
        <v>9.0</v>
      </c>
      <c r="G460" s="12">
        <f t="shared" ref="G460:G461" si="79">DATE(2012,12,31)-1377</f>
        <v>39897</v>
      </c>
    </row>
    <row r="461">
      <c r="A461" s="39" t="s">
        <v>2350</v>
      </c>
      <c r="B461" s="39">
        <v>8.0</v>
      </c>
      <c r="D461" s="38">
        <f>IFERROR(__xludf.DUMMYFUNCTION("""COMPUTED_VALUE"""),40283.0)</f>
        <v>40283</v>
      </c>
      <c r="E461" s="39">
        <v>9.0</v>
      </c>
      <c r="G461" s="12">
        <f t="shared" si="79"/>
        <v>39897</v>
      </c>
    </row>
    <row r="462">
      <c r="A462" s="39" t="s">
        <v>867</v>
      </c>
      <c r="B462" s="39">
        <v>8.0</v>
      </c>
      <c r="D462" s="38">
        <f>IFERROR(__xludf.DUMMYFUNCTION("""COMPUTED_VALUE"""),40284.0)</f>
        <v>40284</v>
      </c>
      <c r="E462" s="39">
        <v>8.0</v>
      </c>
      <c r="G462" s="12">
        <f>DATE(2012,12,31)-1384</f>
        <v>39890</v>
      </c>
    </row>
    <row r="463">
      <c r="A463" s="39" t="s">
        <v>1652</v>
      </c>
      <c r="B463" s="39">
        <v>8.0</v>
      </c>
      <c r="D463" s="38">
        <f>IFERROR(__xludf.DUMMYFUNCTION("""COMPUTED_VALUE"""),40285.0)</f>
        <v>40285</v>
      </c>
      <c r="E463" s="39">
        <v>8.0</v>
      </c>
      <c r="G463" s="12">
        <f>DATE(2012,12,31)-1380</f>
        <v>39894</v>
      </c>
    </row>
    <row r="464">
      <c r="A464" s="39" t="s">
        <v>2417</v>
      </c>
      <c r="B464" s="39">
        <v>8.0</v>
      </c>
      <c r="D464" s="38">
        <f>IFERROR(__xludf.DUMMYFUNCTION("""COMPUTED_VALUE"""),40286.0)</f>
        <v>40286</v>
      </c>
      <c r="E464" s="39">
        <v>8.0</v>
      </c>
      <c r="G464" s="12">
        <f>DATE(2012,12,31)-1377</f>
        <v>39897</v>
      </c>
    </row>
    <row r="465">
      <c r="A465" s="39" t="s">
        <v>2434</v>
      </c>
      <c r="B465" s="39">
        <v>8.0</v>
      </c>
      <c r="D465" s="38">
        <f>IFERROR(__xludf.DUMMYFUNCTION("""COMPUTED_VALUE"""),40287.0)</f>
        <v>40287</v>
      </c>
      <c r="E465" s="39">
        <v>8.0</v>
      </c>
      <c r="G465" s="12">
        <f>DATE(2012,12,31)-1376</f>
        <v>39898</v>
      </c>
    </row>
    <row r="466">
      <c r="A466" s="39" t="s">
        <v>844</v>
      </c>
      <c r="B466" s="39">
        <v>8.0</v>
      </c>
      <c r="D466" s="38">
        <f>IFERROR(__xludf.DUMMYFUNCTION("""COMPUTED_VALUE"""),40288.0)</f>
        <v>40288</v>
      </c>
      <c r="E466" s="39">
        <v>7.0</v>
      </c>
      <c r="G466" s="12">
        <f>DATE(2012,12,31)-1384</f>
        <v>39890</v>
      </c>
    </row>
    <row r="467">
      <c r="A467" s="39" t="s">
        <v>1364</v>
      </c>
      <c r="B467" s="39">
        <v>8.0</v>
      </c>
      <c r="D467" s="38">
        <f>IFERROR(__xludf.DUMMYFUNCTION("""COMPUTED_VALUE"""),40290.0)</f>
        <v>40290</v>
      </c>
      <c r="E467" s="39">
        <v>7.0</v>
      </c>
      <c r="G467" s="12">
        <f t="shared" ref="G467:G468" si="80">DATE(2012,12,31)-1382</f>
        <v>39892</v>
      </c>
    </row>
    <row r="468">
      <c r="A468" s="39" t="s">
        <v>1374</v>
      </c>
      <c r="B468" s="39">
        <v>8.0</v>
      </c>
      <c r="D468" s="38">
        <f>IFERROR(__xludf.DUMMYFUNCTION("""COMPUTED_VALUE"""),40291.0)</f>
        <v>40291</v>
      </c>
      <c r="E468" s="39">
        <v>7.0</v>
      </c>
      <c r="G468" s="12">
        <f t="shared" si="80"/>
        <v>39892</v>
      </c>
    </row>
    <row r="469">
      <c r="A469" s="39" t="s">
        <v>1440</v>
      </c>
      <c r="B469" s="39">
        <v>8.0</v>
      </c>
      <c r="D469" s="38">
        <f>IFERROR(__xludf.DUMMYFUNCTION("""COMPUTED_VALUE"""),40292.0)</f>
        <v>40292</v>
      </c>
      <c r="E469" s="39">
        <v>7.0</v>
      </c>
      <c r="G469" s="12">
        <f>DATE(2012,12,31)-1381</f>
        <v>39893</v>
      </c>
    </row>
    <row r="470">
      <c r="A470" s="39" t="s">
        <v>1801</v>
      </c>
      <c r="B470" s="39">
        <v>8.0</v>
      </c>
      <c r="D470" s="38">
        <f>IFERROR(__xludf.DUMMYFUNCTION("""COMPUTED_VALUE"""),40293.0)</f>
        <v>40293</v>
      </c>
      <c r="E470" s="39">
        <v>7.0</v>
      </c>
      <c r="G470" s="12">
        <f t="shared" ref="G470:G472" si="81">DATE(2012,12,31)-1380</f>
        <v>39894</v>
      </c>
    </row>
    <row r="471">
      <c r="A471" s="39" t="s">
        <v>1814</v>
      </c>
      <c r="B471" s="39">
        <v>8.0</v>
      </c>
      <c r="D471" s="38">
        <f>IFERROR(__xludf.DUMMYFUNCTION("""COMPUTED_VALUE"""),40294.0)</f>
        <v>40294</v>
      </c>
      <c r="E471" s="39">
        <v>7.0</v>
      </c>
      <c r="G471" s="12">
        <f t="shared" si="81"/>
        <v>39894</v>
      </c>
    </row>
    <row r="472">
      <c r="A472" s="39" t="s">
        <v>1817</v>
      </c>
      <c r="B472" s="39">
        <v>8.0</v>
      </c>
      <c r="D472" s="38">
        <f>IFERROR(__xludf.DUMMYFUNCTION("""COMPUTED_VALUE"""),40295.0)</f>
        <v>40295</v>
      </c>
      <c r="E472" s="39">
        <v>7.0</v>
      </c>
      <c r="G472" s="12">
        <f t="shared" si="81"/>
        <v>39894</v>
      </c>
    </row>
    <row r="473">
      <c r="A473" s="39" t="s">
        <v>2063</v>
      </c>
      <c r="B473" s="39">
        <v>8.0</v>
      </c>
      <c r="D473" s="38">
        <f>IFERROR(__xludf.DUMMYFUNCTION("""COMPUTED_VALUE"""),40296.0)</f>
        <v>40296</v>
      </c>
      <c r="E473" s="39">
        <v>7.0</v>
      </c>
      <c r="G473" s="12">
        <f>DATE(2012,12,31)-1379</f>
        <v>39895</v>
      </c>
    </row>
    <row r="474">
      <c r="A474" s="39" t="s">
        <v>2262</v>
      </c>
      <c r="B474" s="39">
        <v>8.0</v>
      </c>
      <c r="D474" s="38">
        <f>IFERROR(__xludf.DUMMYFUNCTION("""COMPUTED_VALUE"""),40297.0)</f>
        <v>40297</v>
      </c>
      <c r="E474" s="39">
        <v>7.0</v>
      </c>
      <c r="G474" s="12">
        <f t="shared" ref="G474:G475" si="82">DATE(2012,12,31)-1377</f>
        <v>39897</v>
      </c>
    </row>
    <row r="475">
      <c r="A475" s="39" t="s">
        <v>2358</v>
      </c>
      <c r="B475" s="39">
        <v>8.0</v>
      </c>
      <c r="D475" s="38">
        <f>IFERROR(__xludf.DUMMYFUNCTION("""COMPUTED_VALUE"""),40298.0)</f>
        <v>40298</v>
      </c>
      <c r="E475" s="39">
        <v>7.0</v>
      </c>
      <c r="G475" s="12">
        <f t="shared" si="82"/>
        <v>39897</v>
      </c>
    </row>
    <row r="476">
      <c r="A476" s="39" t="s">
        <v>387</v>
      </c>
      <c r="B476" s="39">
        <v>8.0</v>
      </c>
      <c r="D476" s="38">
        <f>IFERROR(__xludf.DUMMYFUNCTION("""COMPUTED_VALUE"""),40299.0)</f>
        <v>40299</v>
      </c>
      <c r="E476" s="39">
        <v>6.0</v>
      </c>
      <c r="G476" s="12">
        <f>DATE(2012,12,31)-1386</f>
        <v>39888</v>
      </c>
    </row>
    <row r="477">
      <c r="A477" s="39" t="s">
        <v>606</v>
      </c>
      <c r="B477" s="39">
        <v>8.0</v>
      </c>
      <c r="D477" s="38">
        <f>IFERROR(__xludf.DUMMYFUNCTION("""COMPUTED_VALUE"""),40300.0)</f>
        <v>40300</v>
      </c>
      <c r="E477" s="39">
        <v>6.0</v>
      </c>
      <c r="G477" s="12">
        <f>DATE(2012,12,31)-1385</f>
        <v>39889</v>
      </c>
    </row>
    <row r="478">
      <c r="A478" s="39" t="s">
        <v>940</v>
      </c>
      <c r="B478" s="39">
        <v>8.0</v>
      </c>
      <c r="D478" s="38">
        <f>IFERROR(__xludf.DUMMYFUNCTION("""COMPUTED_VALUE"""),40301.0)</f>
        <v>40301</v>
      </c>
      <c r="E478" s="39">
        <v>6.0</v>
      </c>
      <c r="G478" s="12">
        <f>DATE(2012,12,31)-1383</f>
        <v>39891</v>
      </c>
    </row>
    <row r="479">
      <c r="A479" s="39" t="s">
        <v>1618</v>
      </c>
      <c r="B479" s="39">
        <v>8.0</v>
      </c>
      <c r="D479" s="38">
        <f>IFERROR(__xludf.DUMMYFUNCTION("""COMPUTED_VALUE"""),40302.0)</f>
        <v>40302</v>
      </c>
      <c r="E479" s="39">
        <v>6.0</v>
      </c>
      <c r="G479" s="12">
        <f t="shared" ref="G479:G480" si="83">DATE(2012,12,31)-1380</f>
        <v>39894</v>
      </c>
    </row>
    <row r="480">
      <c r="A480" s="39" t="s">
        <v>1722</v>
      </c>
      <c r="B480" s="39">
        <v>8.0</v>
      </c>
      <c r="D480" s="38">
        <f>IFERROR(__xludf.DUMMYFUNCTION("""COMPUTED_VALUE"""),40303.0)</f>
        <v>40303</v>
      </c>
      <c r="E480" s="39">
        <v>6.0</v>
      </c>
      <c r="G480" s="12">
        <f t="shared" si="83"/>
        <v>39894</v>
      </c>
    </row>
    <row r="481">
      <c r="A481" s="39" t="s">
        <v>1888</v>
      </c>
      <c r="B481" s="39">
        <v>8.0</v>
      </c>
      <c r="D481" s="38">
        <f>IFERROR(__xludf.DUMMYFUNCTION("""COMPUTED_VALUE"""),40304.0)</f>
        <v>40304</v>
      </c>
      <c r="E481" s="39">
        <v>6.0</v>
      </c>
      <c r="G481" s="12">
        <f>DATE(2012,12,31)-1379</f>
        <v>39895</v>
      </c>
    </row>
    <row r="482">
      <c r="A482" s="39" t="s">
        <v>2080</v>
      </c>
      <c r="B482" s="39">
        <v>8.0</v>
      </c>
      <c r="D482" s="38">
        <f>IFERROR(__xludf.DUMMYFUNCTION("""COMPUTED_VALUE"""),40305.0)</f>
        <v>40305</v>
      </c>
      <c r="E482" s="39">
        <v>6.0</v>
      </c>
      <c r="G482" s="12">
        <f>DATE(2012,12,31)-1378</f>
        <v>39896</v>
      </c>
    </row>
    <row r="483">
      <c r="A483" s="39" t="s">
        <v>2215</v>
      </c>
      <c r="B483" s="39">
        <v>8.0</v>
      </c>
      <c r="D483" s="38">
        <f>IFERROR(__xludf.DUMMYFUNCTION("""COMPUTED_VALUE"""),40306.0)</f>
        <v>40306</v>
      </c>
      <c r="E483" s="39">
        <v>6.0</v>
      </c>
      <c r="G483" s="12">
        <f>DATE(2012,12,31)-1377</f>
        <v>39897</v>
      </c>
    </row>
    <row r="484">
      <c r="A484" s="39" t="s">
        <v>2528</v>
      </c>
      <c r="B484" s="39">
        <v>8.0</v>
      </c>
      <c r="D484" s="38">
        <f>IFERROR(__xludf.DUMMYFUNCTION("""COMPUTED_VALUE"""),40307.0)</f>
        <v>40307</v>
      </c>
      <c r="E484" s="39">
        <v>6.0</v>
      </c>
      <c r="G484" s="12">
        <f>DATE(2012,12,31)-1376</f>
        <v>39898</v>
      </c>
    </row>
    <row r="485">
      <c r="A485" s="39" t="s">
        <v>97</v>
      </c>
      <c r="B485" s="39">
        <v>8.0</v>
      </c>
      <c r="D485" s="38">
        <f>IFERROR(__xludf.DUMMYFUNCTION("""COMPUTED_VALUE"""),40308.0)</f>
        <v>40308</v>
      </c>
      <c r="E485" s="39">
        <v>5.0</v>
      </c>
      <c r="G485" s="12">
        <f t="shared" ref="G485:G486" si="84">DATE(2012,12,31)-1387</f>
        <v>39887</v>
      </c>
    </row>
    <row r="486">
      <c r="A486" s="39" t="s">
        <v>345</v>
      </c>
      <c r="B486" s="39">
        <v>8.0</v>
      </c>
      <c r="D486" s="38">
        <f>IFERROR(__xludf.DUMMYFUNCTION("""COMPUTED_VALUE"""),40309.0)</f>
        <v>40309</v>
      </c>
      <c r="E486" s="39">
        <v>5.0</v>
      </c>
      <c r="G486" s="12">
        <f t="shared" si="84"/>
        <v>39887</v>
      </c>
    </row>
    <row r="487">
      <c r="A487" s="39" t="s">
        <v>1228</v>
      </c>
      <c r="B487" s="39">
        <v>8.0</v>
      </c>
      <c r="D487" s="38">
        <f>IFERROR(__xludf.DUMMYFUNCTION("""COMPUTED_VALUE"""),40310.0)</f>
        <v>40310</v>
      </c>
      <c r="E487" s="39">
        <v>5.0</v>
      </c>
      <c r="G487" s="12">
        <f>DATE(2012,12,31)-1383</f>
        <v>39891</v>
      </c>
    </row>
    <row r="488">
      <c r="A488" s="39" t="s">
        <v>1419</v>
      </c>
      <c r="B488" s="39">
        <v>8.0</v>
      </c>
      <c r="D488" s="38">
        <f>IFERROR(__xludf.DUMMYFUNCTION("""COMPUTED_VALUE"""),40311.0)</f>
        <v>40311</v>
      </c>
      <c r="E488" s="39">
        <v>5.0</v>
      </c>
      <c r="G488" s="12">
        <f>DATE(2012,12,31)-1381</f>
        <v>39893</v>
      </c>
    </row>
    <row r="489">
      <c r="A489" s="39" t="s">
        <v>2086</v>
      </c>
      <c r="B489" s="39">
        <v>8.0</v>
      </c>
      <c r="D489" s="38">
        <f>IFERROR(__xludf.DUMMYFUNCTION("""COMPUTED_VALUE"""),40312.0)</f>
        <v>40312</v>
      </c>
      <c r="E489" s="39">
        <v>5.0</v>
      </c>
      <c r="G489" s="12">
        <f t="shared" ref="G489:G493" si="85">DATE(2012,12,31)-1378</f>
        <v>39896</v>
      </c>
    </row>
    <row r="490">
      <c r="A490" s="39" t="s">
        <v>2112</v>
      </c>
      <c r="B490" s="39">
        <v>8.0</v>
      </c>
      <c r="D490" s="38">
        <f>IFERROR(__xludf.DUMMYFUNCTION("""COMPUTED_VALUE"""),40313.0)</f>
        <v>40313</v>
      </c>
      <c r="E490" s="39">
        <v>5.0</v>
      </c>
      <c r="G490" s="12">
        <f t="shared" si="85"/>
        <v>39896</v>
      </c>
    </row>
    <row r="491">
      <c r="A491" s="39" t="s">
        <v>2136</v>
      </c>
      <c r="B491" s="39">
        <v>8.0</v>
      </c>
      <c r="D491" s="38">
        <f>IFERROR(__xludf.DUMMYFUNCTION("""COMPUTED_VALUE"""),40314.0)</f>
        <v>40314</v>
      </c>
      <c r="E491" s="39">
        <v>5.0</v>
      </c>
      <c r="G491" s="12">
        <f t="shared" si="85"/>
        <v>39896</v>
      </c>
    </row>
    <row r="492">
      <c r="A492" s="39" t="s">
        <v>2140</v>
      </c>
      <c r="B492" s="39">
        <v>8.0</v>
      </c>
      <c r="D492" s="38">
        <f>IFERROR(__xludf.DUMMYFUNCTION("""COMPUTED_VALUE"""),40315.0)</f>
        <v>40315</v>
      </c>
      <c r="E492" s="39">
        <v>5.0</v>
      </c>
      <c r="G492" s="12">
        <f t="shared" si="85"/>
        <v>39896</v>
      </c>
    </row>
    <row r="493">
      <c r="A493" s="39" t="s">
        <v>2165</v>
      </c>
      <c r="B493" s="39">
        <v>8.0</v>
      </c>
      <c r="D493" s="38">
        <f>IFERROR(__xludf.DUMMYFUNCTION("""COMPUTED_VALUE"""),40316.0)</f>
        <v>40316</v>
      </c>
      <c r="E493" s="39">
        <v>5.0</v>
      </c>
      <c r="G493" s="12">
        <f t="shared" si="85"/>
        <v>39896</v>
      </c>
    </row>
    <row r="494">
      <c r="A494" s="39" t="s">
        <v>2250</v>
      </c>
      <c r="B494" s="39">
        <v>8.0</v>
      </c>
      <c r="D494" s="38">
        <f>IFERROR(__xludf.DUMMYFUNCTION("""COMPUTED_VALUE"""),40317.0)</f>
        <v>40317</v>
      </c>
      <c r="E494" s="39">
        <v>5.0</v>
      </c>
      <c r="G494" s="12">
        <f t="shared" ref="G494:G495" si="86">DATE(2012,12,31)-1377</f>
        <v>39897</v>
      </c>
    </row>
    <row r="495">
      <c r="A495" s="39" t="s">
        <v>2372</v>
      </c>
      <c r="B495" s="39">
        <v>8.0</v>
      </c>
      <c r="D495" s="38">
        <f>IFERROR(__xludf.DUMMYFUNCTION("""COMPUTED_VALUE"""),40318.0)</f>
        <v>40318</v>
      </c>
      <c r="E495" s="39">
        <v>5.0</v>
      </c>
      <c r="G495" s="12">
        <f t="shared" si="86"/>
        <v>39897</v>
      </c>
    </row>
    <row r="496">
      <c r="A496" s="39" t="s">
        <v>499</v>
      </c>
      <c r="B496" s="39">
        <v>8.0</v>
      </c>
      <c r="D496" s="38">
        <f>IFERROR(__xludf.DUMMYFUNCTION("""COMPUTED_VALUE"""),40319.0)</f>
        <v>40319</v>
      </c>
      <c r="E496" s="39">
        <v>4.0</v>
      </c>
      <c r="G496" s="12">
        <f>DATE(2012,12,31)-1386</f>
        <v>39888</v>
      </c>
    </row>
    <row r="497">
      <c r="A497" s="39" t="s">
        <v>711</v>
      </c>
      <c r="B497" s="39">
        <v>8.0</v>
      </c>
      <c r="D497" s="38">
        <f>IFERROR(__xludf.DUMMYFUNCTION("""COMPUTED_VALUE"""),40320.0)</f>
        <v>40320</v>
      </c>
      <c r="E497" s="39">
        <v>4.0</v>
      </c>
      <c r="G497" s="12">
        <f>DATE(2012,12,31)-1385</f>
        <v>39889</v>
      </c>
    </row>
    <row r="498">
      <c r="A498" s="39" t="s">
        <v>1039</v>
      </c>
      <c r="B498" s="39">
        <v>8.0</v>
      </c>
      <c r="D498" s="38">
        <f>IFERROR(__xludf.DUMMYFUNCTION("""COMPUTED_VALUE"""),40321.0)</f>
        <v>40321</v>
      </c>
      <c r="E498" s="39">
        <v>4.0</v>
      </c>
      <c r="G498" s="12">
        <f t="shared" ref="G498:G499" si="87">DATE(2012,12,31)-1383</f>
        <v>39891</v>
      </c>
    </row>
    <row r="499">
      <c r="A499" s="39" t="s">
        <v>1292</v>
      </c>
      <c r="B499" s="39">
        <v>8.0</v>
      </c>
      <c r="D499" s="38">
        <f>IFERROR(__xludf.DUMMYFUNCTION("""COMPUTED_VALUE"""),40322.0)</f>
        <v>40322</v>
      </c>
      <c r="E499" s="39">
        <v>4.0</v>
      </c>
      <c r="G499" s="12">
        <f t="shared" si="87"/>
        <v>39891</v>
      </c>
    </row>
    <row r="500">
      <c r="A500" s="39" t="s">
        <v>1326</v>
      </c>
      <c r="B500" s="39">
        <v>8.0</v>
      </c>
      <c r="D500" s="38">
        <f>IFERROR(__xludf.DUMMYFUNCTION("""COMPUTED_VALUE"""),40323.0)</f>
        <v>40323</v>
      </c>
      <c r="E500" s="39">
        <v>4.0</v>
      </c>
      <c r="G500" s="12">
        <f t="shared" ref="G500:G503" si="88">DATE(2012,12,31)-1382</f>
        <v>39892</v>
      </c>
    </row>
    <row r="501">
      <c r="A501" s="39" t="s">
        <v>1357</v>
      </c>
      <c r="B501" s="39">
        <v>8.0</v>
      </c>
      <c r="D501" s="38">
        <f>IFERROR(__xludf.DUMMYFUNCTION("""COMPUTED_VALUE"""),40324.0)</f>
        <v>40324</v>
      </c>
      <c r="E501" s="39">
        <v>4.0</v>
      </c>
      <c r="G501" s="12">
        <f t="shared" si="88"/>
        <v>39892</v>
      </c>
    </row>
    <row r="502">
      <c r="A502" s="39" t="s">
        <v>1401</v>
      </c>
      <c r="B502" s="39">
        <v>8.0</v>
      </c>
      <c r="D502" s="38">
        <f>IFERROR(__xludf.DUMMYFUNCTION("""COMPUTED_VALUE"""),40325.0)</f>
        <v>40325</v>
      </c>
      <c r="E502" s="39">
        <v>4.0</v>
      </c>
      <c r="G502" s="12">
        <f t="shared" si="88"/>
        <v>39892</v>
      </c>
    </row>
    <row r="503">
      <c r="A503" s="39" t="s">
        <v>1410</v>
      </c>
      <c r="B503" s="39">
        <v>8.0</v>
      </c>
      <c r="D503" s="38">
        <f>IFERROR(__xludf.DUMMYFUNCTION("""COMPUTED_VALUE"""),40326.0)</f>
        <v>40326</v>
      </c>
      <c r="E503" s="39">
        <v>4.0</v>
      </c>
      <c r="G503" s="12">
        <f t="shared" si="88"/>
        <v>39892</v>
      </c>
    </row>
    <row r="504">
      <c r="A504" s="39" t="s">
        <v>1423</v>
      </c>
      <c r="B504" s="39">
        <v>8.0</v>
      </c>
      <c r="D504" s="38">
        <f>IFERROR(__xludf.DUMMYFUNCTION("""COMPUTED_VALUE"""),40327.0)</f>
        <v>40327</v>
      </c>
      <c r="E504" s="39">
        <v>4.0</v>
      </c>
      <c r="G504" s="12">
        <f>DATE(2012,12,31)-1381</f>
        <v>39893</v>
      </c>
    </row>
    <row r="505">
      <c r="A505" s="39" t="s">
        <v>1602</v>
      </c>
      <c r="B505" s="39">
        <v>8.0</v>
      </c>
      <c r="D505" s="38">
        <f>IFERROR(__xludf.DUMMYFUNCTION("""COMPUTED_VALUE"""),40328.0)</f>
        <v>40328</v>
      </c>
      <c r="E505" s="39">
        <v>4.0</v>
      </c>
      <c r="G505" s="12">
        <f>DATE(2012,12,31)-1380</f>
        <v>39894</v>
      </c>
    </row>
    <row r="506">
      <c r="A506" s="39" t="s">
        <v>2076</v>
      </c>
      <c r="B506" s="39">
        <v>8.0</v>
      </c>
      <c r="D506" s="38">
        <f>IFERROR(__xludf.DUMMYFUNCTION("""COMPUTED_VALUE"""),40329.0)</f>
        <v>40329</v>
      </c>
      <c r="E506" s="39">
        <v>4.0</v>
      </c>
      <c r="G506" s="12">
        <f>DATE(2012,12,31)-1379</f>
        <v>39895</v>
      </c>
    </row>
    <row r="507">
      <c r="A507" s="39" t="s">
        <v>2162</v>
      </c>
      <c r="B507" s="39">
        <v>8.0</v>
      </c>
      <c r="D507" s="38">
        <f>IFERROR(__xludf.DUMMYFUNCTION("""COMPUTED_VALUE"""),40330.0)</f>
        <v>40330</v>
      </c>
      <c r="E507" s="39">
        <v>4.0</v>
      </c>
      <c r="G507" s="12">
        <f>DATE(2012,12,31)-1378</f>
        <v>39896</v>
      </c>
    </row>
    <row r="508">
      <c r="A508" s="39" t="s">
        <v>2168</v>
      </c>
      <c r="B508" s="39">
        <v>8.0</v>
      </c>
      <c r="D508" s="38">
        <f>IFERROR(__xludf.DUMMYFUNCTION("""COMPUTED_VALUE"""),40331.0)</f>
        <v>40331</v>
      </c>
      <c r="E508" s="39">
        <v>4.0</v>
      </c>
      <c r="G508" s="12">
        <f>DATE(2012,12,31)-1377</f>
        <v>39897</v>
      </c>
    </row>
    <row r="509">
      <c r="A509" s="39" t="s">
        <v>205</v>
      </c>
      <c r="B509" s="39">
        <v>8.0</v>
      </c>
      <c r="D509" s="38">
        <f>IFERROR(__xludf.DUMMYFUNCTION("""COMPUTED_VALUE"""),40332.0)</f>
        <v>40332</v>
      </c>
      <c r="E509" s="39">
        <v>3.0</v>
      </c>
      <c r="G509" s="12">
        <f>DATE(2012,12,31)-1387</f>
        <v>39887</v>
      </c>
    </row>
    <row r="510">
      <c r="A510" s="39" t="s">
        <v>578</v>
      </c>
      <c r="B510" s="39">
        <v>8.0</v>
      </c>
      <c r="D510" s="38">
        <f>IFERROR(__xludf.DUMMYFUNCTION("""COMPUTED_VALUE"""),40333.0)</f>
        <v>40333</v>
      </c>
      <c r="E510" s="39">
        <v>3.0</v>
      </c>
      <c r="G510" s="12">
        <f>DATE(2012,12,31)-1385</f>
        <v>39889</v>
      </c>
    </row>
    <row r="511">
      <c r="A511" s="39" t="s">
        <v>727</v>
      </c>
      <c r="B511" s="39">
        <v>8.0</v>
      </c>
      <c r="D511" s="38">
        <f>IFERROR(__xludf.DUMMYFUNCTION("""COMPUTED_VALUE"""),40334.0)</f>
        <v>40334</v>
      </c>
      <c r="E511" s="39">
        <v>3.0</v>
      </c>
      <c r="G511" s="12">
        <f>DATE(2012,12,31)-1384</f>
        <v>39890</v>
      </c>
    </row>
    <row r="512">
      <c r="A512" s="39" t="s">
        <v>363</v>
      </c>
      <c r="B512" s="39">
        <v>8.0</v>
      </c>
      <c r="D512" s="38">
        <f>IFERROR(__xludf.DUMMYFUNCTION("""COMPUTED_VALUE"""),40335.0)</f>
        <v>40335</v>
      </c>
      <c r="E512" s="39">
        <v>2.0</v>
      </c>
      <c r="G512" s="12">
        <f t="shared" ref="G512:G513" si="89">DATE(2012,12,31)-1386</f>
        <v>39888</v>
      </c>
    </row>
    <row r="513">
      <c r="A513" s="39" t="s">
        <v>555</v>
      </c>
      <c r="B513" s="39">
        <v>8.0</v>
      </c>
      <c r="D513" s="38">
        <f>IFERROR(__xludf.DUMMYFUNCTION("""COMPUTED_VALUE"""),40336.0)</f>
        <v>40336</v>
      </c>
      <c r="E513" s="39">
        <v>2.0</v>
      </c>
      <c r="G513" s="12">
        <f t="shared" si="89"/>
        <v>39888</v>
      </c>
    </row>
    <row r="514">
      <c r="A514" s="39" t="s">
        <v>1142</v>
      </c>
      <c r="B514" s="39">
        <v>8.0</v>
      </c>
      <c r="D514" s="38">
        <f>IFERROR(__xludf.DUMMYFUNCTION("""COMPUTED_VALUE"""),40337.0)</f>
        <v>40337</v>
      </c>
      <c r="E514" s="39">
        <v>2.0</v>
      </c>
      <c r="G514" s="12">
        <f>DATE(2012,12,31)-1383</f>
        <v>39891</v>
      </c>
    </row>
    <row r="515">
      <c r="A515" s="39" t="s">
        <v>1520</v>
      </c>
      <c r="B515" s="39">
        <v>8.0</v>
      </c>
      <c r="D515" s="38">
        <f>IFERROR(__xludf.DUMMYFUNCTION("""COMPUTED_VALUE"""),40338.0)</f>
        <v>40338</v>
      </c>
      <c r="E515" s="39">
        <v>2.0</v>
      </c>
      <c r="G515" s="12">
        <f>DATE(2012,12,31)-1381</f>
        <v>39893</v>
      </c>
    </row>
    <row r="516">
      <c r="A516" s="39" t="s">
        <v>1805</v>
      </c>
      <c r="B516" s="39">
        <v>8.0</v>
      </c>
      <c r="D516" s="38">
        <f>IFERROR(__xludf.DUMMYFUNCTION("""COMPUTED_VALUE"""),40339.0)</f>
        <v>40339</v>
      </c>
      <c r="E516" s="39">
        <v>2.0</v>
      </c>
      <c r="G516" s="12">
        <f t="shared" ref="G516:G517" si="90">DATE(2012,12,31)-1380</f>
        <v>39894</v>
      </c>
    </row>
    <row r="517">
      <c r="A517" s="39" t="s">
        <v>1816</v>
      </c>
      <c r="B517" s="39">
        <v>8.0</v>
      </c>
      <c r="D517" s="38">
        <f>IFERROR(__xludf.DUMMYFUNCTION("""COMPUTED_VALUE"""),40340.0)</f>
        <v>40340</v>
      </c>
      <c r="E517" s="39">
        <v>2.0</v>
      </c>
      <c r="G517" s="12">
        <f t="shared" si="90"/>
        <v>39894</v>
      </c>
    </row>
    <row r="518">
      <c r="A518" s="39" t="s">
        <v>1865</v>
      </c>
      <c r="B518" s="39">
        <v>8.0</v>
      </c>
      <c r="D518" s="38">
        <f>IFERROR(__xludf.DUMMYFUNCTION("""COMPUTED_VALUE"""),40342.0)</f>
        <v>40342</v>
      </c>
      <c r="E518" s="39">
        <v>2.0</v>
      </c>
      <c r="G518" s="12">
        <f>DATE(2012,12,31)-1379</f>
        <v>39895</v>
      </c>
    </row>
    <row r="519">
      <c r="A519" s="39" t="s">
        <v>879</v>
      </c>
      <c r="B519" s="39">
        <v>8.0</v>
      </c>
      <c r="D519" s="38">
        <f>IFERROR(__xludf.DUMMYFUNCTION("""COMPUTED_VALUE"""),40343.0)</f>
        <v>40343</v>
      </c>
      <c r="E519" s="39">
        <v>1.0</v>
      </c>
      <c r="G519" s="12">
        <f t="shared" ref="G519:G520" si="91">DATE(2012,12,31)-1384</f>
        <v>39890</v>
      </c>
    </row>
    <row r="520">
      <c r="A520" s="39" t="s">
        <v>895</v>
      </c>
      <c r="B520" s="39">
        <v>8.0</v>
      </c>
      <c r="D520" s="38">
        <f>IFERROR(__xludf.DUMMYFUNCTION("""COMPUTED_VALUE"""),40344.0)</f>
        <v>40344</v>
      </c>
      <c r="E520" s="39">
        <v>1.0</v>
      </c>
      <c r="G520" s="12">
        <f t="shared" si="91"/>
        <v>39890</v>
      </c>
    </row>
    <row r="521">
      <c r="A521" s="39" t="s">
        <v>1114</v>
      </c>
      <c r="B521" s="39">
        <v>8.0</v>
      </c>
      <c r="D521" s="38">
        <f>IFERROR(__xludf.DUMMYFUNCTION("""COMPUTED_VALUE"""),40345.0)</f>
        <v>40345</v>
      </c>
      <c r="E521" s="39">
        <v>1.0</v>
      </c>
      <c r="G521" s="12">
        <f>DATE(2012,12,31)-1383</f>
        <v>39891</v>
      </c>
    </row>
    <row r="522">
      <c r="A522" s="39" t="s">
        <v>2365</v>
      </c>
      <c r="B522" s="39">
        <v>8.0</v>
      </c>
      <c r="D522" s="38">
        <f>IFERROR(__xludf.DUMMYFUNCTION("""COMPUTED_VALUE"""),40346.0)</f>
        <v>40346</v>
      </c>
      <c r="E522" s="39">
        <v>1.0</v>
      </c>
      <c r="G522" s="12">
        <f>DATE(2012,12,31)-1377</f>
        <v>39897</v>
      </c>
    </row>
    <row r="523">
      <c r="A523" s="39" t="s">
        <v>2253</v>
      </c>
      <c r="B523" s="39">
        <v>7.0</v>
      </c>
      <c r="D523" s="38">
        <f>IFERROR(__xludf.DUMMYFUNCTION("""COMPUTED_VALUE"""),40347.0)</f>
        <v>40347</v>
      </c>
      <c r="E523" s="39">
        <v>17.0</v>
      </c>
      <c r="G523" s="12">
        <f>DATE(2012,12,31)-1370</f>
        <v>39904</v>
      </c>
    </row>
    <row r="524">
      <c r="A524" s="39" t="s">
        <v>806</v>
      </c>
      <c r="B524" s="39">
        <v>7.0</v>
      </c>
      <c r="D524" s="38">
        <f>IFERROR(__xludf.DUMMYFUNCTION("""COMPUTED_VALUE"""),40348.0)</f>
        <v>40348</v>
      </c>
      <c r="E524" s="39">
        <v>14.0</v>
      </c>
      <c r="G524" s="12">
        <f t="shared" ref="G524:G525" si="92">DATE(2012,12,31)-1375</f>
        <v>39899</v>
      </c>
    </row>
    <row r="525">
      <c r="A525" s="39" t="s">
        <v>630</v>
      </c>
      <c r="B525" s="39">
        <v>7.0</v>
      </c>
      <c r="D525" s="38">
        <f>IFERROR(__xludf.DUMMYFUNCTION("""COMPUTED_VALUE"""),40349.0)</f>
        <v>40349</v>
      </c>
      <c r="E525" s="39">
        <v>13.0</v>
      </c>
      <c r="G525" s="12">
        <f t="shared" si="92"/>
        <v>39899</v>
      </c>
    </row>
    <row r="526">
      <c r="A526" s="39" t="s">
        <v>1236</v>
      </c>
      <c r="B526" s="39">
        <v>7.0</v>
      </c>
      <c r="D526" s="38">
        <f>IFERROR(__xludf.DUMMYFUNCTION("""COMPUTED_VALUE"""),40350.0)</f>
        <v>40350</v>
      </c>
      <c r="E526" s="39">
        <v>11.0</v>
      </c>
      <c r="G526" s="12">
        <f>DATE(2012,12,31)-1374</f>
        <v>39900</v>
      </c>
    </row>
    <row r="527">
      <c r="A527" s="39" t="s">
        <v>1704</v>
      </c>
      <c r="B527" s="39">
        <v>7.0</v>
      </c>
      <c r="D527" s="38">
        <f>IFERROR(__xludf.DUMMYFUNCTION("""COMPUTED_VALUE"""),40351.0)</f>
        <v>40351</v>
      </c>
      <c r="E527" s="39">
        <v>11.0</v>
      </c>
      <c r="G527" s="12">
        <f>DATE(2012,12,31)-1372</f>
        <v>39902</v>
      </c>
    </row>
    <row r="528">
      <c r="A528" s="39" t="s">
        <v>1484</v>
      </c>
      <c r="B528" s="39">
        <v>7.0</v>
      </c>
      <c r="D528" s="38">
        <f>IFERROR(__xludf.DUMMYFUNCTION("""COMPUTED_VALUE"""),40352.0)</f>
        <v>40352</v>
      </c>
      <c r="E528" s="39">
        <v>10.0</v>
      </c>
      <c r="G528" s="12">
        <f t="shared" ref="G528:G529" si="93">DATE(2012,12,31)-1373</f>
        <v>39901</v>
      </c>
    </row>
    <row r="529">
      <c r="A529" s="39" t="s">
        <v>1518</v>
      </c>
      <c r="B529" s="39">
        <v>7.0</v>
      </c>
      <c r="D529" s="38">
        <f>IFERROR(__xludf.DUMMYFUNCTION("""COMPUTED_VALUE"""),40353.0)</f>
        <v>40353</v>
      </c>
      <c r="E529" s="39">
        <v>10.0</v>
      </c>
      <c r="G529" s="12">
        <f t="shared" si="93"/>
        <v>39901</v>
      </c>
    </row>
    <row r="530">
      <c r="A530" s="39" t="s">
        <v>418</v>
      </c>
      <c r="B530" s="39">
        <v>7.0</v>
      </c>
      <c r="D530" s="38">
        <f>IFERROR(__xludf.DUMMYFUNCTION("""COMPUTED_VALUE"""),40354.0)</f>
        <v>40354</v>
      </c>
      <c r="E530" s="39">
        <v>9.0</v>
      </c>
      <c r="G530" s="12">
        <f>DATE(2012,12,31)-1375</f>
        <v>39899</v>
      </c>
    </row>
    <row r="531">
      <c r="A531" s="39" t="s">
        <v>1667</v>
      </c>
      <c r="B531" s="39">
        <v>7.0</v>
      </c>
      <c r="D531" s="38">
        <f>IFERROR(__xludf.DUMMYFUNCTION("""COMPUTED_VALUE"""),40355.0)</f>
        <v>40355</v>
      </c>
      <c r="E531" s="39">
        <v>9.0</v>
      </c>
      <c r="G531" s="12">
        <f t="shared" ref="G531:G533" si="94">DATE(2012,12,31)-1372</f>
        <v>39902</v>
      </c>
    </row>
    <row r="532">
      <c r="A532" s="39" t="s">
        <v>1674</v>
      </c>
      <c r="B532" s="39">
        <v>7.0</v>
      </c>
      <c r="D532" s="38">
        <f>IFERROR(__xludf.DUMMYFUNCTION("""COMPUTED_VALUE"""),40356.0)</f>
        <v>40356</v>
      </c>
      <c r="E532" s="39">
        <v>9.0</v>
      </c>
      <c r="G532" s="12">
        <f t="shared" si="94"/>
        <v>39902</v>
      </c>
    </row>
    <row r="533">
      <c r="A533" s="39" t="s">
        <v>1784</v>
      </c>
      <c r="B533" s="39">
        <v>7.0</v>
      </c>
      <c r="D533" s="38">
        <f>IFERROR(__xludf.DUMMYFUNCTION("""COMPUTED_VALUE"""),40357.0)</f>
        <v>40357</v>
      </c>
      <c r="E533" s="39">
        <v>9.0</v>
      </c>
      <c r="G533" s="12">
        <f t="shared" si="94"/>
        <v>39902</v>
      </c>
    </row>
    <row r="534">
      <c r="A534" s="39" t="s">
        <v>2104</v>
      </c>
      <c r="B534" s="39">
        <v>7.0</v>
      </c>
      <c r="D534" s="38">
        <f>IFERROR(__xludf.DUMMYFUNCTION("""COMPUTED_VALUE"""),40358.0)</f>
        <v>40358</v>
      </c>
      <c r="E534" s="39">
        <v>9.0</v>
      </c>
      <c r="G534" s="12">
        <f>DATE(2012,12,31)-1370</f>
        <v>39904</v>
      </c>
    </row>
    <row r="535">
      <c r="A535" s="39" t="s">
        <v>131</v>
      </c>
      <c r="B535" s="39">
        <v>7.0</v>
      </c>
      <c r="D535" s="38">
        <f>IFERROR(__xludf.DUMMYFUNCTION("""COMPUTED_VALUE"""),40359.0)</f>
        <v>40359</v>
      </c>
      <c r="E535" s="39">
        <v>8.0</v>
      </c>
      <c r="G535" s="12">
        <f>DATE(2012,12,31)-1376</f>
        <v>39898</v>
      </c>
    </row>
    <row r="536">
      <c r="A536" s="39" t="s">
        <v>332</v>
      </c>
      <c r="B536" s="39">
        <v>7.0</v>
      </c>
      <c r="D536" s="38">
        <f>IFERROR(__xludf.DUMMYFUNCTION("""COMPUTED_VALUE"""),40362.0)</f>
        <v>40362</v>
      </c>
      <c r="E536" s="39">
        <v>8.0</v>
      </c>
      <c r="G536" s="12">
        <f>DATE(2012,12,31)-1375</f>
        <v>39899</v>
      </c>
    </row>
    <row r="537">
      <c r="A537" s="39" t="s">
        <v>1476</v>
      </c>
      <c r="B537" s="39">
        <v>7.0</v>
      </c>
      <c r="D537" s="38">
        <f>IFERROR(__xludf.DUMMYFUNCTION("""COMPUTED_VALUE"""),40363.0)</f>
        <v>40363</v>
      </c>
      <c r="E537" s="39">
        <v>8.0</v>
      </c>
      <c r="G537" s="12">
        <f>DATE(2012,12,31)-1373</f>
        <v>39901</v>
      </c>
    </row>
    <row r="538">
      <c r="A538" s="39" t="s">
        <v>1841</v>
      </c>
      <c r="B538" s="39">
        <v>7.0</v>
      </c>
      <c r="D538" s="38">
        <f>IFERROR(__xludf.DUMMYFUNCTION("""COMPUTED_VALUE"""),40364.0)</f>
        <v>40364</v>
      </c>
      <c r="E538" s="39">
        <v>8.0</v>
      </c>
      <c r="G538" s="12">
        <f>DATE(2012,12,31)-1372</f>
        <v>39902</v>
      </c>
    </row>
    <row r="539">
      <c r="A539" s="39" t="s">
        <v>1845</v>
      </c>
      <c r="B539" s="39">
        <v>7.0</v>
      </c>
      <c r="D539" s="38">
        <f>IFERROR(__xludf.DUMMYFUNCTION("""COMPUTED_VALUE"""),40366.0)</f>
        <v>40366</v>
      </c>
      <c r="E539" s="39">
        <v>8.0</v>
      </c>
      <c r="G539" s="12">
        <f>DATE(2012,12,31)-1371</f>
        <v>39903</v>
      </c>
    </row>
    <row r="540">
      <c r="A540" s="39" t="s">
        <v>2493</v>
      </c>
      <c r="B540" s="39">
        <v>7.0</v>
      </c>
      <c r="D540" s="38">
        <f>IFERROR(__xludf.DUMMYFUNCTION("""COMPUTED_VALUE"""),40368.0)</f>
        <v>40368</v>
      </c>
      <c r="E540" s="39">
        <v>8.0</v>
      </c>
      <c r="G540" s="12">
        <f>DATE(2012,12,31)-1367</f>
        <v>39907</v>
      </c>
    </row>
    <row r="541">
      <c r="A541" s="39" t="s">
        <v>713</v>
      </c>
      <c r="B541" s="39">
        <v>7.0</v>
      </c>
      <c r="D541" s="38">
        <f>IFERROR(__xludf.DUMMYFUNCTION("""COMPUTED_VALUE"""),40369.0)</f>
        <v>40369</v>
      </c>
      <c r="E541" s="39">
        <v>7.0</v>
      </c>
      <c r="G541" s="12">
        <f t="shared" ref="G541:G542" si="95">DATE(2012,12,31)-1375</f>
        <v>39899</v>
      </c>
    </row>
    <row r="542">
      <c r="A542" s="39" t="s">
        <v>815</v>
      </c>
      <c r="B542" s="39">
        <v>7.0</v>
      </c>
      <c r="D542" s="38">
        <f>IFERROR(__xludf.DUMMYFUNCTION("""COMPUTED_VALUE"""),40372.0)</f>
        <v>40372</v>
      </c>
      <c r="E542" s="39">
        <v>7.0</v>
      </c>
      <c r="G542" s="12">
        <f t="shared" si="95"/>
        <v>39899</v>
      </c>
    </row>
    <row r="543">
      <c r="A543" s="39" t="s">
        <v>1092</v>
      </c>
      <c r="B543" s="39">
        <v>7.0</v>
      </c>
      <c r="D543" s="38">
        <f>IFERROR(__xludf.DUMMYFUNCTION("""COMPUTED_VALUE"""),40373.0)</f>
        <v>40373</v>
      </c>
      <c r="E543" s="39">
        <v>7.0</v>
      </c>
      <c r="G543" s="12">
        <f t="shared" ref="G543:G544" si="96">DATE(2012,12,31)-1374</f>
        <v>39900</v>
      </c>
    </row>
    <row r="544">
      <c r="A544" s="39" t="s">
        <v>1298</v>
      </c>
      <c r="B544" s="39">
        <v>7.0</v>
      </c>
      <c r="D544" s="38">
        <f>IFERROR(__xludf.DUMMYFUNCTION("""COMPUTED_VALUE"""),40374.0)</f>
        <v>40374</v>
      </c>
      <c r="E544" s="39">
        <v>7.0</v>
      </c>
      <c r="G544" s="12">
        <f t="shared" si="96"/>
        <v>39900</v>
      </c>
    </row>
    <row r="545">
      <c r="A545" s="39" t="s">
        <v>1777</v>
      </c>
      <c r="B545" s="39">
        <v>7.0</v>
      </c>
      <c r="D545" s="38">
        <f>IFERROR(__xludf.DUMMYFUNCTION("""COMPUTED_VALUE"""),40375.0)</f>
        <v>40375</v>
      </c>
      <c r="E545" s="39">
        <v>7.0</v>
      </c>
      <c r="G545" s="12">
        <f>DATE(2012,12,31)-1372</f>
        <v>39902</v>
      </c>
    </row>
    <row r="546">
      <c r="A546" s="39" t="s">
        <v>2321</v>
      </c>
      <c r="B546" s="39">
        <v>7.0</v>
      </c>
      <c r="D546" s="38">
        <f>IFERROR(__xludf.DUMMYFUNCTION("""COMPUTED_VALUE"""),40376.0)</f>
        <v>40376</v>
      </c>
      <c r="E546" s="39">
        <v>7.0</v>
      </c>
      <c r="G546" s="12">
        <f t="shared" ref="G546:G547" si="97">DATE(2012,12,31)-1369</f>
        <v>39905</v>
      </c>
    </row>
    <row r="547">
      <c r="A547" s="39" t="s">
        <v>2409</v>
      </c>
      <c r="B547" s="39">
        <v>7.0</v>
      </c>
      <c r="D547" s="38">
        <f>IFERROR(__xludf.DUMMYFUNCTION("""COMPUTED_VALUE"""),40377.0)</f>
        <v>40377</v>
      </c>
      <c r="E547" s="39">
        <v>7.0</v>
      </c>
      <c r="G547" s="12">
        <f t="shared" si="97"/>
        <v>39905</v>
      </c>
    </row>
    <row r="548">
      <c r="A548" s="39" t="s">
        <v>2529</v>
      </c>
      <c r="B548" s="39">
        <v>7.0</v>
      </c>
      <c r="D548" s="38">
        <f>IFERROR(__xludf.DUMMYFUNCTION("""COMPUTED_VALUE"""),40378.0)</f>
        <v>40378</v>
      </c>
      <c r="E548" s="39">
        <v>7.0</v>
      </c>
      <c r="G548" s="12">
        <f>DATE(2012,12,31)-1367</f>
        <v>39907</v>
      </c>
    </row>
    <row r="549">
      <c r="A549" s="39" t="s">
        <v>1915</v>
      </c>
      <c r="B549" s="39">
        <v>7.0</v>
      </c>
      <c r="D549" s="38">
        <f>IFERROR(__xludf.DUMMYFUNCTION("""COMPUTED_VALUE"""),40379.0)</f>
        <v>40379</v>
      </c>
      <c r="E549" s="39">
        <v>6.0</v>
      </c>
      <c r="G549" s="12">
        <f>DATE(2012,12,31)-1371</f>
        <v>39903</v>
      </c>
    </row>
    <row r="550">
      <c r="A550" s="39" t="s">
        <v>2062</v>
      </c>
      <c r="B550" s="39">
        <v>7.0</v>
      </c>
      <c r="D550" s="38">
        <f>IFERROR(__xludf.DUMMYFUNCTION("""COMPUTED_VALUE"""),40380.0)</f>
        <v>40380</v>
      </c>
      <c r="E550" s="39">
        <v>6.0</v>
      </c>
      <c r="G550" s="12">
        <f>DATE(2012,12,31)-1370</f>
        <v>39904</v>
      </c>
    </row>
    <row r="551">
      <c r="A551" s="39" t="s">
        <v>2452</v>
      </c>
      <c r="B551" s="39">
        <v>7.0</v>
      </c>
      <c r="D551" s="38">
        <f>IFERROR(__xludf.DUMMYFUNCTION("""COMPUTED_VALUE"""),40381.0)</f>
        <v>40381</v>
      </c>
      <c r="E551" s="39">
        <v>6.0</v>
      </c>
      <c r="G551" s="12">
        <f t="shared" ref="G551:G552" si="98">DATE(2012,12,31)-1367</f>
        <v>39907</v>
      </c>
    </row>
    <row r="552">
      <c r="A552" s="39" t="s">
        <v>2557</v>
      </c>
      <c r="B552" s="39">
        <v>7.0</v>
      </c>
      <c r="D552" s="38">
        <f>IFERROR(__xludf.DUMMYFUNCTION("""COMPUTED_VALUE"""),40382.0)</f>
        <v>40382</v>
      </c>
      <c r="E552" s="39">
        <v>6.0</v>
      </c>
      <c r="G552" s="12">
        <f t="shared" si="98"/>
        <v>39907</v>
      </c>
    </row>
    <row r="553">
      <c r="A553" s="39" t="s">
        <v>780</v>
      </c>
      <c r="B553" s="39">
        <v>7.0</v>
      </c>
      <c r="D553" s="38">
        <f>IFERROR(__xludf.DUMMYFUNCTION("""COMPUTED_VALUE"""),40383.0)</f>
        <v>40383</v>
      </c>
      <c r="E553" s="39">
        <v>5.0</v>
      </c>
      <c r="G553" s="12">
        <f>DATE(2012,12,31)-1375</f>
        <v>39899</v>
      </c>
    </row>
    <row r="554">
      <c r="A554" s="39" t="s">
        <v>1442</v>
      </c>
      <c r="B554" s="39">
        <v>7.0</v>
      </c>
      <c r="D554" s="38">
        <f>IFERROR(__xludf.DUMMYFUNCTION("""COMPUTED_VALUE"""),40384.0)</f>
        <v>40384</v>
      </c>
      <c r="E554" s="39">
        <v>5.0</v>
      </c>
      <c r="G554" s="12">
        <f>DATE(2012,12,31)-1374</f>
        <v>39900</v>
      </c>
    </row>
    <row r="555">
      <c r="A555" s="39" t="s">
        <v>1546</v>
      </c>
      <c r="B555" s="39">
        <v>7.0</v>
      </c>
      <c r="D555" s="38">
        <f>IFERROR(__xludf.DUMMYFUNCTION("""COMPUTED_VALUE"""),40385.0)</f>
        <v>40385</v>
      </c>
      <c r="E555" s="39">
        <v>5.0</v>
      </c>
      <c r="G555" s="12">
        <f>DATE(2012,12,31)-1373</f>
        <v>39901</v>
      </c>
    </row>
    <row r="556">
      <c r="A556" s="39" t="s">
        <v>2255</v>
      </c>
      <c r="B556" s="39">
        <v>7.0</v>
      </c>
      <c r="D556" s="38">
        <f>IFERROR(__xludf.DUMMYFUNCTION("""COMPUTED_VALUE"""),40386.0)</f>
        <v>40386</v>
      </c>
      <c r="E556" s="39">
        <v>5.0</v>
      </c>
      <c r="G556" s="12">
        <f t="shared" ref="G556:G558" si="99">DATE(2012,12,31)-1370</f>
        <v>39904</v>
      </c>
    </row>
    <row r="557">
      <c r="A557" s="39" t="s">
        <v>2267</v>
      </c>
      <c r="B557" s="39">
        <v>7.0</v>
      </c>
      <c r="D557" s="38">
        <f>IFERROR(__xludf.DUMMYFUNCTION("""COMPUTED_VALUE"""),40387.0)</f>
        <v>40387</v>
      </c>
      <c r="E557" s="39">
        <v>5.0</v>
      </c>
      <c r="G557" s="12">
        <f t="shared" si="99"/>
        <v>39904</v>
      </c>
    </row>
    <row r="558">
      <c r="A558" s="39" t="s">
        <v>2304</v>
      </c>
      <c r="B558" s="39">
        <v>7.0</v>
      </c>
      <c r="D558" s="38">
        <f>IFERROR(__xludf.DUMMYFUNCTION("""COMPUTED_VALUE"""),40388.0)</f>
        <v>40388</v>
      </c>
      <c r="E558" s="39">
        <v>5.0</v>
      </c>
      <c r="G558" s="12">
        <f t="shared" si="99"/>
        <v>39904</v>
      </c>
    </row>
    <row r="559">
      <c r="A559" s="39" t="s">
        <v>2449</v>
      </c>
      <c r="B559" s="39">
        <v>7.0</v>
      </c>
      <c r="D559" s="38">
        <f>IFERROR(__xludf.DUMMYFUNCTION("""COMPUTED_VALUE"""),40389.0)</f>
        <v>40389</v>
      </c>
      <c r="E559" s="39">
        <v>5.0</v>
      </c>
      <c r="G559" s="12">
        <f>DATE(2012,12,31)-1367</f>
        <v>39907</v>
      </c>
    </row>
    <row r="560">
      <c r="A560" s="39" t="s">
        <v>679</v>
      </c>
      <c r="B560" s="39">
        <v>7.0</v>
      </c>
      <c r="D560" s="38">
        <f>IFERROR(__xludf.DUMMYFUNCTION("""COMPUTED_VALUE"""),40390.0)</f>
        <v>40390</v>
      </c>
      <c r="E560" s="39">
        <v>4.0</v>
      </c>
      <c r="G560" s="12">
        <f t="shared" ref="G560:G563" si="100">DATE(2012,12,31)-1375</f>
        <v>39899</v>
      </c>
    </row>
    <row r="561">
      <c r="A561" s="39" t="s">
        <v>759</v>
      </c>
      <c r="B561" s="39">
        <v>7.0</v>
      </c>
      <c r="D561" s="38">
        <f>IFERROR(__xludf.DUMMYFUNCTION("""COMPUTED_VALUE"""),40391.0)</f>
        <v>40391</v>
      </c>
      <c r="E561" s="39">
        <v>4.0</v>
      </c>
      <c r="G561" s="12">
        <f t="shared" si="100"/>
        <v>39899</v>
      </c>
    </row>
    <row r="562">
      <c r="A562" s="39" t="s">
        <v>775</v>
      </c>
      <c r="B562" s="39">
        <v>7.0</v>
      </c>
      <c r="D562" s="38">
        <f>IFERROR(__xludf.DUMMYFUNCTION("""COMPUTED_VALUE"""),40392.0)</f>
        <v>40392</v>
      </c>
      <c r="E562" s="39">
        <v>4.0</v>
      </c>
      <c r="G562" s="12">
        <f t="shared" si="100"/>
        <v>39899</v>
      </c>
    </row>
    <row r="563">
      <c r="A563" s="39" t="s">
        <v>861</v>
      </c>
      <c r="B563" s="39">
        <v>7.0</v>
      </c>
      <c r="D563" s="38">
        <f>IFERROR(__xludf.DUMMYFUNCTION("""COMPUTED_VALUE"""),40393.0)</f>
        <v>40393</v>
      </c>
      <c r="E563" s="39">
        <v>4.0</v>
      </c>
      <c r="G563" s="12">
        <f t="shared" si="100"/>
        <v>39899</v>
      </c>
    </row>
    <row r="564">
      <c r="A564" s="39" t="s">
        <v>1094</v>
      </c>
      <c r="B564" s="39">
        <v>7.0</v>
      </c>
      <c r="D564" s="38">
        <f>IFERROR(__xludf.DUMMYFUNCTION("""COMPUTED_VALUE"""),40394.0)</f>
        <v>40394</v>
      </c>
      <c r="E564" s="39">
        <v>4.0</v>
      </c>
      <c r="G564" s="12">
        <f>DATE(2012,12,31)-1374</f>
        <v>39900</v>
      </c>
    </row>
    <row r="565">
      <c r="A565" s="39" t="s">
        <v>1825</v>
      </c>
      <c r="B565" s="39">
        <v>7.0</v>
      </c>
      <c r="D565" s="38">
        <f>IFERROR(__xludf.DUMMYFUNCTION("""COMPUTED_VALUE"""),40395.0)</f>
        <v>40395</v>
      </c>
      <c r="E565" s="39">
        <v>4.0</v>
      </c>
      <c r="G565" s="12">
        <f>DATE(2012,12,31)-1372</f>
        <v>39902</v>
      </c>
    </row>
    <row r="566">
      <c r="A566" s="39" t="s">
        <v>2392</v>
      </c>
      <c r="B566" s="39">
        <v>7.0</v>
      </c>
      <c r="D566" s="38">
        <f>IFERROR(__xludf.DUMMYFUNCTION("""COMPUTED_VALUE"""),40396.0)</f>
        <v>40396</v>
      </c>
      <c r="E566" s="39">
        <v>4.0</v>
      </c>
      <c r="G566" s="12">
        <f>DATE(2012,12,31)-1369</f>
        <v>39905</v>
      </c>
    </row>
    <row r="567">
      <c r="A567" s="39" t="s">
        <v>2422</v>
      </c>
      <c r="B567" s="39">
        <v>7.0</v>
      </c>
      <c r="D567" s="38">
        <f>IFERROR(__xludf.DUMMYFUNCTION("""COMPUTED_VALUE"""),40397.0)</f>
        <v>40397</v>
      </c>
      <c r="E567" s="39">
        <v>4.0</v>
      </c>
      <c r="G567" s="12">
        <f>DATE(2012,12,31)-1368</f>
        <v>39906</v>
      </c>
    </row>
    <row r="568">
      <c r="A568" s="39" t="s">
        <v>548</v>
      </c>
      <c r="B568" s="39">
        <v>7.0</v>
      </c>
      <c r="D568" s="38">
        <f>IFERROR(__xludf.DUMMYFUNCTION("""COMPUTED_VALUE"""),40398.0)</f>
        <v>40398</v>
      </c>
      <c r="E568" s="39">
        <v>3.0</v>
      </c>
      <c r="G568" s="12">
        <f t="shared" ref="G568:G569" si="101">DATE(2012,12,31)-1375</f>
        <v>39899</v>
      </c>
    </row>
    <row r="569">
      <c r="A569" s="39" t="s">
        <v>841</v>
      </c>
      <c r="B569" s="39">
        <v>7.0</v>
      </c>
      <c r="D569" s="38">
        <f>IFERROR(__xludf.DUMMYFUNCTION("""COMPUTED_VALUE"""),40399.0)</f>
        <v>40399</v>
      </c>
      <c r="E569" s="39">
        <v>3.0</v>
      </c>
      <c r="G569" s="12">
        <f t="shared" si="101"/>
        <v>39899</v>
      </c>
    </row>
    <row r="570">
      <c r="A570" s="39" t="s">
        <v>2348</v>
      </c>
      <c r="B570" s="39">
        <v>7.0</v>
      </c>
      <c r="D570" s="38">
        <f>IFERROR(__xludf.DUMMYFUNCTION("""COMPUTED_VALUE"""),40400.0)</f>
        <v>40400</v>
      </c>
      <c r="E570" s="39">
        <v>3.0</v>
      </c>
      <c r="G570" s="12">
        <f>DATE(2012,12,31)-1369</f>
        <v>39905</v>
      </c>
    </row>
    <row r="571">
      <c r="A571" s="39" t="s">
        <v>251</v>
      </c>
      <c r="B571" s="39">
        <v>7.0</v>
      </c>
      <c r="D571" s="38">
        <f>IFERROR(__xludf.DUMMYFUNCTION("""COMPUTED_VALUE"""),40401.0)</f>
        <v>40401</v>
      </c>
      <c r="E571" s="39">
        <v>2.0</v>
      </c>
      <c r="G571" s="12">
        <f>DATE(2012,12,31)-1376</f>
        <v>39898</v>
      </c>
    </row>
    <row r="572">
      <c r="A572" s="39" t="s">
        <v>349</v>
      </c>
      <c r="B572" s="39">
        <v>7.0</v>
      </c>
      <c r="D572" s="38">
        <f>IFERROR(__xludf.DUMMYFUNCTION("""COMPUTED_VALUE"""),40402.0)</f>
        <v>40402</v>
      </c>
      <c r="E572" s="39">
        <v>2.0</v>
      </c>
      <c r="G572" s="12">
        <f t="shared" ref="G572:G573" si="102">DATE(2012,12,31)-1375</f>
        <v>39899</v>
      </c>
    </row>
    <row r="573">
      <c r="A573" s="39" t="s">
        <v>826</v>
      </c>
      <c r="B573" s="39">
        <v>7.0</v>
      </c>
      <c r="D573" s="38">
        <f>IFERROR(__xludf.DUMMYFUNCTION("""COMPUTED_VALUE"""),40403.0)</f>
        <v>40403</v>
      </c>
      <c r="E573" s="39">
        <v>2.0</v>
      </c>
      <c r="G573" s="12">
        <f t="shared" si="102"/>
        <v>39899</v>
      </c>
    </row>
    <row r="574">
      <c r="A574" s="39" t="s">
        <v>2383</v>
      </c>
      <c r="B574" s="39">
        <v>7.0</v>
      </c>
      <c r="D574" s="38">
        <f>IFERROR(__xludf.DUMMYFUNCTION("""COMPUTED_VALUE"""),40404.0)</f>
        <v>40404</v>
      </c>
      <c r="E574" s="39">
        <v>2.0</v>
      </c>
      <c r="G574" s="12">
        <f>DATE(2012,12,31)-1369</f>
        <v>39905</v>
      </c>
    </row>
    <row r="575">
      <c r="A575" s="39" t="s">
        <v>2531</v>
      </c>
      <c r="B575" s="39">
        <v>7.0</v>
      </c>
      <c r="D575" s="38">
        <f>IFERROR(__xludf.DUMMYFUNCTION("""COMPUTED_VALUE"""),40405.0)</f>
        <v>40405</v>
      </c>
      <c r="E575" s="39">
        <v>2.0</v>
      </c>
      <c r="G575" s="12">
        <f>DATE(2012,12,31)-1367</f>
        <v>39907</v>
      </c>
    </row>
    <row r="576">
      <c r="A576" s="39" t="s">
        <v>55</v>
      </c>
      <c r="B576" s="39">
        <v>7.0</v>
      </c>
      <c r="D576" s="38">
        <f>IFERROR(__xludf.DUMMYFUNCTION("""COMPUTED_VALUE"""),40406.0)</f>
        <v>40406</v>
      </c>
      <c r="E576" s="39">
        <v>1.0</v>
      </c>
      <c r="G576" s="12">
        <f>DATE(2012,12,31)-1376</f>
        <v>39898</v>
      </c>
    </row>
    <row r="577">
      <c r="A577" s="39" t="s">
        <v>998</v>
      </c>
      <c r="B577" s="39">
        <v>7.0</v>
      </c>
      <c r="D577" s="38">
        <f>IFERROR(__xludf.DUMMYFUNCTION("""COMPUTED_VALUE"""),40407.0)</f>
        <v>40407</v>
      </c>
      <c r="E577" s="39">
        <v>1.0</v>
      </c>
      <c r="G577" s="12">
        <f t="shared" ref="G577:G578" si="103">DATE(2012,12,31)-1374</f>
        <v>39900</v>
      </c>
    </row>
    <row r="578">
      <c r="A578" s="39" t="s">
        <v>1009</v>
      </c>
      <c r="B578" s="39">
        <v>7.0</v>
      </c>
      <c r="D578" s="38">
        <f>IFERROR(__xludf.DUMMYFUNCTION("""COMPUTED_VALUE"""),40408.0)</f>
        <v>40408</v>
      </c>
      <c r="E578" s="39">
        <v>1.0</v>
      </c>
      <c r="G578" s="12">
        <f t="shared" si="103"/>
        <v>39900</v>
      </c>
    </row>
    <row r="579">
      <c r="A579" s="39" t="s">
        <v>1934</v>
      </c>
      <c r="B579" s="39">
        <v>7.0</v>
      </c>
      <c r="D579" s="38">
        <f>IFERROR(__xludf.DUMMYFUNCTION("""COMPUTED_VALUE"""),40409.0)</f>
        <v>40409</v>
      </c>
      <c r="E579" s="39">
        <v>1.0</v>
      </c>
      <c r="G579" s="12">
        <f>DATE(2012,12,31)-1371</f>
        <v>39903</v>
      </c>
    </row>
    <row r="580">
      <c r="A580" s="39" t="s">
        <v>2314</v>
      </c>
      <c r="B580" s="39">
        <v>7.0</v>
      </c>
      <c r="D580" s="38">
        <f>IFERROR(__xludf.DUMMYFUNCTION("""COMPUTED_VALUE"""),40410.0)</f>
        <v>40410</v>
      </c>
      <c r="E580" s="39">
        <v>1.0</v>
      </c>
      <c r="G580" s="12">
        <f>DATE(2012,12,31)-1370</f>
        <v>39904</v>
      </c>
    </row>
    <row r="581">
      <c r="A581" s="39" t="s">
        <v>2191</v>
      </c>
      <c r="B581" s="39">
        <v>6.0</v>
      </c>
      <c r="D581" s="38">
        <f>IFERROR(__xludf.DUMMYFUNCTION("""COMPUTED_VALUE"""),40411.0)</f>
        <v>40411</v>
      </c>
      <c r="E581" s="39">
        <v>15.0</v>
      </c>
      <c r="G581" s="12">
        <f>DATE(2012,12,31)-1361</f>
        <v>39913</v>
      </c>
    </row>
    <row r="582">
      <c r="A582" s="39" t="s">
        <v>595</v>
      </c>
      <c r="B582" s="39">
        <v>6.0</v>
      </c>
      <c r="D582" s="38">
        <f>IFERROR(__xludf.DUMMYFUNCTION("""COMPUTED_VALUE"""),40412.0)</f>
        <v>40412</v>
      </c>
      <c r="E582" s="39">
        <v>14.0</v>
      </c>
      <c r="G582" s="12">
        <f t="shared" ref="G582:G583" si="104">DATE(2012,12,31)-1365</f>
        <v>39909</v>
      </c>
    </row>
    <row r="583">
      <c r="A583" s="39" t="s">
        <v>721</v>
      </c>
      <c r="B583" s="39">
        <v>6.0</v>
      </c>
      <c r="D583" s="38">
        <f>IFERROR(__xludf.DUMMYFUNCTION("""COMPUTED_VALUE"""),40413.0)</f>
        <v>40413</v>
      </c>
      <c r="E583" s="39">
        <v>13.0</v>
      </c>
      <c r="G583" s="12">
        <f t="shared" si="104"/>
        <v>39909</v>
      </c>
    </row>
    <row r="584">
      <c r="A584" s="39" t="s">
        <v>1554</v>
      </c>
      <c r="B584" s="39">
        <v>6.0</v>
      </c>
      <c r="D584" s="38">
        <f>IFERROR(__xludf.DUMMYFUNCTION("""COMPUTED_VALUE"""),40414.0)</f>
        <v>40414</v>
      </c>
      <c r="E584" s="39">
        <v>12.0</v>
      </c>
      <c r="G584" s="12">
        <f t="shared" ref="G584:G585" si="105">DATE(2012,12,31)-1363</f>
        <v>39911</v>
      </c>
    </row>
    <row r="585">
      <c r="A585" s="39" t="s">
        <v>1622</v>
      </c>
      <c r="B585" s="39">
        <v>6.0</v>
      </c>
      <c r="D585" s="38">
        <f>IFERROR(__xludf.DUMMYFUNCTION("""COMPUTED_VALUE"""),40415.0)</f>
        <v>40415</v>
      </c>
      <c r="E585" s="39">
        <v>12.0</v>
      </c>
      <c r="G585" s="12">
        <f t="shared" si="105"/>
        <v>39911</v>
      </c>
    </row>
    <row r="586">
      <c r="A586" s="39" t="s">
        <v>1707</v>
      </c>
      <c r="B586" s="39">
        <v>6.0</v>
      </c>
      <c r="D586" s="38">
        <f>IFERROR(__xludf.DUMMYFUNCTION("""COMPUTED_VALUE"""),40416.0)</f>
        <v>40416</v>
      </c>
      <c r="E586" s="39">
        <v>12.0</v>
      </c>
      <c r="G586" s="12">
        <f>DATE(2012,12,31)-1362</f>
        <v>39912</v>
      </c>
    </row>
    <row r="587">
      <c r="A587" s="39" t="s">
        <v>1501</v>
      </c>
      <c r="B587" s="39">
        <v>6.0</v>
      </c>
      <c r="D587" s="38">
        <f>IFERROR(__xludf.DUMMYFUNCTION("""COMPUTED_VALUE"""),40417.0)</f>
        <v>40417</v>
      </c>
      <c r="E587" s="39">
        <v>11.0</v>
      </c>
      <c r="G587" s="12">
        <f>DATE(2012,12,31)-1364</f>
        <v>39910</v>
      </c>
    </row>
    <row r="588">
      <c r="A588" s="39" t="s">
        <v>2295</v>
      </c>
      <c r="B588" s="39">
        <v>6.0</v>
      </c>
      <c r="D588" s="38">
        <f>IFERROR(__xludf.DUMMYFUNCTION("""COMPUTED_VALUE"""),40418.0)</f>
        <v>40418</v>
      </c>
      <c r="E588" s="39">
        <v>11.0</v>
      </c>
      <c r="G588" s="12">
        <f>DATE(2012,12,31)-1361</f>
        <v>39913</v>
      </c>
    </row>
    <row r="589">
      <c r="A589" s="39" t="s">
        <v>1682</v>
      </c>
      <c r="B589" s="39">
        <v>6.0</v>
      </c>
      <c r="D589" s="38">
        <f>IFERROR(__xludf.DUMMYFUNCTION("""COMPUTED_VALUE"""),40419.0)</f>
        <v>40419</v>
      </c>
      <c r="E589" s="39">
        <v>10.0</v>
      </c>
      <c r="G589" s="12">
        <f t="shared" ref="G589:G590" si="106">DATE(2012,12,31)-1362</f>
        <v>39912</v>
      </c>
    </row>
    <row r="590">
      <c r="A590" s="39" t="s">
        <v>1842</v>
      </c>
      <c r="B590" s="39">
        <v>6.0</v>
      </c>
      <c r="D590" s="38">
        <f>IFERROR(__xludf.DUMMYFUNCTION("""COMPUTED_VALUE"""),40420.0)</f>
        <v>40420</v>
      </c>
      <c r="E590" s="39">
        <v>10.0</v>
      </c>
      <c r="G590" s="12">
        <f t="shared" si="106"/>
        <v>39912</v>
      </c>
    </row>
    <row r="591">
      <c r="A591" s="39" t="s">
        <v>520</v>
      </c>
      <c r="B591" s="39">
        <v>6.0</v>
      </c>
      <c r="D591" s="38">
        <f>IFERROR(__xludf.DUMMYFUNCTION("""COMPUTED_VALUE"""),40421.0)</f>
        <v>40421</v>
      </c>
      <c r="E591" s="39">
        <v>9.0</v>
      </c>
      <c r="G591" s="12">
        <f>DATE(2012,12,31)-1366</f>
        <v>39908</v>
      </c>
    </row>
    <row r="592">
      <c r="A592" s="39" t="s">
        <v>1693</v>
      </c>
      <c r="B592" s="39">
        <v>6.0</v>
      </c>
      <c r="D592" s="38">
        <f>IFERROR(__xludf.DUMMYFUNCTION("""COMPUTED_VALUE"""),40422.0)</f>
        <v>40422</v>
      </c>
      <c r="E592" s="39">
        <v>9.0</v>
      </c>
      <c r="G592" s="12">
        <f>DATE(2012,12,31)-1362</f>
        <v>39912</v>
      </c>
    </row>
    <row r="593">
      <c r="A593" s="39" t="s">
        <v>2145</v>
      </c>
      <c r="B593" s="39">
        <v>6.0</v>
      </c>
      <c r="D593" s="38">
        <f>IFERROR(__xludf.DUMMYFUNCTION("""COMPUTED_VALUE"""),40423.0)</f>
        <v>40423</v>
      </c>
      <c r="E593" s="39">
        <v>9.0</v>
      </c>
      <c r="G593" s="12">
        <f t="shared" ref="G593:G594" si="107">DATE(2012,12,31)-1361</f>
        <v>39913</v>
      </c>
    </row>
    <row r="594">
      <c r="A594" s="39" t="s">
        <v>2329</v>
      </c>
      <c r="B594" s="39">
        <v>6.0</v>
      </c>
      <c r="D594" s="38">
        <f>IFERROR(__xludf.DUMMYFUNCTION("""COMPUTED_VALUE"""),40424.0)</f>
        <v>40424</v>
      </c>
      <c r="E594" s="39">
        <v>9.0</v>
      </c>
      <c r="G594" s="12">
        <f t="shared" si="107"/>
        <v>39913</v>
      </c>
    </row>
    <row r="595">
      <c r="A595" s="39" t="s">
        <v>622</v>
      </c>
      <c r="B595" s="39">
        <v>6.0</v>
      </c>
      <c r="D595" s="38">
        <f>IFERROR(__xludf.DUMMYFUNCTION("""COMPUTED_VALUE"""),40425.0)</f>
        <v>40425</v>
      </c>
      <c r="E595" s="39">
        <v>8.0</v>
      </c>
      <c r="G595" s="12">
        <f>DATE(2012,12,31)-1365</f>
        <v>39909</v>
      </c>
    </row>
    <row r="596">
      <c r="A596" s="39" t="s">
        <v>1386</v>
      </c>
      <c r="B596" s="39">
        <v>6.0</v>
      </c>
      <c r="D596" s="38">
        <f>IFERROR(__xludf.DUMMYFUNCTION("""COMPUTED_VALUE"""),40426.0)</f>
        <v>40426</v>
      </c>
      <c r="E596" s="39">
        <v>8.0</v>
      </c>
      <c r="G596" s="12">
        <f>DATE(2012,12,31)-1364</f>
        <v>39910</v>
      </c>
    </row>
    <row r="597">
      <c r="A597" s="39" t="s">
        <v>2035</v>
      </c>
      <c r="B597" s="39">
        <v>6.0</v>
      </c>
      <c r="D597" s="38">
        <f>IFERROR(__xludf.DUMMYFUNCTION("""COMPUTED_VALUE"""),40427.0)</f>
        <v>40427</v>
      </c>
      <c r="E597" s="39">
        <v>8.0</v>
      </c>
      <c r="G597" s="12">
        <f>DATE(2012,12,31)-1362</f>
        <v>39912</v>
      </c>
    </row>
    <row r="598">
      <c r="A598" s="39" t="s">
        <v>2142</v>
      </c>
      <c r="B598" s="39">
        <v>6.0</v>
      </c>
      <c r="D598" s="38">
        <f>IFERROR(__xludf.DUMMYFUNCTION("""COMPUTED_VALUE"""),40428.0)</f>
        <v>40428</v>
      </c>
      <c r="E598" s="39">
        <v>8.0</v>
      </c>
      <c r="G598" s="12">
        <f>DATE(2012,12,31)-1361</f>
        <v>39913</v>
      </c>
    </row>
    <row r="599">
      <c r="A599" s="39" t="s">
        <v>2545</v>
      </c>
      <c r="B599" s="39">
        <v>6.0</v>
      </c>
      <c r="D599" s="38">
        <f>IFERROR(__xludf.DUMMYFUNCTION("""COMPUTED_VALUE"""),40429.0)</f>
        <v>40429</v>
      </c>
      <c r="E599" s="39">
        <v>8.0</v>
      </c>
      <c r="G599" s="12">
        <f>DATE(2012,12,31)-1360</f>
        <v>39914</v>
      </c>
    </row>
    <row r="600">
      <c r="A600" s="39" t="s">
        <v>133</v>
      </c>
      <c r="B600" s="39">
        <v>6.0</v>
      </c>
      <c r="D600" s="38">
        <f>IFERROR(__xludf.DUMMYFUNCTION("""COMPUTED_VALUE"""),40430.0)</f>
        <v>40430</v>
      </c>
      <c r="E600" s="39">
        <v>7.0</v>
      </c>
      <c r="G600" s="12">
        <f>DATE(2012,12,31)-1366</f>
        <v>39908</v>
      </c>
    </row>
    <row r="601">
      <c r="A601" s="39" t="s">
        <v>1133</v>
      </c>
      <c r="B601" s="39">
        <v>6.0</v>
      </c>
      <c r="D601" s="38">
        <f>IFERROR(__xludf.DUMMYFUNCTION("""COMPUTED_VALUE"""),40431.0)</f>
        <v>40431</v>
      </c>
      <c r="E601" s="39">
        <v>7.0</v>
      </c>
      <c r="G601" s="12">
        <f t="shared" ref="G601:G602" si="108">DATE(2012,12,31)-1365</f>
        <v>39909</v>
      </c>
    </row>
    <row r="602">
      <c r="A602" s="39" t="s">
        <v>1339</v>
      </c>
      <c r="B602" s="39">
        <v>6.0</v>
      </c>
      <c r="D602" s="38">
        <f>IFERROR(__xludf.DUMMYFUNCTION("""COMPUTED_VALUE"""),40432.0)</f>
        <v>40432</v>
      </c>
      <c r="E602" s="39">
        <v>7.0</v>
      </c>
      <c r="G602" s="12">
        <f t="shared" si="108"/>
        <v>39909</v>
      </c>
    </row>
    <row r="603">
      <c r="A603" s="39" t="s">
        <v>1372</v>
      </c>
      <c r="B603" s="39">
        <v>6.0</v>
      </c>
      <c r="D603" s="38">
        <f>IFERROR(__xludf.DUMMYFUNCTION("""COMPUTED_VALUE"""),40433.0)</f>
        <v>40433</v>
      </c>
      <c r="E603" s="39">
        <v>7.0</v>
      </c>
      <c r="G603" s="12">
        <f>DATE(2012,12,31)-1364</f>
        <v>39910</v>
      </c>
    </row>
    <row r="604">
      <c r="A604" s="39" t="s">
        <v>1633</v>
      </c>
      <c r="B604" s="39">
        <v>6.0</v>
      </c>
      <c r="D604" s="38">
        <f>IFERROR(__xludf.DUMMYFUNCTION("""COMPUTED_VALUE"""),40434.0)</f>
        <v>40434</v>
      </c>
      <c r="E604" s="39">
        <v>7.0</v>
      </c>
      <c r="G604" s="12">
        <f t="shared" ref="G604:G605" si="109">DATE(2012,12,31)-1363</f>
        <v>39911</v>
      </c>
    </row>
    <row r="605">
      <c r="A605" s="39" t="s">
        <v>1654</v>
      </c>
      <c r="B605" s="39">
        <v>6.0</v>
      </c>
      <c r="D605" s="38">
        <f>IFERROR(__xludf.DUMMYFUNCTION("""COMPUTED_VALUE"""),40435.0)</f>
        <v>40435</v>
      </c>
      <c r="E605" s="39">
        <v>7.0</v>
      </c>
      <c r="G605" s="12">
        <f t="shared" si="109"/>
        <v>39911</v>
      </c>
    </row>
    <row r="606">
      <c r="A606" s="39" t="s">
        <v>1657</v>
      </c>
      <c r="B606" s="39">
        <v>6.0</v>
      </c>
      <c r="D606" s="38">
        <f>IFERROR(__xludf.DUMMYFUNCTION("""COMPUTED_VALUE"""),40436.0)</f>
        <v>40436</v>
      </c>
      <c r="E606" s="39">
        <v>7.0</v>
      </c>
      <c r="G606" s="12">
        <f t="shared" ref="G606:G607" si="110">DATE(2012,12,31)-1362</f>
        <v>39912</v>
      </c>
    </row>
    <row r="607">
      <c r="A607" s="39" t="s">
        <v>1965</v>
      </c>
      <c r="B607" s="39">
        <v>6.0</v>
      </c>
      <c r="D607" s="38">
        <f>IFERROR(__xludf.DUMMYFUNCTION("""COMPUTED_VALUE"""),40438.0)</f>
        <v>40438</v>
      </c>
      <c r="E607" s="39">
        <v>7.0</v>
      </c>
      <c r="G607" s="12">
        <f t="shared" si="110"/>
        <v>39912</v>
      </c>
    </row>
    <row r="608">
      <c r="A608" s="39" t="s">
        <v>2236</v>
      </c>
      <c r="B608" s="39">
        <v>6.0</v>
      </c>
      <c r="D608" s="38">
        <f>IFERROR(__xludf.DUMMYFUNCTION("""COMPUTED_VALUE"""),40439.0)</f>
        <v>40439</v>
      </c>
      <c r="E608" s="39">
        <v>7.0</v>
      </c>
      <c r="G608" s="12">
        <f t="shared" ref="G608:G609" si="111">DATE(2012,12,31)-1361</f>
        <v>39913</v>
      </c>
    </row>
    <row r="609">
      <c r="A609" s="39" t="s">
        <v>2361</v>
      </c>
      <c r="B609" s="39">
        <v>6.0</v>
      </c>
      <c r="D609" s="38">
        <f>IFERROR(__xludf.DUMMYFUNCTION("""COMPUTED_VALUE"""),40440.0)</f>
        <v>40440</v>
      </c>
      <c r="E609" s="39">
        <v>7.0</v>
      </c>
      <c r="G609" s="12">
        <f t="shared" si="111"/>
        <v>39913</v>
      </c>
    </row>
    <row r="610">
      <c r="A610" s="39" t="s">
        <v>215</v>
      </c>
      <c r="B610" s="39">
        <v>6.0</v>
      </c>
      <c r="D610" s="38">
        <f>IFERROR(__xludf.DUMMYFUNCTION("""COMPUTED_VALUE"""),40441.0)</f>
        <v>40441</v>
      </c>
      <c r="E610" s="39">
        <v>6.0</v>
      </c>
      <c r="G610" s="12">
        <f>DATE(2012,12,31)-1366</f>
        <v>39908</v>
      </c>
    </row>
    <row r="611">
      <c r="A611" s="39" t="s">
        <v>1310</v>
      </c>
      <c r="B611" s="39">
        <v>6.0</v>
      </c>
      <c r="D611" s="38">
        <f>IFERROR(__xludf.DUMMYFUNCTION("""COMPUTED_VALUE"""),40442.0)</f>
        <v>40442</v>
      </c>
      <c r="E611" s="39">
        <v>6.0</v>
      </c>
      <c r="G611" s="12">
        <f>DATE(2012,12,31)-1365</f>
        <v>39909</v>
      </c>
    </row>
    <row r="612">
      <c r="A612" s="39" t="s">
        <v>1470</v>
      </c>
      <c r="B612" s="39">
        <v>6.0</v>
      </c>
      <c r="D612" s="38">
        <f>IFERROR(__xludf.DUMMYFUNCTION("""COMPUTED_VALUE"""),40443.0)</f>
        <v>40443</v>
      </c>
      <c r="E612" s="39">
        <v>6.0</v>
      </c>
      <c r="G612" s="12">
        <f t="shared" ref="G612:G613" si="112">DATE(2012,12,31)-1364</f>
        <v>39910</v>
      </c>
    </row>
    <row r="613">
      <c r="A613" s="39" t="s">
        <v>1499</v>
      </c>
      <c r="B613" s="39">
        <v>6.0</v>
      </c>
      <c r="D613" s="38">
        <f>IFERROR(__xludf.DUMMYFUNCTION("""COMPUTED_VALUE"""),40444.0)</f>
        <v>40444</v>
      </c>
      <c r="E613" s="39">
        <v>6.0</v>
      </c>
      <c r="G613" s="12">
        <f t="shared" si="112"/>
        <v>39910</v>
      </c>
    </row>
    <row r="614">
      <c r="A614" s="39" t="s">
        <v>1533</v>
      </c>
      <c r="B614" s="39">
        <v>6.0</v>
      </c>
      <c r="D614" s="38">
        <f>IFERROR(__xludf.DUMMYFUNCTION("""COMPUTED_VALUE"""),40445.0)</f>
        <v>40445</v>
      </c>
      <c r="E614" s="39">
        <v>6.0</v>
      </c>
      <c r="G614" s="12">
        <f>DATE(2012,12,31)-1363</f>
        <v>39911</v>
      </c>
    </row>
    <row r="615">
      <c r="A615" s="39" t="s">
        <v>2401</v>
      </c>
      <c r="B615" s="39">
        <v>6.0</v>
      </c>
      <c r="D615" s="38">
        <f>IFERROR(__xludf.DUMMYFUNCTION("""COMPUTED_VALUE"""),40446.0)</f>
        <v>40446</v>
      </c>
      <c r="E615" s="39">
        <v>6.0</v>
      </c>
      <c r="G615" s="12">
        <f>DATE(2012,12,31)-1360</f>
        <v>39914</v>
      </c>
    </row>
    <row r="616">
      <c r="A616" s="39" t="s">
        <v>798</v>
      </c>
      <c r="B616" s="39">
        <v>6.0</v>
      </c>
      <c r="D616" s="38">
        <f>IFERROR(__xludf.DUMMYFUNCTION("""COMPUTED_VALUE"""),40447.0)</f>
        <v>40447</v>
      </c>
      <c r="E616" s="39">
        <v>5.0</v>
      </c>
      <c r="G616" s="12">
        <f t="shared" ref="G616:G618" si="113">DATE(2012,12,31)-1365</f>
        <v>39909</v>
      </c>
    </row>
    <row r="617">
      <c r="A617" s="39" t="s">
        <v>936</v>
      </c>
      <c r="B617" s="39">
        <v>6.0</v>
      </c>
      <c r="D617" s="38">
        <f>IFERROR(__xludf.DUMMYFUNCTION("""COMPUTED_VALUE"""),40448.0)</f>
        <v>40448</v>
      </c>
      <c r="E617" s="39">
        <v>5.0</v>
      </c>
      <c r="G617" s="12">
        <f t="shared" si="113"/>
        <v>39909</v>
      </c>
    </row>
    <row r="618">
      <c r="A618" s="39" t="s">
        <v>1013</v>
      </c>
      <c r="B618" s="39">
        <v>6.0</v>
      </c>
      <c r="D618" s="38">
        <f>IFERROR(__xludf.DUMMYFUNCTION("""COMPUTED_VALUE"""),40449.0)</f>
        <v>40449</v>
      </c>
      <c r="E618" s="39">
        <v>5.0</v>
      </c>
      <c r="G618" s="12">
        <f t="shared" si="113"/>
        <v>39909</v>
      </c>
    </row>
    <row r="619">
      <c r="A619" s="39" t="s">
        <v>1984</v>
      </c>
      <c r="B619" s="39">
        <v>6.0</v>
      </c>
      <c r="D619" s="38">
        <f>IFERROR(__xludf.DUMMYFUNCTION("""COMPUTED_VALUE"""),40450.0)</f>
        <v>40450</v>
      </c>
      <c r="E619" s="39">
        <v>5.0</v>
      </c>
      <c r="G619" s="12">
        <f t="shared" ref="G619:G620" si="114">DATE(2012,12,31)-1362</f>
        <v>39912</v>
      </c>
    </row>
    <row r="620">
      <c r="A620" s="39" t="s">
        <v>1995</v>
      </c>
      <c r="B620" s="39">
        <v>6.0</v>
      </c>
      <c r="D620" s="38">
        <f>IFERROR(__xludf.DUMMYFUNCTION("""COMPUTED_VALUE"""),40451.0)</f>
        <v>40451</v>
      </c>
      <c r="E620" s="39">
        <v>5.0</v>
      </c>
      <c r="G620" s="12">
        <f t="shared" si="114"/>
        <v>39912</v>
      </c>
    </row>
    <row r="621">
      <c r="A621" s="39" t="s">
        <v>2187</v>
      </c>
      <c r="B621" s="39">
        <v>6.0</v>
      </c>
      <c r="D621" s="38">
        <f>IFERROR(__xludf.DUMMYFUNCTION("""COMPUTED_VALUE"""),40452.0)</f>
        <v>40452</v>
      </c>
      <c r="E621" s="39">
        <v>5.0</v>
      </c>
      <c r="G621" s="12">
        <f t="shared" ref="G621:G623" si="115">DATE(2012,12,31)-1361</f>
        <v>39913</v>
      </c>
    </row>
    <row r="622">
      <c r="A622" s="39" t="s">
        <v>2283</v>
      </c>
      <c r="B622" s="39">
        <v>6.0</v>
      </c>
      <c r="D622" s="38">
        <f>IFERROR(__xludf.DUMMYFUNCTION("""COMPUTED_VALUE"""),40453.0)</f>
        <v>40453</v>
      </c>
      <c r="E622" s="39">
        <v>5.0</v>
      </c>
      <c r="G622" s="12">
        <f t="shared" si="115"/>
        <v>39913</v>
      </c>
    </row>
    <row r="623">
      <c r="A623" s="39" t="s">
        <v>2301</v>
      </c>
      <c r="B623" s="39">
        <v>6.0</v>
      </c>
      <c r="D623" s="38">
        <f>IFERROR(__xludf.DUMMYFUNCTION("""COMPUTED_VALUE"""),40454.0)</f>
        <v>40454</v>
      </c>
      <c r="E623" s="39">
        <v>5.0</v>
      </c>
      <c r="G623" s="12">
        <f t="shared" si="115"/>
        <v>39913</v>
      </c>
    </row>
    <row r="624">
      <c r="A624" s="39" t="s">
        <v>600</v>
      </c>
      <c r="B624" s="39">
        <v>6.0</v>
      </c>
      <c r="D624" s="38">
        <f>IFERROR(__xludf.DUMMYFUNCTION("""COMPUTED_VALUE"""),40455.0)</f>
        <v>40455</v>
      </c>
      <c r="E624" s="39">
        <v>4.0</v>
      </c>
      <c r="G624" s="12">
        <f>DATE(2012,12,31)-1365</f>
        <v>39909</v>
      </c>
    </row>
    <row r="625">
      <c r="A625" s="39" t="s">
        <v>1599</v>
      </c>
      <c r="B625" s="39">
        <v>6.0</v>
      </c>
      <c r="D625" s="38">
        <f>IFERROR(__xludf.DUMMYFUNCTION("""COMPUTED_VALUE"""),40456.0)</f>
        <v>40456</v>
      </c>
      <c r="E625" s="39">
        <v>4.0</v>
      </c>
      <c r="G625" s="12">
        <f>DATE(2012,12,31)-1363</f>
        <v>39911</v>
      </c>
    </row>
    <row r="626">
      <c r="A626" s="39" t="s">
        <v>1837</v>
      </c>
      <c r="B626" s="39">
        <v>6.0</v>
      </c>
      <c r="D626" s="38">
        <f>IFERROR(__xludf.DUMMYFUNCTION("""COMPUTED_VALUE"""),40457.0)</f>
        <v>40457</v>
      </c>
      <c r="E626" s="39">
        <v>4.0</v>
      </c>
      <c r="G626" s="12">
        <f>DATE(2012,12,31)-1362</f>
        <v>39912</v>
      </c>
    </row>
    <row r="627">
      <c r="A627" s="39" t="s">
        <v>2298</v>
      </c>
      <c r="B627" s="39">
        <v>6.0</v>
      </c>
      <c r="D627" s="38">
        <f>IFERROR(__xludf.DUMMYFUNCTION("""COMPUTED_VALUE"""),40458.0)</f>
        <v>40458</v>
      </c>
      <c r="E627" s="39">
        <v>4.0</v>
      </c>
      <c r="G627" s="12">
        <f>DATE(2012,12,31)-1361</f>
        <v>39913</v>
      </c>
    </row>
    <row r="628">
      <c r="A628" s="39" t="s">
        <v>200</v>
      </c>
      <c r="B628" s="39">
        <v>6.0</v>
      </c>
      <c r="D628" s="38">
        <f>IFERROR(__xludf.DUMMYFUNCTION("""COMPUTED_VALUE"""),40459.0)</f>
        <v>40459</v>
      </c>
      <c r="E628" s="39">
        <v>3.0</v>
      </c>
      <c r="G628" s="12">
        <f>DATE(2012,12,31)-1366</f>
        <v>39908</v>
      </c>
    </row>
    <row r="629">
      <c r="A629" s="39" t="s">
        <v>662</v>
      </c>
      <c r="B629" s="39">
        <v>6.0</v>
      </c>
      <c r="D629" s="38">
        <f>IFERROR(__xludf.DUMMYFUNCTION("""COMPUTED_VALUE"""),40460.0)</f>
        <v>40460</v>
      </c>
      <c r="E629" s="39">
        <v>3.0</v>
      </c>
      <c r="G629" s="12">
        <f t="shared" ref="G629:G630" si="116">DATE(2012,12,31)-1365</f>
        <v>39909</v>
      </c>
    </row>
    <row r="630">
      <c r="A630" s="39" t="s">
        <v>741</v>
      </c>
      <c r="B630" s="39">
        <v>6.0</v>
      </c>
      <c r="D630" s="38">
        <f>IFERROR(__xludf.DUMMYFUNCTION("""COMPUTED_VALUE"""),40461.0)</f>
        <v>40461</v>
      </c>
      <c r="E630" s="39">
        <v>3.0</v>
      </c>
      <c r="G630" s="12">
        <f t="shared" si="116"/>
        <v>39909</v>
      </c>
    </row>
    <row r="631">
      <c r="A631" s="39" t="s">
        <v>1370</v>
      </c>
      <c r="B631" s="39">
        <v>6.0</v>
      </c>
      <c r="D631" s="38">
        <f>IFERROR(__xludf.DUMMYFUNCTION("""COMPUTED_VALUE"""),40462.0)</f>
        <v>40462</v>
      </c>
      <c r="E631" s="39">
        <v>3.0</v>
      </c>
      <c r="G631" s="12">
        <f t="shared" ref="G631:G632" si="117">DATE(2012,12,31)-1364</f>
        <v>39910</v>
      </c>
    </row>
    <row r="632">
      <c r="A632" s="39" t="s">
        <v>1468</v>
      </c>
      <c r="B632" s="39">
        <v>6.0</v>
      </c>
      <c r="D632" s="38">
        <f>IFERROR(__xludf.DUMMYFUNCTION("""COMPUTED_VALUE"""),40463.0)</f>
        <v>40463</v>
      </c>
      <c r="E632" s="39">
        <v>3.0</v>
      </c>
      <c r="G632" s="12">
        <f t="shared" si="117"/>
        <v>39910</v>
      </c>
    </row>
    <row r="633">
      <c r="A633" s="39" t="s">
        <v>1655</v>
      </c>
      <c r="B633" s="39">
        <v>6.0</v>
      </c>
      <c r="D633" s="38">
        <f>IFERROR(__xludf.DUMMYFUNCTION("""COMPUTED_VALUE"""),40464.0)</f>
        <v>40464</v>
      </c>
      <c r="E633" s="39">
        <v>3.0</v>
      </c>
      <c r="G633" s="12">
        <f>DATE(2012,12,31)-1362</f>
        <v>39912</v>
      </c>
    </row>
    <row r="634">
      <c r="A634" s="39" t="s">
        <v>2498</v>
      </c>
      <c r="B634" s="39">
        <v>6.0</v>
      </c>
      <c r="D634" s="38">
        <f>IFERROR(__xludf.DUMMYFUNCTION("""COMPUTED_VALUE"""),40465.0)</f>
        <v>40465</v>
      </c>
      <c r="E634" s="39">
        <v>3.0</v>
      </c>
      <c r="G634" s="12">
        <f>DATE(2012,12,31)-1360</f>
        <v>39914</v>
      </c>
    </row>
    <row r="635">
      <c r="A635" s="39" t="s">
        <v>2603</v>
      </c>
      <c r="B635" s="39">
        <v>6.0</v>
      </c>
      <c r="D635" s="38">
        <f>IFERROR(__xludf.DUMMYFUNCTION("""COMPUTED_VALUE"""),40466.0)</f>
        <v>40466</v>
      </c>
      <c r="E635" s="39">
        <v>3.0</v>
      </c>
      <c r="G635" s="12">
        <f>DATE(2012,12,31)-1359</f>
        <v>39915</v>
      </c>
    </row>
    <row r="636">
      <c r="A636" s="39" t="s">
        <v>913</v>
      </c>
      <c r="B636" s="39">
        <v>6.0</v>
      </c>
      <c r="D636" s="38">
        <f>IFERROR(__xludf.DUMMYFUNCTION("""COMPUTED_VALUE"""),40467.0)</f>
        <v>40467</v>
      </c>
      <c r="E636" s="39">
        <v>2.0</v>
      </c>
      <c r="G636" s="12">
        <f>DATE(2012,12,31)-1365</f>
        <v>39909</v>
      </c>
    </row>
    <row r="637">
      <c r="A637" s="39" t="s">
        <v>1821</v>
      </c>
      <c r="B637" s="39">
        <v>6.0</v>
      </c>
      <c r="D637" s="38">
        <f>IFERROR(__xludf.DUMMYFUNCTION("""COMPUTED_VALUE"""),40468.0)</f>
        <v>40468</v>
      </c>
      <c r="E637" s="39">
        <v>2.0</v>
      </c>
      <c r="G637" s="12">
        <f t="shared" ref="G637:G639" si="118">DATE(2012,12,31)-1362</f>
        <v>39912</v>
      </c>
    </row>
    <row r="638">
      <c r="A638" s="39" t="s">
        <v>1983</v>
      </c>
      <c r="B638" s="39">
        <v>6.0</v>
      </c>
      <c r="D638" s="38">
        <f>IFERROR(__xludf.DUMMYFUNCTION("""COMPUTED_VALUE"""),40469.0)</f>
        <v>40469</v>
      </c>
      <c r="E638" s="39">
        <v>2.0</v>
      </c>
      <c r="G638" s="12">
        <f t="shared" si="118"/>
        <v>39912</v>
      </c>
    </row>
    <row r="639">
      <c r="A639" s="39" t="s">
        <v>2131</v>
      </c>
      <c r="B639" s="39">
        <v>6.0</v>
      </c>
      <c r="D639" s="38">
        <f>IFERROR(__xludf.DUMMYFUNCTION("""COMPUTED_VALUE"""),40470.0)</f>
        <v>40470</v>
      </c>
      <c r="E639" s="39">
        <v>2.0</v>
      </c>
      <c r="G639" s="12">
        <f t="shared" si="118"/>
        <v>39912</v>
      </c>
    </row>
    <row r="640">
      <c r="A640" s="39" t="s">
        <v>541</v>
      </c>
      <c r="B640" s="39">
        <v>6.0</v>
      </c>
      <c r="D640" s="38">
        <f>IFERROR(__xludf.DUMMYFUNCTION("""COMPUTED_VALUE"""),40471.0)</f>
        <v>40471</v>
      </c>
      <c r="E640" s="39">
        <v>1.0</v>
      </c>
      <c r="G640" s="12">
        <f>DATE(2012,12,31)-1365</f>
        <v>39909</v>
      </c>
    </row>
    <row r="641">
      <c r="A641" s="39" t="s">
        <v>2387</v>
      </c>
      <c r="B641" s="39">
        <v>6.0</v>
      </c>
      <c r="D641" s="38">
        <f>IFERROR(__xludf.DUMMYFUNCTION("""COMPUTED_VALUE"""),40472.0)</f>
        <v>40472</v>
      </c>
      <c r="E641" s="39">
        <v>1.0</v>
      </c>
      <c r="G641" s="12">
        <f>DATE(2012,12,31)-1360</f>
        <v>39914</v>
      </c>
    </row>
    <row r="642">
      <c r="A642" s="39" t="s">
        <v>2435</v>
      </c>
      <c r="B642" s="39">
        <v>5.0</v>
      </c>
      <c r="D642" s="38">
        <f>IFERROR(__xludf.DUMMYFUNCTION("""COMPUTED_VALUE"""),40473.0)</f>
        <v>40473</v>
      </c>
      <c r="E642" s="39">
        <v>15.0</v>
      </c>
      <c r="G642" s="12">
        <f>DATE(2012,12,31)-1351</f>
        <v>39923</v>
      </c>
    </row>
    <row r="643">
      <c r="A643" s="39" t="s">
        <v>2232</v>
      </c>
      <c r="B643" s="39">
        <v>5.0</v>
      </c>
      <c r="D643" s="38">
        <f>IFERROR(__xludf.DUMMYFUNCTION("""COMPUTED_VALUE"""),40474.0)</f>
        <v>40474</v>
      </c>
      <c r="E643" s="39">
        <v>13.0</v>
      </c>
      <c r="G643" s="12">
        <f>DATE(2012,12,31)-1352</f>
        <v>39922</v>
      </c>
    </row>
    <row r="644">
      <c r="A644" s="39" t="s">
        <v>697</v>
      </c>
      <c r="B644" s="39">
        <v>5.0</v>
      </c>
      <c r="D644" s="38">
        <f>IFERROR(__xludf.DUMMYFUNCTION("""COMPUTED_VALUE"""),40475.0)</f>
        <v>40475</v>
      </c>
      <c r="E644" s="39">
        <v>11.0</v>
      </c>
      <c r="G644" s="12">
        <f>DATE(2012,12,31)-1358</f>
        <v>39916</v>
      </c>
    </row>
    <row r="645">
      <c r="A645" s="39" t="s">
        <v>1131</v>
      </c>
      <c r="B645" s="39">
        <v>5.0</v>
      </c>
      <c r="D645" s="38">
        <f>IFERROR(__xludf.DUMMYFUNCTION("""COMPUTED_VALUE"""),40476.0)</f>
        <v>40476</v>
      </c>
      <c r="E645" s="39">
        <v>11.0</v>
      </c>
      <c r="G645" s="12">
        <f>DATE(2012,12,31)-1356</f>
        <v>39918</v>
      </c>
    </row>
    <row r="646">
      <c r="A646" s="39" t="s">
        <v>1999</v>
      </c>
      <c r="B646" s="39">
        <v>5.0</v>
      </c>
      <c r="D646" s="38">
        <f>IFERROR(__xludf.DUMMYFUNCTION("""COMPUTED_VALUE"""),40477.0)</f>
        <v>40477</v>
      </c>
      <c r="E646" s="39">
        <v>11.0</v>
      </c>
      <c r="G646" s="12">
        <f>DATE(2012,12,31)-1353</f>
        <v>39921</v>
      </c>
    </row>
    <row r="647">
      <c r="A647" s="39" t="s">
        <v>2228</v>
      </c>
      <c r="B647" s="39">
        <v>5.0</v>
      </c>
      <c r="D647" s="38">
        <f>IFERROR(__xludf.DUMMYFUNCTION("""COMPUTED_VALUE"""),40478.0)</f>
        <v>40478</v>
      </c>
      <c r="E647" s="39">
        <v>11.0</v>
      </c>
      <c r="G647" s="12">
        <f t="shared" ref="G647:G648" si="119">DATE(2012,12,31)-1352</f>
        <v>39922</v>
      </c>
    </row>
    <row r="648">
      <c r="A648" s="39" t="s">
        <v>2351</v>
      </c>
      <c r="B648" s="39">
        <v>5.0</v>
      </c>
      <c r="D648" s="38">
        <f>IFERROR(__xludf.DUMMYFUNCTION("""COMPUTED_VALUE"""),40479.0)</f>
        <v>40479</v>
      </c>
      <c r="E648" s="39">
        <v>11.0</v>
      </c>
      <c r="G648" s="12">
        <f t="shared" si="119"/>
        <v>39922</v>
      </c>
    </row>
    <row r="649">
      <c r="A649" s="39" t="s">
        <v>1095</v>
      </c>
      <c r="B649" s="39">
        <v>5.0</v>
      </c>
      <c r="D649" s="38">
        <f>IFERROR(__xludf.DUMMYFUNCTION("""COMPUTED_VALUE"""),40480.0)</f>
        <v>40480</v>
      </c>
      <c r="E649" s="39">
        <v>10.0</v>
      </c>
      <c r="G649" s="12">
        <f>DATE(2012,12,31)-1357</f>
        <v>39917</v>
      </c>
    </row>
    <row r="650">
      <c r="A650" s="39" t="s">
        <v>1769</v>
      </c>
      <c r="B650" s="39">
        <v>5.0</v>
      </c>
      <c r="D650" s="38">
        <f>IFERROR(__xludf.DUMMYFUNCTION("""COMPUTED_VALUE"""),40481.0)</f>
        <v>40481</v>
      </c>
      <c r="E650" s="39">
        <v>10.0</v>
      </c>
      <c r="G650" s="12">
        <f>DATE(2012,12,31)-1354</f>
        <v>39920</v>
      </c>
    </row>
    <row r="651">
      <c r="A651" s="39" t="s">
        <v>2428</v>
      </c>
      <c r="B651" s="39">
        <v>5.0</v>
      </c>
      <c r="D651" s="38">
        <f>IFERROR(__xludf.DUMMYFUNCTION("""COMPUTED_VALUE"""),40482.0)</f>
        <v>40482</v>
      </c>
      <c r="E651" s="39">
        <v>10.0</v>
      </c>
      <c r="G651" s="12">
        <f>DATE(2012,12,31)-1351</f>
        <v>39923</v>
      </c>
    </row>
    <row r="652">
      <c r="A652" s="39" t="s">
        <v>159</v>
      </c>
      <c r="B652" s="39">
        <v>5.0</v>
      </c>
      <c r="D652" s="38">
        <f>IFERROR(__xludf.DUMMYFUNCTION("""COMPUTED_VALUE"""),40483.0)</f>
        <v>40483</v>
      </c>
      <c r="E652" s="39">
        <v>9.0</v>
      </c>
      <c r="G652" s="12">
        <f>DATE(2012,12,31)-1359</f>
        <v>39915</v>
      </c>
    </row>
    <row r="653">
      <c r="A653" s="39" t="s">
        <v>1103</v>
      </c>
      <c r="B653" s="39">
        <v>5.0</v>
      </c>
      <c r="D653" s="38">
        <f>IFERROR(__xludf.DUMMYFUNCTION("""COMPUTED_VALUE"""),40485.0)</f>
        <v>40485</v>
      </c>
      <c r="E653" s="39">
        <v>9.0</v>
      </c>
      <c r="G653" s="12">
        <f>DATE(2012,12,31)-1356</f>
        <v>39918</v>
      </c>
    </row>
    <row r="654">
      <c r="A654" s="39" t="s">
        <v>1686</v>
      </c>
      <c r="B654" s="39">
        <v>5.0</v>
      </c>
      <c r="D654" s="38">
        <f>IFERROR(__xludf.DUMMYFUNCTION("""COMPUTED_VALUE"""),40486.0)</f>
        <v>40486</v>
      </c>
      <c r="E654" s="39">
        <v>9.0</v>
      </c>
      <c r="G654" s="12">
        <f>DATE(2012,12,31)-1355</f>
        <v>39919</v>
      </c>
    </row>
    <row r="655">
      <c r="A655" s="39" t="s">
        <v>1980</v>
      </c>
      <c r="B655" s="39">
        <v>5.0</v>
      </c>
      <c r="D655" s="38">
        <f>IFERROR(__xludf.DUMMYFUNCTION("""COMPUTED_VALUE"""),40487.0)</f>
        <v>40487</v>
      </c>
      <c r="E655" s="39">
        <v>9.0</v>
      </c>
      <c r="G655" s="12">
        <f>DATE(2012,12,31)-1353</f>
        <v>39921</v>
      </c>
    </row>
    <row r="656">
      <c r="A656" s="39" t="s">
        <v>2569</v>
      </c>
      <c r="B656" s="39">
        <v>5.0</v>
      </c>
      <c r="D656" s="38">
        <f>IFERROR(__xludf.DUMMYFUNCTION("""COMPUTED_VALUE"""),40488.0)</f>
        <v>40488</v>
      </c>
      <c r="E656" s="39">
        <v>9.0</v>
      </c>
      <c r="G656" s="12">
        <f>DATE(2012,12,31)-1350</f>
        <v>39924</v>
      </c>
    </row>
    <row r="657">
      <c r="A657" s="39" t="s">
        <v>113</v>
      </c>
      <c r="B657" s="39">
        <v>5.0</v>
      </c>
      <c r="D657" s="38">
        <f>IFERROR(__xludf.DUMMYFUNCTION("""COMPUTED_VALUE"""),40489.0)</f>
        <v>40489</v>
      </c>
      <c r="E657" s="39">
        <v>8.0</v>
      </c>
      <c r="G657" s="12">
        <f>DATE(2012,12,31)-1359</f>
        <v>39915</v>
      </c>
    </row>
    <row r="658">
      <c r="A658" s="39" t="s">
        <v>1051</v>
      </c>
      <c r="B658" s="39">
        <v>5.0</v>
      </c>
      <c r="D658" s="38">
        <f>IFERROR(__xludf.DUMMYFUNCTION("""COMPUTED_VALUE"""),40490.0)</f>
        <v>40490</v>
      </c>
      <c r="E658" s="39">
        <v>8.0</v>
      </c>
      <c r="G658" s="12">
        <f>DATE(2012,12,31)-1357</f>
        <v>39917</v>
      </c>
    </row>
    <row r="659">
      <c r="A659" s="39" t="s">
        <v>2241</v>
      </c>
      <c r="B659" s="39">
        <v>5.0</v>
      </c>
      <c r="D659" s="38">
        <f>IFERROR(__xludf.DUMMYFUNCTION("""COMPUTED_VALUE"""),40491.0)</f>
        <v>40491</v>
      </c>
      <c r="E659" s="39">
        <v>8.0</v>
      </c>
      <c r="G659" s="12">
        <f>DATE(2012,12,31)-1352</f>
        <v>39922</v>
      </c>
    </row>
    <row r="660">
      <c r="A660" s="39" t="s">
        <v>1266</v>
      </c>
      <c r="B660" s="39">
        <v>5.0</v>
      </c>
      <c r="D660" s="38">
        <f>IFERROR(__xludf.DUMMYFUNCTION("""COMPUTED_VALUE"""),40492.0)</f>
        <v>40492</v>
      </c>
      <c r="E660" s="39">
        <v>7.0</v>
      </c>
      <c r="G660" s="12">
        <f>DATE(2012,12,31)-1356</f>
        <v>39918</v>
      </c>
    </row>
    <row r="661">
      <c r="A661" s="39" t="s">
        <v>1513</v>
      </c>
      <c r="B661" s="39">
        <v>5.0</v>
      </c>
      <c r="D661" s="38">
        <f>IFERROR(__xludf.DUMMYFUNCTION("""COMPUTED_VALUE"""),40493.0)</f>
        <v>40493</v>
      </c>
      <c r="E661" s="39">
        <v>7.0</v>
      </c>
      <c r="G661" s="12">
        <f>DATE(2012,12,31)-1355</f>
        <v>39919</v>
      </c>
    </row>
    <row r="662">
      <c r="A662" s="39" t="s">
        <v>2221</v>
      </c>
      <c r="B662" s="39">
        <v>5.0</v>
      </c>
      <c r="D662" s="38">
        <f>IFERROR(__xludf.DUMMYFUNCTION("""COMPUTED_VALUE"""),40494.0)</f>
        <v>40494</v>
      </c>
      <c r="E662" s="39">
        <v>7.0</v>
      </c>
      <c r="G662" s="12">
        <f>DATE(2012,12,31)-1353</f>
        <v>39921</v>
      </c>
    </row>
    <row r="663">
      <c r="A663" s="39" t="s">
        <v>2336</v>
      </c>
      <c r="B663" s="39">
        <v>5.0</v>
      </c>
      <c r="D663" s="38">
        <f>IFERROR(__xludf.DUMMYFUNCTION("""COMPUTED_VALUE"""),40495.0)</f>
        <v>40495</v>
      </c>
      <c r="E663" s="39">
        <v>7.0</v>
      </c>
      <c r="G663" s="12">
        <f>DATE(2012,12,31)-1352</f>
        <v>39922</v>
      </c>
    </row>
    <row r="664">
      <c r="A664" s="39" t="s">
        <v>2386</v>
      </c>
      <c r="B664" s="39">
        <v>5.0</v>
      </c>
      <c r="D664" s="38">
        <f>IFERROR(__xludf.DUMMYFUNCTION("""COMPUTED_VALUE"""),40496.0)</f>
        <v>40496</v>
      </c>
      <c r="E664" s="39">
        <v>7.0</v>
      </c>
      <c r="G664" s="12">
        <f t="shared" ref="G664:G665" si="120">DATE(2012,12,31)-1351</f>
        <v>39923</v>
      </c>
    </row>
    <row r="665">
      <c r="A665" s="39" t="s">
        <v>2402</v>
      </c>
      <c r="B665" s="39">
        <v>5.0</v>
      </c>
      <c r="D665" s="38">
        <f>IFERROR(__xludf.DUMMYFUNCTION("""COMPUTED_VALUE"""),40498.0)</f>
        <v>40498</v>
      </c>
      <c r="E665" s="39">
        <v>7.0</v>
      </c>
      <c r="G665" s="12">
        <f t="shared" si="120"/>
        <v>39923</v>
      </c>
    </row>
    <row r="666">
      <c r="A666" s="39" t="s">
        <v>501</v>
      </c>
      <c r="B666" s="39">
        <v>5.0</v>
      </c>
      <c r="D666" s="38">
        <f>IFERROR(__xludf.DUMMYFUNCTION("""COMPUTED_VALUE"""),40499.0)</f>
        <v>40499</v>
      </c>
      <c r="E666" s="39">
        <v>6.0</v>
      </c>
      <c r="G666" s="12">
        <f>DATE(2012,12,31)-1359</f>
        <v>39915</v>
      </c>
    </row>
    <row r="667">
      <c r="A667" s="39" t="s">
        <v>1422</v>
      </c>
      <c r="B667" s="39">
        <v>5.0</v>
      </c>
      <c r="D667" s="38">
        <f>IFERROR(__xludf.DUMMYFUNCTION("""COMPUTED_VALUE"""),40500.0)</f>
        <v>40500</v>
      </c>
      <c r="E667" s="39">
        <v>6.0</v>
      </c>
      <c r="G667" s="12">
        <f>DATE(2012,12,31)-1355</f>
        <v>39919</v>
      </c>
    </row>
    <row r="668">
      <c r="A668" s="39" t="s">
        <v>1798</v>
      </c>
      <c r="B668" s="39">
        <v>5.0</v>
      </c>
      <c r="D668" s="38">
        <f>IFERROR(__xludf.DUMMYFUNCTION("""COMPUTED_VALUE"""),40501.0)</f>
        <v>40501</v>
      </c>
      <c r="E668" s="39">
        <v>6.0</v>
      </c>
      <c r="G668" s="12">
        <f t="shared" ref="G668:G669" si="121">DATE(2012,12,31)-1353</f>
        <v>39921</v>
      </c>
    </row>
    <row r="669">
      <c r="A669" s="39" t="s">
        <v>2183</v>
      </c>
      <c r="B669" s="39">
        <v>5.0</v>
      </c>
      <c r="D669" s="38">
        <f>IFERROR(__xludf.DUMMYFUNCTION("""COMPUTED_VALUE"""),40502.0)</f>
        <v>40502</v>
      </c>
      <c r="E669" s="39">
        <v>6.0</v>
      </c>
      <c r="G669" s="12">
        <f t="shared" si="121"/>
        <v>39921</v>
      </c>
    </row>
    <row r="670">
      <c r="A670" s="39" t="s">
        <v>2407</v>
      </c>
      <c r="B670" s="39">
        <v>5.0</v>
      </c>
      <c r="D670" s="38">
        <f>IFERROR(__xludf.DUMMYFUNCTION("""COMPUTED_VALUE"""),40503.0)</f>
        <v>40503</v>
      </c>
      <c r="E670" s="39">
        <v>6.0</v>
      </c>
      <c r="G670" s="12">
        <f>DATE(2012,12,31)-1351</f>
        <v>39923</v>
      </c>
    </row>
    <row r="671">
      <c r="A671" s="39" t="s">
        <v>1752</v>
      </c>
      <c r="B671" s="39">
        <v>5.0</v>
      </c>
      <c r="D671" s="38">
        <f>IFERROR(__xludf.DUMMYFUNCTION("""COMPUTED_VALUE"""),40504.0)</f>
        <v>40504</v>
      </c>
      <c r="E671" s="39">
        <v>5.0</v>
      </c>
      <c r="G671" s="12">
        <f>DATE(2012,12,31)-1354</f>
        <v>39920</v>
      </c>
    </row>
    <row r="672">
      <c r="A672" s="39" t="s">
        <v>2048</v>
      </c>
      <c r="B672" s="39">
        <v>5.0</v>
      </c>
      <c r="D672" s="38">
        <f>IFERROR(__xludf.DUMMYFUNCTION("""COMPUTED_VALUE"""),40505.0)</f>
        <v>40505</v>
      </c>
      <c r="E672" s="39">
        <v>5.0</v>
      </c>
      <c r="G672" s="12">
        <f>DATE(2012,12,31)-1353</f>
        <v>39921</v>
      </c>
    </row>
    <row r="673">
      <c r="A673" s="39" t="s">
        <v>1320</v>
      </c>
      <c r="B673" s="39">
        <v>5.0</v>
      </c>
      <c r="D673" s="38">
        <f>IFERROR(__xludf.DUMMYFUNCTION("""COMPUTED_VALUE"""),40506.0)</f>
        <v>40506</v>
      </c>
      <c r="E673" s="39">
        <v>4.0</v>
      </c>
      <c r="G673" s="12">
        <f>DATE(2012,12,31)-1356</f>
        <v>39918</v>
      </c>
    </row>
    <row r="674">
      <c r="A674" s="39" t="s">
        <v>1951</v>
      </c>
      <c r="B674" s="39">
        <v>5.0</v>
      </c>
      <c r="D674" s="38">
        <f>IFERROR(__xludf.DUMMYFUNCTION("""COMPUTED_VALUE"""),40507.0)</f>
        <v>40507</v>
      </c>
      <c r="E674" s="39">
        <v>4.0</v>
      </c>
      <c r="G674" s="12">
        <f>DATE(2012,12,31)-1353</f>
        <v>39921</v>
      </c>
    </row>
    <row r="675">
      <c r="A675" s="39" t="s">
        <v>2374</v>
      </c>
      <c r="B675" s="39">
        <v>5.0</v>
      </c>
      <c r="D675" s="38">
        <f>IFERROR(__xludf.DUMMYFUNCTION("""COMPUTED_VALUE"""),40508.0)</f>
        <v>40508</v>
      </c>
      <c r="E675" s="39">
        <v>4.0</v>
      </c>
      <c r="G675" s="12">
        <f>DATE(2012,12,31)-1352</f>
        <v>39922</v>
      </c>
    </row>
    <row r="676">
      <c r="A676" s="39" t="s">
        <v>2594</v>
      </c>
      <c r="B676" s="39">
        <v>5.0</v>
      </c>
      <c r="D676" s="38">
        <f>IFERROR(__xludf.DUMMYFUNCTION("""COMPUTED_VALUE"""),40509.0)</f>
        <v>40509</v>
      </c>
      <c r="E676" s="39">
        <v>4.0</v>
      </c>
      <c r="G676" s="12">
        <f>DATE(2012,12,31)-1350</f>
        <v>39924</v>
      </c>
    </row>
    <row r="677">
      <c r="A677" s="39" t="s">
        <v>593</v>
      </c>
      <c r="B677" s="39">
        <v>5.0</v>
      </c>
      <c r="D677" s="38">
        <f>IFERROR(__xludf.DUMMYFUNCTION("""COMPUTED_VALUE"""),40511.0)</f>
        <v>40511</v>
      </c>
      <c r="E677" s="39">
        <v>3.0</v>
      </c>
      <c r="G677" s="12">
        <f t="shared" ref="G677:G678" si="122">DATE(2012,12,31)-1358</f>
        <v>39916</v>
      </c>
    </row>
    <row r="678">
      <c r="A678" s="39" t="s">
        <v>735</v>
      </c>
      <c r="B678" s="39">
        <v>5.0</v>
      </c>
      <c r="D678" s="38">
        <f>IFERROR(__xludf.DUMMYFUNCTION("""COMPUTED_VALUE"""),40512.0)</f>
        <v>40512</v>
      </c>
      <c r="E678" s="39">
        <v>3.0</v>
      </c>
      <c r="G678" s="12">
        <f t="shared" si="122"/>
        <v>39916</v>
      </c>
    </row>
    <row r="679">
      <c r="A679" s="39" t="s">
        <v>1249</v>
      </c>
      <c r="B679" s="39">
        <v>5.0</v>
      </c>
      <c r="D679" s="38">
        <f>IFERROR(__xludf.DUMMYFUNCTION("""COMPUTED_VALUE"""),40513.0)</f>
        <v>40513</v>
      </c>
      <c r="E679" s="39">
        <v>3.0</v>
      </c>
      <c r="G679" s="12">
        <f>DATE(2012,12,31)-1356</f>
        <v>39918</v>
      </c>
    </row>
    <row r="680">
      <c r="A680" s="39" t="s">
        <v>1492</v>
      </c>
      <c r="B680" s="39">
        <v>5.0</v>
      </c>
      <c r="D680" s="38">
        <f>IFERROR(__xludf.DUMMYFUNCTION("""COMPUTED_VALUE"""),40514.0)</f>
        <v>40514</v>
      </c>
      <c r="E680" s="39">
        <v>3.0</v>
      </c>
      <c r="G680" s="12">
        <f>DATE(2012,12,31)-1355</f>
        <v>39919</v>
      </c>
    </row>
    <row r="681">
      <c r="A681" s="39" t="s">
        <v>2177</v>
      </c>
      <c r="B681" s="39">
        <v>5.0</v>
      </c>
      <c r="D681" s="38">
        <f>IFERROR(__xludf.DUMMYFUNCTION("""COMPUTED_VALUE"""),40515.0)</f>
        <v>40515</v>
      </c>
      <c r="E681" s="39">
        <v>3.0</v>
      </c>
      <c r="G681" s="12">
        <f>DATE(2012,12,31)-1353</f>
        <v>39921</v>
      </c>
    </row>
    <row r="682">
      <c r="A682" s="39" t="s">
        <v>2490</v>
      </c>
      <c r="B682" s="39">
        <v>5.0</v>
      </c>
      <c r="D682" s="38">
        <f>IFERROR(__xludf.DUMMYFUNCTION("""COMPUTED_VALUE"""),40516.0)</f>
        <v>40516</v>
      </c>
      <c r="E682" s="39">
        <v>3.0</v>
      </c>
      <c r="G682" s="12">
        <f>DATE(2012,12,31)-1351</f>
        <v>39923</v>
      </c>
    </row>
    <row r="683">
      <c r="A683" s="39" t="s">
        <v>1702</v>
      </c>
      <c r="B683" s="39">
        <v>5.0</v>
      </c>
      <c r="D683" s="38">
        <f>IFERROR(__xludf.DUMMYFUNCTION("""COMPUTED_VALUE"""),40517.0)</f>
        <v>40517</v>
      </c>
      <c r="E683" s="39">
        <v>2.0</v>
      </c>
      <c r="G683" s="12">
        <f t="shared" ref="G683:G684" si="123">DATE(2012,12,31)-1354</f>
        <v>39920</v>
      </c>
    </row>
    <row r="684">
      <c r="A684" s="39" t="s">
        <v>1736</v>
      </c>
      <c r="B684" s="39">
        <v>5.0</v>
      </c>
      <c r="D684" s="38">
        <f>IFERROR(__xludf.DUMMYFUNCTION("""COMPUTED_VALUE"""),40518.0)</f>
        <v>40518</v>
      </c>
      <c r="E684" s="39">
        <v>2.0</v>
      </c>
      <c r="G684" s="12">
        <f t="shared" si="123"/>
        <v>39920</v>
      </c>
    </row>
    <row r="685">
      <c r="A685" s="39" t="s">
        <v>2318</v>
      </c>
      <c r="B685" s="39">
        <v>5.0</v>
      </c>
      <c r="D685" s="38">
        <f>IFERROR(__xludf.DUMMYFUNCTION("""COMPUTED_VALUE"""),40519.0)</f>
        <v>40519</v>
      </c>
      <c r="E685" s="39">
        <v>2.0</v>
      </c>
      <c r="G685" s="12">
        <f>DATE(2012,12,31)-1352</f>
        <v>39922</v>
      </c>
    </row>
    <row r="686">
      <c r="A686" s="39" t="s">
        <v>2579</v>
      </c>
      <c r="B686" s="39">
        <v>5.0</v>
      </c>
      <c r="D686" s="38">
        <f>IFERROR(__xludf.DUMMYFUNCTION("""COMPUTED_VALUE"""),40520.0)</f>
        <v>40520</v>
      </c>
      <c r="E686" s="39">
        <v>2.0</v>
      </c>
      <c r="G686" s="12">
        <f t="shared" ref="G686:G687" si="124">DATE(2012,12,31)-1350</f>
        <v>39924</v>
      </c>
    </row>
    <row r="687">
      <c r="A687" s="39" t="s">
        <v>2597</v>
      </c>
      <c r="B687" s="39">
        <v>5.0</v>
      </c>
      <c r="D687" s="38">
        <f>IFERROR(__xludf.DUMMYFUNCTION("""COMPUTED_VALUE"""),40521.0)</f>
        <v>40521</v>
      </c>
      <c r="E687" s="39">
        <v>2.0</v>
      </c>
      <c r="G687" s="12">
        <f t="shared" si="124"/>
        <v>39924</v>
      </c>
    </row>
    <row r="688">
      <c r="A688" s="39" t="s">
        <v>795</v>
      </c>
      <c r="B688" s="39">
        <v>5.0</v>
      </c>
      <c r="D688" s="38">
        <f>IFERROR(__xludf.DUMMYFUNCTION("""COMPUTED_VALUE"""),40522.0)</f>
        <v>40522</v>
      </c>
      <c r="E688" s="39">
        <v>1.0</v>
      </c>
      <c r="G688" s="12">
        <f>DATE(2012,12,31)-1357</f>
        <v>39917</v>
      </c>
    </row>
    <row r="689">
      <c r="A689" s="39" t="s">
        <v>441</v>
      </c>
      <c r="B689" s="39">
        <v>4.0</v>
      </c>
      <c r="D689" s="38">
        <f>IFERROR(__xludf.DUMMYFUNCTION("""COMPUTED_VALUE"""),40523.0)</f>
        <v>40523</v>
      </c>
      <c r="E689" s="39">
        <v>18.0</v>
      </c>
      <c r="G689" s="12">
        <f>DATE(2012,12,31)-1350</f>
        <v>39924</v>
      </c>
    </row>
    <row r="690">
      <c r="A690" s="39" t="s">
        <v>1536</v>
      </c>
      <c r="B690" s="39">
        <v>4.0</v>
      </c>
      <c r="D690" s="38">
        <f>IFERROR(__xludf.DUMMYFUNCTION("""COMPUTED_VALUE"""),40524.0)</f>
        <v>40524</v>
      </c>
      <c r="E690" s="39">
        <v>14.0</v>
      </c>
      <c r="G690" s="12">
        <f>DATE(2012,12,31)-1348</f>
        <v>39926</v>
      </c>
    </row>
    <row r="691">
      <c r="A691" s="39" t="s">
        <v>2281</v>
      </c>
      <c r="B691" s="39">
        <v>4.0</v>
      </c>
      <c r="D691" s="38">
        <f>IFERROR(__xludf.DUMMYFUNCTION("""COMPUTED_VALUE"""),40525.0)</f>
        <v>40525</v>
      </c>
      <c r="E691" s="39">
        <v>14.0</v>
      </c>
      <c r="G691" s="12">
        <f>DATE(2012,12,31)-1344</f>
        <v>39930</v>
      </c>
    </row>
    <row r="692">
      <c r="A692" s="39" t="s">
        <v>732</v>
      </c>
      <c r="B692" s="39">
        <v>4.0</v>
      </c>
      <c r="D692" s="38">
        <f>IFERROR(__xludf.DUMMYFUNCTION("""COMPUTED_VALUE"""),40526.0)</f>
        <v>40526</v>
      </c>
      <c r="E692" s="39">
        <v>13.0</v>
      </c>
      <c r="G692" s="12">
        <f>DATE(2012,12,31)-1350</f>
        <v>39924</v>
      </c>
    </row>
    <row r="693">
      <c r="A693" s="39" t="s">
        <v>2189</v>
      </c>
      <c r="B693" s="39">
        <v>4.0</v>
      </c>
      <c r="D693" s="38">
        <f>IFERROR(__xludf.DUMMYFUNCTION("""COMPUTED_VALUE"""),40527.0)</f>
        <v>40527</v>
      </c>
      <c r="E693" s="39">
        <v>11.0</v>
      </c>
      <c r="G693" s="12">
        <f>DATE(2012,12,31)-1345</f>
        <v>39929</v>
      </c>
    </row>
    <row r="694">
      <c r="A694" s="39" t="s">
        <v>2280</v>
      </c>
      <c r="B694" s="39">
        <v>4.0</v>
      </c>
      <c r="D694" s="38">
        <f>IFERROR(__xludf.DUMMYFUNCTION("""COMPUTED_VALUE"""),40528.0)</f>
        <v>40528</v>
      </c>
      <c r="E694" s="39">
        <v>10.0</v>
      </c>
      <c r="G694" s="12">
        <f t="shared" ref="G694:G695" si="125">DATE(2012,12,31)-1344</f>
        <v>39930</v>
      </c>
    </row>
    <row r="695">
      <c r="A695" s="39" t="s">
        <v>2292</v>
      </c>
      <c r="B695" s="39">
        <v>4.0</v>
      </c>
      <c r="D695" s="38">
        <f>IFERROR(__xludf.DUMMYFUNCTION("""COMPUTED_VALUE"""),40529.0)</f>
        <v>40529</v>
      </c>
      <c r="E695" s="39">
        <v>10.0</v>
      </c>
      <c r="G695" s="12">
        <f t="shared" si="125"/>
        <v>39930</v>
      </c>
    </row>
    <row r="696">
      <c r="A696" s="39" t="s">
        <v>884</v>
      </c>
      <c r="B696" s="39">
        <v>4.0</v>
      </c>
      <c r="D696" s="38">
        <f>IFERROR(__xludf.DUMMYFUNCTION("""COMPUTED_VALUE"""),40530.0)</f>
        <v>40530</v>
      </c>
      <c r="E696" s="39">
        <v>8.0</v>
      </c>
      <c r="G696" s="12">
        <f>DATE(2012,12,31)-1349</f>
        <v>39925</v>
      </c>
    </row>
    <row r="697">
      <c r="A697" s="39" t="s">
        <v>1056</v>
      </c>
      <c r="B697" s="39">
        <v>4.0</v>
      </c>
      <c r="D697" s="38">
        <f>IFERROR(__xludf.DUMMYFUNCTION("""COMPUTED_VALUE"""),40531.0)</f>
        <v>40531</v>
      </c>
      <c r="E697" s="39">
        <v>8.0</v>
      </c>
      <c r="G697" s="12">
        <f t="shared" ref="G697:G698" si="126">DATE(2012,12,31)-1348</f>
        <v>39926</v>
      </c>
    </row>
    <row r="698">
      <c r="A698" s="39" t="s">
        <v>1454</v>
      </c>
      <c r="B698" s="39">
        <v>4.0</v>
      </c>
      <c r="D698" s="38">
        <f>IFERROR(__xludf.DUMMYFUNCTION("""COMPUTED_VALUE"""),40532.0)</f>
        <v>40532</v>
      </c>
      <c r="E698" s="39">
        <v>8.0</v>
      </c>
      <c r="G698" s="12">
        <f t="shared" si="126"/>
        <v>39926</v>
      </c>
    </row>
    <row r="699">
      <c r="A699" s="39" t="s">
        <v>1941</v>
      </c>
      <c r="B699" s="39">
        <v>4.0</v>
      </c>
      <c r="D699" s="38">
        <f>IFERROR(__xludf.DUMMYFUNCTION("""COMPUTED_VALUE"""),40533.0)</f>
        <v>40533</v>
      </c>
      <c r="E699" s="39">
        <v>8.0</v>
      </c>
      <c r="G699" s="12">
        <f t="shared" ref="G699:G701" si="127">DATE(2012,12,31)-1347</f>
        <v>39927</v>
      </c>
    </row>
    <row r="700">
      <c r="A700" s="39" t="s">
        <v>1981</v>
      </c>
      <c r="B700" s="39">
        <v>4.0</v>
      </c>
      <c r="D700" s="38">
        <f>IFERROR(__xludf.DUMMYFUNCTION("""COMPUTED_VALUE"""),40534.0)</f>
        <v>40534</v>
      </c>
      <c r="E700" s="39">
        <v>8.0</v>
      </c>
      <c r="G700" s="12">
        <f t="shared" si="127"/>
        <v>39927</v>
      </c>
    </row>
    <row r="701">
      <c r="A701" s="39" t="s">
        <v>1989</v>
      </c>
      <c r="B701" s="39">
        <v>4.0</v>
      </c>
      <c r="D701" s="38">
        <f>IFERROR(__xludf.DUMMYFUNCTION("""COMPUTED_VALUE"""),40535.0)</f>
        <v>40535</v>
      </c>
      <c r="E701" s="39">
        <v>8.0</v>
      </c>
      <c r="G701" s="12">
        <f t="shared" si="127"/>
        <v>39927</v>
      </c>
    </row>
    <row r="702">
      <c r="A702" s="39" t="s">
        <v>2598</v>
      </c>
      <c r="B702" s="39">
        <v>4.0</v>
      </c>
      <c r="D702" s="38">
        <f>IFERROR(__xludf.DUMMYFUNCTION("""COMPUTED_VALUE"""),40536.0)</f>
        <v>40536</v>
      </c>
      <c r="E702" s="39">
        <v>8.0</v>
      </c>
      <c r="G702" s="12">
        <f>DATE(2012,12,31)-1340</f>
        <v>39934</v>
      </c>
    </row>
    <row r="703">
      <c r="A703" s="39" t="s">
        <v>836</v>
      </c>
      <c r="B703" s="39">
        <v>4.0</v>
      </c>
      <c r="D703" s="38">
        <f>IFERROR(__xludf.DUMMYFUNCTION("""COMPUTED_VALUE"""),40537.0)</f>
        <v>40537</v>
      </c>
      <c r="E703" s="39">
        <v>7.0</v>
      </c>
      <c r="G703" s="12">
        <f t="shared" ref="G703:G704" si="128">DATE(2012,12,31)-1349</f>
        <v>39925</v>
      </c>
    </row>
    <row r="704">
      <c r="A704" s="39" t="s">
        <v>907</v>
      </c>
      <c r="B704" s="39">
        <v>4.0</v>
      </c>
      <c r="D704" s="38">
        <f>IFERROR(__xludf.DUMMYFUNCTION("""COMPUTED_VALUE"""),40538.0)</f>
        <v>40538</v>
      </c>
      <c r="E704" s="39">
        <v>7.0</v>
      </c>
      <c r="G704" s="12">
        <f t="shared" si="128"/>
        <v>39925</v>
      </c>
    </row>
    <row r="705">
      <c r="A705" s="39" t="s">
        <v>2205</v>
      </c>
      <c r="B705" s="39">
        <v>4.0</v>
      </c>
      <c r="D705" s="38">
        <f>IFERROR(__xludf.DUMMYFUNCTION("""COMPUTED_VALUE"""),40539.0)</f>
        <v>40539</v>
      </c>
      <c r="E705" s="39">
        <v>7.0</v>
      </c>
      <c r="G705" s="12">
        <f>DATE(2012,12,31)-1345</f>
        <v>39929</v>
      </c>
    </row>
    <row r="706">
      <c r="A706" s="39" t="s">
        <v>2516</v>
      </c>
      <c r="B706" s="39">
        <v>4.0</v>
      </c>
      <c r="D706" s="38">
        <f>IFERROR(__xludf.DUMMYFUNCTION("""COMPUTED_VALUE"""),40540.0)</f>
        <v>40540</v>
      </c>
      <c r="E706" s="39">
        <v>7.0</v>
      </c>
      <c r="G706" s="12">
        <f>DATE(2012,12,31)-1342</f>
        <v>39932</v>
      </c>
    </row>
    <row r="707">
      <c r="A707" s="39" t="s">
        <v>1238</v>
      </c>
      <c r="B707" s="39">
        <v>4.0</v>
      </c>
      <c r="D707" s="38">
        <f>IFERROR(__xludf.DUMMYFUNCTION("""COMPUTED_VALUE"""),40541.0)</f>
        <v>40541</v>
      </c>
      <c r="E707" s="39">
        <v>6.0</v>
      </c>
      <c r="G707" s="12">
        <f t="shared" ref="G707:G708" si="129">DATE(2012,12,31)-1348</f>
        <v>39926</v>
      </c>
    </row>
    <row r="708">
      <c r="A708" s="39" t="s">
        <v>1527</v>
      </c>
      <c r="B708" s="39">
        <v>4.0</v>
      </c>
      <c r="D708" s="38">
        <f>IFERROR(__xludf.DUMMYFUNCTION("""COMPUTED_VALUE"""),40542.0)</f>
        <v>40542</v>
      </c>
      <c r="E708" s="39">
        <v>6.0</v>
      </c>
      <c r="G708" s="12">
        <f t="shared" si="129"/>
        <v>39926</v>
      </c>
    </row>
    <row r="709">
      <c r="A709" s="39" t="s">
        <v>2244</v>
      </c>
      <c r="B709" s="39">
        <v>4.0</v>
      </c>
      <c r="D709" s="38">
        <f>IFERROR(__xludf.DUMMYFUNCTION("""COMPUTED_VALUE"""),40543.0)</f>
        <v>40543</v>
      </c>
      <c r="E709" s="39">
        <v>6.0</v>
      </c>
      <c r="G709" s="12">
        <f>DATE(2012,12,31)-1344</f>
        <v>39930</v>
      </c>
    </row>
    <row r="710">
      <c r="A710" s="39" t="s">
        <v>2436</v>
      </c>
      <c r="B710" s="39">
        <v>4.0</v>
      </c>
      <c r="D710" s="38">
        <f>IFERROR(__xludf.DUMMYFUNCTION("""COMPUTED_VALUE"""),40544.0)</f>
        <v>40544</v>
      </c>
      <c r="E710" s="39">
        <v>6.0</v>
      </c>
      <c r="G710" s="12">
        <f>DATE(2012,12,31)-1342</f>
        <v>39932</v>
      </c>
    </row>
    <row r="711">
      <c r="A711" s="39" t="s">
        <v>2539</v>
      </c>
      <c r="B711" s="39">
        <v>4.0</v>
      </c>
      <c r="D711" s="38">
        <f>IFERROR(__xludf.DUMMYFUNCTION("""COMPUTED_VALUE"""),40545.0)</f>
        <v>40545</v>
      </c>
      <c r="E711" s="39">
        <v>6.0</v>
      </c>
      <c r="G711" s="12">
        <f>DATE(2012,12,31)-1341</f>
        <v>39933</v>
      </c>
    </row>
    <row r="712">
      <c r="A712" s="39" t="s">
        <v>459</v>
      </c>
      <c r="B712" s="39">
        <v>4.0</v>
      </c>
      <c r="D712" s="38">
        <f>IFERROR(__xludf.DUMMYFUNCTION("""COMPUTED_VALUE"""),40546.0)</f>
        <v>40546</v>
      </c>
      <c r="E712" s="39">
        <v>5.0</v>
      </c>
      <c r="G712" s="12">
        <f>DATE(2012,12,31)-1350</f>
        <v>39924</v>
      </c>
    </row>
    <row r="713">
      <c r="A713" s="39" t="s">
        <v>2128</v>
      </c>
      <c r="B713" s="39">
        <v>4.0</v>
      </c>
      <c r="D713" s="38">
        <f>IFERROR(__xludf.DUMMYFUNCTION("""COMPUTED_VALUE"""),40547.0)</f>
        <v>40547</v>
      </c>
      <c r="E713" s="39">
        <v>5.0</v>
      </c>
      <c r="G713" s="12">
        <f>DATE(2012,12,31)-1347</f>
        <v>39927</v>
      </c>
    </row>
    <row r="714">
      <c r="A714" s="39" t="s">
        <v>2141</v>
      </c>
      <c r="B714" s="39">
        <v>4.0</v>
      </c>
      <c r="D714" s="38">
        <f>IFERROR(__xludf.DUMMYFUNCTION("""COMPUTED_VALUE"""),40548.0)</f>
        <v>40548</v>
      </c>
      <c r="E714" s="39">
        <v>5.0</v>
      </c>
      <c r="G714" s="12">
        <f>DATE(2012,12,31)-1346</f>
        <v>39928</v>
      </c>
    </row>
    <row r="715">
      <c r="A715" s="39" t="s">
        <v>2544</v>
      </c>
      <c r="B715" s="39">
        <v>4.0</v>
      </c>
      <c r="D715" s="38">
        <f>IFERROR(__xludf.DUMMYFUNCTION("""COMPUTED_VALUE"""),40549.0)</f>
        <v>40549</v>
      </c>
      <c r="E715" s="39">
        <v>5.0</v>
      </c>
      <c r="G715" s="12">
        <f>DATE(2012,12,31)-1340</f>
        <v>39934</v>
      </c>
    </row>
    <row r="716">
      <c r="A716" s="39" t="s">
        <v>184</v>
      </c>
      <c r="B716" s="39">
        <v>4.0</v>
      </c>
      <c r="D716" s="38">
        <f>IFERROR(__xludf.DUMMYFUNCTION("""COMPUTED_VALUE"""),40550.0)</f>
        <v>40550</v>
      </c>
      <c r="E716" s="39">
        <v>4.0</v>
      </c>
      <c r="G716" s="12">
        <f>DATE(2012,12,31)-1350</f>
        <v>39924</v>
      </c>
    </row>
    <row r="717">
      <c r="A717" s="39" t="s">
        <v>2078</v>
      </c>
      <c r="B717" s="39">
        <v>4.0</v>
      </c>
      <c r="D717" s="38">
        <f>IFERROR(__xludf.DUMMYFUNCTION("""COMPUTED_VALUE"""),40551.0)</f>
        <v>40551</v>
      </c>
      <c r="E717" s="39">
        <v>4.0</v>
      </c>
      <c r="G717" s="12">
        <f>DATE(2012,12,31)-1347</f>
        <v>39927</v>
      </c>
    </row>
    <row r="718">
      <c r="A718" s="39" t="s">
        <v>2163</v>
      </c>
      <c r="B718" s="39">
        <v>4.0</v>
      </c>
      <c r="D718" s="38">
        <f>IFERROR(__xludf.DUMMYFUNCTION("""COMPUTED_VALUE"""),40552.0)</f>
        <v>40552</v>
      </c>
      <c r="E718" s="39">
        <v>4.0</v>
      </c>
      <c r="G718" s="12">
        <f>DATE(2012,12,31)-1345</f>
        <v>39929</v>
      </c>
    </row>
    <row r="719">
      <c r="A719" s="39" t="s">
        <v>2346</v>
      </c>
      <c r="B719" s="39">
        <v>4.0</v>
      </c>
      <c r="D719" s="38">
        <f>IFERROR(__xludf.DUMMYFUNCTION("""COMPUTED_VALUE"""),40553.0)</f>
        <v>40553</v>
      </c>
      <c r="E719" s="39">
        <v>4.0</v>
      </c>
      <c r="G719" s="12">
        <f t="shared" ref="G719:G720" si="130">DATE(2012,12,31)-1343</f>
        <v>39931</v>
      </c>
    </row>
    <row r="720">
      <c r="A720" s="39" t="s">
        <v>2398</v>
      </c>
      <c r="B720" s="39">
        <v>4.0</v>
      </c>
      <c r="D720" s="38">
        <f>IFERROR(__xludf.DUMMYFUNCTION("""COMPUTED_VALUE"""),40554.0)</f>
        <v>40554</v>
      </c>
      <c r="E720" s="39">
        <v>4.0</v>
      </c>
      <c r="G720" s="12">
        <f t="shared" si="130"/>
        <v>39931</v>
      </c>
    </row>
    <row r="721">
      <c r="A721" s="39" t="s">
        <v>2514</v>
      </c>
      <c r="B721" s="39">
        <v>4.0</v>
      </c>
      <c r="D721" s="38">
        <f>IFERROR(__xludf.DUMMYFUNCTION("""COMPUTED_VALUE"""),40556.0)</f>
        <v>40556</v>
      </c>
      <c r="E721" s="39">
        <v>4.0</v>
      </c>
      <c r="G721" s="12">
        <f>DATE(2012,12,31)-1342</f>
        <v>39932</v>
      </c>
    </row>
    <row r="722">
      <c r="A722" s="39" t="s">
        <v>754</v>
      </c>
      <c r="B722" s="39">
        <v>4.0</v>
      </c>
      <c r="D722" s="38">
        <f>IFERROR(__xludf.DUMMYFUNCTION("""COMPUTED_VALUE"""),40557.0)</f>
        <v>40557</v>
      </c>
      <c r="E722" s="39">
        <v>3.0</v>
      </c>
      <c r="G722" s="12">
        <f>DATE(2012,12,31)-1349</f>
        <v>39925</v>
      </c>
    </row>
    <row r="723">
      <c r="A723" s="39" t="s">
        <v>2224</v>
      </c>
      <c r="B723" s="39">
        <v>4.0</v>
      </c>
      <c r="D723" s="38">
        <f>IFERROR(__xludf.DUMMYFUNCTION("""COMPUTED_VALUE"""),40558.0)</f>
        <v>40558</v>
      </c>
      <c r="E723" s="39">
        <v>3.0</v>
      </c>
      <c r="G723" s="12">
        <f>DATE(2012,12,31)-1344</f>
        <v>39930</v>
      </c>
    </row>
    <row r="724">
      <c r="A724" s="39" t="s">
        <v>2294</v>
      </c>
      <c r="B724" s="39">
        <v>4.0</v>
      </c>
      <c r="D724" s="38">
        <f>IFERROR(__xludf.DUMMYFUNCTION("""COMPUTED_VALUE"""),40559.0)</f>
        <v>40559</v>
      </c>
      <c r="E724" s="39">
        <v>3.0</v>
      </c>
      <c r="G724" s="12">
        <f t="shared" ref="G724:G725" si="131">DATE(2012,12,31)-1343</f>
        <v>39931</v>
      </c>
    </row>
    <row r="725">
      <c r="A725" s="39" t="s">
        <v>2408</v>
      </c>
      <c r="B725" s="39">
        <v>4.0</v>
      </c>
      <c r="D725" s="38">
        <f>IFERROR(__xludf.DUMMYFUNCTION("""COMPUTED_VALUE"""),40560.0)</f>
        <v>40560</v>
      </c>
      <c r="E725" s="39">
        <v>3.0</v>
      </c>
      <c r="G725" s="12">
        <f t="shared" si="131"/>
        <v>39931</v>
      </c>
    </row>
    <row r="726">
      <c r="A726" s="39" t="s">
        <v>2486</v>
      </c>
      <c r="B726" s="39">
        <v>4.0</v>
      </c>
      <c r="D726" s="38">
        <f>IFERROR(__xludf.DUMMYFUNCTION("""COMPUTED_VALUE"""),40561.0)</f>
        <v>40561</v>
      </c>
      <c r="E726" s="39">
        <v>3.0</v>
      </c>
      <c r="G726" s="12">
        <f>DATE(2012,12,31)-1342</f>
        <v>39932</v>
      </c>
    </row>
    <row r="727">
      <c r="A727" s="39" t="s">
        <v>2540</v>
      </c>
      <c r="B727" s="39">
        <v>4.0</v>
      </c>
      <c r="D727" s="38">
        <f>IFERROR(__xludf.DUMMYFUNCTION("""COMPUTED_VALUE"""),40562.0)</f>
        <v>40562</v>
      </c>
      <c r="E727" s="39">
        <v>3.0</v>
      </c>
      <c r="G727" s="12">
        <f>DATE(2012,12,31)-1341</f>
        <v>39933</v>
      </c>
    </row>
    <row r="728">
      <c r="A728" s="39" t="s">
        <v>778</v>
      </c>
      <c r="B728" s="39">
        <v>4.0</v>
      </c>
      <c r="D728" s="38">
        <f>IFERROR(__xludf.DUMMYFUNCTION("""COMPUTED_VALUE"""),40563.0)</f>
        <v>40563</v>
      </c>
      <c r="E728" s="39">
        <v>2.0</v>
      </c>
      <c r="G728" s="12">
        <f>DATE(2012,12,31)-1349</f>
        <v>39925</v>
      </c>
    </row>
    <row r="729">
      <c r="A729" s="39" t="s">
        <v>1832</v>
      </c>
      <c r="B729" s="39">
        <v>4.0</v>
      </c>
      <c r="D729" s="38">
        <f>IFERROR(__xludf.DUMMYFUNCTION("""COMPUTED_VALUE"""),40564.0)</f>
        <v>40564</v>
      </c>
      <c r="E729" s="39">
        <v>2.0</v>
      </c>
      <c r="G729" s="12">
        <f>DATE(2012,12,31)-1347</f>
        <v>39927</v>
      </c>
    </row>
    <row r="730">
      <c r="A730" s="39" t="s">
        <v>2204</v>
      </c>
      <c r="B730" s="39">
        <v>4.0</v>
      </c>
      <c r="D730" s="38">
        <f>IFERROR(__xludf.DUMMYFUNCTION("""COMPUTED_VALUE"""),40565.0)</f>
        <v>40565</v>
      </c>
      <c r="E730" s="39">
        <v>2.0</v>
      </c>
      <c r="G730" s="12">
        <f>DATE(2012,12,31)-1345</f>
        <v>39929</v>
      </c>
    </row>
    <row r="731">
      <c r="A731" s="39" t="s">
        <v>2375</v>
      </c>
      <c r="B731" s="39">
        <v>4.0</v>
      </c>
      <c r="D731" s="38">
        <f>IFERROR(__xludf.DUMMYFUNCTION("""COMPUTED_VALUE"""),40566.0)</f>
        <v>40566</v>
      </c>
      <c r="E731" s="39">
        <v>2.0</v>
      </c>
      <c r="G731" s="12">
        <f>DATE(2012,12,31)-1343</f>
        <v>39931</v>
      </c>
    </row>
    <row r="732">
      <c r="A732" s="39" t="s">
        <v>859</v>
      </c>
      <c r="B732" s="39">
        <v>4.0</v>
      </c>
      <c r="D732" s="38">
        <f>IFERROR(__xludf.DUMMYFUNCTION("""COMPUTED_VALUE"""),40567.0)</f>
        <v>40567</v>
      </c>
      <c r="E732" s="39">
        <v>1.0</v>
      </c>
      <c r="G732" s="12">
        <f>DATE(2012,12,31)-1349</f>
        <v>39925</v>
      </c>
    </row>
    <row r="733">
      <c r="A733" s="39" t="s">
        <v>1342</v>
      </c>
      <c r="B733" s="39">
        <v>4.0</v>
      </c>
      <c r="D733" s="38">
        <f>IFERROR(__xludf.DUMMYFUNCTION("""COMPUTED_VALUE"""),40568.0)</f>
        <v>40568</v>
      </c>
      <c r="E733" s="39">
        <v>1.0</v>
      </c>
      <c r="G733" s="12">
        <f>DATE(2012,12,31)-1348</f>
        <v>39926</v>
      </c>
    </row>
    <row r="734">
      <c r="A734" s="39" t="s">
        <v>2343</v>
      </c>
      <c r="B734" s="39">
        <v>4.0</v>
      </c>
      <c r="D734" s="38">
        <f>IFERROR(__xludf.DUMMYFUNCTION("""COMPUTED_VALUE"""),40569.0)</f>
        <v>40569</v>
      </c>
      <c r="E734" s="39">
        <v>1.0</v>
      </c>
      <c r="G734" s="12">
        <f>DATE(2012,12,31)-1343</f>
        <v>39931</v>
      </c>
    </row>
    <row r="735">
      <c r="A735" s="39" t="s">
        <v>2538</v>
      </c>
      <c r="B735" s="39">
        <v>4.0</v>
      </c>
      <c r="D735" s="38">
        <f>IFERROR(__xludf.DUMMYFUNCTION("""COMPUTED_VALUE"""),40570.0)</f>
        <v>40570</v>
      </c>
      <c r="E735" s="39">
        <v>1.0</v>
      </c>
      <c r="G735" s="12">
        <f>DATE(2012,12,31)-1341</f>
        <v>39933</v>
      </c>
    </row>
    <row r="736">
      <c r="A736" s="39" t="s">
        <v>1048</v>
      </c>
      <c r="B736" s="39">
        <v>3.0</v>
      </c>
      <c r="D736" s="38">
        <f>IFERROR(__xludf.DUMMYFUNCTION("""COMPUTED_VALUE"""),40571.0)</f>
        <v>40571</v>
      </c>
      <c r="E736" s="39">
        <v>15.0</v>
      </c>
      <c r="G736" s="12">
        <f>DATE(2012,12,31)-1339</f>
        <v>39935</v>
      </c>
    </row>
    <row r="737">
      <c r="A737" s="39" t="s">
        <v>1723</v>
      </c>
      <c r="B737" s="39">
        <v>3.0</v>
      </c>
      <c r="D737" s="38">
        <f>IFERROR(__xludf.DUMMYFUNCTION("""COMPUTED_VALUE"""),40572.0)</f>
        <v>40572</v>
      </c>
      <c r="E737" s="39">
        <v>11.0</v>
      </c>
      <c r="G737" s="12">
        <f t="shared" ref="G737:G738" si="132">DATE(2012,12,31)-1337</f>
        <v>39937</v>
      </c>
    </row>
    <row r="738">
      <c r="A738" s="39" t="s">
        <v>1835</v>
      </c>
      <c r="B738" s="39">
        <v>3.0</v>
      </c>
      <c r="D738" s="38">
        <f>IFERROR(__xludf.DUMMYFUNCTION("""COMPUTED_VALUE"""),40573.0)</f>
        <v>40573</v>
      </c>
      <c r="E738" s="39">
        <v>11.0</v>
      </c>
      <c r="G738" s="12">
        <f t="shared" si="132"/>
        <v>39937</v>
      </c>
    </row>
    <row r="739">
      <c r="A739" s="39" t="s">
        <v>1006</v>
      </c>
      <c r="B739" s="39">
        <v>3.0</v>
      </c>
      <c r="D739" s="38">
        <f>IFERROR(__xludf.DUMMYFUNCTION("""COMPUTED_VALUE"""),40574.0)</f>
        <v>40574</v>
      </c>
      <c r="E739" s="39">
        <v>10.0</v>
      </c>
      <c r="G739" s="12">
        <f>DATE(2012,12,31)-1339</f>
        <v>39935</v>
      </c>
    </row>
    <row r="740">
      <c r="A740" s="39" t="s">
        <v>2251</v>
      </c>
      <c r="B740" s="39">
        <v>3.0</v>
      </c>
      <c r="D740" s="38">
        <f>IFERROR(__xludf.DUMMYFUNCTION("""COMPUTED_VALUE"""),40575.0)</f>
        <v>40575</v>
      </c>
      <c r="E740" s="39">
        <v>10.0</v>
      </c>
      <c r="G740" s="12">
        <f t="shared" ref="G740:G741" si="133">DATE(2012,12,31)-1335</f>
        <v>39939</v>
      </c>
    </row>
    <row r="741">
      <c r="A741" s="39" t="s">
        <v>2303</v>
      </c>
      <c r="B741" s="39">
        <v>3.0</v>
      </c>
      <c r="D741" s="38">
        <f>IFERROR(__xludf.DUMMYFUNCTION("""COMPUTED_VALUE"""),40576.0)</f>
        <v>40576</v>
      </c>
      <c r="E741" s="39">
        <v>10.0</v>
      </c>
      <c r="G741" s="12">
        <f t="shared" si="133"/>
        <v>39939</v>
      </c>
    </row>
    <row r="742">
      <c r="A742" s="39" t="s">
        <v>2519</v>
      </c>
      <c r="B742" s="39">
        <v>3.0</v>
      </c>
      <c r="D742" s="38">
        <f>IFERROR(__xludf.DUMMYFUNCTION("""COMPUTED_VALUE"""),40577.0)</f>
        <v>40577</v>
      </c>
      <c r="E742" s="39">
        <v>9.0</v>
      </c>
      <c r="G742" s="12">
        <f>DATE(2012,12,31)-1334</f>
        <v>39940</v>
      </c>
    </row>
    <row r="743">
      <c r="A743" s="39" t="s">
        <v>905</v>
      </c>
      <c r="B743" s="39">
        <v>3.0</v>
      </c>
      <c r="D743" s="38">
        <f>IFERROR(__xludf.DUMMYFUNCTION("""COMPUTED_VALUE"""),40578.0)</f>
        <v>40578</v>
      </c>
      <c r="E743" s="39">
        <v>8.0</v>
      </c>
      <c r="G743" s="12">
        <f>DATE(2012,12,31)-1339</f>
        <v>39935</v>
      </c>
    </row>
    <row r="744">
      <c r="A744" s="39" t="s">
        <v>1211</v>
      </c>
      <c r="B744" s="39">
        <v>3.0</v>
      </c>
      <c r="D744" s="38">
        <f>IFERROR(__xludf.DUMMYFUNCTION("""COMPUTED_VALUE"""),40579.0)</f>
        <v>40579</v>
      </c>
      <c r="E744" s="39">
        <v>8.0</v>
      </c>
      <c r="G744" s="12">
        <f t="shared" ref="G744:G745" si="134">DATE(2012,12,31)-1338</f>
        <v>39936</v>
      </c>
    </row>
    <row r="745">
      <c r="A745" s="39" t="s">
        <v>1516</v>
      </c>
      <c r="B745" s="39">
        <v>3.0</v>
      </c>
      <c r="D745" s="38">
        <f>IFERROR(__xludf.DUMMYFUNCTION("""COMPUTED_VALUE"""),40580.0)</f>
        <v>40580</v>
      </c>
      <c r="E745" s="39">
        <v>8.0</v>
      </c>
      <c r="G745" s="12">
        <f t="shared" si="134"/>
        <v>39936</v>
      </c>
    </row>
    <row r="746">
      <c r="A746" s="39" t="s">
        <v>2093</v>
      </c>
      <c r="B746" s="39">
        <v>3.0</v>
      </c>
      <c r="D746" s="38">
        <f>IFERROR(__xludf.DUMMYFUNCTION("""COMPUTED_VALUE"""),40581.0)</f>
        <v>40581</v>
      </c>
      <c r="E746" s="39">
        <v>8.0</v>
      </c>
      <c r="G746" s="12">
        <f>DATE(2012,12,31)-1336</f>
        <v>39938</v>
      </c>
    </row>
    <row r="747">
      <c r="A747" s="39" t="s">
        <v>2546</v>
      </c>
      <c r="B747" s="39">
        <v>3.0</v>
      </c>
      <c r="D747" s="38">
        <f>IFERROR(__xludf.DUMMYFUNCTION("""COMPUTED_VALUE"""),40582.0)</f>
        <v>40582</v>
      </c>
      <c r="E747" s="39">
        <v>7.0</v>
      </c>
      <c r="G747" s="12">
        <f>DATE(2012,12,31)-1334</f>
        <v>39940</v>
      </c>
    </row>
    <row r="748">
      <c r="A748" s="39" t="s">
        <v>276</v>
      </c>
      <c r="B748" s="39">
        <v>3.0</v>
      </c>
      <c r="D748" s="38">
        <f>IFERROR(__xludf.DUMMYFUNCTION("""COMPUTED_VALUE"""),40583.0)</f>
        <v>40583</v>
      </c>
      <c r="E748" s="39">
        <v>6.0</v>
      </c>
      <c r="G748" s="12">
        <f t="shared" ref="G748:G749" si="135">DATE(2012,12,31)-1340</f>
        <v>39934</v>
      </c>
    </row>
    <row r="749">
      <c r="A749" s="39" t="s">
        <v>673</v>
      </c>
      <c r="B749" s="39">
        <v>3.0</v>
      </c>
      <c r="D749" s="38">
        <f>IFERROR(__xludf.DUMMYFUNCTION("""COMPUTED_VALUE"""),40584.0)</f>
        <v>40584</v>
      </c>
      <c r="E749" s="39">
        <v>6.0</v>
      </c>
      <c r="G749" s="12">
        <f t="shared" si="135"/>
        <v>39934</v>
      </c>
    </row>
    <row r="750">
      <c r="A750" s="39" t="s">
        <v>970</v>
      </c>
      <c r="B750" s="39">
        <v>3.0</v>
      </c>
      <c r="D750" s="38">
        <f>IFERROR(__xludf.DUMMYFUNCTION("""COMPUTED_VALUE"""),40585.0)</f>
        <v>40585</v>
      </c>
      <c r="E750" s="39">
        <v>6.0</v>
      </c>
      <c r="G750" s="12">
        <f>DATE(2012,12,31)-1339</f>
        <v>39935</v>
      </c>
    </row>
    <row r="751">
      <c r="A751" s="39" t="s">
        <v>1863</v>
      </c>
      <c r="B751" s="39">
        <v>3.0</v>
      </c>
      <c r="D751" s="38">
        <f>IFERROR(__xludf.DUMMYFUNCTION("""COMPUTED_VALUE"""),40586.0)</f>
        <v>40586</v>
      </c>
      <c r="E751" s="39">
        <v>6.0</v>
      </c>
      <c r="G751" s="12">
        <f>DATE(2012,12,31)-1337</f>
        <v>39937</v>
      </c>
    </row>
    <row r="752">
      <c r="A752" s="39" t="s">
        <v>2164</v>
      </c>
      <c r="B752" s="39">
        <v>3.0</v>
      </c>
      <c r="D752" s="38">
        <f>IFERROR(__xludf.DUMMYFUNCTION("""COMPUTED_VALUE"""),40587.0)</f>
        <v>40587</v>
      </c>
      <c r="E752" s="39">
        <v>6.0</v>
      </c>
      <c r="G752" s="12">
        <f>DATE(2012,12,31)-1336</f>
        <v>39938</v>
      </c>
    </row>
    <row r="753">
      <c r="A753" s="39" t="s">
        <v>2476</v>
      </c>
      <c r="B753" s="39">
        <v>3.0</v>
      </c>
      <c r="D753" s="38">
        <f>IFERROR(__xludf.DUMMYFUNCTION("""COMPUTED_VALUE"""),40588.0)</f>
        <v>40588</v>
      </c>
      <c r="E753" s="39">
        <v>6.0</v>
      </c>
      <c r="G753" s="12">
        <f t="shared" ref="G753:G754" si="136">DATE(2012,12,31)-1334</f>
        <v>39940</v>
      </c>
    </row>
    <row r="754">
      <c r="A754" s="39" t="s">
        <v>2568</v>
      </c>
      <c r="B754" s="39">
        <v>3.0</v>
      </c>
      <c r="D754" s="38">
        <f>IFERROR(__xludf.DUMMYFUNCTION("""COMPUTED_VALUE"""),40589.0)</f>
        <v>40589</v>
      </c>
      <c r="E754" s="39">
        <v>6.0</v>
      </c>
      <c r="G754" s="12">
        <f t="shared" si="136"/>
        <v>39940</v>
      </c>
    </row>
    <row r="755">
      <c r="A755" s="39" t="s">
        <v>828</v>
      </c>
      <c r="B755" s="39">
        <v>3.0</v>
      </c>
      <c r="D755" s="38">
        <f>IFERROR(__xludf.DUMMYFUNCTION("""COMPUTED_VALUE"""),40590.0)</f>
        <v>40590</v>
      </c>
      <c r="E755" s="39">
        <v>5.0</v>
      </c>
      <c r="G755" s="12">
        <f>DATE(2012,12,31)-1340</f>
        <v>39934</v>
      </c>
    </row>
    <row r="756">
      <c r="A756" s="39" t="s">
        <v>1541</v>
      </c>
      <c r="B756" s="39">
        <v>3.0</v>
      </c>
      <c r="D756" s="38">
        <f>IFERROR(__xludf.DUMMYFUNCTION("""COMPUTED_VALUE"""),40591.0)</f>
        <v>40591</v>
      </c>
      <c r="E756" s="39">
        <v>5.0</v>
      </c>
      <c r="G756" s="12">
        <f t="shared" ref="G756:G757" si="137">DATE(2012,12,31)-1337</f>
        <v>39937</v>
      </c>
    </row>
    <row r="757">
      <c r="A757" s="39" t="s">
        <v>1921</v>
      </c>
      <c r="B757" s="39">
        <v>3.0</v>
      </c>
      <c r="D757" s="38">
        <f>IFERROR(__xludf.DUMMYFUNCTION("""COMPUTED_VALUE"""),40592.0)</f>
        <v>40592</v>
      </c>
      <c r="E757" s="39">
        <v>5.0</v>
      </c>
      <c r="G757" s="12">
        <f t="shared" si="137"/>
        <v>39937</v>
      </c>
    </row>
    <row r="758">
      <c r="A758" s="39" t="s">
        <v>2208</v>
      </c>
      <c r="B758" s="39">
        <v>3.0</v>
      </c>
      <c r="D758" s="38">
        <f>IFERROR(__xludf.DUMMYFUNCTION("""COMPUTED_VALUE"""),40593.0)</f>
        <v>40593</v>
      </c>
      <c r="E758" s="39">
        <v>5.0</v>
      </c>
      <c r="G758" s="12">
        <f>DATE(2012,12,31)-1336</f>
        <v>39938</v>
      </c>
    </row>
    <row r="759">
      <c r="A759" s="39" t="s">
        <v>2494</v>
      </c>
      <c r="B759" s="39">
        <v>3.0</v>
      </c>
      <c r="D759" s="38">
        <f>IFERROR(__xludf.DUMMYFUNCTION("""COMPUTED_VALUE"""),40594.0)</f>
        <v>40594</v>
      </c>
      <c r="E759" s="39">
        <v>5.0</v>
      </c>
      <c r="G759" s="12">
        <f>DATE(2012,12,31)-1334</f>
        <v>39940</v>
      </c>
    </row>
    <row r="760">
      <c r="A760" s="39" t="s">
        <v>164</v>
      </c>
      <c r="B760" s="39">
        <v>3.0</v>
      </c>
      <c r="D760" s="38">
        <f>IFERROR(__xludf.DUMMYFUNCTION("""COMPUTED_VALUE"""),40595.0)</f>
        <v>40595</v>
      </c>
      <c r="E760" s="39">
        <v>4.0</v>
      </c>
      <c r="G760" s="12">
        <f>DATE(2012,12,31)-1340</f>
        <v>39934</v>
      </c>
    </row>
    <row r="761">
      <c r="A761" s="39" t="s">
        <v>981</v>
      </c>
      <c r="B761" s="39">
        <v>3.0</v>
      </c>
      <c r="D761" s="38">
        <f>IFERROR(__xludf.DUMMYFUNCTION("""COMPUTED_VALUE"""),40596.0)</f>
        <v>40596</v>
      </c>
      <c r="E761" s="39">
        <v>4.0</v>
      </c>
      <c r="G761" s="12">
        <f>DATE(2012,12,31)-1339</f>
        <v>39935</v>
      </c>
    </row>
    <row r="762">
      <c r="A762" s="39" t="s">
        <v>1683</v>
      </c>
      <c r="B762" s="39">
        <v>3.0</v>
      </c>
      <c r="D762" s="38">
        <f>IFERROR(__xludf.DUMMYFUNCTION("""COMPUTED_VALUE"""),40597.0)</f>
        <v>40597</v>
      </c>
      <c r="E762" s="39">
        <v>4.0</v>
      </c>
      <c r="G762" s="12">
        <f>DATE(2012,12,31)-1337</f>
        <v>39937</v>
      </c>
    </row>
    <row r="763">
      <c r="A763" s="39" t="s">
        <v>2068</v>
      </c>
      <c r="B763" s="39">
        <v>3.0</v>
      </c>
      <c r="D763" s="38">
        <f>IFERROR(__xludf.DUMMYFUNCTION("""COMPUTED_VALUE"""),40598.0)</f>
        <v>40598</v>
      </c>
      <c r="E763" s="39">
        <v>4.0</v>
      </c>
      <c r="G763" s="12">
        <f t="shared" ref="G763:G764" si="138">DATE(2012,12,31)-1336</f>
        <v>39938</v>
      </c>
    </row>
    <row r="764">
      <c r="A764" s="39" t="s">
        <v>2074</v>
      </c>
      <c r="B764" s="39">
        <v>3.0</v>
      </c>
      <c r="D764" s="38">
        <f>IFERROR(__xludf.DUMMYFUNCTION("""COMPUTED_VALUE"""),40599.0)</f>
        <v>40599</v>
      </c>
      <c r="E764" s="39">
        <v>4.0</v>
      </c>
      <c r="G764" s="12">
        <f t="shared" si="138"/>
        <v>39938</v>
      </c>
    </row>
    <row r="765">
      <c r="A765" s="39" t="s">
        <v>2447</v>
      </c>
      <c r="B765" s="39">
        <v>3.0</v>
      </c>
      <c r="D765" s="38">
        <f>IFERROR(__xludf.DUMMYFUNCTION("""COMPUTED_VALUE"""),40600.0)</f>
        <v>40600</v>
      </c>
      <c r="E765" s="39">
        <v>4.0</v>
      </c>
      <c r="G765" s="12">
        <f t="shared" ref="G765:G766" si="139">DATE(2012,12,31)-1334</f>
        <v>39940</v>
      </c>
    </row>
    <row r="766">
      <c r="A766" s="39" t="s">
        <v>2496</v>
      </c>
      <c r="B766" s="39">
        <v>3.0</v>
      </c>
      <c r="D766" s="38">
        <f>IFERROR(__xludf.DUMMYFUNCTION("""COMPUTED_VALUE"""),40601.0)</f>
        <v>40601</v>
      </c>
      <c r="E766" s="39">
        <v>4.0</v>
      </c>
      <c r="G766" s="12">
        <f t="shared" si="139"/>
        <v>39940</v>
      </c>
    </row>
    <row r="767">
      <c r="A767" s="39" t="s">
        <v>1224</v>
      </c>
      <c r="B767" s="39">
        <v>3.0</v>
      </c>
      <c r="D767" s="38">
        <f>IFERROR(__xludf.DUMMYFUNCTION("""COMPUTED_VALUE"""),40602.0)</f>
        <v>40602</v>
      </c>
      <c r="E767" s="39">
        <v>3.0</v>
      </c>
      <c r="G767" s="12">
        <f>DATE(2012,12,31)-1338</f>
        <v>39936</v>
      </c>
    </row>
    <row r="768">
      <c r="A768" s="39" t="s">
        <v>2061</v>
      </c>
      <c r="B768" s="39">
        <v>3.0</v>
      </c>
      <c r="D768" s="38">
        <f>IFERROR(__xludf.DUMMYFUNCTION("""COMPUTED_VALUE"""),40603.0)</f>
        <v>40603</v>
      </c>
      <c r="E768" s="39">
        <v>3.0</v>
      </c>
      <c r="G768" s="12">
        <f>DATE(2012,12,31)-1337</f>
        <v>39937</v>
      </c>
    </row>
    <row r="769">
      <c r="A769" s="39" t="s">
        <v>2266</v>
      </c>
      <c r="B769" s="39">
        <v>3.0</v>
      </c>
      <c r="D769" s="38">
        <f>IFERROR(__xludf.DUMMYFUNCTION("""COMPUTED_VALUE"""),40604.0)</f>
        <v>40604</v>
      </c>
      <c r="E769" s="39">
        <v>3.0</v>
      </c>
      <c r="G769" s="12">
        <f>DATE(2012,12,31)-1335</f>
        <v>39939</v>
      </c>
    </row>
    <row r="770">
      <c r="A770" s="39" t="s">
        <v>1460</v>
      </c>
      <c r="B770" s="39">
        <v>3.0</v>
      </c>
      <c r="D770" s="38">
        <f>IFERROR(__xludf.DUMMYFUNCTION("""COMPUTED_VALUE"""),40605.0)</f>
        <v>40605</v>
      </c>
      <c r="E770" s="39">
        <v>2.0</v>
      </c>
      <c r="G770" s="12">
        <f>DATE(2012,12,31)-1338</f>
        <v>39936</v>
      </c>
    </row>
    <row r="771">
      <c r="A771" s="39" t="s">
        <v>474</v>
      </c>
      <c r="B771" s="39">
        <v>3.0</v>
      </c>
      <c r="D771" s="38">
        <f>IFERROR(__xludf.DUMMYFUNCTION("""COMPUTED_VALUE"""),40606.0)</f>
        <v>40606</v>
      </c>
      <c r="E771" s="39">
        <v>1.0</v>
      </c>
      <c r="G771" s="12">
        <f>DATE(2012,12,31)-1340</f>
        <v>39934</v>
      </c>
    </row>
    <row r="772">
      <c r="A772" s="39" t="s">
        <v>2238</v>
      </c>
      <c r="B772" s="39">
        <v>3.0</v>
      </c>
      <c r="D772" s="38">
        <f>IFERROR(__xludf.DUMMYFUNCTION("""COMPUTED_VALUE"""),40607.0)</f>
        <v>40607</v>
      </c>
      <c r="E772" s="39">
        <v>1.0</v>
      </c>
      <c r="G772" s="12">
        <f>DATE(2012,12,31)-1336</f>
        <v>39938</v>
      </c>
    </row>
    <row r="773">
      <c r="A773" s="39" t="s">
        <v>2347</v>
      </c>
      <c r="B773" s="39">
        <v>3.0</v>
      </c>
      <c r="D773" s="38">
        <f>IFERROR(__xludf.DUMMYFUNCTION("""COMPUTED_VALUE"""),40609.0)</f>
        <v>40609</v>
      </c>
      <c r="E773" s="39">
        <v>1.0</v>
      </c>
      <c r="G773" s="12">
        <f>DATE(2012,12,31)-1334</f>
        <v>39940</v>
      </c>
    </row>
    <row r="774">
      <c r="A774" s="39" t="s">
        <v>2155</v>
      </c>
      <c r="B774" s="39">
        <v>2.0</v>
      </c>
      <c r="D774" s="38">
        <f>IFERROR(__xludf.DUMMYFUNCTION("""COMPUTED_VALUE"""),40610.0)</f>
        <v>40610</v>
      </c>
      <c r="E774" s="39">
        <v>12.0</v>
      </c>
      <c r="G774" s="12">
        <f>DATE(2012,12,31)-1332</f>
        <v>39942</v>
      </c>
    </row>
    <row r="775">
      <c r="A775" s="39" t="s">
        <v>1588</v>
      </c>
      <c r="B775" s="39">
        <v>2.0</v>
      </c>
      <c r="D775" s="38">
        <f>IFERROR(__xludf.DUMMYFUNCTION("""COMPUTED_VALUE"""),40611.0)</f>
        <v>40611</v>
      </c>
      <c r="E775" s="39">
        <v>11.0</v>
      </c>
      <c r="G775" s="12">
        <f>DATE(2012,12,31)-1333</f>
        <v>39941</v>
      </c>
    </row>
    <row r="776">
      <c r="A776" s="39" t="s">
        <v>2399</v>
      </c>
      <c r="B776" s="39">
        <v>2.0</v>
      </c>
      <c r="D776" s="38">
        <f>IFERROR(__xludf.DUMMYFUNCTION("""COMPUTED_VALUE"""),40612.0)</f>
        <v>40612</v>
      </c>
      <c r="E776" s="39">
        <v>9.0</v>
      </c>
      <c r="G776" s="12">
        <f>DATE(2012,12,31)-1330</f>
        <v>39944</v>
      </c>
    </row>
    <row r="777">
      <c r="A777" s="39" t="s">
        <v>947</v>
      </c>
      <c r="B777" s="39">
        <v>2.0</v>
      </c>
      <c r="D777" s="38">
        <f>IFERROR(__xludf.DUMMYFUNCTION("""COMPUTED_VALUE"""),40613.0)</f>
        <v>40613</v>
      </c>
      <c r="E777" s="39">
        <v>8.0</v>
      </c>
      <c r="G777" s="12">
        <f>DATE(2012,12,31)-1333</f>
        <v>39941</v>
      </c>
    </row>
    <row r="778">
      <c r="A778" s="39" t="s">
        <v>1823</v>
      </c>
      <c r="B778" s="39">
        <v>2.0</v>
      </c>
      <c r="D778" s="38">
        <f>IFERROR(__xludf.DUMMYFUNCTION("""COMPUTED_VALUE"""),40614.0)</f>
        <v>40614</v>
      </c>
      <c r="E778" s="39">
        <v>7.0</v>
      </c>
      <c r="G778" s="12">
        <f>DATE(2012,12,31)-1332</f>
        <v>39942</v>
      </c>
    </row>
    <row r="779">
      <c r="A779" s="39" t="s">
        <v>2394</v>
      </c>
      <c r="B779" s="39">
        <v>2.0</v>
      </c>
      <c r="D779" s="38">
        <f>IFERROR(__xludf.DUMMYFUNCTION("""COMPUTED_VALUE"""),40615.0)</f>
        <v>40615</v>
      </c>
      <c r="E779" s="39">
        <v>7.0</v>
      </c>
      <c r="G779" s="12">
        <f>DATE(2012,12,31)-1331</f>
        <v>39943</v>
      </c>
    </row>
    <row r="780">
      <c r="A780" s="39" t="s">
        <v>1889</v>
      </c>
      <c r="B780" s="39">
        <v>2.0</v>
      </c>
      <c r="D780" s="38">
        <f>IFERROR(__xludf.DUMMYFUNCTION("""COMPUTED_VALUE"""),40616.0)</f>
        <v>40616</v>
      </c>
      <c r="E780" s="39">
        <v>5.0</v>
      </c>
      <c r="G780" s="12">
        <f>DATE(2012,12,31)-1332</f>
        <v>39942</v>
      </c>
    </row>
    <row r="781">
      <c r="A781" s="39" t="s">
        <v>2352</v>
      </c>
      <c r="B781" s="39">
        <v>2.0</v>
      </c>
      <c r="D781" s="38">
        <f>IFERROR(__xludf.DUMMYFUNCTION("""COMPUTED_VALUE"""),40617.0)</f>
        <v>40617</v>
      </c>
      <c r="E781" s="39">
        <v>5.0</v>
      </c>
      <c r="G781" s="12">
        <f>DATE(2012,12,31)-1331</f>
        <v>39943</v>
      </c>
    </row>
    <row r="782">
      <c r="A782" s="39" t="s">
        <v>2472</v>
      </c>
      <c r="B782" s="39">
        <v>2.0</v>
      </c>
      <c r="D782" s="38">
        <f>IFERROR(__xludf.DUMMYFUNCTION("""COMPUTED_VALUE"""),40618.0)</f>
        <v>40618</v>
      </c>
      <c r="E782" s="39">
        <v>5.0</v>
      </c>
      <c r="G782" s="12">
        <f t="shared" ref="G782:G786" si="140">DATE(2012,12,31)-1330</f>
        <v>39944</v>
      </c>
    </row>
    <row r="783">
      <c r="A783" s="39" t="s">
        <v>2581</v>
      </c>
      <c r="B783" s="39">
        <v>2.0</v>
      </c>
      <c r="D783" s="38">
        <f>IFERROR(__xludf.DUMMYFUNCTION("""COMPUTED_VALUE"""),40619.0)</f>
        <v>40619</v>
      </c>
      <c r="E783" s="39">
        <v>5.0</v>
      </c>
      <c r="G783" s="12">
        <f t="shared" si="140"/>
        <v>39944</v>
      </c>
    </row>
    <row r="784">
      <c r="A784" s="39" t="s">
        <v>2499</v>
      </c>
      <c r="B784" s="39">
        <v>2.0</v>
      </c>
      <c r="D784" s="38">
        <f>IFERROR(__xludf.DUMMYFUNCTION("""COMPUTED_VALUE"""),40620.0)</f>
        <v>40620</v>
      </c>
      <c r="E784" s="39">
        <v>4.0</v>
      </c>
      <c r="G784" s="12">
        <f t="shared" si="140"/>
        <v>39944</v>
      </c>
    </row>
    <row r="785">
      <c r="A785" s="39" t="s">
        <v>2505</v>
      </c>
      <c r="B785" s="39">
        <v>2.0</v>
      </c>
      <c r="D785" s="38">
        <f>IFERROR(__xludf.DUMMYFUNCTION("""COMPUTED_VALUE"""),40621.0)</f>
        <v>40621</v>
      </c>
      <c r="E785" s="39">
        <v>4.0</v>
      </c>
      <c r="G785" s="12">
        <f t="shared" si="140"/>
        <v>39944</v>
      </c>
    </row>
    <row r="786">
      <c r="A786" s="39" t="s">
        <v>2520</v>
      </c>
      <c r="B786" s="39">
        <v>2.0</v>
      </c>
      <c r="D786" s="38">
        <f>IFERROR(__xludf.DUMMYFUNCTION("""COMPUTED_VALUE"""),40622.0)</f>
        <v>40622</v>
      </c>
      <c r="E786" s="39">
        <v>4.0</v>
      </c>
      <c r="G786" s="12">
        <f t="shared" si="140"/>
        <v>39944</v>
      </c>
    </row>
    <row r="787">
      <c r="A787" s="39" t="s">
        <v>1640</v>
      </c>
      <c r="B787" s="39">
        <v>2.0</v>
      </c>
      <c r="D787" s="38">
        <f>IFERROR(__xludf.DUMMYFUNCTION("""COMPUTED_VALUE"""),40623.0)</f>
        <v>40623</v>
      </c>
      <c r="E787" s="39">
        <v>3.0</v>
      </c>
      <c r="G787" s="12">
        <f>DATE(2012,12,31)-1332</f>
        <v>39942</v>
      </c>
    </row>
    <row r="788">
      <c r="A788" s="39" t="s">
        <v>2413</v>
      </c>
      <c r="B788" s="39">
        <v>2.0</v>
      </c>
      <c r="D788" s="38">
        <f>IFERROR(__xludf.DUMMYFUNCTION("""COMPUTED_VALUE"""),40624.0)</f>
        <v>40624</v>
      </c>
      <c r="E788" s="39">
        <v>3.0</v>
      </c>
      <c r="G788" s="12">
        <f>DATE(2012,12,31)-1330</f>
        <v>39944</v>
      </c>
    </row>
    <row r="789">
      <c r="A789" s="39" t="s">
        <v>1072</v>
      </c>
      <c r="B789" s="39">
        <v>2.0</v>
      </c>
      <c r="D789" s="38">
        <f>IFERROR(__xludf.DUMMYFUNCTION("""COMPUTED_VALUE"""),40625.0)</f>
        <v>40625</v>
      </c>
      <c r="E789" s="39">
        <v>2.0</v>
      </c>
      <c r="G789" s="12">
        <f>DATE(2012,12,31)-1333</f>
        <v>39941</v>
      </c>
    </row>
    <row r="790">
      <c r="A790" s="39" t="s">
        <v>2127</v>
      </c>
      <c r="B790" s="39">
        <v>2.0</v>
      </c>
      <c r="D790" s="38">
        <f>IFERROR(__xludf.DUMMYFUNCTION("""COMPUTED_VALUE"""),40626.0)</f>
        <v>40626</v>
      </c>
      <c r="E790" s="39">
        <v>1.0</v>
      </c>
      <c r="G790" s="12">
        <f>DATE(2012,12,31)-1332</f>
        <v>39942</v>
      </c>
    </row>
    <row r="791">
      <c r="A791" s="39" t="s">
        <v>2305</v>
      </c>
      <c r="B791" s="39">
        <v>1.0</v>
      </c>
      <c r="D791" s="38">
        <f>IFERROR(__xludf.DUMMYFUNCTION("""COMPUTED_VALUE"""),40627.0)</f>
        <v>40627</v>
      </c>
      <c r="E791" s="39">
        <v>9.0</v>
      </c>
      <c r="G791" s="12">
        <f t="shared" ref="G791:G792" si="141">DATE(2012,12,31)-1330</f>
        <v>39944</v>
      </c>
    </row>
    <row r="792">
      <c r="A792" s="39" t="s">
        <v>1688</v>
      </c>
      <c r="B792" s="39">
        <v>1.0</v>
      </c>
      <c r="D792" s="38">
        <f>IFERROR(__xludf.DUMMYFUNCTION("""COMPUTED_VALUE"""),40628.0)</f>
        <v>40628</v>
      </c>
      <c r="E792" s="39">
        <v>3.0</v>
      </c>
      <c r="G792" s="12">
        <f t="shared" si="141"/>
        <v>39944</v>
      </c>
    </row>
    <row r="793">
      <c r="A793" s="39" t="s">
        <v>2357</v>
      </c>
      <c r="B793" s="39">
        <v>1.0</v>
      </c>
      <c r="D793" s="38">
        <f>IFERROR(__xludf.DUMMYFUNCTION("""COMPUTED_VALUE"""),40629.0)</f>
        <v>40629</v>
      </c>
      <c r="E793" s="39">
        <v>3.0</v>
      </c>
      <c r="G793" s="12">
        <f t="shared" ref="G793:G796" si="142">DATE(2012,12,31)-1329</f>
        <v>39945</v>
      </c>
    </row>
    <row r="794">
      <c r="A794" s="39" t="s">
        <v>2604</v>
      </c>
      <c r="B794" s="39">
        <v>1.0</v>
      </c>
      <c r="D794" s="38">
        <f>IFERROR(__xludf.DUMMYFUNCTION("""COMPUTED_VALUE"""),40630.0)</f>
        <v>40630</v>
      </c>
      <c r="E794" s="39">
        <v>3.0</v>
      </c>
      <c r="G794" s="12">
        <f t="shared" si="142"/>
        <v>39945</v>
      </c>
    </row>
    <row r="795">
      <c r="A795" s="39" t="s">
        <v>2341</v>
      </c>
      <c r="B795" s="39">
        <v>1.0</v>
      </c>
      <c r="D795" s="38">
        <f>IFERROR(__xludf.DUMMYFUNCTION("""COMPUTED_VALUE"""),40631.0)</f>
        <v>40631</v>
      </c>
      <c r="E795" s="39">
        <v>2.0</v>
      </c>
      <c r="G795" s="12">
        <f t="shared" si="142"/>
        <v>39945</v>
      </c>
    </row>
    <row r="796">
      <c r="A796" s="39" t="s">
        <v>2571</v>
      </c>
      <c r="B796" s="39">
        <v>1.0</v>
      </c>
      <c r="D796" s="38">
        <f>IFERROR(__xludf.DUMMYFUNCTION("""COMPUTED_VALUE"""),40632.0)</f>
        <v>40632</v>
      </c>
      <c r="E796" s="39">
        <v>2.0</v>
      </c>
      <c r="G796" s="12">
        <f t="shared" si="142"/>
        <v>39945</v>
      </c>
    </row>
    <row r="797">
      <c r="D797" s="38">
        <f>IFERROR(__xludf.DUMMYFUNCTION("""COMPUTED_VALUE"""),40633.0)</f>
        <v>40633</v>
      </c>
      <c r="E797" s="39">
        <v>20.0</v>
      </c>
      <c r="G797" s="12">
        <f>DATE(2012,12,31)-1303</f>
        <v>39971</v>
      </c>
    </row>
    <row r="798">
      <c r="D798" s="38">
        <f>IFERROR(__xludf.DUMMYFUNCTION("""COMPUTED_VALUE"""),40634.0)</f>
        <v>40634</v>
      </c>
      <c r="E798" s="39">
        <v>20.0</v>
      </c>
      <c r="G798" s="12">
        <f>DATE(2012,12,31)-1271</f>
        <v>40003</v>
      </c>
    </row>
    <row r="799">
      <c r="D799" s="38">
        <f>IFERROR(__xludf.DUMMYFUNCTION("""COMPUTED_VALUE"""),40635.0)</f>
        <v>40635</v>
      </c>
      <c r="E799" s="39">
        <v>17.0</v>
      </c>
      <c r="G799" s="12">
        <f>DATE(2012,12,31)-1290</f>
        <v>39984</v>
      </c>
    </row>
    <row r="800">
      <c r="D800" s="38">
        <f>IFERROR(__xludf.DUMMYFUNCTION("""COMPUTED_VALUE"""),40636.0)</f>
        <v>40636</v>
      </c>
      <c r="E800" s="39">
        <v>16.0</v>
      </c>
      <c r="G800" s="12">
        <f>DATE(2012,12,31)-1235</f>
        <v>40039</v>
      </c>
    </row>
    <row r="801">
      <c r="D801" s="38">
        <f>IFERROR(__xludf.DUMMYFUNCTION("""COMPUTED_VALUE"""),40637.0)</f>
        <v>40637</v>
      </c>
      <c r="E801" s="39">
        <v>15.0</v>
      </c>
      <c r="G801" s="12">
        <f>DATE(2012,12,31)-1271</f>
        <v>40003</v>
      </c>
    </row>
    <row r="802">
      <c r="D802" s="38">
        <f>IFERROR(__xludf.DUMMYFUNCTION("""COMPUTED_VALUE"""),40638.0)</f>
        <v>40638</v>
      </c>
      <c r="E802" s="39">
        <v>15.0</v>
      </c>
      <c r="G802" s="12">
        <f>DATE(2012,12,31)-1250</f>
        <v>40024</v>
      </c>
    </row>
    <row r="803">
      <c r="D803" s="38">
        <f>IFERROR(__xludf.DUMMYFUNCTION("""COMPUTED_VALUE"""),40639.0)</f>
        <v>40639</v>
      </c>
      <c r="E803" s="39">
        <v>14.0</v>
      </c>
      <c r="G803" s="12">
        <f>DATE(2012,12,31)-1317</f>
        <v>39957</v>
      </c>
    </row>
    <row r="804">
      <c r="D804" s="38">
        <f>IFERROR(__xludf.DUMMYFUNCTION("""COMPUTED_VALUE"""),40640.0)</f>
        <v>40640</v>
      </c>
      <c r="E804" s="39">
        <v>14.0</v>
      </c>
      <c r="G804" s="12">
        <f>DATE(2012,12,31)-1286</f>
        <v>39988</v>
      </c>
    </row>
    <row r="805">
      <c r="D805" s="38">
        <f>IFERROR(__xludf.DUMMYFUNCTION("""COMPUTED_VALUE"""),40641.0)</f>
        <v>40641</v>
      </c>
      <c r="E805" s="39">
        <v>14.0</v>
      </c>
      <c r="G805" s="12">
        <f>DATE(2012,12,31)-1281</f>
        <v>39993</v>
      </c>
    </row>
    <row r="806">
      <c r="D806" s="38">
        <f>IFERROR(__xludf.DUMMYFUNCTION("""COMPUTED_VALUE"""),40642.0)</f>
        <v>40642</v>
      </c>
      <c r="E806" s="39">
        <v>14.0</v>
      </c>
      <c r="G806" s="12">
        <f>DATE(2012,12,31)-1267</f>
        <v>40007</v>
      </c>
    </row>
    <row r="807">
      <c r="D807" s="38">
        <f>IFERROR(__xludf.DUMMYFUNCTION("""COMPUTED_VALUE"""),40643.0)</f>
        <v>40643</v>
      </c>
      <c r="E807" s="39">
        <v>14.0</v>
      </c>
      <c r="G807" s="12">
        <f>DATE(2012,12,31)-1263</f>
        <v>40011</v>
      </c>
    </row>
    <row r="808">
      <c r="D808" s="38">
        <f>IFERROR(__xludf.DUMMYFUNCTION("""COMPUTED_VALUE"""),40644.0)</f>
        <v>40644</v>
      </c>
      <c r="E808" s="39">
        <v>14.0</v>
      </c>
      <c r="G808" s="12">
        <f>DATE(2012,12,31)-1253</f>
        <v>40021</v>
      </c>
    </row>
    <row r="809">
      <c r="D809" s="38">
        <f>IFERROR(__xludf.DUMMYFUNCTION("""COMPUTED_VALUE"""),40645.0)</f>
        <v>40645</v>
      </c>
      <c r="E809" s="39">
        <v>14.0</v>
      </c>
      <c r="G809" s="12">
        <f>DATE(2012,12,31)-1236</f>
        <v>40038</v>
      </c>
    </row>
    <row r="810">
      <c r="D810" s="38">
        <f>IFERROR(__xludf.DUMMYFUNCTION("""COMPUTED_VALUE"""),40646.0)</f>
        <v>40646</v>
      </c>
      <c r="E810" s="39">
        <v>14.0</v>
      </c>
      <c r="G810" s="12">
        <f>DATE(2012,12,31)-1229</f>
        <v>40045</v>
      </c>
    </row>
    <row r="811">
      <c r="D811" s="38">
        <f>IFERROR(__xludf.DUMMYFUNCTION("""COMPUTED_VALUE"""),40647.0)</f>
        <v>40647</v>
      </c>
      <c r="E811" s="39">
        <v>13.0</v>
      </c>
      <c r="G811" s="12">
        <f>DATE(2012,12,31)-1328</f>
        <v>39946</v>
      </c>
    </row>
    <row r="812">
      <c r="D812" s="38">
        <f>IFERROR(__xludf.DUMMYFUNCTION("""COMPUTED_VALUE"""),40648.0)</f>
        <v>40648</v>
      </c>
      <c r="E812" s="39">
        <v>13.0</v>
      </c>
      <c r="G812" s="12">
        <f>DATE(2012,12,31)-1321</f>
        <v>39953</v>
      </c>
    </row>
    <row r="813">
      <c r="D813" s="38">
        <f>IFERROR(__xludf.DUMMYFUNCTION("""COMPUTED_VALUE"""),40649.0)</f>
        <v>40649</v>
      </c>
      <c r="E813" s="39">
        <v>13.0</v>
      </c>
      <c r="G813" s="12">
        <f>DATE(2012,12,31)-1296</f>
        <v>39978</v>
      </c>
    </row>
    <row r="814">
      <c r="D814" s="38">
        <f>IFERROR(__xludf.DUMMYFUNCTION("""COMPUTED_VALUE"""),40650.0)</f>
        <v>40650</v>
      </c>
      <c r="E814" s="39">
        <v>13.0</v>
      </c>
      <c r="G814" s="12">
        <f>DATE(2012,12,31)-1287</f>
        <v>39987</v>
      </c>
    </row>
    <row r="815">
      <c r="D815" s="38">
        <f>IFERROR(__xludf.DUMMYFUNCTION("""COMPUTED_VALUE"""),40651.0)</f>
        <v>40651</v>
      </c>
      <c r="E815" s="39">
        <v>13.0</v>
      </c>
      <c r="G815" s="12">
        <f>DATE(2012,12,31)-1286</f>
        <v>39988</v>
      </c>
    </row>
    <row r="816">
      <c r="D816" s="38">
        <f>IFERROR(__xludf.DUMMYFUNCTION("""COMPUTED_VALUE"""),40652.0)</f>
        <v>40652</v>
      </c>
      <c r="E816" s="39">
        <v>13.0</v>
      </c>
      <c r="G816" s="12">
        <f>DATE(2012,12,31)-1274</f>
        <v>40000</v>
      </c>
    </row>
    <row r="817">
      <c r="D817" s="38">
        <f>IFERROR(__xludf.DUMMYFUNCTION("""COMPUTED_VALUE"""),40653.0)</f>
        <v>40653</v>
      </c>
      <c r="E817" s="39">
        <v>13.0</v>
      </c>
      <c r="G817" s="12">
        <f>DATE(2012,12,31)-1263</f>
        <v>40011</v>
      </c>
    </row>
    <row r="818">
      <c r="D818" s="38">
        <f>IFERROR(__xludf.DUMMYFUNCTION("""COMPUTED_VALUE"""),40654.0)</f>
        <v>40654</v>
      </c>
      <c r="E818" s="39">
        <v>12.0</v>
      </c>
      <c r="G818" s="12">
        <f>DATE(2012,12,31)-1328</f>
        <v>39946</v>
      </c>
    </row>
    <row r="819">
      <c r="D819" s="38">
        <f>IFERROR(__xludf.DUMMYFUNCTION("""COMPUTED_VALUE"""),40655.0)</f>
        <v>40655</v>
      </c>
      <c r="E819" s="39">
        <v>12.0</v>
      </c>
      <c r="G819" s="12">
        <f t="shared" ref="G819:G820" si="143">DATE(2012,12,31)-1298</f>
        <v>39976</v>
      </c>
    </row>
    <row r="820">
      <c r="D820" s="38">
        <f>IFERROR(__xludf.DUMMYFUNCTION("""COMPUTED_VALUE"""),40656.0)</f>
        <v>40656</v>
      </c>
      <c r="E820" s="39">
        <v>12.0</v>
      </c>
      <c r="G820" s="12">
        <f t="shared" si="143"/>
        <v>39976</v>
      </c>
    </row>
    <row r="821">
      <c r="D821" s="38">
        <f>IFERROR(__xludf.DUMMYFUNCTION("""COMPUTED_VALUE"""),40657.0)</f>
        <v>40657</v>
      </c>
      <c r="E821" s="39">
        <v>12.0</v>
      </c>
      <c r="G821" s="12">
        <f>DATE(2012,12,31)-1293</f>
        <v>39981</v>
      </c>
    </row>
    <row r="822">
      <c r="D822" s="38">
        <f>IFERROR(__xludf.DUMMYFUNCTION("""COMPUTED_VALUE"""),40658.0)</f>
        <v>40658</v>
      </c>
      <c r="E822" s="39">
        <v>12.0</v>
      </c>
      <c r="G822" s="12">
        <f t="shared" ref="G822:G823" si="144">DATE(2012,12,31)-1291</f>
        <v>39983</v>
      </c>
    </row>
    <row r="823">
      <c r="D823" s="38">
        <f>IFERROR(__xludf.DUMMYFUNCTION("""COMPUTED_VALUE"""),40659.0)</f>
        <v>40659</v>
      </c>
      <c r="E823" s="39">
        <v>12.0</v>
      </c>
      <c r="G823" s="12">
        <f t="shared" si="144"/>
        <v>39983</v>
      </c>
    </row>
    <row r="824">
      <c r="D824" s="38">
        <f>IFERROR(__xludf.DUMMYFUNCTION("""COMPUTED_VALUE"""),40661.0)</f>
        <v>40661</v>
      </c>
      <c r="E824" s="39">
        <v>12.0</v>
      </c>
      <c r="G824" s="12">
        <f>DATE(2012,12,31)-1276</f>
        <v>39998</v>
      </c>
    </row>
    <row r="825">
      <c r="D825" s="38">
        <f>IFERROR(__xludf.DUMMYFUNCTION("""COMPUTED_VALUE"""),40662.0)</f>
        <v>40662</v>
      </c>
      <c r="E825" s="39">
        <v>12.0</v>
      </c>
      <c r="G825" s="12">
        <f>DATE(2012,12,31)-1265</f>
        <v>40009</v>
      </c>
    </row>
    <row r="826">
      <c r="D826" s="38">
        <f>IFERROR(__xludf.DUMMYFUNCTION("""COMPUTED_VALUE"""),40663.0)</f>
        <v>40663</v>
      </c>
      <c r="E826" s="39">
        <v>12.0</v>
      </c>
      <c r="G826" s="12">
        <f>DATE(2012,12,31)-1259</f>
        <v>40015</v>
      </c>
    </row>
    <row r="827">
      <c r="D827" s="38">
        <f>IFERROR(__xludf.DUMMYFUNCTION("""COMPUTED_VALUE"""),40664.0)</f>
        <v>40664</v>
      </c>
      <c r="E827" s="39">
        <v>12.0</v>
      </c>
      <c r="G827" s="12">
        <f>DATE(2012,12,31)-1249</f>
        <v>40025</v>
      </c>
    </row>
    <row r="828">
      <c r="D828" s="38">
        <f>IFERROR(__xludf.DUMMYFUNCTION("""COMPUTED_VALUE"""),40665.0)</f>
        <v>40665</v>
      </c>
      <c r="E828" s="39">
        <v>12.0</v>
      </c>
      <c r="G828" s="12">
        <f>DATE(2012,12,31)-1247</f>
        <v>40027</v>
      </c>
    </row>
    <row r="829">
      <c r="D829" s="38">
        <f>IFERROR(__xludf.DUMMYFUNCTION("""COMPUTED_VALUE"""),40666.0)</f>
        <v>40666</v>
      </c>
      <c r="E829" s="39">
        <v>12.0</v>
      </c>
      <c r="G829" s="12">
        <f>DATE(2012,12,31)-1244</f>
        <v>40030</v>
      </c>
    </row>
    <row r="830">
      <c r="D830" s="38">
        <f>IFERROR(__xludf.DUMMYFUNCTION("""COMPUTED_VALUE"""),40667.0)</f>
        <v>40667</v>
      </c>
      <c r="E830" s="39">
        <v>12.0</v>
      </c>
      <c r="G830" s="12">
        <f>DATE(2012,12,31)-1243</f>
        <v>40031</v>
      </c>
    </row>
    <row r="831">
      <c r="D831" s="38">
        <f>IFERROR(__xludf.DUMMYFUNCTION("""COMPUTED_VALUE"""),40668.0)</f>
        <v>40668</v>
      </c>
      <c r="E831" s="39">
        <v>12.0</v>
      </c>
      <c r="G831" s="12">
        <f>DATE(2012,12,31)-1234</f>
        <v>40040</v>
      </c>
    </row>
    <row r="832">
      <c r="D832" s="38">
        <f>IFERROR(__xludf.DUMMYFUNCTION("""COMPUTED_VALUE"""),40669.0)</f>
        <v>40669</v>
      </c>
      <c r="E832" s="39">
        <v>11.0</v>
      </c>
      <c r="G832" s="12">
        <f>DATE(2012,12,31)-1324</f>
        <v>39950</v>
      </c>
    </row>
    <row r="833">
      <c r="D833" s="38">
        <f>IFERROR(__xludf.DUMMYFUNCTION("""COMPUTED_VALUE"""),40670.0)</f>
        <v>40670</v>
      </c>
      <c r="E833" s="39">
        <v>11.0</v>
      </c>
      <c r="G833" s="12">
        <f>DATE(2012,12,31)-1307</f>
        <v>39967</v>
      </c>
    </row>
    <row r="834">
      <c r="D834" s="38">
        <f>IFERROR(__xludf.DUMMYFUNCTION("""COMPUTED_VALUE"""),40671.0)</f>
        <v>40671</v>
      </c>
      <c r="E834" s="39">
        <v>11.0</v>
      </c>
      <c r="G834" s="12">
        <f>DATE(2012,12,31)-1282</f>
        <v>39992</v>
      </c>
    </row>
    <row r="835">
      <c r="D835" s="38">
        <f>IFERROR(__xludf.DUMMYFUNCTION("""COMPUTED_VALUE"""),40672.0)</f>
        <v>40672</v>
      </c>
      <c r="E835" s="39">
        <v>11.0</v>
      </c>
      <c r="G835" s="12">
        <f>DATE(2012,12,31)-1280</f>
        <v>39994</v>
      </c>
    </row>
    <row r="836">
      <c r="D836" s="38">
        <f>IFERROR(__xludf.DUMMYFUNCTION("""COMPUTED_VALUE"""),40673.0)</f>
        <v>40673</v>
      </c>
      <c r="E836" s="39">
        <v>11.0</v>
      </c>
      <c r="G836" s="12">
        <f>DATE(2012,12,31)-1268</f>
        <v>40006</v>
      </c>
    </row>
    <row r="837">
      <c r="D837" s="38">
        <f>IFERROR(__xludf.DUMMYFUNCTION("""COMPUTED_VALUE"""),40674.0)</f>
        <v>40674</v>
      </c>
      <c r="E837" s="39">
        <v>11.0</v>
      </c>
      <c r="G837" s="12">
        <f>DATE(2012,12,31)-1265</f>
        <v>40009</v>
      </c>
    </row>
    <row r="838">
      <c r="D838" s="38">
        <f>IFERROR(__xludf.DUMMYFUNCTION("""COMPUTED_VALUE"""),40675.0)</f>
        <v>40675</v>
      </c>
      <c r="E838" s="39">
        <v>11.0</v>
      </c>
      <c r="G838" s="12">
        <f>DATE(2012,12,31)-1263</f>
        <v>40011</v>
      </c>
    </row>
    <row r="839">
      <c r="D839" s="38">
        <f>IFERROR(__xludf.DUMMYFUNCTION("""COMPUTED_VALUE"""),40676.0)</f>
        <v>40676</v>
      </c>
      <c r="E839" s="39">
        <v>11.0</v>
      </c>
      <c r="G839" s="12">
        <f t="shared" ref="G839:G840" si="145">DATE(2012,12,31)-1259</f>
        <v>40015</v>
      </c>
    </row>
    <row r="840">
      <c r="D840" s="38">
        <f>IFERROR(__xludf.DUMMYFUNCTION("""COMPUTED_VALUE"""),40677.0)</f>
        <v>40677</v>
      </c>
      <c r="E840" s="39">
        <v>11.0</v>
      </c>
      <c r="G840" s="12">
        <f t="shared" si="145"/>
        <v>40015</v>
      </c>
    </row>
    <row r="841">
      <c r="D841" s="38">
        <f>IFERROR(__xludf.DUMMYFUNCTION("""COMPUTED_VALUE"""),40678.0)</f>
        <v>40678</v>
      </c>
      <c r="E841" s="39">
        <v>11.0</v>
      </c>
      <c r="G841" s="12">
        <f>DATE(2012,12,31)-1251</f>
        <v>40023</v>
      </c>
    </row>
    <row r="842">
      <c r="D842" s="38">
        <f>IFERROR(__xludf.DUMMYFUNCTION("""COMPUTED_VALUE"""),40679.0)</f>
        <v>40679</v>
      </c>
      <c r="E842" s="39">
        <v>11.0</v>
      </c>
      <c r="G842" s="12">
        <f>DATE(2012,12,31)-1248</f>
        <v>40026</v>
      </c>
    </row>
    <row r="843">
      <c r="D843" s="38">
        <f>IFERROR(__xludf.DUMMYFUNCTION("""COMPUTED_VALUE"""),40680.0)</f>
        <v>40680</v>
      </c>
      <c r="E843" s="39">
        <v>11.0</v>
      </c>
      <c r="G843" s="12">
        <f>DATE(2012,12,31)-1246</f>
        <v>40028</v>
      </c>
    </row>
    <row r="844">
      <c r="D844" s="38">
        <f>IFERROR(__xludf.DUMMYFUNCTION("""COMPUTED_VALUE"""),40681.0)</f>
        <v>40681</v>
      </c>
      <c r="E844" s="39">
        <v>11.0</v>
      </c>
      <c r="G844" s="12">
        <f>DATE(2012,12,31)-1239</f>
        <v>40035</v>
      </c>
    </row>
    <row r="845">
      <c r="D845" s="38">
        <f>IFERROR(__xludf.DUMMYFUNCTION("""COMPUTED_VALUE"""),40682.0)</f>
        <v>40682</v>
      </c>
      <c r="E845" s="39">
        <v>11.0</v>
      </c>
      <c r="G845" s="12">
        <f>DATE(2012,12,31)-1228</f>
        <v>40046</v>
      </c>
    </row>
    <row r="846">
      <c r="D846" s="38">
        <f>IFERROR(__xludf.DUMMYFUNCTION("""COMPUTED_VALUE"""),40683.0)</f>
        <v>40683</v>
      </c>
      <c r="E846" s="39">
        <v>10.0</v>
      </c>
      <c r="G846" s="12">
        <f>DATE(2012,12,31)-1328</f>
        <v>39946</v>
      </c>
    </row>
    <row r="847">
      <c r="D847" s="38">
        <f>IFERROR(__xludf.DUMMYFUNCTION("""COMPUTED_VALUE"""),40684.0)</f>
        <v>40684</v>
      </c>
      <c r="E847" s="39">
        <v>10.0</v>
      </c>
      <c r="G847" s="12">
        <f>DATE(2012,12,31)-1326</f>
        <v>39948</v>
      </c>
    </row>
    <row r="848">
      <c r="D848" s="38">
        <f>IFERROR(__xludf.DUMMYFUNCTION("""COMPUTED_VALUE"""),40685.0)</f>
        <v>40685</v>
      </c>
      <c r="E848" s="39">
        <v>10.0</v>
      </c>
      <c r="G848" s="12">
        <f>DATE(2012,12,31)-1321</f>
        <v>39953</v>
      </c>
    </row>
    <row r="849">
      <c r="D849" s="38">
        <f>IFERROR(__xludf.DUMMYFUNCTION("""COMPUTED_VALUE"""),40686.0)</f>
        <v>40686</v>
      </c>
      <c r="E849" s="39">
        <v>10.0</v>
      </c>
      <c r="G849" s="12">
        <f>DATE(2012,12,31)-1319</f>
        <v>39955</v>
      </c>
    </row>
    <row r="850">
      <c r="D850" s="38">
        <f>IFERROR(__xludf.DUMMYFUNCTION("""COMPUTED_VALUE"""),40687.0)</f>
        <v>40687</v>
      </c>
      <c r="E850" s="39">
        <v>10.0</v>
      </c>
      <c r="G850" s="12">
        <f>DATE(2012,12,31)-1316</f>
        <v>39958</v>
      </c>
    </row>
    <row r="851">
      <c r="D851" s="38">
        <f>IFERROR(__xludf.DUMMYFUNCTION("""COMPUTED_VALUE"""),40688.0)</f>
        <v>40688</v>
      </c>
      <c r="E851" s="39">
        <v>10.0</v>
      </c>
      <c r="G851" s="12">
        <f>DATE(2012,12,31)-1315</f>
        <v>39959</v>
      </c>
    </row>
    <row r="852">
      <c r="D852" s="38">
        <f>IFERROR(__xludf.DUMMYFUNCTION("""COMPUTED_VALUE"""),40689.0)</f>
        <v>40689</v>
      </c>
      <c r="E852" s="39">
        <v>10.0</v>
      </c>
      <c r="G852" s="12">
        <f>DATE(2012,12,31)-1313</f>
        <v>39961</v>
      </c>
    </row>
    <row r="853">
      <c r="D853" s="38">
        <f>IFERROR(__xludf.DUMMYFUNCTION("""COMPUTED_VALUE"""),40690.0)</f>
        <v>40690</v>
      </c>
      <c r="E853" s="39">
        <v>10.0</v>
      </c>
      <c r="G853" s="12">
        <f>DATE(2012,12,31)-1312</f>
        <v>39962</v>
      </c>
    </row>
    <row r="854">
      <c r="D854" s="38">
        <f>IFERROR(__xludf.DUMMYFUNCTION("""COMPUTED_VALUE"""),40691.0)</f>
        <v>40691</v>
      </c>
      <c r="E854" s="39">
        <v>10.0</v>
      </c>
      <c r="G854" s="12">
        <f>DATE(2012,12,31)-1307</f>
        <v>39967</v>
      </c>
    </row>
    <row r="855">
      <c r="D855" s="38">
        <f>IFERROR(__xludf.DUMMYFUNCTION("""COMPUTED_VALUE"""),40693.0)</f>
        <v>40693</v>
      </c>
      <c r="E855" s="39">
        <v>10.0</v>
      </c>
      <c r="G855" s="12">
        <f>DATE(2012,12,31)-1303</f>
        <v>39971</v>
      </c>
    </row>
    <row r="856">
      <c r="D856" s="38">
        <f>IFERROR(__xludf.DUMMYFUNCTION("""COMPUTED_VALUE"""),40694.0)</f>
        <v>40694</v>
      </c>
      <c r="E856" s="39">
        <v>10.0</v>
      </c>
      <c r="G856" s="12">
        <f>DATE(2012,12,31)-1299</f>
        <v>39975</v>
      </c>
    </row>
    <row r="857">
      <c r="D857" s="38">
        <f>IFERROR(__xludf.DUMMYFUNCTION("""COMPUTED_VALUE"""),40695.0)</f>
        <v>40695</v>
      </c>
      <c r="E857" s="39">
        <v>10.0</v>
      </c>
      <c r="G857" s="12">
        <f>DATE(2012,12,31)-1293</f>
        <v>39981</v>
      </c>
    </row>
    <row r="858">
      <c r="D858" s="38">
        <f>IFERROR(__xludf.DUMMYFUNCTION("""COMPUTED_VALUE"""),40696.0)</f>
        <v>40696</v>
      </c>
      <c r="E858" s="39">
        <v>10.0</v>
      </c>
      <c r="G858" s="12">
        <f>DATE(2012,12,31)-1287</f>
        <v>39987</v>
      </c>
    </row>
    <row r="859">
      <c r="D859" s="38">
        <f>IFERROR(__xludf.DUMMYFUNCTION("""COMPUTED_VALUE"""),40697.0)</f>
        <v>40697</v>
      </c>
      <c r="E859" s="39">
        <v>10.0</v>
      </c>
      <c r="G859" s="12">
        <f>DATE(2012,12,31)-1279</f>
        <v>39995</v>
      </c>
    </row>
    <row r="860">
      <c r="D860" s="38">
        <f>IFERROR(__xludf.DUMMYFUNCTION("""COMPUTED_VALUE"""),40698.0)</f>
        <v>40698</v>
      </c>
      <c r="E860" s="39">
        <v>10.0</v>
      </c>
      <c r="G860" s="12">
        <f>DATE(2012,12,31)-1277</f>
        <v>39997</v>
      </c>
    </row>
    <row r="861">
      <c r="D861" s="38">
        <f>IFERROR(__xludf.DUMMYFUNCTION("""COMPUTED_VALUE"""),40699.0)</f>
        <v>40699</v>
      </c>
      <c r="E861" s="39">
        <v>10.0</v>
      </c>
      <c r="G861" s="12">
        <f>DATE(2012,12,31)-1276</f>
        <v>39998</v>
      </c>
    </row>
    <row r="862">
      <c r="D862" s="38">
        <f>IFERROR(__xludf.DUMMYFUNCTION("""COMPUTED_VALUE"""),40700.0)</f>
        <v>40700</v>
      </c>
      <c r="E862" s="39">
        <v>10.0</v>
      </c>
      <c r="G862" s="12">
        <f t="shared" ref="G862:G863" si="146">DATE(2012,12,31)-1263</f>
        <v>40011</v>
      </c>
    </row>
    <row r="863">
      <c r="D863" s="38">
        <f>IFERROR(__xludf.DUMMYFUNCTION("""COMPUTED_VALUE"""),40701.0)</f>
        <v>40701</v>
      </c>
      <c r="E863" s="39">
        <v>10.0</v>
      </c>
      <c r="G863" s="12">
        <f t="shared" si="146"/>
        <v>40011</v>
      </c>
    </row>
    <row r="864">
      <c r="D864" s="38">
        <f>IFERROR(__xludf.DUMMYFUNCTION("""COMPUTED_VALUE"""),40702.0)</f>
        <v>40702</v>
      </c>
      <c r="E864" s="39">
        <v>10.0</v>
      </c>
      <c r="G864" s="12">
        <f>DATE(2012,12,31)-1260</f>
        <v>40014</v>
      </c>
    </row>
    <row r="865">
      <c r="D865" s="38">
        <f>IFERROR(__xludf.DUMMYFUNCTION("""COMPUTED_VALUE"""),40703.0)</f>
        <v>40703</v>
      </c>
      <c r="E865" s="39">
        <v>10.0</v>
      </c>
      <c r="G865" s="12">
        <f>DATE(2012,12,31)-1258</f>
        <v>40016</v>
      </c>
    </row>
    <row r="866">
      <c r="D866" s="38">
        <f>IFERROR(__xludf.DUMMYFUNCTION("""COMPUTED_VALUE"""),40704.0)</f>
        <v>40704</v>
      </c>
      <c r="E866" s="39">
        <v>10.0</v>
      </c>
      <c r="G866" s="12">
        <f>DATE(2012,12,31)-1254</f>
        <v>40020</v>
      </c>
    </row>
    <row r="867">
      <c r="D867" s="38">
        <f>IFERROR(__xludf.DUMMYFUNCTION("""COMPUTED_VALUE"""),40705.0)</f>
        <v>40705</v>
      </c>
      <c r="E867" s="39">
        <v>10.0</v>
      </c>
      <c r="G867" s="12">
        <f>DATE(2012,12,31)-1245</f>
        <v>40029</v>
      </c>
    </row>
    <row r="868">
      <c r="D868" s="38">
        <f>IFERROR(__xludf.DUMMYFUNCTION("""COMPUTED_VALUE"""),40706.0)</f>
        <v>40706</v>
      </c>
      <c r="E868" s="39">
        <v>10.0</v>
      </c>
      <c r="G868" s="12">
        <f>DATE(2012,12,31)-1243</f>
        <v>40031</v>
      </c>
    </row>
    <row r="869">
      <c r="D869" s="38">
        <f>IFERROR(__xludf.DUMMYFUNCTION("""COMPUTED_VALUE"""),40707.0)</f>
        <v>40707</v>
      </c>
      <c r="E869" s="39">
        <v>10.0</v>
      </c>
      <c r="G869" s="12">
        <f>DATE(2012,12,31)-1230</f>
        <v>40044</v>
      </c>
    </row>
    <row r="870">
      <c r="D870" s="38">
        <f>IFERROR(__xludf.DUMMYFUNCTION("""COMPUTED_VALUE"""),40708.0)</f>
        <v>40708</v>
      </c>
      <c r="E870" s="39">
        <v>9.0</v>
      </c>
      <c r="G870" s="12">
        <f>DATE(2012,12,31)-1325</f>
        <v>39949</v>
      </c>
    </row>
    <row r="871">
      <c r="D871" s="38">
        <f>IFERROR(__xludf.DUMMYFUNCTION("""COMPUTED_VALUE"""),40709.0)</f>
        <v>40709</v>
      </c>
      <c r="E871" s="39">
        <v>9.0</v>
      </c>
      <c r="G871" s="12">
        <f>DATE(2012,12,31)-1324</f>
        <v>39950</v>
      </c>
    </row>
    <row r="872">
      <c r="D872" s="38">
        <f>IFERROR(__xludf.DUMMYFUNCTION("""COMPUTED_VALUE"""),40710.0)</f>
        <v>40710</v>
      </c>
      <c r="E872" s="39">
        <v>9.0</v>
      </c>
      <c r="G872" s="12">
        <f>DATE(2012,12,31)-1320</f>
        <v>39954</v>
      </c>
    </row>
    <row r="873">
      <c r="D873" s="38">
        <f>IFERROR(__xludf.DUMMYFUNCTION("""COMPUTED_VALUE"""),40711.0)</f>
        <v>40711</v>
      </c>
      <c r="E873" s="39">
        <v>9.0</v>
      </c>
      <c r="G873" s="12">
        <f>DATE(2012,12,31)-1314</f>
        <v>39960</v>
      </c>
    </row>
    <row r="874">
      <c r="D874" s="38">
        <f>IFERROR(__xludf.DUMMYFUNCTION("""COMPUTED_VALUE"""),40712.0)</f>
        <v>40712</v>
      </c>
      <c r="E874" s="39">
        <v>9.0</v>
      </c>
      <c r="G874" s="12">
        <f>DATE(2012,12,31)-1307</f>
        <v>39967</v>
      </c>
    </row>
    <row r="875">
      <c r="D875" s="38">
        <f>IFERROR(__xludf.DUMMYFUNCTION("""COMPUTED_VALUE"""),40713.0)</f>
        <v>40713</v>
      </c>
      <c r="E875" s="39">
        <v>9.0</v>
      </c>
      <c r="G875" s="12">
        <f>DATE(2012,12,31)-1306</f>
        <v>39968</v>
      </c>
    </row>
    <row r="876">
      <c r="D876" s="38">
        <f>IFERROR(__xludf.DUMMYFUNCTION("""COMPUTED_VALUE"""),40714.0)</f>
        <v>40714</v>
      </c>
      <c r="E876" s="39">
        <v>9.0</v>
      </c>
      <c r="G876" s="12">
        <f>DATE(2012,12,31)-1294</f>
        <v>39980</v>
      </c>
    </row>
    <row r="877">
      <c r="D877" s="38">
        <f>IFERROR(__xludf.DUMMYFUNCTION("""COMPUTED_VALUE"""),40715.0)</f>
        <v>40715</v>
      </c>
      <c r="E877" s="39">
        <v>9.0</v>
      </c>
      <c r="G877" s="12">
        <f>DATE(2012,12,31)-1285</f>
        <v>39989</v>
      </c>
    </row>
    <row r="878">
      <c r="D878" s="38">
        <f>IFERROR(__xludf.DUMMYFUNCTION("""COMPUTED_VALUE"""),40716.0)</f>
        <v>40716</v>
      </c>
      <c r="E878" s="39">
        <v>9.0</v>
      </c>
      <c r="G878" s="12">
        <f>DATE(2012,12,31)-1281</f>
        <v>39993</v>
      </c>
    </row>
    <row r="879">
      <c r="D879" s="38">
        <f>IFERROR(__xludf.DUMMYFUNCTION("""COMPUTED_VALUE"""),40717.0)</f>
        <v>40717</v>
      </c>
      <c r="E879" s="39">
        <v>9.0</v>
      </c>
      <c r="G879" s="12">
        <f>DATE(2012,12,31)-1280</f>
        <v>39994</v>
      </c>
    </row>
    <row r="880">
      <c r="D880" s="38">
        <f>IFERROR(__xludf.DUMMYFUNCTION("""COMPUTED_VALUE"""),40718.0)</f>
        <v>40718</v>
      </c>
      <c r="E880" s="39">
        <v>9.0</v>
      </c>
      <c r="G880" s="12">
        <f>DATE(2012,12,31)-1278</f>
        <v>39996</v>
      </c>
    </row>
    <row r="881">
      <c r="D881" s="38">
        <f>IFERROR(__xludf.DUMMYFUNCTION("""COMPUTED_VALUE"""),40719.0)</f>
        <v>40719</v>
      </c>
      <c r="E881" s="39">
        <v>9.0</v>
      </c>
      <c r="G881" s="12">
        <f>DATE(2012,12,31)-1275</f>
        <v>39999</v>
      </c>
    </row>
    <row r="882">
      <c r="D882" s="38">
        <f>IFERROR(__xludf.DUMMYFUNCTION("""COMPUTED_VALUE"""),40720.0)</f>
        <v>40720</v>
      </c>
      <c r="E882" s="39">
        <v>9.0</v>
      </c>
      <c r="G882" s="12">
        <f>DATE(2012,12,31)-1274</f>
        <v>40000</v>
      </c>
    </row>
    <row r="883">
      <c r="D883" s="38">
        <f>IFERROR(__xludf.DUMMYFUNCTION("""COMPUTED_VALUE"""),40721.0)</f>
        <v>40721</v>
      </c>
      <c r="E883" s="39">
        <v>9.0</v>
      </c>
      <c r="G883" s="12">
        <f>DATE(2012,12,31)-1273</f>
        <v>40001</v>
      </c>
    </row>
    <row r="884">
      <c r="D884" s="38">
        <f>IFERROR(__xludf.DUMMYFUNCTION("""COMPUTED_VALUE"""),40722.0)</f>
        <v>40722</v>
      </c>
      <c r="E884" s="39">
        <v>9.0</v>
      </c>
      <c r="G884" s="12">
        <f>DATE(2012,12,31)-1271</f>
        <v>40003</v>
      </c>
    </row>
    <row r="885">
      <c r="D885" s="38">
        <f>IFERROR(__xludf.DUMMYFUNCTION("""COMPUTED_VALUE"""),40723.0)</f>
        <v>40723</v>
      </c>
      <c r="E885" s="39">
        <v>9.0</v>
      </c>
      <c r="G885" s="12">
        <f t="shared" ref="G885:G886" si="147">DATE(2012,12,31)-1267</f>
        <v>40007</v>
      </c>
    </row>
    <row r="886">
      <c r="D886" s="38">
        <f>IFERROR(__xludf.DUMMYFUNCTION("""COMPUTED_VALUE"""),40724.0)</f>
        <v>40724</v>
      </c>
      <c r="E886" s="39">
        <v>9.0</v>
      </c>
      <c r="G886" s="12">
        <f t="shared" si="147"/>
        <v>40007</v>
      </c>
    </row>
    <row r="887">
      <c r="D887" s="38">
        <f>IFERROR(__xludf.DUMMYFUNCTION("""COMPUTED_VALUE"""),40725.0)</f>
        <v>40725</v>
      </c>
      <c r="E887" s="39">
        <v>9.0</v>
      </c>
      <c r="G887" s="12">
        <f t="shared" ref="G887:G888" si="148">DATE(2012,12,31)-1264</f>
        <v>40010</v>
      </c>
    </row>
    <row r="888">
      <c r="D888" s="38">
        <f>IFERROR(__xludf.DUMMYFUNCTION("""COMPUTED_VALUE"""),40726.0)</f>
        <v>40726</v>
      </c>
      <c r="E888" s="39">
        <v>9.0</v>
      </c>
      <c r="G888" s="12">
        <f t="shared" si="148"/>
        <v>40010</v>
      </c>
    </row>
    <row r="889">
      <c r="D889" s="38">
        <f>IFERROR(__xludf.DUMMYFUNCTION("""COMPUTED_VALUE"""),40727.0)</f>
        <v>40727</v>
      </c>
      <c r="E889" s="39">
        <v>9.0</v>
      </c>
      <c r="G889" s="12">
        <f>DATE(2012,12,31)-1260</f>
        <v>40014</v>
      </c>
    </row>
    <row r="890">
      <c r="D890" s="38">
        <f>IFERROR(__xludf.DUMMYFUNCTION("""COMPUTED_VALUE"""),40728.0)</f>
        <v>40728</v>
      </c>
      <c r="E890" s="39">
        <v>9.0</v>
      </c>
      <c r="G890" s="12">
        <f>DATE(2012,12,31)-1254</f>
        <v>40020</v>
      </c>
    </row>
    <row r="891">
      <c r="D891" s="38">
        <f>IFERROR(__xludf.DUMMYFUNCTION("""COMPUTED_VALUE"""),40729.0)</f>
        <v>40729</v>
      </c>
      <c r="E891" s="39">
        <v>9.0</v>
      </c>
      <c r="G891" s="12">
        <f>DATE(2012,12,31)-1253</f>
        <v>40021</v>
      </c>
    </row>
    <row r="892">
      <c r="D892" s="38">
        <f>IFERROR(__xludf.DUMMYFUNCTION("""COMPUTED_VALUE"""),40730.0)</f>
        <v>40730</v>
      </c>
      <c r="E892" s="39">
        <v>9.0</v>
      </c>
      <c r="G892" s="12">
        <f>DATE(2012,12,31)-1247</f>
        <v>40027</v>
      </c>
    </row>
    <row r="893">
      <c r="D893" s="38">
        <f>IFERROR(__xludf.DUMMYFUNCTION("""COMPUTED_VALUE"""),40731.0)</f>
        <v>40731</v>
      </c>
      <c r="E893" s="39">
        <v>9.0</v>
      </c>
      <c r="G893" s="12">
        <f>DATE(2012,12,31)-1245</f>
        <v>40029</v>
      </c>
    </row>
    <row r="894">
      <c r="D894" s="38">
        <f>IFERROR(__xludf.DUMMYFUNCTION("""COMPUTED_VALUE"""),40732.0)</f>
        <v>40732</v>
      </c>
      <c r="E894" s="39">
        <v>9.0</v>
      </c>
      <c r="G894" s="12">
        <f t="shared" ref="G894:G895" si="149">DATE(2012,12,31)-1244</f>
        <v>40030</v>
      </c>
    </row>
    <row r="895">
      <c r="D895" s="38">
        <f>IFERROR(__xludf.DUMMYFUNCTION("""COMPUTED_VALUE"""),40734.0)</f>
        <v>40734</v>
      </c>
      <c r="E895" s="39">
        <v>9.0</v>
      </c>
      <c r="G895" s="12">
        <f t="shared" si="149"/>
        <v>40030</v>
      </c>
    </row>
    <row r="896">
      <c r="D896" s="38">
        <f>IFERROR(__xludf.DUMMYFUNCTION("""COMPUTED_VALUE"""),40735.0)</f>
        <v>40735</v>
      </c>
      <c r="E896" s="39">
        <v>9.0</v>
      </c>
      <c r="G896" s="12">
        <f t="shared" ref="G896:G897" si="150">DATE(2012,12,31)-1243</f>
        <v>40031</v>
      </c>
    </row>
    <row r="897">
      <c r="D897" s="38">
        <f>IFERROR(__xludf.DUMMYFUNCTION("""COMPUTED_VALUE"""),40736.0)</f>
        <v>40736</v>
      </c>
      <c r="E897" s="39">
        <v>9.0</v>
      </c>
      <c r="G897" s="12">
        <f t="shared" si="150"/>
        <v>40031</v>
      </c>
    </row>
    <row r="898">
      <c r="D898" s="38">
        <f>IFERROR(__xludf.DUMMYFUNCTION("""COMPUTED_VALUE"""),40737.0)</f>
        <v>40737</v>
      </c>
      <c r="E898" s="39">
        <v>9.0</v>
      </c>
      <c r="G898" s="12">
        <f t="shared" ref="G898:G900" si="151">DATE(2012,12,31)-1242</f>
        <v>40032</v>
      </c>
    </row>
    <row r="899">
      <c r="D899" s="38">
        <f>IFERROR(__xludf.DUMMYFUNCTION("""COMPUTED_VALUE"""),40738.0)</f>
        <v>40738</v>
      </c>
      <c r="E899" s="39">
        <v>9.0</v>
      </c>
      <c r="G899" s="12">
        <f t="shared" si="151"/>
        <v>40032</v>
      </c>
    </row>
    <row r="900">
      <c r="D900" s="38">
        <f>IFERROR(__xludf.DUMMYFUNCTION("""COMPUTED_VALUE"""),40739.0)</f>
        <v>40739</v>
      </c>
      <c r="E900" s="39">
        <v>9.0</v>
      </c>
      <c r="G900" s="12">
        <f t="shared" si="151"/>
        <v>40032</v>
      </c>
    </row>
    <row r="901">
      <c r="D901" s="38">
        <f>IFERROR(__xludf.DUMMYFUNCTION("""COMPUTED_VALUE"""),40740.0)</f>
        <v>40740</v>
      </c>
      <c r="E901" s="39">
        <v>9.0</v>
      </c>
      <c r="G901" s="12">
        <f>DATE(2012,12,31)-1240</f>
        <v>40034</v>
      </c>
    </row>
    <row r="902">
      <c r="D902" s="38">
        <f>IFERROR(__xludf.DUMMYFUNCTION("""COMPUTED_VALUE"""),40741.0)</f>
        <v>40741</v>
      </c>
      <c r="E902" s="39">
        <v>9.0</v>
      </c>
      <c r="G902" s="12">
        <f>DATE(2012,12,31)-1239</f>
        <v>40035</v>
      </c>
    </row>
    <row r="903">
      <c r="D903" s="38">
        <f>IFERROR(__xludf.DUMMYFUNCTION("""COMPUTED_VALUE"""),40742.0)</f>
        <v>40742</v>
      </c>
      <c r="E903" s="39">
        <v>9.0</v>
      </c>
      <c r="G903" s="12">
        <f>DATE(2012,12,31)-1238</f>
        <v>40036</v>
      </c>
    </row>
    <row r="904">
      <c r="D904" s="38">
        <f>IFERROR(__xludf.DUMMYFUNCTION("""COMPUTED_VALUE"""),40743.0)</f>
        <v>40743</v>
      </c>
      <c r="E904" s="39">
        <v>9.0</v>
      </c>
      <c r="G904" s="12">
        <f t="shared" ref="G904:G905" si="152">DATE(2012,12,31)-1235</f>
        <v>40039</v>
      </c>
    </row>
    <row r="905">
      <c r="D905" s="38">
        <f>IFERROR(__xludf.DUMMYFUNCTION("""COMPUTED_VALUE"""),40744.0)</f>
        <v>40744</v>
      </c>
      <c r="E905" s="39">
        <v>9.0</v>
      </c>
      <c r="G905" s="12">
        <f t="shared" si="152"/>
        <v>40039</v>
      </c>
    </row>
    <row r="906">
      <c r="D906" s="38">
        <f>IFERROR(__xludf.DUMMYFUNCTION("""COMPUTED_VALUE"""),40745.0)</f>
        <v>40745</v>
      </c>
      <c r="E906" s="39">
        <v>9.0</v>
      </c>
      <c r="G906" s="12">
        <f>DATE(2012,12,31)-1228</f>
        <v>40046</v>
      </c>
    </row>
    <row r="907">
      <c r="D907" s="38">
        <f>IFERROR(__xludf.DUMMYFUNCTION("""COMPUTED_VALUE"""),40746.0)</f>
        <v>40746</v>
      </c>
      <c r="E907" s="39">
        <v>9.0</v>
      </c>
      <c r="G907" s="12">
        <f>DATE(2012,12,31)-1227</f>
        <v>40047</v>
      </c>
    </row>
    <row r="908">
      <c r="D908" s="38">
        <f>IFERROR(__xludf.DUMMYFUNCTION("""COMPUTED_VALUE"""),40747.0)</f>
        <v>40747</v>
      </c>
      <c r="E908" s="39">
        <v>8.0</v>
      </c>
      <c r="G908" s="12">
        <f>DATE(2012,12,31)-1329</f>
        <v>39945</v>
      </c>
    </row>
    <row r="909">
      <c r="D909" s="38">
        <f>IFERROR(__xludf.DUMMYFUNCTION("""COMPUTED_VALUE"""),40748.0)</f>
        <v>40748</v>
      </c>
      <c r="E909" s="39">
        <v>8.0</v>
      </c>
      <c r="G909" s="12">
        <f>DATE(2012,12,31)-1328</f>
        <v>39946</v>
      </c>
    </row>
    <row r="910">
      <c r="D910" s="38">
        <f>IFERROR(__xludf.DUMMYFUNCTION("""COMPUTED_VALUE"""),40749.0)</f>
        <v>40749</v>
      </c>
      <c r="E910" s="39">
        <v>8.0</v>
      </c>
      <c r="G910" s="12">
        <f>DATE(2012,12,31)-1326</f>
        <v>39948</v>
      </c>
    </row>
    <row r="911">
      <c r="D911" s="38">
        <f>IFERROR(__xludf.DUMMYFUNCTION("""COMPUTED_VALUE"""),40750.0)</f>
        <v>40750</v>
      </c>
      <c r="E911" s="39">
        <v>8.0</v>
      </c>
      <c r="G911" s="12">
        <f>DATE(2012,12,31)-1325</f>
        <v>39949</v>
      </c>
    </row>
    <row r="912">
      <c r="D912" s="38">
        <f>IFERROR(__xludf.DUMMYFUNCTION("""COMPUTED_VALUE"""),40751.0)</f>
        <v>40751</v>
      </c>
      <c r="E912" s="39">
        <v>8.0</v>
      </c>
      <c r="G912" s="12">
        <f>DATE(2012,12,31)-1322</f>
        <v>39952</v>
      </c>
    </row>
    <row r="913">
      <c r="D913" s="38">
        <f>IFERROR(__xludf.DUMMYFUNCTION("""COMPUTED_VALUE"""),40752.0)</f>
        <v>40752</v>
      </c>
      <c r="E913" s="39">
        <v>8.0</v>
      </c>
      <c r="G913" s="12">
        <f>DATE(2012,12,31)-1321</f>
        <v>39953</v>
      </c>
    </row>
    <row r="914">
      <c r="D914" s="38">
        <f>IFERROR(__xludf.DUMMYFUNCTION("""COMPUTED_VALUE"""),40753.0)</f>
        <v>40753</v>
      </c>
      <c r="E914" s="39">
        <v>8.0</v>
      </c>
      <c r="G914" s="12">
        <f t="shared" ref="G914:G916" si="153">DATE(2012,12,31)-1320</f>
        <v>39954</v>
      </c>
    </row>
    <row r="915">
      <c r="D915" s="38">
        <f>IFERROR(__xludf.DUMMYFUNCTION("""COMPUTED_VALUE"""),40754.0)</f>
        <v>40754</v>
      </c>
      <c r="E915" s="39">
        <v>8.0</v>
      </c>
      <c r="G915" s="12">
        <f t="shared" si="153"/>
        <v>39954</v>
      </c>
    </row>
    <row r="916">
      <c r="D916" s="38">
        <f>IFERROR(__xludf.DUMMYFUNCTION("""COMPUTED_VALUE"""),40755.0)</f>
        <v>40755</v>
      </c>
      <c r="E916" s="39">
        <v>8.0</v>
      </c>
      <c r="G916" s="12">
        <f t="shared" si="153"/>
        <v>39954</v>
      </c>
    </row>
    <row r="917">
      <c r="D917" s="38">
        <f>IFERROR(__xludf.DUMMYFUNCTION("""COMPUTED_VALUE"""),40756.0)</f>
        <v>40756</v>
      </c>
      <c r="E917" s="39">
        <v>8.0</v>
      </c>
      <c r="G917" s="12">
        <f>DATE(2012,12,31)-1319</f>
        <v>39955</v>
      </c>
    </row>
    <row r="918">
      <c r="D918" s="38">
        <f>IFERROR(__xludf.DUMMYFUNCTION("""COMPUTED_VALUE"""),40757.0)</f>
        <v>40757</v>
      </c>
      <c r="E918" s="39">
        <v>8.0</v>
      </c>
      <c r="G918" s="12">
        <f>DATE(2012,12,31)-1316</f>
        <v>39958</v>
      </c>
    </row>
    <row r="919">
      <c r="D919" s="38">
        <f>IFERROR(__xludf.DUMMYFUNCTION("""COMPUTED_VALUE"""),40758.0)</f>
        <v>40758</v>
      </c>
      <c r="E919" s="39">
        <v>8.0</v>
      </c>
      <c r="G919" s="12">
        <f>DATE(2012,12,31)-1315</f>
        <v>39959</v>
      </c>
    </row>
    <row r="920">
      <c r="D920" s="38">
        <f>IFERROR(__xludf.DUMMYFUNCTION("""COMPUTED_VALUE"""),40759.0)</f>
        <v>40759</v>
      </c>
      <c r="E920" s="39">
        <v>8.0</v>
      </c>
      <c r="G920" s="12">
        <f>DATE(2012,12,31)-1314</f>
        <v>39960</v>
      </c>
    </row>
    <row r="921">
      <c r="D921" s="38">
        <f>IFERROR(__xludf.DUMMYFUNCTION("""COMPUTED_VALUE"""),40760.0)</f>
        <v>40760</v>
      </c>
      <c r="E921" s="39">
        <v>8.0</v>
      </c>
      <c r="G921" s="12">
        <f>DATE(2012,12,31)-1313</f>
        <v>39961</v>
      </c>
    </row>
    <row r="922">
      <c r="D922" s="38">
        <f>IFERROR(__xludf.DUMMYFUNCTION("""COMPUTED_VALUE"""),40761.0)</f>
        <v>40761</v>
      </c>
      <c r="E922" s="39">
        <v>8.0</v>
      </c>
      <c r="G922" s="12">
        <f>DATE(2012,12,31)-1306</f>
        <v>39968</v>
      </c>
    </row>
    <row r="923">
      <c r="D923" s="38">
        <f>IFERROR(__xludf.DUMMYFUNCTION("""COMPUTED_VALUE"""),40762.0)</f>
        <v>40762</v>
      </c>
      <c r="E923" s="39">
        <v>8.0</v>
      </c>
      <c r="G923" s="12">
        <f>DATE(2012,12,31)-1305</f>
        <v>39969</v>
      </c>
    </row>
    <row r="924">
      <c r="D924" s="38">
        <f>IFERROR(__xludf.DUMMYFUNCTION("""COMPUTED_VALUE"""),40763.0)</f>
        <v>40763</v>
      </c>
      <c r="E924" s="39">
        <v>8.0</v>
      </c>
      <c r="G924" s="12">
        <f>DATE(2012,12,31)-1300</f>
        <v>39974</v>
      </c>
    </row>
    <row r="925">
      <c r="D925" s="38">
        <f>IFERROR(__xludf.DUMMYFUNCTION("""COMPUTED_VALUE"""),40764.0)</f>
        <v>40764</v>
      </c>
      <c r="E925" s="39">
        <v>8.0</v>
      </c>
      <c r="G925" s="12">
        <f>DATE(2012,12,31)-1299</f>
        <v>39975</v>
      </c>
    </row>
    <row r="926">
      <c r="D926" s="38">
        <f>IFERROR(__xludf.DUMMYFUNCTION("""COMPUTED_VALUE"""),40765.0)</f>
        <v>40765</v>
      </c>
      <c r="E926" s="39">
        <v>8.0</v>
      </c>
      <c r="G926" s="12">
        <f>DATE(2012,12,31)-1298</f>
        <v>39976</v>
      </c>
    </row>
    <row r="927">
      <c r="D927" s="38">
        <f>IFERROR(__xludf.DUMMYFUNCTION("""COMPUTED_VALUE"""),40766.0)</f>
        <v>40766</v>
      </c>
      <c r="E927" s="39">
        <v>8.0</v>
      </c>
      <c r="G927" s="12">
        <f t="shared" ref="G927:G928" si="154">DATE(2012,12,31)-1293</f>
        <v>39981</v>
      </c>
    </row>
    <row r="928">
      <c r="D928" s="38">
        <f>IFERROR(__xludf.DUMMYFUNCTION("""COMPUTED_VALUE"""),40767.0)</f>
        <v>40767</v>
      </c>
      <c r="E928" s="39">
        <v>8.0</v>
      </c>
      <c r="G928" s="12">
        <f t="shared" si="154"/>
        <v>39981</v>
      </c>
    </row>
    <row r="929">
      <c r="D929" s="38">
        <f>IFERROR(__xludf.DUMMYFUNCTION("""COMPUTED_VALUE"""),40768.0)</f>
        <v>40768</v>
      </c>
      <c r="E929" s="39">
        <v>8.0</v>
      </c>
      <c r="G929" s="12">
        <f>DATE(2012,12,31)-1290</f>
        <v>39984</v>
      </c>
    </row>
    <row r="930">
      <c r="D930" s="38">
        <f>IFERROR(__xludf.DUMMYFUNCTION("""COMPUTED_VALUE"""),40769.0)</f>
        <v>40769</v>
      </c>
      <c r="E930" s="39">
        <v>8.0</v>
      </c>
      <c r="G930" s="12">
        <f>DATE(2012,12,31)-1289</f>
        <v>39985</v>
      </c>
    </row>
    <row r="931">
      <c r="D931" s="38">
        <f>IFERROR(__xludf.DUMMYFUNCTION("""COMPUTED_VALUE"""),40770.0)</f>
        <v>40770</v>
      </c>
      <c r="E931" s="39">
        <v>8.0</v>
      </c>
      <c r="G931" s="12">
        <f>DATE(2012,12,31)-1286</f>
        <v>39988</v>
      </c>
    </row>
    <row r="932">
      <c r="D932" s="38">
        <f>IFERROR(__xludf.DUMMYFUNCTION("""COMPUTED_VALUE"""),40771.0)</f>
        <v>40771</v>
      </c>
      <c r="E932" s="39">
        <v>8.0</v>
      </c>
      <c r="G932" s="12">
        <f>DATE(2012,12,31)-1281</f>
        <v>39993</v>
      </c>
    </row>
    <row r="933">
      <c r="D933" s="38">
        <f>IFERROR(__xludf.DUMMYFUNCTION("""COMPUTED_VALUE"""),40772.0)</f>
        <v>40772</v>
      </c>
      <c r="E933" s="39">
        <v>8.0</v>
      </c>
      <c r="G933" s="12">
        <f>DATE(2012,12,31)-1280</f>
        <v>39994</v>
      </c>
    </row>
    <row r="934">
      <c r="D934" s="38">
        <f>IFERROR(__xludf.DUMMYFUNCTION("""COMPUTED_VALUE"""),40773.0)</f>
        <v>40773</v>
      </c>
      <c r="E934" s="39">
        <v>8.0</v>
      </c>
      <c r="G934" s="12">
        <f>DATE(2012,12,31)-1278</f>
        <v>39996</v>
      </c>
    </row>
    <row r="935">
      <c r="D935" s="38">
        <f>IFERROR(__xludf.DUMMYFUNCTION("""COMPUTED_VALUE"""),40774.0)</f>
        <v>40774</v>
      </c>
      <c r="E935" s="39">
        <v>8.0</v>
      </c>
      <c r="G935" s="12">
        <f t="shared" ref="G935:G936" si="155">DATE(2012,12,31)-1277</f>
        <v>39997</v>
      </c>
    </row>
    <row r="936">
      <c r="D936" s="38">
        <f>IFERROR(__xludf.DUMMYFUNCTION("""COMPUTED_VALUE"""),40775.0)</f>
        <v>40775</v>
      </c>
      <c r="E936" s="39">
        <v>8.0</v>
      </c>
      <c r="G936" s="12">
        <f t="shared" si="155"/>
        <v>39997</v>
      </c>
    </row>
    <row r="937">
      <c r="D937" s="38">
        <f>IFERROR(__xludf.DUMMYFUNCTION("""COMPUTED_VALUE"""),40776.0)</f>
        <v>40776</v>
      </c>
      <c r="E937" s="39">
        <v>8.0</v>
      </c>
      <c r="G937" s="12">
        <f t="shared" ref="G937:G938" si="156">DATE(2012,12,31)-1276</f>
        <v>39998</v>
      </c>
    </row>
    <row r="938">
      <c r="D938" s="38">
        <f>IFERROR(__xludf.DUMMYFUNCTION("""COMPUTED_VALUE"""),40777.0)</f>
        <v>40777</v>
      </c>
      <c r="E938" s="39">
        <v>8.0</v>
      </c>
      <c r="G938" s="12">
        <f t="shared" si="156"/>
        <v>39998</v>
      </c>
    </row>
    <row r="939">
      <c r="D939" s="38">
        <f>IFERROR(__xludf.DUMMYFUNCTION("""COMPUTED_VALUE"""),40778.0)</f>
        <v>40778</v>
      </c>
      <c r="E939" s="39">
        <v>8.0</v>
      </c>
      <c r="G939" s="12">
        <f>DATE(2012,12,31)-1274</f>
        <v>40000</v>
      </c>
    </row>
    <row r="940">
      <c r="D940" s="38">
        <f>IFERROR(__xludf.DUMMYFUNCTION("""COMPUTED_VALUE"""),40779.0)</f>
        <v>40779</v>
      </c>
      <c r="E940" s="39">
        <v>8.0</v>
      </c>
      <c r="G940" s="12">
        <f>DATE(2012,12,31)-1264</f>
        <v>40010</v>
      </c>
    </row>
    <row r="941">
      <c r="D941" s="38">
        <f>IFERROR(__xludf.DUMMYFUNCTION("""COMPUTED_VALUE"""),40780.0)</f>
        <v>40780</v>
      </c>
      <c r="E941" s="39">
        <v>8.0</v>
      </c>
      <c r="G941" s="12">
        <f>DATE(2012,12,31)-1260</f>
        <v>40014</v>
      </c>
    </row>
    <row r="942">
      <c r="D942" s="38">
        <f>IFERROR(__xludf.DUMMYFUNCTION("""COMPUTED_VALUE"""),40781.0)</f>
        <v>40781</v>
      </c>
      <c r="E942" s="39">
        <v>8.0</v>
      </c>
      <c r="G942" s="12">
        <f>DATE(2012,12,31)-1259</f>
        <v>40015</v>
      </c>
    </row>
    <row r="943">
      <c r="D943" s="38">
        <f>IFERROR(__xludf.DUMMYFUNCTION("""COMPUTED_VALUE"""),40783.0)</f>
        <v>40783</v>
      </c>
      <c r="E943" s="39">
        <v>8.0</v>
      </c>
      <c r="G943" s="12">
        <f>DATE(2012,12,31)-1258</f>
        <v>40016</v>
      </c>
    </row>
    <row r="944">
      <c r="D944" s="38">
        <f>IFERROR(__xludf.DUMMYFUNCTION("""COMPUTED_VALUE"""),40785.0)</f>
        <v>40785</v>
      </c>
      <c r="E944" s="39">
        <v>8.0</v>
      </c>
      <c r="G944" s="12">
        <f>DATE(2012,12,31)-1256</f>
        <v>40018</v>
      </c>
    </row>
    <row r="945">
      <c r="D945" s="38">
        <f>IFERROR(__xludf.DUMMYFUNCTION("""COMPUTED_VALUE"""),40786.0)</f>
        <v>40786</v>
      </c>
      <c r="E945" s="39">
        <v>8.0</v>
      </c>
      <c r="G945" s="12">
        <f>DATE(2012,12,31)-1254</f>
        <v>40020</v>
      </c>
    </row>
    <row r="946">
      <c r="D946" s="38">
        <f>IFERROR(__xludf.DUMMYFUNCTION("""COMPUTED_VALUE"""),40787.0)</f>
        <v>40787</v>
      </c>
      <c r="E946" s="39">
        <v>8.0</v>
      </c>
      <c r="G946" s="12">
        <f>DATE(2012,12,31)-1248</f>
        <v>40026</v>
      </c>
    </row>
    <row r="947">
      <c r="D947" s="38">
        <f>IFERROR(__xludf.DUMMYFUNCTION("""COMPUTED_VALUE"""),40788.0)</f>
        <v>40788</v>
      </c>
      <c r="E947" s="39">
        <v>8.0</v>
      </c>
      <c r="G947" s="12">
        <f>DATE(2012,12,31)-1246</f>
        <v>40028</v>
      </c>
    </row>
    <row r="948">
      <c r="D948" s="38">
        <f>IFERROR(__xludf.DUMMYFUNCTION("""COMPUTED_VALUE"""),40789.0)</f>
        <v>40789</v>
      </c>
      <c r="E948" s="39">
        <v>8.0</v>
      </c>
      <c r="G948" s="12">
        <f>DATE(2012,12,31)-1245</f>
        <v>40029</v>
      </c>
    </row>
    <row r="949">
      <c r="D949" s="38">
        <f>IFERROR(__xludf.DUMMYFUNCTION("""COMPUTED_VALUE"""),40790.0)</f>
        <v>40790</v>
      </c>
      <c r="E949" s="39">
        <v>8.0</v>
      </c>
      <c r="G949" s="12">
        <f>DATE(2012,12,31)-1242</f>
        <v>40032</v>
      </c>
    </row>
    <row r="950">
      <c r="D950" s="38">
        <f>IFERROR(__xludf.DUMMYFUNCTION("""COMPUTED_VALUE"""),40791.0)</f>
        <v>40791</v>
      </c>
      <c r="E950" s="39">
        <v>8.0</v>
      </c>
      <c r="G950" s="12">
        <f t="shared" ref="G950:G951" si="157">DATE(2012,12,31)-1240</f>
        <v>40034</v>
      </c>
    </row>
    <row r="951">
      <c r="D951" s="38">
        <f>IFERROR(__xludf.DUMMYFUNCTION("""COMPUTED_VALUE"""),40792.0)</f>
        <v>40792</v>
      </c>
      <c r="E951" s="39">
        <v>8.0</v>
      </c>
      <c r="G951" s="12">
        <f t="shared" si="157"/>
        <v>40034</v>
      </c>
    </row>
    <row r="952">
      <c r="D952" s="38">
        <f>IFERROR(__xludf.DUMMYFUNCTION("""COMPUTED_VALUE"""),40793.0)</f>
        <v>40793</v>
      </c>
      <c r="E952" s="39">
        <v>8.0</v>
      </c>
      <c r="G952" s="12">
        <f t="shared" ref="G952:G953" si="158">DATE(2012,12,31)-1239</f>
        <v>40035</v>
      </c>
    </row>
    <row r="953">
      <c r="D953" s="38">
        <f>IFERROR(__xludf.DUMMYFUNCTION("""COMPUTED_VALUE"""),40794.0)</f>
        <v>40794</v>
      </c>
      <c r="E953" s="39">
        <v>8.0</v>
      </c>
      <c r="G953" s="12">
        <f t="shared" si="158"/>
        <v>40035</v>
      </c>
    </row>
    <row r="954">
      <c r="D954" s="38">
        <f>IFERROR(__xludf.DUMMYFUNCTION("""COMPUTED_VALUE"""),40795.0)</f>
        <v>40795</v>
      </c>
      <c r="E954" s="39">
        <v>8.0</v>
      </c>
      <c r="G954" s="12">
        <f t="shared" ref="G954:G955" si="159">DATE(2012,12,31)-1235</f>
        <v>40039</v>
      </c>
    </row>
    <row r="955">
      <c r="D955" s="38">
        <f>IFERROR(__xludf.DUMMYFUNCTION("""COMPUTED_VALUE"""),40796.0)</f>
        <v>40796</v>
      </c>
      <c r="E955" s="39">
        <v>8.0</v>
      </c>
      <c r="G955" s="12">
        <f t="shared" si="159"/>
        <v>40039</v>
      </c>
    </row>
    <row r="956">
      <c r="D956" s="38">
        <f>IFERROR(__xludf.DUMMYFUNCTION("""COMPUTED_VALUE"""),40797.0)</f>
        <v>40797</v>
      </c>
      <c r="E956" s="39">
        <v>8.0</v>
      </c>
      <c r="G956" s="12">
        <f>DATE(2012,12,31)-1234</f>
        <v>40040</v>
      </c>
    </row>
    <row r="957">
      <c r="D957" s="38">
        <f>IFERROR(__xludf.DUMMYFUNCTION("""COMPUTED_VALUE"""),40798.0)</f>
        <v>40798</v>
      </c>
      <c r="E957" s="39">
        <v>8.0</v>
      </c>
      <c r="G957" s="12">
        <f>DATE(2012,12,31)-1233</f>
        <v>40041</v>
      </c>
    </row>
    <row r="958">
      <c r="D958" s="38">
        <f>IFERROR(__xludf.DUMMYFUNCTION("""COMPUTED_VALUE"""),40799.0)</f>
        <v>40799</v>
      </c>
      <c r="E958" s="39">
        <v>7.0</v>
      </c>
      <c r="G958" s="12">
        <f t="shared" ref="G958:G959" si="160">DATE(2012,12,31)-1327</f>
        <v>39947</v>
      </c>
    </row>
    <row r="959">
      <c r="D959" s="38">
        <f>IFERROR(__xludf.DUMMYFUNCTION("""COMPUTED_VALUE"""),40800.0)</f>
        <v>40800</v>
      </c>
      <c r="E959" s="39">
        <v>7.0</v>
      </c>
      <c r="G959" s="12">
        <f t="shared" si="160"/>
        <v>39947</v>
      </c>
    </row>
    <row r="960">
      <c r="D960" s="38">
        <f>IFERROR(__xludf.DUMMYFUNCTION("""COMPUTED_VALUE"""),40801.0)</f>
        <v>40801</v>
      </c>
      <c r="E960" s="39">
        <v>7.0</v>
      </c>
      <c r="G960" s="12">
        <f t="shared" ref="G960:G961" si="161">DATE(2012,12,31)-1325</f>
        <v>39949</v>
      </c>
    </row>
    <row r="961">
      <c r="D961" s="38">
        <f>IFERROR(__xludf.DUMMYFUNCTION("""COMPUTED_VALUE"""),40802.0)</f>
        <v>40802</v>
      </c>
      <c r="E961" s="39">
        <v>7.0</v>
      </c>
      <c r="G961" s="12">
        <f t="shared" si="161"/>
        <v>39949</v>
      </c>
    </row>
    <row r="962">
      <c r="D962" s="38">
        <f>IFERROR(__xludf.DUMMYFUNCTION("""COMPUTED_VALUE"""),40803.0)</f>
        <v>40803</v>
      </c>
      <c r="E962" s="39">
        <v>7.0</v>
      </c>
      <c r="G962" s="12">
        <f>DATE(2012,12,31)-1323</f>
        <v>39951</v>
      </c>
    </row>
    <row r="963">
      <c r="D963" s="38">
        <f>IFERROR(__xludf.DUMMYFUNCTION("""COMPUTED_VALUE"""),40804.0)</f>
        <v>40804</v>
      </c>
      <c r="E963" s="39">
        <v>7.0</v>
      </c>
      <c r="G963" s="12">
        <f t="shared" ref="G963:G964" si="162">DATE(2012,12,31)-1321</f>
        <v>39953</v>
      </c>
    </row>
    <row r="964">
      <c r="D964" s="38">
        <f>IFERROR(__xludf.DUMMYFUNCTION("""COMPUTED_VALUE"""),40805.0)</f>
        <v>40805</v>
      </c>
      <c r="E964" s="39">
        <v>7.0</v>
      </c>
      <c r="G964" s="12">
        <f t="shared" si="162"/>
        <v>39953</v>
      </c>
    </row>
    <row r="965">
      <c r="D965" s="38">
        <f>IFERROR(__xludf.DUMMYFUNCTION("""COMPUTED_VALUE"""),40806.0)</f>
        <v>40806</v>
      </c>
      <c r="E965" s="39">
        <v>7.0</v>
      </c>
      <c r="G965" s="12">
        <f t="shared" ref="G965:G966" si="163">DATE(2012,12,31)-1320</f>
        <v>39954</v>
      </c>
    </row>
    <row r="966">
      <c r="D966" s="38">
        <f>IFERROR(__xludf.DUMMYFUNCTION("""COMPUTED_VALUE"""),40807.0)</f>
        <v>40807</v>
      </c>
      <c r="E966" s="39">
        <v>7.0</v>
      </c>
      <c r="G966" s="12">
        <f t="shared" si="163"/>
        <v>39954</v>
      </c>
    </row>
    <row r="967">
      <c r="D967" s="38">
        <f>IFERROR(__xludf.DUMMYFUNCTION("""COMPUTED_VALUE"""),40808.0)</f>
        <v>40808</v>
      </c>
      <c r="E967" s="39">
        <v>7.0</v>
      </c>
      <c r="G967" s="12">
        <f t="shared" ref="G967:G968" si="164">DATE(2012,12,31)-1318</f>
        <v>39956</v>
      </c>
    </row>
    <row r="968">
      <c r="D968" s="38">
        <f>IFERROR(__xludf.DUMMYFUNCTION("""COMPUTED_VALUE"""),40809.0)</f>
        <v>40809</v>
      </c>
      <c r="E968" s="39">
        <v>7.0</v>
      </c>
      <c r="G968" s="12">
        <f t="shared" si="164"/>
        <v>39956</v>
      </c>
    </row>
    <row r="969">
      <c r="D969" s="38">
        <f>IFERROR(__xludf.DUMMYFUNCTION("""COMPUTED_VALUE"""),40810.0)</f>
        <v>40810</v>
      </c>
      <c r="E969" s="39">
        <v>7.0</v>
      </c>
      <c r="G969" s="12">
        <f t="shared" ref="G969:G970" si="165">DATE(2012,12,31)-1316</f>
        <v>39958</v>
      </c>
    </row>
    <row r="970">
      <c r="D970" s="38">
        <f>IFERROR(__xludf.DUMMYFUNCTION("""COMPUTED_VALUE"""),40811.0)</f>
        <v>40811</v>
      </c>
      <c r="E970" s="39">
        <v>7.0</v>
      </c>
      <c r="G970" s="12">
        <f t="shared" si="165"/>
        <v>39958</v>
      </c>
    </row>
    <row r="971">
      <c r="D971" s="38">
        <f>IFERROR(__xludf.DUMMYFUNCTION("""COMPUTED_VALUE"""),40812.0)</f>
        <v>40812</v>
      </c>
      <c r="E971" s="39">
        <v>7.0</v>
      </c>
      <c r="G971" s="12">
        <f t="shared" ref="G971:G972" si="166">DATE(2012,12,31)-1309</f>
        <v>39965</v>
      </c>
    </row>
    <row r="972">
      <c r="D972" s="38">
        <f>IFERROR(__xludf.DUMMYFUNCTION("""COMPUTED_VALUE"""),40813.0)</f>
        <v>40813</v>
      </c>
      <c r="E972" s="39">
        <v>7.0</v>
      </c>
      <c r="G972" s="12">
        <f t="shared" si="166"/>
        <v>39965</v>
      </c>
    </row>
    <row r="973">
      <c r="D973" s="38">
        <f>IFERROR(__xludf.DUMMYFUNCTION("""COMPUTED_VALUE"""),40814.0)</f>
        <v>40814</v>
      </c>
      <c r="E973" s="39">
        <v>7.0</v>
      </c>
      <c r="G973" s="12">
        <f>DATE(2012,12,31)-1308</f>
        <v>39966</v>
      </c>
    </row>
    <row r="974">
      <c r="D974" s="38">
        <f>IFERROR(__xludf.DUMMYFUNCTION("""COMPUTED_VALUE"""),40815.0)</f>
        <v>40815</v>
      </c>
      <c r="E974" s="39">
        <v>7.0</v>
      </c>
      <c r="G974" s="12">
        <f>DATE(2012,12,31)-1307</f>
        <v>39967</v>
      </c>
    </row>
    <row r="975">
      <c r="D975" s="38">
        <f>IFERROR(__xludf.DUMMYFUNCTION("""COMPUTED_VALUE"""),40816.0)</f>
        <v>40816</v>
      </c>
      <c r="E975" s="39">
        <v>7.0</v>
      </c>
      <c r="G975" s="12">
        <f t="shared" ref="G975:G976" si="167">DATE(2012,12,31)-1303</f>
        <v>39971</v>
      </c>
    </row>
    <row r="976">
      <c r="D976" s="38">
        <f>IFERROR(__xludf.DUMMYFUNCTION("""COMPUTED_VALUE"""),40817.0)</f>
        <v>40817</v>
      </c>
      <c r="E976" s="39">
        <v>7.0</v>
      </c>
      <c r="G976" s="12">
        <f t="shared" si="167"/>
        <v>39971</v>
      </c>
    </row>
    <row r="977">
      <c r="D977" s="38">
        <f>IFERROR(__xludf.DUMMYFUNCTION("""COMPUTED_VALUE"""),40818.0)</f>
        <v>40818</v>
      </c>
      <c r="E977" s="39">
        <v>7.0</v>
      </c>
      <c r="G977" s="12">
        <f t="shared" ref="G977:G978" si="168">DATE(2012,12,31)-1299</f>
        <v>39975</v>
      </c>
    </row>
    <row r="978">
      <c r="D978" s="38">
        <f>IFERROR(__xludf.DUMMYFUNCTION("""COMPUTED_VALUE"""),40819.0)</f>
        <v>40819</v>
      </c>
      <c r="E978" s="39">
        <v>7.0</v>
      </c>
      <c r="G978" s="12">
        <f t="shared" si="168"/>
        <v>39975</v>
      </c>
    </row>
    <row r="979">
      <c r="D979" s="38">
        <f>IFERROR(__xludf.DUMMYFUNCTION("""COMPUTED_VALUE"""),40820.0)</f>
        <v>40820</v>
      </c>
      <c r="E979" s="39">
        <v>7.0</v>
      </c>
      <c r="G979" s="12">
        <f>DATE(2012,12,31)-1298</f>
        <v>39976</v>
      </c>
    </row>
    <row r="980">
      <c r="D980" s="38">
        <f>IFERROR(__xludf.DUMMYFUNCTION("""COMPUTED_VALUE"""),40821.0)</f>
        <v>40821</v>
      </c>
      <c r="E980" s="39">
        <v>7.0</v>
      </c>
      <c r="G980" s="12">
        <f>DATE(2012,12,31)-1288</f>
        <v>39986</v>
      </c>
    </row>
    <row r="981">
      <c r="D981" s="38">
        <f>IFERROR(__xludf.DUMMYFUNCTION("""COMPUTED_VALUE"""),40822.0)</f>
        <v>40822</v>
      </c>
      <c r="E981" s="39">
        <v>7.0</v>
      </c>
      <c r="G981" s="12">
        <f>DATE(2012,12,31)-1287</f>
        <v>39987</v>
      </c>
    </row>
    <row r="982">
      <c r="D982" s="38">
        <f>IFERROR(__xludf.DUMMYFUNCTION("""COMPUTED_VALUE"""),40823.0)</f>
        <v>40823</v>
      </c>
      <c r="E982" s="39">
        <v>7.0</v>
      </c>
      <c r="G982" s="12">
        <f t="shared" ref="G982:G983" si="169">DATE(2012,12,31)-1285</f>
        <v>39989</v>
      </c>
    </row>
    <row r="983">
      <c r="D983" s="38">
        <f>IFERROR(__xludf.DUMMYFUNCTION("""COMPUTED_VALUE"""),40824.0)</f>
        <v>40824</v>
      </c>
      <c r="E983" s="39">
        <v>7.0</v>
      </c>
      <c r="G983" s="12">
        <f t="shared" si="169"/>
        <v>39989</v>
      </c>
    </row>
    <row r="984">
      <c r="D984" s="38">
        <f>IFERROR(__xludf.DUMMYFUNCTION("""COMPUTED_VALUE"""),40825.0)</f>
        <v>40825</v>
      </c>
      <c r="E984" s="39">
        <v>7.0</v>
      </c>
      <c r="G984" s="12">
        <f>DATE(2012,12,31)-1282</f>
        <v>39992</v>
      </c>
    </row>
    <row r="985">
      <c r="D985" s="38">
        <f>IFERROR(__xludf.DUMMYFUNCTION("""COMPUTED_VALUE"""),40826.0)</f>
        <v>40826</v>
      </c>
      <c r="E985" s="39">
        <v>7.0</v>
      </c>
      <c r="G985" s="12">
        <f>DATE(2012,12,31)-1280</f>
        <v>39994</v>
      </c>
    </row>
    <row r="986">
      <c r="D986" s="38">
        <f>IFERROR(__xludf.DUMMYFUNCTION("""COMPUTED_VALUE"""),40827.0)</f>
        <v>40827</v>
      </c>
      <c r="E986" s="39">
        <v>7.0</v>
      </c>
      <c r="G986" s="12">
        <f>DATE(2012,12,31)-1279</f>
        <v>39995</v>
      </c>
    </row>
    <row r="987">
      <c r="D987" s="38">
        <f>IFERROR(__xludf.DUMMYFUNCTION("""COMPUTED_VALUE"""),40828.0)</f>
        <v>40828</v>
      </c>
      <c r="E987" s="39">
        <v>7.0</v>
      </c>
      <c r="G987" s="12">
        <f t="shared" ref="G987:G988" si="170">DATE(2012,12,31)-1276</f>
        <v>39998</v>
      </c>
    </row>
    <row r="988">
      <c r="D988" s="38">
        <f>IFERROR(__xludf.DUMMYFUNCTION("""COMPUTED_VALUE"""),40829.0)</f>
        <v>40829</v>
      </c>
      <c r="E988" s="39">
        <v>7.0</v>
      </c>
      <c r="G988" s="12">
        <f t="shared" si="170"/>
        <v>39998</v>
      </c>
    </row>
    <row r="989">
      <c r="D989" s="38">
        <f>IFERROR(__xludf.DUMMYFUNCTION("""COMPUTED_VALUE"""),40830.0)</f>
        <v>40830</v>
      </c>
      <c r="E989" s="39">
        <v>7.0</v>
      </c>
      <c r="G989" s="12">
        <f>DATE(2012,12,31)-1274</f>
        <v>40000</v>
      </c>
    </row>
    <row r="990">
      <c r="D990" s="38">
        <f>IFERROR(__xludf.DUMMYFUNCTION("""COMPUTED_VALUE"""),40831.0)</f>
        <v>40831</v>
      </c>
      <c r="E990" s="39">
        <v>7.0</v>
      </c>
      <c r="G990" s="12">
        <f>DATE(2012,12,31)-1273</f>
        <v>40001</v>
      </c>
    </row>
    <row r="991">
      <c r="D991" s="38">
        <f>IFERROR(__xludf.DUMMYFUNCTION("""COMPUTED_VALUE"""),40832.0)</f>
        <v>40832</v>
      </c>
      <c r="E991" s="39">
        <v>7.0</v>
      </c>
      <c r="G991" s="12">
        <f>DATE(2012,12,31)-1270</f>
        <v>40004</v>
      </c>
    </row>
    <row r="992">
      <c r="D992" s="38">
        <f>IFERROR(__xludf.DUMMYFUNCTION("""COMPUTED_VALUE"""),40833.0)</f>
        <v>40833</v>
      </c>
      <c r="E992" s="39">
        <v>7.0</v>
      </c>
      <c r="G992" s="12">
        <f>DATE(2012,12,31)-1268</f>
        <v>40006</v>
      </c>
    </row>
    <row r="993">
      <c r="D993" s="38">
        <f>IFERROR(__xludf.DUMMYFUNCTION("""COMPUTED_VALUE"""),40834.0)</f>
        <v>40834</v>
      </c>
      <c r="E993" s="39">
        <v>7.0</v>
      </c>
      <c r="G993" s="12">
        <f t="shared" ref="G993:G994" si="171">DATE(2012,12,31)-1266</f>
        <v>40008</v>
      </c>
    </row>
    <row r="994">
      <c r="D994" s="38">
        <f>IFERROR(__xludf.DUMMYFUNCTION("""COMPUTED_VALUE"""),40835.0)</f>
        <v>40835</v>
      </c>
      <c r="E994" s="39">
        <v>7.0</v>
      </c>
      <c r="G994" s="12">
        <f t="shared" si="171"/>
        <v>40008</v>
      </c>
    </row>
    <row r="995">
      <c r="D995" s="38">
        <f>IFERROR(__xludf.DUMMYFUNCTION("""COMPUTED_VALUE"""),40836.0)</f>
        <v>40836</v>
      </c>
      <c r="E995" s="39">
        <v>7.0</v>
      </c>
      <c r="G995" s="12">
        <f t="shared" ref="G995:G996" si="172">DATE(2012,12,31)-1265</f>
        <v>40009</v>
      </c>
    </row>
    <row r="996">
      <c r="D996" s="38">
        <f>IFERROR(__xludf.DUMMYFUNCTION("""COMPUTED_VALUE"""),40837.0)</f>
        <v>40837</v>
      </c>
      <c r="E996" s="39">
        <v>7.0</v>
      </c>
      <c r="G996" s="12">
        <f t="shared" si="172"/>
        <v>40009</v>
      </c>
    </row>
    <row r="997">
      <c r="D997" s="38">
        <f>IFERROR(__xludf.DUMMYFUNCTION("""COMPUTED_VALUE"""),40838.0)</f>
        <v>40838</v>
      </c>
      <c r="E997" s="39">
        <v>7.0</v>
      </c>
      <c r="G997" s="12">
        <f t="shared" ref="G997:G998" si="173">DATE(2012,12,31)-1259</f>
        <v>40015</v>
      </c>
    </row>
    <row r="998">
      <c r="D998" s="38">
        <f>IFERROR(__xludf.DUMMYFUNCTION("""COMPUTED_VALUE"""),40839.0)</f>
        <v>40839</v>
      </c>
      <c r="E998" s="39">
        <v>7.0</v>
      </c>
      <c r="G998" s="12">
        <f t="shared" si="173"/>
        <v>40015</v>
      </c>
    </row>
    <row r="999">
      <c r="D999" s="38">
        <f>IFERROR(__xludf.DUMMYFUNCTION("""COMPUTED_VALUE"""),40840.0)</f>
        <v>40840</v>
      </c>
      <c r="E999" s="39">
        <v>7.0</v>
      </c>
      <c r="G999" s="12">
        <f>DATE(2012,12,31)-1256</f>
        <v>40018</v>
      </c>
    </row>
    <row r="1000">
      <c r="D1000" s="38">
        <f>IFERROR(__xludf.DUMMYFUNCTION("""COMPUTED_VALUE"""),40841.0)</f>
        <v>40841</v>
      </c>
      <c r="E1000" s="39">
        <v>7.0</v>
      </c>
      <c r="G1000" s="12">
        <f t="shared" ref="G1000:G1001" si="174">DATE(2012,12,31)-1252</f>
        <v>40022</v>
      </c>
    </row>
    <row r="1001">
      <c r="D1001" s="38">
        <f>IFERROR(__xludf.DUMMYFUNCTION("""COMPUTED_VALUE"""),40842.0)</f>
        <v>40842</v>
      </c>
      <c r="E1001" s="39">
        <v>7.0</v>
      </c>
      <c r="G1001" s="12">
        <f t="shared" si="174"/>
        <v>40022</v>
      </c>
    </row>
    <row r="1002">
      <c r="D1002" s="38">
        <f>IFERROR(__xludf.DUMMYFUNCTION("""COMPUTED_VALUE"""),40843.0)</f>
        <v>40843</v>
      </c>
      <c r="E1002" s="39">
        <v>7.0</v>
      </c>
      <c r="G1002" s="12">
        <f>DATE(2012,12,31)-1251</f>
        <v>40023</v>
      </c>
    </row>
    <row r="1003">
      <c r="D1003" s="38">
        <f>IFERROR(__xludf.DUMMYFUNCTION("""COMPUTED_VALUE"""),40844.0)</f>
        <v>40844</v>
      </c>
      <c r="E1003" s="39">
        <v>7.0</v>
      </c>
      <c r="G1003" s="12">
        <f t="shared" ref="G1003:G1004" si="175">DATE(2012,12,31)-1247</f>
        <v>40027</v>
      </c>
    </row>
    <row r="1004">
      <c r="D1004" s="38">
        <f>IFERROR(__xludf.DUMMYFUNCTION("""COMPUTED_VALUE"""),40845.0)</f>
        <v>40845</v>
      </c>
      <c r="E1004" s="39">
        <v>7.0</v>
      </c>
      <c r="G1004" s="12">
        <f t="shared" si="175"/>
        <v>40027</v>
      </c>
    </row>
    <row r="1005">
      <c r="D1005" s="38">
        <f>IFERROR(__xludf.DUMMYFUNCTION("""COMPUTED_VALUE"""),40846.0)</f>
        <v>40846</v>
      </c>
      <c r="E1005" s="39">
        <v>7.0</v>
      </c>
      <c r="G1005" s="12">
        <f>DATE(2012,12,31)-1245</f>
        <v>40029</v>
      </c>
    </row>
    <row r="1006">
      <c r="D1006" s="38">
        <f>IFERROR(__xludf.DUMMYFUNCTION("""COMPUTED_VALUE"""),40847.0)</f>
        <v>40847</v>
      </c>
      <c r="E1006" s="39">
        <v>7.0</v>
      </c>
      <c r="G1006" s="12">
        <f>DATE(2012,12,31)-1243</f>
        <v>40031</v>
      </c>
    </row>
    <row r="1007">
      <c r="D1007" s="38">
        <f>IFERROR(__xludf.DUMMYFUNCTION("""COMPUTED_VALUE"""),40848.0)</f>
        <v>40848</v>
      </c>
      <c r="E1007" s="39">
        <v>7.0</v>
      </c>
      <c r="G1007" s="12">
        <f>DATE(2012,12,31)-1239</f>
        <v>40035</v>
      </c>
    </row>
    <row r="1008">
      <c r="D1008" s="38">
        <f>IFERROR(__xludf.DUMMYFUNCTION("""COMPUTED_VALUE"""),40849.0)</f>
        <v>40849</v>
      </c>
      <c r="E1008" s="39">
        <v>7.0</v>
      </c>
      <c r="G1008" s="12">
        <f>DATE(2012,12,31)-1235</f>
        <v>40039</v>
      </c>
    </row>
    <row r="1009">
      <c r="D1009" s="38">
        <f>IFERROR(__xludf.DUMMYFUNCTION("""COMPUTED_VALUE"""),40850.0)</f>
        <v>40850</v>
      </c>
      <c r="E1009" s="39">
        <v>7.0</v>
      </c>
      <c r="G1009" s="12">
        <f t="shared" ref="G1009:G1010" si="176">DATE(2012,12,31)-1231</f>
        <v>40043</v>
      </c>
    </row>
    <row r="1010">
      <c r="D1010" s="38">
        <f>IFERROR(__xludf.DUMMYFUNCTION("""COMPUTED_VALUE"""),40852.0)</f>
        <v>40852</v>
      </c>
      <c r="E1010" s="39">
        <v>7.0</v>
      </c>
      <c r="G1010" s="12">
        <f t="shared" si="176"/>
        <v>40043</v>
      </c>
    </row>
    <row r="1011">
      <c r="D1011" s="38">
        <f>IFERROR(__xludf.DUMMYFUNCTION("""COMPUTED_VALUE"""),40853.0)</f>
        <v>40853</v>
      </c>
      <c r="E1011" s="39">
        <v>7.0</v>
      </c>
      <c r="G1011" s="12">
        <f t="shared" ref="G1011:G1012" si="177">DATE(2012,12,31)-1230</f>
        <v>40044</v>
      </c>
    </row>
    <row r="1012">
      <c r="D1012" s="38">
        <f>IFERROR(__xludf.DUMMYFUNCTION("""COMPUTED_VALUE"""),40854.0)</f>
        <v>40854</v>
      </c>
      <c r="E1012" s="39">
        <v>7.0</v>
      </c>
      <c r="G1012" s="12">
        <f t="shared" si="177"/>
        <v>40044</v>
      </c>
    </row>
    <row r="1013">
      <c r="D1013" s="38">
        <f>IFERROR(__xludf.DUMMYFUNCTION("""COMPUTED_VALUE"""),40855.0)</f>
        <v>40855</v>
      </c>
      <c r="E1013" s="39">
        <v>7.0</v>
      </c>
      <c r="G1013" s="12">
        <f>DATE(2012,12,31)-1228</f>
        <v>40046</v>
      </c>
    </row>
    <row r="1014">
      <c r="D1014" s="38">
        <f>IFERROR(__xludf.DUMMYFUNCTION("""COMPUTED_VALUE"""),40856.0)</f>
        <v>40856</v>
      </c>
      <c r="E1014" s="39">
        <v>7.0</v>
      </c>
      <c r="G1014" s="12">
        <f t="shared" ref="G1014:G1015" si="178">DATE(2012,12,31)-1226</f>
        <v>40048</v>
      </c>
    </row>
    <row r="1015">
      <c r="D1015" s="38">
        <f>IFERROR(__xludf.DUMMYFUNCTION("""COMPUTED_VALUE"""),40857.0)</f>
        <v>40857</v>
      </c>
      <c r="E1015" s="39">
        <v>7.0</v>
      </c>
      <c r="G1015" s="12">
        <f t="shared" si="178"/>
        <v>40048</v>
      </c>
    </row>
    <row r="1016">
      <c r="D1016" s="38">
        <f>IFERROR(__xludf.DUMMYFUNCTION("""COMPUTED_VALUE"""),40858.0)</f>
        <v>40858</v>
      </c>
      <c r="E1016" s="39">
        <v>6.0</v>
      </c>
      <c r="G1016" s="12">
        <f>DATE(2012,12,31)-1329</f>
        <v>39945</v>
      </c>
    </row>
    <row r="1017">
      <c r="D1017" s="38">
        <f>IFERROR(__xludf.DUMMYFUNCTION("""COMPUTED_VALUE"""),40859.0)</f>
        <v>40859</v>
      </c>
      <c r="E1017" s="39">
        <v>6.0</v>
      </c>
      <c r="G1017" s="12">
        <f>DATE(2012,12,31)-1328</f>
        <v>39946</v>
      </c>
    </row>
    <row r="1018">
      <c r="D1018" s="38">
        <f>IFERROR(__xludf.DUMMYFUNCTION("""COMPUTED_VALUE"""),40860.0)</f>
        <v>40860</v>
      </c>
      <c r="E1018" s="39">
        <v>6.0</v>
      </c>
      <c r="G1018" s="12">
        <f>DATE(2012,12,31)-1327</f>
        <v>39947</v>
      </c>
    </row>
    <row r="1019">
      <c r="D1019" s="38">
        <f>IFERROR(__xludf.DUMMYFUNCTION("""COMPUTED_VALUE"""),40861.0)</f>
        <v>40861</v>
      </c>
      <c r="E1019" s="39">
        <v>6.0</v>
      </c>
      <c r="G1019" s="12">
        <f t="shared" ref="G1019:G1020" si="179">DATE(2012,12,31)-1326</f>
        <v>39948</v>
      </c>
    </row>
    <row r="1020">
      <c r="D1020" s="38">
        <f>IFERROR(__xludf.DUMMYFUNCTION("""COMPUTED_VALUE"""),40862.0)</f>
        <v>40862</v>
      </c>
      <c r="E1020" s="39">
        <v>6.0</v>
      </c>
      <c r="G1020" s="12">
        <f t="shared" si="179"/>
        <v>39948</v>
      </c>
    </row>
    <row r="1021">
      <c r="D1021" s="38">
        <f>IFERROR(__xludf.DUMMYFUNCTION("""COMPUTED_VALUE"""),40863.0)</f>
        <v>40863</v>
      </c>
      <c r="E1021" s="39">
        <v>6.0</v>
      </c>
      <c r="G1021" s="12">
        <f>DATE(2012,12,31)-1325</f>
        <v>39949</v>
      </c>
    </row>
    <row r="1022">
      <c r="D1022" s="38">
        <f>IFERROR(__xludf.DUMMYFUNCTION("""COMPUTED_VALUE"""),40864.0)</f>
        <v>40864</v>
      </c>
      <c r="E1022" s="39">
        <v>6.0</v>
      </c>
      <c r="G1022" s="12">
        <f t="shared" ref="G1022:G1023" si="180">DATE(2012,12,31)-1324</f>
        <v>39950</v>
      </c>
    </row>
    <row r="1023">
      <c r="D1023" s="38">
        <f>IFERROR(__xludf.DUMMYFUNCTION("""COMPUTED_VALUE"""),40865.0)</f>
        <v>40865</v>
      </c>
      <c r="E1023" s="39">
        <v>6.0</v>
      </c>
      <c r="G1023" s="12">
        <f t="shared" si="180"/>
        <v>39950</v>
      </c>
    </row>
    <row r="1024">
      <c r="D1024" s="38">
        <f>IFERROR(__xludf.DUMMYFUNCTION("""COMPUTED_VALUE"""),40866.0)</f>
        <v>40866</v>
      </c>
      <c r="E1024" s="39">
        <v>6.0</v>
      </c>
      <c r="G1024" s="12">
        <f>DATE(2012,12,31)-1323</f>
        <v>39951</v>
      </c>
    </row>
    <row r="1025">
      <c r="D1025" s="38">
        <f>IFERROR(__xludf.DUMMYFUNCTION("""COMPUTED_VALUE"""),40867.0)</f>
        <v>40867</v>
      </c>
      <c r="E1025" s="39">
        <v>6.0</v>
      </c>
      <c r="G1025" s="12">
        <f t="shared" ref="G1025:G1027" si="181">DATE(2012,12,31)-1319</f>
        <v>39955</v>
      </c>
    </row>
    <row r="1026">
      <c r="D1026" s="38">
        <f>IFERROR(__xludf.DUMMYFUNCTION("""COMPUTED_VALUE"""),40868.0)</f>
        <v>40868</v>
      </c>
      <c r="E1026" s="39">
        <v>6.0</v>
      </c>
      <c r="G1026" s="12">
        <f t="shared" si="181"/>
        <v>39955</v>
      </c>
    </row>
    <row r="1027">
      <c r="D1027" s="38">
        <f>IFERROR(__xludf.DUMMYFUNCTION("""COMPUTED_VALUE"""),40869.0)</f>
        <v>40869</v>
      </c>
      <c r="E1027" s="39">
        <v>6.0</v>
      </c>
      <c r="G1027" s="12">
        <f t="shared" si="181"/>
        <v>39955</v>
      </c>
    </row>
    <row r="1028">
      <c r="D1028" s="38">
        <f>IFERROR(__xludf.DUMMYFUNCTION("""COMPUTED_VALUE"""),40870.0)</f>
        <v>40870</v>
      </c>
      <c r="E1028" s="39">
        <v>6.0</v>
      </c>
      <c r="G1028" s="12">
        <f t="shared" ref="G1028:G1030" si="182">DATE(2012,12,31)-1316</f>
        <v>39958</v>
      </c>
    </row>
    <row r="1029">
      <c r="D1029" s="38">
        <f>IFERROR(__xludf.DUMMYFUNCTION("""COMPUTED_VALUE"""),40871.0)</f>
        <v>40871</v>
      </c>
      <c r="E1029" s="39">
        <v>6.0</v>
      </c>
      <c r="G1029" s="12">
        <f t="shared" si="182"/>
        <v>39958</v>
      </c>
    </row>
    <row r="1030">
      <c r="D1030" s="38">
        <f>IFERROR(__xludf.DUMMYFUNCTION("""COMPUTED_VALUE"""),40872.0)</f>
        <v>40872</v>
      </c>
      <c r="E1030" s="39">
        <v>6.0</v>
      </c>
      <c r="G1030" s="12">
        <f t="shared" si="182"/>
        <v>39958</v>
      </c>
    </row>
    <row r="1031">
      <c r="D1031" s="38">
        <f>IFERROR(__xludf.DUMMYFUNCTION("""COMPUTED_VALUE"""),40873.0)</f>
        <v>40873</v>
      </c>
      <c r="E1031" s="39">
        <v>6.0</v>
      </c>
      <c r="G1031" s="12">
        <f>DATE(2012,12,31)-1315</f>
        <v>39959</v>
      </c>
    </row>
    <row r="1032">
      <c r="D1032" s="38">
        <f>IFERROR(__xludf.DUMMYFUNCTION("""COMPUTED_VALUE"""),40874.0)</f>
        <v>40874</v>
      </c>
      <c r="E1032" s="39">
        <v>6.0</v>
      </c>
      <c r="G1032" s="12">
        <f t="shared" ref="G1032:G1033" si="183">DATE(2012,12,31)-1313</f>
        <v>39961</v>
      </c>
    </row>
    <row r="1033">
      <c r="D1033" s="38">
        <f>IFERROR(__xludf.DUMMYFUNCTION("""COMPUTED_VALUE"""),40875.0)</f>
        <v>40875</v>
      </c>
      <c r="E1033" s="39">
        <v>6.0</v>
      </c>
      <c r="G1033" s="12">
        <f t="shared" si="183"/>
        <v>39961</v>
      </c>
    </row>
    <row r="1034">
      <c r="D1034" s="38">
        <f>IFERROR(__xludf.DUMMYFUNCTION("""COMPUTED_VALUE"""),40876.0)</f>
        <v>40876</v>
      </c>
      <c r="E1034" s="39">
        <v>6.0</v>
      </c>
      <c r="G1034" s="12">
        <f t="shared" ref="G1034:G1036" si="184">DATE(2012,12,31)-1309</f>
        <v>39965</v>
      </c>
    </row>
    <row r="1035">
      <c r="D1035" s="38">
        <f>IFERROR(__xludf.DUMMYFUNCTION("""COMPUTED_VALUE"""),40877.0)</f>
        <v>40877</v>
      </c>
      <c r="E1035" s="39">
        <v>6.0</v>
      </c>
      <c r="G1035" s="12">
        <f t="shared" si="184"/>
        <v>39965</v>
      </c>
    </row>
    <row r="1036">
      <c r="D1036" s="38">
        <f>IFERROR(__xludf.DUMMYFUNCTION("""COMPUTED_VALUE"""),40878.0)</f>
        <v>40878</v>
      </c>
      <c r="E1036" s="39">
        <v>6.0</v>
      </c>
      <c r="G1036" s="12">
        <f t="shared" si="184"/>
        <v>39965</v>
      </c>
    </row>
    <row r="1037">
      <c r="D1037" s="38">
        <f>IFERROR(__xludf.DUMMYFUNCTION("""COMPUTED_VALUE"""),40879.0)</f>
        <v>40879</v>
      </c>
      <c r="E1037" s="39">
        <v>6.0</v>
      </c>
      <c r="G1037" s="12">
        <f>DATE(2012,12,31)-1306</f>
        <v>39968</v>
      </c>
    </row>
    <row r="1038">
      <c r="D1038" s="38">
        <f>IFERROR(__xludf.DUMMYFUNCTION("""COMPUTED_VALUE"""),40880.0)</f>
        <v>40880</v>
      </c>
      <c r="E1038" s="39">
        <v>6.0</v>
      </c>
      <c r="G1038" s="12">
        <f t="shared" ref="G1038:G1039" si="185">DATE(2012,12,31)-1303</f>
        <v>39971</v>
      </c>
    </row>
    <row r="1039">
      <c r="D1039" s="38">
        <f>IFERROR(__xludf.DUMMYFUNCTION("""COMPUTED_VALUE"""),40881.0)</f>
        <v>40881</v>
      </c>
      <c r="E1039" s="39">
        <v>6.0</v>
      </c>
      <c r="G1039" s="12">
        <f t="shared" si="185"/>
        <v>39971</v>
      </c>
    </row>
    <row r="1040">
      <c r="D1040" s="38">
        <f>IFERROR(__xludf.DUMMYFUNCTION("""COMPUTED_VALUE"""),40882.0)</f>
        <v>40882</v>
      </c>
      <c r="E1040" s="39">
        <v>6.0</v>
      </c>
      <c r="G1040" s="12">
        <f>DATE(2012,12,31)-1298</f>
        <v>39976</v>
      </c>
    </row>
    <row r="1041">
      <c r="D1041" s="38">
        <f>IFERROR(__xludf.DUMMYFUNCTION("""COMPUTED_VALUE"""),40883.0)</f>
        <v>40883</v>
      </c>
      <c r="E1041" s="39">
        <v>6.0</v>
      </c>
      <c r="G1041" s="12">
        <f t="shared" ref="G1041:G1043" si="186">DATE(2012,12,31)-1295</f>
        <v>39979</v>
      </c>
    </row>
    <row r="1042">
      <c r="D1042" s="38">
        <f>IFERROR(__xludf.DUMMYFUNCTION("""COMPUTED_VALUE"""),40884.0)</f>
        <v>40884</v>
      </c>
      <c r="E1042" s="39">
        <v>6.0</v>
      </c>
      <c r="G1042" s="12">
        <f t="shared" si="186"/>
        <v>39979</v>
      </c>
    </row>
    <row r="1043">
      <c r="D1043" s="38">
        <f>IFERROR(__xludf.DUMMYFUNCTION("""COMPUTED_VALUE"""),40885.0)</f>
        <v>40885</v>
      </c>
      <c r="E1043" s="39">
        <v>6.0</v>
      </c>
      <c r="G1043" s="12">
        <f t="shared" si="186"/>
        <v>39979</v>
      </c>
    </row>
    <row r="1044">
      <c r="D1044" s="38">
        <f>IFERROR(__xludf.DUMMYFUNCTION("""COMPUTED_VALUE"""),40886.0)</f>
        <v>40886</v>
      </c>
      <c r="E1044" s="39">
        <v>6.0</v>
      </c>
      <c r="G1044" s="12">
        <f t="shared" ref="G1044:G1047" si="187">DATE(2012,12,31)-1293</f>
        <v>39981</v>
      </c>
    </row>
    <row r="1045">
      <c r="D1045" s="38">
        <f>IFERROR(__xludf.DUMMYFUNCTION("""COMPUTED_VALUE"""),40887.0)</f>
        <v>40887</v>
      </c>
      <c r="E1045" s="39">
        <v>6.0</v>
      </c>
      <c r="G1045" s="12">
        <f t="shared" si="187"/>
        <v>39981</v>
      </c>
    </row>
    <row r="1046">
      <c r="D1046" s="38">
        <f>IFERROR(__xludf.DUMMYFUNCTION("""COMPUTED_VALUE"""),40888.0)</f>
        <v>40888</v>
      </c>
      <c r="E1046" s="39">
        <v>6.0</v>
      </c>
      <c r="G1046" s="12">
        <f t="shared" si="187"/>
        <v>39981</v>
      </c>
    </row>
    <row r="1047">
      <c r="D1047" s="38">
        <f>IFERROR(__xludf.DUMMYFUNCTION("""COMPUTED_VALUE"""),40889.0)</f>
        <v>40889</v>
      </c>
      <c r="E1047" s="39">
        <v>6.0</v>
      </c>
      <c r="G1047" s="12">
        <f t="shared" si="187"/>
        <v>39981</v>
      </c>
    </row>
    <row r="1048">
      <c r="D1048" s="38">
        <f>IFERROR(__xludf.DUMMYFUNCTION("""COMPUTED_VALUE"""),40890.0)</f>
        <v>40890</v>
      </c>
      <c r="E1048" s="39">
        <v>6.0</v>
      </c>
      <c r="G1048" s="12">
        <f>DATE(2012,12,31)-1289</f>
        <v>39985</v>
      </c>
    </row>
    <row r="1049">
      <c r="D1049" s="38">
        <f>IFERROR(__xludf.DUMMYFUNCTION("""COMPUTED_VALUE"""),40891.0)</f>
        <v>40891</v>
      </c>
      <c r="E1049" s="39">
        <v>6.0</v>
      </c>
      <c r="G1049" s="12">
        <f>DATE(2012,12,31)-1288</f>
        <v>39986</v>
      </c>
    </row>
    <row r="1050">
      <c r="D1050" s="38">
        <f>IFERROR(__xludf.DUMMYFUNCTION("""COMPUTED_VALUE"""),40892.0)</f>
        <v>40892</v>
      </c>
      <c r="E1050" s="39">
        <v>6.0</v>
      </c>
      <c r="G1050" s="12">
        <f t="shared" ref="G1050:G1051" si="188">DATE(2012,12,31)-1287</f>
        <v>39987</v>
      </c>
    </row>
    <row r="1051">
      <c r="D1051" s="38">
        <f>IFERROR(__xludf.DUMMYFUNCTION("""COMPUTED_VALUE"""),40893.0)</f>
        <v>40893</v>
      </c>
      <c r="E1051" s="39">
        <v>6.0</v>
      </c>
      <c r="G1051" s="12">
        <f t="shared" si="188"/>
        <v>39987</v>
      </c>
    </row>
    <row r="1052">
      <c r="D1052" s="38">
        <f>IFERROR(__xludf.DUMMYFUNCTION("""COMPUTED_VALUE"""),40894.0)</f>
        <v>40894</v>
      </c>
      <c r="E1052" s="39">
        <v>6.0</v>
      </c>
      <c r="G1052" s="12">
        <f>DATE(2012,12,31)-1285</f>
        <v>39989</v>
      </c>
    </row>
    <row r="1053">
      <c r="D1053" s="38">
        <f>IFERROR(__xludf.DUMMYFUNCTION("""COMPUTED_VALUE"""),40895.0)</f>
        <v>40895</v>
      </c>
      <c r="E1053" s="39">
        <v>6.0</v>
      </c>
      <c r="G1053" s="12">
        <f>DATE(2012,12,31)-1281</f>
        <v>39993</v>
      </c>
    </row>
    <row r="1054">
      <c r="D1054" s="38">
        <f>IFERROR(__xludf.DUMMYFUNCTION("""COMPUTED_VALUE"""),40896.0)</f>
        <v>40896</v>
      </c>
      <c r="E1054" s="39">
        <v>6.0</v>
      </c>
      <c r="G1054" s="12">
        <f t="shared" ref="G1054:G1055" si="189">DATE(2012,12,31)-1279</f>
        <v>39995</v>
      </c>
    </row>
    <row r="1055">
      <c r="D1055" s="38">
        <f>IFERROR(__xludf.DUMMYFUNCTION("""COMPUTED_VALUE"""),40897.0)</f>
        <v>40897</v>
      </c>
      <c r="E1055" s="39">
        <v>6.0</v>
      </c>
      <c r="G1055" s="12">
        <f t="shared" si="189"/>
        <v>39995</v>
      </c>
    </row>
    <row r="1056">
      <c r="D1056" s="38">
        <f>IFERROR(__xludf.DUMMYFUNCTION("""COMPUTED_VALUE"""),40898.0)</f>
        <v>40898</v>
      </c>
      <c r="E1056" s="39">
        <v>6.0</v>
      </c>
      <c r="G1056" s="12">
        <f t="shared" ref="G1056:G1057" si="190">DATE(2012,12,31)-1278</f>
        <v>39996</v>
      </c>
    </row>
    <row r="1057">
      <c r="D1057" s="38">
        <f>IFERROR(__xludf.DUMMYFUNCTION("""COMPUTED_VALUE"""),40899.0)</f>
        <v>40899</v>
      </c>
      <c r="E1057" s="39">
        <v>6.0</v>
      </c>
      <c r="G1057" s="12">
        <f t="shared" si="190"/>
        <v>39996</v>
      </c>
    </row>
    <row r="1058">
      <c r="D1058" s="38">
        <f>IFERROR(__xludf.DUMMYFUNCTION("""COMPUTED_VALUE"""),40901.0)</f>
        <v>40901</v>
      </c>
      <c r="E1058" s="39">
        <v>6.0</v>
      </c>
      <c r="G1058" s="12">
        <f t="shared" ref="G1058:G1059" si="191">DATE(2012,12,31)-1277</f>
        <v>39997</v>
      </c>
    </row>
    <row r="1059">
      <c r="D1059" s="38">
        <f>IFERROR(__xludf.DUMMYFUNCTION("""COMPUTED_VALUE"""),40902.0)</f>
        <v>40902</v>
      </c>
      <c r="E1059" s="39">
        <v>6.0</v>
      </c>
      <c r="G1059" s="12">
        <f t="shared" si="191"/>
        <v>39997</v>
      </c>
    </row>
    <row r="1060">
      <c r="D1060" s="38">
        <f>IFERROR(__xludf.DUMMYFUNCTION("""COMPUTED_VALUE"""),40903.0)</f>
        <v>40903</v>
      </c>
      <c r="E1060" s="39">
        <v>6.0</v>
      </c>
      <c r="G1060" s="12">
        <f>DATE(2012,12,31)-1276</f>
        <v>39998</v>
      </c>
    </row>
    <row r="1061">
      <c r="D1061" s="38">
        <f>IFERROR(__xludf.DUMMYFUNCTION("""COMPUTED_VALUE"""),40904.0)</f>
        <v>40904</v>
      </c>
      <c r="E1061" s="39">
        <v>6.0</v>
      </c>
      <c r="G1061" s="12">
        <f>DATE(2012,12,31)-1274</f>
        <v>40000</v>
      </c>
    </row>
    <row r="1062">
      <c r="D1062" s="38">
        <f>IFERROR(__xludf.DUMMYFUNCTION("""COMPUTED_VALUE"""),40905.0)</f>
        <v>40905</v>
      </c>
      <c r="E1062" s="39">
        <v>6.0</v>
      </c>
      <c r="G1062" s="12">
        <f>DATE(2012,12,31)-1273</f>
        <v>40001</v>
      </c>
    </row>
    <row r="1063">
      <c r="D1063" s="38">
        <f>IFERROR(__xludf.DUMMYFUNCTION("""COMPUTED_VALUE"""),40906.0)</f>
        <v>40906</v>
      </c>
      <c r="E1063" s="39">
        <v>6.0</v>
      </c>
      <c r="G1063" s="12">
        <f>DATE(2012,12,31)-1271</f>
        <v>40003</v>
      </c>
    </row>
    <row r="1064">
      <c r="D1064" s="38">
        <f>IFERROR(__xludf.DUMMYFUNCTION("""COMPUTED_VALUE"""),40907.0)</f>
        <v>40907</v>
      </c>
      <c r="E1064" s="39">
        <v>6.0</v>
      </c>
      <c r="G1064" s="12">
        <f t="shared" ref="G1064:G1065" si="192">DATE(2012,12,31)-1268</f>
        <v>40006</v>
      </c>
    </row>
    <row r="1065">
      <c r="D1065" s="38">
        <f>IFERROR(__xludf.DUMMYFUNCTION("""COMPUTED_VALUE"""),40908.0)</f>
        <v>40908</v>
      </c>
      <c r="E1065" s="39">
        <v>6.0</v>
      </c>
      <c r="G1065" s="12">
        <f t="shared" si="192"/>
        <v>40006</v>
      </c>
    </row>
    <row r="1066">
      <c r="D1066" s="38">
        <f>IFERROR(__xludf.DUMMYFUNCTION("""COMPUTED_VALUE"""),40909.0)</f>
        <v>40909</v>
      </c>
      <c r="E1066" s="39">
        <v>6.0</v>
      </c>
      <c r="G1066" s="12">
        <f>DATE(2012,12,31)-1265</f>
        <v>40009</v>
      </c>
    </row>
    <row r="1067">
      <c r="D1067" s="38">
        <f>IFERROR(__xludf.DUMMYFUNCTION("""COMPUTED_VALUE"""),40910.0)</f>
        <v>40910</v>
      </c>
      <c r="E1067" s="39">
        <v>6.0</v>
      </c>
      <c r="G1067" s="12">
        <f t="shared" ref="G1067:G1069" si="193">DATE(2012,12,31)-1264</f>
        <v>40010</v>
      </c>
    </row>
    <row r="1068">
      <c r="D1068" s="38">
        <f>IFERROR(__xludf.DUMMYFUNCTION("""COMPUTED_VALUE"""),40911.0)</f>
        <v>40911</v>
      </c>
      <c r="E1068" s="39">
        <v>6.0</v>
      </c>
      <c r="G1068" s="12">
        <f t="shared" si="193"/>
        <v>40010</v>
      </c>
    </row>
    <row r="1069">
      <c r="D1069" s="38">
        <f>IFERROR(__xludf.DUMMYFUNCTION("""COMPUTED_VALUE"""),40912.0)</f>
        <v>40912</v>
      </c>
      <c r="E1069" s="39">
        <v>6.0</v>
      </c>
      <c r="G1069" s="12">
        <f t="shared" si="193"/>
        <v>40010</v>
      </c>
    </row>
    <row r="1070">
      <c r="D1070" s="38">
        <f>IFERROR(__xludf.DUMMYFUNCTION("""COMPUTED_VALUE"""),40913.0)</f>
        <v>40913</v>
      </c>
      <c r="E1070" s="39">
        <v>6.0</v>
      </c>
      <c r="G1070" s="12">
        <f t="shared" ref="G1070:G1071" si="194">DATE(2012,12,31)-1263</f>
        <v>40011</v>
      </c>
    </row>
    <row r="1071">
      <c r="D1071" s="38">
        <f>IFERROR(__xludf.DUMMYFUNCTION("""COMPUTED_VALUE"""),40914.0)</f>
        <v>40914</v>
      </c>
      <c r="E1071" s="39">
        <v>6.0</v>
      </c>
      <c r="G1071" s="12">
        <f t="shared" si="194"/>
        <v>40011</v>
      </c>
    </row>
    <row r="1072">
      <c r="D1072" s="38">
        <f>IFERROR(__xludf.DUMMYFUNCTION("""COMPUTED_VALUE"""),40915.0)</f>
        <v>40915</v>
      </c>
      <c r="E1072" s="39">
        <v>6.0</v>
      </c>
      <c r="G1072" s="12">
        <f>DATE(2012,12,31)-1260</f>
        <v>40014</v>
      </c>
    </row>
    <row r="1073">
      <c r="D1073" s="38">
        <f>IFERROR(__xludf.DUMMYFUNCTION("""COMPUTED_VALUE"""),40916.0)</f>
        <v>40916</v>
      </c>
      <c r="E1073" s="39">
        <v>6.0</v>
      </c>
      <c r="G1073" s="12">
        <f t="shared" ref="G1073:G1074" si="195">DATE(2012,12,31)-1259</f>
        <v>40015</v>
      </c>
    </row>
    <row r="1074">
      <c r="D1074" s="38">
        <f>IFERROR(__xludf.DUMMYFUNCTION("""COMPUTED_VALUE"""),40917.0)</f>
        <v>40917</v>
      </c>
      <c r="E1074" s="39">
        <v>6.0</v>
      </c>
      <c r="G1074" s="12">
        <f t="shared" si="195"/>
        <v>40015</v>
      </c>
    </row>
    <row r="1075">
      <c r="D1075" s="38">
        <f>IFERROR(__xludf.DUMMYFUNCTION("""COMPUTED_VALUE"""),40918.0)</f>
        <v>40918</v>
      </c>
      <c r="E1075" s="39">
        <v>6.0</v>
      </c>
      <c r="G1075" s="12">
        <f>DATE(2012,12,31)-1258</f>
        <v>40016</v>
      </c>
    </row>
    <row r="1076">
      <c r="D1076" s="38">
        <f>IFERROR(__xludf.DUMMYFUNCTION("""COMPUTED_VALUE"""),40919.0)</f>
        <v>40919</v>
      </c>
      <c r="E1076" s="39">
        <v>6.0</v>
      </c>
      <c r="G1076" s="12">
        <f>DATE(2012,12,31)-1256</f>
        <v>40018</v>
      </c>
    </row>
    <row r="1077">
      <c r="D1077" s="38">
        <f>IFERROR(__xludf.DUMMYFUNCTION("""COMPUTED_VALUE"""),40920.0)</f>
        <v>40920</v>
      </c>
      <c r="E1077" s="39">
        <v>6.0</v>
      </c>
      <c r="G1077" s="12">
        <f>DATE(2012,12,31)-1255</f>
        <v>40019</v>
      </c>
    </row>
    <row r="1078">
      <c r="D1078" s="38">
        <f>IFERROR(__xludf.DUMMYFUNCTION("""COMPUTED_VALUE"""),40921.0)</f>
        <v>40921</v>
      </c>
      <c r="E1078" s="39">
        <v>6.0</v>
      </c>
      <c r="G1078" s="12">
        <f t="shared" ref="G1078:G1079" si="196">DATE(2012,12,31)-1254</f>
        <v>40020</v>
      </c>
    </row>
    <row r="1079">
      <c r="D1079" s="38">
        <f>IFERROR(__xludf.DUMMYFUNCTION("""COMPUTED_VALUE"""),40922.0)</f>
        <v>40922</v>
      </c>
      <c r="E1079" s="39">
        <v>6.0</v>
      </c>
      <c r="G1079" s="12">
        <f t="shared" si="196"/>
        <v>40020</v>
      </c>
    </row>
    <row r="1080">
      <c r="D1080" s="38">
        <f>IFERROR(__xludf.DUMMYFUNCTION("""COMPUTED_VALUE"""),40923.0)</f>
        <v>40923</v>
      </c>
      <c r="E1080" s="39">
        <v>6.0</v>
      </c>
      <c r="G1080" s="12">
        <f>DATE(2012,12,31)-1253</f>
        <v>40021</v>
      </c>
    </row>
    <row r="1081">
      <c r="D1081" s="38">
        <f>IFERROR(__xludf.DUMMYFUNCTION("""COMPUTED_VALUE"""),40924.0)</f>
        <v>40924</v>
      </c>
      <c r="E1081" s="39">
        <v>6.0</v>
      </c>
      <c r="G1081" s="12">
        <f>DATE(2012,12,31)-1252</f>
        <v>40022</v>
      </c>
    </row>
    <row r="1082">
      <c r="D1082" s="38">
        <f>IFERROR(__xludf.DUMMYFUNCTION("""COMPUTED_VALUE"""),40926.0)</f>
        <v>40926</v>
      </c>
      <c r="E1082" s="39">
        <v>6.0</v>
      </c>
      <c r="G1082" s="12">
        <f t="shared" ref="G1082:G1083" si="197">DATE(2012,12,31)-1250</f>
        <v>40024</v>
      </c>
    </row>
    <row r="1083">
      <c r="D1083" s="38">
        <f>IFERROR(__xludf.DUMMYFUNCTION("""COMPUTED_VALUE"""),40927.0)</f>
        <v>40927</v>
      </c>
      <c r="E1083" s="39">
        <v>6.0</v>
      </c>
      <c r="G1083" s="12">
        <f t="shared" si="197"/>
        <v>40024</v>
      </c>
    </row>
    <row r="1084">
      <c r="D1084" s="38">
        <f>IFERROR(__xludf.DUMMYFUNCTION("""COMPUTED_VALUE"""),40928.0)</f>
        <v>40928</v>
      </c>
      <c r="E1084" s="39">
        <v>6.0</v>
      </c>
      <c r="G1084" s="12">
        <f>DATE(2012,12,31)-1249</f>
        <v>40025</v>
      </c>
    </row>
    <row r="1085">
      <c r="D1085" s="38">
        <f>IFERROR(__xludf.DUMMYFUNCTION("""COMPUTED_VALUE"""),40929.0)</f>
        <v>40929</v>
      </c>
      <c r="E1085" s="39">
        <v>6.0</v>
      </c>
      <c r="G1085" s="12">
        <f>DATE(2012,12,31)-1248</f>
        <v>40026</v>
      </c>
    </row>
    <row r="1086">
      <c r="D1086" s="38">
        <f>IFERROR(__xludf.DUMMYFUNCTION("""COMPUTED_VALUE"""),40930.0)</f>
        <v>40930</v>
      </c>
      <c r="E1086" s="39">
        <v>6.0</v>
      </c>
      <c r="G1086" s="12">
        <f t="shared" ref="G1086:G1087" si="198">DATE(2012,12,31)-1244</f>
        <v>40030</v>
      </c>
    </row>
    <row r="1087">
      <c r="D1087" s="38">
        <f>IFERROR(__xludf.DUMMYFUNCTION("""COMPUTED_VALUE"""),40931.0)</f>
        <v>40931</v>
      </c>
      <c r="E1087" s="39">
        <v>6.0</v>
      </c>
      <c r="G1087" s="12">
        <f t="shared" si="198"/>
        <v>40030</v>
      </c>
    </row>
    <row r="1088">
      <c r="D1088" s="38">
        <f>IFERROR(__xludf.DUMMYFUNCTION("""COMPUTED_VALUE"""),40932.0)</f>
        <v>40932</v>
      </c>
      <c r="E1088" s="39">
        <v>6.0</v>
      </c>
      <c r="G1088" s="12">
        <f>DATE(2012,12,31)-1243</f>
        <v>40031</v>
      </c>
    </row>
    <row r="1089">
      <c r="D1089" s="38">
        <f>IFERROR(__xludf.DUMMYFUNCTION("""COMPUTED_VALUE"""),40933.0)</f>
        <v>40933</v>
      </c>
      <c r="E1089" s="39">
        <v>6.0</v>
      </c>
      <c r="G1089" s="12">
        <f>DATE(2012,12,31)-1241</f>
        <v>40033</v>
      </c>
    </row>
    <row r="1090">
      <c r="D1090" s="38">
        <f>IFERROR(__xludf.DUMMYFUNCTION("""COMPUTED_VALUE"""),40934.0)</f>
        <v>40934</v>
      </c>
      <c r="E1090" s="39">
        <v>6.0</v>
      </c>
      <c r="G1090" s="12">
        <f>DATE(2012,12,31)-1239</f>
        <v>40035</v>
      </c>
    </row>
    <row r="1091">
      <c r="D1091" s="38">
        <f>IFERROR(__xludf.DUMMYFUNCTION("""COMPUTED_VALUE"""),40935.0)</f>
        <v>40935</v>
      </c>
      <c r="E1091" s="39">
        <v>6.0</v>
      </c>
      <c r="G1091" s="12">
        <f t="shared" ref="G1091:G1092" si="199">DATE(2012,12,31)-1238</f>
        <v>40036</v>
      </c>
    </row>
    <row r="1092">
      <c r="D1092" s="38">
        <f>IFERROR(__xludf.DUMMYFUNCTION("""COMPUTED_VALUE"""),40936.0)</f>
        <v>40936</v>
      </c>
      <c r="E1092" s="39">
        <v>6.0</v>
      </c>
      <c r="G1092" s="12">
        <f t="shared" si="199"/>
        <v>40036</v>
      </c>
    </row>
    <row r="1093">
      <c r="D1093" s="38">
        <f>IFERROR(__xludf.DUMMYFUNCTION("""COMPUTED_VALUE"""),40937.0)</f>
        <v>40937</v>
      </c>
      <c r="E1093" s="39">
        <v>6.0</v>
      </c>
      <c r="G1093" s="12">
        <f t="shared" ref="G1093:G1094" si="200">DATE(2012,12,31)-1237</f>
        <v>40037</v>
      </c>
    </row>
    <row r="1094">
      <c r="D1094" s="38">
        <f>IFERROR(__xludf.DUMMYFUNCTION("""COMPUTED_VALUE"""),40938.0)</f>
        <v>40938</v>
      </c>
      <c r="E1094" s="39">
        <v>6.0</v>
      </c>
      <c r="G1094" s="12">
        <f t="shared" si="200"/>
        <v>40037</v>
      </c>
    </row>
    <row r="1095">
      <c r="D1095" s="38">
        <f>IFERROR(__xludf.DUMMYFUNCTION("""COMPUTED_VALUE"""),40939.0)</f>
        <v>40939</v>
      </c>
      <c r="E1095" s="39">
        <v>6.0</v>
      </c>
      <c r="G1095" s="12">
        <f t="shared" ref="G1095:G1097" si="201">DATE(2012,12,31)-1235</f>
        <v>40039</v>
      </c>
    </row>
    <row r="1096">
      <c r="D1096" s="38">
        <f>IFERROR(__xludf.DUMMYFUNCTION("""COMPUTED_VALUE"""),40940.0)</f>
        <v>40940</v>
      </c>
      <c r="E1096" s="39">
        <v>6.0</v>
      </c>
      <c r="G1096" s="12">
        <f t="shared" si="201"/>
        <v>40039</v>
      </c>
    </row>
    <row r="1097">
      <c r="D1097" s="38">
        <f>IFERROR(__xludf.DUMMYFUNCTION("""COMPUTED_VALUE"""),40941.0)</f>
        <v>40941</v>
      </c>
      <c r="E1097" s="39">
        <v>6.0</v>
      </c>
      <c r="G1097" s="12">
        <f t="shared" si="201"/>
        <v>40039</v>
      </c>
    </row>
    <row r="1098">
      <c r="D1098" s="38">
        <f>IFERROR(__xludf.DUMMYFUNCTION("""COMPUTED_VALUE"""),40943.0)</f>
        <v>40943</v>
      </c>
      <c r="E1098" s="39">
        <v>6.0</v>
      </c>
      <c r="G1098" s="12">
        <f t="shared" ref="G1098:G1101" si="202">DATE(2012,12,31)-1234</f>
        <v>40040</v>
      </c>
    </row>
    <row r="1099">
      <c r="D1099" s="38">
        <f>IFERROR(__xludf.DUMMYFUNCTION("""COMPUTED_VALUE"""),40944.0)</f>
        <v>40944</v>
      </c>
      <c r="E1099" s="39">
        <v>6.0</v>
      </c>
      <c r="G1099" s="12">
        <f t="shared" si="202"/>
        <v>40040</v>
      </c>
    </row>
    <row r="1100">
      <c r="D1100" s="38">
        <f>IFERROR(__xludf.DUMMYFUNCTION("""COMPUTED_VALUE"""),40945.0)</f>
        <v>40945</v>
      </c>
      <c r="E1100" s="39">
        <v>6.0</v>
      </c>
      <c r="G1100" s="12">
        <f t="shared" si="202"/>
        <v>40040</v>
      </c>
    </row>
    <row r="1101">
      <c r="D1101" s="38">
        <f>IFERROR(__xludf.DUMMYFUNCTION("""COMPUTED_VALUE"""),40946.0)</f>
        <v>40946</v>
      </c>
      <c r="E1101" s="39">
        <v>6.0</v>
      </c>
      <c r="G1101" s="12">
        <f t="shared" si="202"/>
        <v>40040</v>
      </c>
    </row>
    <row r="1102">
      <c r="D1102" s="38">
        <f>IFERROR(__xludf.DUMMYFUNCTION("""COMPUTED_VALUE"""),40947.0)</f>
        <v>40947</v>
      </c>
      <c r="E1102" s="39">
        <v>6.0</v>
      </c>
      <c r="G1102" s="12">
        <f t="shared" ref="G1102:G1103" si="203">DATE(2012,12,31)-1231</f>
        <v>40043</v>
      </c>
    </row>
    <row r="1103">
      <c r="D1103" s="38">
        <f>IFERROR(__xludf.DUMMYFUNCTION("""COMPUTED_VALUE"""),40948.0)</f>
        <v>40948</v>
      </c>
      <c r="E1103" s="39">
        <v>6.0</v>
      </c>
      <c r="G1103" s="12">
        <f t="shared" si="203"/>
        <v>40043</v>
      </c>
    </row>
    <row r="1104">
      <c r="D1104" s="38">
        <f>IFERROR(__xludf.DUMMYFUNCTION("""COMPUTED_VALUE"""),40949.0)</f>
        <v>40949</v>
      </c>
      <c r="E1104" s="39">
        <v>6.0</v>
      </c>
      <c r="G1104" s="12">
        <f>DATE(2012,12,31)-1228</f>
        <v>40046</v>
      </c>
    </row>
    <row r="1105">
      <c r="D1105" s="38">
        <f>IFERROR(__xludf.DUMMYFUNCTION("""COMPUTED_VALUE"""),40950.0)</f>
        <v>40950</v>
      </c>
      <c r="E1105" s="39">
        <v>6.0</v>
      </c>
      <c r="G1105" s="12">
        <f>DATE(2012,12,31)-1227</f>
        <v>40047</v>
      </c>
    </row>
    <row r="1106">
      <c r="D1106" s="38">
        <f>IFERROR(__xludf.DUMMYFUNCTION("""COMPUTED_VALUE"""),40951.0)</f>
        <v>40951</v>
      </c>
      <c r="E1106" s="39">
        <v>6.0</v>
      </c>
      <c r="G1106" s="12">
        <f>DATE(2012,12,31)-1226</f>
        <v>40048</v>
      </c>
    </row>
    <row r="1107">
      <c r="D1107" s="38">
        <f>IFERROR(__xludf.DUMMYFUNCTION("""COMPUTED_VALUE"""),40952.0)</f>
        <v>40952</v>
      </c>
      <c r="E1107" s="39">
        <v>5.0</v>
      </c>
      <c r="G1107" s="12">
        <f>DATE(2012,12,31)-1327</f>
        <v>39947</v>
      </c>
    </row>
    <row r="1108">
      <c r="D1108" s="38">
        <f>IFERROR(__xludf.DUMMYFUNCTION("""COMPUTED_VALUE"""),40953.0)</f>
        <v>40953</v>
      </c>
      <c r="E1108" s="39">
        <v>5.0</v>
      </c>
      <c r="G1108" s="12">
        <f>DATE(2012,12,31)-1324</f>
        <v>39950</v>
      </c>
    </row>
    <row r="1109">
      <c r="D1109" s="38">
        <f>IFERROR(__xludf.DUMMYFUNCTION("""COMPUTED_VALUE"""),40954.0)</f>
        <v>40954</v>
      </c>
      <c r="E1109" s="39">
        <v>5.0</v>
      </c>
      <c r="G1109" s="12">
        <f>DATE(2012,12,31)-1323</f>
        <v>39951</v>
      </c>
    </row>
    <row r="1110">
      <c r="D1110" s="38">
        <f>IFERROR(__xludf.DUMMYFUNCTION("""COMPUTED_VALUE"""),40955.0)</f>
        <v>40955</v>
      </c>
      <c r="E1110" s="39">
        <v>5.0</v>
      </c>
      <c r="G1110" s="12">
        <f t="shared" ref="G1110:G1111" si="204">DATE(2012,12,31)-1321</f>
        <v>39953</v>
      </c>
    </row>
    <row r="1111">
      <c r="D1111" s="38">
        <f>IFERROR(__xludf.DUMMYFUNCTION("""COMPUTED_VALUE"""),40956.0)</f>
        <v>40956</v>
      </c>
      <c r="E1111" s="39">
        <v>5.0</v>
      </c>
      <c r="G1111" s="12">
        <f t="shared" si="204"/>
        <v>39953</v>
      </c>
    </row>
    <row r="1112">
      <c r="D1112" s="38">
        <f>IFERROR(__xludf.DUMMYFUNCTION("""COMPUTED_VALUE"""),40957.0)</f>
        <v>40957</v>
      </c>
      <c r="E1112" s="39">
        <v>5.0</v>
      </c>
      <c r="G1112" s="12">
        <f>DATE(2012,12,31)-1320</f>
        <v>39954</v>
      </c>
    </row>
    <row r="1113">
      <c r="D1113" s="38">
        <f>IFERROR(__xludf.DUMMYFUNCTION("""COMPUTED_VALUE"""),40958.0)</f>
        <v>40958</v>
      </c>
      <c r="E1113" s="39">
        <v>5.0</v>
      </c>
      <c r="G1113" s="12">
        <f t="shared" ref="G1113:G1115" si="205">DATE(2012,12,31)-1317</f>
        <v>39957</v>
      </c>
    </row>
    <row r="1114">
      <c r="D1114" s="38">
        <f>IFERROR(__xludf.DUMMYFUNCTION("""COMPUTED_VALUE"""),40959.0)</f>
        <v>40959</v>
      </c>
      <c r="E1114" s="39">
        <v>5.0</v>
      </c>
      <c r="G1114" s="12">
        <f t="shared" si="205"/>
        <v>39957</v>
      </c>
    </row>
    <row r="1115">
      <c r="D1115" s="38">
        <f>IFERROR(__xludf.DUMMYFUNCTION("""COMPUTED_VALUE"""),40960.0)</f>
        <v>40960</v>
      </c>
      <c r="E1115" s="39">
        <v>5.0</v>
      </c>
      <c r="G1115" s="12">
        <f t="shared" si="205"/>
        <v>39957</v>
      </c>
    </row>
    <row r="1116">
      <c r="D1116" s="38">
        <f>IFERROR(__xludf.DUMMYFUNCTION("""COMPUTED_VALUE"""),40962.0)</f>
        <v>40962</v>
      </c>
      <c r="E1116" s="39">
        <v>5.0</v>
      </c>
      <c r="G1116" s="12">
        <f t="shared" ref="G1116:G1118" si="206">DATE(2012,12,31)-1316</f>
        <v>39958</v>
      </c>
    </row>
    <row r="1117">
      <c r="D1117" s="38">
        <f>IFERROR(__xludf.DUMMYFUNCTION("""COMPUTED_VALUE"""),40963.0)</f>
        <v>40963</v>
      </c>
      <c r="E1117" s="39">
        <v>5.0</v>
      </c>
      <c r="G1117" s="12">
        <f t="shared" si="206"/>
        <v>39958</v>
      </c>
    </row>
    <row r="1118">
      <c r="D1118" s="38">
        <f>IFERROR(__xludf.DUMMYFUNCTION("""COMPUTED_VALUE"""),40964.0)</f>
        <v>40964</v>
      </c>
      <c r="E1118" s="39">
        <v>5.0</v>
      </c>
      <c r="G1118" s="12">
        <f t="shared" si="206"/>
        <v>39958</v>
      </c>
    </row>
    <row r="1119">
      <c r="D1119" s="38">
        <f>IFERROR(__xludf.DUMMYFUNCTION("""COMPUTED_VALUE"""),40965.0)</f>
        <v>40965</v>
      </c>
      <c r="E1119" s="39">
        <v>5.0</v>
      </c>
      <c r="G1119" s="12">
        <f>DATE(2012,12,31)-1315</f>
        <v>39959</v>
      </c>
    </row>
    <row r="1120">
      <c r="D1120" s="38">
        <f>IFERROR(__xludf.DUMMYFUNCTION("""COMPUTED_VALUE"""),40966.0)</f>
        <v>40966</v>
      </c>
      <c r="E1120" s="39">
        <v>5.0</v>
      </c>
      <c r="G1120" s="12">
        <f>DATE(2012,12,31)-1314</f>
        <v>39960</v>
      </c>
    </row>
    <row r="1121">
      <c r="D1121" s="38">
        <f>IFERROR(__xludf.DUMMYFUNCTION("""COMPUTED_VALUE"""),40968.0)</f>
        <v>40968</v>
      </c>
      <c r="E1121" s="39">
        <v>5.0</v>
      </c>
      <c r="G1121" s="12">
        <f>DATE(2012,12,31)-1313</f>
        <v>39961</v>
      </c>
    </row>
    <row r="1122">
      <c r="D1122" s="38">
        <f>IFERROR(__xludf.DUMMYFUNCTION("""COMPUTED_VALUE"""),40969.0)</f>
        <v>40969</v>
      </c>
      <c r="E1122" s="39">
        <v>5.0</v>
      </c>
      <c r="G1122" s="12">
        <f>DATE(2012,12,31)-1311</f>
        <v>39963</v>
      </c>
    </row>
    <row r="1123">
      <c r="D1123" s="38">
        <f>IFERROR(__xludf.DUMMYFUNCTION("""COMPUTED_VALUE"""),40970.0)</f>
        <v>40970</v>
      </c>
      <c r="E1123" s="39">
        <v>5.0</v>
      </c>
      <c r="G1123" s="12">
        <f>DATE(2012,12,31)-1309</f>
        <v>39965</v>
      </c>
    </row>
    <row r="1124">
      <c r="D1124" s="38">
        <f>IFERROR(__xludf.DUMMYFUNCTION("""COMPUTED_VALUE"""),40971.0)</f>
        <v>40971</v>
      </c>
      <c r="E1124" s="39">
        <v>5.0</v>
      </c>
      <c r="G1124" s="12">
        <f t="shared" ref="G1124:G1125" si="207">DATE(2012,12,31)-1308</f>
        <v>39966</v>
      </c>
    </row>
    <row r="1125">
      <c r="D1125" s="38">
        <f>IFERROR(__xludf.DUMMYFUNCTION("""COMPUTED_VALUE"""),40972.0)</f>
        <v>40972</v>
      </c>
      <c r="E1125" s="39">
        <v>5.0</v>
      </c>
      <c r="G1125" s="12">
        <f t="shared" si="207"/>
        <v>39966</v>
      </c>
    </row>
    <row r="1126">
      <c r="D1126" s="38">
        <f>IFERROR(__xludf.DUMMYFUNCTION("""COMPUTED_VALUE"""),40973.0)</f>
        <v>40973</v>
      </c>
      <c r="E1126" s="39">
        <v>5.0</v>
      </c>
      <c r="G1126" s="12">
        <f t="shared" ref="G1126:G1127" si="208">DATE(2012,12,31)-1307</f>
        <v>39967</v>
      </c>
    </row>
    <row r="1127">
      <c r="D1127" s="38">
        <f>IFERROR(__xludf.DUMMYFUNCTION("""COMPUTED_VALUE"""),40974.0)</f>
        <v>40974</v>
      </c>
      <c r="E1127" s="39">
        <v>5.0</v>
      </c>
      <c r="G1127" s="12">
        <f t="shared" si="208"/>
        <v>39967</v>
      </c>
    </row>
    <row r="1128">
      <c r="D1128" s="38">
        <f>IFERROR(__xludf.DUMMYFUNCTION("""COMPUTED_VALUE"""),40975.0)</f>
        <v>40975</v>
      </c>
      <c r="E1128" s="39">
        <v>5.0</v>
      </c>
      <c r="G1128" s="12">
        <f>DATE(2012,12,31)-1299</f>
        <v>39975</v>
      </c>
    </row>
    <row r="1129">
      <c r="D1129" s="38">
        <f>IFERROR(__xludf.DUMMYFUNCTION("""COMPUTED_VALUE"""),40976.0)</f>
        <v>40976</v>
      </c>
      <c r="E1129" s="39">
        <v>5.0</v>
      </c>
      <c r="G1129" s="12">
        <f t="shared" ref="G1129:G1131" si="209">DATE(2012,12,31)-1298</f>
        <v>39976</v>
      </c>
    </row>
    <row r="1130">
      <c r="D1130" s="38">
        <f>IFERROR(__xludf.DUMMYFUNCTION("""COMPUTED_VALUE"""),40977.0)</f>
        <v>40977</v>
      </c>
      <c r="E1130" s="39">
        <v>5.0</v>
      </c>
      <c r="G1130" s="12">
        <f t="shared" si="209"/>
        <v>39976</v>
      </c>
    </row>
    <row r="1131">
      <c r="D1131" s="38">
        <f>IFERROR(__xludf.DUMMYFUNCTION("""COMPUTED_VALUE"""),40978.0)</f>
        <v>40978</v>
      </c>
      <c r="E1131" s="39">
        <v>5.0</v>
      </c>
      <c r="G1131" s="12">
        <f t="shared" si="209"/>
        <v>39976</v>
      </c>
    </row>
    <row r="1132">
      <c r="D1132" s="38">
        <f>IFERROR(__xludf.DUMMYFUNCTION("""COMPUTED_VALUE"""),40979.0)</f>
        <v>40979</v>
      </c>
      <c r="E1132" s="39">
        <v>5.0</v>
      </c>
      <c r="G1132" s="12">
        <f>DATE(2012,12,31)-1297</f>
        <v>39977</v>
      </c>
    </row>
    <row r="1133">
      <c r="D1133" s="38">
        <f>IFERROR(__xludf.DUMMYFUNCTION("""COMPUTED_VALUE"""),40980.0)</f>
        <v>40980</v>
      </c>
      <c r="E1133" s="39">
        <v>5.0</v>
      </c>
      <c r="G1133" s="12">
        <f t="shared" ref="G1133:G1134" si="210">DATE(2012,12,31)-1296</f>
        <v>39978</v>
      </c>
    </row>
    <row r="1134">
      <c r="D1134" s="38">
        <f>IFERROR(__xludf.DUMMYFUNCTION("""COMPUTED_VALUE"""),40981.0)</f>
        <v>40981</v>
      </c>
      <c r="E1134" s="39">
        <v>5.0</v>
      </c>
      <c r="G1134" s="12">
        <f t="shared" si="210"/>
        <v>39978</v>
      </c>
    </row>
    <row r="1135">
      <c r="D1135" s="38">
        <f>IFERROR(__xludf.DUMMYFUNCTION("""COMPUTED_VALUE"""),40982.0)</f>
        <v>40982</v>
      </c>
      <c r="E1135" s="39">
        <v>5.0</v>
      </c>
      <c r="G1135" s="12">
        <f t="shared" ref="G1135:G1136" si="211">DATE(2012,12,31)-1293</f>
        <v>39981</v>
      </c>
    </row>
    <row r="1136">
      <c r="D1136" s="38">
        <f>IFERROR(__xludf.DUMMYFUNCTION("""COMPUTED_VALUE"""),40983.0)</f>
        <v>40983</v>
      </c>
      <c r="E1136" s="39">
        <v>5.0</v>
      </c>
      <c r="G1136" s="12">
        <f t="shared" si="211"/>
        <v>39981</v>
      </c>
    </row>
    <row r="1137">
      <c r="D1137" s="38">
        <f>IFERROR(__xludf.DUMMYFUNCTION("""COMPUTED_VALUE"""),40984.0)</f>
        <v>40984</v>
      </c>
      <c r="E1137" s="39">
        <v>5.0</v>
      </c>
      <c r="G1137" s="12">
        <f>DATE(2012,12,31)-1289</f>
        <v>39985</v>
      </c>
    </row>
    <row r="1138">
      <c r="D1138" s="38">
        <f>IFERROR(__xludf.DUMMYFUNCTION("""COMPUTED_VALUE"""),40985.0)</f>
        <v>40985</v>
      </c>
      <c r="E1138" s="39">
        <v>5.0</v>
      </c>
      <c r="G1138" s="12">
        <f t="shared" ref="G1138:G1141" si="212">DATE(2012,12,31)-1288</f>
        <v>39986</v>
      </c>
    </row>
    <row r="1139">
      <c r="D1139" s="38">
        <f>IFERROR(__xludf.DUMMYFUNCTION("""COMPUTED_VALUE"""),40986.0)</f>
        <v>40986</v>
      </c>
      <c r="E1139" s="39">
        <v>5.0</v>
      </c>
      <c r="G1139" s="12">
        <f t="shared" si="212"/>
        <v>39986</v>
      </c>
    </row>
    <row r="1140">
      <c r="D1140" s="38">
        <f>IFERROR(__xludf.DUMMYFUNCTION("""COMPUTED_VALUE"""),40987.0)</f>
        <v>40987</v>
      </c>
      <c r="E1140" s="39">
        <v>5.0</v>
      </c>
      <c r="G1140" s="12">
        <f t="shared" si="212"/>
        <v>39986</v>
      </c>
    </row>
    <row r="1141">
      <c r="D1141" s="38">
        <f>IFERROR(__xludf.DUMMYFUNCTION("""COMPUTED_VALUE"""),40988.0)</f>
        <v>40988</v>
      </c>
      <c r="E1141" s="39">
        <v>5.0</v>
      </c>
      <c r="G1141" s="12">
        <f t="shared" si="212"/>
        <v>39986</v>
      </c>
    </row>
    <row r="1142">
      <c r="D1142" s="38">
        <f>IFERROR(__xludf.DUMMYFUNCTION("""COMPUTED_VALUE"""),40989.0)</f>
        <v>40989</v>
      </c>
      <c r="E1142" s="39">
        <v>5.0</v>
      </c>
      <c r="G1142" s="12">
        <f>DATE(2012,12,31)-1285</f>
        <v>39989</v>
      </c>
    </row>
    <row r="1143">
      <c r="D1143" s="38">
        <f>IFERROR(__xludf.DUMMYFUNCTION("""COMPUTED_VALUE"""),40990.0)</f>
        <v>40990</v>
      </c>
      <c r="E1143" s="39">
        <v>5.0</v>
      </c>
      <c r="G1143" s="12">
        <f>DATE(2012,12,31)-1280</f>
        <v>39994</v>
      </c>
    </row>
    <row r="1144">
      <c r="D1144" s="38">
        <f>IFERROR(__xludf.DUMMYFUNCTION("""COMPUTED_VALUE"""),40991.0)</f>
        <v>40991</v>
      </c>
      <c r="E1144" s="39">
        <v>5.0</v>
      </c>
      <c r="G1144" s="12">
        <f t="shared" ref="G1144:G1146" si="213">DATE(2012,12,31)-1279</f>
        <v>39995</v>
      </c>
    </row>
    <row r="1145">
      <c r="D1145" s="38">
        <f>IFERROR(__xludf.DUMMYFUNCTION("""COMPUTED_VALUE"""),40992.0)</f>
        <v>40992</v>
      </c>
      <c r="E1145" s="39">
        <v>5.0</v>
      </c>
      <c r="G1145" s="12">
        <f t="shared" si="213"/>
        <v>39995</v>
      </c>
    </row>
    <row r="1146">
      <c r="D1146" s="38">
        <f>IFERROR(__xludf.DUMMYFUNCTION("""COMPUTED_VALUE"""),40993.0)</f>
        <v>40993</v>
      </c>
      <c r="E1146" s="39">
        <v>5.0</v>
      </c>
      <c r="G1146" s="12">
        <f t="shared" si="213"/>
        <v>39995</v>
      </c>
    </row>
    <row r="1147">
      <c r="D1147" s="38">
        <f>IFERROR(__xludf.DUMMYFUNCTION("""COMPUTED_VALUE"""),40994.0)</f>
        <v>40994</v>
      </c>
      <c r="E1147" s="39">
        <v>5.0</v>
      </c>
      <c r="G1147" s="12">
        <f t="shared" ref="G1147:G1148" si="214">DATE(2012,12,31)-1278</f>
        <v>39996</v>
      </c>
    </row>
    <row r="1148">
      <c r="D1148" s="38">
        <f>IFERROR(__xludf.DUMMYFUNCTION("""COMPUTED_VALUE"""),40995.0)</f>
        <v>40995</v>
      </c>
      <c r="E1148" s="39">
        <v>5.0</v>
      </c>
      <c r="G1148" s="12">
        <f t="shared" si="214"/>
        <v>39996</v>
      </c>
    </row>
    <row r="1149">
      <c r="D1149" s="38">
        <f>IFERROR(__xludf.DUMMYFUNCTION("""COMPUTED_VALUE"""),40996.0)</f>
        <v>40996</v>
      </c>
      <c r="E1149" s="39">
        <v>5.0</v>
      </c>
      <c r="G1149" s="12">
        <f t="shared" ref="G1149:G1151" si="215">DATE(2012,12,31)-1277</f>
        <v>39997</v>
      </c>
    </row>
    <row r="1150">
      <c r="D1150" s="38">
        <f>IFERROR(__xludf.DUMMYFUNCTION("""COMPUTED_VALUE"""),40997.0)</f>
        <v>40997</v>
      </c>
      <c r="E1150" s="39">
        <v>5.0</v>
      </c>
      <c r="G1150" s="12">
        <f t="shared" si="215"/>
        <v>39997</v>
      </c>
    </row>
    <row r="1151">
      <c r="D1151" s="38">
        <f>IFERROR(__xludf.DUMMYFUNCTION("""COMPUTED_VALUE"""),40998.0)</f>
        <v>40998</v>
      </c>
      <c r="E1151" s="39">
        <v>5.0</v>
      </c>
      <c r="G1151" s="12">
        <f t="shared" si="215"/>
        <v>39997</v>
      </c>
    </row>
    <row r="1152">
      <c r="D1152" s="38">
        <f>IFERROR(__xludf.DUMMYFUNCTION("""COMPUTED_VALUE"""),40999.0)</f>
        <v>40999</v>
      </c>
      <c r="E1152" s="39">
        <v>5.0</v>
      </c>
      <c r="G1152" s="12">
        <f>DATE(2012,12,31)-1275</f>
        <v>39999</v>
      </c>
    </row>
    <row r="1153">
      <c r="D1153" s="38">
        <f>IFERROR(__xludf.DUMMYFUNCTION("""COMPUTED_VALUE"""),41000.0)</f>
        <v>41000</v>
      </c>
      <c r="E1153" s="39">
        <v>5.0</v>
      </c>
      <c r="G1153" s="12">
        <f t="shared" ref="G1153:G1157" si="216">DATE(2012,12,31)-1274</f>
        <v>40000</v>
      </c>
    </row>
    <row r="1154">
      <c r="D1154" s="38">
        <f>IFERROR(__xludf.DUMMYFUNCTION("""COMPUTED_VALUE"""),41001.0)</f>
        <v>41001</v>
      </c>
      <c r="E1154" s="39">
        <v>5.0</v>
      </c>
      <c r="G1154" s="12">
        <f t="shared" si="216"/>
        <v>40000</v>
      </c>
    </row>
    <row r="1155">
      <c r="D1155" s="38">
        <f>IFERROR(__xludf.DUMMYFUNCTION("""COMPUTED_VALUE"""),41002.0)</f>
        <v>41002</v>
      </c>
      <c r="E1155" s="39">
        <v>5.0</v>
      </c>
      <c r="G1155" s="12">
        <f t="shared" si="216"/>
        <v>40000</v>
      </c>
    </row>
    <row r="1156">
      <c r="D1156" s="38">
        <f>IFERROR(__xludf.DUMMYFUNCTION("""COMPUTED_VALUE"""),41003.0)</f>
        <v>41003</v>
      </c>
      <c r="E1156" s="39">
        <v>5.0</v>
      </c>
      <c r="G1156" s="12">
        <f t="shared" si="216"/>
        <v>40000</v>
      </c>
    </row>
    <row r="1157">
      <c r="D1157" s="38">
        <f>IFERROR(__xludf.DUMMYFUNCTION("""COMPUTED_VALUE"""),41004.0)</f>
        <v>41004</v>
      </c>
      <c r="E1157" s="39">
        <v>5.0</v>
      </c>
      <c r="G1157" s="12">
        <f t="shared" si="216"/>
        <v>40000</v>
      </c>
    </row>
    <row r="1158">
      <c r="D1158" s="38">
        <f>IFERROR(__xludf.DUMMYFUNCTION("""COMPUTED_VALUE"""),41005.0)</f>
        <v>41005</v>
      </c>
      <c r="E1158" s="39">
        <v>5.0</v>
      </c>
      <c r="G1158" s="12">
        <f t="shared" ref="G1158:G1159" si="217">DATE(2012,12,31)-1273</f>
        <v>40001</v>
      </c>
    </row>
    <row r="1159">
      <c r="D1159" s="38">
        <f>IFERROR(__xludf.DUMMYFUNCTION("""COMPUTED_VALUE"""),41006.0)</f>
        <v>41006</v>
      </c>
      <c r="E1159" s="39">
        <v>5.0</v>
      </c>
      <c r="G1159" s="12">
        <f t="shared" si="217"/>
        <v>40001</v>
      </c>
    </row>
    <row r="1160">
      <c r="D1160" s="38">
        <f>IFERROR(__xludf.DUMMYFUNCTION("""COMPUTED_VALUE"""),41007.0)</f>
        <v>41007</v>
      </c>
      <c r="E1160" s="39">
        <v>5.0</v>
      </c>
      <c r="G1160" s="12">
        <f t="shared" ref="G1160:G1161" si="218">DATE(2012,12,31)-1271</f>
        <v>40003</v>
      </c>
    </row>
    <row r="1161">
      <c r="D1161" s="38">
        <f>IFERROR(__xludf.DUMMYFUNCTION("""COMPUTED_VALUE"""),41008.0)</f>
        <v>41008</v>
      </c>
      <c r="E1161" s="39">
        <v>5.0</v>
      </c>
      <c r="G1161" s="12">
        <f t="shared" si="218"/>
        <v>40003</v>
      </c>
    </row>
    <row r="1162">
      <c r="D1162" s="38">
        <f>IFERROR(__xludf.DUMMYFUNCTION("""COMPUTED_VALUE"""),41009.0)</f>
        <v>41009</v>
      </c>
      <c r="E1162" s="39">
        <v>5.0</v>
      </c>
      <c r="G1162" s="12">
        <f>DATE(2012,12,31)-1269</f>
        <v>40005</v>
      </c>
    </row>
    <row r="1163">
      <c r="D1163" s="38">
        <f>IFERROR(__xludf.DUMMYFUNCTION("""COMPUTED_VALUE"""),41010.0)</f>
        <v>41010</v>
      </c>
      <c r="E1163" s="39">
        <v>5.0</v>
      </c>
      <c r="G1163" s="12">
        <f t="shared" ref="G1163:G1166" si="219">DATE(2012,12,31)-1268</f>
        <v>40006</v>
      </c>
    </row>
    <row r="1164">
      <c r="D1164" s="38">
        <f>IFERROR(__xludf.DUMMYFUNCTION("""COMPUTED_VALUE"""),41011.0)</f>
        <v>41011</v>
      </c>
      <c r="E1164" s="39">
        <v>5.0</v>
      </c>
      <c r="G1164" s="12">
        <f t="shared" si="219"/>
        <v>40006</v>
      </c>
    </row>
    <row r="1165">
      <c r="D1165" s="38">
        <f>IFERROR(__xludf.DUMMYFUNCTION("""COMPUTED_VALUE"""),41012.0)</f>
        <v>41012</v>
      </c>
      <c r="E1165" s="39">
        <v>5.0</v>
      </c>
      <c r="G1165" s="12">
        <f t="shared" si="219"/>
        <v>40006</v>
      </c>
    </row>
    <row r="1166">
      <c r="D1166" s="38">
        <f>IFERROR(__xludf.DUMMYFUNCTION("""COMPUTED_VALUE"""),41013.0)</f>
        <v>41013</v>
      </c>
      <c r="E1166" s="39">
        <v>5.0</v>
      </c>
      <c r="G1166" s="12">
        <f t="shared" si="219"/>
        <v>40006</v>
      </c>
    </row>
    <row r="1167">
      <c r="D1167" s="38">
        <f>IFERROR(__xludf.DUMMYFUNCTION("""COMPUTED_VALUE"""),41014.0)</f>
        <v>41014</v>
      </c>
      <c r="E1167" s="39">
        <v>5.0</v>
      </c>
      <c r="G1167" s="12">
        <f>DATE(2012,12,31)-1266</f>
        <v>40008</v>
      </c>
    </row>
    <row r="1168">
      <c r="D1168" s="38">
        <f>IFERROR(__xludf.DUMMYFUNCTION("""COMPUTED_VALUE"""),41015.0)</f>
        <v>41015</v>
      </c>
      <c r="E1168" s="39">
        <v>5.0</v>
      </c>
      <c r="G1168" s="12">
        <f>DATE(2012,12,31)-1263</f>
        <v>40011</v>
      </c>
    </row>
    <row r="1169">
      <c r="D1169" s="38">
        <f>IFERROR(__xludf.DUMMYFUNCTION("""COMPUTED_VALUE"""),41016.0)</f>
        <v>41016</v>
      </c>
      <c r="E1169" s="39">
        <v>5.0</v>
      </c>
      <c r="G1169" s="12">
        <f t="shared" ref="G1169:G1170" si="220">DATE(2012,12,31)-1260</f>
        <v>40014</v>
      </c>
    </row>
    <row r="1170">
      <c r="D1170" s="38">
        <f>IFERROR(__xludf.DUMMYFUNCTION("""COMPUTED_VALUE"""),41017.0)</f>
        <v>41017</v>
      </c>
      <c r="E1170" s="39">
        <v>5.0</v>
      </c>
      <c r="G1170" s="12">
        <f t="shared" si="220"/>
        <v>40014</v>
      </c>
    </row>
    <row r="1171">
      <c r="D1171" s="38">
        <f>IFERROR(__xludf.DUMMYFUNCTION("""COMPUTED_VALUE"""),41019.0)</f>
        <v>41019</v>
      </c>
      <c r="E1171" s="39">
        <v>5.0</v>
      </c>
      <c r="G1171" s="12">
        <f>DATE(2012,12,31)-1254</f>
        <v>40020</v>
      </c>
    </row>
    <row r="1172">
      <c r="D1172" s="38">
        <f>IFERROR(__xludf.DUMMYFUNCTION("""COMPUTED_VALUE"""),41020.0)</f>
        <v>41020</v>
      </c>
      <c r="E1172" s="39">
        <v>5.0</v>
      </c>
      <c r="G1172" s="12">
        <f>DATE(2012,12,31)-1253</f>
        <v>40021</v>
      </c>
    </row>
    <row r="1173">
      <c r="D1173" s="38">
        <f>IFERROR(__xludf.DUMMYFUNCTION("""COMPUTED_VALUE"""),41021.0)</f>
        <v>41021</v>
      </c>
      <c r="E1173" s="39">
        <v>5.0</v>
      </c>
      <c r="G1173" s="12">
        <f>DATE(2012,12,31)-1250</f>
        <v>40024</v>
      </c>
    </row>
    <row r="1174">
      <c r="D1174" s="38">
        <f>IFERROR(__xludf.DUMMYFUNCTION("""COMPUTED_VALUE"""),41022.0)</f>
        <v>41022</v>
      </c>
      <c r="E1174" s="39">
        <v>5.0</v>
      </c>
      <c r="G1174" s="12">
        <f>DATE(2012,12,31)-1247</f>
        <v>40027</v>
      </c>
    </row>
    <row r="1175">
      <c r="D1175" s="38">
        <f>IFERROR(__xludf.DUMMYFUNCTION("""COMPUTED_VALUE"""),41023.0)</f>
        <v>41023</v>
      </c>
      <c r="E1175" s="39">
        <v>5.0</v>
      </c>
      <c r="G1175" s="12">
        <f t="shared" ref="G1175:G1177" si="221">DATE(2012,12,31)-1245</f>
        <v>40029</v>
      </c>
    </row>
    <row r="1176">
      <c r="D1176" s="38">
        <f>IFERROR(__xludf.DUMMYFUNCTION("""COMPUTED_VALUE"""),41024.0)</f>
        <v>41024</v>
      </c>
      <c r="E1176" s="39">
        <v>5.0</v>
      </c>
      <c r="G1176" s="12">
        <f t="shared" si="221"/>
        <v>40029</v>
      </c>
    </row>
    <row r="1177">
      <c r="D1177" s="38">
        <f>IFERROR(__xludf.DUMMYFUNCTION("""COMPUTED_VALUE"""),41025.0)</f>
        <v>41025</v>
      </c>
      <c r="E1177" s="39">
        <v>5.0</v>
      </c>
      <c r="G1177" s="12">
        <f t="shared" si="221"/>
        <v>40029</v>
      </c>
    </row>
    <row r="1178">
      <c r="D1178" s="38">
        <f>IFERROR(__xludf.DUMMYFUNCTION("""COMPUTED_VALUE"""),41026.0)</f>
        <v>41026</v>
      </c>
      <c r="E1178" s="39">
        <v>5.0</v>
      </c>
      <c r="G1178" s="12">
        <f>DATE(2012,12,31)-1244</f>
        <v>40030</v>
      </c>
    </row>
    <row r="1179">
      <c r="D1179" s="38">
        <f>IFERROR(__xludf.DUMMYFUNCTION("""COMPUTED_VALUE"""),41027.0)</f>
        <v>41027</v>
      </c>
      <c r="E1179" s="39">
        <v>5.0</v>
      </c>
      <c r="G1179" s="12">
        <f>DATE(2012,12,31)-1243</f>
        <v>40031</v>
      </c>
    </row>
    <row r="1180">
      <c r="D1180" s="38">
        <f>IFERROR(__xludf.DUMMYFUNCTION("""COMPUTED_VALUE"""),41028.0)</f>
        <v>41028</v>
      </c>
      <c r="E1180" s="39">
        <v>5.0</v>
      </c>
      <c r="G1180" s="12">
        <f>DATE(2012,12,31)-1239</f>
        <v>40035</v>
      </c>
    </row>
    <row r="1181">
      <c r="D1181" s="38">
        <f>IFERROR(__xludf.DUMMYFUNCTION("""COMPUTED_VALUE"""),41029.0)</f>
        <v>41029</v>
      </c>
      <c r="E1181" s="39">
        <v>5.0</v>
      </c>
      <c r="G1181" s="12">
        <f t="shared" ref="G1181:G1183" si="222">DATE(2012,12,31)-1238</f>
        <v>40036</v>
      </c>
    </row>
    <row r="1182">
      <c r="D1182" s="38">
        <f>IFERROR(__xludf.DUMMYFUNCTION("""COMPUTED_VALUE"""),41030.0)</f>
        <v>41030</v>
      </c>
      <c r="E1182" s="39">
        <v>5.0</v>
      </c>
      <c r="G1182" s="12">
        <f t="shared" si="222"/>
        <v>40036</v>
      </c>
    </row>
    <row r="1183">
      <c r="D1183" s="38">
        <f>IFERROR(__xludf.DUMMYFUNCTION("""COMPUTED_VALUE"""),41031.0)</f>
        <v>41031</v>
      </c>
      <c r="E1183" s="39">
        <v>5.0</v>
      </c>
      <c r="G1183" s="12">
        <f t="shared" si="222"/>
        <v>40036</v>
      </c>
    </row>
    <row r="1184">
      <c r="D1184" s="38">
        <f>IFERROR(__xludf.DUMMYFUNCTION("""COMPUTED_VALUE"""),41032.0)</f>
        <v>41032</v>
      </c>
      <c r="E1184" s="39">
        <v>5.0</v>
      </c>
      <c r="G1184" s="12">
        <f>DATE(2012,12,31)-1235</f>
        <v>40039</v>
      </c>
    </row>
    <row r="1185">
      <c r="D1185" s="38">
        <f>IFERROR(__xludf.DUMMYFUNCTION("""COMPUTED_VALUE"""),41033.0)</f>
        <v>41033</v>
      </c>
      <c r="E1185" s="39">
        <v>5.0</v>
      </c>
      <c r="G1185" s="12">
        <f>DATE(2012,12,31)-1234</f>
        <v>40040</v>
      </c>
    </row>
    <row r="1186">
      <c r="D1186" s="38">
        <f>IFERROR(__xludf.DUMMYFUNCTION("""COMPUTED_VALUE"""),41034.0)</f>
        <v>41034</v>
      </c>
      <c r="E1186" s="39">
        <v>5.0</v>
      </c>
      <c r="G1186" s="12">
        <f t="shared" ref="G1186:G1187" si="223">DATE(2012,12,31)-1233</f>
        <v>40041</v>
      </c>
    </row>
    <row r="1187">
      <c r="D1187" s="38">
        <f>IFERROR(__xludf.DUMMYFUNCTION("""COMPUTED_VALUE"""),41035.0)</f>
        <v>41035</v>
      </c>
      <c r="E1187" s="39">
        <v>5.0</v>
      </c>
      <c r="G1187" s="12">
        <f t="shared" si="223"/>
        <v>40041</v>
      </c>
    </row>
    <row r="1188">
      <c r="D1188" s="38">
        <f>IFERROR(__xludf.DUMMYFUNCTION("""COMPUTED_VALUE"""),41036.0)</f>
        <v>41036</v>
      </c>
      <c r="E1188" s="39">
        <v>5.0</v>
      </c>
      <c r="G1188" s="12">
        <f>DATE(2012,12,31)-1231</f>
        <v>40043</v>
      </c>
    </row>
    <row r="1189">
      <c r="D1189" s="38">
        <f>IFERROR(__xludf.DUMMYFUNCTION("""COMPUTED_VALUE"""),41037.0)</f>
        <v>41037</v>
      </c>
      <c r="E1189" s="39">
        <v>5.0</v>
      </c>
      <c r="G1189" s="12">
        <f t="shared" ref="G1189:G1190" si="224">DATE(2012,12,31)-1227</f>
        <v>40047</v>
      </c>
    </row>
    <row r="1190">
      <c r="D1190" s="38">
        <f>IFERROR(__xludf.DUMMYFUNCTION("""COMPUTED_VALUE"""),41038.0)</f>
        <v>41038</v>
      </c>
      <c r="E1190" s="39">
        <v>5.0</v>
      </c>
      <c r="G1190" s="12">
        <f t="shared" si="224"/>
        <v>40047</v>
      </c>
    </row>
    <row r="1191">
      <c r="D1191" s="38">
        <f>IFERROR(__xludf.DUMMYFUNCTION("""COMPUTED_VALUE"""),41039.0)</f>
        <v>41039</v>
      </c>
      <c r="E1191" s="39">
        <v>5.0</v>
      </c>
      <c r="G1191" s="12">
        <f t="shared" ref="G1191:G1192" si="225">DATE(2012,12,31)-1226</f>
        <v>40048</v>
      </c>
    </row>
    <row r="1192">
      <c r="D1192" s="38">
        <f>IFERROR(__xludf.DUMMYFUNCTION("""COMPUTED_VALUE"""),41040.0)</f>
        <v>41040</v>
      </c>
      <c r="E1192" s="39">
        <v>5.0</v>
      </c>
      <c r="G1192" s="12">
        <f t="shared" si="225"/>
        <v>40048</v>
      </c>
    </row>
    <row r="1193">
      <c r="D1193" s="38">
        <f>IFERROR(__xludf.DUMMYFUNCTION("""COMPUTED_VALUE"""),41041.0)</f>
        <v>41041</v>
      </c>
      <c r="E1193" s="39">
        <v>4.0</v>
      </c>
      <c r="G1193" s="12">
        <f>DATE(2012,12,31)-1329</f>
        <v>39945</v>
      </c>
    </row>
    <row r="1194">
      <c r="D1194" s="38">
        <f>IFERROR(__xludf.DUMMYFUNCTION("""COMPUTED_VALUE"""),41042.0)</f>
        <v>41042</v>
      </c>
      <c r="E1194" s="39">
        <v>4.0</v>
      </c>
      <c r="G1194" s="12">
        <f t="shared" ref="G1194:G1195" si="226">DATE(2012,12,31)-1326</f>
        <v>39948</v>
      </c>
    </row>
    <row r="1195">
      <c r="D1195" s="38">
        <f>IFERROR(__xludf.DUMMYFUNCTION("""COMPUTED_VALUE"""),41043.0)</f>
        <v>41043</v>
      </c>
      <c r="E1195" s="39">
        <v>4.0</v>
      </c>
      <c r="G1195" s="12">
        <f t="shared" si="226"/>
        <v>39948</v>
      </c>
    </row>
    <row r="1196">
      <c r="D1196" s="38">
        <f>IFERROR(__xludf.DUMMYFUNCTION("""COMPUTED_VALUE"""),41045.0)</f>
        <v>41045</v>
      </c>
      <c r="E1196" s="39">
        <v>4.0</v>
      </c>
      <c r="G1196" s="12">
        <f>DATE(2012,12,31)-1323</f>
        <v>39951</v>
      </c>
    </row>
    <row r="1197">
      <c r="D1197" s="38">
        <f>IFERROR(__xludf.DUMMYFUNCTION("""COMPUTED_VALUE"""),41046.0)</f>
        <v>41046</v>
      </c>
      <c r="E1197" s="39">
        <v>4.0</v>
      </c>
      <c r="G1197" s="12">
        <f>DATE(2012,12,31)-1321</f>
        <v>39953</v>
      </c>
    </row>
    <row r="1198">
      <c r="D1198" s="38">
        <f>IFERROR(__xludf.DUMMYFUNCTION("""COMPUTED_VALUE"""),41047.0)</f>
        <v>41047</v>
      </c>
      <c r="E1198" s="39">
        <v>4.0</v>
      </c>
      <c r="G1198" s="12">
        <f t="shared" ref="G1198:G1199" si="227">DATE(2012,12,31)-1320</f>
        <v>39954</v>
      </c>
    </row>
    <row r="1199">
      <c r="D1199" s="38">
        <f>IFERROR(__xludf.DUMMYFUNCTION("""COMPUTED_VALUE"""),41048.0)</f>
        <v>41048</v>
      </c>
      <c r="E1199" s="39">
        <v>4.0</v>
      </c>
      <c r="G1199" s="12">
        <f t="shared" si="227"/>
        <v>39954</v>
      </c>
    </row>
    <row r="1200">
      <c r="D1200" s="38">
        <f>IFERROR(__xludf.DUMMYFUNCTION("""COMPUTED_VALUE"""),41049.0)</f>
        <v>41049</v>
      </c>
      <c r="E1200" s="39">
        <v>4.0</v>
      </c>
      <c r="G1200" s="12">
        <f>DATE(2012,12,31)-1319</f>
        <v>39955</v>
      </c>
    </row>
    <row r="1201">
      <c r="D1201" s="38">
        <f>IFERROR(__xludf.DUMMYFUNCTION("""COMPUTED_VALUE"""),41050.0)</f>
        <v>41050</v>
      </c>
      <c r="E1201" s="39">
        <v>4.0</v>
      </c>
      <c r="G1201" s="12">
        <f t="shared" ref="G1201:G1202" si="228">DATE(2012,12,31)-1318</f>
        <v>39956</v>
      </c>
    </row>
    <row r="1202">
      <c r="D1202" s="38">
        <f>IFERROR(__xludf.DUMMYFUNCTION("""COMPUTED_VALUE"""),41051.0)</f>
        <v>41051</v>
      </c>
      <c r="E1202" s="39">
        <v>4.0</v>
      </c>
      <c r="G1202" s="12">
        <f t="shared" si="228"/>
        <v>39956</v>
      </c>
    </row>
    <row r="1203">
      <c r="D1203" s="38">
        <f>IFERROR(__xludf.DUMMYFUNCTION("""COMPUTED_VALUE"""),41052.0)</f>
        <v>41052</v>
      </c>
      <c r="E1203" s="39">
        <v>4.0</v>
      </c>
      <c r="G1203" s="12">
        <f t="shared" ref="G1203:G1204" si="229">DATE(2012,12,31)-1317</f>
        <v>39957</v>
      </c>
    </row>
    <row r="1204">
      <c r="D1204" s="38">
        <f>IFERROR(__xludf.DUMMYFUNCTION("""COMPUTED_VALUE"""),41053.0)</f>
        <v>41053</v>
      </c>
      <c r="E1204" s="39">
        <v>4.0</v>
      </c>
      <c r="G1204" s="12">
        <f t="shared" si="229"/>
        <v>39957</v>
      </c>
    </row>
    <row r="1205">
      <c r="D1205" s="38">
        <f>IFERROR(__xludf.DUMMYFUNCTION("""COMPUTED_VALUE"""),41054.0)</f>
        <v>41054</v>
      </c>
      <c r="E1205" s="39">
        <v>4.0</v>
      </c>
      <c r="G1205" s="12">
        <f>DATE(2012,12,31)-1314</f>
        <v>39960</v>
      </c>
    </row>
    <row r="1206">
      <c r="D1206" s="38">
        <f>IFERROR(__xludf.DUMMYFUNCTION("""COMPUTED_VALUE"""),41055.0)</f>
        <v>41055</v>
      </c>
      <c r="E1206" s="39">
        <v>4.0</v>
      </c>
      <c r="G1206" s="12">
        <f>DATE(2012,12,31)-1312</f>
        <v>39962</v>
      </c>
    </row>
    <row r="1207">
      <c r="D1207" s="38">
        <f>IFERROR(__xludf.DUMMYFUNCTION("""COMPUTED_VALUE"""),41056.0)</f>
        <v>41056</v>
      </c>
      <c r="E1207" s="39">
        <v>4.0</v>
      </c>
      <c r="G1207" s="12">
        <f t="shared" ref="G1207:G1209" si="230">DATE(2012,12,31)-1309</f>
        <v>39965</v>
      </c>
    </row>
    <row r="1208">
      <c r="D1208" s="38">
        <f>IFERROR(__xludf.DUMMYFUNCTION("""COMPUTED_VALUE"""),41057.0)</f>
        <v>41057</v>
      </c>
      <c r="E1208" s="39">
        <v>4.0</v>
      </c>
      <c r="G1208" s="12">
        <f t="shared" si="230"/>
        <v>39965</v>
      </c>
    </row>
    <row r="1209">
      <c r="D1209" s="38">
        <f>IFERROR(__xludf.DUMMYFUNCTION("""COMPUTED_VALUE"""),41058.0)</f>
        <v>41058</v>
      </c>
      <c r="E1209" s="39">
        <v>4.0</v>
      </c>
      <c r="G1209" s="12">
        <f t="shared" si="230"/>
        <v>39965</v>
      </c>
    </row>
    <row r="1210">
      <c r="D1210" s="38">
        <f>IFERROR(__xludf.DUMMYFUNCTION("""COMPUTED_VALUE"""),41059.0)</f>
        <v>41059</v>
      </c>
      <c r="E1210" s="39">
        <v>4.0</v>
      </c>
      <c r="G1210" s="12">
        <f>DATE(2012,12,31)-1307</f>
        <v>39967</v>
      </c>
    </row>
    <row r="1211">
      <c r="D1211" s="38">
        <f>IFERROR(__xludf.DUMMYFUNCTION("""COMPUTED_VALUE"""),41060.0)</f>
        <v>41060</v>
      </c>
      <c r="E1211" s="39">
        <v>4.0</v>
      </c>
      <c r="G1211" s="12">
        <f>DATE(2012,12,31)-1306</f>
        <v>39968</v>
      </c>
    </row>
    <row r="1212">
      <c r="D1212" s="38">
        <f>IFERROR(__xludf.DUMMYFUNCTION("""COMPUTED_VALUE"""),41061.0)</f>
        <v>41061</v>
      </c>
      <c r="E1212" s="39">
        <v>4.0</v>
      </c>
      <c r="G1212" s="12">
        <f t="shared" ref="G1212:G1213" si="231">DATE(2012,12,31)-1304</f>
        <v>39970</v>
      </c>
    </row>
    <row r="1213">
      <c r="D1213" s="38">
        <f>IFERROR(__xludf.DUMMYFUNCTION("""COMPUTED_VALUE"""),41062.0)</f>
        <v>41062</v>
      </c>
      <c r="E1213" s="39">
        <v>4.0</v>
      </c>
      <c r="G1213" s="12">
        <f t="shared" si="231"/>
        <v>39970</v>
      </c>
    </row>
    <row r="1214">
      <c r="D1214" s="38">
        <f>IFERROR(__xludf.DUMMYFUNCTION("""COMPUTED_VALUE"""),41063.0)</f>
        <v>41063</v>
      </c>
      <c r="E1214" s="39">
        <v>4.0</v>
      </c>
      <c r="G1214" s="12">
        <f>DATE(2012,12,31)-1303</f>
        <v>39971</v>
      </c>
    </row>
    <row r="1215">
      <c r="D1215" s="38">
        <f>IFERROR(__xludf.DUMMYFUNCTION("""COMPUTED_VALUE"""),41064.0)</f>
        <v>41064</v>
      </c>
      <c r="E1215" s="39">
        <v>4.0</v>
      </c>
      <c r="G1215" s="12">
        <f t="shared" ref="G1215:G1216" si="232">DATE(2012,12,31)-1299</f>
        <v>39975</v>
      </c>
    </row>
    <row r="1216">
      <c r="D1216" s="38">
        <f>IFERROR(__xludf.DUMMYFUNCTION("""COMPUTED_VALUE"""),41065.0)</f>
        <v>41065</v>
      </c>
      <c r="E1216" s="39">
        <v>4.0</v>
      </c>
      <c r="G1216" s="12">
        <f t="shared" si="232"/>
        <v>39975</v>
      </c>
    </row>
    <row r="1217">
      <c r="D1217" s="38">
        <f>IFERROR(__xludf.DUMMYFUNCTION("""COMPUTED_VALUE"""),41066.0)</f>
        <v>41066</v>
      </c>
      <c r="E1217" s="39">
        <v>4.0</v>
      </c>
      <c r="G1217" s="12">
        <f t="shared" ref="G1217:G1218" si="233">DATE(2012,12,31)-1298</f>
        <v>39976</v>
      </c>
    </row>
    <row r="1218">
      <c r="D1218" s="38">
        <f>IFERROR(__xludf.DUMMYFUNCTION("""COMPUTED_VALUE"""),41067.0)</f>
        <v>41067</v>
      </c>
      <c r="E1218" s="39">
        <v>4.0</v>
      </c>
      <c r="G1218" s="12">
        <f t="shared" si="233"/>
        <v>39976</v>
      </c>
    </row>
    <row r="1219">
      <c r="D1219" s="38">
        <f>IFERROR(__xludf.DUMMYFUNCTION("""COMPUTED_VALUE"""),41068.0)</f>
        <v>41068</v>
      </c>
      <c r="E1219" s="39">
        <v>4.0</v>
      </c>
      <c r="G1219" s="12">
        <f>DATE(2012,12,31)-1297</f>
        <v>39977</v>
      </c>
    </row>
    <row r="1220">
      <c r="D1220" s="38">
        <f>IFERROR(__xludf.DUMMYFUNCTION("""COMPUTED_VALUE"""),41069.0)</f>
        <v>41069</v>
      </c>
      <c r="E1220" s="39">
        <v>4.0</v>
      </c>
      <c r="G1220" s="12">
        <f>DATE(2012,12,31)-1295</f>
        <v>39979</v>
      </c>
    </row>
    <row r="1221">
      <c r="D1221" s="38">
        <f>IFERROR(__xludf.DUMMYFUNCTION("""COMPUTED_VALUE"""),41070.0)</f>
        <v>41070</v>
      </c>
      <c r="E1221" s="39">
        <v>4.0</v>
      </c>
      <c r="G1221" s="12">
        <f>DATE(2012,12,31)-1293</f>
        <v>39981</v>
      </c>
    </row>
    <row r="1222">
      <c r="D1222" s="38">
        <f>IFERROR(__xludf.DUMMYFUNCTION("""COMPUTED_VALUE"""),41071.0)</f>
        <v>41071</v>
      </c>
      <c r="E1222" s="39">
        <v>4.0</v>
      </c>
      <c r="G1222" s="12">
        <f t="shared" ref="G1222:G1223" si="234">DATE(2012,12,31)-1291</f>
        <v>39983</v>
      </c>
    </row>
    <row r="1223">
      <c r="D1223" s="38">
        <f>IFERROR(__xludf.DUMMYFUNCTION("""COMPUTED_VALUE"""),41072.0)</f>
        <v>41072</v>
      </c>
      <c r="E1223" s="39">
        <v>4.0</v>
      </c>
      <c r="G1223" s="12">
        <f t="shared" si="234"/>
        <v>39983</v>
      </c>
    </row>
    <row r="1224">
      <c r="D1224" s="38">
        <f>IFERROR(__xludf.DUMMYFUNCTION("""COMPUTED_VALUE"""),41073.0)</f>
        <v>41073</v>
      </c>
      <c r="E1224" s="39">
        <v>4.0</v>
      </c>
      <c r="G1224" s="12">
        <f>DATE(2012,12,31)-1290</f>
        <v>39984</v>
      </c>
    </row>
    <row r="1225">
      <c r="D1225" s="38">
        <f>IFERROR(__xludf.DUMMYFUNCTION("""COMPUTED_VALUE"""),41074.0)</f>
        <v>41074</v>
      </c>
      <c r="E1225" s="39">
        <v>4.0</v>
      </c>
      <c r="G1225" s="12">
        <f>DATE(2012,12,31)-1289</f>
        <v>39985</v>
      </c>
    </row>
    <row r="1226">
      <c r="D1226" s="38">
        <f>IFERROR(__xludf.DUMMYFUNCTION("""COMPUTED_VALUE"""),41075.0)</f>
        <v>41075</v>
      </c>
      <c r="E1226" s="39">
        <v>4.0</v>
      </c>
      <c r="G1226" s="12">
        <f t="shared" ref="G1226:G1227" si="235">DATE(2012,12,31)-1288</f>
        <v>39986</v>
      </c>
    </row>
    <row r="1227">
      <c r="D1227" s="38">
        <f>IFERROR(__xludf.DUMMYFUNCTION("""COMPUTED_VALUE"""),41076.0)</f>
        <v>41076</v>
      </c>
      <c r="E1227" s="39">
        <v>4.0</v>
      </c>
      <c r="G1227" s="12">
        <f t="shared" si="235"/>
        <v>39986</v>
      </c>
    </row>
    <row r="1228">
      <c r="D1228" s="38">
        <f>IFERROR(__xludf.DUMMYFUNCTION("""COMPUTED_VALUE"""),41077.0)</f>
        <v>41077</v>
      </c>
      <c r="E1228" s="39">
        <v>4.0</v>
      </c>
      <c r="G1228" s="12">
        <f>DATE(2012,12,31)-1286</f>
        <v>39988</v>
      </c>
    </row>
    <row r="1229">
      <c r="D1229" s="38">
        <f>IFERROR(__xludf.DUMMYFUNCTION("""COMPUTED_VALUE"""),41078.0)</f>
        <v>41078</v>
      </c>
      <c r="E1229" s="39">
        <v>4.0</v>
      </c>
      <c r="G1229" s="12">
        <f t="shared" ref="G1229:G1230" si="236">DATE(2012,12,31)-1280</f>
        <v>39994</v>
      </c>
    </row>
    <row r="1230">
      <c r="D1230" s="38">
        <f>IFERROR(__xludf.DUMMYFUNCTION("""COMPUTED_VALUE"""),41079.0)</f>
        <v>41079</v>
      </c>
      <c r="E1230" s="39">
        <v>4.0</v>
      </c>
      <c r="G1230" s="12">
        <f t="shared" si="236"/>
        <v>39994</v>
      </c>
    </row>
    <row r="1231">
      <c r="D1231" s="38">
        <f>IFERROR(__xludf.DUMMYFUNCTION("""COMPUTED_VALUE"""),41080.0)</f>
        <v>41080</v>
      </c>
      <c r="E1231" s="39">
        <v>4.0</v>
      </c>
      <c r="G1231" s="12">
        <f>DATE(2012,12,31)-1278</f>
        <v>39996</v>
      </c>
    </row>
    <row r="1232">
      <c r="D1232" s="38">
        <f>IFERROR(__xludf.DUMMYFUNCTION("""COMPUTED_VALUE"""),41082.0)</f>
        <v>41082</v>
      </c>
      <c r="E1232" s="39">
        <v>4.0</v>
      </c>
      <c r="G1232" s="12">
        <f>DATE(2012,12,31)-1276</f>
        <v>39998</v>
      </c>
    </row>
    <row r="1233">
      <c r="D1233" s="38">
        <f>IFERROR(__xludf.DUMMYFUNCTION("""COMPUTED_VALUE"""),41083.0)</f>
        <v>41083</v>
      </c>
      <c r="E1233" s="39">
        <v>4.0</v>
      </c>
      <c r="G1233" s="12">
        <f t="shared" ref="G1233:G1235" si="237">DATE(2012,12,31)-1274</f>
        <v>40000</v>
      </c>
    </row>
    <row r="1234">
      <c r="D1234" s="38">
        <f>IFERROR(__xludf.DUMMYFUNCTION("""COMPUTED_VALUE"""),41084.0)</f>
        <v>41084</v>
      </c>
      <c r="E1234" s="39">
        <v>4.0</v>
      </c>
      <c r="G1234" s="12">
        <f t="shared" si="237"/>
        <v>40000</v>
      </c>
    </row>
    <row r="1235">
      <c r="D1235" s="38">
        <f>IFERROR(__xludf.DUMMYFUNCTION("""COMPUTED_VALUE"""),41085.0)</f>
        <v>41085</v>
      </c>
      <c r="E1235" s="39">
        <v>4.0</v>
      </c>
      <c r="G1235" s="12">
        <f t="shared" si="237"/>
        <v>40000</v>
      </c>
    </row>
    <row r="1236">
      <c r="D1236" s="38">
        <f>IFERROR(__xludf.DUMMYFUNCTION("""COMPUTED_VALUE"""),41086.0)</f>
        <v>41086</v>
      </c>
      <c r="E1236" s="39">
        <v>4.0</v>
      </c>
      <c r="G1236" s="12">
        <f>DATE(2012,12,31)-1273</f>
        <v>40001</v>
      </c>
    </row>
    <row r="1237">
      <c r="D1237" s="38">
        <f>IFERROR(__xludf.DUMMYFUNCTION("""COMPUTED_VALUE"""),41087.0)</f>
        <v>41087</v>
      </c>
      <c r="E1237" s="39">
        <v>4.0</v>
      </c>
      <c r="G1237" s="12">
        <f>DATE(2012,12,31)-1270</f>
        <v>40004</v>
      </c>
    </row>
    <row r="1238">
      <c r="D1238" s="38">
        <f>IFERROR(__xludf.DUMMYFUNCTION("""COMPUTED_VALUE"""),41088.0)</f>
        <v>41088</v>
      </c>
      <c r="E1238" s="39">
        <v>4.0</v>
      </c>
      <c r="G1238" s="12">
        <f>DATE(2012,12,31)-1268</f>
        <v>40006</v>
      </c>
    </row>
    <row r="1239">
      <c r="D1239" s="38">
        <f>IFERROR(__xludf.DUMMYFUNCTION("""COMPUTED_VALUE"""),41089.0)</f>
        <v>41089</v>
      </c>
      <c r="E1239" s="39">
        <v>4.0</v>
      </c>
      <c r="G1239" s="12">
        <f>DATE(2012,12,31)-1265</f>
        <v>40009</v>
      </c>
    </row>
    <row r="1240">
      <c r="D1240" s="38">
        <f>IFERROR(__xludf.DUMMYFUNCTION("""COMPUTED_VALUE"""),41090.0)</f>
        <v>41090</v>
      </c>
      <c r="E1240" s="39">
        <v>4.0</v>
      </c>
      <c r="G1240" s="12">
        <f t="shared" ref="G1240:G1241" si="238">DATE(2012,12,31)-1259</f>
        <v>40015</v>
      </c>
    </row>
    <row r="1241">
      <c r="D1241" s="38">
        <f>IFERROR(__xludf.DUMMYFUNCTION("""COMPUTED_VALUE"""),41091.0)</f>
        <v>41091</v>
      </c>
      <c r="E1241" s="39">
        <v>4.0</v>
      </c>
      <c r="G1241" s="12">
        <f t="shared" si="238"/>
        <v>40015</v>
      </c>
    </row>
    <row r="1242">
      <c r="D1242" s="38">
        <f>IFERROR(__xludf.DUMMYFUNCTION("""COMPUTED_VALUE"""),41092.0)</f>
        <v>41092</v>
      </c>
      <c r="E1242" s="39">
        <v>4.0</v>
      </c>
      <c r="G1242" s="12">
        <f t="shared" ref="G1242:G1243" si="239">DATE(2012,12,31)-1256</f>
        <v>40018</v>
      </c>
    </row>
    <row r="1243">
      <c r="D1243" s="38">
        <f>IFERROR(__xludf.DUMMYFUNCTION("""COMPUTED_VALUE"""),41093.0)</f>
        <v>41093</v>
      </c>
      <c r="E1243" s="39">
        <v>4.0</v>
      </c>
      <c r="G1243" s="12">
        <f t="shared" si="239"/>
        <v>40018</v>
      </c>
    </row>
    <row r="1244">
      <c r="D1244" s="38">
        <f>IFERROR(__xludf.DUMMYFUNCTION("""COMPUTED_VALUE"""),41095.0)</f>
        <v>41095</v>
      </c>
      <c r="E1244" s="39">
        <v>4.0</v>
      </c>
      <c r="G1244" s="12">
        <f>DATE(2012,12,31)-1254</f>
        <v>40020</v>
      </c>
    </row>
    <row r="1245">
      <c r="D1245" s="38">
        <f>IFERROR(__xludf.DUMMYFUNCTION("""COMPUTED_VALUE"""),41096.0)</f>
        <v>41096</v>
      </c>
      <c r="E1245" s="39">
        <v>4.0</v>
      </c>
      <c r="G1245" s="12">
        <f>DATE(2012,12,31)-1253</f>
        <v>40021</v>
      </c>
    </row>
    <row r="1246">
      <c r="D1246" s="38">
        <f>IFERROR(__xludf.DUMMYFUNCTION("""COMPUTED_VALUE"""),41097.0)</f>
        <v>41097</v>
      </c>
      <c r="E1246" s="39">
        <v>4.0</v>
      </c>
      <c r="G1246" s="12">
        <f>DATE(2012,12,31)-1251</f>
        <v>40023</v>
      </c>
    </row>
    <row r="1247">
      <c r="D1247" s="38">
        <f>IFERROR(__xludf.DUMMYFUNCTION("""COMPUTED_VALUE"""),41098.0)</f>
        <v>41098</v>
      </c>
      <c r="E1247" s="39">
        <v>4.0</v>
      </c>
      <c r="G1247" s="12">
        <f t="shared" ref="G1247:G1250" si="240">DATE(2012,12,31)-1249</f>
        <v>40025</v>
      </c>
    </row>
    <row r="1248">
      <c r="D1248" s="38">
        <f>IFERROR(__xludf.DUMMYFUNCTION("""COMPUTED_VALUE"""),41099.0)</f>
        <v>41099</v>
      </c>
      <c r="E1248" s="39">
        <v>4.0</v>
      </c>
      <c r="G1248" s="12">
        <f t="shared" si="240"/>
        <v>40025</v>
      </c>
    </row>
    <row r="1249">
      <c r="D1249" s="38">
        <f>IFERROR(__xludf.DUMMYFUNCTION("""COMPUTED_VALUE"""),41100.0)</f>
        <v>41100</v>
      </c>
      <c r="E1249" s="39">
        <v>4.0</v>
      </c>
      <c r="G1249" s="12">
        <f t="shared" si="240"/>
        <v>40025</v>
      </c>
    </row>
    <row r="1250">
      <c r="D1250" s="38">
        <f>IFERROR(__xludf.DUMMYFUNCTION("""COMPUTED_VALUE"""),41101.0)</f>
        <v>41101</v>
      </c>
      <c r="E1250" s="39">
        <v>4.0</v>
      </c>
      <c r="G1250" s="12">
        <f t="shared" si="240"/>
        <v>40025</v>
      </c>
    </row>
    <row r="1251">
      <c r="D1251" s="38">
        <f>IFERROR(__xludf.DUMMYFUNCTION("""COMPUTED_VALUE"""),41102.0)</f>
        <v>41102</v>
      </c>
      <c r="E1251" s="39">
        <v>4.0</v>
      </c>
      <c r="G1251" s="12">
        <f>DATE(2012,12,31)-1248</f>
        <v>40026</v>
      </c>
    </row>
    <row r="1252">
      <c r="D1252" s="38">
        <f>IFERROR(__xludf.DUMMYFUNCTION("""COMPUTED_VALUE"""),41103.0)</f>
        <v>41103</v>
      </c>
      <c r="E1252" s="39">
        <v>4.0</v>
      </c>
      <c r="G1252" s="12">
        <f>DATE(2012,12,31)-1245</f>
        <v>40029</v>
      </c>
    </row>
    <row r="1253">
      <c r="D1253" s="38">
        <f>IFERROR(__xludf.DUMMYFUNCTION("""COMPUTED_VALUE"""),41104.0)</f>
        <v>41104</v>
      </c>
      <c r="E1253" s="39">
        <v>4.0</v>
      </c>
      <c r="G1253" s="12">
        <f>DATE(2012,12,31)-1244</f>
        <v>40030</v>
      </c>
    </row>
    <row r="1254">
      <c r="D1254" s="38">
        <f>IFERROR(__xludf.DUMMYFUNCTION("""COMPUTED_VALUE"""),41105.0)</f>
        <v>41105</v>
      </c>
      <c r="E1254" s="39">
        <v>4.0</v>
      </c>
      <c r="G1254" s="12">
        <f t="shared" ref="G1254:G1256" si="241">DATE(2012,12,31)-1243</f>
        <v>40031</v>
      </c>
    </row>
    <row r="1255">
      <c r="D1255" s="38">
        <f>IFERROR(__xludf.DUMMYFUNCTION("""COMPUTED_VALUE"""),41106.0)</f>
        <v>41106</v>
      </c>
      <c r="E1255" s="39">
        <v>4.0</v>
      </c>
      <c r="G1255" s="12">
        <f t="shared" si="241"/>
        <v>40031</v>
      </c>
    </row>
    <row r="1256">
      <c r="D1256" s="38">
        <f>IFERROR(__xludf.DUMMYFUNCTION("""COMPUTED_VALUE"""),41107.0)</f>
        <v>41107</v>
      </c>
      <c r="E1256" s="39">
        <v>4.0</v>
      </c>
      <c r="G1256" s="12">
        <f t="shared" si="241"/>
        <v>40031</v>
      </c>
    </row>
    <row r="1257">
      <c r="D1257" s="38">
        <f>IFERROR(__xludf.DUMMYFUNCTION("""COMPUTED_VALUE"""),41108.0)</f>
        <v>41108</v>
      </c>
      <c r="E1257" s="39">
        <v>4.0</v>
      </c>
      <c r="G1257" s="12">
        <f>DATE(2012,12,31)-1242</f>
        <v>40032</v>
      </c>
    </row>
    <row r="1258">
      <c r="D1258" s="38">
        <f>IFERROR(__xludf.DUMMYFUNCTION("""COMPUTED_VALUE"""),41109.0)</f>
        <v>41109</v>
      </c>
      <c r="E1258" s="39">
        <v>4.0</v>
      </c>
      <c r="G1258" s="12">
        <f t="shared" ref="G1258:G1259" si="242">DATE(2012,12,31)-1237</f>
        <v>40037</v>
      </c>
    </row>
    <row r="1259">
      <c r="D1259" s="38">
        <f>IFERROR(__xludf.DUMMYFUNCTION("""COMPUTED_VALUE"""),41110.0)</f>
        <v>41110</v>
      </c>
      <c r="E1259" s="39">
        <v>4.0</v>
      </c>
      <c r="G1259" s="12">
        <f t="shared" si="242"/>
        <v>40037</v>
      </c>
    </row>
    <row r="1260">
      <c r="D1260" s="38">
        <f>IFERROR(__xludf.DUMMYFUNCTION("""COMPUTED_VALUE"""),41111.0)</f>
        <v>41111</v>
      </c>
      <c r="E1260" s="39">
        <v>4.0</v>
      </c>
      <c r="G1260" s="12">
        <f t="shared" ref="G1260:G1261" si="243">DATE(2012,12,31)-1235</f>
        <v>40039</v>
      </c>
    </row>
    <row r="1261">
      <c r="D1261" s="38">
        <f>IFERROR(__xludf.DUMMYFUNCTION("""COMPUTED_VALUE"""),41112.0)</f>
        <v>41112</v>
      </c>
      <c r="E1261" s="39">
        <v>4.0</v>
      </c>
      <c r="G1261" s="12">
        <f t="shared" si="243"/>
        <v>40039</v>
      </c>
    </row>
    <row r="1262">
      <c r="D1262" s="38">
        <f>IFERROR(__xludf.DUMMYFUNCTION("""COMPUTED_VALUE"""),41113.0)</f>
        <v>41113</v>
      </c>
      <c r="E1262" s="39">
        <v>4.0</v>
      </c>
      <c r="G1262" s="12">
        <f>DATE(2012,12,31)-1233</f>
        <v>40041</v>
      </c>
    </row>
    <row r="1263">
      <c r="D1263" s="38">
        <f>IFERROR(__xludf.DUMMYFUNCTION("""COMPUTED_VALUE"""),41114.0)</f>
        <v>41114</v>
      </c>
      <c r="E1263" s="39">
        <v>4.0</v>
      </c>
      <c r="G1263" s="12">
        <f>DATE(2012,12,31)-1231</f>
        <v>40043</v>
      </c>
    </row>
    <row r="1264">
      <c r="D1264" s="38">
        <f>IFERROR(__xludf.DUMMYFUNCTION("""COMPUTED_VALUE"""),41115.0)</f>
        <v>41115</v>
      </c>
      <c r="E1264" s="39">
        <v>4.0</v>
      </c>
      <c r="G1264" s="12">
        <f>DATE(2012,12,31)-1229</f>
        <v>40045</v>
      </c>
    </row>
    <row r="1265">
      <c r="D1265" s="38">
        <f>IFERROR(__xludf.DUMMYFUNCTION("""COMPUTED_VALUE"""),41116.0)</f>
        <v>41116</v>
      </c>
      <c r="E1265" s="39">
        <v>3.0</v>
      </c>
      <c r="G1265" s="12">
        <f t="shared" ref="G1265:G1266" si="244">DATE(2012,12,31)-1328</f>
        <v>39946</v>
      </c>
    </row>
    <row r="1266">
      <c r="D1266" s="38">
        <f>IFERROR(__xludf.DUMMYFUNCTION("""COMPUTED_VALUE"""),41117.0)</f>
        <v>41117</v>
      </c>
      <c r="E1266" s="39">
        <v>3.0</v>
      </c>
      <c r="G1266" s="12">
        <f t="shared" si="244"/>
        <v>39946</v>
      </c>
    </row>
    <row r="1267">
      <c r="D1267" s="38">
        <f>IFERROR(__xludf.DUMMYFUNCTION("""COMPUTED_VALUE"""),41118.0)</f>
        <v>41118</v>
      </c>
      <c r="E1267" s="39">
        <v>3.0</v>
      </c>
      <c r="G1267" s="12">
        <f>DATE(2012,12,31)-1327</f>
        <v>39947</v>
      </c>
    </row>
    <row r="1268">
      <c r="D1268" s="38">
        <f>IFERROR(__xludf.DUMMYFUNCTION("""COMPUTED_VALUE"""),41119.0)</f>
        <v>41119</v>
      </c>
      <c r="E1268" s="39">
        <v>3.0</v>
      </c>
      <c r="G1268" s="12">
        <f>DATE(2012,12,31)-1326</f>
        <v>39948</v>
      </c>
    </row>
    <row r="1269">
      <c r="D1269" s="38">
        <f>IFERROR(__xludf.DUMMYFUNCTION("""COMPUTED_VALUE"""),41120.0)</f>
        <v>41120</v>
      </c>
      <c r="E1269" s="39">
        <v>3.0</v>
      </c>
      <c r="G1269" s="12">
        <f>DATE(2012,12,31)-1323</f>
        <v>39951</v>
      </c>
    </row>
    <row r="1270">
      <c r="D1270" s="38">
        <f>IFERROR(__xludf.DUMMYFUNCTION("""COMPUTED_VALUE"""),41121.0)</f>
        <v>41121</v>
      </c>
      <c r="E1270" s="39">
        <v>3.0</v>
      </c>
      <c r="G1270" s="12">
        <f>DATE(2012,12,31)-1322</f>
        <v>39952</v>
      </c>
    </row>
    <row r="1271">
      <c r="D1271" s="38">
        <f>IFERROR(__xludf.DUMMYFUNCTION("""COMPUTED_VALUE"""),41122.0)</f>
        <v>41122</v>
      </c>
      <c r="E1271" s="39">
        <v>3.0</v>
      </c>
      <c r="G1271" s="12">
        <f>DATE(2012,12,31)-1321</f>
        <v>39953</v>
      </c>
    </row>
    <row r="1272">
      <c r="D1272" s="38">
        <f>IFERROR(__xludf.DUMMYFUNCTION("""COMPUTED_VALUE"""),41123.0)</f>
        <v>41123</v>
      </c>
      <c r="E1272" s="39">
        <v>3.0</v>
      </c>
      <c r="G1272" s="12">
        <f>DATE(2012,12,31)-1320</f>
        <v>39954</v>
      </c>
    </row>
    <row r="1273">
      <c r="D1273" s="38">
        <f>IFERROR(__xludf.DUMMYFUNCTION("""COMPUTED_VALUE"""),41124.0)</f>
        <v>41124</v>
      </c>
      <c r="E1273" s="39">
        <v>3.0</v>
      </c>
      <c r="G1273" s="12">
        <f>DATE(2012,12,31)-1319</f>
        <v>39955</v>
      </c>
    </row>
    <row r="1274">
      <c r="D1274" s="38">
        <f>IFERROR(__xludf.DUMMYFUNCTION("""COMPUTED_VALUE"""),41125.0)</f>
        <v>41125</v>
      </c>
      <c r="E1274" s="39">
        <v>3.0</v>
      </c>
      <c r="G1274" s="12">
        <f>DATE(2012,12,31)-1316</f>
        <v>39958</v>
      </c>
    </row>
    <row r="1275">
      <c r="D1275" s="38">
        <f>IFERROR(__xludf.DUMMYFUNCTION("""COMPUTED_VALUE"""),41126.0)</f>
        <v>41126</v>
      </c>
      <c r="E1275" s="39">
        <v>3.0</v>
      </c>
      <c r="G1275" s="12">
        <f>DATE(2012,12,31)-1312</f>
        <v>39962</v>
      </c>
    </row>
    <row r="1276">
      <c r="D1276" s="38">
        <f>IFERROR(__xludf.DUMMYFUNCTION("""COMPUTED_VALUE"""),41127.0)</f>
        <v>41127</v>
      </c>
      <c r="E1276" s="39">
        <v>3.0</v>
      </c>
      <c r="G1276" s="12">
        <f>DATE(2012,12,31)-1311</f>
        <v>39963</v>
      </c>
    </row>
    <row r="1277">
      <c r="D1277" s="38">
        <f>IFERROR(__xludf.DUMMYFUNCTION("""COMPUTED_VALUE"""),41128.0)</f>
        <v>41128</v>
      </c>
      <c r="E1277" s="39">
        <v>3.0</v>
      </c>
      <c r="G1277" s="12">
        <f t="shared" ref="G1277:G1278" si="245">DATE(2012,12,31)-1309</f>
        <v>39965</v>
      </c>
    </row>
    <row r="1278">
      <c r="D1278" s="38">
        <f>IFERROR(__xludf.DUMMYFUNCTION("""COMPUTED_VALUE"""),41129.0)</f>
        <v>41129</v>
      </c>
      <c r="E1278" s="39">
        <v>3.0</v>
      </c>
      <c r="G1278" s="12">
        <f t="shared" si="245"/>
        <v>39965</v>
      </c>
    </row>
    <row r="1279">
      <c r="D1279" s="38">
        <f>IFERROR(__xludf.DUMMYFUNCTION("""COMPUTED_VALUE"""),41130.0)</f>
        <v>41130</v>
      </c>
      <c r="E1279" s="39">
        <v>3.0</v>
      </c>
      <c r="G1279" s="12">
        <f t="shared" ref="G1279:G1281" si="246">DATE(2012,12,31)-1308</f>
        <v>39966</v>
      </c>
    </row>
    <row r="1280">
      <c r="D1280" s="38">
        <f>IFERROR(__xludf.DUMMYFUNCTION("""COMPUTED_VALUE"""),41131.0)</f>
        <v>41131</v>
      </c>
      <c r="E1280" s="39">
        <v>3.0</v>
      </c>
      <c r="G1280" s="12">
        <f t="shared" si="246"/>
        <v>39966</v>
      </c>
    </row>
    <row r="1281">
      <c r="D1281" s="38">
        <f>IFERROR(__xludf.DUMMYFUNCTION("""COMPUTED_VALUE"""),41132.0)</f>
        <v>41132</v>
      </c>
      <c r="E1281" s="39">
        <v>3.0</v>
      </c>
      <c r="G1281" s="12">
        <f t="shared" si="246"/>
        <v>39966</v>
      </c>
    </row>
    <row r="1282">
      <c r="D1282" s="38">
        <f>IFERROR(__xludf.DUMMYFUNCTION("""COMPUTED_VALUE"""),41133.0)</f>
        <v>41133</v>
      </c>
      <c r="E1282" s="39">
        <v>3.0</v>
      </c>
      <c r="G1282" s="12">
        <f t="shared" ref="G1282:G1283" si="247">DATE(2012,12,31)-1307</f>
        <v>39967</v>
      </c>
    </row>
    <row r="1283">
      <c r="D1283" s="38">
        <f>IFERROR(__xludf.DUMMYFUNCTION("""COMPUTED_VALUE"""),41134.0)</f>
        <v>41134</v>
      </c>
      <c r="E1283" s="39">
        <v>3.0</v>
      </c>
      <c r="G1283" s="12">
        <f t="shared" si="247"/>
        <v>39967</v>
      </c>
    </row>
    <row r="1284">
      <c r="D1284" s="38">
        <f>IFERROR(__xludf.DUMMYFUNCTION("""COMPUTED_VALUE"""),41135.0)</f>
        <v>41135</v>
      </c>
      <c r="E1284" s="39">
        <v>3.0</v>
      </c>
      <c r="G1284" s="12">
        <f>DATE(2012,12,31)-1303</f>
        <v>39971</v>
      </c>
    </row>
    <row r="1285">
      <c r="D1285" s="38">
        <f>IFERROR(__xludf.DUMMYFUNCTION("""COMPUTED_VALUE"""),41136.0)</f>
        <v>41136</v>
      </c>
      <c r="E1285" s="39">
        <v>3.0</v>
      </c>
      <c r="G1285" s="12">
        <f t="shared" ref="G1285:G1286" si="248">DATE(2012,12,31)-1299</f>
        <v>39975</v>
      </c>
    </row>
    <row r="1286">
      <c r="D1286" s="38">
        <f>IFERROR(__xludf.DUMMYFUNCTION("""COMPUTED_VALUE"""),41137.0)</f>
        <v>41137</v>
      </c>
      <c r="E1286" s="39">
        <v>3.0</v>
      </c>
      <c r="G1286" s="12">
        <f t="shared" si="248"/>
        <v>39975</v>
      </c>
    </row>
    <row r="1287">
      <c r="D1287" s="38">
        <f>IFERROR(__xludf.DUMMYFUNCTION("""COMPUTED_VALUE"""),41138.0)</f>
        <v>41138</v>
      </c>
      <c r="E1287" s="39">
        <v>3.0</v>
      </c>
      <c r="G1287" s="12">
        <f>DATE(2012,12,31)-1298</f>
        <v>39976</v>
      </c>
    </row>
    <row r="1288">
      <c r="D1288" s="38">
        <f>IFERROR(__xludf.DUMMYFUNCTION("""COMPUTED_VALUE"""),41139.0)</f>
        <v>41139</v>
      </c>
      <c r="E1288" s="39">
        <v>3.0</v>
      </c>
      <c r="G1288" s="12">
        <f>DATE(2012,12,31)-1297</f>
        <v>39977</v>
      </c>
    </row>
    <row r="1289">
      <c r="D1289" s="38">
        <f>IFERROR(__xludf.DUMMYFUNCTION("""COMPUTED_VALUE"""),41140.0)</f>
        <v>41140</v>
      </c>
      <c r="E1289" s="39">
        <v>3.0</v>
      </c>
      <c r="G1289" s="12">
        <f>DATE(2012,12,31)-1296</f>
        <v>39978</v>
      </c>
    </row>
    <row r="1290">
      <c r="D1290" s="38">
        <f>IFERROR(__xludf.DUMMYFUNCTION("""COMPUTED_VALUE"""),41141.0)</f>
        <v>41141</v>
      </c>
      <c r="E1290" s="39">
        <v>3.0</v>
      </c>
      <c r="G1290" s="12">
        <f t="shared" ref="G1290:G1292" si="249">DATE(2012,12,31)-1293</f>
        <v>39981</v>
      </c>
    </row>
    <row r="1291">
      <c r="D1291" s="38">
        <f>IFERROR(__xludf.DUMMYFUNCTION("""COMPUTED_VALUE"""),41142.0)</f>
        <v>41142</v>
      </c>
      <c r="E1291" s="39">
        <v>3.0</v>
      </c>
      <c r="G1291" s="12">
        <f t="shared" si="249"/>
        <v>39981</v>
      </c>
    </row>
    <row r="1292">
      <c r="D1292" s="38">
        <f>IFERROR(__xludf.DUMMYFUNCTION("""COMPUTED_VALUE"""),41143.0)</f>
        <v>41143</v>
      </c>
      <c r="E1292" s="39">
        <v>3.0</v>
      </c>
      <c r="G1292" s="12">
        <f t="shared" si="249"/>
        <v>39981</v>
      </c>
    </row>
    <row r="1293">
      <c r="D1293" s="38">
        <f>IFERROR(__xludf.DUMMYFUNCTION("""COMPUTED_VALUE"""),41144.0)</f>
        <v>41144</v>
      </c>
      <c r="E1293" s="39">
        <v>3.0</v>
      </c>
      <c r="G1293" s="12">
        <f>DATE(2012,12,31)-1292</f>
        <v>39982</v>
      </c>
    </row>
    <row r="1294">
      <c r="D1294" s="38">
        <f>IFERROR(__xludf.DUMMYFUNCTION("""COMPUTED_VALUE"""),41145.0)</f>
        <v>41145</v>
      </c>
      <c r="E1294" s="39">
        <v>3.0</v>
      </c>
      <c r="G1294" s="12">
        <f t="shared" ref="G1294:G1295" si="250">DATE(2012,12,31)-1286</f>
        <v>39988</v>
      </c>
    </row>
    <row r="1295">
      <c r="D1295" s="38">
        <f>IFERROR(__xludf.DUMMYFUNCTION("""COMPUTED_VALUE"""),41147.0)</f>
        <v>41147</v>
      </c>
      <c r="E1295" s="39">
        <v>3.0</v>
      </c>
      <c r="G1295" s="12">
        <f t="shared" si="250"/>
        <v>39988</v>
      </c>
    </row>
    <row r="1296">
      <c r="D1296" s="38">
        <f>IFERROR(__xludf.DUMMYFUNCTION("""COMPUTED_VALUE"""),41148.0)</f>
        <v>41148</v>
      </c>
      <c r="E1296" s="39">
        <v>3.0</v>
      </c>
      <c r="G1296" s="12">
        <f>DATE(2012,12,31)-1281</f>
        <v>39993</v>
      </c>
    </row>
    <row r="1297">
      <c r="D1297" s="38">
        <f>IFERROR(__xludf.DUMMYFUNCTION("""COMPUTED_VALUE"""),41149.0)</f>
        <v>41149</v>
      </c>
      <c r="E1297" s="39">
        <v>3.0</v>
      </c>
      <c r="G1297" s="12">
        <f>DATE(2012,12,31)-1280</f>
        <v>39994</v>
      </c>
    </row>
    <row r="1298">
      <c r="D1298" s="38">
        <f>IFERROR(__xludf.DUMMYFUNCTION("""COMPUTED_VALUE"""),41150.0)</f>
        <v>41150</v>
      </c>
      <c r="E1298" s="39">
        <v>3.0</v>
      </c>
      <c r="G1298" s="12">
        <f t="shared" ref="G1298:G1300" si="251">DATE(2012,12,31)-1279</f>
        <v>39995</v>
      </c>
    </row>
    <row r="1299">
      <c r="D1299" s="38">
        <f>IFERROR(__xludf.DUMMYFUNCTION("""COMPUTED_VALUE"""),41151.0)</f>
        <v>41151</v>
      </c>
      <c r="E1299" s="39">
        <v>3.0</v>
      </c>
      <c r="G1299" s="12">
        <f t="shared" si="251"/>
        <v>39995</v>
      </c>
    </row>
    <row r="1300">
      <c r="D1300" s="38">
        <f>IFERROR(__xludf.DUMMYFUNCTION("""COMPUTED_VALUE"""),41153.0)</f>
        <v>41153</v>
      </c>
      <c r="E1300" s="39">
        <v>3.0</v>
      </c>
      <c r="G1300" s="12">
        <f t="shared" si="251"/>
        <v>39995</v>
      </c>
    </row>
    <row r="1301">
      <c r="D1301" s="38">
        <f>IFERROR(__xludf.DUMMYFUNCTION("""COMPUTED_VALUE"""),41154.0)</f>
        <v>41154</v>
      </c>
      <c r="E1301" s="39">
        <v>3.0</v>
      </c>
      <c r="G1301" s="12">
        <f>DATE(2012,12,31)-1275</f>
        <v>39999</v>
      </c>
    </row>
    <row r="1302">
      <c r="D1302" s="38">
        <f>IFERROR(__xludf.DUMMYFUNCTION("""COMPUTED_VALUE"""),41155.0)</f>
        <v>41155</v>
      </c>
      <c r="E1302" s="39">
        <v>3.0</v>
      </c>
      <c r="G1302" s="12">
        <f>DATE(2012,12,31)-1274</f>
        <v>40000</v>
      </c>
    </row>
    <row r="1303">
      <c r="D1303" s="38">
        <f>IFERROR(__xludf.DUMMYFUNCTION("""COMPUTED_VALUE"""),41156.0)</f>
        <v>41156</v>
      </c>
      <c r="E1303" s="39">
        <v>3.0</v>
      </c>
      <c r="G1303" s="12">
        <f t="shared" ref="G1303:G1304" si="252">DATE(2012,12,31)-1273</f>
        <v>40001</v>
      </c>
    </row>
    <row r="1304">
      <c r="D1304" s="38">
        <f>IFERROR(__xludf.DUMMYFUNCTION("""COMPUTED_VALUE"""),41157.0)</f>
        <v>41157</v>
      </c>
      <c r="E1304" s="39">
        <v>3.0</v>
      </c>
      <c r="G1304" s="12">
        <f t="shared" si="252"/>
        <v>40001</v>
      </c>
    </row>
    <row r="1305">
      <c r="D1305" s="38">
        <f>IFERROR(__xludf.DUMMYFUNCTION("""COMPUTED_VALUE"""),41158.0)</f>
        <v>41158</v>
      </c>
      <c r="E1305" s="39">
        <v>3.0</v>
      </c>
      <c r="G1305" s="12">
        <f>DATE(2012,12,31)-1272</f>
        <v>40002</v>
      </c>
    </row>
    <row r="1306">
      <c r="D1306" s="38">
        <f>IFERROR(__xludf.DUMMYFUNCTION("""COMPUTED_VALUE"""),41159.0)</f>
        <v>41159</v>
      </c>
      <c r="E1306" s="39">
        <v>3.0</v>
      </c>
      <c r="G1306" s="12">
        <f>DATE(2012,12,31)-1268</f>
        <v>40006</v>
      </c>
    </row>
    <row r="1307">
      <c r="D1307" s="38">
        <f>IFERROR(__xludf.DUMMYFUNCTION("""COMPUTED_VALUE"""),41160.0)</f>
        <v>41160</v>
      </c>
      <c r="E1307" s="39">
        <v>3.0</v>
      </c>
      <c r="G1307" s="12">
        <f>DATE(2012,12,31)-1267</f>
        <v>40007</v>
      </c>
    </row>
    <row r="1308">
      <c r="D1308" s="38">
        <f>IFERROR(__xludf.DUMMYFUNCTION("""COMPUTED_VALUE"""),41161.0)</f>
        <v>41161</v>
      </c>
      <c r="E1308" s="39">
        <v>3.0</v>
      </c>
      <c r="G1308" s="12">
        <f>DATE(2012,12,31)-1263</f>
        <v>40011</v>
      </c>
    </row>
    <row r="1309">
      <c r="D1309" s="38">
        <f>IFERROR(__xludf.DUMMYFUNCTION("""COMPUTED_VALUE"""),41162.0)</f>
        <v>41162</v>
      </c>
      <c r="E1309" s="39">
        <v>3.0</v>
      </c>
      <c r="G1309" s="12">
        <f t="shared" ref="G1309:G1310" si="253">DATE(2012,12,31)-1260</f>
        <v>40014</v>
      </c>
    </row>
    <row r="1310">
      <c r="D1310" s="38">
        <f>IFERROR(__xludf.DUMMYFUNCTION("""COMPUTED_VALUE"""),41163.0)</f>
        <v>41163</v>
      </c>
      <c r="E1310" s="39">
        <v>3.0</v>
      </c>
      <c r="G1310" s="12">
        <f t="shared" si="253"/>
        <v>40014</v>
      </c>
    </row>
    <row r="1311">
      <c r="D1311" s="38">
        <f>IFERROR(__xludf.DUMMYFUNCTION("""COMPUTED_VALUE"""),41164.0)</f>
        <v>41164</v>
      </c>
      <c r="E1311" s="39">
        <v>3.0</v>
      </c>
      <c r="G1311" s="12">
        <f>DATE(2012,12,31)-1258</f>
        <v>40016</v>
      </c>
    </row>
    <row r="1312">
      <c r="D1312" s="38">
        <f>IFERROR(__xludf.DUMMYFUNCTION("""COMPUTED_VALUE"""),41165.0)</f>
        <v>41165</v>
      </c>
      <c r="E1312" s="39">
        <v>3.0</v>
      </c>
      <c r="G1312" s="12">
        <f>DATE(2012,12,31)-1256</f>
        <v>40018</v>
      </c>
    </row>
    <row r="1313">
      <c r="D1313" s="38">
        <f>IFERROR(__xludf.DUMMYFUNCTION("""COMPUTED_VALUE"""),41166.0)</f>
        <v>41166</v>
      </c>
      <c r="E1313" s="39">
        <v>3.0</v>
      </c>
      <c r="G1313" s="12">
        <f>DATE(2012,12,31)-1254</f>
        <v>40020</v>
      </c>
    </row>
    <row r="1314">
      <c r="D1314" s="38">
        <f>IFERROR(__xludf.DUMMYFUNCTION("""COMPUTED_VALUE"""),41167.0)</f>
        <v>41167</v>
      </c>
      <c r="E1314" s="39">
        <v>3.0</v>
      </c>
      <c r="G1314" s="12">
        <f>DATE(2012,12,31)-1253</f>
        <v>40021</v>
      </c>
    </row>
    <row r="1315">
      <c r="D1315" s="38">
        <f>IFERROR(__xludf.DUMMYFUNCTION("""COMPUTED_VALUE"""),41168.0)</f>
        <v>41168</v>
      </c>
      <c r="E1315" s="39">
        <v>3.0</v>
      </c>
      <c r="G1315" s="12">
        <f>DATE(2012,12,31)-1251</f>
        <v>40023</v>
      </c>
    </row>
    <row r="1316">
      <c r="D1316" s="38">
        <f>IFERROR(__xludf.DUMMYFUNCTION("""COMPUTED_VALUE"""),41169.0)</f>
        <v>41169</v>
      </c>
      <c r="E1316" s="39">
        <v>3.0</v>
      </c>
      <c r="G1316" s="12">
        <f>DATE(2012,12,31)-1250</f>
        <v>40024</v>
      </c>
    </row>
    <row r="1317">
      <c r="D1317" s="38">
        <f>IFERROR(__xludf.DUMMYFUNCTION("""COMPUTED_VALUE"""),41170.0)</f>
        <v>41170</v>
      </c>
      <c r="E1317" s="39">
        <v>3.0</v>
      </c>
      <c r="G1317" s="12">
        <f>DATE(2012,12,31)-1247</f>
        <v>40027</v>
      </c>
    </row>
    <row r="1318">
      <c r="D1318" s="38">
        <f>IFERROR(__xludf.DUMMYFUNCTION("""COMPUTED_VALUE"""),41171.0)</f>
        <v>41171</v>
      </c>
      <c r="E1318" s="39">
        <v>3.0</v>
      </c>
      <c r="G1318" s="12">
        <f>DATE(2012,12,31)-1244</f>
        <v>40030</v>
      </c>
    </row>
    <row r="1319">
      <c r="D1319" s="38">
        <f>IFERROR(__xludf.DUMMYFUNCTION("""COMPUTED_VALUE"""),41172.0)</f>
        <v>41172</v>
      </c>
      <c r="E1319" s="39">
        <v>3.0</v>
      </c>
      <c r="G1319" s="12">
        <f>DATE(2012,12,31)-1243</f>
        <v>40031</v>
      </c>
    </row>
    <row r="1320">
      <c r="D1320" s="38">
        <f>IFERROR(__xludf.DUMMYFUNCTION("""COMPUTED_VALUE"""),41173.0)</f>
        <v>41173</v>
      </c>
      <c r="E1320" s="39">
        <v>3.0</v>
      </c>
      <c r="G1320" s="12">
        <f>DATE(2012,12,31)-1240</f>
        <v>40034</v>
      </c>
    </row>
    <row r="1321">
      <c r="D1321" s="38">
        <f>IFERROR(__xludf.DUMMYFUNCTION("""COMPUTED_VALUE"""),41174.0)</f>
        <v>41174</v>
      </c>
      <c r="E1321" s="39">
        <v>3.0</v>
      </c>
      <c r="G1321" s="12">
        <f t="shared" ref="G1321:G1322" si="254">DATE(2012,12,31)-1239</f>
        <v>40035</v>
      </c>
    </row>
    <row r="1322">
      <c r="D1322" s="38">
        <f>IFERROR(__xludf.DUMMYFUNCTION("""COMPUTED_VALUE"""),41175.0)</f>
        <v>41175</v>
      </c>
      <c r="E1322" s="39">
        <v>3.0</v>
      </c>
      <c r="G1322" s="12">
        <f t="shared" si="254"/>
        <v>40035</v>
      </c>
    </row>
    <row r="1323">
      <c r="D1323" s="38">
        <f>IFERROR(__xludf.DUMMYFUNCTION("""COMPUTED_VALUE"""),41176.0)</f>
        <v>41176</v>
      </c>
      <c r="E1323" s="39">
        <v>3.0</v>
      </c>
      <c r="G1323" s="12">
        <f>DATE(2012,12,31)-1238</f>
        <v>40036</v>
      </c>
    </row>
    <row r="1324">
      <c r="D1324" s="38">
        <f>IFERROR(__xludf.DUMMYFUNCTION("""COMPUTED_VALUE"""),41177.0)</f>
        <v>41177</v>
      </c>
      <c r="E1324" s="39">
        <v>3.0</v>
      </c>
      <c r="G1324" s="12">
        <f>DATE(2012,12,31)-1237</f>
        <v>40037</v>
      </c>
    </row>
    <row r="1325">
      <c r="D1325" s="38">
        <f>IFERROR(__xludf.DUMMYFUNCTION("""COMPUTED_VALUE"""),41179.0)</f>
        <v>41179</v>
      </c>
      <c r="E1325" s="39">
        <v>3.0</v>
      </c>
      <c r="G1325" s="12">
        <f>DATE(2012,12,31)-1236</f>
        <v>40038</v>
      </c>
    </row>
    <row r="1326">
      <c r="D1326" s="38">
        <f>IFERROR(__xludf.DUMMYFUNCTION("""COMPUTED_VALUE"""),41180.0)</f>
        <v>41180</v>
      </c>
      <c r="E1326" s="39">
        <v>3.0</v>
      </c>
      <c r="G1326" s="12">
        <f>DATE(2012,12,31)-1235</f>
        <v>40039</v>
      </c>
    </row>
    <row r="1327">
      <c r="D1327" s="38">
        <f>IFERROR(__xludf.DUMMYFUNCTION("""COMPUTED_VALUE"""),41181.0)</f>
        <v>41181</v>
      </c>
      <c r="E1327" s="39">
        <v>3.0</v>
      </c>
      <c r="G1327" s="12">
        <f t="shared" ref="G1327:G1330" si="255">DATE(2012,12,31)-1234</f>
        <v>40040</v>
      </c>
    </row>
    <row r="1328">
      <c r="D1328" s="38">
        <f>IFERROR(__xludf.DUMMYFUNCTION("""COMPUTED_VALUE"""),41182.0)</f>
        <v>41182</v>
      </c>
      <c r="E1328" s="39">
        <v>3.0</v>
      </c>
      <c r="G1328" s="12">
        <f t="shared" si="255"/>
        <v>40040</v>
      </c>
    </row>
    <row r="1329">
      <c r="D1329" s="38">
        <f>IFERROR(__xludf.DUMMYFUNCTION("""COMPUTED_VALUE"""),41183.0)</f>
        <v>41183</v>
      </c>
      <c r="E1329" s="39">
        <v>3.0</v>
      </c>
      <c r="G1329" s="12">
        <f t="shared" si="255"/>
        <v>40040</v>
      </c>
    </row>
    <row r="1330">
      <c r="D1330" s="38">
        <f>IFERROR(__xludf.DUMMYFUNCTION("""COMPUTED_VALUE"""),41184.0)</f>
        <v>41184</v>
      </c>
      <c r="E1330" s="39">
        <v>3.0</v>
      </c>
      <c r="G1330" s="12">
        <f t="shared" si="255"/>
        <v>40040</v>
      </c>
    </row>
    <row r="1331">
      <c r="D1331" s="38">
        <f>IFERROR(__xludf.DUMMYFUNCTION("""COMPUTED_VALUE"""),41185.0)</f>
        <v>41185</v>
      </c>
      <c r="E1331" s="39">
        <v>3.0</v>
      </c>
      <c r="G1331" s="12">
        <f t="shared" ref="G1331:G1332" si="256">DATE(2012,12,31)-1232</f>
        <v>40042</v>
      </c>
    </row>
    <row r="1332">
      <c r="D1332" s="38">
        <f>IFERROR(__xludf.DUMMYFUNCTION("""COMPUTED_VALUE"""),41186.0)</f>
        <v>41186</v>
      </c>
      <c r="E1332" s="39">
        <v>3.0</v>
      </c>
      <c r="G1332" s="12">
        <f t="shared" si="256"/>
        <v>40042</v>
      </c>
    </row>
    <row r="1333">
      <c r="D1333" s="38">
        <f>IFERROR(__xludf.DUMMYFUNCTION("""COMPUTED_VALUE"""),41187.0)</f>
        <v>41187</v>
      </c>
      <c r="E1333" s="39">
        <v>3.0</v>
      </c>
      <c r="G1333" s="12">
        <f>DATE(2012,12,31)-1231</f>
        <v>40043</v>
      </c>
    </row>
    <row r="1334">
      <c r="D1334" s="38">
        <f>IFERROR(__xludf.DUMMYFUNCTION("""COMPUTED_VALUE"""),41188.0)</f>
        <v>41188</v>
      </c>
      <c r="E1334" s="39">
        <v>3.0</v>
      </c>
      <c r="G1334" s="12">
        <f>DATE(2012,12,31)-1230</f>
        <v>40044</v>
      </c>
    </row>
    <row r="1335">
      <c r="D1335" s="38">
        <f>IFERROR(__xludf.DUMMYFUNCTION("""COMPUTED_VALUE"""),41189.0)</f>
        <v>41189</v>
      </c>
      <c r="E1335" s="39">
        <v>3.0</v>
      </c>
      <c r="G1335" s="12">
        <f>DATE(2012,12,31)-1226</f>
        <v>40048</v>
      </c>
    </row>
    <row r="1336">
      <c r="D1336" s="38">
        <f>IFERROR(__xludf.DUMMYFUNCTION("""COMPUTED_VALUE"""),41190.0)</f>
        <v>41190</v>
      </c>
      <c r="E1336" s="39">
        <v>2.0</v>
      </c>
      <c r="G1336" s="12">
        <f>DATE(2012,12,31)-1329</f>
        <v>39945</v>
      </c>
    </row>
    <row r="1337">
      <c r="D1337" s="38">
        <f>IFERROR(__xludf.DUMMYFUNCTION("""COMPUTED_VALUE"""),41191.0)</f>
        <v>41191</v>
      </c>
      <c r="E1337" s="39">
        <v>2.0</v>
      </c>
      <c r="G1337" s="12">
        <f>DATE(2012,12,31)-1328</f>
        <v>39946</v>
      </c>
    </row>
    <row r="1338">
      <c r="D1338" s="38">
        <f>IFERROR(__xludf.DUMMYFUNCTION("""COMPUTED_VALUE"""),41192.0)</f>
        <v>41192</v>
      </c>
      <c r="E1338" s="39">
        <v>2.0</v>
      </c>
      <c r="G1338" s="12">
        <f>DATE(2012,12,31)-1326</f>
        <v>39948</v>
      </c>
    </row>
    <row r="1339">
      <c r="D1339" s="38">
        <f>IFERROR(__xludf.DUMMYFUNCTION("""COMPUTED_VALUE"""),41193.0)</f>
        <v>41193</v>
      </c>
      <c r="E1339" s="39">
        <v>2.0</v>
      </c>
      <c r="G1339" s="12">
        <f t="shared" ref="G1339:G1340" si="257">DATE(2012,12,31)-1323</f>
        <v>39951</v>
      </c>
    </row>
    <row r="1340">
      <c r="D1340" s="38">
        <f>IFERROR(__xludf.DUMMYFUNCTION("""COMPUTED_VALUE"""),41194.0)</f>
        <v>41194</v>
      </c>
      <c r="E1340" s="39">
        <v>2.0</v>
      </c>
      <c r="G1340" s="12">
        <f t="shared" si="257"/>
        <v>39951</v>
      </c>
    </row>
    <row r="1341">
      <c r="D1341" s="38">
        <f>IFERROR(__xludf.DUMMYFUNCTION("""COMPUTED_VALUE"""),41195.0)</f>
        <v>41195</v>
      </c>
      <c r="E1341" s="39">
        <v>2.0</v>
      </c>
      <c r="G1341" s="12">
        <f>DATE(2012,12,31)-1322</f>
        <v>39952</v>
      </c>
    </row>
    <row r="1342">
      <c r="D1342" s="38">
        <f>IFERROR(__xludf.DUMMYFUNCTION("""COMPUTED_VALUE"""),41196.0)</f>
        <v>41196</v>
      </c>
      <c r="E1342" s="39">
        <v>2.0</v>
      </c>
      <c r="G1342" s="12">
        <f>DATE(2012,12,31)-1318</f>
        <v>39956</v>
      </c>
    </row>
    <row r="1343">
      <c r="D1343" s="38">
        <f>IFERROR(__xludf.DUMMYFUNCTION("""COMPUTED_VALUE"""),41197.0)</f>
        <v>41197</v>
      </c>
      <c r="E1343" s="39">
        <v>2.0</v>
      </c>
      <c r="G1343" s="12">
        <f>DATE(2012,12,31)-1317</f>
        <v>39957</v>
      </c>
    </row>
    <row r="1344">
      <c r="D1344" s="38">
        <f>IFERROR(__xludf.DUMMYFUNCTION("""COMPUTED_VALUE"""),41198.0)</f>
        <v>41198</v>
      </c>
      <c r="E1344" s="39">
        <v>2.0</v>
      </c>
      <c r="G1344" s="12">
        <f>DATE(2012,12,31)-1315</f>
        <v>39959</v>
      </c>
    </row>
    <row r="1345">
      <c r="D1345" s="38">
        <f>IFERROR(__xludf.DUMMYFUNCTION("""COMPUTED_VALUE"""),41199.0)</f>
        <v>41199</v>
      </c>
      <c r="E1345" s="39">
        <v>2.0</v>
      </c>
      <c r="G1345" s="12">
        <f>DATE(2012,12,31)-1309</f>
        <v>39965</v>
      </c>
    </row>
    <row r="1346">
      <c r="D1346" s="38">
        <f>IFERROR(__xludf.DUMMYFUNCTION("""COMPUTED_VALUE"""),41200.0)</f>
        <v>41200</v>
      </c>
      <c r="E1346" s="39">
        <v>2.0</v>
      </c>
      <c r="G1346" s="12">
        <f>DATE(2012,12,31)-1307</f>
        <v>39967</v>
      </c>
    </row>
    <row r="1347">
      <c r="D1347" s="38">
        <f>IFERROR(__xludf.DUMMYFUNCTION("""COMPUTED_VALUE"""),41201.0)</f>
        <v>41201</v>
      </c>
      <c r="E1347" s="39">
        <v>2.0</v>
      </c>
      <c r="G1347" s="12">
        <f>DATE(2012,12,31)-1306</f>
        <v>39968</v>
      </c>
    </row>
    <row r="1348">
      <c r="D1348" s="38">
        <f>IFERROR(__xludf.DUMMYFUNCTION("""COMPUTED_VALUE"""),41202.0)</f>
        <v>41202</v>
      </c>
      <c r="E1348" s="39">
        <v>2.0</v>
      </c>
      <c r="G1348" s="12">
        <f>DATE(2012,12,31)-1303</f>
        <v>39971</v>
      </c>
    </row>
    <row r="1349">
      <c r="D1349" s="38">
        <f>IFERROR(__xludf.DUMMYFUNCTION("""COMPUTED_VALUE"""),41203.0)</f>
        <v>41203</v>
      </c>
      <c r="E1349" s="39">
        <v>2.0</v>
      </c>
      <c r="G1349" s="12">
        <f t="shared" ref="G1349:G1350" si="258">DATE(2012,12,31)-1297</f>
        <v>39977</v>
      </c>
    </row>
    <row r="1350">
      <c r="D1350" s="38">
        <f>IFERROR(__xludf.DUMMYFUNCTION("""COMPUTED_VALUE"""),41204.0)</f>
        <v>41204</v>
      </c>
      <c r="E1350" s="39">
        <v>2.0</v>
      </c>
      <c r="G1350" s="12">
        <f t="shared" si="258"/>
        <v>39977</v>
      </c>
    </row>
    <row r="1351">
      <c r="D1351" s="38">
        <f>IFERROR(__xludf.DUMMYFUNCTION("""COMPUTED_VALUE"""),41205.0)</f>
        <v>41205</v>
      </c>
      <c r="E1351" s="39">
        <v>2.0</v>
      </c>
      <c r="G1351" s="12">
        <f>DATE(2012,12,31)-1295</f>
        <v>39979</v>
      </c>
    </row>
    <row r="1352">
      <c r="D1352" s="38">
        <f>IFERROR(__xludf.DUMMYFUNCTION("""COMPUTED_VALUE"""),41206.0)</f>
        <v>41206</v>
      </c>
      <c r="E1352" s="39">
        <v>2.0</v>
      </c>
      <c r="G1352" s="12">
        <f>DATE(2012,12,31)-1292</f>
        <v>39982</v>
      </c>
    </row>
    <row r="1353">
      <c r="D1353" s="38">
        <f>IFERROR(__xludf.DUMMYFUNCTION("""COMPUTED_VALUE"""),41207.0)</f>
        <v>41207</v>
      </c>
      <c r="E1353" s="39">
        <v>2.0</v>
      </c>
      <c r="G1353" s="12">
        <f>DATE(2012,12,31)-1290</f>
        <v>39984</v>
      </c>
    </row>
    <row r="1354">
      <c r="D1354" s="38">
        <f>IFERROR(__xludf.DUMMYFUNCTION("""COMPUTED_VALUE"""),41208.0)</f>
        <v>41208</v>
      </c>
      <c r="E1354" s="39">
        <v>2.0</v>
      </c>
      <c r="G1354" s="12">
        <f>DATE(2012,12,31)-1289</f>
        <v>39985</v>
      </c>
    </row>
    <row r="1355">
      <c r="D1355" s="38">
        <f>IFERROR(__xludf.DUMMYFUNCTION("""COMPUTED_VALUE"""),41209.0)</f>
        <v>41209</v>
      </c>
      <c r="E1355" s="39">
        <v>2.0</v>
      </c>
      <c r="G1355" s="12">
        <f>DATE(2012,12,31)-1287</f>
        <v>39987</v>
      </c>
    </row>
    <row r="1356">
      <c r="D1356" s="38">
        <f>IFERROR(__xludf.DUMMYFUNCTION("""COMPUTED_VALUE"""),41210.0)</f>
        <v>41210</v>
      </c>
      <c r="E1356" s="39">
        <v>2.0</v>
      </c>
      <c r="G1356" s="12">
        <f>DATE(2012,12,31)-1286</f>
        <v>39988</v>
      </c>
    </row>
    <row r="1357">
      <c r="D1357" s="38">
        <f>IFERROR(__xludf.DUMMYFUNCTION("""COMPUTED_VALUE"""),41211.0)</f>
        <v>41211</v>
      </c>
      <c r="E1357" s="39">
        <v>2.0</v>
      </c>
      <c r="G1357" s="12">
        <f>DATE(2012,12,31)-1284</f>
        <v>39990</v>
      </c>
    </row>
    <row r="1358">
      <c r="D1358" s="38">
        <f>IFERROR(__xludf.DUMMYFUNCTION("""COMPUTED_VALUE"""),41212.0)</f>
        <v>41212</v>
      </c>
      <c r="E1358" s="39">
        <v>2.0</v>
      </c>
      <c r="G1358" s="12">
        <f>DATE(2012,12,31)-1282</f>
        <v>39992</v>
      </c>
    </row>
    <row r="1359">
      <c r="D1359" s="38">
        <f>IFERROR(__xludf.DUMMYFUNCTION("""COMPUTED_VALUE"""),41213.0)</f>
        <v>41213</v>
      </c>
      <c r="E1359" s="39">
        <v>2.0</v>
      </c>
      <c r="G1359" s="12">
        <f>DATE(2012,12,31)-1281</f>
        <v>39993</v>
      </c>
    </row>
    <row r="1360">
      <c r="D1360" s="38">
        <f>IFERROR(__xludf.DUMMYFUNCTION("""COMPUTED_VALUE"""),41214.0)</f>
        <v>41214</v>
      </c>
      <c r="E1360" s="39">
        <v>2.0</v>
      </c>
      <c r="G1360" s="12">
        <f>DATE(2012,12,31)-1278</f>
        <v>39996</v>
      </c>
    </row>
    <row r="1361">
      <c r="D1361" s="38">
        <f>IFERROR(__xludf.DUMMYFUNCTION("""COMPUTED_VALUE"""),41215.0)</f>
        <v>41215</v>
      </c>
      <c r="E1361" s="39">
        <v>2.0</v>
      </c>
      <c r="G1361" s="12">
        <f t="shared" ref="G1361:G1362" si="259">DATE(2012,12,31)-1264</f>
        <v>40010</v>
      </c>
    </row>
    <row r="1362">
      <c r="D1362" s="38">
        <f>IFERROR(__xludf.DUMMYFUNCTION("""COMPUTED_VALUE"""),41216.0)</f>
        <v>41216</v>
      </c>
      <c r="E1362" s="39">
        <v>2.0</v>
      </c>
      <c r="G1362" s="12">
        <f t="shared" si="259"/>
        <v>40010</v>
      </c>
    </row>
    <row r="1363">
      <c r="D1363" s="38">
        <f>IFERROR(__xludf.DUMMYFUNCTION("""COMPUTED_VALUE"""),41217.0)</f>
        <v>41217</v>
      </c>
      <c r="E1363" s="39">
        <v>2.0</v>
      </c>
      <c r="G1363" s="12">
        <f>DATE(2012,12,31)-1263</f>
        <v>40011</v>
      </c>
    </row>
    <row r="1364">
      <c r="D1364" s="38">
        <f>IFERROR(__xludf.DUMMYFUNCTION("""COMPUTED_VALUE"""),41218.0)</f>
        <v>41218</v>
      </c>
      <c r="E1364" s="39">
        <v>2.0</v>
      </c>
      <c r="G1364" s="12">
        <f t="shared" ref="G1364:G1365" si="260">DATE(2012,12,31)-1259</f>
        <v>40015</v>
      </c>
    </row>
    <row r="1365">
      <c r="D1365" s="38">
        <f>IFERROR(__xludf.DUMMYFUNCTION("""COMPUTED_VALUE"""),41219.0)</f>
        <v>41219</v>
      </c>
      <c r="E1365" s="39">
        <v>2.0</v>
      </c>
      <c r="G1365" s="12">
        <f t="shared" si="260"/>
        <v>40015</v>
      </c>
    </row>
    <row r="1366">
      <c r="D1366" s="38">
        <f>IFERROR(__xludf.DUMMYFUNCTION("""COMPUTED_VALUE"""),41220.0)</f>
        <v>41220</v>
      </c>
      <c r="E1366" s="39">
        <v>2.0</v>
      </c>
      <c r="G1366" s="12">
        <f>DATE(2012,12,31)-1256</f>
        <v>40018</v>
      </c>
    </row>
    <row r="1367">
      <c r="D1367" s="38">
        <f>IFERROR(__xludf.DUMMYFUNCTION("""COMPUTED_VALUE"""),41221.0)</f>
        <v>41221</v>
      </c>
      <c r="E1367" s="39">
        <v>2.0</v>
      </c>
      <c r="G1367" s="12">
        <f t="shared" ref="G1367:G1369" si="261">DATE(2012,12,31)-1254</f>
        <v>40020</v>
      </c>
    </row>
    <row r="1368">
      <c r="D1368" s="38">
        <f>IFERROR(__xludf.DUMMYFUNCTION("""COMPUTED_VALUE"""),41222.0)</f>
        <v>41222</v>
      </c>
      <c r="E1368" s="39">
        <v>2.0</v>
      </c>
      <c r="G1368" s="12">
        <f t="shared" si="261"/>
        <v>40020</v>
      </c>
    </row>
    <row r="1369">
      <c r="D1369" s="38">
        <f>IFERROR(__xludf.DUMMYFUNCTION("""COMPUTED_VALUE"""),41223.0)</f>
        <v>41223</v>
      </c>
      <c r="E1369" s="39">
        <v>2.0</v>
      </c>
      <c r="G1369" s="12">
        <f t="shared" si="261"/>
        <v>40020</v>
      </c>
    </row>
    <row r="1370">
      <c r="D1370" s="38">
        <f>IFERROR(__xludf.DUMMYFUNCTION("""COMPUTED_VALUE"""),41224.0)</f>
        <v>41224</v>
      </c>
      <c r="E1370" s="39">
        <v>2.0</v>
      </c>
      <c r="G1370" s="12">
        <f>DATE(2012,12,31)-1250</f>
        <v>40024</v>
      </c>
    </row>
    <row r="1371">
      <c r="D1371" s="38">
        <f>IFERROR(__xludf.DUMMYFUNCTION("""COMPUTED_VALUE"""),41225.0)</f>
        <v>41225</v>
      </c>
      <c r="E1371" s="39">
        <v>2.0</v>
      </c>
      <c r="G1371" s="12">
        <f>DATE(2012,12,31)-1249</f>
        <v>40025</v>
      </c>
    </row>
    <row r="1372">
      <c r="D1372" s="38">
        <f>IFERROR(__xludf.DUMMYFUNCTION("""COMPUTED_VALUE"""),41226.0)</f>
        <v>41226</v>
      </c>
      <c r="E1372" s="39">
        <v>2.0</v>
      </c>
      <c r="G1372" s="12">
        <f>DATE(2012,12,31)-1248</f>
        <v>40026</v>
      </c>
    </row>
    <row r="1373">
      <c r="D1373" s="38">
        <f>IFERROR(__xludf.DUMMYFUNCTION("""COMPUTED_VALUE"""),41227.0)</f>
        <v>41227</v>
      </c>
      <c r="E1373" s="39">
        <v>2.0</v>
      </c>
      <c r="G1373" s="12">
        <f>DATE(2012,12,31)-1246</f>
        <v>40028</v>
      </c>
    </row>
    <row r="1374">
      <c r="D1374" s="38">
        <f>IFERROR(__xludf.DUMMYFUNCTION("""COMPUTED_VALUE"""),41228.0)</f>
        <v>41228</v>
      </c>
      <c r="E1374" s="39">
        <v>2.0</v>
      </c>
      <c r="G1374" s="12">
        <f>DATE(2012,12,31)-1244</f>
        <v>40030</v>
      </c>
    </row>
    <row r="1375">
      <c r="D1375" s="38">
        <f>IFERROR(__xludf.DUMMYFUNCTION("""COMPUTED_VALUE"""),41229.0)</f>
        <v>41229</v>
      </c>
      <c r="E1375" s="39">
        <v>2.0</v>
      </c>
      <c r="G1375" s="12">
        <f>DATE(2012,12,31)-1239</f>
        <v>40035</v>
      </c>
    </row>
    <row r="1376">
      <c r="D1376" s="38">
        <f>IFERROR(__xludf.DUMMYFUNCTION("""COMPUTED_VALUE"""),41230.0)</f>
        <v>41230</v>
      </c>
      <c r="E1376" s="39">
        <v>2.0</v>
      </c>
      <c r="G1376" s="12">
        <f>DATE(2012,12,31)-1234</f>
        <v>40040</v>
      </c>
    </row>
    <row r="1377">
      <c r="D1377" s="38">
        <f>IFERROR(__xludf.DUMMYFUNCTION("""COMPUTED_VALUE"""),41231.0)</f>
        <v>41231</v>
      </c>
      <c r="E1377" s="39">
        <v>2.0</v>
      </c>
      <c r="G1377" s="12">
        <f t="shared" ref="G1377:G1378" si="262">DATE(2012,12,31)-1233</f>
        <v>40041</v>
      </c>
    </row>
    <row r="1378">
      <c r="D1378" s="38">
        <f>IFERROR(__xludf.DUMMYFUNCTION("""COMPUTED_VALUE"""),41232.0)</f>
        <v>41232</v>
      </c>
      <c r="E1378" s="39">
        <v>2.0</v>
      </c>
      <c r="G1378" s="12">
        <f t="shared" si="262"/>
        <v>40041</v>
      </c>
    </row>
    <row r="1379">
      <c r="D1379" s="38">
        <f>IFERROR(__xludf.DUMMYFUNCTION("""COMPUTED_VALUE"""),41233.0)</f>
        <v>41233</v>
      </c>
      <c r="E1379" s="39">
        <v>2.0</v>
      </c>
      <c r="G1379" s="12">
        <f>DATE(2012,12,31)-1230</f>
        <v>40044</v>
      </c>
    </row>
    <row r="1380">
      <c r="D1380" s="38">
        <f>IFERROR(__xludf.DUMMYFUNCTION("""COMPUTED_VALUE"""),41234.0)</f>
        <v>41234</v>
      </c>
      <c r="E1380" s="39">
        <v>2.0</v>
      </c>
      <c r="G1380" s="12">
        <f>DATE(2012,12,31)-1229</f>
        <v>40045</v>
      </c>
    </row>
    <row r="1381">
      <c r="D1381" s="38">
        <f>IFERROR(__xludf.DUMMYFUNCTION("""COMPUTED_VALUE"""),41235.0)</f>
        <v>41235</v>
      </c>
      <c r="E1381" s="39">
        <v>2.0</v>
      </c>
      <c r="G1381" s="12">
        <f>DATE(2012,12,31)-1228</f>
        <v>40046</v>
      </c>
    </row>
    <row r="1382">
      <c r="D1382" s="38">
        <f>IFERROR(__xludf.DUMMYFUNCTION("""COMPUTED_VALUE"""),41236.0)</f>
        <v>41236</v>
      </c>
      <c r="E1382" s="39">
        <v>2.0</v>
      </c>
      <c r="G1382" s="12">
        <f t="shared" ref="G1382:G1383" si="263">DATE(2012,12,31)-1227</f>
        <v>40047</v>
      </c>
    </row>
    <row r="1383">
      <c r="D1383" s="38">
        <f>IFERROR(__xludf.DUMMYFUNCTION("""COMPUTED_VALUE"""),41237.0)</f>
        <v>41237</v>
      </c>
      <c r="E1383" s="39">
        <v>2.0</v>
      </c>
      <c r="G1383" s="12">
        <f t="shared" si="263"/>
        <v>40047</v>
      </c>
    </row>
    <row r="1384">
      <c r="D1384" s="38">
        <f>IFERROR(__xludf.DUMMYFUNCTION("""COMPUTED_VALUE"""),41238.0)</f>
        <v>41238</v>
      </c>
      <c r="E1384" s="39">
        <v>2.0</v>
      </c>
      <c r="G1384" s="12">
        <f>DATE(2012,12,31)-1226</f>
        <v>40048</v>
      </c>
    </row>
    <row r="1385">
      <c r="D1385" s="38">
        <f>IFERROR(__xludf.DUMMYFUNCTION("""COMPUTED_VALUE"""),41239.0)</f>
        <v>41239</v>
      </c>
      <c r="E1385" s="39">
        <v>1.0</v>
      </c>
      <c r="G1385" s="12">
        <f>DATE(2012,12,31)-1327</f>
        <v>39947</v>
      </c>
    </row>
    <row r="1386">
      <c r="D1386" s="38">
        <f>IFERROR(__xludf.DUMMYFUNCTION("""COMPUTED_VALUE"""),41240.0)</f>
        <v>41240</v>
      </c>
      <c r="E1386" s="39">
        <v>1.0</v>
      </c>
      <c r="G1386" s="12">
        <f>DATE(2012,12,31)-1326</f>
        <v>39948</v>
      </c>
    </row>
    <row r="1387">
      <c r="D1387" s="38">
        <f>IFERROR(__xludf.DUMMYFUNCTION("""COMPUTED_VALUE"""),41241.0)</f>
        <v>41241</v>
      </c>
      <c r="E1387" s="39">
        <v>1.0</v>
      </c>
      <c r="G1387" s="12">
        <f>DATE(2012,12,31)-1320</f>
        <v>39954</v>
      </c>
    </row>
    <row r="1388">
      <c r="D1388" s="38">
        <f>IFERROR(__xludf.DUMMYFUNCTION("""COMPUTED_VALUE"""),41242.0)</f>
        <v>41242</v>
      </c>
      <c r="E1388" s="39">
        <v>1.0</v>
      </c>
      <c r="G1388" s="12">
        <f>DATE(2012,12,31)-1315</f>
        <v>39959</v>
      </c>
    </row>
    <row r="1389">
      <c r="D1389" s="38">
        <f>IFERROR(__xludf.DUMMYFUNCTION("""COMPUTED_VALUE"""),41243.0)</f>
        <v>41243</v>
      </c>
      <c r="E1389" s="39">
        <v>1.0</v>
      </c>
      <c r="G1389" s="12">
        <f>DATE(2012,12,31)-1314</f>
        <v>39960</v>
      </c>
    </row>
    <row r="1390">
      <c r="D1390" s="38">
        <f>IFERROR(__xludf.DUMMYFUNCTION("""COMPUTED_VALUE"""),41244.0)</f>
        <v>41244</v>
      </c>
      <c r="E1390" s="39">
        <v>1.0</v>
      </c>
      <c r="G1390" s="12">
        <f>DATE(2012,12,31)-1313</f>
        <v>39961</v>
      </c>
    </row>
    <row r="1391">
      <c r="D1391" s="38">
        <f>IFERROR(__xludf.DUMMYFUNCTION("""COMPUTED_VALUE"""),41245.0)</f>
        <v>41245</v>
      </c>
      <c r="E1391" s="39">
        <v>1.0</v>
      </c>
      <c r="G1391" s="12">
        <f t="shared" ref="G1391:G1392" si="264">DATE(2012,12,31)-1302</f>
        <v>39972</v>
      </c>
    </row>
    <row r="1392">
      <c r="D1392" s="38">
        <f>IFERROR(__xludf.DUMMYFUNCTION("""COMPUTED_VALUE"""),41246.0)</f>
        <v>41246</v>
      </c>
      <c r="E1392" s="39">
        <v>1.0</v>
      </c>
      <c r="G1392" s="12">
        <f t="shared" si="264"/>
        <v>39972</v>
      </c>
    </row>
    <row r="1393">
      <c r="D1393" s="38">
        <f>IFERROR(__xludf.DUMMYFUNCTION("""COMPUTED_VALUE"""),41247.0)</f>
        <v>41247</v>
      </c>
      <c r="E1393" s="39">
        <v>1.0</v>
      </c>
      <c r="G1393" s="12">
        <f>DATE(2012,12,31)-1301</f>
        <v>39973</v>
      </c>
    </row>
    <row r="1394">
      <c r="D1394" s="38">
        <f>IFERROR(__xludf.DUMMYFUNCTION("""COMPUTED_VALUE"""),41248.0)</f>
        <v>41248</v>
      </c>
      <c r="E1394" s="39">
        <v>1.0</v>
      </c>
      <c r="G1394" s="12">
        <f>DATE(2012,12,31)-1300</f>
        <v>39974</v>
      </c>
    </row>
    <row r="1395">
      <c r="D1395" s="38">
        <f>IFERROR(__xludf.DUMMYFUNCTION("""COMPUTED_VALUE"""),41249.0)</f>
        <v>41249</v>
      </c>
      <c r="E1395" s="39">
        <v>1.0</v>
      </c>
      <c r="G1395" s="12">
        <f>DATE(2012,12,31)-1299</f>
        <v>39975</v>
      </c>
    </row>
    <row r="1396">
      <c r="D1396" s="38">
        <f>IFERROR(__xludf.DUMMYFUNCTION("""COMPUTED_VALUE"""),41250.0)</f>
        <v>41250</v>
      </c>
      <c r="E1396" s="39">
        <v>1.0</v>
      </c>
      <c r="G1396" s="12">
        <f t="shared" ref="G1396:G1397" si="265">DATE(2012,12,31)-1295</f>
        <v>39979</v>
      </c>
    </row>
    <row r="1397">
      <c r="D1397" s="38">
        <f>IFERROR(__xludf.DUMMYFUNCTION("""COMPUTED_VALUE"""),41251.0)</f>
        <v>41251</v>
      </c>
      <c r="E1397" s="39">
        <v>1.0</v>
      </c>
      <c r="G1397" s="12">
        <f t="shared" si="265"/>
        <v>39979</v>
      </c>
    </row>
    <row r="1398">
      <c r="D1398" s="38">
        <f>IFERROR(__xludf.DUMMYFUNCTION("""COMPUTED_VALUE"""),41252.0)</f>
        <v>41252</v>
      </c>
      <c r="E1398" s="39">
        <v>1.0</v>
      </c>
      <c r="G1398" s="12">
        <f>DATE(2012,12,31)-1290</f>
        <v>39984</v>
      </c>
    </row>
    <row r="1399">
      <c r="D1399" s="38">
        <f>IFERROR(__xludf.DUMMYFUNCTION("""COMPUTED_VALUE"""),41253.0)</f>
        <v>41253</v>
      </c>
      <c r="E1399" s="39">
        <v>1.0</v>
      </c>
      <c r="G1399" s="12">
        <f>DATE(2012,12,31)-1282</f>
        <v>39992</v>
      </c>
    </row>
    <row r="1400">
      <c r="D1400" s="38">
        <f>IFERROR(__xludf.DUMMYFUNCTION("""COMPUTED_VALUE"""),41254.0)</f>
        <v>41254</v>
      </c>
      <c r="E1400" s="39">
        <v>1.0</v>
      </c>
      <c r="G1400" s="12">
        <f>DATE(2012,12,31)-1280</f>
        <v>39994</v>
      </c>
    </row>
    <row r="1401">
      <c r="D1401" s="38">
        <f>IFERROR(__xludf.DUMMYFUNCTION("""COMPUTED_VALUE"""),41255.0)</f>
        <v>41255</v>
      </c>
      <c r="E1401" s="39">
        <v>1.0</v>
      </c>
      <c r="G1401" s="12">
        <f>DATE(2012,12,31)-1278</f>
        <v>39996</v>
      </c>
    </row>
    <row r="1402">
      <c r="D1402" s="38">
        <f>IFERROR(__xludf.DUMMYFUNCTION("""COMPUTED_VALUE"""),41256.0)</f>
        <v>41256</v>
      </c>
      <c r="E1402" s="39">
        <v>1.0</v>
      </c>
      <c r="G1402" s="12">
        <f t="shared" ref="G1402:G1403" si="266">DATE(2012,12,31)-1276</f>
        <v>39998</v>
      </c>
    </row>
    <row r="1403">
      <c r="D1403" s="38">
        <f>IFERROR(__xludf.DUMMYFUNCTION("""COMPUTED_VALUE"""),41257.0)</f>
        <v>41257</v>
      </c>
      <c r="E1403" s="39">
        <v>1.0</v>
      </c>
      <c r="G1403" s="12">
        <f t="shared" si="266"/>
        <v>39998</v>
      </c>
    </row>
    <row r="1404">
      <c r="D1404" s="38">
        <f>IFERROR(__xludf.DUMMYFUNCTION("""COMPUTED_VALUE"""),41258.0)</f>
        <v>41258</v>
      </c>
      <c r="E1404" s="39">
        <v>1.0</v>
      </c>
      <c r="G1404" s="12">
        <f>DATE(2012,12,31)-1275</f>
        <v>39999</v>
      </c>
    </row>
    <row r="1405">
      <c r="D1405" s="38">
        <f>IFERROR(__xludf.DUMMYFUNCTION("""COMPUTED_VALUE"""),41259.0)</f>
        <v>41259</v>
      </c>
      <c r="E1405" s="39">
        <v>1.0</v>
      </c>
      <c r="G1405" s="12">
        <f>DATE(2012,12,31)-1271</f>
        <v>40003</v>
      </c>
    </row>
    <row r="1406">
      <c r="D1406" s="38">
        <f>IFERROR(__xludf.DUMMYFUNCTION("""COMPUTED_VALUE"""),41260.0)</f>
        <v>41260</v>
      </c>
      <c r="E1406" s="39">
        <v>1.0</v>
      </c>
      <c r="G1406" s="12">
        <f>DATE(2012,12,31)-1268</f>
        <v>40006</v>
      </c>
    </row>
    <row r="1407">
      <c r="D1407" s="38">
        <f>IFERROR(__xludf.DUMMYFUNCTION("""COMPUTED_VALUE"""),41261.0)</f>
        <v>41261</v>
      </c>
      <c r="E1407" s="39">
        <v>1.0</v>
      </c>
      <c r="G1407" s="12">
        <f>DATE(2012,12,31)-1266</f>
        <v>40008</v>
      </c>
    </row>
    <row r="1408">
      <c r="D1408" s="38">
        <f>IFERROR(__xludf.DUMMYFUNCTION("""COMPUTED_VALUE"""),41262.0)</f>
        <v>41262</v>
      </c>
      <c r="E1408" s="39">
        <v>1.0</v>
      </c>
      <c r="G1408" s="12">
        <f>DATE(2012,12,31)-1258</f>
        <v>40016</v>
      </c>
    </row>
    <row r="1409">
      <c r="D1409" s="38">
        <f>IFERROR(__xludf.DUMMYFUNCTION("""COMPUTED_VALUE"""),41263.0)</f>
        <v>41263</v>
      </c>
      <c r="E1409" s="39">
        <v>1.0</v>
      </c>
      <c r="G1409" s="12">
        <f>DATE(2012,12,31)-1254</f>
        <v>40020</v>
      </c>
    </row>
    <row r="1410">
      <c r="D1410" s="38">
        <f>IFERROR(__xludf.DUMMYFUNCTION("""COMPUTED_VALUE"""),41264.0)</f>
        <v>41264</v>
      </c>
      <c r="E1410" s="39">
        <v>1.0</v>
      </c>
      <c r="G1410" s="12">
        <f>DATE(2012,12,31)-1253</f>
        <v>40021</v>
      </c>
    </row>
    <row r="1411">
      <c r="D1411" s="38">
        <f>IFERROR(__xludf.DUMMYFUNCTION("""COMPUTED_VALUE"""),41265.0)</f>
        <v>41265</v>
      </c>
      <c r="E1411" s="39">
        <v>1.0</v>
      </c>
      <c r="G1411" s="12">
        <f>DATE(2012,12,31)-1249</f>
        <v>40025</v>
      </c>
    </row>
    <row r="1412">
      <c r="D1412" s="38">
        <f>IFERROR(__xludf.DUMMYFUNCTION("""COMPUTED_VALUE"""),41266.0)</f>
        <v>41266</v>
      </c>
      <c r="E1412" s="39">
        <v>1.0</v>
      </c>
      <c r="G1412" s="12">
        <f>DATE(2012,12,31)-1247</f>
        <v>40027</v>
      </c>
    </row>
    <row r="1413">
      <c r="D1413" s="38">
        <f>IFERROR(__xludf.DUMMYFUNCTION("""COMPUTED_VALUE"""),41267.0)</f>
        <v>41267</v>
      </c>
      <c r="E1413" s="39">
        <v>1.0</v>
      </c>
      <c r="G1413" s="12">
        <f t="shared" ref="G1413:G1415" si="267">DATE(2012,12,31)-1234</f>
        <v>40040</v>
      </c>
    </row>
    <row r="1414">
      <c r="D1414" s="38">
        <f>IFERROR(__xludf.DUMMYFUNCTION("""COMPUTED_VALUE"""),41268.0)</f>
        <v>41268</v>
      </c>
      <c r="E1414" s="39">
        <v>1.0</v>
      </c>
      <c r="G1414" s="12">
        <f t="shared" si="267"/>
        <v>40040</v>
      </c>
    </row>
    <row r="1415">
      <c r="D1415" s="38">
        <f>IFERROR(__xludf.DUMMYFUNCTION("""COMPUTED_VALUE"""),41269.0)</f>
        <v>41269</v>
      </c>
      <c r="E1415" s="39">
        <v>1.0</v>
      </c>
      <c r="G1415" s="12">
        <f t="shared" si="267"/>
        <v>40040</v>
      </c>
    </row>
    <row r="1416">
      <c r="D1416" s="38">
        <f>IFERROR(__xludf.DUMMYFUNCTION("""COMPUTED_VALUE"""),41270.0)</f>
        <v>41270</v>
      </c>
      <c r="E1416" s="39">
        <v>1.0</v>
      </c>
      <c r="G1416" s="12">
        <f>DATE(2012,12,31)-1231</f>
        <v>40043</v>
      </c>
    </row>
    <row r="1417">
      <c r="D1417" s="38">
        <f>IFERROR(__xludf.DUMMYFUNCTION("""COMPUTED_VALUE"""),41271.0)</f>
        <v>41271</v>
      </c>
      <c r="E1417" s="39">
        <v>1.0</v>
      </c>
      <c r="G1417" s="12">
        <f>DATE(2012,12,31)-1228</f>
        <v>40046</v>
      </c>
    </row>
    <row r="1418">
      <c r="D1418" s="38">
        <f>IFERROR(__xludf.DUMMYFUNCTION("""COMPUTED_VALUE"""),41272.0)</f>
        <v>41272</v>
      </c>
      <c r="E1418" s="39">
        <v>1.0</v>
      </c>
      <c r="G1418" s="12">
        <f t="shared" ref="G1418:G1419" si="268">DATE(2012,12,31)-1227</f>
        <v>40047</v>
      </c>
    </row>
    <row r="1419">
      <c r="D1419" s="38">
        <f>IFERROR(__xludf.DUMMYFUNCTION("""COMPUTED_VALUE"""),41273.0)</f>
        <v>41273</v>
      </c>
      <c r="E1419" s="39">
        <v>1.0</v>
      </c>
      <c r="G1419" s="12">
        <f t="shared" si="268"/>
        <v>40047</v>
      </c>
    </row>
    <row r="1420">
      <c r="G1420" s="12">
        <f t="shared" ref="G1420:G1426" si="269">DATE(2012,12,31)-1225</f>
        <v>40049</v>
      </c>
    </row>
    <row r="1421">
      <c r="G1421" s="12">
        <f t="shared" si="269"/>
        <v>40049</v>
      </c>
    </row>
    <row r="1422">
      <c r="G1422" s="12">
        <f t="shared" si="269"/>
        <v>40049</v>
      </c>
    </row>
    <row r="1423">
      <c r="G1423" s="12">
        <f t="shared" si="269"/>
        <v>40049</v>
      </c>
    </row>
    <row r="1424">
      <c r="G1424" s="12">
        <f t="shared" si="269"/>
        <v>40049</v>
      </c>
    </row>
    <row r="1425">
      <c r="G1425" s="12">
        <f t="shared" si="269"/>
        <v>40049</v>
      </c>
    </row>
    <row r="1426">
      <c r="G1426" s="12">
        <f t="shared" si="269"/>
        <v>40049</v>
      </c>
    </row>
    <row r="1427">
      <c r="G1427" s="12">
        <f t="shared" ref="G1427:G1430" si="270">DATE(2012,12,31)-1224</f>
        <v>40050</v>
      </c>
    </row>
    <row r="1428">
      <c r="G1428" s="12">
        <f t="shared" si="270"/>
        <v>40050</v>
      </c>
    </row>
    <row r="1429">
      <c r="G1429" s="12">
        <f t="shared" si="270"/>
        <v>40050</v>
      </c>
    </row>
    <row r="1430">
      <c r="G1430" s="12">
        <f t="shared" si="270"/>
        <v>40050</v>
      </c>
    </row>
    <row r="1431">
      <c r="G1431" s="12">
        <f t="shared" ref="G1431:G1434" si="271">DATE(2012,12,31)-1223</f>
        <v>40051</v>
      </c>
    </row>
    <row r="1432">
      <c r="G1432" s="12">
        <f t="shared" si="271"/>
        <v>40051</v>
      </c>
    </row>
    <row r="1433">
      <c r="G1433" s="12">
        <f t="shared" si="271"/>
        <v>40051</v>
      </c>
    </row>
    <row r="1434">
      <c r="G1434" s="12">
        <f t="shared" si="271"/>
        <v>40051</v>
      </c>
    </row>
    <row r="1435">
      <c r="G1435" s="12">
        <f t="shared" ref="G1435:G1443" si="272">DATE(2012,12,31)-1222</f>
        <v>40052</v>
      </c>
    </row>
    <row r="1436">
      <c r="G1436" s="12">
        <f t="shared" si="272"/>
        <v>40052</v>
      </c>
    </row>
    <row r="1437">
      <c r="G1437" s="12">
        <f t="shared" si="272"/>
        <v>40052</v>
      </c>
    </row>
    <row r="1438">
      <c r="G1438" s="12">
        <f t="shared" si="272"/>
        <v>40052</v>
      </c>
    </row>
    <row r="1439">
      <c r="G1439" s="12">
        <f t="shared" si="272"/>
        <v>40052</v>
      </c>
    </row>
    <row r="1440">
      <c r="G1440" s="12">
        <f t="shared" si="272"/>
        <v>40052</v>
      </c>
    </row>
    <row r="1441">
      <c r="G1441" s="12">
        <f t="shared" si="272"/>
        <v>40052</v>
      </c>
    </row>
    <row r="1442">
      <c r="G1442" s="12">
        <f t="shared" si="272"/>
        <v>40052</v>
      </c>
    </row>
    <row r="1443">
      <c r="G1443" s="12">
        <f t="shared" si="272"/>
        <v>40052</v>
      </c>
    </row>
    <row r="1444">
      <c r="G1444" s="12">
        <f t="shared" ref="G1444:G1450" si="273">DATE(2012,12,31)-1221</f>
        <v>40053</v>
      </c>
    </row>
    <row r="1445">
      <c r="G1445" s="12">
        <f t="shared" si="273"/>
        <v>40053</v>
      </c>
    </row>
    <row r="1446">
      <c r="G1446" s="12">
        <f t="shared" si="273"/>
        <v>40053</v>
      </c>
    </row>
    <row r="1447">
      <c r="G1447" s="12">
        <f t="shared" si="273"/>
        <v>40053</v>
      </c>
    </row>
    <row r="1448">
      <c r="G1448" s="12">
        <f t="shared" si="273"/>
        <v>40053</v>
      </c>
    </row>
    <row r="1449">
      <c r="G1449" s="12">
        <f t="shared" si="273"/>
        <v>40053</v>
      </c>
    </row>
    <row r="1450">
      <c r="G1450" s="12">
        <f t="shared" si="273"/>
        <v>40053</v>
      </c>
    </row>
    <row r="1451">
      <c r="G1451" s="12">
        <f t="shared" ref="G1451:G1453" si="274">DATE(2012,12,31)-1220</f>
        <v>40054</v>
      </c>
    </row>
    <row r="1452">
      <c r="G1452" s="12">
        <f t="shared" si="274"/>
        <v>40054</v>
      </c>
    </row>
    <row r="1453">
      <c r="G1453" s="12">
        <f t="shared" si="274"/>
        <v>40054</v>
      </c>
    </row>
    <row r="1454">
      <c r="G1454" s="12">
        <f>DATE(2012,12,31)-1219</f>
        <v>40055</v>
      </c>
    </row>
    <row r="1455">
      <c r="G1455" s="12">
        <f t="shared" ref="G1455:G1462" si="275">DATE(2012,12,31)-1218</f>
        <v>40056</v>
      </c>
    </row>
    <row r="1456">
      <c r="G1456" s="12">
        <f t="shared" si="275"/>
        <v>40056</v>
      </c>
    </row>
    <row r="1457">
      <c r="G1457" s="12">
        <f t="shared" si="275"/>
        <v>40056</v>
      </c>
    </row>
    <row r="1458">
      <c r="G1458" s="12">
        <f t="shared" si="275"/>
        <v>40056</v>
      </c>
    </row>
    <row r="1459">
      <c r="G1459" s="12">
        <f t="shared" si="275"/>
        <v>40056</v>
      </c>
    </row>
    <row r="1460">
      <c r="G1460" s="12">
        <f t="shared" si="275"/>
        <v>40056</v>
      </c>
    </row>
    <row r="1461">
      <c r="G1461" s="12">
        <f t="shared" si="275"/>
        <v>40056</v>
      </c>
    </row>
    <row r="1462">
      <c r="G1462" s="12">
        <f t="shared" si="275"/>
        <v>40056</v>
      </c>
    </row>
    <row r="1463">
      <c r="G1463" s="12">
        <f t="shared" ref="G1463:G1470" si="276">DATE(2012,12,31)-1217</f>
        <v>40057</v>
      </c>
    </row>
    <row r="1464">
      <c r="G1464" s="12">
        <f t="shared" si="276"/>
        <v>40057</v>
      </c>
    </row>
    <row r="1465">
      <c r="G1465" s="12">
        <f t="shared" si="276"/>
        <v>40057</v>
      </c>
    </row>
    <row r="1466">
      <c r="G1466" s="12">
        <f t="shared" si="276"/>
        <v>40057</v>
      </c>
    </row>
    <row r="1467">
      <c r="G1467" s="12">
        <f t="shared" si="276"/>
        <v>40057</v>
      </c>
    </row>
    <row r="1468">
      <c r="G1468" s="12">
        <f t="shared" si="276"/>
        <v>40057</v>
      </c>
    </row>
    <row r="1469">
      <c r="G1469" s="12">
        <f t="shared" si="276"/>
        <v>40057</v>
      </c>
    </row>
    <row r="1470">
      <c r="G1470" s="12">
        <f t="shared" si="276"/>
        <v>40057</v>
      </c>
    </row>
    <row r="1471">
      <c r="G1471" s="12">
        <f t="shared" ref="G1471:G1476" si="277">DATE(2012,12,31)-1216</f>
        <v>40058</v>
      </c>
    </row>
    <row r="1472">
      <c r="G1472" s="12">
        <f t="shared" si="277"/>
        <v>40058</v>
      </c>
    </row>
    <row r="1473">
      <c r="G1473" s="12">
        <f t="shared" si="277"/>
        <v>40058</v>
      </c>
    </row>
    <row r="1474">
      <c r="G1474" s="12">
        <f t="shared" si="277"/>
        <v>40058</v>
      </c>
    </row>
    <row r="1475">
      <c r="G1475" s="12">
        <f t="shared" si="277"/>
        <v>40058</v>
      </c>
    </row>
    <row r="1476">
      <c r="G1476" s="12">
        <f t="shared" si="277"/>
        <v>40058</v>
      </c>
    </row>
    <row r="1477">
      <c r="G1477" s="12">
        <f>DATE(2012,12,31)-1215</f>
        <v>40059</v>
      </c>
    </row>
    <row r="1478">
      <c r="G1478" s="12">
        <f t="shared" ref="G1478:G1488" si="278">DATE(2012,12,31)-1214</f>
        <v>40060</v>
      </c>
    </row>
    <row r="1479">
      <c r="G1479" s="12">
        <f t="shared" si="278"/>
        <v>40060</v>
      </c>
    </row>
    <row r="1480">
      <c r="G1480" s="12">
        <f t="shared" si="278"/>
        <v>40060</v>
      </c>
    </row>
    <row r="1481">
      <c r="G1481" s="12">
        <f t="shared" si="278"/>
        <v>40060</v>
      </c>
    </row>
    <row r="1482">
      <c r="G1482" s="12">
        <f t="shared" si="278"/>
        <v>40060</v>
      </c>
    </row>
    <row r="1483">
      <c r="G1483" s="12">
        <f t="shared" si="278"/>
        <v>40060</v>
      </c>
    </row>
    <row r="1484">
      <c r="G1484" s="12">
        <f t="shared" si="278"/>
        <v>40060</v>
      </c>
    </row>
    <row r="1485">
      <c r="G1485" s="12">
        <f t="shared" si="278"/>
        <v>40060</v>
      </c>
    </row>
    <row r="1486">
      <c r="G1486" s="12">
        <f t="shared" si="278"/>
        <v>40060</v>
      </c>
    </row>
    <row r="1487">
      <c r="G1487" s="12">
        <f t="shared" si="278"/>
        <v>40060</v>
      </c>
    </row>
    <row r="1488">
      <c r="G1488" s="12">
        <f t="shared" si="278"/>
        <v>40060</v>
      </c>
    </row>
    <row r="1489">
      <c r="G1489" s="12">
        <f t="shared" ref="G1489:G1496" si="279">DATE(2012,12,31)-1213</f>
        <v>40061</v>
      </c>
    </row>
    <row r="1490">
      <c r="G1490" s="12">
        <f t="shared" si="279"/>
        <v>40061</v>
      </c>
    </row>
    <row r="1491">
      <c r="G1491" s="12">
        <f t="shared" si="279"/>
        <v>40061</v>
      </c>
    </row>
    <row r="1492">
      <c r="G1492" s="12">
        <f t="shared" si="279"/>
        <v>40061</v>
      </c>
    </row>
    <row r="1493">
      <c r="G1493" s="12">
        <f t="shared" si="279"/>
        <v>40061</v>
      </c>
    </row>
    <row r="1494">
      <c r="G1494" s="12">
        <f t="shared" si="279"/>
        <v>40061</v>
      </c>
    </row>
    <row r="1495">
      <c r="G1495" s="12">
        <f t="shared" si="279"/>
        <v>40061</v>
      </c>
    </row>
    <row r="1496">
      <c r="G1496" s="12">
        <f t="shared" si="279"/>
        <v>40061</v>
      </c>
    </row>
    <row r="1497">
      <c r="G1497" s="12">
        <f t="shared" ref="G1497:G1503" si="280">DATE(2012,12,31)-1212</f>
        <v>40062</v>
      </c>
    </row>
    <row r="1498">
      <c r="G1498" s="12">
        <f t="shared" si="280"/>
        <v>40062</v>
      </c>
    </row>
    <row r="1499">
      <c r="G1499" s="12">
        <f t="shared" si="280"/>
        <v>40062</v>
      </c>
    </row>
    <row r="1500">
      <c r="G1500" s="12">
        <f t="shared" si="280"/>
        <v>40062</v>
      </c>
    </row>
    <row r="1501">
      <c r="G1501" s="12">
        <f t="shared" si="280"/>
        <v>40062</v>
      </c>
    </row>
    <row r="1502">
      <c r="G1502" s="12">
        <f t="shared" si="280"/>
        <v>40062</v>
      </c>
    </row>
    <row r="1503">
      <c r="G1503" s="12">
        <f t="shared" si="280"/>
        <v>40062</v>
      </c>
    </row>
    <row r="1504">
      <c r="G1504" s="12">
        <f t="shared" ref="G1504:G1506" si="281">DATE(2012,12,31)-1211</f>
        <v>40063</v>
      </c>
    </row>
    <row r="1505">
      <c r="G1505" s="12">
        <f t="shared" si="281"/>
        <v>40063</v>
      </c>
    </row>
    <row r="1506">
      <c r="G1506" s="12">
        <f t="shared" si="281"/>
        <v>40063</v>
      </c>
    </row>
    <row r="1507">
      <c r="G1507" s="12">
        <f t="shared" ref="G1507:G1510" si="282">DATE(2012,12,31)-1210</f>
        <v>40064</v>
      </c>
    </row>
    <row r="1508">
      <c r="G1508" s="12">
        <f t="shared" si="282"/>
        <v>40064</v>
      </c>
    </row>
    <row r="1509">
      <c r="G1509" s="12">
        <f t="shared" si="282"/>
        <v>40064</v>
      </c>
    </row>
    <row r="1510">
      <c r="G1510" s="12">
        <f t="shared" si="282"/>
        <v>40064</v>
      </c>
    </row>
    <row r="1511">
      <c r="G1511" s="12">
        <f>DATE(2012,12,31)-1209</f>
        <v>40065</v>
      </c>
    </row>
    <row r="1512">
      <c r="G1512" s="12">
        <f t="shared" ref="G1512:G1514" si="283">DATE(2012,12,31)-1208</f>
        <v>40066</v>
      </c>
    </row>
    <row r="1513">
      <c r="G1513" s="12">
        <f t="shared" si="283"/>
        <v>40066</v>
      </c>
    </row>
    <row r="1514">
      <c r="G1514" s="12">
        <f t="shared" si="283"/>
        <v>40066</v>
      </c>
    </row>
    <row r="1515">
      <c r="G1515" s="12">
        <f t="shared" ref="G1515:G1524" si="284">DATE(2012,12,31)-1207</f>
        <v>40067</v>
      </c>
    </row>
    <row r="1516">
      <c r="G1516" s="12">
        <f t="shared" si="284"/>
        <v>40067</v>
      </c>
    </row>
    <row r="1517">
      <c r="G1517" s="12">
        <f t="shared" si="284"/>
        <v>40067</v>
      </c>
    </row>
    <row r="1518">
      <c r="G1518" s="12">
        <f t="shared" si="284"/>
        <v>40067</v>
      </c>
    </row>
    <row r="1519">
      <c r="G1519" s="12">
        <f t="shared" si="284"/>
        <v>40067</v>
      </c>
    </row>
    <row r="1520">
      <c r="G1520" s="12">
        <f t="shared" si="284"/>
        <v>40067</v>
      </c>
    </row>
    <row r="1521">
      <c r="G1521" s="12">
        <f t="shared" si="284"/>
        <v>40067</v>
      </c>
    </row>
    <row r="1522">
      <c r="G1522" s="12">
        <f t="shared" si="284"/>
        <v>40067</v>
      </c>
    </row>
    <row r="1523">
      <c r="G1523" s="12">
        <f t="shared" si="284"/>
        <v>40067</v>
      </c>
    </row>
    <row r="1524">
      <c r="G1524" s="12">
        <f t="shared" si="284"/>
        <v>40067</v>
      </c>
    </row>
    <row r="1525">
      <c r="G1525" s="12">
        <f t="shared" ref="G1525:G1532" si="285">DATE(2012,12,31)-1206</f>
        <v>40068</v>
      </c>
    </row>
    <row r="1526">
      <c r="G1526" s="12">
        <f t="shared" si="285"/>
        <v>40068</v>
      </c>
    </row>
    <row r="1527">
      <c r="G1527" s="12">
        <f t="shared" si="285"/>
        <v>40068</v>
      </c>
    </row>
    <row r="1528">
      <c r="G1528" s="12">
        <f t="shared" si="285"/>
        <v>40068</v>
      </c>
    </row>
    <row r="1529">
      <c r="G1529" s="12">
        <f t="shared" si="285"/>
        <v>40068</v>
      </c>
    </row>
    <row r="1530">
      <c r="G1530" s="12">
        <f t="shared" si="285"/>
        <v>40068</v>
      </c>
    </row>
    <row r="1531">
      <c r="G1531" s="12">
        <f t="shared" si="285"/>
        <v>40068</v>
      </c>
    </row>
    <row r="1532">
      <c r="G1532" s="12">
        <f t="shared" si="285"/>
        <v>40068</v>
      </c>
    </row>
    <row r="1533">
      <c r="G1533" s="12">
        <f t="shared" ref="G1533:G1538" si="286">DATE(2012,12,31)-1205</f>
        <v>40069</v>
      </c>
    </row>
    <row r="1534">
      <c r="G1534" s="12">
        <f t="shared" si="286"/>
        <v>40069</v>
      </c>
    </row>
    <row r="1535">
      <c r="G1535" s="12">
        <f t="shared" si="286"/>
        <v>40069</v>
      </c>
    </row>
    <row r="1536">
      <c r="G1536" s="12">
        <f t="shared" si="286"/>
        <v>40069</v>
      </c>
    </row>
    <row r="1537">
      <c r="G1537" s="12">
        <f t="shared" si="286"/>
        <v>40069</v>
      </c>
    </row>
    <row r="1538">
      <c r="G1538" s="12">
        <f t="shared" si="286"/>
        <v>40069</v>
      </c>
    </row>
    <row r="1539">
      <c r="G1539" s="12">
        <f t="shared" ref="G1539:G1544" si="287">DATE(2012,12,31)-1204</f>
        <v>40070</v>
      </c>
    </row>
    <row r="1540">
      <c r="G1540" s="12">
        <f t="shared" si="287"/>
        <v>40070</v>
      </c>
    </row>
    <row r="1541">
      <c r="G1541" s="12">
        <f t="shared" si="287"/>
        <v>40070</v>
      </c>
    </row>
    <row r="1542">
      <c r="G1542" s="12">
        <f t="shared" si="287"/>
        <v>40070</v>
      </c>
    </row>
    <row r="1543">
      <c r="G1543" s="12">
        <f t="shared" si="287"/>
        <v>40070</v>
      </c>
    </row>
    <row r="1544">
      <c r="G1544" s="12">
        <f t="shared" si="287"/>
        <v>40070</v>
      </c>
    </row>
    <row r="1545">
      <c r="G1545" s="12">
        <f t="shared" ref="G1545:G1549" si="288">DATE(2012,12,31)-1203</f>
        <v>40071</v>
      </c>
    </row>
    <row r="1546">
      <c r="G1546" s="12">
        <f t="shared" si="288"/>
        <v>40071</v>
      </c>
    </row>
    <row r="1547">
      <c r="G1547" s="12">
        <f t="shared" si="288"/>
        <v>40071</v>
      </c>
    </row>
    <row r="1548">
      <c r="G1548" s="12">
        <f t="shared" si="288"/>
        <v>40071</v>
      </c>
    </row>
    <row r="1549">
      <c r="G1549" s="12">
        <f t="shared" si="288"/>
        <v>40071</v>
      </c>
    </row>
    <row r="1550">
      <c r="G1550" s="12">
        <f t="shared" ref="G1550:G1559" si="289">DATE(2012,12,31)-1202</f>
        <v>40072</v>
      </c>
    </row>
    <row r="1551">
      <c r="G1551" s="12">
        <f t="shared" si="289"/>
        <v>40072</v>
      </c>
    </row>
    <row r="1552">
      <c r="G1552" s="12">
        <f t="shared" si="289"/>
        <v>40072</v>
      </c>
    </row>
    <row r="1553">
      <c r="G1553" s="12">
        <f t="shared" si="289"/>
        <v>40072</v>
      </c>
    </row>
    <row r="1554">
      <c r="G1554" s="12">
        <f t="shared" si="289"/>
        <v>40072</v>
      </c>
    </row>
    <row r="1555">
      <c r="G1555" s="12">
        <f t="shared" si="289"/>
        <v>40072</v>
      </c>
    </row>
    <row r="1556">
      <c r="G1556" s="12">
        <f t="shared" si="289"/>
        <v>40072</v>
      </c>
    </row>
    <row r="1557">
      <c r="G1557" s="12">
        <f t="shared" si="289"/>
        <v>40072</v>
      </c>
    </row>
    <row r="1558">
      <c r="G1558" s="12">
        <f t="shared" si="289"/>
        <v>40072</v>
      </c>
    </row>
    <row r="1559">
      <c r="G1559" s="12">
        <f t="shared" si="289"/>
        <v>40072</v>
      </c>
    </row>
    <row r="1560">
      <c r="G1560" s="12">
        <f t="shared" ref="G1560:G1566" si="290">DATE(2012,12,31)-1201</f>
        <v>40073</v>
      </c>
    </row>
    <row r="1561">
      <c r="G1561" s="12">
        <f t="shared" si="290"/>
        <v>40073</v>
      </c>
    </row>
    <row r="1562">
      <c r="G1562" s="12">
        <f t="shared" si="290"/>
        <v>40073</v>
      </c>
    </row>
    <row r="1563">
      <c r="G1563" s="12">
        <f t="shared" si="290"/>
        <v>40073</v>
      </c>
    </row>
    <row r="1564">
      <c r="G1564" s="12">
        <f t="shared" si="290"/>
        <v>40073</v>
      </c>
    </row>
    <row r="1565">
      <c r="G1565" s="12">
        <f t="shared" si="290"/>
        <v>40073</v>
      </c>
    </row>
    <row r="1566">
      <c r="G1566" s="12">
        <f t="shared" si="290"/>
        <v>40073</v>
      </c>
    </row>
    <row r="1567">
      <c r="G1567" s="12">
        <f t="shared" ref="G1567:G1571" si="291">DATE(2012,12,31)-1200</f>
        <v>40074</v>
      </c>
    </row>
    <row r="1568">
      <c r="G1568" s="12">
        <f t="shared" si="291"/>
        <v>40074</v>
      </c>
    </row>
    <row r="1569">
      <c r="G1569" s="12">
        <f t="shared" si="291"/>
        <v>40074</v>
      </c>
    </row>
    <row r="1570">
      <c r="G1570" s="12">
        <f t="shared" si="291"/>
        <v>40074</v>
      </c>
    </row>
    <row r="1571">
      <c r="G1571" s="12">
        <f t="shared" si="291"/>
        <v>40074</v>
      </c>
    </row>
    <row r="1572">
      <c r="G1572" s="12">
        <f t="shared" ref="G1572:G1582" si="292">DATE(2012,12,31)-1199</f>
        <v>40075</v>
      </c>
    </row>
    <row r="1573">
      <c r="G1573" s="12">
        <f t="shared" si="292"/>
        <v>40075</v>
      </c>
    </row>
    <row r="1574">
      <c r="G1574" s="12">
        <f t="shared" si="292"/>
        <v>40075</v>
      </c>
    </row>
    <row r="1575">
      <c r="G1575" s="12">
        <f t="shared" si="292"/>
        <v>40075</v>
      </c>
    </row>
    <row r="1576">
      <c r="G1576" s="12">
        <f t="shared" si="292"/>
        <v>40075</v>
      </c>
    </row>
    <row r="1577">
      <c r="G1577" s="12">
        <f t="shared" si="292"/>
        <v>40075</v>
      </c>
    </row>
    <row r="1578">
      <c r="G1578" s="12">
        <f t="shared" si="292"/>
        <v>40075</v>
      </c>
    </row>
    <row r="1579">
      <c r="G1579" s="12">
        <f t="shared" si="292"/>
        <v>40075</v>
      </c>
    </row>
    <row r="1580">
      <c r="G1580" s="12">
        <f t="shared" si="292"/>
        <v>40075</v>
      </c>
    </row>
    <row r="1581">
      <c r="G1581" s="12">
        <f t="shared" si="292"/>
        <v>40075</v>
      </c>
    </row>
    <row r="1582">
      <c r="G1582" s="12">
        <f t="shared" si="292"/>
        <v>40075</v>
      </c>
    </row>
    <row r="1583">
      <c r="G1583" s="12">
        <f t="shared" ref="G1583:G1588" si="293">DATE(2012,12,31)-1198</f>
        <v>40076</v>
      </c>
    </row>
    <row r="1584">
      <c r="G1584" s="12">
        <f t="shared" si="293"/>
        <v>40076</v>
      </c>
    </row>
    <row r="1585">
      <c r="G1585" s="12">
        <f t="shared" si="293"/>
        <v>40076</v>
      </c>
    </row>
    <row r="1586">
      <c r="G1586" s="12">
        <f t="shared" si="293"/>
        <v>40076</v>
      </c>
    </row>
    <row r="1587">
      <c r="G1587" s="12">
        <f t="shared" si="293"/>
        <v>40076</v>
      </c>
    </row>
    <row r="1588">
      <c r="G1588" s="12">
        <f t="shared" si="293"/>
        <v>40076</v>
      </c>
    </row>
    <row r="1589">
      <c r="G1589" s="12">
        <f t="shared" ref="G1589:G1590" si="294">DATE(2012,12,31)-1197</f>
        <v>40077</v>
      </c>
    </row>
    <row r="1590">
      <c r="G1590" s="12">
        <f t="shared" si="294"/>
        <v>40077</v>
      </c>
    </row>
    <row r="1591">
      <c r="G1591" s="12">
        <f t="shared" ref="G1591:G1592" si="295">DATE(2012,12,31)-1196</f>
        <v>40078</v>
      </c>
    </row>
    <row r="1592">
      <c r="G1592" s="12">
        <f t="shared" si="295"/>
        <v>40078</v>
      </c>
    </row>
    <row r="1593">
      <c r="G1593" s="12">
        <f t="shared" ref="G1593:G1598" si="296">DATE(2012,12,31)-1195</f>
        <v>40079</v>
      </c>
    </row>
    <row r="1594">
      <c r="G1594" s="12">
        <f t="shared" si="296"/>
        <v>40079</v>
      </c>
    </row>
    <row r="1595">
      <c r="G1595" s="12">
        <f t="shared" si="296"/>
        <v>40079</v>
      </c>
    </row>
    <row r="1596">
      <c r="G1596" s="12">
        <f t="shared" si="296"/>
        <v>40079</v>
      </c>
    </row>
    <row r="1597">
      <c r="G1597" s="12">
        <f t="shared" si="296"/>
        <v>40079</v>
      </c>
    </row>
    <row r="1598">
      <c r="G1598" s="12">
        <f t="shared" si="296"/>
        <v>40079</v>
      </c>
    </row>
    <row r="1599">
      <c r="G1599" s="12">
        <f t="shared" ref="G1599:G1606" si="297">DATE(2012,12,31)-1194</f>
        <v>40080</v>
      </c>
    </row>
    <row r="1600">
      <c r="G1600" s="12">
        <f t="shared" si="297"/>
        <v>40080</v>
      </c>
    </row>
    <row r="1601">
      <c r="G1601" s="12">
        <f t="shared" si="297"/>
        <v>40080</v>
      </c>
    </row>
    <row r="1602">
      <c r="G1602" s="12">
        <f t="shared" si="297"/>
        <v>40080</v>
      </c>
    </row>
    <row r="1603">
      <c r="G1603" s="12">
        <f t="shared" si="297"/>
        <v>40080</v>
      </c>
    </row>
    <row r="1604">
      <c r="G1604" s="12">
        <f t="shared" si="297"/>
        <v>40080</v>
      </c>
    </row>
    <row r="1605">
      <c r="G1605" s="12">
        <f t="shared" si="297"/>
        <v>40080</v>
      </c>
    </row>
    <row r="1606">
      <c r="G1606" s="12">
        <f t="shared" si="297"/>
        <v>40080</v>
      </c>
    </row>
    <row r="1607">
      <c r="G1607" s="12">
        <f t="shared" ref="G1607:G1617" si="298">DATE(2012,12,31)-1193</f>
        <v>40081</v>
      </c>
    </row>
    <row r="1608">
      <c r="G1608" s="12">
        <f t="shared" si="298"/>
        <v>40081</v>
      </c>
    </row>
    <row r="1609">
      <c r="G1609" s="12">
        <f t="shared" si="298"/>
        <v>40081</v>
      </c>
    </row>
    <row r="1610">
      <c r="G1610" s="12">
        <f t="shared" si="298"/>
        <v>40081</v>
      </c>
    </row>
    <row r="1611">
      <c r="G1611" s="12">
        <f t="shared" si="298"/>
        <v>40081</v>
      </c>
    </row>
    <row r="1612">
      <c r="G1612" s="12">
        <f t="shared" si="298"/>
        <v>40081</v>
      </c>
    </row>
    <row r="1613">
      <c r="G1613" s="12">
        <f t="shared" si="298"/>
        <v>40081</v>
      </c>
    </row>
    <row r="1614">
      <c r="G1614" s="12">
        <f t="shared" si="298"/>
        <v>40081</v>
      </c>
    </row>
    <row r="1615">
      <c r="G1615" s="12">
        <f t="shared" si="298"/>
        <v>40081</v>
      </c>
    </row>
    <row r="1616">
      <c r="G1616" s="12">
        <f t="shared" si="298"/>
        <v>40081</v>
      </c>
    </row>
    <row r="1617">
      <c r="G1617" s="12">
        <f t="shared" si="298"/>
        <v>40081</v>
      </c>
    </row>
    <row r="1618">
      <c r="G1618" s="12">
        <f t="shared" ref="G1618:G1621" si="299">DATE(2012,12,31)-1192</f>
        <v>40082</v>
      </c>
    </row>
    <row r="1619">
      <c r="G1619" s="12">
        <f t="shared" si="299"/>
        <v>40082</v>
      </c>
    </row>
    <row r="1620">
      <c r="G1620" s="12">
        <f t="shared" si="299"/>
        <v>40082</v>
      </c>
    </row>
    <row r="1621">
      <c r="G1621" s="12">
        <f t="shared" si="299"/>
        <v>40082</v>
      </c>
    </row>
    <row r="1622">
      <c r="G1622" s="12">
        <f t="shared" ref="G1622:G1625" si="300">DATE(2012,12,31)-1191</f>
        <v>40083</v>
      </c>
    </row>
    <row r="1623">
      <c r="G1623" s="12">
        <f t="shared" si="300"/>
        <v>40083</v>
      </c>
    </row>
    <row r="1624">
      <c r="G1624" s="12">
        <f t="shared" si="300"/>
        <v>40083</v>
      </c>
    </row>
    <row r="1625">
      <c r="G1625" s="12">
        <f t="shared" si="300"/>
        <v>40083</v>
      </c>
    </row>
    <row r="1626">
      <c r="G1626" s="12">
        <f t="shared" ref="G1626:G1630" si="301">DATE(2012,12,31)-1190</f>
        <v>40084</v>
      </c>
    </row>
    <row r="1627">
      <c r="G1627" s="12">
        <f t="shared" si="301"/>
        <v>40084</v>
      </c>
    </row>
    <row r="1628">
      <c r="G1628" s="12">
        <f t="shared" si="301"/>
        <v>40084</v>
      </c>
    </row>
    <row r="1629">
      <c r="G1629" s="12">
        <f t="shared" si="301"/>
        <v>40084</v>
      </c>
    </row>
    <row r="1630">
      <c r="G1630" s="12">
        <f t="shared" si="301"/>
        <v>40084</v>
      </c>
    </row>
    <row r="1631">
      <c r="G1631" s="12">
        <f t="shared" ref="G1631:G1637" si="302">DATE(2012,12,31)-1189</f>
        <v>40085</v>
      </c>
    </row>
    <row r="1632">
      <c r="G1632" s="12">
        <f t="shared" si="302"/>
        <v>40085</v>
      </c>
    </row>
    <row r="1633">
      <c r="G1633" s="12">
        <f t="shared" si="302"/>
        <v>40085</v>
      </c>
    </row>
    <row r="1634">
      <c r="G1634" s="12">
        <f t="shared" si="302"/>
        <v>40085</v>
      </c>
    </row>
    <row r="1635">
      <c r="G1635" s="12">
        <f t="shared" si="302"/>
        <v>40085</v>
      </c>
    </row>
    <row r="1636">
      <c r="G1636" s="12">
        <f t="shared" si="302"/>
        <v>40085</v>
      </c>
    </row>
    <row r="1637">
      <c r="G1637" s="12">
        <f t="shared" si="302"/>
        <v>40085</v>
      </c>
    </row>
    <row r="1638">
      <c r="G1638" s="12">
        <f t="shared" ref="G1638:G1645" si="303">DATE(2012,12,31)-1188</f>
        <v>40086</v>
      </c>
    </row>
    <row r="1639">
      <c r="G1639" s="12">
        <f t="shared" si="303"/>
        <v>40086</v>
      </c>
    </row>
    <row r="1640">
      <c r="G1640" s="12">
        <f t="shared" si="303"/>
        <v>40086</v>
      </c>
    </row>
    <row r="1641">
      <c r="G1641" s="12">
        <f t="shared" si="303"/>
        <v>40086</v>
      </c>
    </row>
    <row r="1642">
      <c r="G1642" s="12">
        <f t="shared" si="303"/>
        <v>40086</v>
      </c>
    </row>
    <row r="1643">
      <c r="G1643" s="12">
        <f t="shared" si="303"/>
        <v>40086</v>
      </c>
    </row>
    <row r="1644">
      <c r="G1644" s="12">
        <f t="shared" si="303"/>
        <v>40086</v>
      </c>
    </row>
    <row r="1645">
      <c r="G1645" s="12">
        <f t="shared" si="303"/>
        <v>40086</v>
      </c>
    </row>
    <row r="1646">
      <c r="G1646" s="12">
        <f t="shared" ref="G1646:G1652" si="304">DATE(2012,12,31)-1187</f>
        <v>40087</v>
      </c>
    </row>
    <row r="1647">
      <c r="G1647" s="12">
        <f t="shared" si="304"/>
        <v>40087</v>
      </c>
    </row>
    <row r="1648">
      <c r="G1648" s="12">
        <f t="shared" si="304"/>
        <v>40087</v>
      </c>
    </row>
    <row r="1649">
      <c r="G1649" s="12">
        <f t="shared" si="304"/>
        <v>40087</v>
      </c>
    </row>
    <row r="1650">
      <c r="G1650" s="12">
        <f t="shared" si="304"/>
        <v>40087</v>
      </c>
    </row>
    <row r="1651">
      <c r="G1651" s="12">
        <f t="shared" si="304"/>
        <v>40087</v>
      </c>
    </row>
    <row r="1652">
      <c r="G1652" s="12">
        <f t="shared" si="304"/>
        <v>40087</v>
      </c>
    </row>
    <row r="1653">
      <c r="G1653" s="12">
        <f t="shared" ref="G1653:G1656" si="305">DATE(2012,12,31)-1186</f>
        <v>40088</v>
      </c>
    </row>
    <row r="1654">
      <c r="G1654" s="12">
        <f t="shared" si="305"/>
        <v>40088</v>
      </c>
    </row>
    <row r="1655">
      <c r="G1655" s="12">
        <f t="shared" si="305"/>
        <v>40088</v>
      </c>
    </row>
    <row r="1656">
      <c r="G1656" s="12">
        <f t="shared" si="305"/>
        <v>40088</v>
      </c>
    </row>
    <row r="1657">
      <c r="G1657" s="12">
        <f t="shared" ref="G1657:G1670" si="306">DATE(2012,12,31)-1184</f>
        <v>40090</v>
      </c>
    </row>
    <row r="1658">
      <c r="G1658" s="12">
        <f t="shared" si="306"/>
        <v>40090</v>
      </c>
    </row>
    <row r="1659">
      <c r="G1659" s="12">
        <f t="shared" si="306"/>
        <v>40090</v>
      </c>
    </row>
    <row r="1660">
      <c r="G1660" s="12">
        <f t="shared" si="306"/>
        <v>40090</v>
      </c>
    </row>
    <row r="1661">
      <c r="G1661" s="12">
        <f t="shared" si="306"/>
        <v>40090</v>
      </c>
    </row>
    <row r="1662">
      <c r="G1662" s="12">
        <f t="shared" si="306"/>
        <v>40090</v>
      </c>
    </row>
    <row r="1663">
      <c r="G1663" s="12">
        <f t="shared" si="306"/>
        <v>40090</v>
      </c>
    </row>
    <row r="1664">
      <c r="G1664" s="12">
        <f t="shared" si="306"/>
        <v>40090</v>
      </c>
    </row>
    <row r="1665">
      <c r="G1665" s="12">
        <f t="shared" si="306"/>
        <v>40090</v>
      </c>
    </row>
    <row r="1666">
      <c r="G1666" s="12">
        <f t="shared" si="306"/>
        <v>40090</v>
      </c>
    </row>
    <row r="1667">
      <c r="G1667" s="12">
        <f t="shared" si="306"/>
        <v>40090</v>
      </c>
    </row>
    <row r="1668">
      <c r="G1668" s="12">
        <f t="shared" si="306"/>
        <v>40090</v>
      </c>
    </row>
    <row r="1669">
      <c r="G1669" s="12">
        <f t="shared" si="306"/>
        <v>40090</v>
      </c>
    </row>
    <row r="1670">
      <c r="G1670" s="12">
        <f t="shared" si="306"/>
        <v>40090</v>
      </c>
    </row>
    <row r="1671">
      <c r="G1671" s="12">
        <f t="shared" ref="G1671:G1675" si="307">DATE(2012,12,31)-1183</f>
        <v>40091</v>
      </c>
    </row>
    <row r="1672">
      <c r="G1672" s="12">
        <f t="shared" si="307"/>
        <v>40091</v>
      </c>
    </row>
    <row r="1673">
      <c r="G1673" s="12">
        <f t="shared" si="307"/>
        <v>40091</v>
      </c>
    </row>
    <row r="1674">
      <c r="G1674" s="12">
        <f t="shared" si="307"/>
        <v>40091</v>
      </c>
    </row>
    <row r="1675">
      <c r="G1675" s="12">
        <f t="shared" si="307"/>
        <v>40091</v>
      </c>
    </row>
    <row r="1676">
      <c r="G1676" s="12">
        <f t="shared" ref="G1676:G1678" si="308">DATE(2012,12,31)-1182</f>
        <v>40092</v>
      </c>
    </row>
    <row r="1677">
      <c r="G1677" s="12">
        <f t="shared" si="308"/>
        <v>40092</v>
      </c>
    </row>
    <row r="1678">
      <c r="G1678" s="12">
        <f t="shared" si="308"/>
        <v>40092</v>
      </c>
    </row>
    <row r="1679">
      <c r="G1679" s="12">
        <f t="shared" ref="G1679:G1688" si="309">DATE(2012,12,31)-1181</f>
        <v>40093</v>
      </c>
    </row>
    <row r="1680">
      <c r="G1680" s="12">
        <f t="shared" si="309"/>
        <v>40093</v>
      </c>
    </row>
    <row r="1681">
      <c r="G1681" s="12">
        <f t="shared" si="309"/>
        <v>40093</v>
      </c>
    </row>
    <row r="1682">
      <c r="G1682" s="12">
        <f t="shared" si="309"/>
        <v>40093</v>
      </c>
    </row>
    <row r="1683">
      <c r="G1683" s="12">
        <f t="shared" si="309"/>
        <v>40093</v>
      </c>
    </row>
    <row r="1684">
      <c r="G1684" s="12">
        <f t="shared" si="309"/>
        <v>40093</v>
      </c>
    </row>
    <row r="1685">
      <c r="G1685" s="12">
        <f t="shared" si="309"/>
        <v>40093</v>
      </c>
    </row>
    <row r="1686">
      <c r="G1686" s="12">
        <f t="shared" si="309"/>
        <v>40093</v>
      </c>
    </row>
    <row r="1687">
      <c r="G1687" s="12">
        <f t="shared" si="309"/>
        <v>40093</v>
      </c>
    </row>
    <row r="1688">
      <c r="G1688" s="12">
        <f t="shared" si="309"/>
        <v>40093</v>
      </c>
    </row>
    <row r="1689">
      <c r="G1689" s="12">
        <f t="shared" ref="G1689:G1695" si="310">DATE(2012,12,31)-1180</f>
        <v>40094</v>
      </c>
    </row>
    <row r="1690">
      <c r="G1690" s="12">
        <f t="shared" si="310"/>
        <v>40094</v>
      </c>
    </row>
    <row r="1691">
      <c r="G1691" s="12">
        <f t="shared" si="310"/>
        <v>40094</v>
      </c>
    </row>
    <row r="1692">
      <c r="G1692" s="12">
        <f t="shared" si="310"/>
        <v>40094</v>
      </c>
    </row>
    <row r="1693">
      <c r="G1693" s="12">
        <f t="shared" si="310"/>
        <v>40094</v>
      </c>
    </row>
    <row r="1694">
      <c r="G1694" s="12">
        <f t="shared" si="310"/>
        <v>40094</v>
      </c>
    </row>
    <row r="1695">
      <c r="G1695" s="12">
        <f t="shared" si="310"/>
        <v>40094</v>
      </c>
    </row>
    <row r="1696">
      <c r="G1696" s="12">
        <f t="shared" ref="G1696:G1709" si="311">DATE(2012,12,31)-1179</f>
        <v>40095</v>
      </c>
    </row>
    <row r="1697">
      <c r="G1697" s="12">
        <f t="shared" si="311"/>
        <v>40095</v>
      </c>
    </row>
    <row r="1698">
      <c r="G1698" s="12">
        <f t="shared" si="311"/>
        <v>40095</v>
      </c>
    </row>
    <row r="1699">
      <c r="G1699" s="12">
        <f t="shared" si="311"/>
        <v>40095</v>
      </c>
    </row>
    <row r="1700">
      <c r="G1700" s="12">
        <f t="shared" si="311"/>
        <v>40095</v>
      </c>
    </row>
    <row r="1701">
      <c r="G1701" s="12">
        <f t="shared" si="311"/>
        <v>40095</v>
      </c>
    </row>
    <row r="1702">
      <c r="G1702" s="12">
        <f t="shared" si="311"/>
        <v>40095</v>
      </c>
    </row>
    <row r="1703">
      <c r="G1703" s="12">
        <f t="shared" si="311"/>
        <v>40095</v>
      </c>
    </row>
    <row r="1704">
      <c r="G1704" s="12">
        <f t="shared" si="311"/>
        <v>40095</v>
      </c>
    </row>
    <row r="1705">
      <c r="G1705" s="12">
        <f t="shared" si="311"/>
        <v>40095</v>
      </c>
    </row>
    <row r="1706">
      <c r="G1706" s="12">
        <f t="shared" si="311"/>
        <v>40095</v>
      </c>
    </row>
    <row r="1707">
      <c r="G1707" s="12">
        <f t="shared" si="311"/>
        <v>40095</v>
      </c>
    </row>
    <row r="1708">
      <c r="G1708" s="12">
        <f t="shared" si="311"/>
        <v>40095</v>
      </c>
    </row>
    <row r="1709">
      <c r="G1709" s="12">
        <f t="shared" si="311"/>
        <v>40095</v>
      </c>
    </row>
    <row r="1710">
      <c r="G1710" s="12">
        <f t="shared" ref="G1710:G1714" si="312">DATE(2012,12,31)-1178</f>
        <v>40096</v>
      </c>
    </row>
    <row r="1711">
      <c r="G1711" s="12">
        <f t="shared" si="312"/>
        <v>40096</v>
      </c>
    </row>
    <row r="1712">
      <c r="G1712" s="12">
        <f t="shared" si="312"/>
        <v>40096</v>
      </c>
    </row>
    <row r="1713">
      <c r="G1713" s="12">
        <f t="shared" si="312"/>
        <v>40096</v>
      </c>
    </row>
    <row r="1714">
      <c r="G1714" s="12">
        <f t="shared" si="312"/>
        <v>40096</v>
      </c>
    </row>
    <row r="1715">
      <c r="G1715" s="12">
        <f t="shared" ref="G1715:G1719" si="313">DATE(2012,12,31)-1177</f>
        <v>40097</v>
      </c>
    </row>
    <row r="1716">
      <c r="G1716" s="12">
        <f t="shared" si="313"/>
        <v>40097</v>
      </c>
    </row>
    <row r="1717">
      <c r="G1717" s="12">
        <f t="shared" si="313"/>
        <v>40097</v>
      </c>
    </row>
    <row r="1718">
      <c r="G1718" s="12">
        <f t="shared" si="313"/>
        <v>40097</v>
      </c>
    </row>
    <row r="1719">
      <c r="G1719" s="12">
        <f t="shared" si="313"/>
        <v>40097</v>
      </c>
    </row>
    <row r="1720">
      <c r="G1720" s="12">
        <f t="shared" ref="G1720:G1721" si="314">DATE(2012,12,31)-1176</f>
        <v>40098</v>
      </c>
    </row>
    <row r="1721">
      <c r="G1721" s="12">
        <f t="shared" si="314"/>
        <v>40098</v>
      </c>
    </row>
    <row r="1722">
      <c r="G1722" s="12">
        <f t="shared" ref="G1722:G1727" si="315">DATE(2012,12,31)-1175</f>
        <v>40099</v>
      </c>
    </row>
    <row r="1723">
      <c r="G1723" s="12">
        <f t="shared" si="315"/>
        <v>40099</v>
      </c>
    </row>
    <row r="1724">
      <c r="G1724" s="12">
        <f t="shared" si="315"/>
        <v>40099</v>
      </c>
    </row>
    <row r="1725">
      <c r="G1725" s="12">
        <f t="shared" si="315"/>
        <v>40099</v>
      </c>
    </row>
    <row r="1726">
      <c r="G1726" s="12">
        <f t="shared" si="315"/>
        <v>40099</v>
      </c>
    </row>
    <row r="1727">
      <c r="G1727" s="12">
        <f t="shared" si="315"/>
        <v>40099</v>
      </c>
    </row>
    <row r="1728">
      <c r="G1728" s="12">
        <f t="shared" ref="G1728:G1736" si="316">DATE(2012,12,31)-1173</f>
        <v>40101</v>
      </c>
    </row>
    <row r="1729">
      <c r="G1729" s="12">
        <f t="shared" si="316"/>
        <v>40101</v>
      </c>
    </row>
    <row r="1730">
      <c r="G1730" s="12">
        <f t="shared" si="316"/>
        <v>40101</v>
      </c>
    </row>
    <row r="1731">
      <c r="G1731" s="12">
        <f t="shared" si="316"/>
        <v>40101</v>
      </c>
    </row>
    <row r="1732">
      <c r="G1732" s="12">
        <f t="shared" si="316"/>
        <v>40101</v>
      </c>
    </row>
    <row r="1733">
      <c r="G1733" s="12">
        <f t="shared" si="316"/>
        <v>40101</v>
      </c>
    </row>
    <row r="1734">
      <c r="G1734" s="12">
        <f t="shared" si="316"/>
        <v>40101</v>
      </c>
    </row>
    <row r="1735">
      <c r="G1735" s="12">
        <f t="shared" si="316"/>
        <v>40101</v>
      </c>
    </row>
    <row r="1736">
      <c r="G1736" s="12">
        <f t="shared" si="316"/>
        <v>40101</v>
      </c>
    </row>
    <row r="1737">
      <c r="G1737" s="12">
        <f t="shared" ref="G1737:G1741" si="317">DATE(2012,12,31)-1171</f>
        <v>40103</v>
      </c>
    </row>
    <row r="1738">
      <c r="G1738" s="12">
        <f t="shared" si="317"/>
        <v>40103</v>
      </c>
    </row>
    <row r="1739">
      <c r="G1739" s="12">
        <f t="shared" si="317"/>
        <v>40103</v>
      </c>
    </row>
    <row r="1740">
      <c r="G1740" s="12">
        <f t="shared" si="317"/>
        <v>40103</v>
      </c>
    </row>
    <row r="1741">
      <c r="G1741" s="12">
        <f t="shared" si="317"/>
        <v>40103</v>
      </c>
    </row>
    <row r="1742">
      <c r="G1742" s="12">
        <f t="shared" ref="G1742:G1748" si="318">DATE(2012,12,31)-1170</f>
        <v>40104</v>
      </c>
    </row>
    <row r="1743">
      <c r="G1743" s="12">
        <f t="shared" si="318"/>
        <v>40104</v>
      </c>
    </row>
    <row r="1744">
      <c r="G1744" s="12">
        <f t="shared" si="318"/>
        <v>40104</v>
      </c>
    </row>
    <row r="1745">
      <c r="G1745" s="12">
        <f t="shared" si="318"/>
        <v>40104</v>
      </c>
    </row>
    <row r="1746">
      <c r="G1746" s="12">
        <f t="shared" si="318"/>
        <v>40104</v>
      </c>
    </row>
    <row r="1747">
      <c r="G1747" s="12">
        <f t="shared" si="318"/>
        <v>40104</v>
      </c>
    </row>
    <row r="1748">
      <c r="G1748" s="12">
        <f t="shared" si="318"/>
        <v>40104</v>
      </c>
    </row>
    <row r="1749">
      <c r="G1749" s="12">
        <f t="shared" ref="G1749:G1754" si="319">DATE(2012,12,31)-1169</f>
        <v>40105</v>
      </c>
    </row>
    <row r="1750">
      <c r="G1750" s="12">
        <f t="shared" si="319"/>
        <v>40105</v>
      </c>
    </row>
    <row r="1751">
      <c r="G1751" s="12">
        <f t="shared" si="319"/>
        <v>40105</v>
      </c>
    </row>
    <row r="1752">
      <c r="G1752" s="12">
        <f t="shared" si="319"/>
        <v>40105</v>
      </c>
    </row>
    <row r="1753">
      <c r="G1753" s="12">
        <f t="shared" si="319"/>
        <v>40105</v>
      </c>
    </row>
    <row r="1754">
      <c r="G1754" s="12">
        <f t="shared" si="319"/>
        <v>40105</v>
      </c>
    </row>
    <row r="1755">
      <c r="G1755" s="12">
        <f t="shared" ref="G1755:G1764" si="320">DATE(2012,12,31)-1168</f>
        <v>40106</v>
      </c>
    </row>
    <row r="1756">
      <c r="G1756" s="12">
        <f t="shared" si="320"/>
        <v>40106</v>
      </c>
    </row>
    <row r="1757">
      <c r="G1757" s="12">
        <f t="shared" si="320"/>
        <v>40106</v>
      </c>
    </row>
    <row r="1758">
      <c r="G1758" s="12">
        <f t="shared" si="320"/>
        <v>40106</v>
      </c>
    </row>
    <row r="1759">
      <c r="G1759" s="12">
        <f t="shared" si="320"/>
        <v>40106</v>
      </c>
    </row>
    <row r="1760">
      <c r="G1760" s="12">
        <f t="shared" si="320"/>
        <v>40106</v>
      </c>
    </row>
    <row r="1761">
      <c r="G1761" s="12">
        <f t="shared" si="320"/>
        <v>40106</v>
      </c>
    </row>
    <row r="1762">
      <c r="G1762" s="12">
        <f t="shared" si="320"/>
        <v>40106</v>
      </c>
    </row>
    <row r="1763">
      <c r="G1763" s="12">
        <f t="shared" si="320"/>
        <v>40106</v>
      </c>
    </row>
    <row r="1764">
      <c r="G1764" s="12">
        <f t="shared" si="320"/>
        <v>40106</v>
      </c>
    </row>
    <row r="1765">
      <c r="G1765" s="12">
        <f t="shared" ref="G1765:G1769" si="321">DATE(2012,12,31)-1167</f>
        <v>40107</v>
      </c>
    </row>
    <row r="1766">
      <c r="G1766" s="12">
        <f t="shared" si="321"/>
        <v>40107</v>
      </c>
    </row>
    <row r="1767">
      <c r="G1767" s="12">
        <f t="shared" si="321"/>
        <v>40107</v>
      </c>
    </row>
    <row r="1768">
      <c r="G1768" s="12">
        <f t="shared" si="321"/>
        <v>40107</v>
      </c>
    </row>
    <row r="1769">
      <c r="G1769" s="12">
        <f t="shared" si="321"/>
        <v>40107</v>
      </c>
    </row>
    <row r="1770">
      <c r="G1770" s="12">
        <f t="shared" ref="G1770:G1771" si="322">DATE(2012,12,31)-1166</f>
        <v>40108</v>
      </c>
    </row>
    <row r="1771">
      <c r="G1771" s="12">
        <f t="shared" si="322"/>
        <v>40108</v>
      </c>
    </row>
    <row r="1772">
      <c r="G1772" s="12">
        <f t="shared" ref="G1772:G1775" si="323">DATE(2012,12,31)-1165</f>
        <v>40109</v>
      </c>
    </row>
    <row r="1773">
      <c r="G1773" s="12">
        <f t="shared" si="323"/>
        <v>40109</v>
      </c>
    </row>
    <row r="1774">
      <c r="G1774" s="12">
        <f t="shared" si="323"/>
        <v>40109</v>
      </c>
    </row>
    <row r="1775">
      <c r="G1775" s="12">
        <f t="shared" si="323"/>
        <v>40109</v>
      </c>
    </row>
    <row r="1776">
      <c r="G1776" s="12">
        <f t="shared" ref="G1776:G1778" si="324">DATE(2012,12,31)-1164</f>
        <v>40110</v>
      </c>
    </row>
    <row r="1777">
      <c r="G1777" s="12">
        <f t="shared" si="324"/>
        <v>40110</v>
      </c>
    </row>
    <row r="1778">
      <c r="G1778" s="12">
        <f t="shared" si="324"/>
        <v>40110</v>
      </c>
    </row>
    <row r="1779">
      <c r="G1779" s="12">
        <f t="shared" ref="G1779:G1783" si="325">DATE(2012,12,31)-1163</f>
        <v>40111</v>
      </c>
    </row>
    <row r="1780">
      <c r="G1780" s="12">
        <f t="shared" si="325"/>
        <v>40111</v>
      </c>
    </row>
    <row r="1781">
      <c r="G1781" s="12">
        <f t="shared" si="325"/>
        <v>40111</v>
      </c>
    </row>
    <row r="1782">
      <c r="G1782" s="12">
        <f t="shared" si="325"/>
        <v>40111</v>
      </c>
    </row>
    <row r="1783">
      <c r="G1783" s="12">
        <f t="shared" si="325"/>
        <v>40111</v>
      </c>
    </row>
    <row r="1784">
      <c r="G1784" s="12">
        <f>DATE(2012,12,31)-1162</f>
        <v>40112</v>
      </c>
    </row>
    <row r="1785">
      <c r="G1785" s="12">
        <f t="shared" ref="G1785:G1787" si="326">DATE(2012,12,31)-1161</f>
        <v>40113</v>
      </c>
    </row>
    <row r="1786">
      <c r="G1786" s="12">
        <f t="shared" si="326"/>
        <v>40113</v>
      </c>
    </row>
    <row r="1787">
      <c r="G1787" s="12">
        <f t="shared" si="326"/>
        <v>40113</v>
      </c>
    </row>
    <row r="1788">
      <c r="G1788" s="12">
        <f t="shared" ref="G1788:G1794" si="327">DATE(2012,12,31)-1160</f>
        <v>40114</v>
      </c>
    </row>
    <row r="1789">
      <c r="G1789" s="12">
        <f t="shared" si="327"/>
        <v>40114</v>
      </c>
    </row>
    <row r="1790">
      <c r="G1790" s="12">
        <f t="shared" si="327"/>
        <v>40114</v>
      </c>
    </row>
    <row r="1791">
      <c r="G1791" s="12">
        <f t="shared" si="327"/>
        <v>40114</v>
      </c>
    </row>
    <row r="1792">
      <c r="G1792" s="12">
        <f t="shared" si="327"/>
        <v>40114</v>
      </c>
    </row>
    <row r="1793">
      <c r="G1793" s="12">
        <f t="shared" si="327"/>
        <v>40114</v>
      </c>
    </row>
    <row r="1794">
      <c r="G1794" s="12">
        <f t="shared" si="327"/>
        <v>40114</v>
      </c>
    </row>
    <row r="1795">
      <c r="G1795" s="12">
        <f t="shared" ref="G1795:G1803" si="328">DATE(2012,12,31)-1159</f>
        <v>40115</v>
      </c>
    </row>
    <row r="1796">
      <c r="G1796" s="12">
        <f t="shared" si="328"/>
        <v>40115</v>
      </c>
    </row>
    <row r="1797">
      <c r="G1797" s="12">
        <f t="shared" si="328"/>
        <v>40115</v>
      </c>
    </row>
    <row r="1798">
      <c r="G1798" s="12">
        <f t="shared" si="328"/>
        <v>40115</v>
      </c>
    </row>
    <row r="1799">
      <c r="G1799" s="12">
        <f t="shared" si="328"/>
        <v>40115</v>
      </c>
    </row>
    <row r="1800">
      <c r="G1800" s="12">
        <f t="shared" si="328"/>
        <v>40115</v>
      </c>
    </row>
    <row r="1801">
      <c r="G1801" s="12">
        <f t="shared" si="328"/>
        <v>40115</v>
      </c>
    </row>
    <row r="1802">
      <c r="G1802" s="12">
        <f t="shared" si="328"/>
        <v>40115</v>
      </c>
    </row>
    <row r="1803">
      <c r="G1803" s="12">
        <f t="shared" si="328"/>
        <v>40115</v>
      </c>
    </row>
    <row r="1804">
      <c r="G1804" s="12">
        <f t="shared" ref="G1804:G1807" si="329">DATE(2012,12,31)-1158</f>
        <v>40116</v>
      </c>
    </row>
    <row r="1805">
      <c r="G1805" s="12">
        <f t="shared" si="329"/>
        <v>40116</v>
      </c>
    </row>
    <row r="1806">
      <c r="G1806" s="12">
        <f t="shared" si="329"/>
        <v>40116</v>
      </c>
    </row>
    <row r="1807">
      <c r="G1807" s="12">
        <f t="shared" si="329"/>
        <v>40116</v>
      </c>
    </row>
    <row r="1808">
      <c r="G1808" s="12">
        <f t="shared" ref="G1808:G1812" si="330">DATE(2012,12,31)-1157</f>
        <v>40117</v>
      </c>
    </row>
    <row r="1809">
      <c r="G1809" s="12">
        <f t="shared" si="330"/>
        <v>40117</v>
      </c>
    </row>
    <row r="1810">
      <c r="G1810" s="12">
        <f t="shared" si="330"/>
        <v>40117</v>
      </c>
    </row>
    <row r="1811">
      <c r="G1811" s="12">
        <f t="shared" si="330"/>
        <v>40117</v>
      </c>
    </row>
    <row r="1812">
      <c r="G1812" s="12">
        <f t="shared" si="330"/>
        <v>40117</v>
      </c>
    </row>
    <row r="1813">
      <c r="G1813" s="12">
        <f>DATE(2012,12,31)-1156</f>
        <v>40118</v>
      </c>
    </row>
    <row r="1814">
      <c r="G1814" s="12">
        <f t="shared" ref="G1814:G1824" si="331">DATE(2012,12,31)-1155</f>
        <v>40119</v>
      </c>
    </row>
    <row r="1815">
      <c r="G1815" s="12">
        <f t="shared" si="331"/>
        <v>40119</v>
      </c>
    </row>
    <row r="1816">
      <c r="G1816" s="12">
        <f t="shared" si="331"/>
        <v>40119</v>
      </c>
    </row>
    <row r="1817">
      <c r="G1817" s="12">
        <f t="shared" si="331"/>
        <v>40119</v>
      </c>
    </row>
    <row r="1818">
      <c r="G1818" s="12">
        <f t="shared" si="331"/>
        <v>40119</v>
      </c>
    </row>
    <row r="1819">
      <c r="G1819" s="12">
        <f t="shared" si="331"/>
        <v>40119</v>
      </c>
    </row>
    <row r="1820">
      <c r="G1820" s="12">
        <f t="shared" si="331"/>
        <v>40119</v>
      </c>
    </row>
    <row r="1821">
      <c r="G1821" s="12">
        <f t="shared" si="331"/>
        <v>40119</v>
      </c>
    </row>
    <row r="1822">
      <c r="G1822" s="12">
        <f t="shared" si="331"/>
        <v>40119</v>
      </c>
    </row>
    <row r="1823">
      <c r="G1823" s="12">
        <f t="shared" si="331"/>
        <v>40119</v>
      </c>
    </row>
    <row r="1824">
      <c r="G1824" s="12">
        <f t="shared" si="331"/>
        <v>40119</v>
      </c>
    </row>
    <row r="1825">
      <c r="G1825" s="12">
        <f t="shared" ref="G1825:G1836" si="332">DATE(2012,12,31)-1154</f>
        <v>40120</v>
      </c>
    </row>
    <row r="1826">
      <c r="G1826" s="12">
        <f t="shared" si="332"/>
        <v>40120</v>
      </c>
    </row>
    <row r="1827">
      <c r="G1827" s="12">
        <f t="shared" si="332"/>
        <v>40120</v>
      </c>
    </row>
    <row r="1828">
      <c r="G1828" s="12">
        <f t="shared" si="332"/>
        <v>40120</v>
      </c>
    </row>
    <row r="1829">
      <c r="G1829" s="12">
        <f t="shared" si="332"/>
        <v>40120</v>
      </c>
    </row>
    <row r="1830">
      <c r="G1830" s="12">
        <f t="shared" si="332"/>
        <v>40120</v>
      </c>
    </row>
    <row r="1831">
      <c r="G1831" s="12">
        <f t="shared" si="332"/>
        <v>40120</v>
      </c>
    </row>
    <row r="1832">
      <c r="G1832" s="12">
        <f t="shared" si="332"/>
        <v>40120</v>
      </c>
    </row>
    <row r="1833">
      <c r="G1833" s="12">
        <f t="shared" si="332"/>
        <v>40120</v>
      </c>
    </row>
    <row r="1834">
      <c r="G1834" s="12">
        <f t="shared" si="332"/>
        <v>40120</v>
      </c>
    </row>
    <row r="1835">
      <c r="G1835" s="12">
        <f t="shared" si="332"/>
        <v>40120</v>
      </c>
    </row>
    <row r="1836">
      <c r="G1836" s="12">
        <f t="shared" si="332"/>
        <v>40120</v>
      </c>
    </row>
    <row r="1837">
      <c r="G1837" s="12">
        <f t="shared" ref="G1837:G1845" si="333">DATE(2012,12,31)-1153</f>
        <v>40121</v>
      </c>
    </row>
    <row r="1838">
      <c r="G1838" s="12">
        <f t="shared" si="333"/>
        <v>40121</v>
      </c>
    </row>
    <row r="1839">
      <c r="G1839" s="12">
        <f t="shared" si="333"/>
        <v>40121</v>
      </c>
    </row>
    <row r="1840">
      <c r="G1840" s="12">
        <f t="shared" si="333"/>
        <v>40121</v>
      </c>
    </row>
    <row r="1841">
      <c r="G1841" s="12">
        <f t="shared" si="333"/>
        <v>40121</v>
      </c>
    </row>
    <row r="1842">
      <c r="G1842" s="12">
        <f t="shared" si="333"/>
        <v>40121</v>
      </c>
    </row>
    <row r="1843">
      <c r="G1843" s="12">
        <f t="shared" si="333"/>
        <v>40121</v>
      </c>
    </row>
    <row r="1844">
      <c r="G1844" s="12">
        <f t="shared" si="333"/>
        <v>40121</v>
      </c>
    </row>
    <row r="1845">
      <c r="G1845" s="12">
        <f t="shared" si="333"/>
        <v>40121</v>
      </c>
    </row>
    <row r="1846">
      <c r="G1846" s="12">
        <f t="shared" ref="G1846:G1850" si="334">DATE(2012,12,31)-1152</f>
        <v>40122</v>
      </c>
    </row>
    <row r="1847">
      <c r="G1847" s="12">
        <f t="shared" si="334"/>
        <v>40122</v>
      </c>
    </row>
    <row r="1848">
      <c r="G1848" s="12">
        <f t="shared" si="334"/>
        <v>40122</v>
      </c>
    </row>
    <row r="1849">
      <c r="G1849" s="12">
        <f t="shared" si="334"/>
        <v>40122</v>
      </c>
    </row>
    <row r="1850">
      <c r="G1850" s="12">
        <f t="shared" si="334"/>
        <v>40122</v>
      </c>
    </row>
    <row r="1851">
      <c r="G1851" s="12">
        <f t="shared" ref="G1851:G1852" si="335">DATE(2012,12,31)-1151</f>
        <v>40123</v>
      </c>
    </row>
    <row r="1852">
      <c r="G1852" s="12">
        <f t="shared" si="335"/>
        <v>40123</v>
      </c>
    </row>
    <row r="1853">
      <c r="G1853" s="12">
        <f t="shared" ref="G1853:G1854" si="336">DATE(2012,12,31)-1150</f>
        <v>40124</v>
      </c>
    </row>
    <row r="1854">
      <c r="G1854" s="12">
        <f t="shared" si="336"/>
        <v>40124</v>
      </c>
    </row>
    <row r="1855">
      <c r="G1855" s="12">
        <f t="shared" ref="G1855:G1862" si="337">DATE(2012,12,31)-1149</f>
        <v>40125</v>
      </c>
    </row>
    <row r="1856">
      <c r="G1856" s="12">
        <f t="shared" si="337"/>
        <v>40125</v>
      </c>
    </row>
    <row r="1857">
      <c r="G1857" s="12">
        <f t="shared" si="337"/>
        <v>40125</v>
      </c>
    </row>
    <row r="1858">
      <c r="G1858" s="12">
        <f t="shared" si="337"/>
        <v>40125</v>
      </c>
    </row>
    <row r="1859">
      <c r="G1859" s="12">
        <f t="shared" si="337"/>
        <v>40125</v>
      </c>
    </row>
    <row r="1860">
      <c r="G1860" s="12">
        <f t="shared" si="337"/>
        <v>40125</v>
      </c>
    </row>
    <row r="1861">
      <c r="G1861" s="12">
        <f t="shared" si="337"/>
        <v>40125</v>
      </c>
    </row>
    <row r="1862">
      <c r="G1862" s="12">
        <f t="shared" si="337"/>
        <v>40125</v>
      </c>
    </row>
    <row r="1863">
      <c r="G1863" s="12">
        <f>DATE(2012,12,31)-1148</f>
        <v>40126</v>
      </c>
    </row>
    <row r="1864">
      <c r="G1864" s="12">
        <f t="shared" ref="G1864:G1870" si="338">DATE(2012,12,31)-1147</f>
        <v>40127</v>
      </c>
    </row>
    <row r="1865">
      <c r="G1865" s="12">
        <f t="shared" si="338"/>
        <v>40127</v>
      </c>
    </row>
    <row r="1866">
      <c r="G1866" s="12">
        <f t="shared" si="338"/>
        <v>40127</v>
      </c>
    </row>
    <row r="1867">
      <c r="G1867" s="12">
        <f t="shared" si="338"/>
        <v>40127</v>
      </c>
    </row>
    <row r="1868">
      <c r="G1868" s="12">
        <f t="shared" si="338"/>
        <v>40127</v>
      </c>
    </row>
    <row r="1869">
      <c r="G1869" s="12">
        <f t="shared" si="338"/>
        <v>40127</v>
      </c>
    </row>
    <row r="1870">
      <c r="G1870" s="12">
        <f t="shared" si="338"/>
        <v>40127</v>
      </c>
    </row>
    <row r="1871">
      <c r="G1871" s="12">
        <f t="shared" ref="G1871:G1874" si="339">DATE(2012,12,31)-1146</f>
        <v>40128</v>
      </c>
    </row>
    <row r="1872">
      <c r="G1872" s="12">
        <f t="shared" si="339"/>
        <v>40128</v>
      </c>
    </row>
    <row r="1873">
      <c r="G1873" s="12">
        <f t="shared" si="339"/>
        <v>40128</v>
      </c>
    </row>
    <row r="1874">
      <c r="G1874" s="12">
        <f t="shared" si="339"/>
        <v>40128</v>
      </c>
    </row>
    <row r="1875">
      <c r="G1875" s="12">
        <f t="shared" ref="G1875:G1877" si="340">DATE(2012,12,31)-1145</f>
        <v>40129</v>
      </c>
    </row>
    <row r="1876">
      <c r="G1876" s="12">
        <f t="shared" si="340"/>
        <v>40129</v>
      </c>
    </row>
    <row r="1877">
      <c r="G1877" s="12">
        <f t="shared" si="340"/>
        <v>40129</v>
      </c>
    </row>
    <row r="1878">
      <c r="G1878" s="12">
        <f t="shared" ref="G1878:G1879" si="341">DATE(2012,12,31)-1144</f>
        <v>40130</v>
      </c>
    </row>
    <row r="1879">
      <c r="G1879" s="12">
        <f t="shared" si="341"/>
        <v>40130</v>
      </c>
    </row>
    <row r="1880">
      <c r="G1880" s="12">
        <f t="shared" ref="G1880:G1884" si="342">DATE(2012,12,31)-1143</f>
        <v>40131</v>
      </c>
    </row>
    <row r="1881">
      <c r="G1881" s="12">
        <f t="shared" si="342"/>
        <v>40131</v>
      </c>
    </row>
    <row r="1882">
      <c r="G1882" s="12">
        <f t="shared" si="342"/>
        <v>40131</v>
      </c>
    </row>
    <row r="1883">
      <c r="G1883" s="12">
        <f t="shared" si="342"/>
        <v>40131</v>
      </c>
    </row>
    <row r="1884">
      <c r="G1884" s="12">
        <f t="shared" si="342"/>
        <v>40131</v>
      </c>
    </row>
    <row r="1885">
      <c r="G1885" s="12">
        <f t="shared" ref="G1885:G1886" si="343">DATE(2012,12,31)-1142</f>
        <v>40132</v>
      </c>
    </row>
    <row r="1886">
      <c r="G1886" s="12">
        <f t="shared" si="343"/>
        <v>40132</v>
      </c>
    </row>
    <row r="1887">
      <c r="G1887" s="12">
        <f t="shared" ref="G1887:G1896" si="344">DATE(2012,12,31)-1141</f>
        <v>40133</v>
      </c>
    </row>
    <row r="1888">
      <c r="G1888" s="12">
        <f t="shared" si="344"/>
        <v>40133</v>
      </c>
    </row>
    <row r="1889">
      <c r="G1889" s="12">
        <f t="shared" si="344"/>
        <v>40133</v>
      </c>
    </row>
    <row r="1890">
      <c r="G1890" s="12">
        <f t="shared" si="344"/>
        <v>40133</v>
      </c>
    </row>
    <row r="1891">
      <c r="G1891" s="12">
        <f t="shared" si="344"/>
        <v>40133</v>
      </c>
    </row>
    <row r="1892">
      <c r="G1892" s="12">
        <f t="shared" si="344"/>
        <v>40133</v>
      </c>
    </row>
    <row r="1893">
      <c r="G1893" s="12">
        <f t="shared" si="344"/>
        <v>40133</v>
      </c>
    </row>
    <row r="1894">
      <c r="G1894" s="12">
        <f t="shared" si="344"/>
        <v>40133</v>
      </c>
    </row>
    <row r="1895">
      <c r="G1895" s="12">
        <f t="shared" si="344"/>
        <v>40133</v>
      </c>
    </row>
    <row r="1896">
      <c r="G1896" s="12">
        <f t="shared" si="344"/>
        <v>40133</v>
      </c>
    </row>
    <row r="1897">
      <c r="G1897" s="12">
        <f t="shared" ref="G1897:G1904" si="345">DATE(2012,12,31)-1140</f>
        <v>40134</v>
      </c>
    </row>
    <row r="1898">
      <c r="G1898" s="12">
        <f t="shared" si="345"/>
        <v>40134</v>
      </c>
    </row>
    <row r="1899">
      <c r="G1899" s="12">
        <f t="shared" si="345"/>
        <v>40134</v>
      </c>
    </row>
    <row r="1900">
      <c r="G1900" s="12">
        <f t="shared" si="345"/>
        <v>40134</v>
      </c>
    </row>
    <row r="1901">
      <c r="G1901" s="12">
        <f t="shared" si="345"/>
        <v>40134</v>
      </c>
    </row>
    <row r="1902">
      <c r="G1902" s="12">
        <f t="shared" si="345"/>
        <v>40134</v>
      </c>
    </row>
    <row r="1903">
      <c r="G1903" s="12">
        <f t="shared" si="345"/>
        <v>40134</v>
      </c>
    </row>
    <row r="1904">
      <c r="G1904" s="12">
        <f t="shared" si="345"/>
        <v>40134</v>
      </c>
    </row>
    <row r="1905">
      <c r="G1905" s="12">
        <f t="shared" ref="G1905:G1907" si="346">DATE(2012,12,31)-1139</f>
        <v>40135</v>
      </c>
    </row>
    <row r="1906">
      <c r="G1906" s="12">
        <f t="shared" si="346"/>
        <v>40135</v>
      </c>
    </row>
    <row r="1907">
      <c r="G1907" s="12">
        <f t="shared" si="346"/>
        <v>40135</v>
      </c>
    </row>
    <row r="1908">
      <c r="G1908" s="12">
        <f t="shared" ref="G1908:G1910" si="347">DATE(2012,12,31)-1138</f>
        <v>40136</v>
      </c>
    </row>
    <row r="1909">
      <c r="G1909" s="12">
        <f t="shared" si="347"/>
        <v>40136</v>
      </c>
    </row>
    <row r="1910">
      <c r="G1910" s="12">
        <f t="shared" si="347"/>
        <v>40136</v>
      </c>
    </row>
    <row r="1911">
      <c r="G1911" s="12">
        <f t="shared" ref="G1911:G1923" si="348">DATE(2012,12,31)-1137</f>
        <v>40137</v>
      </c>
    </row>
    <row r="1912">
      <c r="G1912" s="12">
        <f t="shared" si="348"/>
        <v>40137</v>
      </c>
    </row>
    <row r="1913">
      <c r="G1913" s="12">
        <f t="shared" si="348"/>
        <v>40137</v>
      </c>
    </row>
    <row r="1914">
      <c r="G1914" s="12">
        <f t="shared" si="348"/>
        <v>40137</v>
      </c>
    </row>
    <row r="1915">
      <c r="G1915" s="12">
        <f t="shared" si="348"/>
        <v>40137</v>
      </c>
    </row>
    <row r="1916">
      <c r="G1916" s="12">
        <f t="shared" si="348"/>
        <v>40137</v>
      </c>
    </row>
    <row r="1917">
      <c r="G1917" s="12">
        <f t="shared" si="348"/>
        <v>40137</v>
      </c>
    </row>
    <row r="1918">
      <c r="G1918" s="12">
        <f t="shared" si="348"/>
        <v>40137</v>
      </c>
    </row>
    <row r="1919">
      <c r="G1919" s="12">
        <f t="shared" si="348"/>
        <v>40137</v>
      </c>
    </row>
    <row r="1920">
      <c r="G1920" s="12">
        <f t="shared" si="348"/>
        <v>40137</v>
      </c>
    </row>
    <row r="1921">
      <c r="G1921" s="12">
        <f t="shared" si="348"/>
        <v>40137</v>
      </c>
    </row>
    <row r="1922">
      <c r="G1922" s="12">
        <f t="shared" si="348"/>
        <v>40137</v>
      </c>
    </row>
    <row r="1923">
      <c r="G1923" s="12">
        <f t="shared" si="348"/>
        <v>40137</v>
      </c>
    </row>
    <row r="1924">
      <c r="G1924" s="12">
        <f t="shared" ref="G1924:G1927" si="349">DATE(2012,12,31)-1136</f>
        <v>40138</v>
      </c>
    </row>
    <row r="1925">
      <c r="G1925" s="12">
        <f t="shared" si="349"/>
        <v>40138</v>
      </c>
    </row>
    <row r="1926">
      <c r="G1926" s="12">
        <f t="shared" si="349"/>
        <v>40138</v>
      </c>
    </row>
    <row r="1927">
      <c r="G1927" s="12">
        <f t="shared" si="349"/>
        <v>40138</v>
      </c>
    </row>
    <row r="1928">
      <c r="G1928" s="12">
        <f t="shared" ref="G1928:G1931" si="350">DATE(2012,12,31)-1135</f>
        <v>40139</v>
      </c>
    </row>
    <row r="1929">
      <c r="G1929" s="12">
        <f t="shared" si="350"/>
        <v>40139</v>
      </c>
    </row>
    <row r="1930">
      <c r="G1930" s="12">
        <f t="shared" si="350"/>
        <v>40139</v>
      </c>
    </row>
    <row r="1931">
      <c r="G1931" s="12">
        <f t="shared" si="350"/>
        <v>40139</v>
      </c>
    </row>
    <row r="1932">
      <c r="G1932" s="12">
        <f t="shared" ref="G1932:G1942" si="351">DATE(2012,12,31)-1134</f>
        <v>40140</v>
      </c>
    </row>
    <row r="1933">
      <c r="G1933" s="12">
        <f t="shared" si="351"/>
        <v>40140</v>
      </c>
    </row>
    <row r="1934">
      <c r="G1934" s="12">
        <f t="shared" si="351"/>
        <v>40140</v>
      </c>
    </row>
    <row r="1935">
      <c r="G1935" s="12">
        <f t="shared" si="351"/>
        <v>40140</v>
      </c>
    </row>
    <row r="1936">
      <c r="G1936" s="12">
        <f t="shared" si="351"/>
        <v>40140</v>
      </c>
    </row>
    <row r="1937">
      <c r="G1937" s="12">
        <f t="shared" si="351"/>
        <v>40140</v>
      </c>
    </row>
    <row r="1938">
      <c r="G1938" s="12">
        <f t="shared" si="351"/>
        <v>40140</v>
      </c>
    </row>
    <row r="1939">
      <c r="G1939" s="12">
        <f t="shared" si="351"/>
        <v>40140</v>
      </c>
    </row>
    <row r="1940">
      <c r="G1940" s="12">
        <f t="shared" si="351"/>
        <v>40140</v>
      </c>
    </row>
    <row r="1941">
      <c r="G1941" s="12">
        <f t="shared" si="351"/>
        <v>40140</v>
      </c>
    </row>
    <row r="1942">
      <c r="G1942" s="12">
        <f t="shared" si="351"/>
        <v>40140</v>
      </c>
    </row>
    <row r="1943">
      <c r="G1943" s="12">
        <f t="shared" ref="G1943:G1948" si="352">DATE(2012,12,31)-1133</f>
        <v>40141</v>
      </c>
    </row>
    <row r="1944">
      <c r="G1944" s="12">
        <f t="shared" si="352"/>
        <v>40141</v>
      </c>
    </row>
    <row r="1945">
      <c r="G1945" s="12">
        <f t="shared" si="352"/>
        <v>40141</v>
      </c>
    </row>
    <row r="1946">
      <c r="G1946" s="12">
        <f t="shared" si="352"/>
        <v>40141</v>
      </c>
    </row>
    <row r="1947">
      <c r="G1947" s="12">
        <f t="shared" si="352"/>
        <v>40141</v>
      </c>
    </row>
    <row r="1948">
      <c r="G1948" s="12">
        <f t="shared" si="352"/>
        <v>40141</v>
      </c>
    </row>
    <row r="1949">
      <c r="G1949" s="12">
        <f t="shared" ref="G1949:G1958" si="353">DATE(2012,12,31)-1132</f>
        <v>40142</v>
      </c>
    </row>
    <row r="1950">
      <c r="G1950" s="12">
        <f t="shared" si="353"/>
        <v>40142</v>
      </c>
    </row>
    <row r="1951">
      <c r="G1951" s="12">
        <f t="shared" si="353"/>
        <v>40142</v>
      </c>
    </row>
    <row r="1952">
      <c r="G1952" s="12">
        <f t="shared" si="353"/>
        <v>40142</v>
      </c>
    </row>
    <row r="1953">
      <c r="G1953" s="12">
        <f t="shared" si="353"/>
        <v>40142</v>
      </c>
    </row>
    <row r="1954">
      <c r="G1954" s="12">
        <f t="shared" si="353"/>
        <v>40142</v>
      </c>
    </row>
    <row r="1955">
      <c r="G1955" s="12">
        <f t="shared" si="353"/>
        <v>40142</v>
      </c>
    </row>
    <row r="1956">
      <c r="G1956" s="12">
        <f t="shared" si="353"/>
        <v>40142</v>
      </c>
    </row>
    <row r="1957">
      <c r="G1957" s="12">
        <f t="shared" si="353"/>
        <v>40142</v>
      </c>
    </row>
    <row r="1958">
      <c r="G1958" s="12">
        <f t="shared" si="353"/>
        <v>40142</v>
      </c>
    </row>
    <row r="1959">
      <c r="G1959" s="12">
        <f t="shared" ref="G1959:G1961" si="354">DATE(2012,12,31)-1131</f>
        <v>40143</v>
      </c>
    </row>
    <row r="1960">
      <c r="G1960" s="12">
        <f t="shared" si="354"/>
        <v>40143</v>
      </c>
    </row>
    <row r="1961">
      <c r="G1961" s="12">
        <f t="shared" si="354"/>
        <v>40143</v>
      </c>
    </row>
    <row r="1962">
      <c r="G1962" s="12">
        <f>DATE(2012,12,31)-1130</f>
        <v>40144</v>
      </c>
    </row>
    <row r="1963">
      <c r="G1963" s="12">
        <f t="shared" ref="G1963:G1966" si="355">DATE(2012,12,31)-1129</f>
        <v>40145</v>
      </c>
    </row>
    <row r="1964">
      <c r="G1964" s="12">
        <f t="shared" si="355"/>
        <v>40145</v>
      </c>
    </row>
    <row r="1965">
      <c r="G1965" s="12">
        <f t="shared" si="355"/>
        <v>40145</v>
      </c>
    </row>
    <row r="1966">
      <c r="G1966" s="12">
        <f t="shared" si="355"/>
        <v>40145</v>
      </c>
    </row>
    <row r="1967">
      <c r="G1967" s="12">
        <f t="shared" ref="G1967:G1972" si="356">DATE(2012,12,31)-1128</f>
        <v>40146</v>
      </c>
    </row>
    <row r="1968">
      <c r="G1968" s="12">
        <f t="shared" si="356"/>
        <v>40146</v>
      </c>
    </row>
    <row r="1969">
      <c r="G1969" s="12">
        <f t="shared" si="356"/>
        <v>40146</v>
      </c>
    </row>
    <row r="1970">
      <c r="G1970" s="12">
        <f t="shared" si="356"/>
        <v>40146</v>
      </c>
    </row>
    <row r="1971">
      <c r="G1971" s="12">
        <f t="shared" si="356"/>
        <v>40146</v>
      </c>
    </row>
    <row r="1972">
      <c r="G1972" s="12">
        <f t="shared" si="356"/>
        <v>40146</v>
      </c>
    </row>
    <row r="1973">
      <c r="G1973" s="12">
        <f t="shared" ref="G1973:G1981" si="357">DATE(2012,12,31)-1127</f>
        <v>40147</v>
      </c>
    </row>
    <row r="1974">
      <c r="G1974" s="12">
        <f t="shared" si="357"/>
        <v>40147</v>
      </c>
    </row>
    <row r="1975">
      <c r="G1975" s="12">
        <f t="shared" si="357"/>
        <v>40147</v>
      </c>
    </row>
    <row r="1976">
      <c r="G1976" s="12">
        <f t="shared" si="357"/>
        <v>40147</v>
      </c>
    </row>
    <row r="1977">
      <c r="G1977" s="12">
        <f t="shared" si="357"/>
        <v>40147</v>
      </c>
    </row>
    <row r="1978">
      <c r="G1978" s="12">
        <f t="shared" si="357"/>
        <v>40147</v>
      </c>
    </row>
    <row r="1979">
      <c r="G1979" s="12">
        <f t="shared" si="357"/>
        <v>40147</v>
      </c>
    </row>
    <row r="1980">
      <c r="G1980" s="12">
        <f t="shared" si="357"/>
        <v>40147</v>
      </c>
    </row>
    <row r="1981">
      <c r="G1981" s="12">
        <f t="shared" si="357"/>
        <v>40147</v>
      </c>
    </row>
    <row r="1982">
      <c r="G1982" s="12">
        <f t="shared" ref="G1982:G1986" si="358">DATE(2012,12,31)-1126</f>
        <v>40148</v>
      </c>
    </row>
    <row r="1983">
      <c r="G1983" s="12">
        <f t="shared" si="358"/>
        <v>40148</v>
      </c>
    </row>
    <row r="1984">
      <c r="G1984" s="12">
        <f t="shared" si="358"/>
        <v>40148</v>
      </c>
    </row>
    <row r="1985">
      <c r="G1985" s="12">
        <f t="shared" si="358"/>
        <v>40148</v>
      </c>
    </row>
    <row r="1986">
      <c r="G1986" s="12">
        <f t="shared" si="358"/>
        <v>40148</v>
      </c>
    </row>
    <row r="1987">
      <c r="G1987" s="12">
        <f t="shared" ref="G1987:G1994" si="359">DATE(2012,12,31)-1125</f>
        <v>40149</v>
      </c>
    </row>
    <row r="1988">
      <c r="G1988" s="12">
        <f t="shared" si="359"/>
        <v>40149</v>
      </c>
    </row>
    <row r="1989">
      <c r="G1989" s="12">
        <f t="shared" si="359"/>
        <v>40149</v>
      </c>
    </row>
    <row r="1990">
      <c r="G1990" s="12">
        <f t="shared" si="359"/>
        <v>40149</v>
      </c>
    </row>
    <row r="1991">
      <c r="G1991" s="12">
        <f t="shared" si="359"/>
        <v>40149</v>
      </c>
    </row>
    <row r="1992">
      <c r="G1992" s="12">
        <f t="shared" si="359"/>
        <v>40149</v>
      </c>
    </row>
    <row r="1993">
      <c r="G1993" s="12">
        <f t="shared" si="359"/>
        <v>40149</v>
      </c>
    </row>
    <row r="1994">
      <c r="G1994" s="12">
        <f t="shared" si="359"/>
        <v>40149</v>
      </c>
    </row>
    <row r="1995">
      <c r="G1995" s="12">
        <f>DATE(2012,12,31)-1124</f>
        <v>40150</v>
      </c>
    </row>
    <row r="1996">
      <c r="G1996" s="12">
        <f t="shared" ref="G1996:G1999" si="360">DATE(2012,12,31)-1123</f>
        <v>40151</v>
      </c>
    </row>
    <row r="1997">
      <c r="G1997" s="12">
        <f t="shared" si="360"/>
        <v>40151</v>
      </c>
    </row>
    <row r="1998">
      <c r="G1998" s="12">
        <f t="shared" si="360"/>
        <v>40151</v>
      </c>
    </row>
    <row r="1999">
      <c r="G1999" s="12">
        <f t="shared" si="360"/>
        <v>40151</v>
      </c>
    </row>
    <row r="2000">
      <c r="G2000" s="12">
        <f t="shared" ref="G2000:G2010" si="361">DATE(2012,12,31)-1122</f>
        <v>40152</v>
      </c>
    </row>
    <row r="2001">
      <c r="G2001" s="12">
        <f t="shared" si="361"/>
        <v>40152</v>
      </c>
    </row>
    <row r="2002">
      <c r="G2002" s="12">
        <f t="shared" si="361"/>
        <v>40152</v>
      </c>
    </row>
    <row r="2003">
      <c r="G2003" s="12">
        <f t="shared" si="361"/>
        <v>40152</v>
      </c>
    </row>
    <row r="2004">
      <c r="G2004" s="12">
        <f t="shared" si="361"/>
        <v>40152</v>
      </c>
    </row>
    <row r="2005">
      <c r="G2005" s="12">
        <f t="shared" si="361"/>
        <v>40152</v>
      </c>
    </row>
    <row r="2006">
      <c r="G2006" s="12">
        <f t="shared" si="361"/>
        <v>40152</v>
      </c>
    </row>
    <row r="2007">
      <c r="G2007" s="12">
        <f t="shared" si="361"/>
        <v>40152</v>
      </c>
    </row>
    <row r="2008">
      <c r="G2008" s="12">
        <f t="shared" si="361"/>
        <v>40152</v>
      </c>
    </row>
    <row r="2009">
      <c r="G2009" s="12">
        <f t="shared" si="361"/>
        <v>40152</v>
      </c>
    </row>
    <row r="2010">
      <c r="G2010" s="12">
        <f t="shared" si="361"/>
        <v>40152</v>
      </c>
    </row>
    <row r="2011">
      <c r="G2011" s="12">
        <f t="shared" ref="G2011:G2023" si="362">DATE(2012,12,31)-1121</f>
        <v>40153</v>
      </c>
    </row>
    <row r="2012">
      <c r="G2012" s="12">
        <f t="shared" si="362"/>
        <v>40153</v>
      </c>
    </row>
    <row r="2013">
      <c r="G2013" s="12">
        <f t="shared" si="362"/>
        <v>40153</v>
      </c>
    </row>
    <row r="2014">
      <c r="G2014" s="12">
        <f t="shared" si="362"/>
        <v>40153</v>
      </c>
    </row>
    <row r="2015">
      <c r="G2015" s="12">
        <f t="shared" si="362"/>
        <v>40153</v>
      </c>
    </row>
    <row r="2016">
      <c r="G2016" s="12">
        <f t="shared" si="362"/>
        <v>40153</v>
      </c>
    </row>
    <row r="2017">
      <c r="G2017" s="12">
        <f t="shared" si="362"/>
        <v>40153</v>
      </c>
    </row>
    <row r="2018">
      <c r="G2018" s="12">
        <f t="shared" si="362"/>
        <v>40153</v>
      </c>
    </row>
    <row r="2019">
      <c r="G2019" s="12">
        <f t="shared" si="362"/>
        <v>40153</v>
      </c>
    </row>
    <row r="2020">
      <c r="G2020" s="12">
        <f t="shared" si="362"/>
        <v>40153</v>
      </c>
    </row>
    <row r="2021">
      <c r="G2021" s="12">
        <f t="shared" si="362"/>
        <v>40153</v>
      </c>
    </row>
    <row r="2022">
      <c r="G2022" s="12">
        <f t="shared" si="362"/>
        <v>40153</v>
      </c>
    </row>
    <row r="2023">
      <c r="G2023" s="12">
        <f t="shared" si="362"/>
        <v>40153</v>
      </c>
    </row>
    <row r="2024">
      <c r="G2024" s="12">
        <f t="shared" ref="G2024:G2029" si="363">DATE(2012,12,31)-1120</f>
        <v>40154</v>
      </c>
    </row>
    <row r="2025">
      <c r="G2025" s="12">
        <f t="shared" si="363"/>
        <v>40154</v>
      </c>
    </row>
    <row r="2026">
      <c r="G2026" s="12">
        <f t="shared" si="363"/>
        <v>40154</v>
      </c>
    </row>
    <row r="2027">
      <c r="G2027" s="12">
        <f t="shared" si="363"/>
        <v>40154</v>
      </c>
    </row>
    <row r="2028">
      <c r="G2028" s="12">
        <f t="shared" si="363"/>
        <v>40154</v>
      </c>
    </row>
    <row r="2029">
      <c r="G2029" s="12">
        <f t="shared" si="363"/>
        <v>40154</v>
      </c>
    </row>
    <row r="2030">
      <c r="G2030" s="12">
        <f t="shared" ref="G2030:G2031" si="364">DATE(2012,12,31)-1119</f>
        <v>40155</v>
      </c>
    </row>
    <row r="2031">
      <c r="G2031" s="12">
        <f t="shared" si="364"/>
        <v>40155</v>
      </c>
    </row>
    <row r="2032">
      <c r="G2032" s="12">
        <f t="shared" ref="G2032:G2036" si="365">DATE(2012,12,31)-1118</f>
        <v>40156</v>
      </c>
    </row>
    <row r="2033">
      <c r="G2033" s="12">
        <f t="shared" si="365"/>
        <v>40156</v>
      </c>
    </row>
    <row r="2034">
      <c r="G2034" s="12">
        <f t="shared" si="365"/>
        <v>40156</v>
      </c>
    </row>
    <row r="2035">
      <c r="G2035" s="12">
        <f t="shared" si="365"/>
        <v>40156</v>
      </c>
    </row>
    <row r="2036">
      <c r="G2036" s="12">
        <f t="shared" si="365"/>
        <v>40156</v>
      </c>
    </row>
    <row r="2037">
      <c r="G2037" s="12">
        <f t="shared" ref="G2037:G2039" si="366">DATE(2012,12,31)-1117</f>
        <v>40157</v>
      </c>
    </row>
    <row r="2038">
      <c r="G2038" s="12">
        <f t="shared" si="366"/>
        <v>40157</v>
      </c>
    </row>
    <row r="2039">
      <c r="G2039" s="12">
        <f t="shared" si="366"/>
        <v>40157</v>
      </c>
    </row>
    <row r="2040">
      <c r="G2040" s="12">
        <f t="shared" ref="G2040:G2046" si="367">DATE(2012,12,31)-1116</f>
        <v>40158</v>
      </c>
    </row>
    <row r="2041">
      <c r="G2041" s="12">
        <f t="shared" si="367"/>
        <v>40158</v>
      </c>
    </row>
    <row r="2042">
      <c r="G2042" s="12">
        <f t="shared" si="367"/>
        <v>40158</v>
      </c>
    </row>
    <row r="2043">
      <c r="G2043" s="12">
        <f t="shared" si="367"/>
        <v>40158</v>
      </c>
    </row>
    <row r="2044">
      <c r="G2044" s="12">
        <f t="shared" si="367"/>
        <v>40158</v>
      </c>
    </row>
    <row r="2045">
      <c r="G2045" s="12">
        <f t="shared" si="367"/>
        <v>40158</v>
      </c>
    </row>
    <row r="2046">
      <c r="G2046" s="12">
        <f t="shared" si="367"/>
        <v>40158</v>
      </c>
    </row>
    <row r="2047">
      <c r="G2047" s="12">
        <f t="shared" ref="G2047:G2059" si="368">DATE(2012,12,31)-1115</f>
        <v>40159</v>
      </c>
    </row>
    <row r="2048">
      <c r="G2048" s="12">
        <f t="shared" si="368"/>
        <v>40159</v>
      </c>
    </row>
    <row r="2049">
      <c r="G2049" s="12">
        <f t="shared" si="368"/>
        <v>40159</v>
      </c>
    </row>
    <row r="2050">
      <c r="G2050" s="12">
        <f t="shared" si="368"/>
        <v>40159</v>
      </c>
    </row>
    <row r="2051">
      <c r="G2051" s="12">
        <f t="shared" si="368"/>
        <v>40159</v>
      </c>
    </row>
    <row r="2052">
      <c r="G2052" s="12">
        <f t="shared" si="368"/>
        <v>40159</v>
      </c>
    </row>
    <row r="2053">
      <c r="G2053" s="12">
        <f t="shared" si="368"/>
        <v>40159</v>
      </c>
    </row>
    <row r="2054">
      <c r="G2054" s="12">
        <f t="shared" si="368"/>
        <v>40159</v>
      </c>
    </row>
    <row r="2055">
      <c r="G2055" s="12">
        <f t="shared" si="368"/>
        <v>40159</v>
      </c>
    </row>
    <row r="2056">
      <c r="G2056" s="12">
        <f t="shared" si="368"/>
        <v>40159</v>
      </c>
    </row>
    <row r="2057">
      <c r="G2057" s="12">
        <f t="shared" si="368"/>
        <v>40159</v>
      </c>
    </row>
    <row r="2058">
      <c r="G2058" s="12">
        <f t="shared" si="368"/>
        <v>40159</v>
      </c>
    </row>
    <row r="2059">
      <c r="G2059" s="12">
        <f t="shared" si="368"/>
        <v>40159</v>
      </c>
    </row>
    <row r="2060">
      <c r="G2060" s="12">
        <f t="shared" ref="G2060:G2062" si="369">DATE(2012,12,31)-1114</f>
        <v>40160</v>
      </c>
    </row>
    <row r="2061">
      <c r="G2061" s="12">
        <f t="shared" si="369"/>
        <v>40160</v>
      </c>
    </row>
    <row r="2062">
      <c r="G2062" s="12">
        <f t="shared" si="369"/>
        <v>40160</v>
      </c>
    </row>
    <row r="2063">
      <c r="G2063" s="12">
        <f t="shared" ref="G2063:G2071" si="370">DATE(2012,12,31)-1113</f>
        <v>40161</v>
      </c>
    </row>
    <row r="2064">
      <c r="G2064" s="12">
        <f t="shared" si="370"/>
        <v>40161</v>
      </c>
    </row>
    <row r="2065">
      <c r="G2065" s="12">
        <f t="shared" si="370"/>
        <v>40161</v>
      </c>
    </row>
    <row r="2066">
      <c r="G2066" s="12">
        <f t="shared" si="370"/>
        <v>40161</v>
      </c>
    </row>
    <row r="2067">
      <c r="G2067" s="12">
        <f t="shared" si="370"/>
        <v>40161</v>
      </c>
    </row>
    <row r="2068">
      <c r="G2068" s="12">
        <f t="shared" si="370"/>
        <v>40161</v>
      </c>
    </row>
    <row r="2069">
      <c r="G2069" s="12">
        <f t="shared" si="370"/>
        <v>40161</v>
      </c>
    </row>
    <row r="2070">
      <c r="G2070" s="12">
        <f t="shared" si="370"/>
        <v>40161</v>
      </c>
    </row>
    <row r="2071">
      <c r="G2071" s="12">
        <f t="shared" si="370"/>
        <v>40161</v>
      </c>
    </row>
    <row r="2072">
      <c r="G2072" s="12">
        <f t="shared" ref="G2072:G2073" si="371">DATE(2012,12,31)-1112</f>
        <v>40162</v>
      </c>
    </row>
    <row r="2073">
      <c r="G2073" s="23">
        <f t="shared" si="371"/>
        <v>40162</v>
      </c>
    </row>
    <row r="2074">
      <c r="G2074" s="12">
        <f t="shared" ref="G2074:G2080" si="372">DATE(2012,12,31)-1111</f>
        <v>40163</v>
      </c>
    </row>
    <row r="2075">
      <c r="G2075" s="12">
        <f t="shared" si="372"/>
        <v>40163</v>
      </c>
    </row>
    <row r="2076">
      <c r="G2076" s="12">
        <f t="shared" si="372"/>
        <v>40163</v>
      </c>
    </row>
    <row r="2077">
      <c r="G2077" s="12">
        <f t="shared" si="372"/>
        <v>40163</v>
      </c>
    </row>
    <row r="2078">
      <c r="G2078" s="12">
        <f t="shared" si="372"/>
        <v>40163</v>
      </c>
    </row>
    <row r="2079">
      <c r="G2079" s="12">
        <f t="shared" si="372"/>
        <v>40163</v>
      </c>
    </row>
    <row r="2080">
      <c r="G2080" s="12">
        <f t="shared" si="372"/>
        <v>40163</v>
      </c>
    </row>
    <row r="2081">
      <c r="G2081" s="12">
        <f t="shared" ref="G2081:G2083" si="373">DATE(2012,12,31)-1110</f>
        <v>40164</v>
      </c>
    </row>
    <row r="2082">
      <c r="G2082" s="12">
        <f t="shared" si="373"/>
        <v>40164</v>
      </c>
    </row>
    <row r="2083">
      <c r="G2083" s="12">
        <f t="shared" si="373"/>
        <v>40164</v>
      </c>
    </row>
    <row r="2084">
      <c r="G2084" s="12">
        <f t="shared" ref="G2084:G2090" si="374">DATE(2012,12,31)-1109</f>
        <v>40165</v>
      </c>
    </row>
    <row r="2085">
      <c r="G2085" s="12">
        <f t="shared" si="374"/>
        <v>40165</v>
      </c>
    </row>
    <row r="2086">
      <c r="G2086" s="12">
        <f t="shared" si="374"/>
        <v>40165</v>
      </c>
    </row>
    <row r="2087">
      <c r="G2087" s="12">
        <f t="shared" si="374"/>
        <v>40165</v>
      </c>
    </row>
    <row r="2088">
      <c r="G2088" s="12">
        <f t="shared" si="374"/>
        <v>40165</v>
      </c>
    </row>
    <row r="2089">
      <c r="G2089" s="12">
        <f t="shared" si="374"/>
        <v>40165</v>
      </c>
    </row>
    <row r="2090">
      <c r="G2090" s="12">
        <f t="shared" si="374"/>
        <v>40165</v>
      </c>
    </row>
    <row r="2091">
      <c r="G2091" s="12">
        <f t="shared" ref="G2091:G2098" si="375">DATE(2012,12,31)-1108</f>
        <v>40166</v>
      </c>
    </row>
    <row r="2092">
      <c r="G2092" s="12">
        <f t="shared" si="375"/>
        <v>40166</v>
      </c>
    </row>
    <row r="2093">
      <c r="G2093" s="12">
        <f t="shared" si="375"/>
        <v>40166</v>
      </c>
    </row>
    <row r="2094">
      <c r="G2094" s="12">
        <f t="shared" si="375"/>
        <v>40166</v>
      </c>
    </row>
    <row r="2095">
      <c r="G2095" s="12">
        <f t="shared" si="375"/>
        <v>40166</v>
      </c>
    </row>
    <row r="2096">
      <c r="G2096" s="12">
        <f t="shared" si="375"/>
        <v>40166</v>
      </c>
    </row>
    <row r="2097">
      <c r="G2097" s="12">
        <f t="shared" si="375"/>
        <v>40166</v>
      </c>
    </row>
    <row r="2098">
      <c r="G2098" s="12">
        <f t="shared" si="375"/>
        <v>40166</v>
      </c>
    </row>
    <row r="2099">
      <c r="G2099" s="12">
        <f t="shared" ref="G2099:G2105" si="376">DATE(2012,12,31)-1107</f>
        <v>40167</v>
      </c>
    </row>
    <row r="2100">
      <c r="G2100" s="12">
        <f t="shared" si="376"/>
        <v>40167</v>
      </c>
    </row>
    <row r="2101">
      <c r="G2101" s="12">
        <f t="shared" si="376"/>
        <v>40167</v>
      </c>
    </row>
    <row r="2102">
      <c r="G2102" s="12">
        <f t="shared" si="376"/>
        <v>40167</v>
      </c>
    </row>
    <row r="2103">
      <c r="G2103" s="12">
        <f t="shared" si="376"/>
        <v>40167</v>
      </c>
    </row>
    <row r="2104">
      <c r="G2104" s="12">
        <f t="shared" si="376"/>
        <v>40167</v>
      </c>
    </row>
    <row r="2105">
      <c r="G2105" s="12">
        <f t="shared" si="376"/>
        <v>40167</v>
      </c>
    </row>
    <row r="2106">
      <c r="G2106" s="12">
        <f t="shared" ref="G2106:G2108" si="377">DATE(2012,12,31)-1106</f>
        <v>40168</v>
      </c>
    </row>
    <row r="2107">
      <c r="G2107" s="12">
        <f t="shared" si="377"/>
        <v>40168</v>
      </c>
    </row>
    <row r="2108">
      <c r="G2108" s="12">
        <f t="shared" si="377"/>
        <v>40168</v>
      </c>
    </row>
    <row r="2109">
      <c r="G2109" s="12">
        <f t="shared" ref="G2109:G2115" si="378">DATE(2012,12,31)-1105</f>
        <v>40169</v>
      </c>
    </row>
    <row r="2110">
      <c r="G2110" s="12">
        <f t="shared" si="378"/>
        <v>40169</v>
      </c>
    </row>
    <row r="2111">
      <c r="G2111" s="12">
        <f t="shared" si="378"/>
        <v>40169</v>
      </c>
    </row>
    <row r="2112">
      <c r="G2112" s="12">
        <f t="shared" si="378"/>
        <v>40169</v>
      </c>
    </row>
    <row r="2113">
      <c r="G2113" s="12">
        <f t="shared" si="378"/>
        <v>40169</v>
      </c>
    </row>
    <row r="2114">
      <c r="G2114" s="12">
        <f t="shared" si="378"/>
        <v>40169</v>
      </c>
    </row>
    <row r="2115">
      <c r="G2115" s="12">
        <f t="shared" si="378"/>
        <v>40169</v>
      </c>
    </row>
    <row r="2116">
      <c r="G2116" s="12">
        <f t="shared" ref="G2116:G2118" si="379">DATE(2012,12,31)-1104</f>
        <v>40170</v>
      </c>
    </row>
    <row r="2117">
      <c r="G2117" s="12">
        <f t="shared" si="379"/>
        <v>40170</v>
      </c>
    </row>
    <row r="2118">
      <c r="G2118" s="12">
        <f t="shared" si="379"/>
        <v>40170</v>
      </c>
    </row>
    <row r="2119">
      <c r="G2119" s="12">
        <f t="shared" ref="G2119:G2121" si="380">DATE(2012,12,31)-1103</f>
        <v>40171</v>
      </c>
    </row>
    <row r="2120">
      <c r="G2120" s="12">
        <f t="shared" si="380"/>
        <v>40171</v>
      </c>
    </row>
    <row r="2121">
      <c r="G2121" s="12">
        <f t="shared" si="380"/>
        <v>40171</v>
      </c>
    </row>
    <row r="2122">
      <c r="G2122" s="12">
        <f t="shared" ref="G2122:G2128" si="381">DATE(2012,12,31)-1102</f>
        <v>40172</v>
      </c>
    </row>
    <row r="2123">
      <c r="G2123" s="12">
        <f t="shared" si="381"/>
        <v>40172</v>
      </c>
    </row>
    <row r="2124">
      <c r="G2124" s="12">
        <f t="shared" si="381"/>
        <v>40172</v>
      </c>
    </row>
    <row r="2125">
      <c r="G2125" s="12">
        <f t="shared" si="381"/>
        <v>40172</v>
      </c>
    </row>
    <row r="2126">
      <c r="G2126" s="12">
        <f t="shared" si="381"/>
        <v>40172</v>
      </c>
    </row>
    <row r="2127">
      <c r="G2127" s="12">
        <f t="shared" si="381"/>
        <v>40172</v>
      </c>
    </row>
    <row r="2128">
      <c r="G2128" s="12">
        <f t="shared" si="381"/>
        <v>40172</v>
      </c>
    </row>
    <row r="2129">
      <c r="G2129" s="12">
        <f t="shared" ref="G2129:G2132" si="382">DATE(2012,12,31)-1101</f>
        <v>40173</v>
      </c>
    </row>
    <row r="2130">
      <c r="G2130" s="12">
        <f t="shared" si="382"/>
        <v>40173</v>
      </c>
    </row>
    <row r="2131">
      <c r="G2131" s="12">
        <f t="shared" si="382"/>
        <v>40173</v>
      </c>
    </row>
    <row r="2132">
      <c r="G2132" s="12">
        <f t="shared" si="382"/>
        <v>40173</v>
      </c>
    </row>
    <row r="2133">
      <c r="G2133" s="12">
        <f t="shared" ref="G2133:G2137" si="383">DATE(2012,12,31)-1100</f>
        <v>40174</v>
      </c>
    </row>
    <row r="2134">
      <c r="G2134" s="12">
        <f t="shared" si="383"/>
        <v>40174</v>
      </c>
    </row>
    <row r="2135">
      <c r="G2135" s="12">
        <f t="shared" si="383"/>
        <v>40174</v>
      </c>
    </row>
    <row r="2136">
      <c r="G2136" s="12">
        <f t="shared" si="383"/>
        <v>40174</v>
      </c>
    </row>
    <row r="2137">
      <c r="G2137" s="12">
        <f t="shared" si="383"/>
        <v>40174</v>
      </c>
    </row>
    <row r="2138">
      <c r="G2138" s="12">
        <f t="shared" ref="G2138:G2146" si="384">DATE(2012,12,31)-1099</f>
        <v>40175</v>
      </c>
    </row>
    <row r="2139">
      <c r="G2139" s="12">
        <f t="shared" si="384"/>
        <v>40175</v>
      </c>
    </row>
    <row r="2140">
      <c r="G2140" s="12">
        <f t="shared" si="384"/>
        <v>40175</v>
      </c>
    </row>
    <row r="2141">
      <c r="G2141" s="12">
        <f t="shared" si="384"/>
        <v>40175</v>
      </c>
    </row>
    <row r="2142">
      <c r="G2142" s="12">
        <f t="shared" si="384"/>
        <v>40175</v>
      </c>
    </row>
    <row r="2143">
      <c r="G2143" s="12">
        <f t="shared" si="384"/>
        <v>40175</v>
      </c>
    </row>
    <row r="2144">
      <c r="G2144" s="12">
        <f t="shared" si="384"/>
        <v>40175</v>
      </c>
    </row>
    <row r="2145">
      <c r="G2145" s="12">
        <f t="shared" si="384"/>
        <v>40175</v>
      </c>
    </row>
    <row r="2146">
      <c r="G2146" s="12">
        <f t="shared" si="384"/>
        <v>40175</v>
      </c>
    </row>
    <row r="2147">
      <c r="G2147" s="12">
        <f t="shared" ref="G2147:G2148" si="385">DATE(2012,12,31)-1098</f>
        <v>40176</v>
      </c>
    </row>
    <row r="2148">
      <c r="G2148" s="12">
        <f t="shared" si="385"/>
        <v>40176</v>
      </c>
    </row>
    <row r="2149">
      <c r="G2149" s="12">
        <f t="shared" ref="G2149:G2151" si="386">DATE(2012,12,31)-1097</f>
        <v>40177</v>
      </c>
    </row>
    <row r="2150">
      <c r="G2150" s="12">
        <f t="shared" si="386"/>
        <v>40177</v>
      </c>
    </row>
    <row r="2151">
      <c r="G2151" s="12">
        <f t="shared" si="386"/>
        <v>40177</v>
      </c>
    </row>
    <row r="2152">
      <c r="G2152" s="12">
        <f t="shared" ref="G2152:G2154" si="387">DATE(2012,12,31)-1096</f>
        <v>40178</v>
      </c>
    </row>
    <row r="2153">
      <c r="G2153" s="12">
        <f t="shared" si="387"/>
        <v>40178</v>
      </c>
    </row>
    <row r="2154">
      <c r="G2154" s="30">
        <f t="shared" si="387"/>
        <v>40178</v>
      </c>
    </row>
    <row r="2155">
      <c r="G2155" s="12">
        <f t="shared" ref="G2155:G2159" si="388">DATE(2012,12,31)-1095</f>
        <v>40179</v>
      </c>
    </row>
    <row r="2156">
      <c r="G2156" s="12">
        <f t="shared" si="388"/>
        <v>40179</v>
      </c>
    </row>
    <row r="2157">
      <c r="G2157" s="12">
        <f t="shared" si="388"/>
        <v>40179</v>
      </c>
    </row>
    <row r="2158">
      <c r="G2158" s="12">
        <f t="shared" si="388"/>
        <v>40179</v>
      </c>
    </row>
    <row r="2159">
      <c r="G2159" s="12">
        <f t="shared" si="388"/>
        <v>40179</v>
      </c>
    </row>
    <row r="2160">
      <c r="G2160" s="12">
        <f t="shared" ref="G2160:G2165" si="389">DATE(2012,12,31)-1094</f>
        <v>40180</v>
      </c>
    </row>
    <row r="2161">
      <c r="G2161" s="12">
        <f t="shared" si="389"/>
        <v>40180</v>
      </c>
    </row>
    <row r="2162">
      <c r="G2162" s="12">
        <f t="shared" si="389"/>
        <v>40180</v>
      </c>
    </row>
    <row r="2163">
      <c r="G2163" s="12">
        <f t="shared" si="389"/>
        <v>40180</v>
      </c>
    </row>
    <row r="2164">
      <c r="G2164" s="12">
        <f t="shared" si="389"/>
        <v>40180</v>
      </c>
    </row>
    <row r="2165">
      <c r="G2165" s="12">
        <f t="shared" si="389"/>
        <v>40180</v>
      </c>
    </row>
    <row r="2166">
      <c r="G2166" s="12">
        <f t="shared" ref="G2166:G2174" si="390">DATE(2012,12,31)-1093</f>
        <v>40181</v>
      </c>
    </row>
    <row r="2167">
      <c r="G2167" s="12">
        <f t="shared" si="390"/>
        <v>40181</v>
      </c>
    </row>
    <row r="2168">
      <c r="G2168" s="12">
        <f t="shared" si="390"/>
        <v>40181</v>
      </c>
    </row>
    <row r="2169">
      <c r="G2169" s="12">
        <f t="shared" si="390"/>
        <v>40181</v>
      </c>
    </row>
    <row r="2170">
      <c r="G2170" s="12">
        <f t="shared" si="390"/>
        <v>40181</v>
      </c>
    </row>
    <row r="2171">
      <c r="G2171" s="12">
        <f t="shared" si="390"/>
        <v>40181</v>
      </c>
    </row>
    <row r="2172">
      <c r="G2172" s="12">
        <f t="shared" si="390"/>
        <v>40181</v>
      </c>
    </row>
    <row r="2173">
      <c r="G2173" s="12">
        <f t="shared" si="390"/>
        <v>40181</v>
      </c>
    </row>
    <row r="2174">
      <c r="G2174" s="12">
        <f t="shared" si="390"/>
        <v>40181</v>
      </c>
    </row>
    <row r="2175">
      <c r="G2175" s="12">
        <f t="shared" ref="G2175:G2177" si="391">DATE(2012,12,31)-1092</f>
        <v>40182</v>
      </c>
    </row>
    <row r="2176">
      <c r="G2176" s="12">
        <f t="shared" si="391"/>
        <v>40182</v>
      </c>
    </row>
    <row r="2177">
      <c r="G2177" s="12">
        <f t="shared" si="391"/>
        <v>40182</v>
      </c>
    </row>
    <row r="2178">
      <c r="G2178" s="12">
        <f t="shared" ref="G2178:G2183" si="392">DATE(2012,12,31)-1091</f>
        <v>40183</v>
      </c>
    </row>
    <row r="2179">
      <c r="G2179" s="12">
        <f t="shared" si="392"/>
        <v>40183</v>
      </c>
    </row>
    <row r="2180">
      <c r="G2180" s="12">
        <f t="shared" si="392"/>
        <v>40183</v>
      </c>
    </row>
    <row r="2181">
      <c r="G2181" s="12">
        <f t="shared" si="392"/>
        <v>40183</v>
      </c>
    </row>
    <row r="2182">
      <c r="G2182" s="12">
        <f t="shared" si="392"/>
        <v>40183</v>
      </c>
    </row>
    <row r="2183">
      <c r="G2183" s="12">
        <f t="shared" si="392"/>
        <v>40183</v>
      </c>
    </row>
    <row r="2184">
      <c r="G2184" s="12">
        <f t="shared" ref="G2184:G2186" si="393">DATE(2012,12,31)-1090</f>
        <v>40184</v>
      </c>
    </row>
    <row r="2185">
      <c r="G2185" s="12">
        <f t="shared" si="393"/>
        <v>40184</v>
      </c>
    </row>
    <row r="2186">
      <c r="G2186" s="12">
        <f t="shared" si="393"/>
        <v>40184</v>
      </c>
    </row>
    <row r="2187">
      <c r="G2187" s="12">
        <f t="shared" ref="G2187:G2192" si="394">DATE(2012,12,31)-1089</f>
        <v>40185</v>
      </c>
    </row>
    <row r="2188">
      <c r="G2188" s="12">
        <f t="shared" si="394"/>
        <v>40185</v>
      </c>
    </row>
    <row r="2189">
      <c r="G2189" s="12">
        <f t="shared" si="394"/>
        <v>40185</v>
      </c>
    </row>
    <row r="2190">
      <c r="G2190" s="12">
        <f t="shared" si="394"/>
        <v>40185</v>
      </c>
    </row>
    <row r="2191">
      <c r="G2191" s="12">
        <f t="shared" si="394"/>
        <v>40185</v>
      </c>
    </row>
    <row r="2192">
      <c r="G2192" s="12">
        <f t="shared" si="394"/>
        <v>40185</v>
      </c>
    </row>
    <row r="2193">
      <c r="G2193" s="12">
        <f t="shared" ref="G2193:G2196" si="395">DATE(2012,12,31)-1088</f>
        <v>40186</v>
      </c>
    </row>
    <row r="2194">
      <c r="G2194" s="12">
        <f t="shared" si="395"/>
        <v>40186</v>
      </c>
    </row>
    <row r="2195">
      <c r="G2195" s="12">
        <f t="shared" si="395"/>
        <v>40186</v>
      </c>
    </row>
    <row r="2196">
      <c r="G2196" s="12">
        <f t="shared" si="395"/>
        <v>40186</v>
      </c>
    </row>
    <row r="2197">
      <c r="G2197" s="12">
        <f t="shared" ref="G2197:G2198" si="396">DATE(2012,12,31)-1087</f>
        <v>40187</v>
      </c>
    </row>
    <row r="2198">
      <c r="G2198" s="12">
        <f t="shared" si="396"/>
        <v>40187</v>
      </c>
    </row>
    <row r="2199">
      <c r="G2199" s="12">
        <f t="shared" ref="G2199:G2208" si="397">DATE(2012,12,31)-1086</f>
        <v>40188</v>
      </c>
    </row>
    <row r="2200">
      <c r="G2200" s="12">
        <f t="shared" si="397"/>
        <v>40188</v>
      </c>
    </row>
    <row r="2201">
      <c r="G2201" s="12">
        <f t="shared" si="397"/>
        <v>40188</v>
      </c>
    </row>
    <row r="2202">
      <c r="G2202" s="12">
        <f t="shared" si="397"/>
        <v>40188</v>
      </c>
    </row>
    <row r="2203">
      <c r="G2203" s="12">
        <f t="shared" si="397"/>
        <v>40188</v>
      </c>
    </row>
    <row r="2204">
      <c r="G2204" s="12">
        <f t="shared" si="397"/>
        <v>40188</v>
      </c>
    </row>
    <row r="2205">
      <c r="G2205" s="12">
        <f t="shared" si="397"/>
        <v>40188</v>
      </c>
    </row>
    <row r="2206">
      <c r="G2206" s="12">
        <f t="shared" si="397"/>
        <v>40188</v>
      </c>
    </row>
    <row r="2207">
      <c r="G2207" s="12">
        <f t="shared" si="397"/>
        <v>40188</v>
      </c>
    </row>
    <row r="2208">
      <c r="G2208" s="12">
        <f t="shared" si="397"/>
        <v>40188</v>
      </c>
    </row>
    <row r="2209">
      <c r="G2209" s="12">
        <f t="shared" ref="G2209:G2217" si="398">DATE(2012,12,31)-1085</f>
        <v>40189</v>
      </c>
    </row>
    <row r="2210">
      <c r="G2210" s="12">
        <f t="shared" si="398"/>
        <v>40189</v>
      </c>
    </row>
    <row r="2211">
      <c r="G2211" s="12">
        <f t="shared" si="398"/>
        <v>40189</v>
      </c>
    </row>
    <row r="2212">
      <c r="G2212" s="12">
        <f t="shared" si="398"/>
        <v>40189</v>
      </c>
    </row>
    <row r="2213">
      <c r="G2213" s="12">
        <f t="shared" si="398"/>
        <v>40189</v>
      </c>
    </row>
    <row r="2214">
      <c r="G2214" s="12">
        <f t="shared" si="398"/>
        <v>40189</v>
      </c>
    </row>
    <row r="2215">
      <c r="G2215" s="12">
        <f t="shared" si="398"/>
        <v>40189</v>
      </c>
    </row>
    <row r="2216">
      <c r="G2216" s="12">
        <f t="shared" si="398"/>
        <v>40189</v>
      </c>
    </row>
    <row r="2217">
      <c r="G2217" s="12">
        <f t="shared" si="398"/>
        <v>40189</v>
      </c>
    </row>
    <row r="2218">
      <c r="G2218" s="12">
        <f t="shared" ref="G2218:G2222" si="399">DATE(2012,12,31)-1084</f>
        <v>40190</v>
      </c>
    </row>
    <row r="2219">
      <c r="G2219" s="12">
        <f t="shared" si="399"/>
        <v>40190</v>
      </c>
    </row>
    <row r="2220">
      <c r="G2220" s="12">
        <f t="shared" si="399"/>
        <v>40190</v>
      </c>
    </row>
    <row r="2221">
      <c r="G2221" s="12">
        <f t="shared" si="399"/>
        <v>40190</v>
      </c>
    </row>
    <row r="2222">
      <c r="G2222" s="12">
        <f t="shared" si="399"/>
        <v>40190</v>
      </c>
    </row>
    <row r="2223">
      <c r="G2223" s="12">
        <f t="shared" ref="G2223:G2226" si="400">DATE(2012,12,31)-1083</f>
        <v>40191</v>
      </c>
    </row>
    <row r="2224">
      <c r="G2224" s="12">
        <f t="shared" si="400"/>
        <v>40191</v>
      </c>
    </row>
    <row r="2225">
      <c r="G2225" s="12">
        <f t="shared" si="400"/>
        <v>40191</v>
      </c>
    </row>
    <row r="2226">
      <c r="G2226" s="12">
        <f t="shared" si="400"/>
        <v>40191</v>
      </c>
    </row>
    <row r="2227">
      <c r="G2227" s="12">
        <f t="shared" ref="G2227:G2235" si="401">DATE(2012,12,31)-1082</f>
        <v>40192</v>
      </c>
    </row>
    <row r="2228">
      <c r="G2228" s="12">
        <f t="shared" si="401"/>
        <v>40192</v>
      </c>
    </row>
    <row r="2229">
      <c r="G2229" s="12">
        <f t="shared" si="401"/>
        <v>40192</v>
      </c>
    </row>
    <row r="2230">
      <c r="G2230" s="12">
        <f t="shared" si="401"/>
        <v>40192</v>
      </c>
    </row>
    <row r="2231">
      <c r="G2231" s="12">
        <f t="shared" si="401"/>
        <v>40192</v>
      </c>
    </row>
    <row r="2232">
      <c r="G2232" s="12">
        <f t="shared" si="401"/>
        <v>40192</v>
      </c>
    </row>
    <row r="2233">
      <c r="G2233" s="12">
        <f t="shared" si="401"/>
        <v>40192</v>
      </c>
    </row>
    <row r="2234">
      <c r="G2234" s="12">
        <f t="shared" si="401"/>
        <v>40192</v>
      </c>
    </row>
    <row r="2235">
      <c r="G2235" s="12">
        <f t="shared" si="401"/>
        <v>40192</v>
      </c>
    </row>
    <row r="2236">
      <c r="G2236" s="12">
        <f t="shared" ref="G2236:G2240" si="402">DATE(2012,12,31)-1081</f>
        <v>40193</v>
      </c>
    </row>
    <row r="2237">
      <c r="G2237" s="12">
        <f t="shared" si="402"/>
        <v>40193</v>
      </c>
    </row>
    <row r="2238">
      <c r="G2238" s="12">
        <f t="shared" si="402"/>
        <v>40193</v>
      </c>
    </row>
    <row r="2239">
      <c r="G2239" s="12">
        <f t="shared" si="402"/>
        <v>40193</v>
      </c>
    </row>
    <row r="2240">
      <c r="G2240" s="12">
        <f t="shared" si="402"/>
        <v>40193</v>
      </c>
    </row>
    <row r="2241">
      <c r="G2241" s="12">
        <f t="shared" ref="G2241:G2247" si="403">DATE(2012,12,31)-1080</f>
        <v>40194</v>
      </c>
    </row>
    <row r="2242">
      <c r="G2242" s="12">
        <f t="shared" si="403"/>
        <v>40194</v>
      </c>
    </row>
    <row r="2243">
      <c r="G2243" s="12">
        <f t="shared" si="403"/>
        <v>40194</v>
      </c>
    </row>
    <row r="2244">
      <c r="G2244" s="12">
        <f t="shared" si="403"/>
        <v>40194</v>
      </c>
    </row>
    <row r="2245">
      <c r="G2245" s="12">
        <f t="shared" si="403"/>
        <v>40194</v>
      </c>
    </row>
    <row r="2246">
      <c r="G2246" s="12">
        <f t="shared" si="403"/>
        <v>40194</v>
      </c>
    </row>
    <row r="2247">
      <c r="G2247" s="12">
        <f t="shared" si="403"/>
        <v>40194</v>
      </c>
    </row>
    <row r="2248">
      <c r="G2248" s="12">
        <f t="shared" ref="G2248:G2250" si="404">DATE(2012,12,31)-1079</f>
        <v>40195</v>
      </c>
    </row>
    <row r="2249">
      <c r="G2249" s="12">
        <f t="shared" si="404"/>
        <v>40195</v>
      </c>
    </row>
    <row r="2250">
      <c r="G2250" s="12">
        <f t="shared" si="404"/>
        <v>40195</v>
      </c>
    </row>
    <row r="2251">
      <c r="G2251" s="12">
        <f t="shared" ref="G2251:G2260" si="405">DATE(2012,12,31)-1078</f>
        <v>40196</v>
      </c>
    </row>
    <row r="2252">
      <c r="G2252" s="12">
        <f t="shared" si="405"/>
        <v>40196</v>
      </c>
    </row>
    <row r="2253">
      <c r="G2253" s="12">
        <f t="shared" si="405"/>
        <v>40196</v>
      </c>
    </row>
    <row r="2254">
      <c r="G2254" s="12">
        <f t="shared" si="405"/>
        <v>40196</v>
      </c>
    </row>
    <row r="2255">
      <c r="G2255" s="12">
        <f t="shared" si="405"/>
        <v>40196</v>
      </c>
    </row>
    <row r="2256">
      <c r="G2256" s="12">
        <f t="shared" si="405"/>
        <v>40196</v>
      </c>
    </row>
    <row r="2257">
      <c r="G2257" s="12">
        <f t="shared" si="405"/>
        <v>40196</v>
      </c>
    </row>
    <row r="2258">
      <c r="G2258" s="12">
        <f t="shared" si="405"/>
        <v>40196</v>
      </c>
    </row>
    <row r="2259">
      <c r="G2259" s="12">
        <f t="shared" si="405"/>
        <v>40196</v>
      </c>
    </row>
    <row r="2260">
      <c r="G2260" s="12">
        <f t="shared" si="405"/>
        <v>40196</v>
      </c>
    </row>
    <row r="2261">
      <c r="G2261" s="12">
        <f>DATE(2012,12,31)-1077</f>
        <v>40197</v>
      </c>
    </row>
    <row r="2262">
      <c r="G2262" s="12">
        <f t="shared" ref="G2262:G2271" si="406">DATE(2012,12,31)-1076</f>
        <v>40198</v>
      </c>
    </row>
    <row r="2263">
      <c r="G2263" s="12">
        <f t="shared" si="406"/>
        <v>40198</v>
      </c>
    </row>
    <row r="2264">
      <c r="G2264" s="12">
        <f t="shared" si="406"/>
        <v>40198</v>
      </c>
    </row>
    <row r="2265">
      <c r="G2265" s="12">
        <f t="shared" si="406"/>
        <v>40198</v>
      </c>
    </row>
    <row r="2266">
      <c r="G2266" s="12">
        <f t="shared" si="406"/>
        <v>40198</v>
      </c>
    </row>
    <row r="2267">
      <c r="G2267" s="12">
        <f t="shared" si="406"/>
        <v>40198</v>
      </c>
    </row>
    <row r="2268">
      <c r="G2268" s="12">
        <f t="shared" si="406"/>
        <v>40198</v>
      </c>
    </row>
    <row r="2269">
      <c r="G2269" s="12">
        <f t="shared" si="406"/>
        <v>40198</v>
      </c>
    </row>
    <row r="2270">
      <c r="G2270" s="12">
        <f t="shared" si="406"/>
        <v>40198</v>
      </c>
    </row>
    <row r="2271">
      <c r="G2271" s="12">
        <f t="shared" si="406"/>
        <v>40198</v>
      </c>
    </row>
    <row r="2272">
      <c r="G2272" s="12">
        <f>DATE(2012,12,31)-1075</f>
        <v>40199</v>
      </c>
    </row>
    <row r="2273">
      <c r="G2273" s="12">
        <f t="shared" ref="G2273:G2281" si="407">DATE(2012,12,31)-1074</f>
        <v>40200</v>
      </c>
    </row>
    <row r="2274">
      <c r="G2274" s="12">
        <f t="shared" si="407"/>
        <v>40200</v>
      </c>
    </row>
    <row r="2275">
      <c r="G2275" s="12">
        <f t="shared" si="407"/>
        <v>40200</v>
      </c>
    </row>
    <row r="2276">
      <c r="G2276" s="12">
        <f t="shared" si="407"/>
        <v>40200</v>
      </c>
    </row>
    <row r="2277">
      <c r="G2277" s="12">
        <f t="shared" si="407"/>
        <v>40200</v>
      </c>
    </row>
    <row r="2278">
      <c r="G2278" s="12">
        <f t="shared" si="407"/>
        <v>40200</v>
      </c>
    </row>
    <row r="2279">
      <c r="G2279" s="12">
        <f t="shared" si="407"/>
        <v>40200</v>
      </c>
    </row>
    <row r="2280">
      <c r="G2280" s="12">
        <f t="shared" si="407"/>
        <v>40200</v>
      </c>
    </row>
    <row r="2281">
      <c r="G2281" s="12">
        <f t="shared" si="407"/>
        <v>40200</v>
      </c>
    </row>
    <row r="2282">
      <c r="G2282" s="12">
        <f t="shared" ref="G2282:G2284" si="408">DATE(2012,12,31)-1073</f>
        <v>40201</v>
      </c>
    </row>
    <row r="2283">
      <c r="G2283" s="12">
        <f t="shared" si="408"/>
        <v>40201</v>
      </c>
    </row>
    <row r="2284">
      <c r="G2284" s="12">
        <f t="shared" si="408"/>
        <v>40201</v>
      </c>
    </row>
    <row r="2285">
      <c r="G2285" s="12">
        <f t="shared" ref="G2285:G2288" si="409">DATE(2012,12,31)-1072</f>
        <v>40202</v>
      </c>
    </row>
    <row r="2286">
      <c r="G2286" s="12">
        <f t="shared" si="409"/>
        <v>40202</v>
      </c>
    </row>
    <row r="2287">
      <c r="G2287" s="12">
        <f t="shared" si="409"/>
        <v>40202</v>
      </c>
    </row>
    <row r="2288">
      <c r="G2288" s="12">
        <f t="shared" si="409"/>
        <v>40202</v>
      </c>
    </row>
    <row r="2289">
      <c r="G2289" s="12">
        <f t="shared" ref="G2289:G2295" si="410">DATE(2012,12,31)-1071</f>
        <v>40203</v>
      </c>
    </row>
    <row r="2290">
      <c r="G2290" s="12">
        <f t="shared" si="410"/>
        <v>40203</v>
      </c>
    </row>
    <row r="2291">
      <c r="G2291" s="12">
        <f t="shared" si="410"/>
        <v>40203</v>
      </c>
    </row>
    <row r="2292">
      <c r="G2292" s="12">
        <f t="shared" si="410"/>
        <v>40203</v>
      </c>
    </row>
    <row r="2293">
      <c r="G2293" s="12">
        <f t="shared" si="410"/>
        <v>40203</v>
      </c>
    </row>
    <row r="2294">
      <c r="G2294" s="12">
        <f t="shared" si="410"/>
        <v>40203</v>
      </c>
    </row>
    <row r="2295">
      <c r="G2295" s="12">
        <f t="shared" si="410"/>
        <v>40203</v>
      </c>
    </row>
    <row r="2296">
      <c r="G2296" s="12">
        <f t="shared" ref="G2296:G2300" si="411">DATE(2012,12,31)-1070</f>
        <v>40204</v>
      </c>
    </row>
    <row r="2297">
      <c r="G2297" s="12">
        <f t="shared" si="411"/>
        <v>40204</v>
      </c>
    </row>
    <row r="2298">
      <c r="G2298" s="12">
        <f t="shared" si="411"/>
        <v>40204</v>
      </c>
    </row>
    <row r="2299">
      <c r="G2299" s="12">
        <f t="shared" si="411"/>
        <v>40204</v>
      </c>
    </row>
    <row r="2300">
      <c r="G2300" s="12">
        <f t="shared" si="411"/>
        <v>40204</v>
      </c>
    </row>
    <row r="2301">
      <c r="G2301" s="12">
        <f>DATE(2012,12,31)-1069</f>
        <v>40205</v>
      </c>
    </row>
    <row r="2302">
      <c r="G2302" s="12">
        <f t="shared" ref="G2302:G2305" si="412">DATE(2012,12,31)-1068</f>
        <v>40206</v>
      </c>
    </row>
    <row r="2303">
      <c r="G2303" s="12">
        <f t="shared" si="412"/>
        <v>40206</v>
      </c>
    </row>
    <row r="2304">
      <c r="G2304" s="12">
        <f t="shared" si="412"/>
        <v>40206</v>
      </c>
    </row>
    <row r="2305">
      <c r="G2305" s="12">
        <f t="shared" si="412"/>
        <v>40206</v>
      </c>
    </row>
    <row r="2306">
      <c r="G2306" s="12">
        <f t="shared" ref="G2306:G2309" si="413">DATE(2012,12,31)-1067</f>
        <v>40207</v>
      </c>
    </row>
    <row r="2307">
      <c r="G2307" s="12">
        <f t="shared" si="413"/>
        <v>40207</v>
      </c>
    </row>
    <row r="2308">
      <c r="G2308" s="12">
        <f t="shared" si="413"/>
        <v>40207</v>
      </c>
    </row>
    <row r="2309">
      <c r="G2309" s="12">
        <f t="shared" si="413"/>
        <v>40207</v>
      </c>
    </row>
    <row r="2310">
      <c r="G2310" s="12">
        <f t="shared" ref="G2310:G2313" si="414">DATE(2012,12,31)-1066</f>
        <v>40208</v>
      </c>
    </row>
    <row r="2311">
      <c r="G2311" s="12">
        <f t="shared" si="414"/>
        <v>40208</v>
      </c>
    </row>
    <row r="2312">
      <c r="G2312" s="12">
        <f t="shared" si="414"/>
        <v>40208</v>
      </c>
    </row>
    <row r="2313">
      <c r="G2313" s="12">
        <f t="shared" si="414"/>
        <v>40208</v>
      </c>
    </row>
    <row r="2314">
      <c r="G2314" s="12">
        <f t="shared" ref="G2314:G2320" si="415">DATE(2012,12,31)-1065</f>
        <v>40209</v>
      </c>
    </row>
    <row r="2315">
      <c r="G2315" s="12">
        <f t="shared" si="415"/>
        <v>40209</v>
      </c>
    </row>
    <row r="2316">
      <c r="G2316" s="12">
        <f t="shared" si="415"/>
        <v>40209</v>
      </c>
    </row>
    <row r="2317">
      <c r="G2317" s="12">
        <f t="shared" si="415"/>
        <v>40209</v>
      </c>
    </row>
    <row r="2318">
      <c r="G2318" s="12">
        <f t="shared" si="415"/>
        <v>40209</v>
      </c>
    </row>
    <row r="2319">
      <c r="G2319" s="12">
        <f t="shared" si="415"/>
        <v>40209</v>
      </c>
    </row>
    <row r="2320">
      <c r="G2320" s="12">
        <f t="shared" si="415"/>
        <v>40209</v>
      </c>
    </row>
    <row r="2321">
      <c r="G2321" s="12">
        <f t="shared" ref="G2321:G2327" si="416">DATE(2012,12,31)-1064</f>
        <v>40210</v>
      </c>
    </row>
    <row r="2322">
      <c r="G2322" s="12">
        <f t="shared" si="416"/>
        <v>40210</v>
      </c>
    </row>
    <row r="2323">
      <c r="G2323" s="12">
        <f t="shared" si="416"/>
        <v>40210</v>
      </c>
    </row>
    <row r="2324">
      <c r="G2324" s="12">
        <f t="shared" si="416"/>
        <v>40210</v>
      </c>
    </row>
    <row r="2325">
      <c r="G2325" s="12">
        <f t="shared" si="416"/>
        <v>40210</v>
      </c>
    </row>
    <row r="2326">
      <c r="G2326" s="12">
        <f t="shared" si="416"/>
        <v>40210</v>
      </c>
    </row>
    <row r="2327">
      <c r="G2327" s="12">
        <f t="shared" si="416"/>
        <v>40210</v>
      </c>
    </row>
    <row r="2328">
      <c r="G2328" s="12">
        <f t="shared" ref="G2328:G2338" si="417">DATE(2012,12,31)-1063</f>
        <v>40211</v>
      </c>
    </row>
    <row r="2329">
      <c r="G2329" s="12">
        <f t="shared" si="417"/>
        <v>40211</v>
      </c>
    </row>
    <row r="2330">
      <c r="G2330" s="12">
        <f t="shared" si="417"/>
        <v>40211</v>
      </c>
    </row>
    <row r="2331">
      <c r="G2331" s="12">
        <f t="shared" si="417"/>
        <v>40211</v>
      </c>
    </row>
    <row r="2332">
      <c r="G2332" s="12">
        <f t="shared" si="417"/>
        <v>40211</v>
      </c>
    </row>
    <row r="2333">
      <c r="G2333" s="12">
        <f t="shared" si="417"/>
        <v>40211</v>
      </c>
    </row>
    <row r="2334">
      <c r="G2334" s="12">
        <f t="shared" si="417"/>
        <v>40211</v>
      </c>
    </row>
    <row r="2335">
      <c r="G2335" s="12">
        <f t="shared" si="417"/>
        <v>40211</v>
      </c>
    </row>
    <row r="2336">
      <c r="G2336" s="12">
        <f t="shared" si="417"/>
        <v>40211</v>
      </c>
    </row>
    <row r="2337">
      <c r="G2337" s="12">
        <f t="shared" si="417"/>
        <v>40211</v>
      </c>
    </row>
    <row r="2338">
      <c r="G2338" s="12">
        <f t="shared" si="417"/>
        <v>40211</v>
      </c>
    </row>
    <row r="2339">
      <c r="G2339" s="12">
        <f t="shared" ref="G2339:G2341" si="418">DATE(2012,12,31)-1062</f>
        <v>40212</v>
      </c>
    </row>
    <row r="2340">
      <c r="G2340" s="12">
        <f t="shared" si="418"/>
        <v>40212</v>
      </c>
    </row>
    <row r="2341">
      <c r="G2341" s="12">
        <f t="shared" si="418"/>
        <v>40212</v>
      </c>
    </row>
    <row r="2342">
      <c r="G2342" s="12">
        <f t="shared" ref="G2342:G2351" si="419">DATE(2012,12,31)-1061</f>
        <v>40213</v>
      </c>
    </row>
    <row r="2343">
      <c r="G2343" s="12">
        <f t="shared" si="419"/>
        <v>40213</v>
      </c>
    </row>
    <row r="2344">
      <c r="G2344" s="12">
        <f t="shared" si="419"/>
        <v>40213</v>
      </c>
    </row>
    <row r="2345">
      <c r="G2345" s="12">
        <f t="shared" si="419"/>
        <v>40213</v>
      </c>
    </row>
    <row r="2346">
      <c r="G2346" s="12">
        <f t="shared" si="419"/>
        <v>40213</v>
      </c>
    </row>
    <row r="2347">
      <c r="G2347" s="12">
        <f t="shared" si="419"/>
        <v>40213</v>
      </c>
    </row>
    <row r="2348">
      <c r="G2348" s="12">
        <f t="shared" si="419"/>
        <v>40213</v>
      </c>
    </row>
    <row r="2349">
      <c r="G2349" s="12">
        <f t="shared" si="419"/>
        <v>40213</v>
      </c>
    </row>
    <row r="2350">
      <c r="G2350" s="12">
        <f t="shared" si="419"/>
        <v>40213</v>
      </c>
    </row>
    <row r="2351">
      <c r="G2351" s="12">
        <f t="shared" si="419"/>
        <v>40213</v>
      </c>
    </row>
    <row r="2352">
      <c r="G2352" s="12">
        <f t="shared" ref="G2352:G2354" si="420">DATE(2012,12,31)-1060</f>
        <v>40214</v>
      </c>
    </row>
    <row r="2353">
      <c r="G2353" s="12">
        <f t="shared" si="420"/>
        <v>40214</v>
      </c>
    </row>
    <row r="2354">
      <c r="G2354" s="12">
        <f t="shared" si="420"/>
        <v>40214</v>
      </c>
    </row>
    <row r="2355">
      <c r="G2355" s="12">
        <f t="shared" ref="G2355:G2363" si="421">DATE(2012,12,31)-1059</f>
        <v>40215</v>
      </c>
    </row>
    <row r="2356">
      <c r="G2356" s="12">
        <f t="shared" si="421"/>
        <v>40215</v>
      </c>
    </row>
    <row r="2357">
      <c r="G2357" s="12">
        <f t="shared" si="421"/>
        <v>40215</v>
      </c>
    </row>
    <row r="2358">
      <c r="G2358" s="12">
        <f t="shared" si="421"/>
        <v>40215</v>
      </c>
    </row>
    <row r="2359">
      <c r="G2359" s="12">
        <f t="shared" si="421"/>
        <v>40215</v>
      </c>
    </row>
    <row r="2360">
      <c r="G2360" s="12">
        <f t="shared" si="421"/>
        <v>40215</v>
      </c>
    </row>
    <row r="2361">
      <c r="G2361" s="12">
        <f t="shared" si="421"/>
        <v>40215</v>
      </c>
    </row>
    <row r="2362">
      <c r="G2362" s="12">
        <f t="shared" si="421"/>
        <v>40215</v>
      </c>
    </row>
    <row r="2363">
      <c r="G2363" s="12">
        <f t="shared" si="421"/>
        <v>40215</v>
      </c>
    </row>
    <row r="2364">
      <c r="G2364" s="12">
        <f t="shared" ref="G2364:G2369" si="422">DATE(2012,12,31)-1058</f>
        <v>40216</v>
      </c>
    </row>
    <row r="2365">
      <c r="G2365" s="12">
        <f t="shared" si="422"/>
        <v>40216</v>
      </c>
    </row>
    <row r="2366">
      <c r="G2366" s="12">
        <f t="shared" si="422"/>
        <v>40216</v>
      </c>
    </row>
    <row r="2367">
      <c r="G2367" s="12">
        <f t="shared" si="422"/>
        <v>40216</v>
      </c>
    </row>
    <row r="2368">
      <c r="G2368" s="12">
        <f t="shared" si="422"/>
        <v>40216</v>
      </c>
    </row>
    <row r="2369">
      <c r="G2369" s="12">
        <f t="shared" si="422"/>
        <v>40216</v>
      </c>
    </row>
    <row r="2370">
      <c r="G2370" s="12">
        <f t="shared" ref="G2370:G2374" si="423">DATE(2012,12,31)-1057</f>
        <v>40217</v>
      </c>
    </row>
    <row r="2371">
      <c r="G2371" s="12">
        <f t="shared" si="423"/>
        <v>40217</v>
      </c>
    </row>
    <row r="2372">
      <c r="G2372" s="12">
        <f t="shared" si="423"/>
        <v>40217</v>
      </c>
    </row>
    <row r="2373">
      <c r="G2373" s="12">
        <f t="shared" si="423"/>
        <v>40217</v>
      </c>
    </row>
    <row r="2374">
      <c r="G2374" s="12">
        <f t="shared" si="423"/>
        <v>40217</v>
      </c>
    </row>
    <row r="2375">
      <c r="G2375" s="12">
        <f t="shared" ref="G2375:G2378" si="424">DATE(2012,12,31)-1056</f>
        <v>40218</v>
      </c>
    </row>
    <row r="2376">
      <c r="G2376" s="12">
        <f t="shared" si="424"/>
        <v>40218</v>
      </c>
    </row>
    <row r="2377">
      <c r="G2377" s="12">
        <f t="shared" si="424"/>
        <v>40218</v>
      </c>
    </row>
    <row r="2378">
      <c r="G2378" s="12">
        <f t="shared" si="424"/>
        <v>40218</v>
      </c>
    </row>
    <row r="2379">
      <c r="G2379" s="12">
        <f t="shared" ref="G2379:G2386" si="425">DATE(2012,12,31)-1055</f>
        <v>40219</v>
      </c>
    </row>
    <row r="2380">
      <c r="G2380" s="12">
        <f t="shared" si="425"/>
        <v>40219</v>
      </c>
    </row>
    <row r="2381">
      <c r="G2381" s="12">
        <f t="shared" si="425"/>
        <v>40219</v>
      </c>
    </row>
    <row r="2382">
      <c r="G2382" s="12">
        <f t="shared" si="425"/>
        <v>40219</v>
      </c>
    </row>
    <row r="2383">
      <c r="G2383" s="12">
        <f t="shared" si="425"/>
        <v>40219</v>
      </c>
    </row>
    <row r="2384">
      <c r="G2384" s="12">
        <f t="shared" si="425"/>
        <v>40219</v>
      </c>
    </row>
    <row r="2385">
      <c r="G2385" s="12">
        <f t="shared" si="425"/>
        <v>40219</v>
      </c>
    </row>
    <row r="2386">
      <c r="G2386" s="12">
        <f t="shared" si="425"/>
        <v>40219</v>
      </c>
    </row>
    <row r="2387">
      <c r="G2387" s="12">
        <f t="shared" ref="G2387:G2397" si="426">DATE(2012,12,31)-1054</f>
        <v>40220</v>
      </c>
    </row>
    <row r="2388">
      <c r="G2388" s="12">
        <f t="shared" si="426"/>
        <v>40220</v>
      </c>
    </row>
    <row r="2389">
      <c r="G2389" s="12">
        <f t="shared" si="426"/>
        <v>40220</v>
      </c>
    </row>
    <row r="2390">
      <c r="G2390" s="12">
        <f t="shared" si="426"/>
        <v>40220</v>
      </c>
    </row>
    <row r="2391">
      <c r="G2391" s="12">
        <f t="shared" si="426"/>
        <v>40220</v>
      </c>
    </row>
    <row r="2392">
      <c r="G2392" s="12">
        <f t="shared" si="426"/>
        <v>40220</v>
      </c>
    </row>
    <row r="2393">
      <c r="G2393" s="12">
        <f t="shared" si="426"/>
        <v>40220</v>
      </c>
    </row>
    <row r="2394">
      <c r="G2394" s="12">
        <f t="shared" si="426"/>
        <v>40220</v>
      </c>
    </row>
    <row r="2395">
      <c r="G2395" s="12">
        <f t="shared" si="426"/>
        <v>40220</v>
      </c>
    </row>
    <row r="2396">
      <c r="G2396" s="12">
        <f t="shared" si="426"/>
        <v>40220</v>
      </c>
    </row>
    <row r="2397">
      <c r="G2397" s="12">
        <f t="shared" si="426"/>
        <v>40220</v>
      </c>
    </row>
    <row r="2398">
      <c r="G2398" s="12">
        <f t="shared" ref="G2398:G2402" si="427">DATE(2012,12,31)-1053</f>
        <v>40221</v>
      </c>
    </row>
    <row r="2399">
      <c r="G2399" s="12">
        <f t="shared" si="427"/>
        <v>40221</v>
      </c>
    </row>
    <row r="2400">
      <c r="G2400" s="12">
        <f t="shared" si="427"/>
        <v>40221</v>
      </c>
    </row>
    <row r="2401">
      <c r="G2401" s="12">
        <f t="shared" si="427"/>
        <v>40221</v>
      </c>
    </row>
    <row r="2402">
      <c r="G2402" s="12">
        <f t="shared" si="427"/>
        <v>40221</v>
      </c>
    </row>
    <row r="2403">
      <c r="G2403" s="12">
        <f t="shared" ref="G2403:G2404" si="428">DATE(2012,12,31)-1052</f>
        <v>40222</v>
      </c>
    </row>
    <row r="2404">
      <c r="G2404" s="12">
        <f t="shared" si="428"/>
        <v>40222</v>
      </c>
    </row>
    <row r="2405">
      <c r="G2405" s="12">
        <f t="shared" ref="G2405:G2408" si="429">DATE(2012,12,31)-1051</f>
        <v>40223</v>
      </c>
    </row>
    <row r="2406">
      <c r="G2406" s="12">
        <f t="shared" si="429"/>
        <v>40223</v>
      </c>
    </row>
    <row r="2407">
      <c r="G2407" s="12">
        <f t="shared" si="429"/>
        <v>40223</v>
      </c>
    </row>
    <row r="2408">
      <c r="G2408" s="12">
        <f t="shared" si="429"/>
        <v>40223</v>
      </c>
    </row>
    <row r="2409">
      <c r="G2409" s="12">
        <f t="shared" ref="G2409:G2411" si="430">DATE(2012,12,31)-1050</f>
        <v>40224</v>
      </c>
    </row>
    <row r="2410">
      <c r="G2410" s="12">
        <f t="shared" si="430"/>
        <v>40224</v>
      </c>
    </row>
    <row r="2411">
      <c r="G2411" s="12">
        <f t="shared" si="430"/>
        <v>40224</v>
      </c>
    </row>
    <row r="2412">
      <c r="G2412" s="12">
        <f t="shared" ref="G2412:G2413" si="431">DATE(2012,12,31)-1049</f>
        <v>40225</v>
      </c>
    </row>
    <row r="2413">
      <c r="G2413" s="12">
        <f t="shared" si="431"/>
        <v>40225</v>
      </c>
    </row>
    <row r="2414">
      <c r="G2414" s="12">
        <f t="shared" ref="G2414:G2417" si="432">DATE(2012,12,31)-1048</f>
        <v>40226</v>
      </c>
    </row>
    <row r="2415">
      <c r="G2415" s="12">
        <f t="shared" si="432"/>
        <v>40226</v>
      </c>
    </row>
    <row r="2416">
      <c r="G2416" s="12">
        <f t="shared" si="432"/>
        <v>40226</v>
      </c>
    </row>
    <row r="2417">
      <c r="G2417" s="12">
        <f t="shared" si="432"/>
        <v>40226</v>
      </c>
    </row>
    <row r="2418">
      <c r="G2418" s="12">
        <f>DATE(2012,12,31)-1047</f>
        <v>40227</v>
      </c>
    </row>
    <row r="2419">
      <c r="G2419" s="12">
        <f t="shared" ref="G2419:G2423" si="433">DATE(2012,12,31)-1046</f>
        <v>40228</v>
      </c>
    </row>
    <row r="2420">
      <c r="G2420" s="12">
        <f t="shared" si="433"/>
        <v>40228</v>
      </c>
    </row>
    <row r="2421">
      <c r="G2421" s="12">
        <f t="shared" si="433"/>
        <v>40228</v>
      </c>
    </row>
    <row r="2422">
      <c r="G2422" s="12">
        <f t="shared" si="433"/>
        <v>40228</v>
      </c>
    </row>
    <row r="2423">
      <c r="G2423" s="12">
        <f t="shared" si="433"/>
        <v>40228</v>
      </c>
    </row>
    <row r="2424">
      <c r="G2424" s="12">
        <f t="shared" ref="G2424:G2432" si="434">DATE(2012,12,31)-1045</f>
        <v>40229</v>
      </c>
    </row>
    <row r="2425">
      <c r="G2425" s="12">
        <f t="shared" si="434"/>
        <v>40229</v>
      </c>
    </row>
    <row r="2426">
      <c r="G2426" s="12">
        <f t="shared" si="434"/>
        <v>40229</v>
      </c>
    </row>
    <row r="2427">
      <c r="G2427" s="12">
        <f t="shared" si="434"/>
        <v>40229</v>
      </c>
    </row>
    <row r="2428">
      <c r="G2428" s="12">
        <f t="shared" si="434"/>
        <v>40229</v>
      </c>
    </row>
    <row r="2429">
      <c r="G2429" s="12">
        <f t="shared" si="434"/>
        <v>40229</v>
      </c>
    </row>
    <row r="2430">
      <c r="G2430" s="12">
        <f t="shared" si="434"/>
        <v>40229</v>
      </c>
    </row>
    <row r="2431">
      <c r="G2431" s="12">
        <f t="shared" si="434"/>
        <v>40229</v>
      </c>
    </row>
    <row r="2432">
      <c r="G2432" s="12">
        <f t="shared" si="434"/>
        <v>40229</v>
      </c>
    </row>
    <row r="2433">
      <c r="G2433" s="12">
        <f t="shared" ref="G2433:G2437" si="435">DATE(2012,12,31)-1044</f>
        <v>40230</v>
      </c>
    </row>
    <row r="2434">
      <c r="G2434" s="12">
        <f t="shared" si="435"/>
        <v>40230</v>
      </c>
    </row>
    <row r="2435">
      <c r="G2435" s="12">
        <f t="shared" si="435"/>
        <v>40230</v>
      </c>
    </row>
    <row r="2436">
      <c r="G2436" s="12">
        <f t="shared" si="435"/>
        <v>40230</v>
      </c>
    </row>
    <row r="2437">
      <c r="G2437" s="12">
        <f t="shared" si="435"/>
        <v>40230</v>
      </c>
    </row>
    <row r="2438">
      <c r="G2438" s="12">
        <f t="shared" ref="G2438:G2447" si="436">DATE(2012,12,31)-1043</f>
        <v>40231</v>
      </c>
    </row>
    <row r="2439">
      <c r="G2439" s="12">
        <f t="shared" si="436"/>
        <v>40231</v>
      </c>
    </row>
    <row r="2440">
      <c r="G2440" s="12">
        <f t="shared" si="436"/>
        <v>40231</v>
      </c>
    </row>
    <row r="2441">
      <c r="G2441" s="12">
        <f t="shared" si="436"/>
        <v>40231</v>
      </c>
    </row>
    <row r="2442">
      <c r="G2442" s="12">
        <f t="shared" si="436"/>
        <v>40231</v>
      </c>
    </row>
    <row r="2443">
      <c r="G2443" s="12">
        <f t="shared" si="436"/>
        <v>40231</v>
      </c>
    </row>
    <row r="2444">
      <c r="G2444" s="12">
        <f t="shared" si="436"/>
        <v>40231</v>
      </c>
    </row>
    <row r="2445">
      <c r="G2445" s="12">
        <f t="shared" si="436"/>
        <v>40231</v>
      </c>
    </row>
    <row r="2446">
      <c r="G2446" s="12">
        <f t="shared" si="436"/>
        <v>40231</v>
      </c>
    </row>
    <row r="2447">
      <c r="G2447" s="12">
        <f t="shared" si="436"/>
        <v>40231</v>
      </c>
    </row>
    <row r="2448">
      <c r="G2448" s="12">
        <f t="shared" ref="G2448:G2454" si="437">DATE(2012,12,31)-1042</f>
        <v>40232</v>
      </c>
    </row>
    <row r="2449">
      <c r="G2449" s="12">
        <f t="shared" si="437"/>
        <v>40232</v>
      </c>
    </row>
    <row r="2450">
      <c r="G2450" s="12">
        <f t="shared" si="437"/>
        <v>40232</v>
      </c>
    </row>
    <row r="2451">
      <c r="G2451" s="12">
        <f t="shared" si="437"/>
        <v>40232</v>
      </c>
    </row>
    <row r="2452">
      <c r="G2452" s="12">
        <f t="shared" si="437"/>
        <v>40232</v>
      </c>
    </row>
    <row r="2453">
      <c r="G2453" s="12">
        <f t="shared" si="437"/>
        <v>40232</v>
      </c>
    </row>
    <row r="2454">
      <c r="G2454" s="12">
        <f t="shared" si="437"/>
        <v>40232</v>
      </c>
    </row>
    <row r="2455">
      <c r="G2455" s="12">
        <f t="shared" ref="G2455:G2461" si="438">DATE(2012,12,31)-1041</f>
        <v>40233</v>
      </c>
    </row>
    <row r="2456">
      <c r="G2456" s="12">
        <f t="shared" si="438"/>
        <v>40233</v>
      </c>
    </row>
    <row r="2457">
      <c r="G2457" s="12">
        <f t="shared" si="438"/>
        <v>40233</v>
      </c>
    </row>
    <row r="2458">
      <c r="G2458" s="12">
        <f t="shared" si="438"/>
        <v>40233</v>
      </c>
    </row>
    <row r="2459">
      <c r="G2459" s="12">
        <f t="shared" si="438"/>
        <v>40233</v>
      </c>
    </row>
    <row r="2460">
      <c r="G2460" s="12">
        <f t="shared" si="438"/>
        <v>40233</v>
      </c>
    </row>
    <row r="2461">
      <c r="G2461" s="12">
        <f t="shared" si="438"/>
        <v>40233</v>
      </c>
    </row>
    <row r="2462">
      <c r="G2462" s="12">
        <f t="shared" ref="G2462:G2465" si="439">DATE(2012,12,31)-1040</f>
        <v>40234</v>
      </c>
    </row>
    <row r="2463">
      <c r="G2463" s="12">
        <f t="shared" si="439"/>
        <v>40234</v>
      </c>
    </row>
    <row r="2464">
      <c r="G2464" s="12">
        <f t="shared" si="439"/>
        <v>40234</v>
      </c>
    </row>
    <row r="2465">
      <c r="G2465" s="12">
        <f t="shared" si="439"/>
        <v>40234</v>
      </c>
    </row>
    <row r="2466">
      <c r="G2466" s="12">
        <f t="shared" ref="G2466:G2479" si="440">DATE(2012,12,31)-1039</f>
        <v>40235</v>
      </c>
    </row>
    <row r="2467">
      <c r="G2467" s="12">
        <f t="shared" si="440"/>
        <v>40235</v>
      </c>
    </row>
    <row r="2468">
      <c r="G2468" s="12">
        <f t="shared" si="440"/>
        <v>40235</v>
      </c>
    </row>
    <row r="2469">
      <c r="G2469" s="12">
        <f t="shared" si="440"/>
        <v>40235</v>
      </c>
    </row>
    <row r="2470">
      <c r="G2470" s="12">
        <f t="shared" si="440"/>
        <v>40235</v>
      </c>
    </row>
    <row r="2471">
      <c r="G2471" s="12">
        <f t="shared" si="440"/>
        <v>40235</v>
      </c>
    </row>
    <row r="2472">
      <c r="G2472" s="12">
        <f t="shared" si="440"/>
        <v>40235</v>
      </c>
    </row>
    <row r="2473">
      <c r="G2473" s="12">
        <f t="shared" si="440"/>
        <v>40235</v>
      </c>
    </row>
    <row r="2474">
      <c r="G2474" s="12">
        <f t="shared" si="440"/>
        <v>40235</v>
      </c>
    </row>
    <row r="2475">
      <c r="G2475" s="12">
        <f t="shared" si="440"/>
        <v>40235</v>
      </c>
    </row>
    <row r="2476">
      <c r="G2476" s="12">
        <f t="shared" si="440"/>
        <v>40235</v>
      </c>
    </row>
    <row r="2477">
      <c r="G2477" s="12">
        <f t="shared" si="440"/>
        <v>40235</v>
      </c>
    </row>
    <row r="2478">
      <c r="G2478" s="12">
        <f t="shared" si="440"/>
        <v>40235</v>
      </c>
    </row>
    <row r="2479">
      <c r="G2479" s="12">
        <f t="shared" si="440"/>
        <v>40235</v>
      </c>
    </row>
    <row r="2480">
      <c r="G2480" s="12">
        <f t="shared" ref="G2480:G2496" si="441">DATE(2012,12,31)-1038</f>
        <v>40236</v>
      </c>
    </row>
    <row r="2481">
      <c r="G2481" s="12">
        <f t="shared" si="441"/>
        <v>40236</v>
      </c>
    </row>
    <row r="2482">
      <c r="G2482" s="12">
        <f t="shared" si="441"/>
        <v>40236</v>
      </c>
    </row>
    <row r="2483">
      <c r="G2483" s="12">
        <f t="shared" si="441"/>
        <v>40236</v>
      </c>
    </row>
    <row r="2484">
      <c r="G2484" s="12">
        <f t="shared" si="441"/>
        <v>40236</v>
      </c>
    </row>
    <row r="2485">
      <c r="G2485" s="12">
        <f t="shared" si="441"/>
        <v>40236</v>
      </c>
    </row>
    <row r="2486">
      <c r="G2486" s="12">
        <f t="shared" si="441"/>
        <v>40236</v>
      </c>
    </row>
    <row r="2487">
      <c r="G2487" s="12">
        <f t="shared" si="441"/>
        <v>40236</v>
      </c>
    </row>
    <row r="2488">
      <c r="G2488" s="12">
        <f t="shared" si="441"/>
        <v>40236</v>
      </c>
    </row>
    <row r="2489">
      <c r="G2489" s="12">
        <f t="shared" si="441"/>
        <v>40236</v>
      </c>
    </row>
    <row r="2490">
      <c r="G2490" s="12">
        <f t="shared" si="441"/>
        <v>40236</v>
      </c>
    </row>
    <row r="2491">
      <c r="G2491" s="12">
        <f t="shared" si="441"/>
        <v>40236</v>
      </c>
    </row>
    <row r="2492">
      <c r="G2492" s="12">
        <f t="shared" si="441"/>
        <v>40236</v>
      </c>
    </row>
    <row r="2493">
      <c r="G2493" s="12">
        <f t="shared" si="441"/>
        <v>40236</v>
      </c>
    </row>
    <row r="2494">
      <c r="G2494" s="12">
        <f t="shared" si="441"/>
        <v>40236</v>
      </c>
    </row>
    <row r="2495">
      <c r="G2495" s="12">
        <f t="shared" si="441"/>
        <v>40236</v>
      </c>
    </row>
    <row r="2496">
      <c r="G2496" s="12">
        <f t="shared" si="441"/>
        <v>40236</v>
      </c>
    </row>
    <row r="2497">
      <c r="G2497" s="12">
        <f t="shared" ref="G2497:G2498" si="442">DATE(2012,12,31)-1037</f>
        <v>40237</v>
      </c>
    </row>
    <row r="2498">
      <c r="G2498" s="12">
        <f t="shared" si="442"/>
        <v>40237</v>
      </c>
    </row>
    <row r="2499">
      <c r="G2499" s="12">
        <f t="shared" ref="G2499:G2503" si="443">DATE(2012,12,31)-1036</f>
        <v>40238</v>
      </c>
    </row>
    <row r="2500">
      <c r="G2500" s="12">
        <f t="shared" si="443"/>
        <v>40238</v>
      </c>
    </row>
    <row r="2501">
      <c r="G2501" s="12">
        <f t="shared" si="443"/>
        <v>40238</v>
      </c>
    </row>
    <row r="2502">
      <c r="G2502" s="12">
        <f t="shared" si="443"/>
        <v>40238</v>
      </c>
    </row>
    <row r="2503">
      <c r="G2503" s="12">
        <f t="shared" si="443"/>
        <v>40238</v>
      </c>
    </row>
    <row r="2504">
      <c r="G2504" s="12">
        <f t="shared" ref="G2504:G2513" si="444">DATE(2012,12,31)-1035</f>
        <v>40239</v>
      </c>
    </row>
    <row r="2505">
      <c r="G2505" s="12">
        <f t="shared" si="444"/>
        <v>40239</v>
      </c>
    </row>
    <row r="2506">
      <c r="G2506" s="12">
        <f t="shared" si="444"/>
        <v>40239</v>
      </c>
    </row>
    <row r="2507">
      <c r="G2507" s="12">
        <f t="shared" si="444"/>
        <v>40239</v>
      </c>
    </row>
    <row r="2508">
      <c r="G2508" s="12">
        <f t="shared" si="444"/>
        <v>40239</v>
      </c>
    </row>
    <row r="2509">
      <c r="G2509" s="12">
        <f t="shared" si="444"/>
        <v>40239</v>
      </c>
    </row>
    <row r="2510">
      <c r="G2510" s="12">
        <f t="shared" si="444"/>
        <v>40239</v>
      </c>
    </row>
    <row r="2511">
      <c r="G2511" s="12">
        <f t="shared" si="444"/>
        <v>40239</v>
      </c>
    </row>
    <row r="2512">
      <c r="G2512" s="12">
        <f t="shared" si="444"/>
        <v>40239</v>
      </c>
    </row>
    <row r="2513">
      <c r="G2513" s="12">
        <f t="shared" si="444"/>
        <v>40239</v>
      </c>
    </row>
    <row r="2514">
      <c r="G2514" s="12">
        <f t="shared" ref="G2514:G2521" si="445">DATE(2012,12,31)-1034</f>
        <v>40240</v>
      </c>
    </row>
    <row r="2515">
      <c r="G2515" s="12">
        <f t="shared" si="445"/>
        <v>40240</v>
      </c>
    </row>
    <row r="2516">
      <c r="G2516" s="12">
        <f t="shared" si="445"/>
        <v>40240</v>
      </c>
    </row>
    <row r="2517">
      <c r="G2517" s="12">
        <f t="shared" si="445"/>
        <v>40240</v>
      </c>
    </row>
    <row r="2518">
      <c r="G2518" s="12">
        <f t="shared" si="445"/>
        <v>40240</v>
      </c>
    </row>
    <row r="2519">
      <c r="G2519" s="12">
        <f t="shared" si="445"/>
        <v>40240</v>
      </c>
    </row>
    <row r="2520">
      <c r="G2520" s="12">
        <f t="shared" si="445"/>
        <v>40240</v>
      </c>
    </row>
    <row r="2521">
      <c r="G2521" s="12">
        <f t="shared" si="445"/>
        <v>40240</v>
      </c>
    </row>
    <row r="2522">
      <c r="G2522" s="12">
        <f t="shared" ref="G2522:G2524" si="446">DATE(2012,12,31)-1033</f>
        <v>40241</v>
      </c>
    </row>
    <row r="2523">
      <c r="G2523" s="12">
        <f t="shared" si="446"/>
        <v>40241</v>
      </c>
    </row>
    <row r="2524">
      <c r="G2524" s="12">
        <f t="shared" si="446"/>
        <v>40241</v>
      </c>
    </row>
    <row r="2525">
      <c r="G2525" s="12">
        <f t="shared" ref="G2525:G2530" si="447">DATE(2012,12,31)-1032</f>
        <v>40242</v>
      </c>
    </row>
    <row r="2526">
      <c r="G2526" s="12">
        <f t="shared" si="447"/>
        <v>40242</v>
      </c>
    </row>
    <row r="2527">
      <c r="G2527" s="12">
        <f t="shared" si="447"/>
        <v>40242</v>
      </c>
    </row>
    <row r="2528">
      <c r="G2528" s="12">
        <f t="shared" si="447"/>
        <v>40242</v>
      </c>
    </row>
    <row r="2529">
      <c r="G2529" s="12">
        <f t="shared" si="447"/>
        <v>40242</v>
      </c>
    </row>
    <row r="2530">
      <c r="G2530" s="12">
        <f t="shared" si="447"/>
        <v>40242</v>
      </c>
    </row>
    <row r="2531">
      <c r="G2531" s="12">
        <f>DATE(2012,12,31)-1031</f>
        <v>40243</v>
      </c>
    </row>
    <row r="2532">
      <c r="G2532" s="12">
        <f t="shared" ref="G2532:G2545" si="448">DATE(2012,12,31)-1030</f>
        <v>40244</v>
      </c>
    </row>
    <row r="2533">
      <c r="G2533" s="12">
        <f t="shared" si="448"/>
        <v>40244</v>
      </c>
    </row>
    <row r="2534">
      <c r="G2534" s="12">
        <f t="shared" si="448"/>
        <v>40244</v>
      </c>
    </row>
    <row r="2535">
      <c r="G2535" s="12">
        <f t="shared" si="448"/>
        <v>40244</v>
      </c>
    </row>
    <row r="2536">
      <c r="G2536" s="12">
        <f t="shared" si="448"/>
        <v>40244</v>
      </c>
    </row>
    <row r="2537">
      <c r="G2537" s="12">
        <f t="shared" si="448"/>
        <v>40244</v>
      </c>
    </row>
    <row r="2538">
      <c r="G2538" s="12">
        <f t="shared" si="448"/>
        <v>40244</v>
      </c>
    </row>
    <row r="2539">
      <c r="G2539" s="12">
        <f t="shared" si="448"/>
        <v>40244</v>
      </c>
    </row>
    <row r="2540">
      <c r="G2540" s="12">
        <f t="shared" si="448"/>
        <v>40244</v>
      </c>
    </row>
    <row r="2541">
      <c r="G2541" s="12">
        <f t="shared" si="448"/>
        <v>40244</v>
      </c>
    </row>
    <row r="2542">
      <c r="G2542" s="12">
        <f t="shared" si="448"/>
        <v>40244</v>
      </c>
    </row>
    <row r="2543">
      <c r="G2543" s="12">
        <f t="shared" si="448"/>
        <v>40244</v>
      </c>
    </row>
    <row r="2544">
      <c r="G2544" s="12">
        <f t="shared" si="448"/>
        <v>40244</v>
      </c>
    </row>
    <row r="2545">
      <c r="G2545" s="12">
        <f t="shared" si="448"/>
        <v>40244</v>
      </c>
    </row>
    <row r="2546">
      <c r="G2546" s="12">
        <f t="shared" ref="G2546:G2553" si="449">DATE(2012,12,31)-1029</f>
        <v>40245</v>
      </c>
    </row>
    <row r="2547">
      <c r="G2547" s="12">
        <f t="shared" si="449"/>
        <v>40245</v>
      </c>
    </row>
    <row r="2548">
      <c r="G2548" s="12">
        <f t="shared" si="449"/>
        <v>40245</v>
      </c>
    </row>
    <row r="2549">
      <c r="G2549" s="12">
        <f t="shared" si="449"/>
        <v>40245</v>
      </c>
    </row>
    <row r="2550">
      <c r="G2550" s="12">
        <f t="shared" si="449"/>
        <v>40245</v>
      </c>
    </row>
    <row r="2551">
      <c r="G2551" s="12">
        <f t="shared" si="449"/>
        <v>40245</v>
      </c>
    </row>
    <row r="2552">
      <c r="G2552" s="12">
        <f t="shared" si="449"/>
        <v>40245</v>
      </c>
    </row>
    <row r="2553">
      <c r="G2553" s="12">
        <f t="shared" si="449"/>
        <v>40245</v>
      </c>
    </row>
    <row r="2554">
      <c r="G2554" s="12">
        <f t="shared" ref="G2554:G2565" si="450">DATE(2012,12,31)-1028</f>
        <v>40246</v>
      </c>
    </row>
    <row r="2555">
      <c r="G2555" s="12">
        <f t="shared" si="450"/>
        <v>40246</v>
      </c>
    </row>
    <row r="2556">
      <c r="G2556" s="12">
        <f t="shared" si="450"/>
        <v>40246</v>
      </c>
    </row>
    <row r="2557">
      <c r="G2557" s="12">
        <f t="shared" si="450"/>
        <v>40246</v>
      </c>
    </row>
    <row r="2558">
      <c r="G2558" s="12">
        <f t="shared" si="450"/>
        <v>40246</v>
      </c>
    </row>
    <row r="2559">
      <c r="G2559" s="12">
        <f t="shared" si="450"/>
        <v>40246</v>
      </c>
    </row>
    <row r="2560">
      <c r="G2560" s="12">
        <f t="shared" si="450"/>
        <v>40246</v>
      </c>
    </row>
    <row r="2561">
      <c r="G2561" s="12">
        <f t="shared" si="450"/>
        <v>40246</v>
      </c>
    </row>
    <row r="2562">
      <c r="G2562" s="12">
        <f t="shared" si="450"/>
        <v>40246</v>
      </c>
    </row>
    <row r="2563">
      <c r="G2563" s="12">
        <f t="shared" si="450"/>
        <v>40246</v>
      </c>
    </row>
    <row r="2564">
      <c r="G2564" s="12">
        <f t="shared" si="450"/>
        <v>40246</v>
      </c>
    </row>
    <row r="2565">
      <c r="G2565" s="12">
        <f t="shared" si="450"/>
        <v>40246</v>
      </c>
    </row>
    <row r="2566">
      <c r="G2566" s="12">
        <f t="shared" ref="G2566:G2567" si="451">DATE(2012,12,31)-1027</f>
        <v>40247</v>
      </c>
    </row>
    <row r="2567">
      <c r="G2567" s="12">
        <f t="shared" si="451"/>
        <v>40247</v>
      </c>
    </row>
    <row r="2568">
      <c r="G2568" s="12">
        <f>DATE(2012,12,31)-1026</f>
        <v>40248</v>
      </c>
    </row>
    <row r="2569">
      <c r="G2569" s="12">
        <f t="shared" ref="G2569:G2575" si="452">DATE(2012,12,31)-1025</f>
        <v>40249</v>
      </c>
    </row>
    <row r="2570">
      <c r="G2570" s="12">
        <f t="shared" si="452"/>
        <v>40249</v>
      </c>
    </row>
    <row r="2571">
      <c r="G2571" s="12">
        <f t="shared" si="452"/>
        <v>40249</v>
      </c>
    </row>
    <row r="2572">
      <c r="G2572" s="12">
        <f t="shared" si="452"/>
        <v>40249</v>
      </c>
    </row>
    <row r="2573">
      <c r="G2573" s="12">
        <f t="shared" si="452"/>
        <v>40249</v>
      </c>
    </row>
    <row r="2574">
      <c r="G2574" s="12">
        <f t="shared" si="452"/>
        <v>40249</v>
      </c>
    </row>
    <row r="2575">
      <c r="G2575" s="12">
        <f t="shared" si="452"/>
        <v>40249</v>
      </c>
    </row>
    <row r="2576">
      <c r="G2576" s="12">
        <f t="shared" ref="G2576:G2584" si="453">DATE(2012,12,31)-1024</f>
        <v>40250</v>
      </c>
    </row>
    <row r="2577">
      <c r="G2577" s="12">
        <f t="shared" si="453"/>
        <v>40250</v>
      </c>
    </row>
    <row r="2578">
      <c r="G2578" s="12">
        <f t="shared" si="453"/>
        <v>40250</v>
      </c>
    </row>
    <row r="2579">
      <c r="G2579" s="12">
        <f t="shared" si="453"/>
        <v>40250</v>
      </c>
    </row>
    <row r="2580">
      <c r="G2580" s="12">
        <f t="shared" si="453"/>
        <v>40250</v>
      </c>
    </row>
    <row r="2581">
      <c r="G2581" s="12">
        <f t="shared" si="453"/>
        <v>40250</v>
      </c>
    </row>
    <row r="2582">
      <c r="G2582" s="12">
        <f t="shared" si="453"/>
        <v>40250</v>
      </c>
    </row>
    <row r="2583">
      <c r="G2583" s="12">
        <f t="shared" si="453"/>
        <v>40250</v>
      </c>
    </row>
    <row r="2584">
      <c r="G2584" s="12">
        <f t="shared" si="453"/>
        <v>40250</v>
      </c>
    </row>
    <row r="2585">
      <c r="G2585" s="12">
        <f t="shared" ref="G2585:G2588" si="454">DATE(2012,12,31)-1023</f>
        <v>40251</v>
      </c>
    </row>
    <row r="2586">
      <c r="G2586" s="12">
        <f t="shared" si="454"/>
        <v>40251</v>
      </c>
    </row>
    <row r="2587">
      <c r="G2587" s="12">
        <f t="shared" si="454"/>
        <v>40251</v>
      </c>
    </row>
    <row r="2588">
      <c r="G2588" s="12">
        <f t="shared" si="454"/>
        <v>40251</v>
      </c>
    </row>
    <row r="2589">
      <c r="G2589" s="12">
        <f t="shared" ref="G2589:G2593" si="455">DATE(2012,12,31)-1022</f>
        <v>40252</v>
      </c>
    </row>
    <row r="2590">
      <c r="G2590" s="12">
        <f t="shared" si="455"/>
        <v>40252</v>
      </c>
    </row>
    <row r="2591">
      <c r="G2591" s="12">
        <f t="shared" si="455"/>
        <v>40252</v>
      </c>
    </row>
    <row r="2592">
      <c r="G2592" s="12">
        <f t="shared" si="455"/>
        <v>40252</v>
      </c>
    </row>
    <row r="2593">
      <c r="G2593" s="12">
        <f t="shared" si="455"/>
        <v>40252</v>
      </c>
    </row>
    <row r="2594">
      <c r="G2594" s="12">
        <f t="shared" ref="G2594:G2596" si="456">DATE(2012,12,31)-1021</f>
        <v>40253</v>
      </c>
    </row>
    <row r="2595">
      <c r="G2595" s="12">
        <f t="shared" si="456"/>
        <v>40253</v>
      </c>
    </row>
    <row r="2596">
      <c r="G2596" s="12">
        <f t="shared" si="456"/>
        <v>40253</v>
      </c>
    </row>
    <row r="2597">
      <c r="G2597" s="12">
        <f t="shared" ref="G2597:G2599" si="457">DATE(2012,12,31)-1020</f>
        <v>40254</v>
      </c>
    </row>
    <row r="2598">
      <c r="G2598" s="12">
        <f t="shared" si="457"/>
        <v>40254</v>
      </c>
    </row>
    <row r="2599">
      <c r="G2599" s="12">
        <f t="shared" si="457"/>
        <v>40254</v>
      </c>
    </row>
    <row r="2600">
      <c r="G2600" s="12">
        <f>DATE(2012,12,31)-1019</f>
        <v>40255</v>
      </c>
    </row>
    <row r="2601">
      <c r="G2601" s="12">
        <f t="shared" ref="G2601:G2603" si="458">DATE(2012,12,31)-1018</f>
        <v>40256</v>
      </c>
    </row>
    <row r="2602">
      <c r="G2602" s="12">
        <f t="shared" si="458"/>
        <v>40256</v>
      </c>
    </row>
    <row r="2603">
      <c r="G2603" s="12">
        <f t="shared" si="458"/>
        <v>40256</v>
      </c>
    </row>
    <row r="2604">
      <c r="G2604" s="12">
        <f t="shared" ref="G2604:G2605" si="459">DATE(2012,12,31)-1017</f>
        <v>40257</v>
      </c>
    </row>
    <row r="2605">
      <c r="G2605" s="12">
        <f t="shared" si="459"/>
        <v>40257</v>
      </c>
    </row>
    <row r="2606">
      <c r="G2606" s="12">
        <f t="shared" ref="G2606:G2613" si="460">DATE(2012,12,31)-1016</f>
        <v>40258</v>
      </c>
    </row>
    <row r="2607">
      <c r="G2607" s="12">
        <f t="shared" si="460"/>
        <v>40258</v>
      </c>
    </row>
    <row r="2608">
      <c r="G2608" s="12">
        <f t="shared" si="460"/>
        <v>40258</v>
      </c>
    </row>
    <row r="2609">
      <c r="G2609" s="12">
        <f t="shared" si="460"/>
        <v>40258</v>
      </c>
    </row>
    <row r="2610">
      <c r="G2610" s="12">
        <f t="shared" si="460"/>
        <v>40258</v>
      </c>
    </row>
    <row r="2611">
      <c r="G2611" s="12">
        <f t="shared" si="460"/>
        <v>40258</v>
      </c>
    </row>
    <row r="2612">
      <c r="G2612" s="12">
        <f t="shared" si="460"/>
        <v>40258</v>
      </c>
    </row>
    <row r="2613">
      <c r="G2613" s="12">
        <f t="shared" si="460"/>
        <v>40258</v>
      </c>
    </row>
    <row r="2614">
      <c r="G2614" s="12">
        <f t="shared" ref="G2614:G2616" si="461">DATE(2012,12,31)-1015</f>
        <v>40259</v>
      </c>
    </row>
    <row r="2615">
      <c r="G2615" s="12">
        <f t="shared" si="461"/>
        <v>40259</v>
      </c>
    </row>
    <row r="2616">
      <c r="G2616" s="12">
        <f t="shared" si="461"/>
        <v>40259</v>
      </c>
    </row>
    <row r="2617">
      <c r="G2617" s="12">
        <f>DATE(2012,12,31)-1014</f>
        <v>40260</v>
      </c>
    </row>
    <row r="2618">
      <c r="G2618" s="12">
        <f t="shared" ref="G2618:G2622" si="462">DATE(2012,12,31)-1013</f>
        <v>40261</v>
      </c>
    </row>
    <row r="2619">
      <c r="G2619" s="12">
        <f t="shared" si="462"/>
        <v>40261</v>
      </c>
    </row>
    <row r="2620">
      <c r="G2620" s="12">
        <f t="shared" si="462"/>
        <v>40261</v>
      </c>
    </row>
    <row r="2621">
      <c r="G2621" s="12">
        <f t="shared" si="462"/>
        <v>40261</v>
      </c>
    </row>
    <row r="2622">
      <c r="G2622" s="12">
        <f t="shared" si="462"/>
        <v>40261</v>
      </c>
    </row>
    <row r="2623">
      <c r="G2623" s="12">
        <f t="shared" ref="G2623:G2628" si="463">DATE(2012,12,31)-1012</f>
        <v>40262</v>
      </c>
    </row>
    <row r="2624">
      <c r="G2624" s="12">
        <f t="shared" si="463"/>
        <v>40262</v>
      </c>
    </row>
    <row r="2625">
      <c r="G2625" s="12">
        <f t="shared" si="463"/>
        <v>40262</v>
      </c>
    </row>
    <row r="2626">
      <c r="G2626" s="12">
        <f t="shared" si="463"/>
        <v>40262</v>
      </c>
    </row>
    <row r="2627">
      <c r="G2627" s="12">
        <f t="shared" si="463"/>
        <v>40262</v>
      </c>
    </row>
    <row r="2628">
      <c r="G2628" s="12">
        <f t="shared" si="463"/>
        <v>40262</v>
      </c>
    </row>
    <row r="2629">
      <c r="G2629" s="12">
        <f t="shared" ref="G2629:G2631" si="464">DATE(2012,12,31)-1011</f>
        <v>40263</v>
      </c>
    </row>
    <row r="2630">
      <c r="G2630" s="12">
        <f t="shared" si="464"/>
        <v>40263</v>
      </c>
    </row>
    <row r="2631">
      <c r="G2631" s="12">
        <f t="shared" si="464"/>
        <v>40263</v>
      </c>
    </row>
    <row r="2632">
      <c r="G2632" s="12">
        <f t="shared" ref="G2632:G2634" si="465">DATE(2012,12,31)-1010</f>
        <v>40264</v>
      </c>
    </row>
    <row r="2633">
      <c r="G2633" s="12">
        <f t="shared" si="465"/>
        <v>40264</v>
      </c>
    </row>
    <row r="2634">
      <c r="G2634" s="12">
        <f t="shared" si="465"/>
        <v>40264</v>
      </c>
    </row>
    <row r="2635">
      <c r="G2635" s="12">
        <f t="shared" ref="G2635:G2640" si="466">DATE(2012,12,31)-1009</f>
        <v>40265</v>
      </c>
    </row>
    <row r="2636">
      <c r="G2636" s="12">
        <f t="shared" si="466"/>
        <v>40265</v>
      </c>
    </row>
    <row r="2637">
      <c r="G2637" s="12">
        <f t="shared" si="466"/>
        <v>40265</v>
      </c>
    </row>
    <row r="2638">
      <c r="G2638" s="12">
        <f t="shared" si="466"/>
        <v>40265</v>
      </c>
    </row>
    <row r="2639">
      <c r="G2639" s="12">
        <f t="shared" si="466"/>
        <v>40265</v>
      </c>
    </row>
    <row r="2640">
      <c r="G2640" s="12">
        <f t="shared" si="466"/>
        <v>40265</v>
      </c>
    </row>
    <row r="2641">
      <c r="G2641" s="12">
        <f t="shared" ref="G2641:G2645" si="467">DATE(2012,12,31)-1008</f>
        <v>40266</v>
      </c>
    </row>
    <row r="2642">
      <c r="G2642" s="12">
        <f t="shared" si="467"/>
        <v>40266</v>
      </c>
    </row>
    <row r="2643">
      <c r="G2643" s="12">
        <f t="shared" si="467"/>
        <v>40266</v>
      </c>
    </row>
    <row r="2644">
      <c r="G2644" s="12">
        <f t="shared" si="467"/>
        <v>40266</v>
      </c>
    </row>
    <row r="2645">
      <c r="G2645" s="12">
        <f t="shared" si="467"/>
        <v>40266</v>
      </c>
    </row>
    <row r="2646">
      <c r="G2646" s="12">
        <f t="shared" ref="G2646:G2654" si="468">DATE(2012,12,31)-1007</f>
        <v>40267</v>
      </c>
    </row>
    <row r="2647">
      <c r="G2647" s="12">
        <f t="shared" si="468"/>
        <v>40267</v>
      </c>
    </row>
    <row r="2648">
      <c r="G2648" s="12">
        <f t="shared" si="468"/>
        <v>40267</v>
      </c>
    </row>
    <row r="2649">
      <c r="G2649" s="12">
        <f t="shared" si="468"/>
        <v>40267</v>
      </c>
    </row>
    <row r="2650">
      <c r="G2650" s="12">
        <f t="shared" si="468"/>
        <v>40267</v>
      </c>
    </row>
    <row r="2651">
      <c r="G2651" s="12">
        <f t="shared" si="468"/>
        <v>40267</v>
      </c>
    </row>
    <row r="2652">
      <c r="G2652" s="12">
        <f t="shared" si="468"/>
        <v>40267</v>
      </c>
    </row>
    <row r="2653">
      <c r="G2653" s="12">
        <f t="shared" si="468"/>
        <v>40267</v>
      </c>
    </row>
    <row r="2654">
      <c r="G2654" s="12">
        <f t="shared" si="468"/>
        <v>40267</v>
      </c>
    </row>
    <row r="2655">
      <c r="G2655" s="12">
        <f t="shared" ref="G2655:G2657" si="469">DATE(2012,12,31)-1006</f>
        <v>40268</v>
      </c>
    </row>
    <row r="2656">
      <c r="G2656" s="12">
        <f t="shared" si="469"/>
        <v>40268</v>
      </c>
    </row>
    <row r="2657">
      <c r="G2657" s="12">
        <f t="shared" si="469"/>
        <v>40268</v>
      </c>
    </row>
    <row r="2658">
      <c r="G2658" s="12">
        <f t="shared" ref="G2658:G2662" si="470">DATE(2012,12,31)-1005</f>
        <v>40269</v>
      </c>
    </row>
    <row r="2659">
      <c r="G2659" s="12">
        <f t="shared" si="470"/>
        <v>40269</v>
      </c>
    </row>
    <row r="2660">
      <c r="G2660" s="12">
        <f t="shared" si="470"/>
        <v>40269</v>
      </c>
    </row>
    <row r="2661">
      <c r="G2661" s="12">
        <f t="shared" si="470"/>
        <v>40269</v>
      </c>
    </row>
    <row r="2662">
      <c r="G2662" s="12">
        <f t="shared" si="470"/>
        <v>40269</v>
      </c>
    </row>
    <row r="2663">
      <c r="G2663" s="12">
        <f t="shared" ref="G2663:G2664" si="471">DATE(2012,12,31)-1004</f>
        <v>40270</v>
      </c>
    </row>
    <row r="2664">
      <c r="G2664" s="12">
        <f t="shared" si="471"/>
        <v>40270</v>
      </c>
    </row>
    <row r="2665">
      <c r="G2665" s="12">
        <f t="shared" ref="G2665:G2670" si="472">DATE(2012,12,31)-1003</f>
        <v>40271</v>
      </c>
    </row>
    <row r="2666">
      <c r="G2666" s="12">
        <f t="shared" si="472"/>
        <v>40271</v>
      </c>
    </row>
    <row r="2667">
      <c r="G2667" s="12">
        <f t="shared" si="472"/>
        <v>40271</v>
      </c>
    </row>
    <row r="2668">
      <c r="G2668" s="12">
        <f t="shared" si="472"/>
        <v>40271</v>
      </c>
    </row>
    <row r="2669">
      <c r="G2669" s="12">
        <f t="shared" si="472"/>
        <v>40271</v>
      </c>
    </row>
    <row r="2670">
      <c r="G2670" s="12">
        <f t="shared" si="472"/>
        <v>40271</v>
      </c>
    </row>
    <row r="2671">
      <c r="G2671" s="12">
        <f t="shared" ref="G2671:G2674" si="473">DATE(2012,12,31)-1002</f>
        <v>40272</v>
      </c>
    </row>
    <row r="2672">
      <c r="G2672" s="12">
        <f t="shared" si="473"/>
        <v>40272</v>
      </c>
    </row>
    <row r="2673">
      <c r="G2673" s="12">
        <f t="shared" si="473"/>
        <v>40272</v>
      </c>
    </row>
    <row r="2674">
      <c r="G2674" s="12">
        <f t="shared" si="473"/>
        <v>40272</v>
      </c>
    </row>
    <row r="2675">
      <c r="G2675" s="12">
        <f t="shared" ref="G2675:G2676" si="474">DATE(2012,12,31)-1001</f>
        <v>40273</v>
      </c>
    </row>
    <row r="2676">
      <c r="G2676" s="12">
        <f t="shared" si="474"/>
        <v>40273</v>
      </c>
    </row>
    <row r="2677">
      <c r="G2677" s="12">
        <f t="shared" ref="G2677:G2679" si="475">DATE(2012,12,31)-1000</f>
        <v>40274</v>
      </c>
    </row>
    <row r="2678">
      <c r="G2678" s="12">
        <f t="shared" si="475"/>
        <v>40274</v>
      </c>
    </row>
    <row r="2679">
      <c r="G2679" s="12">
        <f t="shared" si="475"/>
        <v>40274</v>
      </c>
    </row>
    <row r="2680">
      <c r="G2680" s="12">
        <f t="shared" ref="G2680:G2685" si="476">DATE(2012,12,31)-999</f>
        <v>40275</v>
      </c>
    </row>
    <row r="2681">
      <c r="G2681" s="12">
        <f t="shared" si="476"/>
        <v>40275</v>
      </c>
    </row>
    <row r="2682">
      <c r="G2682" s="12">
        <f t="shared" si="476"/>
        <v>40275</v>
      </c>
    </row>
    <row r="2683">
      <c r="G2683" s="12">
        <f t="shared" si="476"/>
        <v>40275</v>
      </c>
    </row>
    <row r="2684">
      <c r="G2684" s="12">
        <f t="shared" si="476"/>
        <v>40275</v>
      </c>
    </row>
    <row r="2685">
      <c r="G2685" s="12">
        <f t="shared" si="476"/>
        <v>40275</v>
      </c>
    </row>
    <row r="2686">
      <c r="G2686" s="12">
        <f t="shared" ref="G2686:G2689" si="477">DATE(2012,12,31)-998</f>
        <v>40276</v>
      </c>
    </row>
    <row r="2687">
      <c r="G2687" s="12">
        <f t="shared" si="477"/>
        <v>40276</v>
      </c>
    </row>
    <row r="2688">
      <c r="G2688" s="12">
        <f t="shared" si="477"/>
        <v>40276</v>
      </c>
    </row>
    <row r="2689">
      <c r="G2689" s="12">
        <f t="shared" si="477"/>
        <v>40276</v>
      </c>
    </row>
    <row r="2690">
      <c r="G2690" s="12">
        <f t="shared" ref="G2690:G2692" si="478">DATE(2012,12,31)-997</f>
        <v>40277</v>
      </c>
    </row>
    <row r="2691">
      <c r="G2691" s="12">
        <f t="shared" si="478"/>
        <v>40277</v>
      </c>
    </row>
    <row r="2692">
      <c r="G2692" s="12">
        <f t="shared" si="478"/>
        <v>40277</v>
      </c>
    </row>
    <row r="2693">
      <c r="G2693" s="12">
        <f t="shared" ref="G2693:G2704" si="479">DATE(2012,12,31)-996</f>
        <v>40278</v>
      </c>
    </row>
    <row r="2694">
      <c r="G2694" s="12">
        <f t="shared" si="479"/>
        <v>40278</v>
      </c>
    </row>
    <row r="2695">
      <c r="G2695" s="12">
        <f t="shared" si="479"/>
        <v>40278</v>
      </c>
    </row>
    <row r="2696">
      <c r="G2696" s="12">
        <f t="shared" si="479"/>
        <v>40278</v>
      </c>
    </row>
    <row r="2697">
      <c r="G2697" s="12">
        <f t="shared" si="479"/>
        <v>40278</v>
      </c>
    </row>
    <row r="2698">
      <c r="G2698" s="12">
        <f t="shared" si="479"/>
        <v>40278</v>
      </c>
    </row>
    <row r="2699">
      <c r="G2699" s="12">
        <f t="shared" si="479"/>
        <v>40278</v>
      </c>
    </row>
    <row r="2700">
      <c r="G2700" s="12">
        <f t="shared" si="479"/>
        <v>40278</v>
      </c>
    </row>
    <row r="2701">
      <c r="G2701" s="12">
        <f t="shared" si="479"/>
        <v>40278</v>
      </c>
    </row>
    <row r="2702">
      <c r="G2702" s="12">
        <f t="shared" si="479"/>
        <v>40278</v>
      </c>
    </row>
    <row r="2703">
      <c r="G2703" s="12">
        <f t="shared" si="479"/>
        <v>40278</v>
      </c>
    </row>
    <row r="2704">
      <c r="G2704" s="12">
        <f t="shared" si="479"/>
        <v>40278</v>
      </c>
    </row>
    <row r="2705">
      <c r="G2705" s="12">
        <f t="shared" ref="G2705:G2715" si="480">DATE(2012,12,31)-995</f>
        <v>40279</v>
      </c>
    </row>
    <row r="2706">
      <c r="G2706" s="12">
        <f t="shared" si="480"/>
        <v>40279</v>
      </c>
    </row>
    <row r="2707">
      <c r="G2707" s="12">
        <f t="shared" si="480"/>
        <v>40279</v>
      </c>
    </row>
    <row r="2708">
      <c r="G2708" s="12">
        <f t="shared" si="480"/>
        <v>40279</v>
      </c>
    </row>
    <row r="2709">
      <c r="G2709" s="12">
        <f t="shared" si="480"/>
        <v>40279</v>
      </c>
    </row>
    <row r="2710">
      <c r="G2710" s="12">
        <f t="shared" si="480"/>
        <v>40279</v>
      </c>
    </row>
    <row r="2711">
      <c r="G2711" s="12">
        <f t="shared" si="480"/>
        <v>40279</v>
      </c>
    </row>
    <row r="2712">
      <c r="G2712" s="12">
        <f t="shared" si="480"/>
        <v>40279</v>
      </c>
    </row>
    <row r="2713">
      <c r="G2713" s="12">
        <f t="shared" si="480"/>
        <v>40279</v>
      </c>
    </row>
    <row r="2714">
      <c r="G2714" s="12">
        <f t="shared" si="480"/>
        <v>40279</v>
      </c>
    </row>
    <row r="2715">
      <c r="G2715" s="12">
        <f t="shared" si="480"/>
        <v>40279</v>
      </c>
    </row>
    <row r="2716">
      <c r="G2716" s="12">
        <f t="shared" ref="G2716:G2722" si="481">DATE(2012,12,31)-994</f>
        <v>40280</v>
      </c>
    </row>
    <row r="2717">
      <c r="G2717" s="12">
        <f t="shared" si="481"/>
        <v>40280</v>
      </c>
    </row>
    <row r="2718">
      <c r="G2718" s="12">
        <f t="shared" si="481"/>
        <v>40280</v>
      </c>
    </row>
    <row r="2719">
      <c r="G2719" s="12">
        <f t="shared" si="481"/>
        <v>40280</v>
      </c>
    </row>
    <row r="2720">
      <c r="G2720" s="12">
        <f t="shared" si="481"/>
        <v>40280</v>
      </c>
    </row>
    <row r="2721">
      <c r="G2721" s="12">
        <f t="shared" si="481"/>
        <v>40280</v>
      </c>
    </row>
    <row r="2722">
      <c r="G2722" s="12">
        <f t="shared" si="481"/>
        <v>40280</v>
      </c>
    </row>
    <row r="2723">
      <c r="G2723" s="12">
        <f t="shared" ref="G2723:G2735" si="482">DATE(2012,12,31)-991</f>
        <v>40283</v>
      </c>
    </row>
    <row r="2724">
      <c r="G2724" s="12">
        <f t="shared" si="482"/>
        <v>40283</v>
      </c>
    </row>
    <row r="2725">
      <c r="G2725" s="12">
        <f t="shared" si="482"/>
        <v>40283</v>
      </c>
    </row>
    <row r="2726">
      <c r="G2726" s="12">
        <f t="shared" si="482"/>
        <v>40283</v>
      </c>
    </row>
    <row r="2727">
      <c r="G2727" s="12">
        <f t="shared" si="482"/>
        <v>40283</v>
      </c>
    </row>
    <row r="2728">
      <c r="G2728" s="12">
        <f t="shared" si="482"/>
        <v>40283</v>
      </c>
    </row>
    <row r="2729">
      <c r="G2729" s="12">
        <f t="shared" si="482"/>
        <v>40283</v>
      </c>
    </row>
    <row r="2730">
      <c r="G2730" s="12">
        <f t="shared" si="482"/>
        <v>40283</v>
      </c>
    </row>
    <row r="2731">
      <c r="G2731" s="12">
        <f t="shared" si="482"/>
        <v>40283</v>
      </c>
    </row>
    <row r="2732">
      <c r="G2732" s="12">
        <f t="shared" si="482"/>
        <v>40283</v>
      </c>
    </row>
    <row r="2733">
      <c r="G2733" s="12">
        <f t="shared" si="482"/>
        <v>40283</v>
      </c>
    </row>
    <row r="2734">
      <c r="G2734" s="12">
        <f t="shared" si="482"/>
        <v>40283</v>
      </c>
    </row>
    <row r="2735">
      <c r="G2735" s="12">
        <f t="shared" si="482"/>
        <v>40283</v>
      </c>
    </row>
    <row r="2736">
      <c r="G2736" s="12">
        <f t="shared" ref="G2736:G2743" si="483">DATE(2012,12,31)-990</f>
        <v>40284</v>
      </c>
    </row>
    <row r="2737">
      <c r="G2737" s="12">
        <f t="shared" si="483"/>
        <v>40284</v>
      </c>
    </row>
    <row r="2738">
      <c r="G2738" s="12">
        <f t="shared" si="483"/>
        <v>40284</v>
      </c>
    </row>
    <row r="2739">
      <c r="G2739" s="12">
        <f t="shared" si="483"/>
        <v>40284</v>
      </c>
    </row>
    <row r="2740">
      <c r="G2740" s="12">
        <f t="shared" si="483"/>
        <v>40284</v>
      </c>
    </row>
    <row r="2741">
      <c r="G2741" s="12">
        <f t="shared" si="483"/>
        <v>40284</v>
      </c>
    </row>
    <row r="2742">
      <c r="G2742" s="12">
        <f t="shared" si="483"/>
        <v>40284</v>
      </c>
    </row>
    <row r="2743">
      <c r="G2743" s="12">
        <f t="shared" si="483"/>
        <v>40284</v>
      </c>
    </row>
    <row r="2744">
      <c r="G2744" s="12">
        <f>DATE(2012,12,31)-989</f>
        <v>40285</v>
      </c>
    </row>
    <row r="2745">
      <c r="G2745" s="12">
        <f>DATE(2012,12,31)-988</f>
        <v>40286</v>
      </c>
    </row>
    <row r="2746">
      <c r="G2746" s="12">
        <f t="shared" ref="G2746:G2751" si="484">DATE(2012,12,31)-987</f>
        <v>40287</v>
      </c>
    </row>
    <row r="2747">
      <c r="G2747" s="12">
        <f t="shared" si="484"/>
        <v>40287</v>
      </c>
    </row>
    <row r="2748">
      <c r="G2748" s="12">
        <f t="shared" si="484"/>
        <v>40287</v>
      </c>
    </row>
    <row r="2749">
      <c r="G2749" s="12">
        <f t="shared" si="484"/>
        <v>40287</v>
      </c>
    </row>
    <row r="2750">
      <c r="G2750" s="12">
        <f t="shared" si="484"/>
        <v>40287</v>
      </c>
    </row>
    <row r="2751">
      <c r="G2751" s="12">
        <f t="shared" si="484"/>
        <v>40287</v>
      </c>
    </row>
    <row r="2752">
      <c r="G2752" s="12">
        <f t="shared" ref="G2752:G2768" si="485">DATE(2012,12,31)-986</f>
        <v>40288</v>
      </c>
    </row>
    <row r="2753">
      <c r="G2753" s="12">
        <f t="shared" si="485"/>
        <v>40288</v>
      </c>
    </row>
    <row r="2754">
      <c r="G2754" s="12">
        <f t="shared" si="485"/>
        <v>40288</v>
      </c>
    </row>
    <row r="2755">
      <c r="G2755" s="12">
        <f t="shared" si="485"/>
        <v>40288</v>
      </c>
    </row>
    <row r="2756">
      <c r="G2756" s="12">
        <f t="shared" si="485"/>
        <v>40288</v>
      </c>
    </row>
    <row r="2757">
      <c r="G2757" s="12">
        <f t="shared" si="485"/>
        <v>40288</v>
      </c>
    </row>
    <row r="2758">
      <c r="G2758" s="12">
        <f t="shared" si="485"/>
        <v>40288</v>
      </c>
    </row>
    <row r="2759">
      <c r="G2759" s="12">
        <f t="shared" si="485"/>
        <v>40288</v>
      </c>
    </row>
    <row r="2760">
      <c r="G2760" s="12">
        <f t="shared" si="485"/>
        <v>40288</v>
      </c>
    </row>
    <row r="2761">
      <c r="G2761" s="12">
        <f t="shared" si="485"/>
        <v>40288</v>
      </c>
    </row>
    <row r="2762">
      <c r="G2762" s="12">
        <f t="shared" si="485"/>
        <v>40288</v>
      </c>
    </row>
    <row r="2763">
      <c r="G2763" s="12">
        <f t="shared" si="485"/>
        <v>40288</v>
      </c>
    </row>
    <row r="2764">
      <c r="G2764" s="12">
        <f t="shared" si="485"/>
        <v>40288</v>
      </c>
    </row>
    <row r="2765">
      <c r="G2765" s="12">
        <f t="shared" si="485"/>
        <v>40288</v>
      </c>
    </row>
    <row r="2766">
      <c r="G2766" s="12">
        <f t="shared" si="485"/>
        <v>40288</v>
      </c>
    </row>
    <row r="2767">
      <c r="G2767" s="12">
        <f t="shared" si="485"/>
        <v>40288</v>
      </c>
    </row>
    <row r="2768">
      <c r="G2768" s="12">
        <f t="shared" si="485"/>
        <v>40288</v>
      </c>
    </row>
    <row r="2769">
      <c r="G2769" s="12">
        <f t="shared" ref="G2769:G2772" si="486">DATE(2012,12,31)-984</f>
        <v>40290</v>
      </c>
    </row>
    <row r="2770">
      <c r="G2770" s="12">
        <f t="shared" si="486"/>
        <v>40290</v>
      </c>
    </row>
    <row r="2771">
      <c r="G2771" s="12">
        <f t="shared" si="486"/>
        <v>40290</v>
      </c>
    </row>
    <row r="2772">
      <c r="G2772" s="12">
        <f t="shared" si="486"/>
        <v>40290</v>
      </c>
    </row>
    <row r="2773">
      <c r="G2773" s="12">
        <f>DATE(2012,12,31)-983</f>
        <v>40291</v>
      </c>
    </row>
    <row r="2774">
      <c r="G2774" s="12">
        <f t="shared" ref="G2774:G2775" si="487">DATE(2012,12,31)-982</f>
        <v>40292</v>
      </c>
    </row>
    <row r="2775">
      <c r="G2775" s="12">
        <f t="shared" si="487"/>
        <v>40292</v>
      </c>
    </row>
    <row r="2776">
      <c r="G2776" s="12">
        <f t="shared" ref="G2776:G2780" si="488">DATE(2012,12,31)-981</f>
        <v>40293</v>
      </c>
    </row>
    <row r="2777">
      <c r="G2777" s="12">
        <f t="shared" si="488"/>
        <v>40293</v>
      </c>
    </row>
    <row r="2778">
      <c r="G2778" s="12">
        <f t="shared" si="488"/>
        <v>40293</v>
      </c>
    </row>
    <row r="2779">
      <c r="G2779" s="12">
        <f t="shared" si="488"/>
        <v>40293</v>
      </c>
    </row>
    <row r="2780">
      <c r="G2780" s="12">
        <f t="shared" si="488"/>
        <v>40293</v>
      </c>
    </row>
    <row r="2781">
      <c r="G2781" s="12">
        <f t="shared" ref="G2781:G2784" si="489">DATE(2012,12,31)-980</f>
        <v>40294</v>
      </c>
    </row>
    <row r="2782">
      <c r="G2782" s="12">
        <f t="shared" si="489"/>
        <v>40294</v>
      </c>
    </row>
    <row r="2783">
      <c r="G2783" s="12">
        <f t="shared" si="489"/>
        <v>40294</v>
      </c>
    </row>
    <row r="2784">
      <c r="G2784" s="12">
        <f t="shared" si="489"/>
        <v>40294</v>
      </c>
    </row>
    <row r="2785">
      <c r="G2785" s="12">
        <f t="shared" ref="G2785:G2788" si="490">DATE(2012,12,31)-979</f>
        <v>40295</v>
      </c>
    </row>
    <row r="2786">
      <c r="G2786" s="12">
        <f t="shared" si="490"/>
        <v>40295</v>
      </c>
    </row>
    <row r="2787">
      <c r="G2787" s="12">
        <f t="shared" si="490"/>
        <v>40295</v>
      </c>
    </row>
    <row r="2788">
      <c r="G2788" s="12">
        <f t="shared" si="490"/>
        <v>40295</v>
      </c>
    </row>
    <row r="2789">
      <c r="G2789" s="12">
        <f t="shared" ref="G2789:G2792" si="491">DATE(2012,12,31)-978</f>
        <v>40296</v>
      </c>
    </row>
    <row r="2790">
      <c r="G2790" s="12">
        <f t="shared" si="491"/>
        <v>40296</v>
      </c>
    </row>
    <row r="2791">
      <c r="G2791" s="12">
        <f t="shared" si="491"/>
        <v>40296</v>
      </c>
    </row>
    <row r="2792">
      <c r="G2792" s="12">
        <f t="shared" si="491"/>
        <v>40296</v>
      </c>
    </row>
    <row r="2793">
      <c r="G2793" s="12">
        <f t="shared" ref="G2793:G2799" si="492">DATE(2012,12,31)-977</f>
        <v>40297</v>
      </c>
    </row>
    <row r="2794">
      <c r="G2794" s="12">
        <f t="shared" si="492"/>
        <v>40297</v>
      </c>
    </row>
    <row r="2795">
      <c r="G2795" s="12">
        <f t="shared" si="492"/>
        <v>40297</v>
      </c>
    </row>
    <row r="2796">
      <c r="G2796" s="12">
        <f t="shared" si="492"/>
        <v>40297</v>
      </c>
    </row>
    <row r="2797">
      <c r="G2797" s="12">
        <f t="shared" si="492"/>
        <v>40297</v>
      </c>
    </row>
    <row r="2798">
      <c r="G2798" s="12">
        <f t="shared" si="492"/>
        <v>40297</v>
      </c>
    </row>
    <row r="2799">
      <c r="G2799" s="12">
        <f t="shared" si="492"/>
        <v>40297</v>
      </c>
    </row>
    <row r="2800">
      <c r="G2800" s="12">
        <f t="shared" ref="G2800:G2806" si="493">DATE(2012,12,31)-976</f>
        <v>40298</v>
      </c>
    </row>
    <row r="2801">
      <c r="G2801" s="12">
        <f t="shared" si="493"/>
        <v>40298</v>
      </c>
    </row>
    <row r="2802">
      <c r="G2802" s="12">
        <f t="shared" si="493"/>
        <v>40298</v>
      </c>
    </row>
    <row r="2803">
      <c r="G2803" s="12">
        <f t="shared" si="493"/>
        <v>40298</v>
      </c>
    </row>
    <row r="2804">
      <c r="G2804" s="12">
        <f t="shared" si="493"/>
        <v>40298</v>
      </c>
    </row>
    <row r="2805">
      <c r="G2805" s="12">
        <f t="shared" si="493"/>
        <v>40298</v>
      </c>
    </row>
    <row r="2806">
      <c r="G2806" s="12">
        <f t="shared" si="493"/>
        <v>40298</v>
      </c>
    </row>
    <row r="2807">
      <c r="G2807" s="12">
        <f t="shared" ref="G2807:G2810" si="494">DATE(2012,12,31)-975</f>
        <v>40299</v>
      </c>
    </row>
    <row r="2808">
      <c r="G2808" s="12">
        <f t="shared" si="494"/>
        <v>40299</v>
      </c>
    </row>
    <row r="2809">
      <c r="G2809" s="12">
        <f t="shared" si="494"/>
        <v>40299</v>
      </c>
    </row>
    <row r="2810">
      <c r="G2810" s="12">
        <f t="shared" si="494"/>
        <v>40299</v>
      </c>
    </row>
    <row r="2811">
      <c r="G2811" s="12">
        <f t="shared" ref="G2811:G2814" si="495">DATE(2012,12,31)-974</f>
        <v>40300</v>
      </c>
    </row>
    <row r="2812">
      <c r="G2812" s="12">
        <f t="shared" si="495"/>
        <v>40300</v>
      </c>
    </row>
    <row r="2813">
      <c r="G2813" s="12">
        <f t="shared" si="495"/>
        <v>40300</v>
      </c>
    </row>
    <row r="2814">
      <c r="G2814" s="12">
        <f t="shared" si="495"/>
        <v>40300</v>
      </c>
    </row>
    <row r="2815">
      <c r="G2815" s="12">
        <f t="shared" ref="G2815:G2819" si="496">DATE(2012,12,31)-973</f>
        <v>40301</v>
      </c>
    </row>
    <row r="2816">
      <c r="G2816" s="12">
        <f t="shared" si="496"/>
        <v>40301</v>
      </c>
    </row>
    <row r="2817">
      <c r="G2817" s="12">
        <f t="shared" si="496"/>
        <v>40301</v>
      </c>
    </row>
    <row r="2818">
      <c r="G2818" s="12">
        <f t="shared" si="496"/>
        <v>40301</v>
      </c>
    </row>
    <row r="2819">
      <c r="G2819" s="12">
        <f t="shared" si="496"/>
        <v>40301</v>
      </c>
    </row>
    <row r="2820">
      <c r="G2820" s="12">
        <f t="shared" ref="G2820:G2823" si="497">DATE(2012,12,31)-972</f>
        <v>40302</v>
      </c>
    </row>
    <row r="2821">
      <c r="G2821" s="12">
        <f t="shared" si="497"/>
        <v>40302</v>
      </c>
    </row>
    <row r="2822">
      <c r="G2822" s="12">
        <f t="shared" si="497"/>
        <v>40302</v>
      </c>
    </row>
    <row r="2823">
      <c r="G2823" s="12">
        <f t="shared" si="497"/>
        <v>40302</v>
      </c>
    </row>
    <row r="2824">
      <c r="G2824" s="12">
        <f t="shared" ref="G2824:G2830" si="498">DATE(2012,12,31)-971</f>
        <v>40303</v>
      </c>
    </row>
    <row r="2825">
      <c r="G2825" s="12">
        <f t="shared" si="498"/>
        <v>40303</v>
      </c>
    </row>
    <row r="2826">
      <c r="G2826" s="12">
        <f t="shared" si="498"/>
        <v>40303</v>
      </c>
    </row>
    <row r="2827">
      <c r="G2827" s="12">
        <f t="shared" si="498"/>
        <v>40303</v>
      </c>
    </row>
    <row r="2828">
      <c r="G2828" s="12">
        <f t="shared" si="498"/>
        <v>40303</v>
      </c>
    </row>
    <row r="2829">
      <c r="G2829" s="12">
        <f t="shared" si="498"/>
        <v>40303</v>
      </c>
    </row>
    <row r="2830">
      <c r="G2830" s="12">
        <f t="shared" si="498"/>
        <v>40303</v>
      </c>
    </row>
    <row r="2831">
      <c r="G2831" s="12">
        <f t="shared" ref="G2831:G2839" si="499">DATE(2012,12,31)-970</f>
        <v>40304</v>
      </c>
    </row>
    <row r="2832">
      <c r="G2832" s="12">
        <f t="shared" si="499"/>
        <v>40304</v>
      </c>
    </row>
    <row r="2833">
      <c r="G2833" s="12">
        <f t="shared" si="499"/>
        <v>40304</v>
      </c>
    </row>
    <row r="2834">
      <c r="G2834" s="12">
        <f t="shared" si="499"/>
        <v>40304</v>
      </c>
    </row>
    <row r="2835">
      <c r="G2835" s="12">
        <f t="shared" si="499"/>
        <v>40304</v>
      </c>
    </row>
    <row r="2836">
      <c r="G2836" s="12">
        <f t="shared" si="499"/>
        <v>40304</v>
      </c>
    </row>
    <row r="2837">
      <c r="G2837" s="12">
        <f t="shared" si="499"/>
        <v>40304</v>
      </c>
    </row>
    <row r="2838">
      <c r="G2838" s="12">
        <f t="shared" si="499"/>
        <v>40304</v>
      </c>
    </row>
    <row r="2839">
      <c r="G2839" s="12">
        <f t="shared" si="499"/>
        <v>40304</v>
      </c>
    </row>
    <row r="2840">
      <c r="G2840" s="12">
        <f t="shared" ref="G2840:G2848" si="500">DATE(2012,12,31)-969</f>
        <v>40305</v>
      </c>
    </row>
    <row r="2841">
      <c r="G2841" s="12">
        <f t="shared" si="500"/>
        <v>40305</v>
      </c>
    </row>
    <row r="2842">
      <c r="G2842" s="12">
        <f t="shared" si="500"/>
        <v>40305</v>
      </c>
    </row>
    <row r="2843">
      <c r="G2843" s="12">
        <f t="shared" si="500"/>
        <v>40305</v>
      </c>
    </row>
    <row r="2844">
      <c r="G2844" s="12">
        <f t="shared" si="500"/>
        <v>40305</v>
      </c>
    </row>
    <row r="2845">
      <c r="G2845" s="12">
        <f t="shared" si="500"/>
        <v>40305</v>
      </c>
    </row>
    <row r="2846">
      <c r="G2846" s="12">
        <f t="shared" si="500"/>
        <v>40305</v>
      </c>
    </row>
    <row r="2847">
      <c r="G2847" s="12">
        <f t="shared" si="500"/>
        <v>40305</v>
      </c>
    </row>
    <row r="2848">
      <c r="G2848" s="12">
        <f t="shared" si="500"/>
        <v>40305</v>
      </c>
    </row>
    <row r="2849">
      <c r="G2849" s="12">
        <f t="shared" ref="G2849:G2850" si="501">DATE(2012,12,31)-968</f>
        <v>40306</v>
      </c>
    </row>
    <row r="2850">
      <c r="G2850" s="12">
        <f t="shared" si="501"/>
        <v>40306</v>
      </c>
    </row>
    <row r="2851">
      <c r="G2851" s="12">
        <f t="shared" ref="G2851:G2854" si="502">DATE(2012,12,31)-967</f>
        <v>40307</v>
      </c>
    </row>
    <row r="2852">
      <c r="G2852" s="12">
        <f t="shared" si="502"/>
        <v>40307</v>
      </c>
    </row>
    <row r="2853">
      <c r="G2853" s="12">
        <f t="shared" si="502"/>
        <v>40307</v>
      </c>
    </row>
    <row r="2854">
      <c r="G2854" s="12">
        <f t="shared" si="502"/>
        <v>40307</v>
      </c>
    </row>
    <row r="2855">
      <c r="G2855" s="12">
        <f t="shared" ref="G2855:G2860" si="503">DATE(2012,12,31)-966</f>
        <v>40308</v>
      </c>
    </row>
    <row r="2856">
      <c r="G2856" s="12">
        <f t="shared" si="503"/>
        <v>40308</v>
      </c>
    </row>
    <row r="2857">
      <c r="G2857" s="12">
        <f t="shared" si="503"/>
        <v>40308</v>
      </c>
    </row>
    <row r="2858">
      <c r="G2858" s="12">
        <f t="shared" si="503"/>
        <v>40308</v>
      </c>
    </row>
    <row r="2859">
      <c r="G2859" s="12">
        <f t="shared" si="503"/>
        <v>40308</v>
      </c>
    </row>
    <row r="2860">
      <c r="G2860" s="12">
        <f t="shared" si="503"/>
        <v>40308</v>
      </c>
    </row>
    <row r="2861">
      <c r="G2861" s="12">
        <f t="shared" ref="G2861:G2873" si="504">DATE(2012,12,31)-965</f>
        <v>40309</v>
      </c>
    </row>
    <row r="2862">
      <c r="G2862" s="12">
        <f t="shared" si="504"/>
        <v>40309</v>
      </c>
    </row>
    <row r="2863">
      <c r="G2863" s="12">
        <f t="shared" si="504"/>
        <v>40309</v>
      </c>
    </row>
    <row r="2864">
      <c r="G2864" s="12">
        <f t="shared" si="504"/>
        <v>40309</v>
      </c>
    </row>
    <row r="2865">
      <c r="G2865" s="12">
        <f t="shared" si="504"/>
        <v>40309</v>
      </c>
    </row>
    <row r="2866">
      <c r="G2866" s="12">
        <f t="shared" si="504"/>
        <v>40309</v>
      </c>
    </row>
    <row r="2867">
      <c r="G2867" s="12">
        <f t="shared" si="504"/>
        <v>40309</v>
      </c>
    </row>
    <row r="2868">
      <c r="G2868" s="12">
        <f t="shared" si="504"/>
        <v>40309</v>
      </c>
    </row>
    <row r="2869">
      <c r="G2869" s="12">
        <f t="shared" si="504"/>
        <v>40309</v>
      </c>
    </row>
    <row r="2870">
      <c r="G2870" s="12">
        <f t="shared" si="504"/>
        <v>40309</v>
      </c>
    </row>
    <row r="2871">
      <c r="G2871" s="12">
        <f t="shared" si="504"/>
        <v>40309</v>
      </c>
    </row>
    <row r="2872">
      <c r="G2872" s="12">
        <f t="shared" si="504"/>
        <v>40309</v>
      </c>
    </row>
    <row r="2873">
      <c r="G2873" s="12">
        <f t="shared" si="504"/>
        <v>40309</v>
      </c>
    </row>
    <row r="2874">
      <c r="G2874" s="12">
        <f t="shared" ref="G2874:G2881" si="505">DATE(2012,12,31)-964</f>
        <v>40310</v>
      </c>
    </row>
    <row r="2875">
      <c r="G2875" s="12">
        <f t="shared" si="505"/>
        <v>40310</v>
      </c>
    </row>
    <row r="2876">
      <c r="G2876" s="12">
        <f t="shared" si="505"/>
        <v>40310</v>
      </c>
    </row>
    <row r="2877">
      <c r="G2877" s="12">
        <f t="shared" si="505"/>
        <v>40310</v>
      </c>
    </row>
    <row r="2878">
      <c r="G2878" s="12">
        <f t="shared" si="505"/>
        <v>40310</v>
      </c>
    </row>
    <row r="2879">
      <c r="G2879" s="12">
        <f t="shared" si="505"/>
        <v>40310</v>
      </c>
    </row>
    <row r="2880">
      <c r="G2880" s="12">
        <f t="shared" si="505"/>
        <v>40310</v>
      </c>
    </row>
    <row r="2881">
      <c r="G2881" s="12">
        <f t="shared" si="505"/>
        <v>40310</v>
      </c>
    </row>
    <row r="2882">
      <c r="G2882" s="12">
        <f t="shared" ref="G2882:G2887" si="506">DATE(2012,12,31)-963</f>
        <v>40311</v>
      </c>
    </row>
    <row r="2883">
      <c r="G2883" s="12">
        <f t="shared" si="506"/>
        <v>40311</v>
      </c>
    </row>
    <row r="2884">
      <c r="G2884" s="12">
        <f t="shared" si="506"/>
        <v>40311</v>
      </c>
    </row>
    <row r="2885">
      <c r="G2885" s="12">
        <f t="shared" si="506"/>
        <v>40311</v>
      </c>
    </row>
    <row r="2886">
      <c r="G2886" s="12">
        <f t="shared" si="506"/>
        <v>40311</v>
      </c>
    </row>
    <row r="2887">
      <c r="G2887" s="12">
        <f t="shared" si="506"/>
        <v>40311</v>
      </c>
    </row>
    <row r="2888">
      <c r="G2888" s="12">
        <f t="shared" ref="G2888:G2898" si="507">DATE(2012,12,31)-962</f>
        <v>40312</v>
      </c>
    </row>
    <row r="2889">
      <c r="G2889" s="12">
        <f t="shared" si="507"/>
        <v>40312</v>
      </c>
    </row>
    <row r="2890">
      <c r="G2890" s="12">
        <f t="shared" si="507"/>
        <v>40312</v>
      </c>
    </row>
    <row r="2891">
      <c r="G2891" s="12">
        <f t="shared" si="507"/>
        <v>40312</v>
      </c>
    </row>
    <row r="2892">
      <c r="G2892" s="12">
        <f t="shared" si="507"/>
        <v>40312</v>
      </c>
    </row>
    <row r="2893">
      <c r="G2893" s="12">
        <f t="shared" si="507"/>
        <v>40312</v>
      </c>
    </row>
    <row r="2894">
      <c r="G2894" s="12">
        <f t="shared" si="507"/>
        <v>40312</v>
      </c>
    </row>
    <row r="2895">
      <c r="G2895" s="12">
        <f t="shared" si="507"/>
        <v>40312</v>
      </c>
    </row>
    <row r="2896">
      <c r="G2896" s="12">
        <f t="shared" si="507"/>
        <v>40312</v>
      </c>
    </row>
    <row r="2897">
      <c r="G2897" s="12">
        <f t="shared" si="507"/>
        <v>40312</v>
      </c>
    </row>
    <row r="2898">
      <c r="G2898" s="12">
        <f t="shared" si="507"/>
        <v>40312</v>
      </c>
    </row>
    <row r="2899">
      <c r="G2899" s="12">
        <f t="shared" ref="G2899:G2905" si="508">DATE(2012,12,31)-961</f>
        <v>40313</v>
      </c>
    </row>
    <row r="2900">
      <c r="G2900" s="12">
        <f t="shared" si="508"/>
        <v>40313</v>
      </c>
    </row>
    <row r="2901">
      <c r="G2901" s="12">
        <f t="shared" si="508"/>
        <v>40313</v>
      </c>
    </row>
    <row r="2902">
      <c r="G2902" s="12">
        <f t="shared" si="508"/>
        <v>40313</v>
      </c>
    </row>
    <row r="2903">
      <c r="G2903" s="12">
        <f t="shared" si="508"/>
        <v>40313</v>
      </c>
    </row>
    <row r="2904">
      <c r="G2904" s="12">
        <f t="shared" si="508"/>
        <v>40313</v>
      </c>
    </row>
    <row r="2905">
      <c r="G2905" s="12">
        <f t="shared" si="508"/>
        <v>40313</v>
      </c>
    </row>
    <row r="2906">
      <c r="G2906" s="12">
        <f t="shared" ref="G2906:G2907" si="509">DATE(2012,12,31)-960</f>
        <v>40314</v>
      </c>
    </row>
    <row r="2907">
      <c r="G2907" s="12">
        <f t="shared" si="509"/>
        <v>40314</v>
      </c>
    </row>
    <row r="2908">
      <c r="G2908" s="12">
        <f t="shared" ref="G2908:G2914" si="510">DATE(2012,12,31)-959</f>
        <v>40315</v>
      </c>
    </row>
    <row r="2909">
      <c r="G2909" s="12">
        <f t="shared" si="510"/>
        <v>40315</v>
      </c>
    </row>
    <row r="2910">
      <c r="G2910" s="12">
        <f t="shared" si="510"/>
        <v>40315</v>
      </c>
    </row>
    <row r="2911">
      <c r="G2911" s="12">
        <f t="shared" si="510"/>
        <v>40315</v>
      </c>
    </row>
    <row r="2912">
      <c r="G2912" s="12">
        <f t="shared" si="510"/>
        <v>40315</v>
      </c>
    </row>
    <row r="2913">
      <c r="G2913" s="12">
        <f t="shared" si="510"/>
        <v>40315</v>
      </c>
    </row>
    <row r="2914">
      <c r="G2914" s="12">
        <f t="shared" si="510"/>
        <v>40315</v>
      </c>
    </row>
    <row r="2915">
      <c r="G2915" s="12">
        <f t="shared" ref="G2915:G2916" si="511">DATE(2012,12,31)-958</f>
        <v>40316</v>
      </c>
    </row>
    <row r="2916">
      <c r="G2916" s="12">
        <f t="shared" si="511"/>
        <v>40316</v>
      </c>
    </row>
    <row r="2917">
      <c r="G2917" s="12">
        <f t="shared" ref="G2917:G2923" si="512">DATE(2012,12,31)-957</f>
        <v>40317</v>
      </c>
    </row>
    <row r="2918">
      <c r="G2918" s="12">
        <f t="shared" si="512"/>
        <v>40317</v>
      </c>
    </row>
    <row r="2919">
      <c r="G2919" s="12">
        <f t="shared" si="512"/>
        <v>40317</v>
      </c>
    </row>
    <row r="2920">
      <c r="G2920" s="12">
        <f t="shared" si="512"/>
        <v>40317</v>
      </c>
    </row>
    <row r="2921">
      <c r="G2921" s="12">
        <f t="shared" si="512"/>
        <v>40317</v>
      </c>
    </row>
    <row r="2922">
      <c r="G2922" s="12">
        <f t="shared" si="512"/>
        <v>40317</v>
      </c>
    </row>
    <row r="2923">
      <c r="G2923" s="12">
        <f t="shared" si="512"/>
        <v>40317</v>
      </c>
    </row>
    <row r="2924">
      <c r="G2924" s="12">
        <f t="shared" ref="G2924:G2932" si="513">DATE(2012,12,31)-956</f>
        <v>40318</v>
      </c>
    </row>
    <row r="2925">
      <c r="G2925" s="12">
        <f t="shared" si="513"/>
        <v>40318</v>
      </c>
    </row>
    <row r="2926">
      <c r="G2926" s="12">
        <f t="shared" si="513"/>
        <v>40318</v>
      </c>
    </row>
    <row r="2927">
      <c r="G2927" s="12">
        <f t="shared" si="513"/>
        <v>40318</v>
      </c>
    </row>
    <row r="2928">
      <c r="G2928" s="12">
        <f t="shared" si="513"/>
        <v>40318</v>
      </c>
    </row>
    <row r="2929">
      <c r="G2929" s="12">
        <f t="shared" si="513"/>
        <v>40318</v>
      </c>
    </row>
    <row r="2930">
      <c r="G2930" s="12">
        <f t="shared" si="513"/>
        <v>40318</v>
      </c>
    </row>
    <row r="2931">
      <c r="G2931" s="12">
        <f t="shared" si="513"/>
        <v>40318</v>
      </c>
    </row>
    <row r="2932">
      <c r="G2932" s="12">
        <f t="shared" si="513"/>
        <v>40318</v>
      </c>
    </row>
    <row r="2933">
      <c r="G2933" s="12">
        <f t="shared" ref="G2933:G2942" si="514">DATE(2012,12,31)-955</f>
        <v>40319</v>
      </c>
    </row>
    <row r="2934">
      <c r="G2934" s="12">
        <f t="shared" si="514"/>
        <v>40319</v>
      </c>
    </row>
    <row r="2935">
      <c r="G2935" s="12">
        <f t="shared" si="514"/>
        <v>40319</v>
      </c>
    </row>
    <row r="2936">
      <c r="G2936" s="12">
        <f t="shared" si="514"/>
        <v>40319</v>
      </c>
    </row>
    <row r="2937">
      <c r="G2937" s="12">
        <f t="shared" si="514"/>
        <v>40319</v>
      </c>
    </row>
    <row r="2938">
      <c r="G2938" s="12">
        <f t="shared" si="514"/>
        <v>40319</v>
      </c>
    </row>
    <row r="2939">
      <c r="G2939" s="12">
        <f t="shared" si="514"/>
        <v>40319</v>
      </c>
    </row>
    <row r="2940">
      <c r="G2940" s="12">
        <f t="shared" si="514"/>
        <v>40319</v>
      </c>
    </row>
    <row r="2941">
      <c r="G2941" s="12">
        <f t="shared" si="514"/>
        <v>40319</v>
      </c>
    </row>
    <row r="2942">
      <c r="G2942" s="12">
        <f t="shared" si="514"/>
        <v>40319</v>
      </c>
    </row>
    <row r="2943">
      <c r="G2943" s="12">
        <f t="shared" ref="G2943:G2944" si="515">DATE(2012,12,31)-954</f>
        <v>40320</v>
      </c>
    </row>
    <row r="2944">
      <c r="G2944" s="12">
        <f t="shared" si="515"/>
        <v>40320</v>
      </c>
    </row>
    <row r="2945">
      <c r="G2945" s="12">
        <f t="shared" ref="G2945:G2955" si="516">DATE(2012,12,31)-953</f>
        <v>40321</v>
      </c>
    </row>
    <row r="2946">
      <c r="G2946" s="12">
        <f t="shared" si="516"/>
        <v>40321</v>
      </c>
    </row>
    <row r="2947">
      <c r="G2947" s="12">
        <f t="shared" si="516"/>
        <v>40321</v>
      </c>
    </row>
    <row r="2948">
      <c r="G2948" s="12">
        <f t="shared" si="516"/>
        <v>40321</v>
      </c>
    </row>
    <row r="2949">
      <c r="G2949" s="12">
        <f t="shared" si="516"/>
        <v>40321</v>
      </c>
    </row>
    <row r="2950">
      <c r="G2950" s="12">
        <f t="shared" si="516"/>
        <v>40321</v>
      </c>
    </row>
    <row r="2951">
      <c r="G2951" s="12">
        <f t="shared" si="516"/>
        <v>40321</v>
      </c>
    </row>
    <row r="2952">
      <c r="G2952" s="12">
        <f t="shared" si="516"/>
        <v>40321</v>
      </c>
    </row>
    <row r="2953">
      <c r="G2953" s="12">
        <f t="shared" si="516"/>
        <v>40321</v>
      </c>
    </row>
    <row r="2954">
      <c r="G2954" s="12">
        <f t="shared" si="516"/>
        <v>40321</v>
      </c>
    </row>
    <row r="2955">
      <c r="G2955" s="12">
        <f t="shared" si="516"/>
        <v>40321</v>
      </c>
    </row>
    <row r="2956">
      <c r="G2956" s="12">
        <f t="shared" ref="G2956:G2961" si="517">DATE(2012,12,31)-952</f>
        <v>40322</v>
      </c>
    </row>
    <row r="2957">
      <c r="G2957" s="12">
        <f t="shared" si="517"/>
        <v>40322</v>
      </c>
    </row>
    <row r="2958">
      <c r="G2958" s="12">
        <f t="shared" si="517"/>
        <v>40322</v>
      </c>
    </row>
    <row r="2959">
      <c r="G2959" s="12">
        <f t="shared" si="517"/>
        <v>40322</v>
      </c>
    </row>
    <row r="2960">
      <c r="G2960" s="12">
        <f t="shared" si="517"/>
        <v>40322</v>
      </c>
    </row>
    <row r="2961">
      <c r="G2961" s="12">
        <f t="shared" si="517"/>
        <v>40322</v>
      </c>
    </row>
    <row r="2962">
      <c r="G2962" s="12">
        <f t="shared" ref="G2962:G2973" si="518">DATE(2012,12,31)-951</f>
        <v>40323</v>
      </c>
    </row>
    <row r="2963">
      <c r="G2963" s="12">
        <f t="shared" si="518"/>
        <v>40323</v>
      </c>
    </row>
    <row r="2964">
      <c r="G2964" s="12">
        <f t="shared" si="518"/>
        <v>40323</v>
      </c>
    </row>
    <row r="2965">
      <c r="G2965" s="12">
        <f t="shared" si="518"/>
        <v>40323</v>
      </c>
    </row>
    <row r="2966">
      <c r="G2966" s="12">
        <f t="shared" si="518"/>
        <v>40323</v>
      </c>
    </row>
    <row r="2967">
      <c r="G2967" s="12">
        <f t="shared" si="518"/>
        <v>40323</v>
      </c>
    </row>
    <row r="2968">
      <c r="G2968" s="12">
        <f t="shared" si="518"/>
        <v>40323</v>
      </c>
    </row>
    <row r="2969">
      <c r="G2969" s="12">
        <f t="shared" si="518"/>
        <v>40323</v>
      </c>
    </row>
    <row r="2970">
      <c r="G2970" s="12">
        <f t="shared" si="518"/>
        <v>40323</v>
      </c>
    </row>
    <row r="2971">
      <c r="G2971" s="12">
        <f t="shared" si="518"/>
        <v>40323</v>
      </c>
    </row>
    <row r="2972">
      <c r="G2972" s="12">
        <f t="shared" si="518"/>
        <v>40323</v>
      </c>
    </row>
    <row r="2973">
      <c r="G2973" s="12">
        <f t="shared" si="518"/>
        <v>40323</v>
      </c>
    </row>
    <row r="2974">
      <c r="G2974" s="12">
        <f t="shared" ref="G2974:G2980" si="519">DATE(2012,12,31)-950</f>
        <v>40324</v>
      </c>
    </row>
    <row r="2975">
      <c r="G2975" s="12">
        <f t="shared" si="519"/>
        <v>40324</v>
      </c>
    </row>
    <row r="2976">
      <c r="G2976" s="12">
        <f t="shared" si="519"/>
        <v>40324</v>
      </c>
    </row>
    <row r="2977">
      <c r="G2977" s="12">
        <f t="shared" si="519"/>
        <v>40324</v>
      </c>
    </row>
    <row r="2978">
      <c r="G2978" s="12">
        <f t="shared" si="519"/>
        <v>40324</v>
      </c>
    </row>
    <row r="2979">
      <c r="G2979" s="12">
        <f t="shared" si="519"/>
        <v>40324</v>
      </c>
    </row>
    <row r="2980">
      <c r="G2980" s="12">
        <f t="shared" si="519"/>
        <v>40324</v>
      </c>
    </row>
    <row r="2981">
      <c r="G2981" s="12">
        <f t="shared" ref="G2981:G2984" si="520">DATE(2012,12,31)-949</f>
        <v>40325</v>
      </c>
    </row>
    <row r="2982">
      <c r="G2982" s="12">
        <f t="shared" si="520"/>
        <v>40325</v>
      </c>
    </row>
    <row r="2983">
      <c r="G2983" s="12">
        <f t="shared" si="520"/>
        <v>40325</v>
      </c>
    </row>
    <row r="2984">
      <c r="G2984" s="12">
        <f t="shared" si="520"/>
        <v>40325</v>
      </c>
    </row>
    <row r="2985">
      <c r="G2985" s="12">
        <f t="shared" ref="G2985:G2990" si="521">DATE(2012,12,31)-948</f>
        <v>40326</v>
      </c>
    </row>
    <row r="2986">
      <c r="G2986" s="12">
        <f t="shared" si="521"/>
        <v>40326</v>
      </c>
    </row>
    <row r="2987">
      <c r="G2987" s="12">
        <f t="shared" si="521"/>
        <v>40326</v>
      </c>
    </row>
    <row r="2988">
      <c r="G2988" s="12">
        <f t="shared" si="521"/>
        <v>40326</v>
      </c>
    </row>
    <row r="2989">
      <c r="G2989" s="12">
        <f t="shared" si="521"/>
        <v>40326</v>
      </c>
    </row>
    <row r="2990">
      <c r="G2990" s="12">
        <f t="shared" si="521"/>
        <v>40326</v>
      </c>
    </row>
    <row r="2991">
      <c r="G2991" s="12">
        <f t="shared" ref="G2991:G2995" si="522">DATE(2012,12,31)-947</f>
        <v>40327</v>
      </c>
    </row>
    <row r="2992">
      <c r="G2992" s="12">
        <f t="shared" si="522"/>
        <v>40327</v>
      </c>
    </row>
    <row r="2993">
      <c r="G2993" s="12">
        <f t="shared" si="522"/>
        <v>40327</v>
      </c>
    </row>
    <row r="2994">
      <c r="G2994" s="12">
        <f t="shared" si="522"/>
        <v>40327</v>
      </c>
    </row>
    <row r="2995">
      <c r="G2995" s="12">
        <f t="shared" si="522"/>
        <v>40327</v>
      </c>
    </row>
    <row r="2996">
      <c r="G2996" s="12">
        <f t="shared" ref="G2996:G3000" si="523">DATE(2012,12,31)-946</f>
        <v>40328</v>
      </c>
    </row>
    <row r="2997">
      <c r="G2997" s="12">
        <f t="shared" si="523"/>
        <v>40328</v>
      </c>
    </row>
    <row r="2998">
      <c r="G2998" s="12">
        <f t="shared" si="523"/>
        <v>40328</v>
      </c>
    </row>
    <row r="2999">
      <c r="G2999" s="12">
        <f t="shared" si="523"/>
        <v>40328</v>
      </c>
    </row>
    <row r="3000">
      <c r="G3000" s="12">
        <f t="shared" si="523"/>
        <v>40328</v>
      </c>
    </row>
    <row r="3001">
      <c r="G3001" s="12">
        <f t="shared" ref="G3001:G3005" si="524">DATE(2012,12,31)-945</f>
        <v>40329</v>
      </c>
    </row>
    <row r="3002">
      <c r="G3002" s="12">
        <f t="shared" si="524"/>
        <v>40329</v>
      </c>
    </row>
    <row r="3003">
      <c r="G3003" s="12">
        <f t="shared" si="524"/>
        <v>40329</v>
      </c>
    </row>
    <row r="3004">
      <c r="G3004" s="12">
        <f t="shared" si="524"/>
        <v>40329</v>
      </c>
    </row>
    <row r="3005">
      <c r="G3005" s="12">
        <f t="shared" si="524"/>
        <v>40329</v>
      </c>
    </row>
    <row r="3006">
      <c r="G3006" s="12">
        <f t="shared" ref="G3006:G3010" si="525">DATE(2012,12,31)-944</f>
        <v>40330</v>
      </c>
    </row>
    <row r="3007">
      <c r="G3007" s="12">
        <f t="shared" si="525"/>
        <v>40330</v>
      </c>
    </row>
    <row r="3008">
      <c r="G3008" s="12">
        <f t="shared" si="525"/>
        <v>40330</v>
      </c>
    </row>
    <row r="3009">
      <c r="G3009" s="12">
        <f t="shared" si="525"/>
        <v>40330</v>
      </c>
    </row>
    <row r="3010">
      <c r="G3010" s="12">
        <f t="shared" si="525"/>
        <v>40330</v>
      </c>
    </row>
    <row r="3011">
      <c r="G3011" s="12">
        <f t="shared" ref="G3011:G3014" si="526">DATE(2012,12,31)-943</f>
        <v>40331</v>
      </c>
    </row>
    <row r="3012">
      <c r="G3012" s="12">
        <f t="shared" si="526"/>
        <v>40331</v>
      </c>
    </row>
    <row r="3013">
      <c r="G3013" s="12">
        <f t="shared" si="526"/>
        <v>40331</v>
      </c>
    </row>
    <row r="3014">
      <c r="G3014" s="12">
        <f t="shared" si="526"/>
        <v>40331</v>
      </c>
    </row>
    <row r="3015">
      <c r="G3015" s="12">
        <f t="shared" ref="G3015:G3019" si="527">DATE(2012,12,31)-942</f>
        <v>40332</v>
      </c>
    </row>
    <row r="3016">
      <c r="G3016" s="12">
        <f t="shared" si="527"/>
        <v>40332</v>
      </c>
    </row>
    <row r="3017">
      <c r="G3017" s="12">
        <f t="shared" si="527"/>
        <v>40332</v>
      </c>
    </row>
    <row r="3018">
      <c r="G3018" s="12">
        <f t="shared" si="527"/>
        <v>40332</v>
      </c>
    </row>
    <row r="3019">
      <c r="G3019" s="12">
        <f t="shared" si="527"/>
        <v>40332</v>
      </c>
    </row>
    <row r="3020">
      <c r="G3020" s="12">
        <f t="shared" ref="G3020:G3023" si="528">DATE(2012,12,31)-941</f>
        <v>40333</v>
      </c>
    </row>
    <row r="3021">
      <c r="G3021" s="12">
        <f t="shared" si="528"/>
        <v>40333</v>
      </c>
    </row>
    <row r="3022">
      <c r="G3022" s="12">
        <f t="shared" si="528"/>
        <v>40333</v>
      </c>
    </row>
    <row r="3023">
      <c r="G3023" s="12">
        <f t="shared" si="528"/>
        <v>40333</v>
      </c>
    </row>
    <row r="3024">
      <c r="G3024" s="12">
        <f t="shared" ref="G3024:G3029" si="529">DATE(2012,12,31)-940</f>
        <v>40334</v>
      </c>
    </row>
    <row r="3025">
      <c r="G3025" s="12">
        <f t="shared" si="529"/>
        <v>40334</v>
      </c>
    </row>
    <row r="3026">
      <c r="G3026" s="12">
        <f t="shared" si="529"/>
        <v>40334</v>
      </c>
    </row>
    <row r="3027">
      <c r="G3027" s="12">
        <f t="shared" si="529"/>
        <v>40334</v>
      </c>
    </row>
    <row r="3028">
      <c r="G3028" s="12">
        <f t="shared" si="529"/>
        <v>40334</v>
      </c>
    </row>
    <row r="3029">
      <c r="G3029" s="12">
        <f t="shared" si="529"/>
        <v>40334</v>
      </c>
    </row>
    <row r="3030">
      <c r="G3030" s="12">
        <f t="shared" ref="G3030:G3034" si="530">DATE(2012,12,31)-939</f>
        <v>40335</v>
      </c>
    </row>
    <row r="3031">
      <c r="G3031" s="12">
        <f t="shared" si="530"/>
        <v>40335</v>
      </c>
    </row>
    <row r="3032">
      <c r="G3032" s="12">
        <f t="shared" si="530"/>
        <v>40335</v>
      </c>
    </row>
    <row r="3033">
      <c r="G3033" s="12">
        <f t="shared" si="530"/>
        <v>40335</v>
      </c>
    </row>
    <row r="3034">
      <c r="G3034" s="12">
        <f t="shared" si="530"/>
        <v>40335</v>
      </c>
    </row>
    <row r="3035">
      <c r="G3035" s="12">
        <f t="shared" ref="G3035:G3041" si="531">DATE(2012,12,31)-938</f>
        <v>40336</v>
      </c>
    </row>
    <row r="3036">
      <c r="G3036" s="12">
        <f t="shared" si="531"/>
        <v>40336</v>
      </c>
    </row>
    <row r="3037">
      <c r="G3037" s="12">
        <f t="shared" si="531"/>
        <v>40336</v>
      </c>
    </row>
    <row r="3038">
      <c r="G3038" s="12">
        <f t="shared" si="531"/>
        <v>40336</v>
      </c>
    </row>
    <row r="3039">
      <c r="G3039" s="12">
        <f t="shared" si="531"/>
        <v>40336</v>
      </c>
    </row>
    <row r="3040">
      <c r="G3040" s="12">
        <f t="shared" si="531"/>
        <v>40336</v>
      </c>
    </row>
    <row r="3041">
      <c r="G3041" s="12">
        <f t="shared" si="531"/>
        <v>40336</v>
      </c>
    </row>
    <row r="3042">
      <c r="G3042" s="12">
        <f t="shared" ref="G3042:G3050" si="532">DATE(2012,12,31)-937</f>
        <v>40337</v>
      </c>
    </row>
    <row r="3043">
      <c r="G3043" s="12">
        <f t="shared" si="532"/>
        <v>40337</v>
      </c>
    </row>
    <row r="3044">
      <c r="G3044" s="12">
        <f t="shared" si="532"/>
        <v>40337</v>
      </c>
    </row>
    <row r="3045">
      <c r="G3045" s="12">
        <f t="shared" si="532"/>
        <v>40337</v>
      </c>
    </row>
    <row r="3046">
      <c r="G3046" s="12">
        <f t="shared" si="532"/>
        <v>40337</v>
      </c>
    </row>
    <row r="3047">
      <c r="G3047" s="12">
        <f t="shared" si="532"/>
        <v>40337</v>
      </c>
    </row>
    <row r="3048">
      <c r="G3048" s="12">
        <f t="shared" si="532"/>
        <v>40337</v>
      </c>
    </row>
    <row r="3049">
      <c r="G3049" s="12">
        <f t="shared" si="532"/>
        <v>40337</v>
      </c>
    </row>
    <row r="3050">
      <c r="G3050" s="12">
        <f t="shared" si="532"/>
        <v>40337</v>
      </c>
    </row>
    <row r="3051">
      <c r="G3051" s="12">
        <f t="shared" ref="G3051:G3059" si="533">DATE(2012,12,31)-936</f>
        <v>40338</v>
      </c>
    </row>
    <row r="3052">
      <c r="G3052" s="12">
        <f t="shared" si="533"/>
        <v>40338</v>
      </c>
    </row>
    <row r="3053">
      <c r="G3053" s="12">
        <f t="shared" si="533"/>
        <v>40338</v>
      </c>
    </row>
    <row r="3054">
      <c r="G3054" s="12">
        <f t="shared" si="533"/>
        <v>40338</v>
      </c>
    </row>
    <row r="3055">
      <c r="G3055" s="12">
        <f t="shared" si="533"/>
        <v>40338</v>
      </c>
    </row>
    <row r="3056">
      <c r="G3056" s="12">
        <f t="shared" si="533"/>
        <v>40338</v>
      </c>
    </row>
    <row r="3057">
      <c r="G3057" s="12">
        <f t="shared" si="533"/>
        <v>40338</v>
      </c>
    </row>
    <row r="3058">
      <c r="G3058" s="12">
        <f t="shared" si="533"/>
        <v>40338</v>
      </c>
    </row>
    <row r="3059">
      <c r="G3059" s="12">
        <f t="shared" si="533"/>
        <v>40338</v>
      </c>
    </row>
    <row r="3060">
      <c r="G3060" s="12">
        <f t="shared" ref="G3060:G3066" si="534">DATE(2012,12,31)-935</f>
        <v>40339</v>
      </c>
    </row>
    <row r="3061">
      <c r="G3061" s="12">
        <f t="shared" si="534"/>
        <v>40339</v>
      </c>
    </row>
    <row r="3062">
      <c r="G3062" s="12">
        <f t="shared" si="534"/>
        <v>40339</v>
      </c>
    </row>
    <row r="3063">
      <c r="G3063" s="12">
        <f t="shared" si="534"/>
        <v>40339</v>
      </c>
    </row>
    <row r="3064">
      <c r="G3064" s="12">
        <f t="shared" si="534"/>
        <v>40339</v>
      </c>
    </row>
    <row r="3065">
      <c r="G3065" s="12">
        <f t="shared" si="534"/>
        <v>40339</v>
      </c>
    </row>
    <row r="3066">
      <c r="G3066" s="12">
        <f t="shared" si="534"/>
        <v>40339</v>
      </c>
    </row>
    <row r="3067">
      <c r="G3067" s="12">
        <f>DATE(2012,12,31)-934</f>
        <v>40340</v>
      </c>
    </row>
    <row r="3068">
      <c r="G3068" s="12">
        <f t="shared" ref="G3068:G3072" si="535">DATE(2012,12,31)-932</f>
        <v>40342</v>
      </c>
    </row>
    <row r="3069">
      <c r="G3069" s="12">
        <f t="shared" si="535"/>
        <v>40342</v>
      </c>
    </row>
    <row r="3070">
      <c r="G3070" s="12">
        <f t="shared" si="535"/>
        <v>40342</v>
      </c>
    </row>
    <row r="3071">
      <c r="G3071" s="12">
        <f t="shared" si="535"/>
        <v>40342</v>
      </c>
    </row>
    <row r="3072">
      <c r="G3072" s="12">
        <f t="shared" si="535"/>
        <v>40342</v>
      </c>
    </row>
    <row r="3073">
      <c r="G3073" s="12">
        <f t="shared" ref="G3073:G3080" si="536">DATE(2012,12,31)-931</f>
        <v>40343</v>
      </c>
    </row>
    <row r="3074">
      <c r="G3074" s="12">
        <f t="shared" si="536"/>
        <v>40343</v>
      </c>
    </row>
    <row r="3075">
      <c r="G3075" s="12">
        <f t="shared" si="536"/>
        <v>40343</v>
      </c>
    </row>
    <row r="3076">
      <c r="G3076" s="12">
        <f t="shared" si="536"/>
        <v>40343</v>
      </c>
    </row>
    <row r="3077">
      <c r="G3077" s="12">
        <f t="shared" si="536"/>
        <v>40343</v>
      </c>
    </row>
    <row r="3078">
      <c r="G3078" s="12">
        <f t="shared" si="536"/>
        <v>40343</v>
      </c>
    </row>
    <row r="3079">
      <c r="G3079" s="12">
        <f t="shared" si="536"/>
        <v>40343</v>
      </c>
    </row>
    <row r="3080">
      <c r="G3080" s="12">
        <f t="shared" si="536"/>
        <v>40343</v>
      </c>
    </row>
    <row r="3081">
      <c r="G3081" s="12">
        <f t="shared" ref="G3081:G3088" si="537">DATE(2012,12,31)-930</f>
        <v>40344</v>
      </c>
    </row>
    <row r="3082">
      <c r="G3082" s="12">
        <f t="shared" si="537"/>
        <v>40344</v>
      </c>
    </row>
    <row r="3083">
      <c r="G3083" s="12">
        <f t="shared" si="537"/>
        <v>40344</v>
      </c>
    </row>
    <row r="3084">
      <c r="G3084" s="12">
        <f t="shared" si="537"/>
        <v>40344</v>
      </c>
    </row>
    <row r="3085">
      <c r="G3085" s="12">
        <f t="shared" si="537"/>
        <v>40344</v>
      </c>
    </row>
    <row r="3086">
      <c r="G3086" s="12">
        <f t="shared" si="537"/>
        <v>40344</v>
      </c>
    </row>
    <row r="3087">
      <c r="G3087" s="12">
        <f t="shared" si="537"/>
        <v>40344</v>
      </c>
    </row>
    <row r="3088">
      <c r="G3088" s="12">
        <f t="shared" si="537"/>
        <v>40344</v>
      </c>
    </row>
    <row r="3089">
      <c r="G3089" s="12">
        <f t="shared" ref="G3089:G3094" si="538">DATE(2012,12,31)-929</f>
        <v>40345</v>
      </c>
    </row>
    <row r="3090">
      <c r="G3090" s="12">
        <f t="shared" si="538"/>
        <v>40345</v>
      </c>
    </row>
    <row r="3091">
      <c r="G3091" s="12">
        <f t="shared" si="538"/>
        <v>40345</v>
      </c>
    </row>
    <row r="3092">
      <c r="G3092" s="12">
        <f t="shared" si="538"/>
        <v>40345</v>
      </c>
    </row>
    <row r="3093">
      <c r="G3093" s="12">
        <f t="shared" si="538"/>
        <v>40345</v>
      </c>
    </row>
    <row r="3094">
      <c r="G3094" s="12">
        <f t="shared" si="538"/>
        <v>40345</v>
      </c>
    </row>
    <row r="3095">
      <c r="G3095" s="12">
        <f t="shared" ref="G3095:G3104" si="539">DATE(2012,12,31)-928</f>
        <v>40346</v>
      </c>
    </row>
    <row r="3096">
      <c r="G3096" s="12">
        <f t="shared" si="539"/>
        <v>40346</v>
      </c>
    </row>
    <row r="3097">
      <c r="G3097" s="12">
        <f t="shared" si="539"/>
        <v>40346</v>
      </c>
    </row>
    <row r="3098">
      <c r="G3098" s="12">
        <f t="shared" si="539"/>
        <v>40346</v>
      </c>
    </row>
    <row r="3099">
      <c r="G3099" s="12">
        <f t="shared" si="539"/>
        <v>40346</v>
      </c>
    </row>
    <row r="3100">
      <c r="G3100" s="12">
        <f t="shared" si="539"/>
        <v>40346</v>
      </c>
    </row>
    <row r="3101">
      <c r="G3101" s="12">
        <f t="shared" si="539"/>
        <v>40346</v>
      </c>
    </row>
    <row r="3102">
      <c r="G3102" s="12">
        <f t="shared" si="539"/>
        <v>40346</v>
      </c>
    </row>
    <row r="3103">
      <c r="G3103" s="12">
        <f t="shared" si="539"/>
        <v>40346</v>
      </c>
    </row>
    <row r="3104">
      <c r="G3104" s="12">
        <f t="shared" si="539"/>
        <v>40346</v>
      </c>
    </row>
    <row r="3105">
      <c r="G3105" s="12">
        <f>DATE(2012,12,31)-927</f>
        <v>40347</v>
      </c>
    </row>
    <row r="3106">
      <c r="G3106" s="12">
        <f t="shared" ref="G3106:G3113" si="540">DATE(2012,12,31)-926</f>
        <v>40348</v>
      </c>
    </row>
    <row r="3107">
      <c r="G3107" s="12">
        <f t="shared" si="540"/>
        <v>40348</v>
      </c>
    </row>
    <row r="3108">
      <c r="G3108" s="12">
        <f t="shared" si="540"/>
        <v>40348</v>
      </c>
    </row>
    <row r="3109">
      <c r="G3109" s="12">
        <f t="shared" si="540"/>
        <v>40348</v>
      </c>
    </row>
    <row r="3110">
      <c r="G3110" s="12">
        <f t="shared" si="540"/>
        <v>40348</v>
      </c>
    </row>
    <row r="3111">
      <c r="G3111" s="12">
        <f t="shared" si="540"/>
        <v>40348</v>
      </c>
    </row>
    <row r="3112">
      <c r="G3112" s="12">
        <f t="shared" si="540"/>
        <v>40348</v>
      </c>
    </row>
    <row r="3113">
      <c r="G3113" s="12">
        <f t="shared" si="540"/>
        <v>40348</v>
      </c>
    </row>
    <row r="3114">
      <c r="G3114" s="12">
        <f t="shared" ref="G3114:G3115" si="541">DATE(2012,12,31)-925</f>
        <v>40349</v>
      </c>
    </row>
    <row r="3115">
      <c r="G3115" s="12">
        <f t="shared" si="541"/>
        <v>40349</v>
      </c>
    </row>
    <row r="3116">
      <c r="G3116" s="12">
        <f t="shared" ref="G3116:G3123" si="542">DATE(2012,12,31)-924</f>
        <v>40350</v>
      </c>
    </row>
    <row r="3117">
      <c r="G3117" s="12">
        <f t="shared" si="542"/>
        <v>40350</v>
      </c>
    </row>
    <row r="3118">
      <c r="G3118" s="12">
        <f t="shared" si="542"/>
        <v>40350</v>
      </c>
    </row>
    <row r="3119">
      <c r="G3119" s="12">
        <f t="shared" si="542"/>
        <v>40350</v>
      </c>
    </row>
    <row r="3120">
      <c r="G3120" s="12">
        <f t="shared" si="542"/>
        <v>40350</v>
      </c>
    </row>
    <row r="3121">
      <c r="G3121" s="12">
        <f t="shared" si="542"/>
        <v>40350</v>
      </c>
    </row>
    <row r="3122">
      <c r="G3122" s="12">
        <f t="shared" si="542"/>
        <v>40350</v>
      </c>
    </row>
    <row r="3123">
      <c r="G3123" s="12">
        <f t="shared" si="542"/>
        <v>40350</v>
      </c>
    </row>
    <row r="3124">
      <c r="G3124" s="12">
        <f t="shared" ref="G3124:G3125" si="543">DATE(2012,12,31)-923</f>
        <v>40351</v>
      </c>
    </row>
    <row r="3125">
      <c r="G3125" s="12">
        <f t="shared" si="543"/>
        <v>40351</v>
      </c>
    </row>
    <row r="3126">
      <c r="G3126" s="12">
        <f t="shared" ref="G3126:G3134" si="544">DATE(2012,12,31)-922</f>
        <v>40352</v>
      </c>
    </row>
    <row r="3127">
      <c r="G3127" s="12">
        <f t="shared" si="544"/>
        <v>40352</v>
      </c>
    </row>
    <row r="3128">
      <c r="G3128" s="12">
        <f t="shared" si="544"/>
        <v>40352</v>
      </c>
    </row>
    <row r="3129">
      <c r="G3129" s="12">
        <f t="shared" si="544"/>
        <v>40352</v>
      </c>
    </row>
    <row r="3130">
      <c r="G3130" s="12">
        <f t="shared" si="544"/>
        <v>40352</v>
      </c>
    </row>
    <row r="3131">
      <c r="G3131" s="12">
        <f t="shared" si="544"/>
        <v>40352</v>
      </c>
    </row>
    <row r="3132">
      <c r="G3132" s="12">
        <f t="shared" si="544"/>
        <v>40352</v>
      </c>
    </row>
    <row r="3133">
      <c r="G3133" s="12">
        <f t="shared" si="544"/>
        <v>40352</v>
      </c>
    </row>
    <row r="3134">
      <c r="G3134" s="12">
        <f t="shared" si="544"/>
        <v>40352</v>
      </c>
    </row>
    <row r="3135">
      <c r="G3135" s="12">
        <f t="shared" ref="G3135:G3137" si="545">DATE(2012,12,31)-921</f>
        <v>40353</v>
      </c>
    </row>
    <row r="3136">
      <c r="G3136" s="12">
        <f t="shared" si="545"/>
        <v>40353</v>
      </c>
    </row>
    <row r="3137">
      <c r="G3137" s="12">
        <f t="shared" si="545"/>
        <v>40353</v>
      </c>
    </row>
    <row r="3138">
      <c r="G3138" s="12">
        <f t="shared" ref="G3138:G3150" si="546">DATE(2012,12,31)-920</f>
        <v>40354</v>
      </c>
    </row>
    <row r="3139">
      <c r="G3139" s="12">
        <f t="shared" si="546"/>
        <v>40354</v>
      </c>
    </row>
    <row r="3140">
      <c r="G3140" s="12">
        <f t="shared" si="546"/>
        <v>40354</v>
      </c>
    </row>
    <row r="3141">
      <c r="G3141" s="12">
        <f t="shared" si="546"/>
        <v>40354</v>
      </c>
    </row>
    <row r="3142">
      <c r="G3142" s="12">
        <f t="shared" si="546"/>
        <v>40354</v>
      </c>
    </row>
    <row r="3143">
      <c r="G3143" s="12">
        <f t="shared" si="546"/>
        <v>40354</v>
      </c>
    </row>
    <row r="3144">
      <c r="G3144" s="12">
        <f t="shared" si="546"/>
        <v>40354</v>
      </c>
    </row>
    <row r="3145">
      <c r="G3145" s="12">
        <f t="shared" si="546"/>
        <v>40354</v>
      </c>
    </row>
    <row r="3146">
      <c r="G3146" s="12">
        <f t="shared" si="546"/>
        <v>40354</v>
      </c>
    </row>
    <row r="3147">
      <c r="G3147" s="12">
        <f t="shared" si="546"/>
        <v>40354</v>
      </c>
    </row>
    <row r="3148">
      <c r="G3148" s="12">
        <f t="shared" si="546"/>
        <v>40354</v>
      </c>
    </row>
    <row r="3149">
      <c r="G3149" s="12">
        <f t="shared" si="546"/>
        <v>40354</v>
      </c>
    </row>
    <row r="3150">
      <c r="G3150" s="12">
        <f t="shared" si="546"/>
        <v>40354</v>
      </c>
    </row>
    <row r="3151">
      <c r="G3151" s="12">
        <f t="shared" ref="G3151:G3154" si="547">DATE(2012,12,31)-919</f>
        <v>40355</v>
      </c>
    </row>
    <row r="3152">
      <c r="G3152" s="12">
        <f t="shared" si="547"/>
        <v>40355</v>
      </c>
    </row>
    <row r="3153">
      <c r="G3153" s="12">
        <f t="shared" si="547"/>
        <v>40355</v>
      </c>
    </row>
    <row r="3154">
      <c r="G3154" s="12">
        <f t="shared" si="547"/>
        <v>40355</v>
      </c>
    </row>
    <row r="3155">
      <c r="G3155" s="12">
        <f t="shared" ref="G3155:G3161" si="548">DATE(2012,12,31)-918</f>
        <v>40356</v>
      </c>
    </row>
    <row r="3156">
      <c r="G3156" s="12">
        <f t="shared" si="548"/>
        <v>40356</v>
      </c>
    </row>
    <row r="3157">
      <c r="G3157" s="12">
        <f t="shared" si="548"/>
        <v>40356</v>
      </c>
    </row>
    <row r="3158">
      <c r="G3158" s="12">
        <f t="shared" si="548"/>
        <v>40356</v>
      </c>
    </row>
    <row r="3159">
      <c r="G3159" s="12">
        <f t="shared" si="548"/>
        <v>40356</v>
      </c>
    </row>
    <row r="3160">
      <c r="G3160" s="12">
        <f t="shared" si="548"/>
        <v>40356</v>
      </c>
    </row>
    <row r="3161">
      <c r="G3161" s="12">
        <f t="shared" si="548"/>
        <v>40356</v>
      </c>
    </row>
    <row r="3162">
      <c r="G3162" s="12">
        <f t="shared" ref="G3162:G3165" si="549">DATE(2012,12,31)-917</f>
        <v>40357</v>
      </c>
    </row>
    <row r="3163">
      <c r="G3163" s="12">
        <f t="shared" si="549"/>
        <v>40357</v>
      </c>
    </row>
    <row r="3164">
      <c r="G3164" s="12">
        <f t="shared" si="549"/>
        <v>40357</v>
      </c>
    </row>
    <row r="3165">
      <c r="G3165" s="12">
        <f t="shared" si="549"/>
        <v>40357</v>
      </c>
    </row>
    <row r="3166">
      <c r="G3166" s="12">
        <f t="shared" ref="G3166:G3169" si="550">DATE(2012,12,31)-916</f>
        <v>40358</v>
      </c>
    </row>
    <row r="3167">
      <c r="G3167" s="12">
        <f t="shared" si="550"/>
        <v>40358</v>
      </c>
    </row>
    <row r="3168">
      <c r="G3168" s="12">
        <f t="shared" si="550"/>
        <v>40358</v>
      </c>
    </row>
    <row r="3169">
      <c r="G3169" s="12">
        <f t="shared" si="550"/>
        <v>40358</v>
      </c>
    </row>
    <row r="3170">
      <c r="G3170" s="12">
        <f t="shared" ref="G3170:G3174" si="551">DATE(2012,12,31)-915</f>
        <v>40359</v>
      </c>
    </row>
    <row r="3171">
      <c r="G3171" s="12">
        <f t="shared" si="551"/>
        <v>40359</v>
      </c>
    </row>
    <row r="3172">
      <c r="G3172" s="12">
        <f t="shared" si="551"/>
        <v>40359</v>
      </c>
    </row>
    <row r="3173">
      <c r="G3173" s="12">
        <f t="shared" si="551"/>
        <v>40359</v>
      </c>
    </row>
    <row r="3174">
      <c r="G3174" s="12">
        <f t="shared" si="551"/>
        <v>40359</v>
      </c>
    </row>
    <row r="3175">
      <c r="G3175" s="12">
        <f t="shared" ref="G3175:G3188" si="552">DATE(2012,12,31)-912</f>
        <v>40362</v>
      </c>
    </row>
    <row r="3176">
      <c r="G3176" s="12">
        <f t="shared" si="552"/>
        <v>40362</v>
      </c>
    </row>
    <row r="3177">
      <c r="G3177" s="12">
        <f t="shared" si="552"/>
        <v>40362</v>
      </c>
    </row>
    <row r="3178">
      <c r="G3178" s="12">
        <f t="shared" si="552"/>
        <v>40362</v>
      </c>
    </row>
    <row r="3179">
      <c r="G3179" s="12">
        <f t="shared" si="552"/>
        <v>40362</v>
      </c>
    </row>
    <row r="3180">
      <c r="G3180" s="12">
        <f t="shared" si="552"/>
        <v>40362</v>
      </c>
    </row>
    <row r="3181">
      <c r="G3181" s="12">
        <f t="shared" si="552"/>
        <v>40362</v>
      </c>
    </row>
    <row r="3182">
      <c r="G3182" s="12">
        <f t="shared" si="552"/>
        <v>40362</v>
      </c>
    </row>
    <row r="3183">
      <c r="G3183" s="12">
        <f t="shared" si="552"/>
        <v>40362</v>
      </c>
    </row>
    <row r="3184">
      <c r="G3184" s="12">
        <f t="shared" si="552"/>
        <v>40362</v>
      </c>
    </row>
    <row r="3185">
      <c r="G3185" s="12">
        <f t="shared" si="552"/>
        <v>40362</v>
      </c>
    </row>
    <row r="3186">
      <c r="G3186" s="12">
        <f t="shared" si="552"/>
        <v>40362</v>
      </c>
    </row>
    <row r="3187">
      <c r="G3187" s="12">
        <f t="shared" si="552"/>
        <v>40362</v>
      </c>
    </row>
    <row r="3188">
      <c r="G3188" s="12">
        <f t="shared" si="552"/>
        <v>40362</v>
      </c>
    </row>
    <row r="3189">
      <c r="G3189" s="12">
        <f t="shared" ref="G3189:G3195" si="553">DATE(2012,12,31)-911</f>
        <v>40363</v>
      </c>
    </row>
    <row r="3190">
      <c r="G3190" s="12">
        <f t="shared" si="553"/>
        <v>40363</v>
      </c>
    </row>
    <row r="3191">
      <c r="G3191" s="12">
        <f t="shared" si="553"/>
        <v>40363</v>
      </c>
    </row>
    <row r="3192">
      <c r="G3192" s="12">
        <f t="shared" si="553"/>
        <v>40363</v>
      </c>
    </row>
    <row r="3193">
      <c r="G3193" s="12">
        <f t="shared" si="553"/>
        <v>40363</v>
      </c>
    </row>
    <row r="3194">
      <c r="G3194" s="12">
        <f t="shared" si="553"/>
        <v>40363</v>
      </c>
    </row>
    <row r="3195">
      <c r="G3195" s="12">
        <f t="shared" si="553"/>
        <v>40363</v>
      </c>
    </row>
    <row r="3196">
      <c r="G3196" s="12">
        <f t="shared" ref="G3196:G3197" si="554">DATE(2012,12,31)-910</f>
        <v>40364</v>
      </c>
    </row>
    <row r="3197">
      <c r="G3197" s="12">
        <f t="shared" si="554"/>
        <v>40364</v>
      </c>
    </row>
    <row r="3198">
      <c r="G3198" s="12">
        <f t="shared" ref="G3198:G3200" si="555">DATE(2012,12,31)-908</f>
        <v>40366</v>
      </c>
    </row>
    <row r="3199">
      <c r="G3199" s="12">
        <f t="shared" si="555"/>
        <v>40366</v>
      </c>
    </row>
    <row r="3200">
      <c r="G3200" s="12">
        <f t="shared" si="555"/>
        <v>40366</v>
      </c>
    </row>
    <row r="3201">
      <c r="G3201" s="12">
        <f t="shared" ref="G3201:G3204" si="556">DATE(2012,12,31)-906</f>
        <v>40368</v>
      </c>
    </row>
    <row r="3202">
      <c r="G3202" s="12">
        <f t="shared" si="556"/>
        <v>40368</v>
      </c>
    </row>
    <row r="3203">
      <c r="G3203" s="12">
        <f t="shared" si="556"/>
        <v>40368</v>
      </c>
    </row>
    <row r="3204">
      <c r="G3204" s="12">
        <f t="shared" si="556"/>
        <v>40368</v>
      </c>
    </row>
    <row r="3205">
      <c r="G3205" s="12">
        <f>DATE(2012,12,31)-905</f>
        <v>40369</v>
      </c>
    </row>
    <row r="3206">
      <c r="G3206" s="12">
        <f>DATE(2012,12,31)-902</f>
        <v>40372</v>
      </c>
    </row>
    <row r="3207">
      <c r="G3207" s="12">
        <f t="shared" ref="G3207:G3213" si="557">DATE(2012,12,31)-901</f>
        <v>40373</v>
      </c>
    </row>
    <row r="3208">
      <c r="G3208" s="12">
        <f t="shared" si="557"/>
        <v>40373</v>
      </c>
    </row>
    <row r="3209">
      <c r="G3209" s="12">
        <f t="shared" si="557"/>
        <v>40373</v>
      </c>
    </row>
    <row r="3210">
      <c r="G3210" s="12">
        <f t="shared" si="557"/>
        <v>40373</v>
      </c>
    </row>
    <row r="3211">
      <c r="G3211" s="12">
        <f t="shared" si="557"/>
        <v>40373</v>
      </c>
    </row>
    <row r="3212">
      <c r="G3212" s="12">
        <f t="shared" si="557"/>
        <v>40373</v>
      </c>
    </row>
    <row r="3213">
      <c r="G3213" s="12">
        <f t="shared" si="557"/>
        <v>40373</v>
      </c>
    </row>
    <row r="3214">
      <c r="G3214" s="12">
        <f t="shared" ref="G3214:G3217" si="558">DATE(2012,12,31)-900</f>
        <v>40374</v>
      </c>
    </row>
    <row r="3215">
      <c r="G3215" s="12">
        <f t="shared" si="558"/>
        <v>40374</v>
      </c>
    </row>
    <row r="3216">
      <c r="G3216" s="12">
        <f t="shared" si="558"/>
        <v>40374</v>
      </c>
    </row>
    <row r="3217">
      <c r="G3217" s="12">
        <f t="shared" si="558"/>
        <v>40374</v>
      </c>
    </row>
    <row r="3218">
      <c r="G3218" s="12">
        <f t="shared" ref="G3218:G3228" si="559">DATE(2012,12,31)-899</f>
        <v>40375</v>
      </c>
    </row>
    <row r="3219">
      <c r="G3219" s="12">
        <f t="shared" si="559"/>
        <v>40375</v>
      </c>
    </row>
    <row r="3220">
      <c r="G3220" s="12">
        <f t="shared" si="559"/>
        <v>40375</v>
      </c>
    </row>
    <row r="3221">
      <c r="G3221" s="12">
        <f t="shared" si="559"/>
        <v>40375</v>
      </c>
    </row>
    <row r="3222">
      <c r="G3222" s="12">
        <f t="shared" si="559"/>
        <v>40375</v>
      </c>
    </row>
    <row r="3223">
      <c r="G3223" s="12">
        <f t="shared" si="559"/>
        <v>40375</v>
      </c>
    </row>
    <row r="3224">
      <c r="G3224" s="12">
        <f t="shared" si="559"/>
        <v>40375</v>
      </c>
    </row>
    <row r="3225">
      <c r="G3225" s="12">
        <f t="shared" si="559"/>
        <v>40375</v>
      </c>
    </row>
    <row r="3226">
      <c r="G3226" s="12">
        <f t="shared" si="559"/>
        <v>40375</v>
      </c>
    </row>
    <row r="3227">
      <c r="G3227" s="12">
        <f t="shared" si="559"/>
        <v>40375</v>
      </c>
    </row>
    <row r="3228">
      <c r="G3228" s="12">
        <f t="shared" si="559"/>
        <v>40375</v>
      </c>
    </row>
    <row r="3229">
      <c r="G3229" s="12">
        <f t="shared" ref="G3229:G3235" si="560">DATE(2012,12,31)-898</f>
        <v>40376</v>
      </c>
    </row>
    <row r="3230">
      <c r="G3230" s="12">
        <f t="shared" si="560"/>
        <v>40376</v>
      </c>
    </row>
    <row r="3231">
      <c r="G3231" s="12">
        <f t="shared" si="560"/>
        <v>40376</v>
      </c>
    </row>
    <row r="3232">
      <c r="G3232" s="12">
        <f t="shared" si="560"/>
        <v>40376</v>
      </c>
    </row>
    <row r="3233">
      <c r="G3233" s="12">
        <f t="shared" si="560"/>
        <v>40376</v>
      </c>
    </row>
    <row r="3234">
      <c r="G3234" s="12">
        <f t="shared" si="560"/>
        <v>40376</v>
      </c>
    </row>
    <row r="3235">
      <c r="G3235" s="12">
        <f t="shared" si="560"/>
        <v>40376</v>
      </c>
    </row>
    <row r="3236">
      <c r="G3236" s="12">
        <f t="shared" ref="G3236:G3240" si="561">DATE(2012,12,31)-897</f>
        <v>40377</v>
      </c>
    </row>
    <row r="3237">
      <c r="G3237" s="12">
        <f t="shared" si="561"/>
        <v>40377</v>
      </c>
    </row>
    <row r="3238">
      <c r="G3238" s="12">
        <f t="shared" si="561"/>
        <v>40377</v>
      </c>
    </row>
    <row r="3239">
      <c r="G3239" s="12">
        <f t="shared" si="561"/>
        <v>40377</v>
      </c>
    </row>
    <row r="3240">
      <c r="G3240" s="12">
        <f t="shared" si="561"/>
        <v>40377</v>
      </c>
    </row>
    <row r="3241">
      <c r="G3241" s="12">
        <f t="shared" ref="G3241:G3248" si="562">DATE(2012,12,31)-896</f>
        <v>40378</v>
      </c>
    </row>
    <row r="3242">
      <c r="G3242" s="12">
        <f t="shared" si="562"/>
        <v>40378</v>
      </c>
    </row>
    <row r="3243">
      <c r="G3243" s="12">
        <f t="shared" si="562"/>
        <v>40378</v>
      </c>
    </row>
    <row r="3244">
      <c r="G3244" s="12">
        <f t="shared" si="562"/>
        <v>40378</v>
      </c>
    </row>
    <row r="3245">
      <c r="G3245" s="12">
        <f t="shared" si="562"/>
        <v>40378</v>
      </c>
    </row>
    <row r="3246">
      <c r="G3246" s="12">
        <f t="shared" si="562"/>
        <v>40378</v>
      </c>
    </row>
    <row r="3247">
      <c r="G3247" s="12">
        <f t="shared" si="562"/>
        <v>40378</v>
      </c>
    </row>
    <row r="3248">
      <c r="G3248" s="12">
        <f t="shared" si="562"/>
        <v>40378</v>
      </c>
    </row>
    <row r="3249">
      <c r="G3249" s="12">
        <f t="shared" ref="G3249:G3258" si="563">DATE(2012,12,31)-895</f>
        <v>40379</v>
      </c>
    </row>
    <row r="3250">
      <c r="G3250" s="12">
        <f t="shared" si="563"/>
        <v>40379</v>
      </c>
    </row>
    <row r="3251">
      <c r="G3251" s="12">
        <f t="shared" si="563"/>
        <v>40379</v>
      </c>
    </row>
    <row r="3252">
      <c r="G3252" s="12">
        <f t="shared" si="563"/>
        <v>40379</v>
      </c>
    </row>
    <row r="3253">
      <c r="G3253" s="12">
        <f t="shared" si="563"/>
        <v>40379</v>
      </c>
    </row>
    <row r="3254">
      <c r="G3254" s="12">
        <f t="shared" si="563"/>
        <v>40379</v>
      </c>
    </row>
    <row r="3255">
      <c r="G3255" s="12">
        <f t="shared" si="563"/>
        <v>40379</v>
      </c>
    </row>
    <row r="3256">
      <c r="G3256" s="12">
        <f t="shared" si="563"/>
        <v>40379</v>
      </c>
    </row>
    <row r="3257">
      <c r="G3257" s="12">
        <f t="shared" si="563"/>
        <v>40379</v>
      </c>
    </row>
    <row r="3258">
      <c r="G3258" s="12">
        <f t="shared" si="563"/>
        <v>40379</v>
      </c>
    </row>
    <row r="3259">
      <c r="G3259" s="12">
        <f t="shared" ref="G3259:G3268" si="564">DATE(2012,12,31)-894</f>
        <v>40380</v>
      </c>
    </row>
    <row r="3260">
      <c r="G3260" s="12">
        <f t="shared" si="564"/>
        <v>40380</v>
      </c>
    </row>
    <row r="3261">
      <c r="G3261" s="12">
        <f t="shared" si="564"/>
        <v>40380</v>
      </c>
    </row>
    <row r="3262">
      <c r="G3262" s="12">
        <f t="shared" si="564"/>
        <v>40380</v>
      </c>
    </row>
    <row r="3263">
      <c r="G3263" s="12">
        <f t="shared" si="564"/>
        <v>40380</v>
      </c>
    </row>
    <row r="3264">
      <c r="G3264" s="12">
        <f t="shared" si="564"/>
        <v>40380</v>
      </c>
    </row>
    <row r="3265">
      <c r="G3265" s="12">
        <f t="shared" si="564"/>
        <v>40380</v>
      </c>
    </row>
    <row r="3266">
      <c r="G3266" s="12">
        <f t="shared" si="564"/>
        <v>40380</v>
      </c>
    </row>
    <row r="3267">
      <c r="G3267" s="12">
        <f t="shared" si="564"/>
        <v>40380</v>
      </c>
    </row>
    <row r="3268">
      <c r="G3268" s="12">
        <f t="shared" si="564"/>
        <v>40380</v>
      </c>
    </row>
    <row r="3269">
      <c r="G3269" s="12">
        <f t="shared" ref="G3269:G3273" si="565">DATE(2012,12,31)-893</f>
        <v>40381</v>
      </c>
    </row>
    <row r="3270">
      <c r="G3270" s="12">
        <f t="shared" si="565"/>
        <v>40381</v>
      </c>
    </row>
    <row r="3271">
      <c r="G3271" s="12">
        <f t="shared" si="565"/>
        <v>40381</v>
      </c>
    </row>
    <row r="3272">
      <c r="G3272" s="12">
        <f t="shared" si="565"/>
        <v>40381</v>
      </c>
    </row>
    <row r="3273">
      <c r="G3273" s="12">
        <f t="shared" si="565"/>
        <v>40381</v>
      </c>
    </row>
    <row r="3274">
      <c r="G3274" s="12">
        <f t="shared" ref="G3274:G3282" si="566">DATE(2012,12,31)-892</f>
        <v>40382</v>
      </c>
    </row>
    <row r="3275">
      <c r="G3275" s="12">
        <f t="shared" si="566"/>
        <v>40382</v>
      </c>
    </row>
    <row r="3276">
      <c r="G3276" s="12">
        <f t="shared" si="566"/>
        <v>40382</v>
      </c>
    </row>
    <row r="3277">
      <c r="G3277" s="12">
        <f t="shared" si="566"/>
        <v>40382</v>
      </c>
    </row>
    <row r="3278">
      <c r="G3278" s="12">
        <f t="shared" si="566"/>
        <v>40382</v>
      </c>
    </row>
    <row r="3279">
      <c r="G3279" s="12">
        <f t="shared" si="566"/>
        <v>40382</v>
      </c>
    </row>
    <row r="3280">
      <c r="G3280" s="12">
        <f t="shared" si="566"/>
        <v>40382</v>
      </c>
    </row>
    <row r="3281">
      <c r="G3281" s="12">
        <f t="shared" si="566"/>
        <v>40382</v>
      </c>
    </row>
    <row r="3282">
      <c r="G3282" s="12">
        <f t="shared" si="566"/>
        <v>40382</v>
      </c>
    </row>
    <row r="3283">
      <c r="G3283" s="12">
        <f t="shared" ref="G3283:G3291" si="567">DATE(2012,12,31)-891</f>
        <v>40383</v>
      </c>
    </row>
    <row r="3284">
      <c r="G3284" s="12">
        <f t="shared" si="567"/>
        <v>40383</v>
      </c>
    </row>
    <row r="3285">
      <c r="G3285" s="12">
        <f t="shared" si="567"/>
        <v>40383</v>
      </c>
    </row>
    <row r="3286">
      <c r="G3286" s="12">
        <f t="shared" si="567"/>
        <v>40383</v>
      </c>
    </row>
    <row r="3287">
      <c r="G3287" s="12">
        <f t="shared" si="567"/>
        <v>40383</v>
      </c>
    </row>
    <row r="3288">
      <c r="G3288" s="12">
        <f t="shared" si="567"/>
        <v>40383</v>
      </c>
    </row>
    <row r="3289">
      <c r="G3289" s="12">
        <f t="shared" si="567"/>
        <v>40383</v>
      </c>
    </row>
    <row r="3290">
      <c r="G3290" s="12">
        <f t="shared" si="567"/>
        <v>40383</v>
      </c>
    </row>
    <row r="3291">
      <c r="G3291" s="12">
        <f t="shared" si="567"/>
        <v>40383</v>
      </c>
    </row>
    <row r="3292">
      <c r="G3292" s="12">
        <f t="shared" ref="G3292:G3302" si="568">DATE(2012,12,31)-890</f>
        <v>40384</v>
      </c>
    </row>
    <row r="3293">
      <c r="G3293" s="12">
        <f t="shared" si="568"/>
        <v>40384</v>
      </c>
    </row>
    <row r="3294">
      <c r="G3294" s="12">
        <f t="shared" si="568"/>
        <v>40384</v>
      </c>
    </row>
    <row r="3295">
      <c r="G3295" s="12">
        <f t="shared" si="568"/>
        <v>40384</v>
      </c>
    </row>
    <row r="3296">
      <c r="G3296" s="12">
        <f t="shared" si="568"/>
        <v>40384</v>
      </c>
    </row>
    <row r="3297">
      <c r="G3297" s="12">
        <f t="shared" si="568"/>
        <v>40384</v>
      </c>
    </row>
    <row r="3298">
      <c r="G3298" s="12">
        <f t="shared" si="568"/>
        <v>40384</v>
      </c>
    </row>
    <row r="3299">
      <c r="G3299" s="12">
        <f t="shared" si="568"/>
        <v>40384</v>
      </c>
    </row>
    <row r="3300">
      <c r="G3300" s="12">
        <f t="shared" si="568"/>
        <v>40384</v>
      </c>
    </row>
    <row r="3301">
      <c r="G3301" s="12">
        <f t="shared" si="568"/>
        <v>40384</v>
      </c>
    </row>
    <row r="3302">
      <c r="G3302" s="12">
        <f t="shared" si="568"/>
        <v>40384</v>
      </c>
    </row>
    <row r="3303">
      <c r="G3303" s="12">
        <f t="shared" ref="G3303:G3309" si="569">DATE(2012,12,31)-889</f>
        <v>40385</v>
      </c>
    </row>
    <row r="3304">
      <c r="G3304" s="12">
        <f t="shared" si="569"/>
        <v>40385</v>
      </c>
    </row>
    <row r="3305">
      <c r="G3305" s="12">
        <f t="shared" si="569"/>
        <v>40385</v>
      </c>
    </row>
    <row r="3306">
      <c r="G3306" s="12">
        <f t="shared" si="569"/>
        <v>40385</v>
      </c>
    </row>
    <row r="3307">
      <c r="G3307" s="12">
        <f t="shared" si="569"/>
        <v>40385</v>
      </c>
    </row>
    <row r="3308">
      <c r="G3308" s="12">
        <f t="shared" si="569"/>
        <v>40385</v>
      </c>
    </row>
    <row r="3309">
      <c r="G3309" s="12">
        <f t="shared" si="569"/>
        <v>40385</v>
      </c>
    </row>
    <row r="3310">
      <c r="G3310" s="12">
        <f t="shared" ref="G3310:G3318" si="570">DATE(2012,12,31)-888</f>
        <v>40386</v>
      </c>
    </row>
    <row r="3311">
      <c r="G3311" s="12">
        <f t="shared" si="570"/>
        <v>40386</v>
      </c>
    </row>
    <row r="3312">
      <c r="G3312" s="12">
        <f t="shared" si="570"/>
        <v>40386</v>
      </c>
    </row>
    <row r="3313">
      <c r="G3313" s="12">
        <f t="shared" si="570"/>
        <v>40386</v>
      </c>
    </row>
    <row r="3314">
      <c r="G3314" s="12">
        <f t="shared" si="570"/>
        <v>40386</v>
      </c>
    </row>
    <row r="3315">
      <c r="G3315" s="12">
        <f t="shared" si="570"/>
        <v>40386</v>
      </c>
    </row>
    <row r="3316">
      <c r="G3316" s="12">
        <f t="shared" si="570"/>
        <v>40386</v>
      </c>
    </row>
    <row r="3317">
      <c r="G3317" s="12">
        <f t="shared" si="570"/>
        <v>40386</v>
      </c>
    </row>
    <row r="3318">
      <c r="G3318" s="12">
        <f t="shared" si="570"/>
        <v>40386</v>
      </c>
    </row>
    <row r="3319">
      <c r="G3319" s="12">
        <f t="shared" ref="G3319:G3322" si="571">DATE(2012,12,31)-887</f>
        <v>40387</v>
      </c>
    </row>
    <row r="3320">
      <c r="G3320" s="12">
        <f t="shared" si="571"/>
        <v>40387</v>
      </c>
    </row>
    <row r="3321">
      <c r="G3321" s="12">
        <f t="shared" si="571"/>
        <v>40387</v>
      </c>
    </row>
    <row r="3322">
      <c r="G3322" s="12">
        <f t="shared" si="571"/>
        <v>40387</v>
      </c>
    </row>
    <row r="3323">
      <c r="G3323" s="12">
        <f t="shared" ref="G3323:G3330" si="572">DATE(2012,12,31)-886</f>
        <v>40388</v>
      </c>
    </row>
    <row r="3324">
      <c r="G3324" s="12">
        <f t="shared" si="572"/>
        <v>40388</v>
      </c>
    </row>
    <row r="3325">
      <c r="G3325" s="12">
        <f t="shared" si="572"/>
        <v>40388</v>
      </c>
    </row>
    <row r="3326">
      <c r="G3326" s="12">
        <f t="shared" si="572"/>
        <v>40388</v>
      </c>
    </row>
    <row r="3327">
      <c r="G3327" s="12">
        <f t="shared" si="572"/>
        <v>40388</v>
      </c>
    </row>
    <row r="3328">
      <c r="G3328" s="12">
        <f t="shared" si="572"/>
        <v>40388</v>
      </c>
    </row>
    <row r="3329">
      <c r="G3329" s="12">
        <f t="shared" si="572"/>
        <v>40388</v>
      </c>
    </row>
    <row r="3330">
      <c r="G3330" s="12">
        <f t="shared" si="572"/>
        <v>40388</v>
      </c>
    </row>
    <row r="3331">
      <c r="G3331" s="12">
        <f t="shared" ref="G3331:G3338" si="573">DATE(2012,12,31)-885</f>
        <v>40389</v>
      </c>
    </row>
    <row r="3332">
      <c r="G3332" s="12">
        <f t="shared" si="573"/>
        <v>40389</v>
      </c>
    </row>
    <row r="3333">
      <c r="G3333" s="12">
        <f t="shared" si="573"/>
        <v>40389</v>
      </c>
    </row>
    <row r="3334">
      <c r="G3334" s="12">
        <f t="shared" si="573"/>
        <v>40389</v>
      </c>
    </row>
    <row r="3335">
      <c r="G3335" s="12">
        <f t="shared" si="573"/>
        <v>40389</v>
      </c>
    </row>
    <row r="3336">
      <c r="G3336" s="12">
        <f t="shared" si="573"/>
        <v>40389</v>
      </c>
    </row>
    <row r="3337">
      <c r="G3337" s="12">
        <f t="shared" si="573"/>
        <v>40389</v>
      </c>
    </row>
    <row r="3338">
      <c r="G3338" s="12">
        <f t="shared" si="573"/>
        <v>40389</v>
      </c>
    </row>
    <row r="3339">
      <c r="G3339" s="12">
        <f t="shared" ref="G3339:G3344" si="574">DATE(2012,12,31)-884</f>
        <v>40390</v>
      </c>
    </row>
    <row r="3340">
      <c r="G3340" s="12">
        <f t="shared" si="574"/>
        <v>40390</v>
      </c>
    </row>
    <row r="3341">
      <c r="G3341" s="12">
        <f t="shared" si="574"/>
        <v>40390</v>
      </c>
    </row>
    <row r="3342">
      <c r="G3342" s="12">
        <f t="shared" si="574"/>
        <v>40390</v>
      </c>
    </row>
    <row r="3343">
      <c r="G3343" s="12">
        <f t="shared" si="574"/>
        <v>40390</v>
      </c>
    </row>
    <row r="3344">
      <c r="G3344" s="12">
        <f t="shared" si="574"/>
        <v>40390</v>
      </c>
    </row>
    <row r="3345">
      <c r="G3345" s="12">
        <f>DATE(2012,12,31)-883</f>
        <v>40391</v>
      </c>
    </row>
    <row r="3346">
      <c r="G3346" s="12">
        <f t="shared" ref="G3346:G3351" si="575">DATE(2012,12,31)-882</f>
        <v>40392</v>
      </c>
    </row>
    <row r="3347">
      <c r="G3347" s="12">
        <f t="shared" si="575"/>
        <v>40392</v>
      </c>
    </row>
    <row r="3348">
      <c r="G3348" s="12">
        <f t="shared" si="575"/>
        <v>40392</v>
      </c>
    </row>
    <row r="3349">
      <c r="G3349" s="12">
        <f t="shared" si="575"/>
        <v>40392</v>
      </c>
    </row>
    <row r="3350">
      <c r="G3350" s="12">
        <f t="shared" si="575"/>
        <v>40392</v>
      </c>
    </row>
    <row r="3351">
      <c r="G3351" s="12">
        <f t="shared" si="575"/>
        <v>40392</v>
      </c>
    </row>
    <row r="3352">
      <c r="G3352" s="12">
        <f t="shared" ref="G3352:G3360" si="576">DATE(2012,12,31)-881</f>
        <v>40393</v>
      </c>
    </row>
    <row r="3353">
      <c r="G3353" s="12">
        <f t="shared" si="576"/>
        <v>40393</v>
      </c>
    </row>
    <row r="3354">
      <c r="G3354" s="12">
        <f t="shared" si="576"/>
        <v>40393</v>
      </c>
    </row>
    <row r="3355">
      <c r="G3355" s="12">
        <f t="shared" si="576"/>
        <v>40393</v>
      </c>
    </row>
    <row r="3356">
      <c r="G3356" s="12">
        <f t="shared" si="576"/>
        <v>40393</v>
      </c>
    </row>
    <row r="3357">
      <c r="G3357" s="12">
        <f t="shared" si="576"/>
        <v>40393</v>
      </c>
    </row>
    <row r="3358">
      <c r="G3358" s="12">
        <f t="shared" si="576"/>
        <v>40393</v>
      </c>
    </row>
    <row r="3359">
      <c r="G3359" s="12">
        <f t="shared" si="576"/>
        <v>40393</v>
      </c>
    </row>
    <row r="3360">
      <c r="G3360" s="12">
        <f t="shared" si="576"/>
        <v>40393</v>
      </c>
    </row>
    <row r="3361">
      <c r="G3361" s="12">
        <f t="shared" ref="G3361:G3377" si="577">DATE(2012,12,31)-880</f>
        <v>40394</v>
      </c>
    </row>
    <row r="3362">
      <c r="G3362" s="12">
        <f t="shared" si="577"/>
        <v>40394</v>
      </c>
    </row>
    <row r="3363">
      <c r="G3363" s="12">
        <f t="shared" si="577"/>
        <v>40394</v>
      </c>
    </row>
    <row r="3364">
      <c r="G3364" s="12">
        <f t="shared" si="577"/>
        <v>40394</v>
      </c>
    </row>
    <row r="3365">
      <c r="G3365" s="12">
        <f t="shared" si="577"/>
        <v>40394</v>
      </c>
    </row>
    <row r="3366">
      <c r="G3366" s="12">
        <f t="shared" si="577"/>
        <v>40394</v>
      </c>
    </row>
    <row r="3367">
      <c r="G3367" s="12">
        <f t="shared" si="577"/>
        <v>40394</v>
      </c>
    </row>
    <row r="3368">
      <c r="G3368" s="12">
        <f t="shared" si="577"/>
        <v>40394</v>
      </c>
    </row>
    <row r="3369">
      <c r="G3369" s="12">
        <f t="shared" si="577"/>
        <v>40394</v>
      </c>
    </row>
    <row r="3370">
      <c r="G3370" s="12">
        <f t="shared" si="577"/>
        <v>40394</v>
      </c>
    </row>
    <row r="3371">
      <c r="G3371" s="12">
        <f t="shared" si="577"/>
        <v>40394</v>
      </c>
    </row>
    <row r="3372">
      <c r="G3372" s="12">
        <f t="shared" si="577"/>
        <v>40394</v>
      </c>
    </row>
    <row r="3373">
      <c r="G3373" s="12">
        <f t="shared" si="577"/>
        <v>40394</v>
      </c>
    </row>
    <row r="3374">
      <c r="G3374" s="12">
        <f t="shared" si="577"/>
        <v>40394</v>
      </c>
    </row>
    <row r="3375">
      <c r="G3375" s="12">
        <f t="shared" si="577"/>
        <v>40394</v>
      </c>
    </row>
    <row r="3376">
      <c r="G3376" s="12">
        <f t="shared" si="577"/>
        <v>40394</v>
      </c>
    </row>
    <row r="3377">
      <c r="G3377" s="12">
        <f t="shared" si="577"/>
        <v>40394</v>
      </c>
    </row>
    <row r="3378">
      <c r="G3378" s="12">
        <f t="shared" ref="G3378:G3382" si="578">DATE(2012,12,31)-879</f>
        <v>40395</v>
      </c>
    </row>
    <row r="3379">
      <c r="G3379" s="12">
        <f t="shared" si="578"/>
        <v>40395</v>
      </c>
    </row>
    <row r="3380">
      <c r="G3380" s="12">
        <f t="shared" si="578"/>
        <v>40395</v>
      </c>
    </row>
    <row r="3381">
      <c r="G3381" s="12">
        <f t="shared" si="578"/>
        <v>40395</v>
      </c>
    </row>
    <row r="3382">
      <c r="G3382" s="12">
        <f t="shared" si="578"/>
        <v>40395</v>
      </c>
    </row>
    <row r="3383">
      <c r="G3383" s="12">
        <f t="shared" ref="G3383:G3387" si="579">DATE(2012,12,31)-878</f>
        <v>40396</v>
      </c>
    </row>
    <row r="3384">
      <c r="G3384" s="12">
        <f t="shared" si="579"/>
        <v>40396</v>
      </c>
    </row>
    <row r="3385">
      <c r="G3385" s="12">
        <f t="shared" si="579"/>
        <v>40396</v>
      </c>
    </row>
    <row r="3386">
      <c r="G3386" s="12">
        <f t="shared" si="579"/>
        <v>40396</v>
      </c>
    </row>
    <row r="3387">
      <c r="G3387" s="12">
        <f t="shared" si="579"/>
        <v>40396</v>
      </c>
    </row>
    <row r="3388">
      <c r="G3388" s="12">
        <f t="shared" ref="G3388:G3392" si="580">DATE(2012,12,31)-877</f>
        <v>40397</v>
      </c>
    </row>
    <row r="3389">
      <c r="G3389" s="12">
        <f t="shared" si="580"/>
        <v>40397</v>
      </c>
    </row>
    <row r="3390">
      <c r="G3390" s="12">
        <f t="shared" si="580"/>
        <v>40397</v>
      </c>
    </row>
    <row r="3391">
      <c r="G3391" s="12">
        <f t="shared" si="580"/>
        <v>40397</v>
      </c>
    </row>
    <row r="3392">
      <c r="G3392" s="12">
        <f t="shared" si="580"/>
        <v>40397</v>
      </c>
    </row>
    <row r="3393">
      <c r="G3393" s="12">
        <f>DATE(2012,12,31)-876</f>
        <v>40398</v>
      </c>
    </row>
    <row r="3394">
      <c r="G3394" s="12">
        <f t="shared" ref="G3394:G3400" si="581">DATE(2012,12,31)-875</f>
        <v>40399</v>
      </c>
    </row>
    <row r="3395">
      <c r="G3395" s="12">
        <f t="shared" si="581"/>
        <v>40399</v>
      </c>
    </row>
    <row r="3396">
      <c r="G3396" s="12">
        <f t="shared" si="581"/>
        <v>40399</v>
      </c>
    </row>
    <row r="3397">
      <c r="G3397" s="12">
        <f t="shared" si="581"/>
        <v>40399</v>
      </c>
    </row>
    <row r="3398">
      <c r="G3398" s="12">
        <f t="shared" si="581"/>
        <v>40399</v>
      </c>
    </row>
    <row r="3399">
      <c r="G3399" s="12">
        <f t="shared" si="581"/>
        <v>40399</v>
      </c>
    </row>
    <row r="3400">
      <c r="G3400" s="12">
        <f t="shared" si="581"/>
        <v>40399</v>
      </c>
    </row>
    <row r="3401">
      <c r="G3401" s="12">
        <f t="shared" ref="G3401:G3403" si="582">DATE(2012,12,31)-874</f>
        <v>40400</v>
      </c>
    </row>
    <row r="3402">
      <c r="G3402" s="12">
        <f t="shared" si="582"/>
        <v>40400</v>
      </c>
    </row>
    <row r="3403">
      <c r="G3403" s="12">
        <f t="shared" si="582"/>
        <v>40400</v>
      </c>
    </row>
    <row r="3404">
      <c r="G3404" s="12">
        <f t="shared" ref="G3404:G3405" si="583">DATE(2012,12,31)-873</f>
        <v>40401</v>
      </c>
    </row>
    <row r="3405">
      <c r="G3405" s="12">
        <f t="shared" si="583"/>
        <v>40401</v>
      </c>
    </row>
    <row r="3406">
      <c r="G3406" s="12">
        <f t="shared" ref="G3406:G3409" si="584">DATE(2012,12,31)-872</f>
        <v>40402</v>
      </c>
    </row>
    <row r="3407">
      <c r="G3407" s="12">
        <f t="shared" si="584"/>
        <v>40402</v>
      </c>
    </row>
    <row r="3408">
      <c r="G3408" s="12">
        <f t="shared" si="584"/>
        <v>40402</v>
      </c>
    </row>
    <row r="3409">
      <c r="G3409" s="12">
        <f t="shared" si="584"/>
        <v>40402</v>
      </c>
    </row>
    <row r="3410">
      <c r="G3410" s="12">
        <f t="shared" ref="G3410:G3416" si="585">DATE(2012,12,31)-871</f>
        <v>40403</v>
      </c>
    </row>
    <row r="3411">
      <c r="G3411" s="12">
        <f t="shared" si="585"/>
        <v>40403</v>
      </c>
    </row>
    <row r="3412">
      <c r="G3412" s="12">
        <f t="shared" si="585"/>
        <v>40403</v>
      </c>
    </row>
    <row r="3413">
      <c r="G3413" s="12">
        <f t="shared" si="585"/>
        <v>40403</v>
      </c>
    </row>
    <row r="3414">
      <c r="G3414" s="12">
        <f t="shared" si="585"/>
        <v>40403</v>
      </c>
    </row>
    <row r="3415">
      <c r="G3415" s="12">
        <f t="shared" si="585"/>
        <v>40403</v>
      </c>
    </row>
    <row r="3416">
      <c r="G3416" s="12">
        <f t="shared" si="585"/>
        <v>40403</v>
      </c>
    </row>
    <row r="3417">
      <c r="G3417" s="12">
        <f t="shared" ref="G3417:G3420" si="586">DATE(2012,12,31)-870</f>
        <v>40404</v>
      </c>
    </row>
    <row r="3418">
      <c r="G3418" s="12">
        <f t="shared" si="586"/>
        <v>40404</v>
      </c>
    </row>
    <row r="3419">
      <c r="G3419" s="12">
        <f t="shared" si="586"/>
        <v>40404</v>
      </c>
    </row>
    <row r="3420">
      <c r="G3420" s="12">
        <f t="shared" si="586"/>
        <v>40404</v>
      </c>
    </row>
    <row r="3421">
      <c r="G3421" s="12">
        <f t="shared" ref="G3421:G3425" si="587">DATE(2012,12,31)-869</f>
        <v>40405</v>
      </c>
    </row>
    <row r="3422">
      <c r="G3422" s="12">
        <f t="shared" si="587"/>
        <v>40405</v>
      </c>
    </row>
    <row r="3423">
      <c r="G3423" s="12">
        <f t="shared" si="587"/>
        <v>40405</v>
      </c>
    </row>
    <row r="3424">
      <c r="G3424" s="12">
        <f t="shared" si="587"/>
        <v>40405</v>
      </c>
    </row>
    <row r="3425">
      <c r="G3425" s="12">
        <f t="shared" si="587"/>
        <v>40405</v>
      </c>
    </row>
    <row r="3426">
      <c r="G3426" s="12">
        <f t="shared" ref="G3426:G3431" si="588">DATE(2012,12,31)-868</f>
        <v>40406</v>
      </c>
    </row>
    <row r="3427">
      <c r="G3427" s="12">
        <f t="shared" si="588"/>
        <v>40406</v>
      </c>
    </row>
    <row r="3428">
      <c r="G3428" s="12">
        <f t="shared" si="588"/>
        <v>40406</v>
      </c>
    </row>
    <row r="3429">
      <c r="G3429" s="12">
        <f t="shared" si="588"/>
        <v>40406</v>
      </c>
    </row>
    <row r="3430">
      <c r="G3430" s="12">
        <f t="shared" si="588"/>
        <v>40406</v>
      </c>
    </row>
    <row r="3431">
      <c r="G3431" s="12">
        <f t="shared" si="588"/>
        <v>40406</v>
      </c>
    </row>
    <row r="3432">
      <c r="G3432" s="12">
        <f t="shared" ref="G3432:G3439" si="589">DATE(2012,12,31)-867</f>
        <v>40407</v>
      </c>
    </row>
    <row r="3433">
      <c r="G3433" s="12">
        <f t="shared" si="589"/>
        <v>40407</v>
      </c>
    </row>
    <row r="3434">
      <c r="G3434" s="12">
        <f t="shared" si="589"/>
        <v>40407</v>
      </c>
    </row>
    <row r="3435">
      <c r="G3435" s="12">
        <f t="shared" si="589"/>
        <v>40407</v>
      </c>
    </row>
    <row r="3436">
      <c r="G3436" s="12">
        <f t="shared" si="589"/>
        <v>40407</v>
      </c>
    </row>
    <row r="3437">
      <c r="G3437" s="12">
        <f t="shared" si="589"/>
        <v>40407</v>
      </c>
    </row>
    <row r="3438">
      <c r="G3438" s="12">
        <f t="shared" si="589"/>
        <v>40407</v>
      </c>
    </row>
    <row r="3439">
      <c r="G3439" s="12">
        <f t="shared" si="589"/>
        <v>40407</v>
      </c>
    </row>
    <row r="3440">
      <c r="G3440" s="12">
        <f t="shared" ref="G3440:G3446" si="590">DATE(2012,12,31)-866</f>
        <v>40408</v>
      </c>
    </row>
    <row r="3441">
      <c r="G3441" s="12">
        <f t="shared" si="590"/>
        <v>40408</v>
      </c>
    </row>
    <row r="3442">
      <c r="G3442" s="12">
        <f t="shared" si="590"/>
        <v>40408</v>
      </c>
    </row>
    <row r="3443">
      <c r="G3443" s="12">
        <f t="shared" si="590"/>
        <v>40408</v>
      </c>
    </row>
    <row r="3444">
      <c r="G3444" s="12">
        <f t="shared" si="590"/>
        <v>40408</v>
      </c>
    </row>
    <row r="3445">
      <c r="G3445" s="12">
        <f t="shared" si="590"/>
        <v>40408</v>
      </c>
    </row>
    <row r="3446">
      <c r="G3446" s="12">
        <f t="shared" si="590"/>
        <v>40408</v>
      </c>
    </row>
    <row r="3447">
      <c r="G3447" s="12">
        <f t="shared" ref="G3447:G3448" si="591">DATE(2012,12,31)-865</f>
        <v>40409</v>
      </c>
    </row>
    <row r="3448">
      <c r="G3448" s="12">
        <f t="shared" si="591"/>
        <v>40409</v>
      </c>
    </row>
    <row r="3449">
      <c r="G3449" s="12">
        <f t="shared" ref="G3449:G3454" si="592">DATE(2012,12,31)-864</f>
        <v>40410</v>
      </c>
    </row>
    <row r="3450">
      <c r="G3450" s="12">
        <f t="shared" si="592"/>
        <v>40410</v>
      </c>
    </row>
    <row r="3451">
      <c r="G3451" s="12">
        <f t="shared" si="592"/>
        <v>40410</v>
      </c>
    </row>
    <row r="3452">
      <c r="G3452" s="12">
        <f t="shared" si="592"/>
        <v>40410</v>
      </c>
    </row>
    <row r="3453">
      <c r="G3453" s="12">
        <f t="shared" si="592"/>
        <v>40410</v>
      </c>
    </row>
    <row r="3454">
      <c r="G3454" s="12">
        <f t="shared" si="592"/>
        <v>40410</v>
      </c>
    </row>
    <row r="3455">
      <c r="G3455" s="12">
        <f t="shared" ref="G3455:G3461" si="593">DATE(2012,12,31)-863</f>
        <v>40411</v>
      </c>
    </row>
    <row r="3456">
      <c r="G3456" s="12">
        <f t="shared" si="593"/>
        <v>40411</v>
      </c>
    </row>
    <row r="3457">
      <c r="G3457" s="12">
        <f t="shared" si="593"/>
        <v>40411</v>
      </c>
    </row>
    <row r="3458">
      <c r="G3458" s="12">
        <f t="shared" si="593"/>
        <v>40411</v>
      </c>
    </row>
    <row r="3459">
      <c r="G3459" s="12">
        <f t="shared" si="593"/>
        <v>40411</v>
      </c>
    </row>
    <row r="3460">
      <c r="G3460" s="12">
        <f t="shared" si="593"/>
        <v>40411</v>
      </c>
    </row>
    <row r="3461">
      <c r="G3461" s="12">
        <f t="shared" si="593"/>
        <v>40411</v>
      </c>
    </row>
    <row r="3462">
      <c r="G3462" s="12">
        <f t="shared" ref="G3462:G3464" si="594">DATE(2012,12,31)-862</f>
        <v>40412</v>
      </c>
    </row>
    <row r="3463">
      <c r="G3463" s="12">
        <f t="shared" si="594"/>
        <v>40412</v>
      </c>
    </row>
    <row r="3464">
      <c r="G3464" s="12">
        <f t="shared" si="594"/>
        <v>40412</v>
      </c>
    </row>
    <row r="3465">
      <c r="G3465" s="12">
        <f t="shared" ref="G3465:G3470" si="595">DATE(2012,12,31)-861</f>
        <v>40413</v>
      </c>
    </row>
    <row r="3466">
      <c r="G3466" s="12">
        <f t="shared" si="595"/>
        <v>40413</v>
      </c>
    </row>
    <row r="3467">
      <c r="G3467" s="12">
        <f t="shared" si="595"/>
        <v>40413</v>
      </c>
    </row>
    <row r="3468">
      <c r="G3468" s="12">
        <f t="shared" si="595"/>
        <v>40413</v>
      </c>
    </row>
    <row r="3469">
      <c r="G3469" s="12">
        <f t="shared" si="595"/>
        <v>40413</v>
      </c>
    </row>
    <row r="3470">
      <c r="G3470" s="12">
        <f t="shared" si="595"/>
        <v>40413</v>
      </c>
    </row>
    <row r="3471">
      <c r="G3471" s="12">
        <f t="shared" ref="G3471:G3479" si="596">DATE(2012,12,31)-860</f>
        <v>40414</v>
      </c>
    </row>
    <row r="3472">
      <c r="G3472" s="12">
        <f t="shared" si="596"/>
        <v>40414</v>
      </c>
    </row>
    <row r="3473">
      <c r="G3473" s="12">
        <f t="shared" si="596"/>
        <v>40414</v>
      </c>
    </row>
    <row r="3474">
      <c r="G3474" s="12">
        <f t="shared" si="596"/>
        <v>40414</v>
      </c>
    </row>
    <row r="3475">
      <c r="G3475" s="12">
        <f t="shared" si="596"/>
        <v>40414</v>
      </c>
    </row>
    <row r="3476">
      <c r="G3476" s="12">
        <f t="shared" si="596"/>
        <v>40414</v>
      </c>
    </row>
    <row r="3477">
      <c r="G3477" s="12">
        <f t="shared" si="596"/>
        <v>40414</v>
      </c>
    </row>
    <row r="3478">
      <c r="G3478" s="12">
        <f t="shared" si="596"/>
        <v>40414</v>
      </c>
    </row>
    <row r="3479">
      <c r="G3479" s="12">
        <f t="shared" si="596"/>
        <v>40414</v>
      </c>
    </row>
    <row r="3480">
      <c r="G3480" s="12">
        <f>DATE(2012,12,31)-859</f>
        <v>40415</v>
      </c>
    </row>
    <row r="3481">
      <c r="G3481" s="12">
        <f t="shared" ref="G3481:G3494" si="597">DATE(2012,12,31)-858</f>
        <v>40416</v>
      </c>
    </row>
    <row r="3482">
      <c r="G3482" s="12">
        <f t="shared" si="597"/>
        <v>40416</v>
      </c>
    </row>
    <row r="3483">
      <c r="G3483" s="12">
        <f t="shared" si="597"/>
        <v>40416</v>
      </c>
    </row>
    <row r="3484">
      <c r="G3484" s="12">
        <f t="shared" si="597"/>
        <v>40416</v>
      </c>
    </row>
    <row r="3485">
      <c r="G3485" s="12">
        <f t="shared" si="597"/>
        <v>40416</v>
      </c>
    </row>
    <row r="3486">
      <c r="G3486" s="12">
        <f t="shared" si="597"/>
        <v>40416</v>
      </c>
    </row>
    <row r="3487">
      <c r="G3487" s="12">
        <f t="shared" si="597"/>
        <v>40416</v>
      </c>
    </row>
    <row r="3488">
      <c r="G3488" s="12">
        <f t="shared" si="597"/>
        <v>40416</v>
      </c>
    </row>
    <row r="3489">
      <c r="G3489" s="12">
        <f t="shared" si="597"/>
        <v>40416</v>
      </c>
    </row>
    <row r="3490">
      <c r="G3490" s="12">
        <f t="shared" si="597"/>
        <v>40416</v>
      </c>
    </row>
    <row r="3491">
      <c r="G3491" s="12">
        <f t="shared" si="597"/>
        <v>40416</v>
      </c>
    </row>
    <row r="3492">
      <c r="G3492" s="12">
        <f t="shared" si="597"/>
        <v>40416</v>
      </c>
    </row>
    <row r="3493">
      <c r="G3493" s="12">
        <f t="shared" si="597"/>
        <v>40416</v>
      </c>
    </row>
    <row r="3494">
      <c r="G3494" s="12">
        <f t="shared" si="597"/>
        <v>40416</v>
      </c>
    </row>
    <row r="3495">
      <c r="G3495" s="12">
        <f t="shared" ref="G3495:G3498" si="598">DATE(2012,12,31)-857</f>
        <v>40417</v>
      </c>
    </row>
    <row r="3496">
      <c r="G3496" s="12">
        <f t="shared" si="598"/>
        <v>40417</v>
      </c>
    </row>
    <row r="3497">
      <c r="G3497" s="12">
        <f t="shared" si="598"/>
        <v>40417</v>
      </c>
    </row>
    <row r="3498">
      <c r="G3498" s="12">
        <f t="shared" si="598"/>
        <v>40417</v>
      </c>
    </row>
    <row r="3499">
      <c r="G3499" s="12">
        <f t="shared" ref="G3499:G3506" si="599">DATE(2012,12,31)-856</f>
        <v>40418</v>
      </c>
    </row>
    <row r="3500">
      <c r="G3500" s="12">
        <f t="shared" si="599"/>
        <v>40418</v>
      </c>
    </row>
    <row r="3501">
      <c r="G3501" s="12">
        <f t="shared" si="599"/>
        <v>40418</v>
      </c>
    </row>
    <row r="3502">
      <c r="G3502" s="12">
        <f t="shared" si="599"/>
        <v>40418</v>
      </c>
    </row>
    <row r="3503">
      <c r="G3503" s="12">
        <f t="shared" si="599"/>
        <v>40418</v>
      </c>
    </row>
    <row r="3504">
      <c r="G3504" s="12">
        <f t="shared" si="599"/>
        <v>40418</v>
      </c>
    </row>
    <row r="3505">
      <c r="G3505" s="12">
        <f t="shared" si="599"/>
        <v>40418</v>
      </c>
    </row>
    <row r="3506">
      <c r="G3506" s="12">
        <f t="shared" si="599"/>
        <v>40418</v>
      </c>
    </row>
    <row r="3507">
      <c r="G3507" s="12">
        <f t="shared" ref="G3507:G3509" si="600">DATE(2012,12,31)-855</f>
        <v>40419</v>
      </c>
    </row>
    <row r="3508">
      <c r="G3508" s="12">
        <f t="shared" si="600"/>
        <v>40419</v>
      </c>
    </row>
    <row r="3509">
      <c r="G3509" s="12">
        <f t="shared" si="600"/>
        <v>40419</v>
      </c>
    </row>
    <row r="3510">
      <c r="G3510" s="12">
        <f t="shared" ref="G3510:G3522" si="601">DATE(2012,12,31)-854</f>
        <v>40420</v>
      </c>
    </row>
    <row r="3511">
      <c r="G3511" s="12">
        <f t="shared" si="601"/>
        <v>40420</v>
      </c>
    </row>
    <row r="3512">
      <c r="G3512" s="12">
        <f t="shared" si="601"/>
        <v>40420</v>
      </c>
    </row>
    <row r="3513">
      <c r="G3513" s="12">
        <f t="shared" si="601"/>
        <v>40420</v>
      </c>
    </row>
    <row r="3514">
      <c r="G3514" s="12">
        <f t="shared" si="601"/>
        <v>40420</v>
      </c>
    </row>
    <row r="3515">
      <c r="G3515" s="12">
        <f t="shared" si="601"/>
        <v>40420</v>
      </c>
    </row>
    <row r="3516">
      <c r="G3516" s="12">
        <f t="shared" si="601"/>
        <v>40420</v>
      </c>
    </row>
    <row r="3517">
      <c r="G3517" s="12">
        <f t="shared" si="601"/>
        <v>40420</v>
      </c>
    </row>
    <row r="3518">
      <c r="G3518" s="12">
        <f t="shared" si="601"/>
        <v>40420</v>
      </c>
    </row>
    <row r="3519">
      <c r="G3519" s="12">
        <f t="shared" si="601"/>
        <v>40420</v>
      </c>
    </row>
    <row r="3520">
      <c r="G3520" s="12">
        <f t="shared" si="601"/>
        <v>40420</v>
      </c>
    </row>
    <row r="3521">
      <c r="G3521" s="12">
        <f t="shared" si="601"/>
        <v>40420</v>
      </c>
    </row>
    <row r="3522">
      <c r="G3522" s="12">
        <f t="shared" si="601"/>
        <v>40420</v>
      </c>
    </row>
    <row r="3523">
      <c r="G3523" s="12">
        <f t="shared" ref="G3523:G3525" si="602">DATE(2012,12,31)-853</f>
        <v>40421</v>
      </c>
    </row>
    <row r="3524">
      <c r="G3524" s="12">
        <f t="shared" si="602"/>
        <v>40421</v>
      </c>
    </row>
    <row r="3525">
      <c r="G3525" s="12">
        <f t="shared" si="602"/>
        <v>40421</v>
      </c>
    </row>
    <row r="3526">
      <c r="G3526" s="12">
        <f t="shared" ref="G3526:G3530" si="603">DATE(2012,12,31)-852</f>
        <v>40422</v>
      </c>
    </row>
    <row r="3527">
      <c r="G3527" s="12">
        <f t="shared" si="603"/>
        <v>40422</v>
      </c>
    </row>
    <row r="3528">
      <c r="G3528" s="12">
        <f t="shared" si="603"/>
        <v>40422</v>
      </c>
    </row>
    <row r="3529">
      <c r="G3529" s="12">
        <f t="shared" si="603"/>
        <v>40422</v>
      </c>
    </row>
    <row r="3530">
      <c r="G3530" s="12">
        <f t="shared" si="603"/>
        <v>40422</v>
      </c>
    </row>
    <row r="3531">
      <c r="G3531" s="12">
        <f t="shared" ref="G3531:G3532" si="604">DATE(2012,12,31)-851</f>
        <v>40423</v>
      </c>
    </row>
    <row r="3532">
      <c r="G3532" s="12">
        <f t="shared" si="604"/>
        <v>40423</v>
      </c>
    </row>
    <row r="3533">
      <c r="G3533" s="12">
        <f t="shared" ref="G3533:G3537" si="605">DATE(2012,12,31)-850</f>
        <v>40424</v>
      </c>
    </row>
    <row r="3534">
      <c r="G3534" s="12">
        <f t="shared" si="605"/>
        <v>40424</v>
      </c>
    </row>
    <row r="3535">
      <c r="G3535" s="12">
        <f t="shared" si="605"/>
        <v>40424</v>
      </c>
    </row>
    <row r="3536">
      <c r="G3536" s="12">
        <f t="shared" si="605"/>
        <v>40424</v>
      </c>
    </row>
    <row r="3537">
      <c r="G3537" s="12">
        <f t="shared" si="605"/>
        <v>40424</v>
      </c>
    </row>
    <row r="3538">
      <c r="G3538" s="12">
        <f t="shared" ref="G3538:G3542" si="606">DATE(2012,12,31)-849</f>
        <v>40425</v>
      </c>
    </row>
    <row r="3539">
      <c r="G3539" s="12">
        <f t="shared" si="606"/>
        <v>40425</v>
      </c>
    </row>
    <row r="3540">
      <c r="G3540" s="12">
        <f t="shared" si="606"/>
        <v>40425</v>
      </c>
    </row>
    <row r="3541">
      <c r="G3541" s="12">
        <f t="shared" si="606"/>
        <v>40425</v>
      </c>
    </row>
    <row r="3542">
      <c r="G3542" s="12">
        <f t="shared" si="606"/>
        <v>40425</v>
      </c>
    </row>
    <row r="3543">
      <c r="G3543" s="12">
        <f t="shared" ref="G3543:G3549" si="607">DATE(2012,12,31)-848</f>
        <v>40426</v>
      </c>
    </row>
    <row r="3544">
      <c r="G3544" s="12">
        <f t="shared" si="607"/>
        <v>40426</v>
      </c>
    </row>
    <row r="3545">
      <c r="G3545" s="12">
        <f t="shared" si="607"/>
        <v>40426</v>
      </c>
    </row>
    <row r="3546">
      <c r="G3546" s="12">
        <f t="shared" si="607"/>
        <v>40426</v>
      </c>
    </row>
    <row r="3547">
      <c r="G3547" s="12">
        <f t="shared" si="607"/>
        <v>40426</v>
      </c>
    </row>
    <row r="3548">
      <c r="G3548" s="12">
        <f t="shared" si="607"/>
        <v>40426</v>
      </c>
    </row>
    <row r="3549">
      <c r="G3549" s="12">
        <f t="shared" si="607"/>
        <v>40426</v>
      </c>
    </row>
    <row r="3550">
      <c r="G3550" s="12">
        <f t="shared" ref="G3550:G3555" si="608">DATE(2012,12,31)-847</f>
        <v>40427</v>
      </c>
    </row>
    <row r="3551">
      <c r="G3551" s="12">
        <f t="shared" si="608"/>
        <v>40427</v>
      </c>
    </row>
    <row r="3552">
      <c r="G3552" s="12">
        <f t="shared" si="608"/>
        <v>40427</v>
      </c>
    </row>
    <row r="3553">
      <c r="G3553" s="12">
        <f t="shared" si="608"/>
        <v>40427</v>
      </c>
    </row>
    <row r="3554">
      <c r="G3554" s="12">
        <f t="shared" si="608"/>
        <v>40427</v>
      </c>
    </row>
    <row r="3555">
      <c r="G3555" s="12">
        <f t="shared" si="608"/>
        <v>40427</v>
      </c>
    </row>
    <row r="3556">
      <c r="G3556" s="12">
        <f t="shared" ref="G3556:G3562" si="609">DATE(2012,12,31)-846</f>
        <v>40428</v>
      </c>
    </row>
    <row r="3557">
      <c r="G3557" s="12">
        <f t="shared" si="609"/>
        <v>40428</v>
      </c>
    </row>
    <row r="3558">
      <c r="G3558" s="12">
        <f t="shared" si="609"/>
        <v>40428</v>
      </c>
    </row>
    <row r="3559">
      <c r="G3559" s="12">
        <f t="shared" si="609"/>
        <v>40428</v>
      </c>
    </row>
    <row r="3560">
      <c r="G3560" s="12">
        <f t="shared" si="609"/>
        <v>40428</v>
      </c>
    </row>
    <row r="3561">
      <c r="G3561" s="12">
        <f t="shared" si="609"/>
        <v>40428</v>
      </c>
    </row>
    <row r="3562">
      <c r="G3562" s="12">
        <f t="shared" si="609"/>
        <v>40428</v>
      </c>
    </row>
    <row r="3563">
      <c r="G3563" s="12">
        <f t="shared" ref="G3563:G3565" si="610">DATE(2012,12,31)-845</f>
        <v>40429</v>
      </c>
    </row>
    <row r="3564">
      <c r="G3564" s="12">
        <f t="shared" si="610"/>
        <v>40429</v>
      </c>
    </row>
    <row r="3565">
      <c r="G3565" s="12">
        <f t="shared" si="610"/>
        <v>40429</v>
      </c>
    </row>
    <row r="3566">
      <c r="G3566" s="12">
        <f t="shared" ref="G3566:G3572" si="611">DATE(2012,12,31)-844</f>
        <v>40430</v>
      </c>
    </row>
    <row r="3567">
      <c r="G3567" s="12">
        <f t="shared" si="611"/>
        <v>40430</v>
      </c>
    </row>
    <row r="3568">
      <c r="G3568" s="12">
        <f t="shared" si="611"/>
        <v>40430</v>
      </c>
    </row>
    <row r="3569">
      <c r="G3569" s="12">
        <f t="shared" si="611"/>
        <v>40430</v>
      </c>
    </row>
    <row r="3570">
      <c r="G3570" s="12">
        <f t="shared" si="611"/>
        <v>40430</v>
      </c>
    </row>
    <row r="3571">
      <c r="G3571" s="12">
        <f t="shared" si="611"/>
        <v>40430</v>
      </c>
    </row>
    <row r="3572">
      <c r="G3572" s="12">
        <f t="shared" si="611"/>
        <v>40430</v>
      </c>
    </row>
    <row r="3573">
      <c r="G3573" s="12">
        <f t="shared" ref="G3573:G3580" si="612">DATE(2012,12,31)-843</f>
        <v>40431</v>
      </c>
    </row>
    <row r="3574">
      <c r="G3574" s="12">
        <f t="shared" si="612"/>
        <v>40431</v>
      </c>
    </row>
    <row r="3575">
      <c r="G3575" s="12">
        <f t="shared" si="612"/>
        <v>40431</v>
      </c>
    </row>
    <row r="3576">
      <c r="G3576" s="12">
        <f t="shared" si="612"/>
        <v>40431</v>
      </c>
    </row>
    <row r="3577">
      <c r="G3577" s="12">
        <f t="shared" si="612"/>
        <v>40431</v>
      </c>
    </row>
    <row r="3578">
      <c r="G3578" s="12">
        <f t="shared" si="612"/>
        <v>40431</v>
      </c>
    </row>
    <row r="3579">
      <c r="G3579" s="12">
        <f t="shared" si="612"/>
        <v>40431</v>
      </c>
    </row>
    <row r="3580">
      <c r="G3580" s="12">
        <f t="shared" si="612"/>
        <v>40431</v>
      </c>
    </row>
    <row r="3581">
      <c r="G3581" s="12">
        <f t="shared" ref="G3581:G3583" si="613">DATE(2012,12,31)-842</f>
        <v>40432</v>
      </c>
    </row>
    <row r="3582">
      <c r="G3582" s="12">
        <f t="shared" si="613"/>
        <v>40432</v>
      </c>
    </row>
    <row r="3583">
      <c r="G3583" s="12">
        <f t="shared" si="613"/>
        <v>40432</v>
      </c>
    </row>
    <row r="3584">
      <c r="G3584" s="12">
        <f t="shared" ref="G3584:G3589" si="614">DATE(2012,12,31)-841</f>
        <v>40433</v>
      </c>
    </row>
    <row r="3585">
      <c r="G3585" s="12">
        <f t="shared" si="614"/>
        <v>40433</v>
      </c>
    </row>
    <row r="3586">
      <c r="G3586" s="12">
        <f t="shared" si="614"/>
        <v>40433</v>
      </c>
    </row>
    <row r="3587">
      <c r="G3587" s="12">
        <f t="shared" si="614"/>
        <v>40433</v>
      </c>
    </row>
    <row r="3588">
      <c r="G3588" s="12">
        <f t="shared" si="614"/>
        <v>40433</v>
      </c>
    </row>
    <row r="3589">
      <c r="G3589" s="12">
        <f t="shared" si="614"/>
        <v>40433</v>
      </c>
    </row>
    <row r="3590">
      <c r="G3590" s="12">
        <f t="shared" ref="G3590:G3595" si="615">DATE(2012,12,31)-840</f>
        <v>40434</v>
      </c>
    </row>
    <row r="3591">
      <c r="G3591" s="12">
        <f t="shared" si="615"/>
        <v>40434</v>
      </c>
    </row>
    <row r="3592">
      <c r="G3592" s="12">
        <f t="shared" si="615"/>
        <v>40434</v>
      </c>
    </row>
    <row r="3593">
      <c r="G3593" s="12">
        <f t="shared" si="615"/>
        <v>40434</v>
      </c>
    </row>
    <row r="3594">
      <c r="G3594" s="12">
        <f t="shared" si="615"/>
        <v>40434</v>
      </c>
    </row>
    <row r="3595">
      <c r="G3595" s="12">
        <f t="shared" si="615"/>
        <v>40434</v>
      </c>
    </row>
    <row r="3596">
      <c r="G3596" s="12">
        <f t="shared" ref="G3596:G3606" si="616">DATE(2012,12,31)-839</f>
        <v>40435</v>
      </c>
    </row>
    <row r="3597">
      <c r="G3597" s="12">
        <f t="shared" si="616"/>
        <v>40435</v>
      </c>
    </row>
    <row r="3598">
      <c r="G3598" s="12">
        <f t="shared" si="616"/>
        <v>40435</v>
      </c>
    </row>
    <row r="3599">
      <c r="G3599" s="12">
        <f t="shared" si="616"/>
        <v>40435</v>
      </c>
    </row>
    <row r="3600">
      <c r="G3600" s="12">
        <f t="shared" si="616"/>
        <v>40435</v>
      </c>
    </row>
    <row r="3601">
      <c r="G3601" s="12">
        <f t="shared" si="616"/>
        <v>40435</v>
      </c>
    </row>
    <row r="3602">
      <c r="G3602" s="12">
        <f t="shared" si="616"/>
        <v>40435</v>
      </c>
    </row>
    <row r="3603">
      <c r="G3603" s="12">
        <f t="shared" si="616"/>
        <v>40435</v>
      </c>
    </row>
    <row r="3604">
      <c r="G3604" s="12">
        <f t="shared" si="616"/>
        <v>40435</v>
      </c>
    </row>
    <row r="3605">
      <c r="G3605" s="12">
        <f t="shared" si="616"/>
        <v>40435</v>
      </c>
    </row>
    <row r="3606">
      <c r="G3606" s="12">
        <f t="shared" si="616"/>
        <v>40435</v>
      </c>
    </row>
    <row r="3607">
      <c r="G3607" s="12">
        <f t="shared" ref="G3607:G3612" si="617">DATE(2012,12,31)-838</f>
        <v>40436</v>
      </c>
    </row>
    <row r="3608">
      <c r="G3608" s="12">
        <f t="shared" si="617"/>
        <v>40436</v>
      </c>
    </row>
    <row r="3609">
      <c r="G3609" s="12">
        <f t="shared" si="617"/>
        <v>40436</v>
      </c>
    </row>
    <row r="3610">
      <c r="G3610" s="12">
        <f t="shared" si="617"/>
        <v>40436</v>
      </c>
    </row>
    <row r="3611">
      <c r="G3611" s="12">
        <f t="shared" si="617"/>
        <v>40436</v>
      </c>
    </row>
    <row r="3612">
      <c r="G3612" s="12">
        <f t="shared" si="617"/>
        <v>40436</v>
      </c>
    </row>
    <row r="3613">
      <c r="G3613" s="12">
        <f t="shared" ref="G3613:G3624" si="618">DATE(2012,12,31)-836</f>
        <v>40438</v>
      </c>
    </row>
    <row r="3614">
      <c r="G3614" s="12">
        <f t="shared" si="618"/>
        <v>40438</v>
      </c>
    </row>
    <row r="3615">
      <c r="G3615" s="12">
        <f t="shared" si="618"/>
        <v>40438</v>
      </c>
    </row>
    <row r="3616">
      <c r="G3616" s="12">
        <f t="shared" si="618"/>
        <v>40438</v>
      </c>
    </row>
    <row r="3617">
      <c r="G3617" s="12">
        <f t="shared" si="618"/>
        <v>40438</v>
      </c>
    </row>
    <row r="3618">
      <c r="G3618" s="12">
        <f t="shared" si="618"/>
        <v>40438</v>
      </c>
    </row>
    <row r="3619">
      <c r="G3619" s="12">
        <f t="shared" si="618"/>
        <v>40438</v>
      </c>
    </row>
    <row r="3620">
      <c r="G3620" s="12">
        <f t="shared" si="618"/>
        <v>40438</v>
      </c>
    </row>
    <row r="3621">
      <c r="G3621" s="12">
        <f t="shared" si="618"/>
        <v>40438</v>
      </c>
    </row>
    <row r="3622">
      <c r="G3622" s="12">
        <f t="shared" si="618"/>
        <v>40438</v>
      </c>
    </row>
    <row r="3623">
      <c r="G3623" s="12">
        <f t="shared" si="618"/>
        <v>40438</v>
      </c>
    </row>
    <row r="3624">
      <c r="G3624" s="12">
        <f t="shared" si="618"/>
        <v>40438</v>
      </c>
    </row>
    <row r="3625">
      <c r="G3625" s="12">
        <f t="shared" ref="G3625:G3628" si="619">DATE(2012,12,31)-835</f>
        <v>40439</v>
      </c>
    </row>
    <row r="3626">
      <c r="G3626" s="12">
        <f t="shared" si="619"/>
        <v>40439</v>
      </c>
    </row>
    <row r="3627">
      <c r="G3627" s="12">
        <f t="shared" si="619"/>
        <v>40439</v>
      </c>
    </row>
    <row r="3628">
      <c r="G3628" s="12">
        <f t="shared" si="619"/>
        <v>40439</v>
      </c>
    </row>
    <row r="3629">
      <c r="G3629" s="12">
        <f t="shared" ref="G3629:G3640" si="620">DATE(2012,12,31)-834</f>
        <v>40440</v>
      </c>
    </row>
    <row r="3630">
      <c r="G3630" s="12">
        <f t="shared" si="620"/>
        <v>40440</v>
      </c>
    </row>
    <row r="3631">
      <c r="G3631" s="12">
        <f t="shared" si="620"/>
        <v>40440</v>
      </c>
    </row>
    <row r="3632">
      <c r="G3632" s="12">
        <f t="shared" si="620"/>
        <v>40440</v>
      </c>
    </row>
    <row r="3633">
      <c r="G3633" s="12">
        <f t="shared" si="620"/>
        <v>40440</v>
      </c>
    </row>
    <row r="3634">
      <c r="G3634" s="12">
        <f t="shared" si="620"/>
        <v>40440</v>
      </c>
    </row>
    <row r="3635">
      <c r="G3635" s="12">
        <f t="shared" si="620"/>
        <v>40440</v>
      </c>
    </row>
    <row r="3636">
      <c r="G3636" s="12">
        <f t="shared" si="620"/>
        <v>40440</v>
      </c>
    </row>
    <row r="3637">
      <c r="G3637" s="12">
        <f t="shared" si="620"/>
        <v>40440</v>
      </c>
    </row>
    <row r="3638">
      <c r="G3638" s="12">
        <f t="shared" si="620"/>
        <v>40440</v>
      </c>
    </row>
    <row r="3639">
      <c r="G3639" s="12">
        <f t="shared" si="620"/>
        <v>40440</v>
      </c>
    </row>
    <row r="3640">
      <c r="G3640" s="12">
        <f t="shared" si="620"/>
        <v>40440</v>
      </c>
    </row>
    <row r="3641">
      <c r="G3641" s="12">
        <f t="shared" ref="G3641:G3647" si="621">DATE(2012,12,31)-833</f>
        <v>40441</v>
      </c>
    </row>
    <row r="3642">
      <c r="G3642" s="12">
        <f t="shared" si="621"/>
        <v>40441</v>
      </c>
    </row>
    <row r="3643">
      <c r="G3643" s="12">
        <f t="shared" si="621"/>
        <v>40441</v>
      </c>
    </row>
    <row r="3644">
      <c r="G3644" s="12">
        <f t="shared" si="621"/>
        <v>40441</v>
      </c>
    </row>
    <row r="3645">
      <c r="G3645" s="12">
        <f t="shared" si="621"/>
        <v>40441</v>
      </c>
    </row>
    <row r="3646">
      <c r="G3646" s="12">
        <f t="shared" si="621"/>
        <v>40441</v>
      </c>
    </row>
    <row r="3647">
      <c r="G3647" s="12">
        <f t="shared" si="621"/>
        <v>40441</v>
      </c>
    </row>
    <row r="3648">
      <c r="G3648" s="12">
        <f t="shared" ref="G3648:G3654" si="622">DATE(2012,12,31)-832</f>
        <v>40442</v>
      </c>
    </row>
    <row r="3649">
      <c r="G3649" s="12">
        <f t="shared" si="622"/>
        <v>40442</v>
      </c>
    </row>
    <row r="3650">
      <c r="G3650" s="12">
        <f t="shared" si="622"/>
        <v>40442</v>
      </c>
    </row>
    <row r="3651">
      <c r="G3651" s="12">
        <f t="shared" si="622"/>
        <v>40442</v>
      </c>
    </row>
    <row r="3652">
      <c r="G3652" s="12">
        <f t="shared" si="622"/>
        <v>40442</v>
      </c>
    </row>
    <row r="3653">
      <c r="G3653" s="12">
        <f t="shared" si="622"/>
        <v>40442</v>
      </c>
    </row>
    <row r="3654">
      <c r="G3654" s="12">
        <f t="shared" si="622"/>
        <v>40442</v>
      </c>
    </row>
    <row r="3655">
      <c r="G3655" s="12">
        <f t="shared" ref="G3655:G3657" si="623">DATE(2012,12,31)-831</f>
        <v>40443</v>
      </c>
    </row>
    <row r="3656">
      <c r="G3656" s="12">
        <f t="shared" si="623"/>
        <v>40443</v>
      </c>
    </row>
    <row r="3657">
      <c r="G3657" s="12">
        <f t="shared" si="623"/>
        <v>40443</v>
      </c>
    </row>
    <row r="3658">
      <c r="G3658" s="12">
        <f t="shared" ref="G3658:G3664" si="624">DATE(2012,12,31)-830</f>
        <v>40444</v>
      </c>
    </row>
    <row r="3659">
      <c r="G3659" s="12">
        <f t="shared" si="624"/>
        <v>40444</v>
      </c>
    </row>
    <row r="3660">
      <c r="G3660" s="12">
        <f t="shared" si="624"/>
        <v>40444</v>
      </c>
    </row>
    <row r="3661">
      <c r="G3661" s="12">
        <f t="shared" si="624"/>
        <v>40444</v>
      </c>
    </row>
    <row r="3662">
      <c r="G3662" s="12">
        <f t="shared" si="624"/>
        <v>40444</v>
      </c>
    </row>
    <row r="3663">
      <c r="G3663" s="12">
        <f t="shared" si="624"/>
        <v>40444</v>
      </c>
    </row>
    <row r="3664">
      <c r="G3664" s="12">
        <f t="shared" si="624"/>
        <v>40444</v>
      </c>
    </row>
    <row r="3665">
      <c r="G3665" s="12">
        <f t="shared" ref="G3665:G3674" si="625">DATE(2012,12,31)-829</f>
        <v>40445</v>
      </c>
    </row>
    <row r="3666">
      <c r="G3666" s="12">
        <f t="shared" si="625"/>
        <v>40445</v>
      </c>
    </row>
    <row r="3667">
      <c r="G3667" s="12">
        <f t="shared" si="625"/>
        <v>40445</v>
      </c>
    </row>
    <row r="3668">
      <c r="G3668" s="12">
        <f t="shared" si="625"/>
        <v>40445</v>
      </c>
    </row>
    <row r="3669">
      <c r="G3669" s="12">
        <f t="shared" si="625"/>
        <v>40445</v>
      </c>
    </row>
    <row r="3670">
      <c r="G3670" s="12">
        <f t="shared" si="625"/>
        <v>40445</v>
      </c>
    </row>
    <row r="3671">
      <c r="G3671" s="12">
        <f t="shared" si="625"/>
        <v>40445</v>
      </c>
    </row>
    <row r="3672">
      <c r="G3672" s="12">
        <f t="shared" si="625"/>
        <v>40445</v>
      </c>
    </row>
    <row r="3673">
      <c r="G3673" s="12">
        <f t="shared" si="625"/>
        <v>40445</v>
      </c>
    </row>
    <row r="3674">
      <c r="G3674" s="12">
        <f t="shared" si="625"/>
        <v>40445</v>
      </c>
    </row>
    <row r="3675">
      <c r="G3675" s="12">
        <f t="shared" ref="G3675:G3683" si="626">DATE(2012,12,31)-828</f>
        <v>40446</v>
      </c>
    </row>
    <row r="3676">
      <c r="G3676" s="12">
        <f t="shared" si="626"/>
        <v>40446</v>
      </c>
    </row>
    <row r="3677">
      <c r="G3677" s="12">
        <f t="shared" si="626"/>
        <v>40446</v>
      </c>
    </row>
    <row r="3678">
      <c r="G3678" s="12">
        <f t="shared" si="626"/>
        <v>40446</v>
      </c>
    </row>
    <row r="3679">
      <c r="G3679" s="12">
        <f t="shared" si="626"/>
        <v>40446</v>
      </c>
    </row>
    <row r="3680">
      <c r="G3680" s="12">
        <f t="shared" si="626"/>
        <v>40446</v>
      </c>
    </row>
    <row r="3681">
      <c r="G3681" s="12">
        <f t="shared" si="626"/>
        <v>40446</v>
      </c>
    </row>
    <row r="3682">
      <c r="G3682" s="12">
        <f t="shared" si="626"/>
        <v>40446</v>
      </c>
    </row>
    <row r="3683">
      <c r="G3683" s="12">
        <f t="shared" si="626"/>
        <v>40446</v>
      </c>
    </row>
    <row r="3684">
      <c r="G3684" s="12">
        <f t="shared" ref="G3684:G3695" si="627">DATE(2012,12,31)-827</f>
        <v>40447</v>
      </c>
    </row>
    <row r="3685">
      <c r="G3685" s="12">
        <f t="shared" si="627"/>
        <v>40447</v>
      </c>
    </row>
    <row r="3686">
      <c r="G3686" s="12">
        <f t="shared" si="627"/>
        <v>40447</v>
      </c>
    </row>
    <row r="3687">
      <c r="G3687" s="12">
        <f t="shared" si="627"/>
        <v>40447</v>
      </c>
    </row>
    <row r="3688">
      <c r="G3688" s="12">
        <f t="shared" si="627"/>
        <v>40447</v>
      </c>
    </row>
    <row r="3689">
      <c r="G3689" s="12">
        <f t="shared" si="627"/>
        <v>40447</v>
      </c>
    </row>
    <row r="3690">
      <c r="G3690" s="12">
        <f t="shared" si="627"/>
        <v>40447</v>
      </c>
    </row>
    <row r="3691">
      <c r="G3691" s="12">
        <f t="shared" si="627"/>
        <v>40447</v>
      </c>
    </row>
    <row r="3692">
      <c r="G3692" s="12">
        <f t="shared" si="627"/>
        <v>40447</v>
      </c>
    </row>
    <row r="3693">
      <c r="G3693" s="12">
        <f t="shared" si="627"/>
        <v>40447</v>
      </c>
    </row>
    <row r="3694">
      <c r="G3694" s="12">
        <f t="shared" si="627"/>
        <v>40447</v>
      </c>
    </row>
    <row r="3695">
      <c r="G3695" s="12">
        <f t="shared" si="627"/>
        <v>40447</v>
      </c>
    </row>
    <row r="3696">
      <c r="G3696" s="12">
        <f t="shared" ref="G3696:G3697" si="628">DATE(2012,12,31)-826</f>
        <v>40448</v>
      </c>
    </row>
    <row r="3697">
      <c r="G3697" s="12">
        <f t="shared" si="628"/>
        <v>40448</v>
      </c>
    </row>
    <row r="3698">
      <c r="G3698" s="12">
        <f t="shared" ref="G3698:G3701" si="629">DATE(2012,12,31)-825</f>
        <v>40449</v>
      </c>
    </row>
    <row r="3699">
      <c r="G3699" s="12">
        <f t="shared" si="629"/>
        <v>40449</v>
      </c>
    </row>
    <row r="3700">
      <c r="G3700" s="12">
        <f t="shared" si="629"/>
        <v>40449</v>
      </c>
    </row>
    <row r="3701">
      <c r="G3701" s="12">
        <f t="shared" si="629"/>
        <v>40449</v>
      </c>
    </row>
    <row r="3702">
      <c r="G3702" s="12">
        <f t="shared" ref="G3702:G3711" si="630">DATE(2012,12,31)-824</f>
        <v>40450</v>
      </c>
    </row>
    <row r="3703">
      <c r="G3703" s="12">
        <f t="shared" si="630"/>
        <v>40450</v>
      </c>
    </row>
    <row r="3704">
      <c r="G3704" s="12">
        <f t="shared" si="630"/>
        <v>40450</v>
      </c>
    </row>
    <row r="3705">
      <c r="G3705" s="12">
        <f t="shared" si="630"/>
        <v>40450</v>
      </c>
    </row>
    <row r="3706">
      <c r="G3706" s="12">
        <f t="shared" si="630"/>
        <v>40450</v>
      </c>
    </row>
    <row r="3707">
      <c r="G3707" s="12">
        <f t="shared" si="630"/>
        <v>40450</v>
      </c>
    </row>
    <row r="3708">
      <c r="G3708" s="12">
        <f t="shared" si="630"/>
        <v>40450</v>
      </c>
    </row>
    <row r="3709">
      <c r="G3709" s="12">
        <f t="shared" si="630"/>
        <v>40450</v>
      </c>
    </row>
    <row r="3710">
      <c r="G3710" s="12">
        <f t="shared" si="630"/>
        <v>40450</v>
      </c>
    </row>
    <row r="3711">
      <c r="G3711" s="12">
        <f t="shared" si="630"/>
        <v>40450</v>
      </c>
    </row>
    <row r="3712">
      <c r="G3712" s="12">
        <f t="shared" ref="G3712:G3718" si="631">DATE(2012,12,31)-823</f>
        <v>40451</v>
      </c>
    </row>
    <row r="3713">
      <c r="G3713" s="12">
        <f t="shared" si="631"/>
        <v>40451</v>
      </c>
    </row>
    <row r="3714">
      <c r="G3714" s="12">
        <f t="shared" si="631"/>
        <v>40451</v>
      </c>
    </row>
    <row r="3715">
      <c r="G3715" s="12">
        <f t="shared" si="631"/>
        <v>40451</v>
      </c>
    </row>
    <row r="3716">
      <c r="G3716" s="12">
        <f t="shared" si="631"/>
        <v>40451</v>
      </c>
    </row>
    <row r="3717">
      <c r="G3717" s="12">
        <f t="shared" si="631"/>
        <v>40451</v>
      </c>
    </row>
    <row r="3718">
      <c r="G3718" s="12">
        <f t="shared" si="631"/>
        <v>40451</v>
      </c>
    </row>
    <row r="3719">
      <c r="G3719" s="12">
        <f t="shared" ref="G3719:G3720" si="632">DATE(2012,12,31)-822</f>
        <v>40452</v>
      </c>
    </row>
    <row r="3720">
      <c r="G3720" s="12">
        <f t="shared" si="632"/>
        <v>40452</v>
      </c>
    </row>
    <row r="3721">
      <c r="G3721" s="12">
        <f t="shared" ref="G3721:G3725" si="633">DATE(2012,12,31)-821</f>
        <v>40453</v>
      </c>
    </row>
    <row r="3722">
      <c r="G3722" s="12">
        <f t="shared" si="633"/>
        <v>40453</v>
      </c>
    </row>
    <row r="3723">
      <c r="G3723" s="12">
        <f t="shared" si="633"/>
        <v>40453</v>
      </c>
    </row>
    <row r="3724">
      <c r="G3724" s="12">
        <f t="shared" si="633"/>
        <v>40453</v>
      </c>
    </row>
    <row r="3725">
      <c r="G3725" s="12">
        <f t="shared" si="633"/>
        <v>40453</v>
      </c>
    </row>
    <row r="3726">
      <c r="G3726" s="12">
        <f t="shared" ref="G3726:G3730" si="634">DATE(2012,12,31)-820</f>
        <v>40454</v>
      </c>
    </row>
    <row r="3727">
      <c r="G3727" s="12">
        <f t="shared" si="634"/>
        <v>40454</v>
      </c>
    </row>
    <row r="3728">
      <c r="G3728" s="12">
        <f t="shared" si="634"/>
        <v>40454</v>
      </c>
    </row>
    <row r="3729">
      <c r="G3729" s="12">
        <f t="shared" si="634"/>
        <v>40454</v>
      </c>
    </row>
    <row r="3730">
      <c r="G3730" s="12">
        <f t="shared" si="634"/>
        <v>40454</v>
      </c>
    </row>
    <row r="3731">
      <c r="G3731" s="12">
        <f t="shared" ref="G3731:G3738" si="635">DATE(2012,12,31)-819</f>
        <v>40455</v>
      </c>
    </row>
    <row r="3732">
      <c r="G3732" s="12">
        <f t="shared" si="635"/>
        <v>40455</v>
      </c>
    </row>
    <row r="3733">
      <c r="G3733" s="12">
        <f t="shared" si="635"/>
        <v>40455</v>
      </c>
    </row>
    <row r="3734">
      <c r="G3734" s="12">
        <f t="shared" si="635"/>
        <v>40455</v>
      </c>
    </row>
    <row r="3735">
      <c r="G3735" s="12">
        <f t="shared" si="635"/>
        <v>40455</v>
      </c>
    </row>
    <row r="3736">
      <c r="G3736" s="12">
        <f t="shared" si="635"/>
        <v>40455</v>
      </c>
    </row>
    <row r="3737">
      <c r="G3737" s="12">
        <f t="shared" si="635"/>
        <v>40455</v>
      </c>
    </row>
    <row r="3738">
      <c r="G3738" s="12">
        <f t="shared" si="635"/>
        <v>40455</v>
      </c>
    </row>
    <row r="3739">
      <c r="G3739" s="12">
        <f t="shared" ref="G3739:G3740" si="636">DATE(2012,12,31)-818</f>
        <v>40456</v>
      </c>
    </row>
    <row r="3740">
      <c r="G3740" s="12">
        <f t="shared" si="636"/>
        <v>40456</v>
      </c>
    </row>
    <row r="3741">
      <c r="G3741" s="12">
        <f t="shared" ref="G3741:G3748" si="637">DATE(2012,12,31)-817</f>
        <v>40457</v>
      </c>
    </row>
    <row r="3742">
      <c r="G3742" s="12">
        <f t="shared" si="637"/>
        <v>40457</v>
      </c>
    </row>
    <row r="3743">
      <c r="G3743" s="12">
        <f t="shared" si="637"/>
        <v>40457</v>
      </c>
    </row>
    <row r="3744">
      <c r="G3744" s="12">
        <f t="shared" si="637"/>
        <v>40457</v>
      </c>
    </row>
    <row r="3745">
      <c r="G3745" s="12">
        <f t="shared" si="637"/>
        <v>40457</v>
      </c>
    </row>
    <row r="3746">
      <c r="G3746" s="12">
        <f t="shared" si="637"/>
        <v>40457</v>
      </c>
    </row>
    <row r="3747">
      <c r="G3747" s="12">
        <f t="shared" si="637"/>
        <v>40457</v>
      </c>
    </row>
    <row r="3748">
      <c r="G3748" s="12">
        <f t="shared" si="637"/>
        <v>40457</v>
      </c>
    </row>
    <row r="3749">
      <c r="G3749" s="12">
        <f t="shared" ref="G3749:G3757" si="638">DATE(2012,12,31)-816</f>
        <v>40458</v>
      </c>
    </row>
    <row r="3750">
      <c r="G3750" s="12">
        <f t="shared" si="638"/>
        <v>40458</v>
      </c>
    </row>
    <row r="3751">
      <c r="G3751" s="12">
        <f t="shared" si="638"/>
        <v>40458</v>
      </c>
    </row>
    <row r="3752">
      <c r="G3752" s="12">
        <f t="shared" si="638"/>
        <v>40458</v>
      </c>
    </row>
    <row r="3753">
      <c r="G3753" s="12">
        <f t="shared" si="638"/>
        <v>40458</v>
      </c>
    </row>
    <row r="3754">
      <c r="G3754" s="12">
        <f t="shared" si="638"/>
        <v>40458</v>
      </c>
    </row>
    <row r="3755">
      <c r="G3755" s="12">
        <f t="shared" si="638"/>
        <v>40458</v>
      </c>
    </row>
    <row r="3756">
      <c r="G3756" s="12">
        <f t="shared" si="638"/>
        <v>40458</v>
      </c>
    </row>
    <row r="3757">
      <c r="G3757" s="12">
        <f t="shared" si="638"/>
        <v>40458</v>
      </c>
    </row>
    <row r="3758">
      <c r="G3758" s="12">
        <f t="shared" ref="G3758:G3762" si="639">DATE(2012,12,31)-815</f>
        <v>40459</v>
      </c>
    </row>
    <row r="3759">
      <c r="G3759" s="12">
        <f t="shared" si="639"/>
        <v>40459</v>
      </c>
    </row>
    <row r="3760">
      <c r="G3760" s="12">
        <f t="shared" si="639"/>
        <v>40459</v>
      </c>
    </row>
    <row r="3761">
      <c r="G3761" s="12">
        <f t="shared" si="639"/>
        <v>40459</v>
      </c>
    </row>
    <row r="3762">
      <c r="G3762" s="12">
        <f t="shared" si="639"/>
        <v>40459</v>
      </c>
    </row>
    <row r="3763">
      <c r="G3763" s="12">
        <f t="shared" ref="G3763:G3777" si="640">DATE(2012,12,31)-814</f>
        <v>40460</v>
      </c>
    </row>
    <row r="3764">
      <c r="G3764" s="12">
        <f t="shared" si="640"/>
        <v>40460</v>
      </c>
    </row>
    <row r="3765">
      <c r="G3765" s="12">
        <f t="shared" si="640"/>
        <v>40460</v>
      </c>
    </row>
    <row r="3766">
      <c r="G3766" s="12">
        <f t="shared" si="640"/>
        <v>40460</v>
      </c>
    </row>
    <row r="3767">
      <c r="G3767" s="12">
        <f t="shared" si="640"/>
        <v>40460</v>
      </c>
    </row>
    <row r="3768">
      <c r="G3768" s="12">
        <f t="shared" si="640"/>
        <v>40460</v>
      </c>
    </row>
    <row r="3769">
      <c r="G3769" s="12">
        <f t="shared" si="640"/>
        <v>40460</v>
      </c>
    </row>
    <row r="3770">
      <c r="G3770" s="12">
        <f t="shared" si="640"/>
        <v>40460</v>
      </c>
    </row>
    <row r="3771">
      <c r="G3771" s="12">
        <f t="shared" si="640"/>
        <v>40460</v>
      </c>
    </row>
    <row r="3772">
      <c r="G3772" s="12">
        <f t="shared" si="640"/>
        <v>40460</v>
      </c>
    </row>
    <row r="3773">
      <c r="G3773" s="12">
        <f t="shared" si="640"/>
        <v>40460</v>
      </c>
    </row>
    <row r="3774">
      <c r="G3774" s="12">
        <f t="shared" si="640"/>
        <v>40460</v>
      </c>
    </row>
    <row r="3775">
      <c r="G3775" s="12">
        <f t="shared" si="640"/>
        <v>40460</v>
      </c>
    </row>
    <row r="3776">
      <c r="G3776" s="12">
        <f t="shared" si="640"/>
        <v>40460</v>
      </c>
    </row>
    <row r="3777">
      <c r="G3777" s="12">
        <f t="shared" si="640"/>
        <v>40460</v>
      </c>
    </row>
    <row r="3778">
      <c r="G3778" s="12">
        <f t="shared" ref="G3778:G3784" si="641">DATE(2012,12,31)-813</f>
        <v>40461</v>
      </c>
    </row>
    <row r="3779">
      <c r="G3779" s="12">
        <f t="shared" si="641"/>
        <v>40461</v>
      </c>
    </row>
    <row r="3780">
      <c r="G3780" s="12">
        <f t="shared" si="641"/>
        <v>40461</v>
      </c>
    </row>
    <row r="3781">
      <c r="G3781" s="12">
        <f t="shared" si="641"/>
        <v>40461</v>
      </c>
    </row>
    <row r="3782">
      <c r="G3782" s="12">
        <f t="shared" si="641"/>
        <v>40461</v>
      </c>
    </row>
    <row r="3783">
      <c r="G3783" s="12">
        <f t="shared" si="641"/>
        <v>40461</v>
      </c>
    </row>
    <row r="3784">
      <c r="G3784" s="12">
        <f t="shared" si="641"/>
        <v>40461</v>
      </c>
    </row>
    <row r="3785">
      <c r="G3785" s="12">
        <f t="shared" ref="G3785:G3789" si="642">DATE(2012,12,31)-812</f>
        <v>40462</v>
      </c>
    </row>
    <row r="3786">
      <c r="G3786" s="12">
        <f t="shared" si="642"/>
        <v>40462</v>
      </c>
    </row>
    <row r="3787">
      <c r="G3787" s="12">
        <f t="shared" si="642"/>
        <v>40462</v>
      </c>
    </row>
    <row r="3788">
      <c r="G3788" s="12">
        <f t="shared" si="642"/>
        <v>40462</v>
      </c>
    </row>
    <row r="3789">
      <c r="G3789" s="12">
        <f t="shared" si="642"/>
        <v>40462</v>
      </c>
    </row>
    <row r="3790">
      <c r="G3790" s="12">
        <f t="shared" ref="G3790:G3800" si="643">DATE(2012,12,31)-811</f>
        <v>40463</v>
      </c>
    </row>
    <row r="3791">
      <c r="G3791" s="12">
        <f t="shared" si="643"/>
        <v>40463</v>
      </c>
    </row>
    <row r="3792">
      <c r="G3792" s="12">
        <f t="shared" si="643"/>
        <v>40463</v>
      </c>
    </row>
    <row r="3793">
      <c r="G3793" s="12">
        <f t="shared" si="643"/>
        <v>40463</v>
      </c>
    </row>
    <row r="3794">
      <c r="G3794" s="12">
        <f t="shared" si="643"/>
        <v>40463</v>
      </c>
    </row>
    <row r="3795">
      <c r="G3795" s="12">
        <f t="shared" si="643"/>
        <v>40463</v>
      </c>
    </row>
    <row r="3796">
      <c r="G3796" s="12">
        <f t="shared" si="643"/>
        <v>40463</v>
      </c>
    </row>
    <row r="3797">
      <c r="G3797" s="12">
        <f t="shared" si="643"/>
        <v>40463</v>
      </c>
    </row>
    <row r="3798">
      <c r="G3798" s="12">
        <f t="shared" si="643"/>
        <v>40463</v>
      </c>
    </row>
    <row r="3799">
      <c r="G3799" s="12">
        <f t="shared" si="643"/>
        <v>40463</v>
      </c>
    </row>
    <row r="3800">
      <c r="G3800" s="12">
        <f t="shared" si="643"/>
        <v>40463</v>
      </c>
    </row>
    <row r="3801">
      <c r="G3801" s="12">
        <f t="shared" ref="G3801:G3804" si="644">DATE(2012,12,31)-810</f>
        <v>40464</v>
      </c>
    </row>
    <row r="3802">
      <c r="G3802" s="12">
        <f t="shared" si="644"/>
        <v>40464</v>
      </c>
    </row>
    <row r="3803">
      <c r="G3803" s="12">
        <f t="shared" si="644"/>
        <v>40464</v>
      </c>
    </row>
    <row r="3804">
      <c r="G3804" s="12">
        <f t="shared" si="644"/>
        <v>40464</v>
      </c>
    </row>
    <row r="3805">
      <c r="G3805" s="12">
        <f t="shared" ref="G3805:G3809" si="645">DATE(2012,12,31)-809</f>
        <v>40465</v>
      </c>
    </row>
    <row r="3806">
      <c r="G3806" s="12">
        <f t="shared" si="645"/>
        <v>40465</v>
      </c>
    </row>
    <row r="3807">
      <c r="G3807" s="12">
        <f t="shared" si="645"/>
        <v>40465</v>
      </c>
    </row>
    <row r="3808">
      <c r="G3808" s="12">
        <f t="shared" si="645"/>
        <v>40465</v>
      </c>
    </row>
    <row r="3809">
      <c r="G3809" s="12">
        <f t="shared" si="645"/>
        <v>40465</v>
      </c>
    </row>
    <row r="3810">
      <c r="G3810" s="12">
        <f t="shared" ref="G3810:G3818" si="646">DATE(2012,12,31)-808</f>
        <v>40466</v>
      </c>
    </row>
    <row r="3811">
      <c r="G3811" s="12">
        <f t="shared" si="646"/>
        <v>40466</v>
      </c>
    </row>
    <row r="3812">
      <c r="G3812" s="12">
        <f t="shared" si="646"/>
        <v>40466</v>
      </c>
    </row>
    <row r="3813">
      <c r="G3813" s="12">
        <f t="shared" si="646"/>
        <v>40466</v>
      </c>
    </row>
    <row r="3814">
      <c r="G3814" s="12">
        <f t="shared" si="646"/>
        <v>40466</v>
      </c>
    </row>
    <row r="3815">
      <c r="G3815" s="12">
        <f t="shared" si="646"/>
        <v>40466</v>
      </c>
    </row>
    <row r="3816">
      <c r="G3816" s="12">
        <f t="shared" si="646"/>
        <v>40466</v>
      </c>
    </row>
    <row r="3817">
      <c r="G3817" s="12">
        <f t="shared" si="646"/>
        <v>40466</v>
      </c>
    </row>
    <row r="3818">
      <c r="G3818" s="12">
        <f t="shared" si="646"/>
        <v>40466</v>
      </c>
    </row>
    <row r="3819">
      <c r="G3819" s="12">
        <f t="shared" ref="G3819:G3825" si="647">DATE(2012,12,31)-807</f>
        <v>40467</v>
      </c>
    </row>
    <row r="3820">
      <c r="G3820" s="12">
        <f t="shared" si="647"/>
        <v>40467</v>
      </c>
    </row>
    <row r="3821">
      <c r="G3821" s="12">
        <f t="shared" si="647"/>
        <v>40467</v>
      </c>
    </row>
    <row r="3822">
      <c r="G3822" s="12">
        <f t="shared" si="647"/>
        <v>40467</v>
      </c>
    </row>
    <row r="3823">
      <c r="G3823" s="12">
        <f t="shared" si="647"/>
        <v>40467</v>
      </c>
    </row>
    <row r="3824">
      <c r="G3824" s="12">
        <f t="shared" si="647"/>
        <v>40467</v>
      </c>
    </row>
    <row r="3825">
      <c r="G3825" s="12">
        <f t="shared" si="647"/>
        <v>40467</v>
      </c>
    </row>
    <row r="3826">
      <c r="G3826" s="12">
        <f>DATE(2012,12,31)-806</f>
        <v>40468</v>
      </c>
    </row>
    <row r="3827">
      <c r="G3827" s="12">
        <f t="shared" ref="G3827:G3832" si="648">DATE(2012,12,31)-805</f>
        <v>40469</v>
      </c>
    </row>
    <row r="3828">
      <c r="G3828" s="12">
        <f t="shared" si="648"/>
        <v>40469</v>
      </c>
    </row>
    <row r="3829">
      <c r="G3829" s="12">
        <f t="shared" si="648"/>
        <v>40469</v>
      </c>
    </row>
    <row r="3830">
      <c r="G3830" s="12">
        <f t="shared" si="648"/>
        <v>40469</v>
      </c>
    </row>
    <row r="3831">
      <c r="G3831" s="12">
        <f t="shared" si="648"/>
        <v>40469</v>
      </c>
    </row>
    <row r="3832">
      <c r="G3832" s="12">
        <f t="shared" si="648"/>
        <v>40469</v>
      </c>
    </row>
    <row r="3833">
      <c r="G3833" s="12">
        <f t="shared" ref="G3833:G3835" si="649">DATE(2012,12,31)-804</f>
        <v>40470</v>
      </c>
    </row>
    <row r="3834">
      <c r="G3834" s="12">
        <f t="shared" si="649"/>
        <v>40470</v>
      </c>
    </row>
    <row r="3835">
      <c r="G3835" s="12">
        <f t="shared" si="649"/>
        <v>40470</v>
      </c>
    </row>
    <row r="3836">
      <c r="G3836" s="12">
        <f t="shared" ref="G3836:G3843" si="650">DATE(2012,12,31)-803</f>
        <v>40471</v>
      </c>
    </row>
    <row r="3837">
      <c r="G3837" s="12">
        <f t="shared" si="650"/>
        <v>40471</v>
      </c>
    </row>
    <row r="3838">
      <c r="G3838" s="12">
        <f t="shared" si="650"/>
        <v>40471</v>
      </c>
    </row>
    <row r="3839">
      <c r="G3839" s="12">
        <f t="shared" si="650"/>
        <v>40471</v>
      </c>
    </row>
    <row r="3840">
      <c r="G3840" s="12">
        <f t="shared" si="650"/>
        <v>40471</v>
      </c>
    </row>
    <row r="3841">
      <c r="G3841" s="12">
        <f t="shared" si="650"/>
        <v>40471</v>
      </c>
    </row>
    <row r="3842">
      <c r="G3842" s="12">
        <f t="shared" si="650"/>
        <v>40471</v>
      </c>
    </row>
    <row r="3843">
      <c r="G3843" s="12">
        <f t="shared" si="650"/>
        <v>40471</v>
      </c>
    </row>
    <row r="3844">
      <c r="G3844" s="12">
        <f t="shared" ref="G3844:G3846" si="651">DATE(2012,12,31)-802</f>
        <v>40472</v>
      </c>
    </row>
    <row r="3845">
      <c r="G3845" s="12">
        <f t="shared" si="651"/>
        <v>40472</v>
      </c>
    </row>
    <row r="3846">
      <c r="G3846" s="12">
        <f t="shared" si="651"/>
        <v>40472</v>
      </c>
    </row>
    <row r="3847">
      <c r="G3847" s="12">
        <f t="shared" ref="G3847:G3854" si="652">DATE(2012,12,31)-801</f>
        <v>40473</v>
      </c>
    </row>
    <row r="3848">
      <c r="G3848" s="12">
        <f t="shared" si="652"/>
        <v>40473</v>
      </c>
    </row>
    <row r="3849">
      <c r="G3849" s="12">
        <f t="shared" si="652"/>
        <v>40473</v>
      </c>
    </row>
    <row r="3850">
      <c r="G3850" s="12">
        <f t="shared" si="652"/>
        <v>40473</v>
      </c>
    </row>
    <row r="3851">
      <c r="G3851" s="12">
        <f t="shared" si="652"/>
        <v>40473</v>
      </c>
    </row>
    <row r="3852">
      <c r="G3852" s="12">
        <f t="shared" si="652"/>
        <v>40473</v>
      </c>
    </row>
    <row r="3853">
      <c r="G3853" s="12">
        <f t="shared" si="652"/>
        <v>40473</v>
      </c>
    </row>
    <row r="3854">
      <c r="G3854" s="12">
        <f t="shared" si="652"/>
        <v>40473</v>
      </c>
    </row>
    <row r="3855">
      <c r="G3855" s="12">
        <f t="shared" ref="G3855:G3863" si="653">DATE(2012,12,31)-800</f>
        <v>40474</v>
      </c>
    </row>
    <row r="3856">
      <c r="G3856" s="12">
        <f t="shared" si="653"/>
        <v>40474</v>
      </c>
    </row>
    <row r="3857">
      <c r="G3857" s="12">
        <f t="shared" si="653"/>
        <v>40474</v>
      </c>
    </row>
    <row r="3858">
      <c r="G3858" s="12">
        <f t="shared" si="653"/>
        <v>40474</v>
      </c>
    </row>
    <row r="3859">
      <c r="G3859" s="12">
        <f t="shared" si="653"/>
        <v>40474</v>
      </c>
    </row>
    <row r="3860">
      <c r="G3860" s="12">
        <f t="shared" si="653"/>
        <v>40474</v>
      </c>
    </row>
    <row r="3861">
      <c r="G3861" s="12">
        <f t="shared" si="653"/>
        <v>40474</v>
      </c>
    </row>
    <row r="3862">
      <c r="G3862" s="12">
        <f t="shared" si="653"/>
        <v>40474</v>
      </c>
    </row>
    <row r="3863">
      <c r="G3863" s="12">
        <f t="shared" si="653"/>
        <v>40474</v>
      </c>
    </row>
    <row r="3864">
      <c r="G3864" s="12">
        <f t="shared" ref="G3864:G3869" si="654">DATE(2012,12,31)-799</f>
        <v>40475</v>
      </c>
    </row>
    <row r="3865">
      <c r="G3865" s="12">
        <f t="shared" si="654"/>
        <v>40475</v>
      </c>
    </row>
    <row r="3866">
      <c r="G3866" s="12">
        <f t="shared" si="654"/>
        <v>40475</v>
      </c>
    </row>
    <row r="3867">
      <c r="G3867" s="12">
        <f t="shared" si="654"/>
        <v>40475</v>
      </c>
    </row>
    <row r="3868">
      <c r="G3868" s="12">
        <f t="shared" si="654"/>
        <v>40475</v>
      </c>
    </row>
    <row r="3869">
      <c r="G3869" s="12">
        <f t="shared" si="654"/>
        <v>40475</v>
      </c>
    </row>
    <row r="3870">
      <c r="G3870" s="12">
        <f t="shared" ref="G3870:G3872" si="655">DATE(2012,12,31)-798</f>
        <v>40476</v>
      </c>
    </row>
    <row r="3871">
      <c r="G3871" s="12">
        <f t="shared" si="655"/>
        <v>40476</v>
      </c>
    </row>
    <row r="3872">
      <c r="G3872" s="12">
        <f t="shared" si="655"/>
        <v>40476</v>
      </c>
    </row>
    <row r="3873">
      <c r="G3873" s="12">
        <f t="shared" ref="G3873:G3883" si="656">DATE(2012,12,31)-797</f>
        <v>40477</v>
      </c>
    </row>
    <row r="3874">
      <c r="G3874" s="12">
        <f t="shared" si="656"/>
        <v>40477</v>
      </c>
    </row>
    <row r="3875">
      <c r="G3875" s="12">
        <f t="shared" si="656"/>
        <v>40477</v>
      </c>
    </row>
    <row r="3876">
      <c r="G3876" s="12">
        <f t="shared" si="656"/>
        <v>40477</v>
      </c>
    </row>
    <row r="3877">
      <c r="G3877" s="12">
        <f t="shared" si="656"/>
        <v>40477</v>
      </c>
    </row>
    <row r="3878">
      <c r="G3878" s="12">
        <f t="shared" si="656"/>
        <v>40477</v>
      </c>
    </row>
    <row r="3879">
      <c r="G3879" s="12">
        <f t="shared" si="656"/>
        <v>40477</v>
      </c>
    </row>
    <row r="3880">
      <c r="G3880" s="12">
        <f t="shared" si="656"/>
        <v>40477</v>
      </c>
    </row>
    <row r="3881">
      <c r="G3881" s="12">
        <f t="shared" si="656"/>
        <v>40477</v>
      </c>
    </row>
    <row r="3882">
      <c r="G3882" s="12">
        <f t="shared" si="656"/>
        <v>40477</v>
      </c>
    </row>
    <row r="3883">
      <c r="G3883" s="12">
        <f t="shared" si="656"/>
        <v>40477</v>
      </c>
    </row>
    <row r="3884">
      <c r="G3884" s="12">
        <f t="shared" ref="G3884:G3886" si="657">DATE(2012,12,31)-796</f>
        <v>40478</v>
      </c>
    </row>
    <row r="3885">
      <c r="G3885" s="12">
        <f t="shared" si="657"/>
        <v>40478</v>
      </c>
    </row>
    <row r="3886">
      <c r="G3886" s="12">
        <f t="shared" si="657"/>
        <v>40478</v>
      </c>
    </row>
    <row r="3887">
      <c r="G3887" s="12">
        <f>DATE(2012,12,31)-795</f>
        <v>40479</v>
      </c>
    </row>
    <row r="3888">
      <c r="G3888" s="12">
        <f t="shared" ref="G3888:G3895" si="658">DATE(2012,12,31)-794</f>
        <v>40480</v>
      </c>
    </row>
    <row r="3889">
      <c r="G3889" s="12">
        <f t="shared" si="658"/>
        <v>40480</v>
      </c>
    </row>
    <row r="3890">
      <c r="G3890" s="12">
        <f t="shared" si="658"/>
        <v>40480</v>
      </c>
    </row>
    <row r="3891">
      <c r="G3891" s="12">
        <f t="shared" si="658"/>
        <v>40480</v>
      </c>
    </row>
    <row r="3892">
      <c r="G3892" s="12">
        <f t="shared" si="658"/>
        <v>40480</v>
      </c>
    </row>
    <row r="3893">
      <c r="G3893" s="12">
        <f t="shared" si="658"/>
        <v>40480</v>
      </c>
    </row>
    <row r="3894">
      <c r="G3894" s="12">
        <f t="shared" si="658"/>
        <v>40480</v>
      </c>
    </row>
    <row r="3895">
      <c r="G3895" s="12">
        <f t="shared" si="658"/>
        <v>40480</v>
      </c>
    </row>
    <row r="3896">
      <c r="G3896" s="12">
        <f t="shared" ref="G3896:G3905" si="659">DATE(2012,12,31)-793</f>
        <v>40481</v>
      </c>
    </row>
    <row r="3897">
      <c r="G3897" s="12">
        <f t="shared" si="659"/>
        <v>40481</v>
      </c>
    </row>
    <row r="3898">
      <c r="G3898" s="12">
        <f t="shared" si="659"/>
        <v>40481</v>
      </c>
    </row>
    <row r="3899">
      <c r="G3899" s="12">
        <f t="shared" si="659"/>
        <v>40481</v>
      </c>
    </row>
    <row r="3900">
      <c r="G3900" s="12">
        <f t="shared" si="659"/>
        <v>40481</v>
      </c>
    </row>
    <row r="3901">
      <c r="G3901" s="12">
        <f t="shared" si="659"/>
        <v>40481</v>
      </c>
    </row>
    <row r="3902">
      <c r="G3902" s="12">
        <f t="shared" si="659"/>
        <v>40481</v>
      </c>
    </row>
    <row r="3903">
      <c r="G3903" s="12">
        <f t="shared" si="659"/>
        <v>40481</v>
      </c>
    </row>
    <row r="3904">
      <c r="G3904" s="12">
        <f t="shared" si="659"/>
        <v>40481</v>
      </c>
    </row>
    <row r="3905">
      <c r="G3905" s="12">
        <f t="shared" si="659"/>
        <v>40481</v>
      </c>
    </row>
    <row r="3906">
      <c r="G3906" s="12">
        <f t="shared" ref="G3906:G3914" si="660">DATE(2012,12,31)-792</f>
        <v>40482</v>
      </c>
    </row>
    <row r="3907">
      <c r="G3907" s="12">
        <f t="shared" si="660"/>
        <v>40482</v>
      </c>
    </row>
    <row r="3908">
      <c r="G3908" s="12">
        <f t="shared" si="660"/>
        <v>40482</v>
      </c>
    </row>
    <row r="3909">
      <c r="G3909" s="12">
        <f t="shared" si="660"/>
        <v>40482</v>
      </c>
    </row>
    <row r="3910">
      <c r="G3910" s="12">
        <f t="shared" si="660"/>
        <v>40482</v>
      </c>
    </row>
    <row r="3911">
      <c r="G3911" s="12">
        <f t="shared" si="660"/>
        <v>40482</v>
      </c>
    </row>
    <row r="3912">
      <c r="G3912" s="12">
        <f t="shared" si="660"/>
        <v>40482</v>
      </c>
    </row>
    <row r="3913">
      <c r="G3913" s="12">
        <f t="shared" si="660"/>
        <v>40482</v>
      </c>
    </row>
    <row r="3914">
      <c r="G3914" s="12">
        <f t="shared" si="660"/>
        <v>40482</v>
      </c>
    </row>
    <row r="3915">
      <c r="G3915" s="12">
        <f t="shared" ref="G3915:G3925" si="661">DATE(2012,12,31)-791</f>
        <v>40483</v>
      </c>
    </row>
    <row r="3916">
      <c r="G3916" s="12">
        <f t="shared" si="661"/>
        <v>40483</v>
      </c>
    </row>
    <row r="3917">
      <c r="G3917" s="12">
        <f t="shared" si="661"/>
        <v>40483</v>
      </c>
    </row>
    <row r="3918">
      <c r="G3918" s="12">
        <f t="shared" si="661"/>
        <v>40483</v>
      </c>
    </row>
    <row r="3919">
      <c r="G3919" s="12">
        <f t="shared" si="661"/>
        <v>40483</v>
      </c>
    </row>
    <row r="3920">
      <c r="G3920" s="12">
        <f t="shared" si="661"/>
        <v>40483</v>
      </c>
    </row>
    <row r="3921">
      <c r="G3921" s="12">
        <f t="shared" si="661"/>
        <v>40483</v>
      </c>
    </row>
    <row r="3922">
      <c r="G3922" s="12">
        <f t="shared" si="661"/>
        <v>40483</v>
      </c>
    </row>
    <row r="3923">
      <c r="G3923" s="12">
        <f t="shared" si="661"/>
        <v>40483</v>
      </c>
    </row>
    <row r="3924">
      <c r="G3924" s="12">
        <f t="shared" si="661"/>
        <v>40483</v>
      </c>
    </row>
    <row r="3925">
      <c r="G3925" s="12">
        <f t="shared" si="661"/>
        <v>40483</v>
      </c>
    </row>
    <row r="3926">
      <c r="G3926" s="12">
        <f t="shared" ref="G3926:G3928" si="662">DATE(2012,12,31)-789</f>
        <v>40485</v>
      </c>
    </row>
    <row r="3927">
      <c r="G3927" s="12">
        <f t="shared" si="662"/>
        <v>40485</v>
      </c>
    </row>
    <row r="3928">
      <c r="G3928" s="12">
        <f t="shared" si="662"/>
        <v>40485</v>
      </c>
    </row>
    <row r="3929">
      <c r="G3929" s="12">
        <f t="shared" ref="G3929:G3935" si="663">DATE(2012,12,31)-788</f>
        <v>40486</v>
      </c>
    </row>
    <row r="3930">
      <c r="G3930" s="12">
        <f t="shared" si="663"/>
        <v>40486</v>
      </c>
    </row>
    <row r="3931">
      <c r="G3931" s="12">
        <f t="shared" si="663"/>
        <v>40486</v>
      </c>
    </row>
    <row r="3932">
      <c r="G3932" s="12">
        <f t="shared" si="663"/>
        <v>40486</v>
      </c>
    </row>
    <row r="3933">
      <c r="G3933" s="12">
        <f t="shared" si="663"/>
        <v>40486</v>
      </c>
    </row>
    <row r="3934">
      <c r="G3934" s="12">
        <f t="shared" si="663"/>
        <v>40486</v>
      </c>
    </row>
    <row r="3935">
      <c r="G3935" s="12">
        <f t="shared" si="663"/>
        <v>40486</v>
      </c>
    </row>
    <row r="3936">
      <c r="G3936" s="12">
        <f t="shared" ref="G3936:G3939" si="664">DATE(2012,12,31)-787</f>
        <v>40487</v>
      </c>
    </row>
    <row r="3937">
      <c r="G3937" s="12">
        <f t="shared" si="664"/>
        <v>40487</v>
      </c>
    </row>
    <row r="3938">
      <c r="G3938" s="12">
        <f t="shared" si="664"/>
        <v>40487</v>
      </c>
    </row>
    <row r="3939">
      <c r="G3939" s="12">
        <f t="shared" si="664"/>
        <v>40487</v>
      </c>
    </row>
    <row r="3940">
      <c r="G3940" s="12">
        <f t="shared" ref="G3940:G3945" si="665">DATE(2012,12,31)-786</f>
        <v>40488</v>
      </c>
    </row>
    <row r="3941">
      <c r="G3941" s="12">
        <f t="shared" si="665"/>
        <v>40488</v>
      </c>
    </row>
    <row r="3942">
      <c r="G3942" s="12">
        <f t="shared" si="665"/>
        <v>40488</v>
      </c>
    </row>
    <row r="3943">
      <c r="G3943" s="12">
        <f t="shared" si="665"/>
        <v>40488</v>
      </c>
    </row>
    <row r="3944">
      <c r="G3944" s="12">
        <f t="shared" si="665"/>
        <v>40488</v>
      </c>
    </row>
    <row r="3945">
      <c r="G3945" s="12">
        <f t="shared" si="665"/>
        <v>40488</v>
      </c>
    </row>
    <row r="3946">
      <c r="G3946" s="12">
        <f t="shared" ref="G3946:G3948" si="666">DATE(2012,12,31)-785</f>
        <v>40489</v>
      </c>
    </row>
    <row r="3947">
      <c r="G3947" s="12">
        <f t="shared" si="666"/>
        <v>40489</v>
      </c>
    </row>
    <row r="3948">
      <c r="G3948" s="12">
        <f t="shared" si="666"/>
        <v>40489</v>
      </c>
    </row>
    <row r="3949">
      <c r="G3949" s="12">
        <f t="shared" ref="G3949:G3955" si="667">DATE(2012,12,31)-784</f>
        <v>40490</v>
      </c>
    </row>
    <row r="3950">
      <c r="G3950" s="12">
        <f t="shared" si="667"/>
        <v>40490</v>
      </c>
    </row>
    <row r="3951">
      <c r="G3951" s="12">
        <f t="shared" si="667"/>
        <v>40490</v>
      </c>
    </row>
    <row r="3952">
      <c r="G3952" s="12">
        <f t="shared" si="667"/>
        <v>40490</v>
      </c>
    </row>
    <row r="3953">
      <c r="G3953" s="12">
        <f t="shared" si="667"/>
        <v>40490</v>
      </c>
    </row>
    <row r="3954">
      <c r="G3954" s="12">
        <f t="shared" si="667"/>
        <v>40490</v>
      </c>
    </row>
    <row r="3955">
      <c r="G3955" s="12">
        <f t="shared" si="667"/>
        <v>40490</v>
      </c>
    </row>
    <row r="3956">
      <c r="G3956" s="12">
        <f t="shared" ref="G3956:G3964" si="668">DATE(2012,12,31)-783</f>
        <v>40491</v>
      </c>
    </row>
    <row r="3957">
      <c r="G3957" s="12">
        <f t="shared" si="668"/>
        <v>40491</v>
      </c>
    </row>
    <row r="3958">
      <c r="G3958" s="12">
        <f t="shared" si="668"/>
        <v>40491</v>
      </c>
    </row>
    <row r="3959">
      <c r="G3959" s="12">
        <f t="shared" si="668"/>
        <v>40491</v>
      </c>
    </row>
    <row r="3960">
      <c r="G3960" s="12">
        <f t="shared" si="668"/>
        <v>40491</v>
      </c>
    </row>
    <row r="3961">
      <c r="G3961" s="12">
        <f t="shared" si="668"/>
        <v>40491</v>
      </c>
    </row>
    <row r="3962">
      <c r="G3962" s="12">
        <f t="shared" si="668"/>
        <v>40491</v>
      </c>
    </row>
    <row r="3963">
      <c r="G3963" s="12">
        <f t="shared" si="668"/>
        <v>40491</v>
      </c>
    </row>
    <row r="3964">
      <c r="G3964" s="12">
        <f t="shared" si="668"/>
        <v>40491</v>
      </c>
    </row>
    <row r="3965">
      <c r="G3965" s="12">
        <f t="shared" ref="G3965:G3966" si="669">DATE(2012,12,31)-782</f>
        <v>40492</v>
      </c>
    </row>
    <row r="3966">
      <c r="G3966" s="12">
        <f t="shared" si="669"/>
        <v>40492</v>
      </c>
    </row>
    <row r="3967">
      <c r="G3967" s="12">
        <f t="shared" ref="G3967:G3968" si="670">DATE(2012,12,31)-781</f>
        <v>40493</v>
      </c>
    </row>
    <row r="3968">
      <c r="G3968" s="12">
        <f t="shared" si="670"/>
        <v>40493</v>
      </c>
    </row>
    <row r="3969">
      <c r="G3969" s="12">
        <f t="shared" ref="G3969:G3973" si="671">DATE(2012,12,31)-780</f>
        <v>40494</v>
      </c>
    </row>
    <row r="3970">
      <c r="G3970" s="12">
        <f t="shared" si="671"/>
        <v>40494</v>
      </c>
    </row>
    <row r="3971">
      <c r="G3971" s="12">
        <f t="shared" si="671"/>
        <v>40494</v>
      </c>
    </row>
    <row r="3972">
      <c r="G3972" s="12">
        <f t="shared" si="671"/>
        <v>40494</v>
      </c>
    </row>
    <row r="3973">
      <c r="G3973" s="12">
        <f t="shared" si="671"/>
        <v>40494</v>
      </c>
    </row>
    <row r="3974">
      <c r="G3974" s="12">
        <f t="shared" ref="G3974:G3983" si="672">DATE(2012,12,31)-779</f>
        <v>40495</v>
      </c>
    </row>
    <row r="3975">
      <c r="G3975" s="12">
        <f t="shared" si="672"/>
        <v>40495</v>
      </c>
    </row>
    <row r="3976">
      <c r="G3976" s="12">
        <f t="shared" si="672"/>
        <v>40495</v>
      </c>
    </row>
    <row r="3977">
      <c r="G3977" s="12">
        <f t="shared" si="672"/>
        <v>40495</v>
      </c>
    </row>
    <row r="3978">
      <c r="G3978" s="12">
        <f t="shared" si="672"/>
        <v>40495</v>
      </c>
    </row>
    <row r="3979">
      <c r="G3979" s="12">
        <f t="shared" si="672"/>
        <v>40495</v>
      </c>
    </row>
    <row r="3980">
      <c r="G3980" s="12">
        <f t="shared" si="672"/>
        <v>40495</v>
      </c>
    </row>
    <row r="3981">
      <c r="G3981" s="12">
        <f t="shared" si="672"/>
        <v>40495</v>
      </c>
    </row>
    <row r="3982">
      <c r="G3982" s="12">
        <f t="shared" si="672"/>
        <v>40495</v>
      </c>
    </row>
    <row r="3983">
      <c r="G3983" s="12">
        <f t="shared" si="672"/>
        <v>40495</v>
      </c>
    </row>
    <row r="3984">
      <c r="G3984" s="12">
        <f t="shared" ref="G3984:G3989" si="673">DATE(2012,12,31)-778</f>
        <v>40496</v>
      </c>
    </row>
    <row r="3985">
      <c r="G3985" s="12">
        <f t="shared" si="673"/>
        <v>40496</v>
      </c>
    </row>
    <row r="3986">
      <c r="G3986" s="12">
        <f t="shared" si="673"/>
        <v>40496</v>
      </c>
    </row>
    <row r="3987">
      <c r="G3987" s="12">
        <f t="shared" si="673"/>
        <v>40496</v>
      </c>
    </row>
    <row r="3988">
      <c r="G3988" s="12">
        <f t="shared" si="673"/>
        <v>40496</v>
      </c>
    </row>
    <row r="3989">
      <c r="G3989" s="12">
        <f t="shared" si="673"/>
        <v>40496</v>
      </c>
    </row>
    <row r="3990">
      <c r="G3990" s="12">
        <f t="shared" ref="G3990:G3993" si="674">DATE(2012,12,31)-776</f>
        <v>40498</v>
      </c>
    </row>
    <row r="3991">
      <c r="G3991" s="12">
        <f t="shared" si="674"/>
        <v>40498</v>
      </c>
    </row>
    <row r="3992">
      <c r="G3992" s="12">
        <f t="shared" si="674"/>
        <v>40498</v>
      </c>
    </row>
    <row r="3993">
      <c r="G3993" s="12">
        <f t="shared" si="674"/>
        <v>40498</v>
      </c>
    </row>
    <row r="3994">
      <c r="G3994" s="12">
        <f t="shared" ref="G3994:G4002" si="675">DATE(2012,12,31)-775</f>
        <v>40499</v>
      </c>
    </row>
    <row r="3995">
      <c r="G3995" s="12">
        <f t="shared" si="675"/>
        <v>40499</v>
      </c>
    </row>
    <row r="3996">
      <c r="G3996" s="12">
        <f t="shared" si="675"/>
        <v>40499</v>
      </c>
    </row>
    <row r="3997">
      <c r="G3997" s="12">
        <f t="shared" si="675"/>
        <v>40499</v>
      </c>
    </row>
    <row r="3998">
      <c r="G3998" s="12">
        <f t="shared" si="675"/>
        <v>40499</v>
      </c>
    </row>
    <row r="3999">
      <c r="G3999" s="12">
        <f t="shared" si="675"/>
        <v>40499</v>
      </c>
    </row>
    <row r="4000">
      <c r="G4000" s="12">
        <f t="shared" si="675"/>
        <v>40499</v>
      </c>
    </row>
    <row r="4001">
      <c r="G4001" s="12">
        <f t="shared" si="675"/>
        <v>40499</v>
      </c>
    </row>
    <row r="4002">
      <c r="G4002" s="12">
        <f t="shared" si="675"/>
        <v>40499</v>
      </c>
    </row>
    <row r="4003">
      <c r="G4003" s="12">
        <f t="shared" ref="G4003:G4013" si="676">DATE(2012,12,31)-774</f>
        <v>40500</v>
      </c>
    </row>
    <row r="4004">
      <c r="G4004" s="12">
        <f t="shared" si="676"/>
        <v>40500</v>
      </c>
    </row>
    <row r="4005">
      <c r="G4005" s="12">
        <f t="shared" si="676"/>
        <v>40500</v>
      </c>
    </row>
    <row r="4006">
      <c r="G4006" s="12">
        <f t="shared" si="676"/>
        <v>40500</v>
      </c>
    </row>
    <row r="4007">
      <c r="G4007" s="12">
        <f t="shared" si="676"/>
        <v>40500</v>
      </c>
    </row>
    <row r="4008">
      <c r="G4008" s="12">
        <f t="shared" si="676"/>
        <v>40500</v>
      </c>
    </row>
    <row r="4009">
      <c r="G4009" s="12">
        <f t="shared" si="676"/>
        <v>40500</v>
      </c>
    </row>
    <row r="4010">
      <c r="G4010" s="12">
        <f t="shared" si="676"/>
        <v>40500</v>
      </c>
    </row>
    <row r="4011">
      <c r="G4011" s="12">
        <f t="shared" si="676"/>
        <v>40500</v>
      </c>
    </row>
    <row r="4012">
      <c r="G4012" s="12">
        <f t="shared" si="676"/>
        <v>40500</v>
      </c>
    </row>
    <row r="4013">
      <c r="G4013" s="12">
        <f t="shared" si="676"/>
        <v>40500</v>
      </c>
    </row>
    <row r="4014">
      <c r="G4014" s="12">
        <f t="shared" ref="G4014:G4018" si="677">DATE(2012,12,31)-773</f>
        <v>40501</v>
      </c>
    </row>
    <row r="4015">
      <c r="G4015" s="12">
        <f t="shared" si="677"/>
        <v>40501</v>
      </c>
    </row>
    <row r="4016">
      <c r="G4016" s="12">
        <f t="shared" si="677"/>
        <v>40501</v>
      </c>
    </row>
    <row r="4017">
      <c r="G4017" s="12">
        <f t="shared" si="677"/>
        <v>40501</v>
      </c>
    </row>
    <row r="4018">
      <c r="G4018" s="12">
        <f t="shared" si="677"/>
        <v>40501</v>
      </c>
    </row>
    <row r="4019">
      <c r="G4019" s="12">
        <f t="shared" ref="G4019:G4021" si="678">DATE(2012,12,31)-772</f>
        <v>40502</v>
      </c>
    </row>
    <row r="4020">
      <c r="G4020" s="12">
        <f t="shared" si="678"/>
        <v>40502</v>
      </c>
    </row>
    <row r="4021">
      <c r="G4021" s="12">
        <f t="shared" si="678"/>
        <v>40502</v>
      </c>
    </row>
    <row r="4022">
      <c r="G4022" s="12">
        <f t="shared" ref="G4022:G4027" si="679">DATE(2012,12,31)-771</f>
        <v>40503</v>
      </c>
    </row>
    <row r="4023">
      <c r="G4023" s="12">
        <f t="shared" si="679"/>
        <v>40503</v>
      </c>
    </row>
    <row r="4024">
      <c r="G4024" s="12">
        <f t="shared" si="679"/>
        <v>40503</v>
      </c>
    </row>
    <row r="4025">
      <c r="G4025" s="12">
        <f t="shared" si="679"/>
        <v>40503</v>
      </c>
    </row>
    <row r="4026">
      <c r="G4026" s="12">
        <f t="shared" si="679"/>
        <v>40503</v>
      </c>
    </row>
    <row r="4027">
      <c r="G4027" s="12">
        <f t="shared" si="679"/>
        <v>40503</v>
      </c>
    </row>
    <row r="4028">
      <c r="G4028" s="12">
        <f t="shared" ref="G4028:G4034" si="680">DATE(2012,12,31)-770</f>
        <v>40504</v>
      </c>
    </row>
    <row r="4029">
      <c r="G4029" s="12">
        <f t="shared" si="680"/>
        <v>40504</v>
      </c>
    </row>
    <row r="4030">
      <c r="G4030" s="12">
        <f t="shared" si="680"/>
        <v>40504</v>
      </c>
    </row>
    <row r="4031">
      <c r="G4031" s="12">
        <f t="shared" si="680"/>
        <v>40504</v>
      </c>
    </row>
    <row r="4032">
      <c r="G4032" s="12">
        <f t="shared" si="680"/>
        <v>40504</v>
      </c>
    </row>
    <row r="4033">
      <c r="G4033" s="12">
        <f t="shared" si="680"/>
        <v>40504</v>
      </c>
    </row>
    <row r="4034">
      <c r="G4034" s="12">
        <f t="shared" si="680"/>
        <v>40504</v>
      </c>
    </row>
    <row r="4035">
      <c r="G4035" s="12">
        <f t="shared" ref="G4035:G4045" si="681">DATE(2012,12,31)-769</f>
        <v>40505</v>
      </c>
    </row>
    <row r="4036">
      <c r="G4036" s="12">
        <f t="shared" si="681"/>
        <v>40505</v>
      </c>
    </row>
    <row r="4037">
      <c r="G4037" s="12">
        <f t="shared" si="681"/>
        <v>40505</v>
      </c>
    </row>
    <row r="4038">
      <c r="G4038" s="12">
        <f t="shared" si="681"/>
        <v>40505</v>
      </c>
    </row>
    <row r="4039">
      <c r="G4039" s="12">
        <f t="shared" si="681"/>
        <v>40505</v>
      </c>
    </row>
    <row r="4040">
      <c r="G4040" s="12">
        <f t="shared" si="681"/>
        <v>40505</v>
      </c>
    </row>
    <row r="4041">
      <c r="G4041" s="12">
        <f t="shared" si="681"/>
        <v>40505</v>
      </c>
    </row>
    <row r="4042">
      <c r="G4042" s="12">
        <f t="shared" si="681"/>
        <v>40505</v>
      </c>
    </row>
    <row r="4043">
      <c r="G4043" s="12">
        <f t="shared" si="681"/>
        <v>40505</v>
      </c>
    </row>
    <row r="4044">
      <c r="G4044" s="12">
        <f t="shared" si="681"/>
        <v>40505</v>
      </c>
    </row>
    <row r="4045">
      <c r="G4045" s="12">
        <f t="shared" si="681"/>
        <v>40505</v>
      </c>
    </row>
    <row r="4046">
      <c r="G4046" s="12">
        <f t="shared" ref="G4046:G4058" si="682">DATE(2012,12,31)-768</f>
        <v>40506</v>
      </c>
    </row>
    <row r="4047">
      <c r="G4047" s="12">
        <f t="shared" si="682"/>
        <v>40506</v>
      </c>
    </row>
    <row r="4048">
      <c r="G4048" s="12">
        <f t="shared" si="682"/>
        <v>40506</v>
      </c>
    </row>
    <row r="4049">
      <c r="G4049" s="12">
        <f t="shared" si="682"/>
        <v>40506</v>
      </c>
    </row>
    <row r="4050">
      <c r="G4050" s="12">
        <f t="shared" si="682"/>
        <v>40506</v>
      </c>
    </row>
    <row r="4051">
      <c r="G4051" s="12">
        <f t="shared" si="682"/>
        <v>40506</v>
      </c>
    </row>
    <row r="4052">
      <c r="G4052" s="12">
        <f t="shared" si="682"/>
        <v>40506</v>
      </c>
    </row>
    <row r="4053">
      <c r="G4053" s="12">
        <f t="shared" si="682"/>
        <v>40506</v>
      </c>
    </row>
    <row r="4054">
      <c r="G4054" s="12">
        <f t="shared" si="682"/>
        <v>40506</v>
      </c>
    </row>
    <row r="4055">
      <c r="G4055" s="12">
        <f t="shared" si="682"/>
        <v>40506</v>
      </c>
    </row>
    <row r="4056">
      <c r="G4056" s="12">
        <f t="shared" si="682"/>
        <v>40506</v>
      </c>
    </row>
    <row r="4057">
      <c r="G4057" s="12">
        <f t="shared" si="682"/>
        <v>40506</v>
      </c>
    </row>
    <row r="4058">
      <c r="G4058" s="12">
        <f t="shared" si="682"/>
        <v>40506</v>
      </c>
    </row>
    <row r="4059">
      <c r="G4059" s="12">
        <f t="shared" ref="G4059:G4066" si="683">DATE(2012,12,31)-767</f>
        <v>40507</v>
      </c>
    </row>
    <row r="4060">
      <c r="G4060" s="12">
        <f t="shared" si="683"/>
        <v>40507</v>
      </c>
    </row>
    <row r="4061">
      <c r="G4061" s="12">
        <f t="shared" si="683"/>
        <v>40507</v>
      </c>
    </row>
    <row r="4062">
      <c r="G4062" s="12">
        <f t="shared" si="683"/>
        <v>40507</v>
      </c>
    </row>
    <row r="4063">
      <c r="G4063" s="12">
        <f t="shared" si="683"/>
        <v>40507</v>
      </c>
    </row>
    <row r="4064">
      <c r="G4064" s="12">
        <f t="shared" si="683"/>
        <v>40507</v>
      </c>
    </row>
    <row r="4065">
      <c r="G4065" s="12">
        <f t="shared" si="683"/>
        <v>40507</v>
      </c>
    </row>
    <row r="4066">
      <c r="G4066" s="12">
        <f t="shared" si="683"/>
        <v>40507</v>
      </c>
    </row>
    <row r="4067">
      <c r="G4067" s="12">
        <f t="shared" ref="G4067:G4068" si="684">DATE(2012,12,31)-766</f>
        <v>40508</v>
      </c>
    </row>
    <row r="4068">
      <c r="G4068" s="12">
        <f t="shared" si="684"/>
        <v>40508</v>
      </c>
    </row>
    <row r="4069">
      <c r="G4069" s="12">
        <f t="shared" ref="G4069:G4075" si="685">DATE(2012,12,31)-765</f>
        <v>40509</v>
      </c>
    </row>
    <row r="4070">
      <c r="G4070" s="12">
        <f t="shared" si="685"/>
        <v>40509</v>
      </c>
    </row>
    <row r="4071">
      <c r="G4071" s="12">
        <f t="shared" si="685"/>
        <v>40509</v>
      </c>
    </row>
    <row r="4072">
      <c r="G4072" s="12">
        <f t="shared" si="685"/>
        <v>40509</v>
      </c>
    </row>
    <row r="4073">
      <c r="G4073" s="12">
        <f t="shared" si="685"/>
        <v>40509</v>
      </c>
    </row>
    <row r="4074">
      <c r="G4074" s="12">
        <f t="shared" si="685"/>
        <v>40509</v>
      </c>
    </row>
    <row r="4075">
      <c r="G4075" s="12">
        <f t="shared" si="685"/>
        <v>40509</v>
      </c>
    </row>
    <row r="4076">
      <c r="G4076" s="12">
        <f t="shared" ref="G4076:G4086" si="686">DATE(2012,12,31)-763</f>
        <v>40511</v>
      </c>
    </row>
    <row r="4077">
      <c r="G4077" s="12">
        <f t="shared" si="686"/>
        <v>40511</v>
      </c>
    </row>
    <row r="4078">
      <c r="G4078" s="12">
        <f t="shared" si="686"/>
        <v>40511</v>
      </c>
    </row>
    <row r="4079">
      <c r="G4079" s="12">
        <f t="shared" si="686"/>
        <v>40511</v>
      </c>
    </row>
    <row r="4080">
      <c r="G4080" s="12">
        <f t="shared" si="686"/>
        <v>40511</v>
      </c>
    </row>
    <row r="4081">
      <c r="G4081" s="12">
        <f t="shared" si="686"/>
        <v>40511</v>
      </c>
    </row>
    <row r="4082">
      <c r="G4082" s="12">
        <f t="shared" si="686"/>
        <v>40511</v>
      </c>
    </row>
    <row r="4083">
      <c r="G4083" s="12">
        <f t="shared" si="686"/>
        <v>40511</v>
      </c>
    </row>
    <row r="4084">
      <c r="G4084" s="12">
        <f t="shared" si="686"/>
        <v>40511</v>
      </c>
    </row>
    <row r="4085">
      <c r="G4085" s="12">
        <f t="shared" si="686"/>
        <v>40511</v>
      </c>
    </row>
    <row r="4086">
      <c r="G4086" s="12">
        <f t="shared" si="686"/>
        <v>40511</v>
      </c>
    </row>
    <row r="4087">
      <c r="G4087" s="12">
        <f t="shared" ref="G4087:G4090" si="687">DATE(2012,12,31)-762</f>
        <v>40512</v>
      </c>
    </row>
    <row r="4088">
      <c r="G4088" s="12">
        <f t="shared" si="687"/>
        <v>40512</v>
      </c>
    </row>
    <row r="4089">
      <c r="G4089" s="12">
        <f t="shared" si="687"/>
        <v>40512</v>
      </c>
    </row>
    <row r="4090">
      <c r="G4090" s="12">
        <f t="shared" si="687"/>
        <v>40512</v>
      </c>
    </row>
    <row r="4091">
      <c r="G4091" s="12">
        <f t="shared" ref="G4091:G4097" si="688">DATE(2012,12,31)-761</f>
        <v>40513</v>
      </c>
    </row>
    <row r="4092">
      <c r="G4092" s="12">
        <f t="shared" si="688"/>
        <v>40513</v>
      </c>
    </row>
    <row r="4093">
      <c r="G4093" s="12">
        <f t="shared" si="688"/>
        <v>40513</v>
      </c>
    </row>
    <row r="4094">
      <c r="G4094" s="12">
        <f t="shared" si="688"/>
        <v>40513</v>
      </c>
    </row>
    <row r="4095">
      <c r="G4095" s="12">
        <f t="shared" si="688"/>
        <v>40513</v>
      </c>
    </row>
    <row r="4096">
      <c r="G4096" s="12">
        <f t="shared" si="688"/>
        <v>40513</v>
      </c>
    </row>
    <row r="4097">
      <c r="G4097" s="12">
        <f t="shared" si="688"/>
        <v>40513</v>
      </c>
    </row>
    <row r="4098">
      <c r="G4098" s="12">
        <f t="shared" ref="G4098:G4104" si="689">DATE(2012,12,31)-760</f>
        <v>40514</v>
      </c>
    </row>
    <row r="4099">
      <c r="G4099" s="12">
        <f t="shared" si="689"/>
        <v>40514</v>
      </c>
    </row>
    <row r="4100">
      <c r="G4100" s="12">
        <f t="shared" si="689"/>
        <v>40514</v>
      </c>
    </row>
    <row r="4101">
      <c r="G4101" s="12">
        <f t="shared" si="689"/>
        <v>40514</v>
      </c>
    </row>
    <row r="4102">
      <c r="G4102" s="12">
        <f t="shared" si="689"/>
        <v>40514</v>
      </c>
    </row>
    <row r="4103">
      <c r="G4103" s="12">
        <f t="shared" si="689"/>
        <v>40514</v>
      </c>
    </row>
    <row r="4104">
      <c r="G4104" s="12">
        <f t="shared" si="689"/>
        <v>40514</v>
      </c>
    </row>
    <row r="4105">
      <c r="G4105" s="12">
        <f t="shared" ref="G4105:G4110" si="690">DATE(2012,12,31)-759</f>
        <v>40515</v>
      </c>
    </row>
    <row r="4106">
      <c r="G4106" s="12">
        <f t="shared" si="690"/>
        <v>40515</v>
      </c>
    </row>
    <row r="4107">
      <c r="G4107" s="12">
        <f t="shared" si="690"/>
        <v>40515</v>
      </c>
    </row>
    <row r="4108">
      <c r="G4108" s="12">
        <f t="shared" si="690"/>
        <v>40515</v>
      </c>
    </row>
    <row r="4109">
      <c r="G4109" s="12">
        <f t="shared" si="690"/>
        <v>40515</v>
      </c>
    </row>
    <row r="4110">
      <c r="G4110" s="12">
        <f t="shared" si="690"/>
        <v>40515</v>
      </c>
    </row>
    <row r="4111">
      <c r="G4111" s="12">
        <f t="shared" ref="G4111:G4120" si="691">DATE(2012,12,31)-758</f>
        <v>40516</v>
      </c>
    </row>
    <row r="4112">
      <c r="G4112" s="12">
        <f t="shared" si="691"/>
        <v>40516</v>
      </c>
    </row>
    <row r="4113">
      <c r="G4113" s="12">
        <f t="shared" si="691"/>
        <v>40516</v>
      </c>
    </row>
    <row r="4114">
      <c r="G4114" s="12">
        <f t="shared" si="691"/>
        <v>40516</v>
      </c>
    </row>
    <row r="4115">
      <c r="G4115" s="12">
        <f t="shared" si="691"/>
        <v>40516</v>
      </c>
    </row>
    <row r="4116">
      <c r="G4116" s="12">
        <f t="shared" si="691"/>
        <v>40516</v>
      </c>
    </row>
    <row r="4117">
      <c r="G4117" s="12">
        <f t="shared" si="691"/>
        <v>40516</v>
      </c>
    </row>
    <row r="4118">
      <c r="G4118" s="12">
        <f t="shared" si="691"/>
        <v>40516</v>
      </c>
    </row>
    <row r="4119">
      <c r="G4119" s="12">
        <f t="shared" si="691"/>
        <v>40516</v>
      </c>
    </row>
    <row r="4120">
      <c r="G4120" s="12">
        <f t="shared" si="691"/>
        <v>40516</v>
      </c>
    </row>
    <row r="4121">
      <c r="G4121" s="12">
        <f t="shared" ref="G4121:G4135" si="692">DATE(2012,12,31)-757</f>
        <v>40517</v>
      </c>
    </row>
    <row r="4122">
      <c r="G4122" s="12">
        <f t="shared" si="692"/>
        <v>40517</v>
      </c>
    </row>
    <row r="4123">
      <c r="G4123" s="12">
        <f t="shared" si="692"/>
        <v>40517</v>
      </c>
    </row>
    <row r="4124">
      <c r="G4124" s="12">
        <f t="shared" si="692"/>
        <v>40517</v>
      </c>
    </row>
    <row r="4125">
      <c r="G4125" s="12">
        <f t="shared" si="692"/>
        <v>40517</v>
      </c>
    </row>
    <row r="4126">
      <c r="G4126" s="12">
        <f t="shared" si="692"/>
        <v>40517</v>
      </c>
    </row>
    <row r="4127">
      <c r="G4127" s="12">
        <f t="shared" si="692"/>
        <v>40517</v>
      </c>
    </row>
    <row r="4128">
      <c r="G4128" s="12">
        <f t="shared" si="692"/>
        <v>40517</v>
      </c>
    </row>
    <row r="4129">
      <c r="G4129" s="12">
        <f t="shared" si="692"/>
        <v>40517</v>
      </c>
    </row>
    <row r="4130">
      <c r="G4130" s="12">
        <f t="shared" si="692"/>
        <v>40517</v>
      </c>
    </row>
    <row r="4131">
      <c r="G4131" s="12">
        <f t="shared" si="692"/>
        <v>40517</v>
      </c>
    </row>
    <row r="4132">
      <c r="G4132" s="12">
        <f t="shared" si="692"/>
        <v>40517</v>
      </c>
    </row>
    <row r="4133">
      <c r="G4133" s="12">
        <f t="shared" si="692"/>
        <v>40517</v>
      </c>
    </row>
    <row r="4134">
      <c r="G4134" s="12">
        <f t="shared" si="692"/>
        <v>40517</v>
      </c>
    </row>
    <row r="4135">
      <c r="G4135" s="12">
        <f t="shared" si="692"/>
        <v>40517</v>
      </c>
    </row>
    <row r="4136">
      <c r="G4136" s="12">
        <f t="shared" ref="G4136:G4138" si="693">DATE(2012,12,31)-756</f>
        <v>40518</v>
      </c>
    </row>
    <row r="4137">
      <c r="G4137" s="12">
        <f t="shared" si="693"/>
        <v>40518</v>
      </c>
    </row>
    <row r="4138">
      <c r="G4138" s="12">
        <f t="shared" si="693"/>
        <v>40518</v>
      </c>
    </row>
    <row r="4139">
      <c r="G4139" s="12">
        <f t="shared" ref="G4139:G4147" si="694">DATE(2012,12,31)-755</f>
        <v>40519</v>
      </c>
    </row>
    <row r="4140">
      <c r="G4140" s="12">
        <f t="shared" si="694"/>
        <v>40519</v>
      </c>
    </row>
    <row r="4141">
      <c r="G4141" s="12">
        <f t="shared" si="694"/>
        <v>40519</v>
      </c>
    </row>
    <row r="4142">
      <c r="G4142" s="12">
        <f t="shared" si="694"/>
        <v>40519</v>
      </c>
    </row>
    <row r="4143">
      <c r="G4143" s="12">
        <f t="shared" si="694"/>
        <v>40519</v>
      </c>
    </row>
    <row r="4144">
      <c r="G4144" s="12">
        <f t="shared" si="694"/>
        <v>40519</v>
      </c>
    </row>
    <row r="4145">
      <c r="G4145" s="12">
        <f t="shared" si="694"/>
        <v>40519</v>
      </c>
    </row>
    <row r="4146">
      <c r="G4146" s="12">
        <f t="shared" si="694"/>
        <v>40519</v>
      </c>
    </row>
    <row r="4147">
      <c r="G4147" s="12">
        <f t="shared" si="694"/>
        <v>40519</v>
      </c>
    </row>
    <row r="4148">
      <c r="G4148" s="12">
        <f t="shared" ref="G4148:G4149" si="695">DATE(2012,12,31)-754</f>
        <v>40520</v>
      </c>
    </row>
    <row r="4149">
      <c r="G4149" s="12">
        <f t="shared" si="695"/>
        <v>40520</v>
      </c>
    </row>
    <row r="4150">
      <c r="G4150" s="12">
        <f t="shared" ref="G4150:G4153" si="696">DATE(2012,12,31)-753</f>
        <v>40521</v>
      </c>
    </row>
    <row r="4151">
      <c r="G4151" s="12">
        <f t="shared" si="696"/>
        <v>40521</v>
      </c>
    </row>
    <row r="4152">
      <c r="G4152" s="12">
        <f t="shared" si="696"/>
        <v>40521</v>
      </c>
    </row>
    <row r="4153">
      <c r="G4153" s="12">
        <f t="shared" si="696"/>
        <v>40521</v>
      </c>
    </row>
    <row r="4154">
      <c r="G4154" s="12">
        <f t="shared" ref="G4154:G4155" si="697">DATE(2012,12,31)-752</f>
        <v>40522</v>
      </c>
    </row>
    <row r="4155">
      <c r="G4155" s="12">
        <f t="shared" si="697"/>
        <v>40522</v>
      </c>
    </row>
    <row r="4156">
      <c r="G4156" s="12">
        <f t="shared" ref="G4156:G4159" si="698">DATE(2012,12,31)-751</f>
        <v>40523</v>
      </c>
    </row>
    <row r="4157">
      <c r="G4157" s="12">
        <f t="shared" si="698"/>
        <v>40523</v>
      </c>
    </row>
    <row r="4158">
      <c r="G4158" s="12">
        <f t="shared" si="698"/>
        <v>40523</v>
      </c>
    </row>
    <row r="4159">
      <c r="G4159" s="12">
        <f t="shared" si="698"/>
        <v>40523</v>
      </c>
    </row>
    <row r="4160">
      <c r="G4160" s="12">
        <f t="shared" ref="G4160:G4177" si="699">DATE(2012,12,31)-750</f>
        <v>40524</v>
      </c>
    </row>
    <row r="4161">
      <c r="G4161" s="12">
        <f t="shared" si="699"/>
        <v>40524</v>
      </c>
    </row>
    <row r="4162">
      <c r="G4162" s="12">
        <f t="shared" si="699"/>
        <v>40524</v>
      </c>
    </row>
    <row r="4163">
      <c r="G4163" s="12">
        <f t="shared" si="699"/>
        <v>40524</v>
      </c>
    </row>
    <row r="4164">
      <c r="G4164" s="12">
        <f t="shared" si="699"/>
        <v>40524</v>
      </c>
    </row>
    <row r="4165">
      <c r="G4165" s="12">
        <f t="shared" si="699"/>
        <v>40524</v>
      </c>
    </row>
    <row r="4166">
      <c r="G4166" s="12">
        <f t="shared" si="699"/>
        <v>40524</v>
      </c>
    </row>
    <row r="4167">
      <c r="G4167" s="12">
        <f t="shared" si="699"/>
        <v>40524</v>
      </c>
    </row>
    <row r="4168">
      <c r="G4168" s="12">
        <f t="shared" si="699"/>
        <v>40524</v>
      </c>
    </row>
    <row r="4169">
      <c r="G4169" s="12">
        <f t="shared" si="699"/>
        <v>40524</v>
      </c>
    </row>
    <row r="4170">
      <c r="G4170" s="12">
        <f t="shared" si="699"/>
        <v>40524</v>
      </c>
    </row>
    <row r="4171">
      <c r="G4171" s="12">
        <f t="shared" si="699"/>
        <v>40524</v>
      </c>
    </row>
    <row r="4172">
      <c r="G4172" s="12">
        <f t="shared" si="699"/>
        <v>40524</v>
      </c>
    </row>
    <row r="4173">
      <c r="G4173" s="12">
        <f t="shared" si="699"/>
        <v>40524</v>
      </c>
    </row>
    <row r="4174">
      <c r="G4174" s="12">
        <f t="shared" si="699"/>
        <v>40524</v>
      </c>
    </row>
    <row r="4175">
      <c r="G4175" s="12">
        <f t="shared" si="699"/>
        <v>40524</v>
      </c>
    </row>
    <row r="4176">
      <c r="G4176" s="12">
        <f t="shared" si="699"/>
        <v>40524</v>
      </c>
    </row>
    <row r="4177">
      <c r="G4177" s="12">
        <f t="shared" si="699"/>
        <v>40524</v>
      </c>
    </row>
    <row r="4178">
      <c r="G4178" s="12">
        <f t="shared" ref="G4178:G4182" si="700">DATE(2012,12,31)-749</f>
        <v>40525</v>
      </c>
    </row>
    <row r="4179">
      <c r="G4179" s="12">
        <f t="shared" si="700"/>
        <v>40525</v>
      </c>
    </row>
    <row r="4180">
      <c r="G4180" s="12">
        <f t="shared" si="700"/>
        <v>40525</v>
      </c>
    </row>
    <row r="4181">
      <c r="G4181" s="12">
        <f t="shared" si="700"/>
        <v>40525</v>
      </c>
    </row>
    <row r="4182">
      <c r="G4182" s="12">
        <f t="shared" si="700"/>
        <v>40525</v>
      </c>
    </row>
    <row r="4183">
      <c r="G4183" s="12">
        <f t="shared" ref="G4183:G4195" si="701">DATE(2012,12,31)-748</f>
        <v>40526</v>
      </c>
    </row>
    <row r="4184">
      <c r="G4184" s="12">
        <f t="shared" si="701"/>
        <v>40526</v>
      </c>
    </row>
    <row r="4185">
      <c r="G4185" s="12">
        <f t="shared" si="701"/>
        <v>40526</v>
      </c>
    </row>
    <row r="4186">
      <c r="G4186" s="12">
        <f t="shared" si="701"/>
        <v>40526</v>
      </c>
    </row>
    <row r="4187">
      <c r="G4187" s="12">
        <f t="shared" si="701"/>
        <v>40526</v>
      </c>
    </row>
    <row r="4188">
      <c r="G4188" s="12">
        <f t="shared" si="701"/>
        <v>40526</v>
      </c>
    </row>
    <row r="4189">
      <c r="G4189" s="12">
        <f t="shared" si="701"/>
        <v>40526</v>
      </c>
    </row>
    <row r="4190">
      <c r="G4190" s="12">
        <f t="shared" si="701"/>
        <v>40526</v>
      </c>
    </row>
    <row r="4191">
      <c r="G4191" s="12">
        <f t="shared" si="701"/>
        <v>40526</v>
      </c>
    </row>
    <row r="4192">
      <c r="G4192" s="12">
        <f t="shared" si="701"/>
        <v>40526</v>
      </c>
    </row>
    <row r="4193">
      <c r="G4193" s="12">
        <f t="shared" si="701"/>
        <v>40526</v>
      </c>
    </row>
    <row r="4194">
      <c r="G4194" s="12">
        <f t="shared" si="701"/>
        <v>40526</v>
      </c>
    </row>
    <row r="4195">
      <c r="G4195" s="12">
        <f t="shared" si="701"/>
        <v>40526</v>
      </c>
    </row>
    <row r="4196">
      <c r="G4196" s="12">
        <f t="shared" ref="G4196:G4198" si="702">DATE(2012,12,31)-747</f>
        <v>40527</v>
      </c>
    </row>
    <row r="4197">
      <c r="G4197" s="12">
        <f t="shared" si="702"/>
        <v>40527</v>
      </c>
    </row>
    <row r="4198">
      <c r="G4198" s="12">
        <f t="shared" si="702"/>
        <v>40527</v>
      </c>
    </row>
    <row r="4199">
      <c r="G4199" s="12">
        <f t="shared" ref="G4199:G4200" si="703">DATE(2012,12,31)-746</f>
        <v>40528</v>
      </c>
    </row>
    <row r="4200">
      <c r="G4200" s="12">
        <f t="shared" si="703"/>
        <v>40528</v>
      </c>
    </row>
    <row r="4201">
      <c r="G4201" s="12">
        <f t="shared" ref="G4201:G4207" si="704">DATE(2012,12,31)-745</f>
        <v>40529</v>
      </c>
    </row>
    <row r="4202">
      <c r="G4202" s="12">
        <f t="shared" si="704"/>
        <v>40529</v>
      </c>
    </row>
    <row r="4203">
      <c r="G4203" s="12">
        <f t="shared" si="704"/>
        <v>40529</v>
      </c>
    </row>
    <row r="4204">
      <c r="G4204" s="12">
        <f t="shared" si="704"/>
        <v>40529</v>
      </c>
    </row>
    <row r="4205">
      <c r="G4205" s="12">
        <f t="shared" si="704"/>
        <v>40529</v>
      </c>
    </row>
    <row r="4206">
      <c r="G4206" s="12">
        <f t="shared" si="704"/>
        <v>40529</v>
      </c>
    </row>
    <row r="4207">
      <c r="G4207" s="12">
        <f t="shared" si="704"/>
        <v>40529</v>
      </c>
    </row>
    <row r="4208">
      <c r="G4208" s="12">
        <f>DATE(2012,12,31)-744</f>
        <v>40530</v>
      </c>
    </row>
    <row r="4209">
      <c r="G4209" s="12">
        <f t="shared" ref="G4209:G4216" si="705">DATE(2012,12,31)-743</f>
        <v>40531</v>
      </c>
    </row>
    <row r="4210">
      <c r="G4210" s="12">
        <f t="shared" si="705"/>
        <v>40531</v>
      </c>
    </row>
    <row r="4211">
      <c r="G4211" s="12">
        <f t="shared" si="705"/>
        <v>40531</v>
      </c>
    </row>
    <row r="4212">
      <c r="G4212" s="12">
        <f t="shared" si="705"/>
        <v>40531</v>
      </c>
    </row>
    <row r="4213">
      <c r="G4213" s="12">
        <f t="shared" si="705"/>
        <v>40531</v>
      </c>
    </row>
    <row r="4214">
      <c r="G4214" s="12">
        <f t="shared" si="705"/>
        <v>40531</v>
      </c>
    </row>
    <row r="4215">
      <c r="G4215" s="12">
        <f t="shared" si="705"/>
        <v>40531</v>
      </c>
    </row>
    <row r="4216">
      <c r="G4216" s="12">
        <f t="shared" si="705"/>
        <v>40531</v>
      </c>
    </row>
    <row r="4217">
      <c r="G4217" s="12">
        <f t="shared" ref="G4217:G4223" si="706">DATE(2012,12,31)-742</f>
        <v>40532</v>
      </c>
    </row>
    <row r="4218">
      <c r="G4218" s="12">
        <f t="shared" si="706"/>
        <v>40532</v>
      </c>
    </row>
    <row r="4219">
      <c r="G4219" s="12">
        <f t="shared" si="706"/>
        <v>40532</v>
      </c>
    </row>
    <row r="4220">
      <c r="G4220" s="12">
        <f t="shared" si="706"/>
        <v>40532</v>
      </c>
    </row>
    <row r="4221">
      <c r="G4221" s="12">
        <f t="shared" si="706"/>
        <v>40532</v>
      </c>
    </row>
    <row r="4222">
      <c r="G4222" s="12">
        <f t="shared" si="706"/>
        <v>40532</v>
      </c>
    </row>
    <row r="4223">
      <c r="G4223" s="12">
        <f t="shared" si="706"/>
        <v>40532</v>
      </c>
    </row>
    <row r="4224">
      <c r="G4224" s="12">
        <f t="shared" ref="G4224:G4231" si="707">DATE(2012,12,31)-741</f>
        <v>40533</v>
      </c>
    </row>
    <row r="4225">
      <c r="G4225" s="12">
        <f t="shared" si="707"/>
        <v>40533</v>
      </c>
    </row>
    <row r="4226">
      <c r="G4226" s="12">
        <f t="shared" si="707"/>
        <v>40533</v>
      </c>
    </row>
    <row r="4227">
      <c r="G4227" s="12">
        <f t="shared" si="707"/>
        <v>40533</v>
      </c>
    </row>
    <row r="4228">
      <c r="G4228" s="12">
        <f t="shared" si="707"/>
        <v>40533</v>
      </c>
    </row>
    <row r="4229">
      <c r="G4229" s="12">
        <f t="shared" si="707"/>
        <v>40533</v>
      </c>
    </row>
    <row r="4230">
      <c r="G4230" s="12">
        <f t="shared" si="707"/>
        <v>40533</v>
      </c>
    </row>
    <row r="4231">
      <c r="G4231" s="12">
        <f t="shared" si="707"/>
        <v>40533</v>
      </c>
    </row>
    <row r="4232">
      <c r="G4232" s="12">
        <f t="shared" ref="G4232:G4237" si="708">DATE(2012,12,31)-740</f>
        <v>40534</v>
      </c>
    </row>
    <row r="4233">
      <c r="G4233" s="12">
        <f t="shared" si="708"/>
        <v>40534</v>
      </c>
    </row>
    <row r="4234">
      <c r="G4234" s="12">
        <f t="shared" si="708"/>
        <v>40534</v>
      </c>
    </row>
    <row r="4235">
      <c r="G4235" s="12">
        <f t="shared" si="708"/>
        <v>40534</v>
      </c>
    </row>
    <row r="4236">
      <c r="G4236" s="12">
        <f t="shared" si="708"/>
        <v>40534</v>
      </c>
    </row>
    <row r="4237">
      <c r="G4237" s="12">
        <f t="shared" si="708"/>
        <v>40534</v>
      </c>
    </row>
    <row r="4238">
      <c r="G4238" s="12">
        <f>DATE(2012,12,31)-739</f>
        <v>40535</v>
      </c>
    </row>
    <row r="4239">
      <c r="G4239" s="12">
        <f t="shared" ref="G4239:G4246" si="709">DATE(2012,12,31)-738</f>
        <v>40536</v>
      </c>
    </row>
    <row r="4240">
      <c r="G4240" s="12">
        <f t="shared" si="709"/>
        <v>40536</v>
      </c>
    </row>
    <row r="4241">
      <c r="G4241" s="12">
        <f t="shared" si="709"/>
        <v>40536</v>
      </c>
    </row>
    <row r="4242">
      <c r="G4242" s="12">
        <f t="shared" si="709"/>
        <v>40536</v>
      </c>
    </row>
    <row r="4243">
      <c r="G4243" s="12">
        <f t="shared" si="709"/>
        <v>40536</v>
      </c>
    </row>
    <row r="4244">
      <c r="G4244" s="12">
        <f t="shared" si="709"/>
        <v>40536</v>
      </c>
    </row>
    <row r="4245">
      <c r="G4245" s="12">
        <f t="shared" si="709"/>
        <v>40536</v>
      </c>
    </row>
    <row r="4246">
      <c r="G4246" s="12">
        <f t="shared" si="709"/>
        <v>40536</v>
      </c>
    </row>
    <row r="4247">
      <c r="G4247" s="12">
        <f t="shared" ref="G4247:G4252" si="710">DATE(2012,12,31)-737</f>
        <v>40537</v>
      </c>
    </row>
    <row r="4248">
      <c r="G4248" s="12">
        <f t="shared" si="710"/>
        <v>40537</v>
      </c>
    </row>
    <row r="4249">
      <c r="G4249" s="12">
        <f t="shared" si="710"/>
        <v>40537</v>
      </c>
    </row>
    <row r="4250">
      <c r="G4250" s="12">
        <f t="shared" si="710"/>
        <v>40537</v>
      </c>
    </row>
    <row r="4251">
      <c r="G4251" s="12">
        <f t="shared" si="710"/>
        <v>40537</v>
      </c>
    </row>
    <row r="4252">
      <c r="G4252" s="12">
        <f t="shared" si="710"/>
        <v>40537</v>
      </c>
    </row>
    <row r="4253">
      <c r="G4253" s="12">
        <f t="shared" ref="G4253:G4266" si="711">DATE(2012,12,31)-736</f>
        <v>40538</v>
      </c>
    </row>
    <row r="4254">
      <c r="G4254" s="12">
        <f t="shared" si="711"/>
        <v>40538</v>
      </c>
    </row>
    <row r="4255">
      <c r="G4255" s="12">
        <f t="shared" si="711"/>
        <v>40538</v>
      </c>
    </row>
    <row r="4256">
      <c r="G4256" s="12">
        <f t="shared" si="711"/>
        <v>40538</v>
      </c>
    </row>
    <row r="4257">
      <c r="G4257" s="12">
        <f t="shared" si="711"/>
        <v>40538</v>
      </c>
    </row>
    <row r="4258">
      <c r="G4258" s="12">
        <f t="shared" si="711"/>
        <v>40538</v>
      </c>
    </row>
    <row r="4259">
      <c r="G4259" s="12">
        <f t="shared" si="711"/>
        <v>40538</v>
      </c>
    </row>
    <row r="4260">
      <c r="G4260" s="12">
        <f t="shared" si="711"/>
        <v>40538</v>
      </c>
    </row>
    <row r="4261">
      <c r="G4261" s="12">
        <f t="shared" si="711"/>
        <v>40538</v>
      </c>
    </row>
    <row r="4262">
      <c r="G4262" s="12">
        <f t="shared" si="711"/>
        <v>40538</v>
      </c>
    </row>
    <row r="4263">
      <c r="G4263" s="12">
        <f t="shared" si="711"/>
        <v>40538</v>
      </c>
    </row>
    <row r="4264">
      <c r="G4264" s="12">
        <f t="shared" si="711"/>
        <v>40538</v>
      </c>
    </row>
    <row r="4265">
      <c r="G4265" s="12">
        <f t="shared" si="711"/>
        <v>40538</v>
      </c>
    </row>
    <row r="4266">
      <c r="G4266" s="12">
        <f t="shared" si="711"/>
        <v>40538</v>
      </c>
    </row>
    <row r="4267">
      <c r="G4267" s="12">
        <f t="shared" ref="G4267:G4268" si="712">DATE(2012,12,31)-735</f>
        <v>40539</v>
      </c>
    </row>
    <row r="4268">
      <c r="G4268" s="12">
        <f t="shared" si="712"/>
        <v>40539</v>
      </c>
    </row>
    <row r="4269">
      <c r="G4269" s="12">
        <f t="shared" ref="G4269:G4276" si="713">DATE(2012,12,31)-734</f>
        <v>40540</v>
      </c>
    </row>
    <row r="4270">
      <c r="G4270" s="12">
        <f t="shared" si="713"/>
        <v>40540</v>
      </c>
    </row>
    <row r="4271">
      <c r="G4271" s="12">
        <f t="shared" si="713"/>
        <v>40540</v>
      </c>
    </row>
    <row r="4272">
      <c r="G4272" s="12">
        <f t="shared" si="713"/>
        <v>40540</v>
      </c>
    </row>
    <row r="4273">
      <c r="G4273" s="12">
        <f t="shared" si="713"/>
        <v>40540</v>
      </c>
    </row>
    <row r="4274">
      <c r="G4274" s="23">
        <f t="shared" si="713"/>
        <v>40540</v>
      </c>
    </row>
    <row r="4275">
      <c r="G4275" s="12">
        <f t="shared" si="713"/>
        <v>40540</v>
      </c>
    </row>
    <row r="4276">
      <c r="G4276" s="12">
        <f t="shared" si="713"/>
        <v>40540</v>
      </c>
    </row>
    <row r="4277">
      <c r="G4277" s="12">
        <f t="shared" ref="G4277:G4284" si="714">DATE(2012,12,31)-733</f>
        <v>40541</v>
      </c>
    </row>
    <row r="4278">
      <c r="G4278" s="12">
        <f t="shared" si="714"/>
        <v>40541</v>
      </c>
    </row>
    <row r="4279">
      <c r="G4279" s="12">
        <f t="shared" si="714"/>
        <v>40541</v>
      </c>
    </row>
    <row r="4280">
      <c r="G4280" s="12">
        <f t="shared" si="714"/>
        <v>40541</v>
      </c>
    </row>
    <row r="4281">
      <c r="G4281" s="12">
        <f t="shared" si="714"/>
        <v>40541</v>
      </c>
    </row>
    <row r="4282">
      <c r="G4282" s="12">
        <f t="shared" si="714"/>
        <v>40541</v>
      </c>
    </row>
    <row r="4283">
      <c r="G4283" s="12">
        <f t="shared" si="714"/>
        <v>40541</v>
      </c>
    </row>
    <row r="4284">
      <c r="G4284" s="12">
        <f t="shared" si="714"/>
        <v>40541</v>
      </c>
    </row>
    <row r="4285">
      <c r="G4285" s="12">
        <f t="shared" ref="G4285:G4292" si="715">DATE(2012,12,31)-732</f>
        <v>40542</v>
      </c>
    </row>
    <row r="4286">
      <c r="G4286" s="12">
        <f t="shared" si="715"/>
        <v>40542</v>
      </c>
    </row>
    <row r="4287">
      <c r="G4287" s="12">
        <f t="shared" si="715"/>
        <v>40542</v>
      </c>
    </row>
    <row r="4288">
      <c r="G4288" s="12">
        <f t="shared" si="715"/>
        <v>40542</v>
      </c>
    </row>
    <row r="4289">
      <c r="G4289" s="12">
        <f t="shared" si="715"/>
        <v>40542</v>
      </c>
    </row>
    <row r="4290">
      <c r="G4290" s="12">
        <f t="shared" si="715"/>
        <v>40542</v>
      </c>
    </row>
    <row r="4291">
      <c r="G4291" s="12">
        <f t="shared" si="715"/>
        <v>40542</v>
      </c>
    </row>
    <row r="4292">
      <c r="G4292" s="12">
        <f t="shared" si="715"/>
        <v>40542</v>
      </c>
    </row>
    <row r="4293">
      <c r="G4293" s="12">
        <f t="shared" ref="G4293:G4296" si="716">DATE(2012,12,31)-731</f>
        <v>40543</v>
      </c>
    </row>
    <row r="4294">
      <c r="G4294" s="12">
        <f t="shared" si="716"/>
        <v>40543</v>
      </c>
    </row>
    <row r="4295">
      <c r="G4295" s="12">
        <f t="shared" si="716"/>
        <v>40543</v>
      </c>
    </row>
    <row r="4296">
      <c r="G4296" s="30">
        <f t="shared" si="716"/>
        <v>40543</v>
      </c>
    </row>
    <row r="4297">
      <c r="G4297" s="12">
        <f t="shared" ref="G4297:G4301" si="717">DATE(2012,12,31)-730</f>
        <v>40544</v>
      </c>
    </row>
    <row r="4298">
      <c r="G4298" s="12">
        <f t="shared" si="717"/>
        <v>40544</v>
      </c>
    </row>
    <row r="4299">
      <c r="G4299" s="12">
        <f t="shared" si="717"/>
        <v>40544</v>
      </c>
    </row>
    <row r="4300">
      <c r="G4300" s="12">
        <f t="shared" si="717"/>
        <v>40544</v>
      </c>
    </row>
    <row r="4301">
      <c r="G4301" s="12">
        <f t="shared" si="717"/>
        <v>40544</v>
      </c>
    </row>
    <row r="4302">
      <c r="G4302" s="12">
        <f t="shared" ref="G4302:G4306" si="718">DATE(2012,12,31)-729</f>
        <v>40545</v>
      </c>
    </row>
    <row r="4303">
      <c r="G4303" s="12">
        <f t="shared" si="718"/>
        <v>40545</v>
      </c>
    </row>
    <row r="4304">
      <c r="G4304" s="12">
        <f t="shared" si="718"/>
        <v>40545</v>
      </c>
    </row>
    <row r="4305">
      <c r="G4305" s="12">
        <f t="shared" si="718"/>
        <v>40545</v>
      </c>
    </row>
    <row r="4306">
      <c r="G4306" s="12">
        <f t="shared" si="718"/>
        <v>40545</v>
      </c>
    </row>
    <row r="4307">
      <c r="G4307" s="12">
        <f t="shared" ref="G4307:G4310" si="719">DATE(2012,12,31)-728</f>
        <v>40546</v>
      </c>
    </row>
    <row r="4308">
      <c r="G4308" s="12">
        <f t="shared" si="719"/>
        <v>40546</v>
      </c>
    </row>
    <row r="4309">
      <c r="G4309" s="12">
        <f t="shared" si="719"/>
        <v>40546</v>
      </c>
    </row>
    <row r="4310">
      <c r="G4310" s="12">
        <f t="shared" si="719"/>
        <v>40546</v>
      </c>
    </row>
    <row r="4311">
      <c r="G4311" s="12">
        <f t="shared" ref="G4311:G4321" si="720">DATE(2012,12,31)-727</f>
        <v>40547</v>
      </c>
    </row>
    <row r="4312">
      <c r="G4312" s="12">
        <f t="shared" si="720"/>
        <v>40547</v>
      </c>
    </row>
    <row r="4313">
      <c r="G4313" s="12">
        <f t="shared" si="720"/>
        <v>40547</v>
      </c>
    </row>
    <row r="4314">
      <c r="G4314" s="12">
        <f t="shared" si="720"/>
        <v>40547</v>
      </c>
    </row>
    <row r="4315">
      <c r="G4315" s="12">
        <f t="shared" si="720"/>
        <v>40547</v>
      </c>
    </row>
    <row r="4316">
      <c r="G4316" s="12">
        <f t="shared" si="720"/>
        <v>40547</v>
      </c>
    </row>
    <row r="4317">
      <c r="G4317" s="12">
        <f t="shared" si="720"/>
        <v>40547</v>
      </c>
    </row>
    <row r="4318">
      <c r="G4318" s="12">
        <f t="shared" si="720"/>
        <v>40547</v>
      </c>
    </row>
    <row r="4319">
      <c r="G4319" s="12">
        <f t="shared" si="720"/>
        <v>40547</v>
      </c>
    </row>
    <row r="4320">
      <c r="G4320" s="12">
        <f t="shared" si="720"/>
        <v>40547</v>
      </c>
    </row>
    <row r="4321">
      <c r="G4321" s="12">
        <f t="shared" si="720"/>
        <v>40547</v>
      </c>
    </row>
    <row r="4322">
      <c r="G4322" s="12">
        <f t="shared" ref="G4322:G4323" si="721">DATE(2012,12,31)-726</f>
        <v>40548</v>
      </c>
    </row>
    <row r="4323">
      <c r="G4323" s="12">
        <f t="shared" si="721"/>
        <v>40548</v>
      </c>
    </row>
    <row r="4324">
      <c r="G4324" s="12">
        <f t="shared" ref="G4324:G4330" si="722">DATE(2012,12,31)-725</f>
        <v>40549</v>
      </c>
    </row>
    <row r="4325">
      <c r="G4325" s="12">
        <f t="shared" si="722"/>
        <v>40549</v>
      </c>
    </row>
    <row r="4326">
      <c r="G4326" s="12">
        <f t="shared" si="722"/>
        <v>40549</v>
      </c>
    </row>
    <row r="4327">
      <c r="G4327" s="12">
        <f t="shared" si="722"/>
        <v>40549</v>
      </c>
    </row>
    <row r="4328">
      <c r="G4328" s="12">
        <f t="shared" si="722"/>
        <v>40549</v>
      </c>
    </row>
    <row r="4329">
      <c r="G4329" s="12">
        <f t="shared" si="722"/>
        <v>40549</v>
      </c>
    </row>
    <row r="4330">
      <c r="G4330" s="12">
        <f t="shared" si="722"/>
        <v>40549</v>
      </c>
    </row>
    <row r="4331">
      <c r="G4331" s="12">
        <f t="shared" ref="G4331:G4333" si="723">DATE(2012,12,31)-724</f>
        <v>40550</v>
      </c>
    </row>
    <row r="4332">
      <c r="G4332" s="12">
        <f t="shared" si="723"/>
        <v>40550</v>
      </c>
    </row>
    <row r="4333">
      <c r="G4333" s="12">
        <f t="shared" si="723"/>
        <v>40550</v>
      </c>
    </row>
    <row r="4334">
      <c r="G4334" s="12">
        <f t="shared" ref="G4334:G4339" si="724">DATE(2012,12,31)-723</f>
        <v>40551</v>
      </c>
    </row>
    <row r="4335">
      <c r="G4335" s="12">
        <f t="shared" si="724"/>
        <v>40551</v>
      </c>
    </row>
    <row r="4336">
      <c r="G4336" s="12">
        <f t="shared" si="724"/>
        <v>40551</v>
      </c>
    </row>
    <row r="4337">
      <c r="G4337" s="12">
        <f t="shared" si="724"/>
        <v>40551</v>
      </c>
    </row>
    <row r="4338">
      <c r="G4338" s="12">
        <f t="shared" si="724"/>
        <v>40551</v>
      </c>
    </row>
    <row r="4339">
      <c r="G4339" s="12">
        <f t="shared" si="724"/>
        <v>40551</v>
      </c>
    </row>
    <row r="4340">
      <c r="G4340" s="12">
        <f t="shared" ref="G4340:G4349" si="725">DATE(2012,12,31)-722</f>
        <v>40552</v>
      </c>
    </row>
    <row r="4341">
      <c r="G4341" s="12">
        <f t="shared" si="725"/>
        <v>40552</v>
      </c>
    </row>
    <row r="4342">
      <c r="G4342" s="12">
        <f t="shared" si="725"/>
        <v>40552</v>
      </c>
    </row>
    <row r="4343">
      <c r="G4343" s="12">
        <f t="shared" si="725"/>
        <v>40552</v>
      </c>
    </row>
    <row r="4344">
      <c r="G4344" s="12">
        <f t="shared" si="725"/>
        <v>40552</v>
      </c>
    </row>
    <row r="4345">
      <c r="G4345" s="12">
        <f t="shared" si="725"/>
        <v>40552</v>
      </c>
    </row>
    <row r="4346">
      <c r="G4346" s="12">
        <f t="shared" si="725"/>
        <v>40552</v>
      </c>
    </row>
    <row r="4347">
      <c r="G4347" s="12">
        <f t="shared" si="725"/>
        <v>40552</v>
      </c>
    </row>
    <row r="4348">
      <c r="G4348" s="12">
        <f t="shared" si="725"/>
        <v>40552</v>
      </c>
    </row>
    <row r="4349">
      <c r="G4349" s="12">
        <f t="shared" si="725"/>
        <v>40552</v>
      </c>
    </row>
    <row r="4350">
      <c r="G4350" s="12">
        <f t="shared" ref="G4350:G4363" si="726">DATE(2012,12,31)-721</f>
        <v>40553</v>
      </c>
    </row>
    <row r="4351">
      <c r="G4351" s="12">
        <f t="shared" si="726"/>
        <v>40553</v>
      </c>
    </row>
    <row r="4352">
      <c r="G4352" s="12">
        <f t="shared" si="726"/>
        <v>40553</v>
      </c>
    </row>
    <row r="4353">
      <c r="G4353" s="12">
        <f t="shared" si="726"/>
        <v>40553</v>
      </c>
    </row>
    <row r="4354">
      <c r="G4354" s="12">
        <f t="shared" si="726"/>
        <v>40553</v>
      </c>
    </row>
    <row r="4355">
      <c r="G4355" s="12">
        <f t="shared" si="726"/>
        <v>40553</v>
      </c>
    </row>
    <row r="4356">
      <c r="G4356" s="12">
        <f t="shared" si="726"/>
        <v>40553</v>
      </c>
    </row>
    <row r="4357">
      <c r="G4357" s="12">
        <f t="shared" si="726"/>
        <v>40553</v>
      </c>
    </row>
    <row r="4358">
      <c r="G4358" s="12">
        <f t="shared" si="726"/>
        <v>40553</v>
      </c>
    </row>
    <row r="4359">
      <c r="G4359" s="12">
        <f t="shared" si="726"/>
        <v>40553</v>
      </c>
    </row>
    <row r="4360">
      <c r="G4360" s="12">
        <f t="shared" si="726"/>
        <v>40553</v>
      </c>
    </row>
    <row r="4361">
      <c r="G4361" s="12">
        <f t="shared" si="726"/>
        <v>40553</v>
      </c>
    </row>
    <row r="4362">
      <c r="G4362" s="12">
        <f t="shared" si="726"/>
        <v>40553</v>
      </c>
    </row>
    <row r="4363">
      <c r="G4363" s="12">
        <f t="shared" si="726"/>
        <v>40553</v>
      </c>
    </row>
    <row r="4364">
      <c r="G4364" s="12">
        <f t="shared" ref="G4364:G4373" si="727">DATE(2012,12,31)-720</f>
        <v>40554</v>
      </c>
    </row>
    <row r="4365">
      <c r="G4365" s="12">
        <f t="shared" si="727"/>
        <v>40554</v>
      </c>
    </row>
    <row r="4366">
      <c r="G4366" s="12">
        <f t="shared" si="727"/>
        <v>40554</v>
      </c>
    </row>
    <row r="4367">
      <c r="G4367" s="12">
        <f t="shared" si="727"/>
        <v>40554</v>
      </c>
    </row>
    <row r="4368">
      <c r="G4368" s="12">
        <f t="shared" si="727"/>
        <v>40554</v>
      </c>
    </row>
    <row r="4369">
      <c r="G4369" s="12">
        <f t="shared" si="727"/>
        <v>40554</v>
      </c>
    </row>
    <row r="4370">
      <c r="G4370" s="12">
        <f t="shared" si="727"/>
        <v>40554</v>
      </c>
    </row>
    <row r="4371">
      <c r="G4371" s="12">
        <f t="shared" si="727"/>
        <v>40554</v>
      </c>
    </row>
    <row r="4372">
      <c r="G4372" s="12">
        <f t="shared" si="727"/>
        <v>40554</v>
      </c>
    </row>
    <row r="4373">
      <c r="G4373" s="12">
        <f t="shared" si="727"/>
        <v>40554</v>
      </c>
    </row>
    <row r="4374">
      <c r="G4374" s="12">
        <f t="shared" ref="G4374:G4376" si="728">DATE(2012,12,31)-718</f>
        <v>40556</v>
      </c>
    </row>
    <row r="4375">
      <c r="G4375" s="12">
        <f t="shared" si="728"/>
        <v>40556</v>
      </c>
    </row>
    <row r="4376">
      <c r="G4376" s="12">
        <f t="shared" si="728"/>
        <v>40556</v>
      </c>
    </row>
    <row r="4377">
      <c r="G4377" s="12">
        <f>DATE(2012,12,31)-717</f>
        <v>40557</v>
      </c>
    </row>
    <row r="4378">
      <c r="G4378" s="12">
        <f t="shared" ref="G4378:G4381" si="729">DATE(2012,12,31)-716</f>
        <v>40558</v>
      </c>
    </row>
    <row r="4379">
      <c r="G4379" s="12">
        <f t="shared" si="729"/>
        <v>40558</v>
      </c>
    </row>
    <row r="4380">
      <c r="G4380" s="12">
        <f t="shared" si="729"/>
        <v>40558</v>
      </c>
    </row>
    <row r="4381">
      <c r="G4381" s="12">
        <f t="shared" si="729"/>
        <v>40558</v>
      </c>
    </row>
    <row r="4382">
      <c r="G4382" s="12">
        <f t="shared" ref="G4382:G4383" si="730">DATE(2012,12,31)-715</f>
        <v>40559</v>
      </c>
    </row>
    <row r="4383">
      <c r="G4383" s="12">
        <f t="shared" si="730"/>
        <v>40559</v>
      </c>
    </row>
    <row r="4384">
      <c r="G4384" s="12">
        <f t="shared" ref="G4384:G4387" si="731">DATE(2012,12,31)-714</f>
        <v>40560</v>
      </c>
    </row>
    <row r="4385">
      <c r="G4385" s="12">
        <f t="shared" si="731"/>
        <v>40560</v>
      </c>
    </row>
    <row r="4386">
      <c r="G4386" s="12">
        <f t="shared" si="731"/>
        <v>40560</v>
      </c>
    </row>
    <row r="4387">
      <c r="G4387" s="12">
        <f t="shared" si="731"/>
        <v>40560</v>
      </c>
    </row>
    <row r="4388">
      <c r="G4388" s="12">
        <f t="shared" ref="G4388:G4390" si="732">DATE(2012,12,31)-713</f>
        <v>40561</v>
      </c>
    </row>
    <row r="4389">
      <c r="G4389" s="12">
        <f t="shared" si="732"/>
        <v>40561</v>
      </c>
    </row>
    <row r="4390">
      <c r="G4390" s="12">
        <f t="shared" si="732"/>
        <v>40561</v>
      </c>
    </row>
    <row r="4391">
      <c r="G4391" s="12">
        <f t="shared" ref="G4391:G4396" si="733">DATE(2012,12,31)-712</f>
        <v>40562</v>
      </c>
    </row>
    <row r="4392">
      <c r="G4392" s="12">
        <f t="shared" si="733"/>
        <v>40562</v>
      </c>
    </row>
    <row r="4393">
      <c r="G4393" s="12">
        <f t="shared" si="733"/>
        <v>40562</v>
      </c>
    </row>
    <row r="4394">
      <c r="G4394" s="12">
        <f t="shared" si="733"/>
        <v>40562</v>
      </c>
    </row>
    <row r="4395">
      <c r="G4395" s="12">
        <f t="shared" si="733"/>
        <v>40562</v>
      </c>
    </row>
    <row r="4396">
      <c r="G4396" s="12">
        <f t="shared" si="733"/>
        <v>40562</v>
      </c>
    </row>
    <row r="4397">
      <c r="G4397" s="12">
        <f t="shared" ref="G4397:G4399" si="734">DATE(2012,12,31)-711</f>
        <v>40563</v>
      </c>
    </row>
    <row r="4398">
      <c r="G4398" s="12">
        <f t="shared" si="734"/>
        <v>40563</v>
      </c>
    </row>
    <row r="4399">
      <c r="G4399" s="12">
        <f t="shared" si="734"/>
        <v>40563</v>
      </c>
    </row>
    <row r="4400">
      <c r="G4400" s="12">
        <f t="shared" ref="G4400:G4403" si="735">DATE(2012,12,31)-710</f>
        <v>40564</v>
      </c>
    </row>
    <row r="4401">
      <c r="G4401" s="12">
        <f t="shared" si="735"/>
        <v>40564</v>
      </c>
    </row>
    <row r="4402">
      <c r="G4402" s="12">
        <f t="shared" si="735"/>
        <v>40564</v>
      </c>
    </row>
    <row r="4403">
      <c r="G4403" s="12">
        <f t="shared" si="735"/>
        <v>40564</v>
      </c>
    </row>
    <row r="4404">
      <c r="G4404" s="12">
        <f t="shared" ref="G4404:G4410" si="736">DATE(2012,12,31)-709</f>
        <v>40565</v>
      </c>
    </row>
    <row r="4405">
      <c r="G4405" s="12">
        <f t="shared" si="736"/>
        <v>40565</v>
      </c>
    </row>
    <row r="4406">
      <c r="G4406" s="12">
        <f t="shared" si="736"/>
        <v>40565</v>
      </c>
    </row>
    <row r="4407">
      <c r="G4407" s="12">
        <f t="shared" si="736"/>
        <v>40565</v>
      </c>
    </row>
    <row r="4408">
      <c r="G4408" s="12">
        <f t="shared" si="736"/>
        <v>40565</v>
      </c>
    </row>
    <row r="4409">
      <c r="G4409" s="12">
        <f t="shared" si="736"/>
        <v>40565</v>
      </c>
    </row>
    <row r="4410">
      <c r="G4410" s="12">
        <f t="shared" si="736"/>
        <v>40565</v>
      </c>
    </row>
    <row r="4411">
      <c r="G4411" s="12">
        <f>DATE(2012,12,31)-708</f>
        <v>40566</v>
      </c>
    </row>
    <row r="4412">
      <c r="G4412" s="12">
        <f t="shared" ref="G4412:G4417" si="737">DATE(2012,12,31)-707</f>
        <v>40567</v>
      </c>
    </row>
    <row r="4413">
      <c r="G4413" s="12">
        <f t="shared" si="737"/>
        <v>40567</v>
      </c>
    </row>
    <row r="4414">
      <c r="G4414" s="12">
        <f t="shared" si="737"/>
        <v>40567</v>
      </c>
    </row>
    <row r="4415">
      <c r="G4415" s="12">
        <f t="shared" si="737"/>
        <v>40567</v>
      </c>
    </row>
    <row r="4416">
      <c r="G4416" s="12">
        <f t="shared" si="737"/>
        <v>40567</v>
      </c>
    </row>
    <row r="4417">
      <c r="G4417" s="12">
        <f t="shared" si="737"/>
        <v>40567</v>
      </c>
    </row>
    <row r="4418">
      <c r="G4418" s="12">
        <f t="shared" ref="G4418:G4420" si="738">DATE(2012,12,31)-706</f>
        <v>40568</v>
      </c>
    </row>
    <row r="4419">
      <c r="G4419" s="12">
        <f t="shared" si="738"/>
        <v>40568</v>
      </c>
    </row>
    <row r="4420">
      <c r="G4420" s="12">
        <f t="shared" si="738"/>
        <v>40568</v>
      </c>
    </row>
    <row r="4421">
      <c r="G4421" s="12">
        <f t="shared" ref="G4421:G4425" si="739">DATE(2012,12,31)-705</f>
        <v>40569</v>
      </c>
    </row>
    <row r="4422">
      <c r="G4422" s="12">
        <f t="shared" si="739"/>
        <v>40569</v>
      </c>
    </row>
    <row r="4423">
      <c r="G4423" s="12">
        <f t="shared" si="739"/>
        <v>40569</v>
      </c>
    </row>
    <row r="4424">
      <c r="G4424" s="12">
        <f t="shared" si="739"/>
        <v>40569</v>
      </c>
    </row>
    <row r="4425">
      <c r="G4425" s="12">
        <f t="shared" si="739"/>
        <v>40569</v>
      </c>
    </row>
    <row r="4426">
      <c r="G4426" s="12">
        <f t="shared" ref="G4426:G4433" si="740">DATE(2012,12,31)-704</f>
        <v>40570</v>
      </c>
    </row>
    <row r="4427">
      <c r="G4427" s="12">
        <f t="shared" si="740"/>
        <v>40570</v>
      </c>
    </row>
    <row r="4428">
      <c r="G4428" s="12">
        <f t="shared" si="740"/>
        <v>40570</v>
      </c>
    </row>
    <row r="4429">
      <c r="G4429" s="12">
        <f t="shared" si="740"/>
        <v>40570</v>
      </c>
    </row>
    <row r="4430">
      <c r="G4430" s="12">
        <f t="shared" si="740"/>
        <v>40570</v>
      </c>
    </row>
    <row r="4431">
      <c r="G4431" s="12">
        <f t="shared" si="740"/>
        <v>40570</v>
      </c>
    </row>
    <row r="4432">
      <c r="G4432" s="12">
        <f t="shared" si="740"/>
        <v>40570</v>
      </c>
    </row>
    <row r="4433">
      <c r="G4433" s="12">
        <f t="shared" si="740"/>
        <v>40570</v>
      </c>
    </row>
    <row r="4434">
      <c r="G4434" s="12">
        <f t="shared" ref="G4434:G4437" si="741">DATE(2012,12,31)-703</f>
        <v>40571</v>
      </c>
    </row>
    <row r="4435">
      <c r="G4435" s="12">
        <f t="shared" si="741"/>
        <v>40571</v>
      </c>
    </row>
    <row r="4436">
      <c r="G4436" s="12">
        <f t="shared" si="741"/>
        <v>40571</v>
      </c>
    </row>
    <row r="4437">
      <c r="G4437" s="12">
        <f t="shared" si="741"/>
        <v>40571</v>
      </c>
    </row>
    <row r="4438">
      <c r="G4438" s="12">
        <f t="shared" ref="G4438:G4443" si="742">DATE(2012,12,31)-702</f>
        <v>40572</v>
      </c>
    </row>
    <row r="4439">
      <c r="G4439" s="12">
        <f t="shared" si="742"/>
        <v>40572</v>
      </c>
    </row>
    <row r="4440">
      <c r="G4440" s="12">
        <f t="shared" si="742"/>
        <v>40572</v>
      </c>
    </row>
    <row r="4441">
      <c r="G4441" s="12">
        <f t="shared" si="742"/>
        <v>40572</v>
      </c>
    </row>
    <row r="4442">
      <c r="G4442" s="12">
        <f t="shared" si="742"/>
        <v>40572</v>
      </c>
    </row>
    <row r="4443">
      <c r="G4443" s="12">
        <f t="shared" si="742"/>
        <v>40572</v>
      </c>
    </row>
    <row r="4444">
      <c r="G4444" s="12">
        <f>DATE(2012,12,31)-701</f>
        <v>40573</v>
      </c>
    </row>
    <row r="4445">
      <c r="G4445" s="12">
        <f t="shared" ref="G4445:G4450" si="743">DATE(2012,12,31)-700</f>
        <v>40574</v>
      </c>
    </row>
    <row r="4446">
      <c r="G4446" s="12">
        <f t="shared" si="743"/>
        <v>40574</v>
      </c>
    </row>
    <row r="4447">
      <c r="G4447" s="12">
        <f t="shared" si="743"/>
        <v>40574</v>
      </c>
    </row>
    <row r="4448">
      <c r="G4448" s="12">
        <f t="shared" si="743"/>
        <v>40574</v>
      </c>
    </row>
    <row r="4449">
      <c r="G4449" s="12">
        <f t="shared" si="743"/>
        <v>40574</v>
      </c>
    </row>
    <row r="4450">
      <c r="G4450" s="12">
        <f t="shared" si="743"/>
        <v>40574</v>
      </c>
    </row>
    <row r="4451">
      <c r="G4451" s="12">
        <f t="shared" ref="G4451:G4455" si="744">DATE(2012,12,31)-699</f>
        <v>40575</v>
      </c>
    </row>
    <row r="4452">
      <c r="G4452" s="12">
        <f t="shared" si="744"/>
        <v>40575</v>
      </c>
    </row>
    <row r="4453">
      <c r="G4453" s="12">
        <f t="shared" si="744"/>
        <v>40575</v>
      </c>
    </row>
    <row r="4454">
      <c r="G4454" s="12">
        <f t="shared" si="744"/>
        <v>40575</v>
      </c>
    </row>
    <row r="4455">
      <c r="G4455" s="12">
        <f t="shared" si="744"/>
        <v>40575</v>
      </c>
    </row>
    <row r="4456">
      <c r="G4456" s="12">
        <f t="shared" ref="G4456:G4463" si="745">DATE(2012,12,31)-698</f>
        <v>40576</v>
      </c>
    </row>
    <row r="4457">
      <c r="G4457" s="12">
        <f t="shared" si="745"/>
        <v>40576</v>
      </c>
    </row>
    <row r="4458">
      <c r="G4458" s="12">
        <f t="shared" si="745"/>
        <v>40576</v>
      </c>
    </row>
    <row r="4459">
      <c r="G4459" s="12">
        <f t="shared" si="745"/>
        <v>40576</v>
      </c>
    </row>
    <row r="4460">
      <c r="G4460" s="12">
        <f t="shared" si="745"/>
        <v>40576</v>
      </c>
    </row>
    <row r="4461">
      <c r="G4461" s="12">
        <f t="shared" si="745"/>
        <v>40576</v>
      </c>
    </row>
    <row r="4462">
      <c r="G4462" s="12">
        <f t="shared" si="745"/>
        <v>40576</v>
      </c>
    </row>
    <row r="4463">
      <c r="G4463" s="12">
        <f t="shared" si="745"/>
        <v>40576</v>
      </c>
    </row>
    <row r="4464">
      <c r="G4464" s="12">
        <f t="shared" ref="G4464:G4469" si="746">DATE(2012,12,31)-697</f>
        <v>40577</v>
      </c>
    </row>
    <row r="4465">
      <c r="G4465" s="12">
        <f t="shared" si="746"/>
        <v>40577</v>
      </c>
    </row>
    <row r="4466">
      <c r="G4466" s="12">
        <f t="shared" si="746"/>
        <v>40577</v>
      </c>
    </row>
    <row r="4467">
      <c r="G4467" s="12">
        <f t="shared" si="746"/>
        <v>40577</v>
      </c>
    </row>
    <row r="4468">
      <c r="G4468" s="12">
        <f t="shared" si="746"/>
        <v>40577</v>
      </c>
    </row>
    <row r="4469">
      <c r="G4469" s="12">
        <f t="shared" si="746"/>
        <v>40577</v>
      </c>
    </row>
    <row r="4470">
      <c r="G4470" s="12">
        <f t="shared" ref="G4470:G4473" si="747">DATE(2012,12,31)-696</f>
        <v>40578</v>
      </c>
    </row>
    <row r="4471">
      <c r="G4471" s="12">
        <f t="shared" si="747"/>
        <v>40578</v>
      </c>
    </row>
    <row r="4472">
      <c r="G4472" s="12">
        <f t="shared" si="747"/>
        <v>40578</v>
      </c>
    </row>
    <row r="4473">
      <c r="G4473" s="12">
        <f t="shared" si="747"/>
        <v>40578</v>
      </c>
    </row>
    <row r="4474">
      <c r="G4474" s="12">
        <f t="shared" ref="G4474:G4483" si="748">DATE(2012,12,31)-695</f>
        <v>40579</v>
      </c>
    </row>
    <row r="4475">
      <c r="G4475" s="12">
        <f t="shared" si="748"/>
        <v>40579</v>
      </c>
    </row>
    <row r="4476">
      <c r="G4476" s="12">
        <f t="shared" si="748"/>
        <v>40579</v>
      </c>
    </row>
    <row r="4477">
      <c r="G4477" s="12">
        <f t="shared" si="748"/>
        <v>40579</v>
      </c>
    </row>
    <row r="4478">
      <c r="G4478" s="12">
        <f t="shared" si="748"/>
        <v>40579</v>
      </c>
    </row>
    <row r="4479">
      <c r="G4479" s="12">
        <f t="shared" si="748"/>
        <v>40579</v>
      </c>
    </row>
    <row r="4480">
      <c r="G4480" s="12">
        <f t="shared" si="748"/>
        <v>40579</v>
      </c>
    </row>
    <row r="4481">
      <c r="G4481" s="12">
        <f t="shared" si="748"/>
        <v>40579</v>
      </c>
    </row>
    <row r="4482">
      <c r="G4482" s="12">
        <f t="shared" si="748"/>
        <v>40579</v>
      </c>
    </row>
    <row r="4483">
      <c r="G4483" s="12">
        <f t="shared" si="748"/>
        <v>40579</v>
      </c>
    </row>
    <row r="4484">
      <c r="G4484" s="12">
        <f t="shared" ref="G4484:G4498" si="749">DATE(2012,12,31)-694</f>
        <v>40580</v>
      </c>
    </row>
    <row r="4485">
      <c r="G4485" s="12">
        <f t="shared" si="749"/>
        <v>40580</v>
      </c>
    </row>
    <row r="4486">
      <c r="G4486" s="12">
        <f t="shared" si="749"/>
        <v>40580</v>
      </c>
    </row>
    <row r="4487">
      <c r="G4487" s="12">
        <f t="shared" si="749"/>
        <v>40580</v>
      </c>
    </row>
    <row r="4488">
      <c r="G4488" s="12">
        <f t="shared" si="749"/>
        <v>40580</v>
      </c>
    </row>
    <row r="4489">
      <c r="G4489" s="12">
        <f t="shared" si="749"/>
        <v>40580</v>
      </c>
    </row>
    <row r="4490">
      <c r="G4490" s="12">
        <f t="shared" si="749"/>
        <v>40580</v>
      </c>
    </row>
    <row r="4491">
      <c r="G4491" s="12">
        <f t="shared" si="749"/>
        <v>40580</v>
      </c>
    </row>
    <row r="4492">
      <c r="G4492" s="12">
        <f t="shared" si="749"/>
        <v>40580</v>
      </c>
    </row>
    <row r="4493">
      <c r="G4493" s="12">
        <f t="shared" si="749"/>
        <v>40580</v>
      </c>
    </row>
    <row r="4494">
      <c r="G4494" s="12">
        <f t="shared" si="749"/>
        <v>40580</v>
      </c>
    </row>
    <row r="4495">
      <c r="G4495" s="12">
        <f t="shared" si="749"/>
        <v>40580</v>
      </c>
    </row>
    <row r="4496">
      <c r="G4496" s="12">
        <f t="shared" si="749"/>
        <v>40580</v>
      </c>
    </row>
    <row r="4497">
      <c r="G4497" s="12">
        <f t="shared" si="749"/>
        <v>40580</v>
      </c>
    </row>
    <row r="4498">
      <c r="G4498" s="12">
        <f t="shared" si="749"/>
        <v>40580</v>
      </c>
    </row>
    <row r="4499">
      <c r="G4499" s="12">
        <f t="shared" ref="G4499:G4506" si="750">DATE(2012,12,31)-693</f>
        <v>40581</v>
      </c>
    </row>
    <row r="4500">
      <c r="G4500" s="12">
        <f t="shared" si="750"/>
        <v>40581</v>
      </c>
    </row>
    <row r="4501">
      <c r="G4501" s="12">
        <f t="shared" si="750"/>
        <v>40581</v>
      </c>
    </row>
    <row r="4502">
      <c r="G4502" s="12">
        <f t="shared" si="750"/>
        <v>40581</v>
      </c>
    </row>
    <row r="4503">
      <c r="G4503" s="12">
        <f t="shared" si="750"/>
        <v>40581</v>
      </c>
    </row>
    <row r="4504">
      <c r="G4504" s="12">
        <f t="shared" si="750"/>
        <v>40581</v>
      </c>
    </row>
    <row r="4505">
      <c r="G4505" s="12">
        <f t="shared" si="750"/>
        <v>40581</v>
      </c>
    </row>
    <row r="4506">
      <c r="G4506" s="12">
        <f t="shared" si="750"/>
        <v>40581</v>
      </c>
    </row>
    <row r="4507">
      <c r="G4507" s="12">
        <f t="shared" ref="G4507:G4509" si="751">DATE(2012,12,31)-692</f>
        <v>40582</v>
      </c>
    </row>
    <row r="4508">
      <c r="G4508" s="12">
        <f t="shared" si="751"/>
        <v>40582</v>
      </c>
    </row>
    <row r="4509">
      <c r="G4509" s="12">
        <f t="shared" si="751"/>
        <v>40582</v>
      </c>
    </row>
    <row r="4510">
      <c r="G4510" s="12">
        <f t="shared" ref="G4510:G4511" si="752">DATE(2012,12,31)-691</f>
        <v>40583</v>
      </c>
    </row>
    <row r="4511">
      <c r="G4511" s="12">
        <f t="shared" si="752"/>
        <v>40583</v>
      </c>
    </row>
    <row r="4512">
      <c r="G4512" s="12">
        <f t="shared" ref="G4512:G4519" si="753">DATE(2012,12,31)-690</f>
        <v>40584</v>
      </c>
    </row>
    <row r="4513">
      <c r="G4513" s="12">
        <f t="shared" si="753"/>
        <v>40584</v>
      </c>
    </row>
    <row r="4514">
      <c r="G4514" s="12">
        <f t="shared" si="753"/>
        <v>40584</v>
      </c>
    </row>
    <row r="4515">
      <c r="G4515" s="12">
        <f t="shared" si="753"/>
        <v>40584</v>
      </c>
    </row>
    <row r="4516">
      <c r="G4516" s="12">
        <f t="shared" si="753"/>
        <v>40584</v>
      </c>
    </row>
    <row r="4517">
      <c r="G4517" s="12">
        <f t="shared" si="753"/>
        <v>40584</v>
      </c>
    </row>
    <row r="4518">
      <c r="G4518" s="12">
        <f t="shared" si="753"/>
        <v>40584</v>
      </c>
    </row>
    <row r="4519">
      <c r="G4519" s="12">
        <f t="shared" si="753"/>
        <v>40584</v>
      </c>
    </row>
    <row r="4520">
      <c r="G4520" s="12">
        <f t="shared" ref="G4520:G4524" si="754">DATE(2012,12,31)-689</f>
        <v>40585</v>
      </c>
    </row>
    <row r="4521">
      <c r="G4521" s="12">
        <f t="shared" si="754"/>
        <v>40585</v>
      </c>
    </row>
    <row r="4522">
      <c r="G4522" s="12">
        <f t="shared" si="754"/>
        <v>40585</v>
      </c>
    </row>
    <row r="4523">
      <c r="G4523" s="12">
        <f t="shared" si="754"/>
        <v>40585</v>
      </c>
    </row>
    <row r="4524">
      <c r="G4524" s="12">
        <f t="shared" si="754"/>
        <v>40585</v>
      </c>
    </row>
    <row r="4525">
      <c r="G4525" s="12">
        <f t="shared" ref="G4525:G4528" si="755">DATE(2012,12,31)-688</f>
        <v>40586</v>
      </c>
    </row>
    <row r="4526">
      <c r="G4526" s="12">
        <f t="shared" si="755"/>
        <v>40586</v>
      </c>
    </row>
    <row r="4527">
      <c r="G4527" s="12">
        <f t="shared" si="755"/>
        <v>40586</v>
      </c>
    </row>
    <row r="4528">
      <c r="G4528" s="12">
        <f t="shared" si="755"/>
        <v>40586</v>
      </c>
    </row>
    <row r="4529">
      <c r="G4529" s="12">
        <f t="shared" ref="G4529:G4539" si="756">DATE(2012,12,31)-687</f>
        <v>40587</v>
      </c>
    </row>
    <row r="4530">
      <c r="G4530" s="12">
        <f t="shared" si="756"/>
        <v>40587</v>
      </c>
    </row>
    <row r="4531">
      <c r="G4531" s="12">
        <f t="shared" si="756"/>
        <v>40587</v>
      </c>
    </row>
    <row r="4532">
      <c r="G4532" s="12">
        <f t="shared" si="756"/>
        <v>40587</v>
      </c>
    </row>
    <row r="4533">
      <c r="G4533" s="12">
        <f t="shared" si="756"/>
        <v>40587</v>
      </c>
    </row>
    <row r="4534">
      <c r="G4534" s="12">
        <f t="shared" si="756"/>
        <v>40587</v>
      </c>
    </row>
    <row r="4535">
      <c r="G4535" s="12">
        <f t="shared" si="756"/>
        <v>40587</v>
      </c>
    </row>
    <row r="4536">
      <c r="G4536" s="12">
        <f t="shared" si="756"/>
        <v>40587</v>
      </c>
    </row>
    <row r="4537">
      <c r="G4537" s="12">
        <f t="shared" si="756"/>
        <v>40587</v>
      </c>
    </row>
    <row r="4538">
      <c r="G4538" s="12">
        <f t="shared" si="756"/>
        <v>40587</v>
      </c>
    </row>
    <row r="4539">
      <c r="G4539" s="12">
        <f t="shared" si="756"/>
        <v>40587</v>
      </c>
    </row>
    <row r="4540">
      <c r="G4540" s="12">
        <f t="shared" ref="G4540:G4550" si="757">DATE(2012,12,31)-686</f>
        <v>40588</v>
      </c>
    </row>
    <row r="4541">
      <c r="G4541" s="12">
        <f t="shared" si="757"/>
        <v>40588</v>
      </c>
    </row>
    <row r="4542">
      <c r="G4542" s="12">
        <f t="shared" si="757"/>
        <v>40588</v>
      </c>
    </row>
    <row r="4543">
      <c r="G4543" s="12">
        <f t="shared" si="757"/>
        <v>40588</v>
      </c>
    </row>
    <row r="4544">
      <c r="G4544" s="12">
        <f t="shared" si="757"/>
        <v>40588</v>
      </c>
    </row>
    <row r="4545">
      <c r="G4545" s="12">
        <f t="shared" si="757"/>
        <v>40588</v>
      </c>
    </row>
    <row r="4546">
      <c r="G4546" s="12">
        <f t="shared" si="757"/>
        <v>40588</v>
      </c>
    </row>
    <row r="4547">
      <c r="G4547" s="12">
        <f t="shared" si="757"/>
        <v>40588</v>
      </c>
    </row>
    <row r="4548">
      <c r="G4548" s="12">
        <f t="shared" si="757"/>
        <v>40588</v>
      </c>
    </row>
    <row r="4549">
      <c r="G4549" s="12">
        <f t="shared" si="757"/>
        <v>40588</v>
      </c>
    </row>
    <row r="4550">
      <c r="G4550" s="12">
        <f t="shared" si="757"/>
        <v>40588</v>
      </c>
    </row>
    <row r="4551">
      <c r="G4551" s="12">
        <f t="shared" ref="G4551:G4556" si="758">DATE(2012,12,31)-685</f>
        <v>40589</v>
      </c>
    </row>
    <row r="4552">
      <c r="G4552" s="12">
        <f t="shared" si="758"/>
        <v>40589</v>
      </c>
    </row>
    <row r="4553">
      <c r="G4553" s="12">
        <f t="shared" si="758"/>
        <v>40589</v>
      </c>
    </row>
    <row r="4554">
      <c r="G4554" s="12">
        <f t="shared" si="758"/>
        <v>40589</v>
      </c>
    </row>
    <row r="4555">
      <c r="G4555" s="12">
        <f t="shared" si="758"/>
        <v>40589</v>
      </c>
    </row>
    <row r="4556">
      <c r="G4556" s="12">
        <f t="shared" si="758"/>
        <v>40589</v>
      </c>
    </row>
    <row r="4557">
      <c r="G4557" s="12">
        <f t="shared" ref="G4557:G4561" si="759">DATE(2012,12,31)-684</f>
        <v>40590</v>
      </c>
    </row>
    <row r="4558">
      <c r="G4558" s="12">
        <f t="shared" si="759"/>
        <v>40590</v>
      </c>
    </row>
    <row r="4559">
      <c r="G4559" s="12">
        <f t="shared" si="759"/>
        <v>40590</v>
      </c>
    </row>
    <row r="4560">
      <c r="G4560" s="12">
        <f t="shared" si="759"/>
        <v>40590</v>
      </c>
    </row>
    <row r="4561">
      <c r="G4561" s="12">
        <f t="shared" si="759"/>
        <v>40590</v>
      </c>
    </row>
    <row r="4562">
      <c r="G4562" s="12">
        <f t="shared" ref="G4562:G4564" si="760">DATE(2012,12,31)-683</f>
        <v>40591</v>
      </c>
    </row>
    <row r="4563">
      <c r="G4563" s="12">
        <f t="shared" si="760"/>
        <v>40591</v>
      </c>
    </row>
    <row r="4564">
      <c r="G4564" s="12">
        <f t="shared" si="760"/>
        <v>40591</v>
      </c>
    </row>
    <row r="4565">
      <c r="G4565" s="12">
        <f t="shared" ref="G4565:G4568" si="761">DATE(2012,12,31)-682</f>
        <v>40592</v>
      </c>
    </row>
    <row r="4566">
      <c r="G4566" s="12">
        <f t="shared" si="761"/>
        <v>40592</v>
      </c>
    </row>
    <row r="4567">
      <c r="G4567" s="12">
        <f t="shared" si="761"/>
        <v>40592</v>
      </c>
    </row>
    <row r="4568">
      <c r="G4568" s="12">
        <f t="shared" si="761"/>
        <v>40592</v>
      </c>
    </row>
    <row r="4569">
      <c r="G4569" s="12">
        <f t="shared" ref="G4569:G4572" si="762">DATE(2012,12,31)-681</f>
        <v>40593</v>
      </c>
    </row>
    <row r="4570">
      <c r="G4570" s="12">
        <f t="shared" si="762"/>
        <v>40593</v>
      </c>
    </row>
    <row r="4571">
      <c r="G4571" s="12">
        <f t="shared" si="762"/>
        <v>40593</v>
      </c>
    </row>
    <row r="4572">
      <c r="G4572" s="12">
        <f t="shared" si="762"/>
        <v>40593</v>
      </c>
    </row>
    <row r="4573">
      <c r="G4573" s="12">
        <f t="shared" ref="G4573:G4580" si="763">DATE(2012,12,31)-680</f>
        <v>40594</v>
      </c>
    </row>
    <row r="4574">
      <c r="G4574" s="12">
        <f t="shared" si="763"/>
        <v>40594</v>
      </c>
    </row>
    <row r="4575">
      <c r="G4575" s="12">
        <f t="shared" si="763"/>
        <v>40594</v>
      </c>
    </row>
    <row r="4576">
      <c r="G4576" s="12">
        <f t="shared" si="763"/>
        <v>40594</v>
      </c>
    </row>
    <row r="4577">
      <c r="G4577" s="12">
        <f t="shared" si="763"/>
        <v>40594</v>
      </c>
    </row>
    <row r="4578">
      <c r="G4578" s="12">
        <f t="shared" si="763"/>
        <v>40594</v>
      </c>
    </row>
    <row r="4579">
      <c r="G4579" s="12">
        <f t="shared" si="763"/>
        <v>40594</v>
      </c>
    </row>
    <row r="4580">
      <c r="G4580" s="12">
        <f t="shared" si="763"/>
        <v>40594</v>
      </c>
    </row>
    <row r="4581">
      <c r="G4581" s="12">
        <f t="shared" ref="G4581:G4586" si="764">DATE(2012,12,31)-679</f>
        <v>40595</v>
      </c>
    </row>
    <row r="4582">
      <c r="G4582" s="12">
        <f t="shared" si="764"/>
        <v>40595</v>
      </c>
    </row>
    <row r="4583">
      <c r="G4583" s="12">
        <f t="shared" si="764"/>
        <v>40595</v>
      </c>
    </row>
    <row r="4584">
      <c r="G4584" s="12">
        <f t="shared" si="764"/>
        <v>40595</v>
      </c>
    </row>
    <row r="4585">
      <c r="G4585" s="12">
        <f t="shared" si="764"/>
        <v>40595</v>
      </c>
    </row>
    <row r="4586">
      <c r="G4586" s="12">
        <f t="shared" si="764"/>
        <v>40595</v>
      </c>
    </row>
    <row r="4587">
      <c r="G4587" s="12">
        <f t="shared" ref="G4587:G4591" si="765">DATE(2012,12,31)-678</f>
        <v>40596</v>
      </c>
    </row>
    <row r="4588">
      <c r="G4588" s="12">
        <f t="shared" si="765"/>
        <v>40596</v>
      </c>
    </row>
    <row r="4589">
      <c r="G4589" s="12">
        <f t="shared" si="765"/>
        <v>40596</v>
      </c>
    </row>
    <row r="4590">
      <c r="G4590" s="12">
        <f t="shared" si="765"/>
        <v>40596</v>
      </c>
    </row>
    <row r="4591">
      <c r="G4591" s="12">
        <f t="shared" si="765"/>
        <v>40596</v>
      </c>
    </row>
    <row r="4592">
      <c r="G4592" s="12">
        <f>DATE(2012,12,31)-677</f>
        <v>40597</v>
      </c>
    </row>
    <row r="4593">
      <c r="G4593" s="12">
        <f t="shared" ref="G4593:G4602" si="766">DATE(2012,12,31)-676</f>
        <v>40598</v>
      </c>
    </row>
    <row r="4594">
      <c r="G4594" s="12">
        <f t="shared" si="766"/>
        <v>40598</v>
      </c>
    </row>
    <row r="4595">
      <c r="G4595" s="12">
        <f t="shared" si="766"/>
        <v>40598</v>
      </c>
    </row>
    <row r="4596">
      <c r="G4596" s="12">
        <f t="shared" si="766"/>
        <v>40598</v>
      </c>
    </row>
    <row r="4597">
      <c r="G4597" s="12">
        <f t="shared" si="766"/>
        <v>40598</v>
      </c>
    </row>
    <row r="4598">
      <c r="G4598" s="12">
        <f t="shared" si="766"/>
        <v>40598</v>
      </c>
    </row>
    <row r="4599">
      <c r="G4599" s="12">
        <f t="shared" si="766"/>
        <v>40598</v>
      </c>
    </row>
    <row r="4600">
      <c r="G4600" s="12">
        <f t="shared" si="766"/>
        <v>40598</v>
      </c>
    </row>
    <row r="4601">
      <c r="G4601" s="12">
        <f t="shared" si="766"/>
        <v>40598</v>
      </c>
    </row>
    <row r="4602">
      <c r="G4602" s="12">
        <f t="shared" si="766"/>
        <v>40598</v>
      </c>
    </row>
    <row r="4603">
      <c r="G4603" s="12">
        <f t="shared" ref="G4603:G4605" si="767">DATE(2012,12,31)-675</f>
        <v>40599</v>
      </c>
    </row>
    <row r="4604">
      <c r="G4604" s="12">
        <f t="shared" si="767"/>
        <v>40599</v>
      </c>
    </row>
    <row r="4605">
      <c r="G4605" s="12">
        <f t="shared" si="767"/>
        <v>40599</v>
      </c>
    </row>
    <row r="4606">
      <c r="G4606" s="12">
        <f t="shared" ref="G4606:G4615" si="768">DATE(2012,12,31)-674</f>
        <v>40600</v>
      </c>
    </row>
    <row r="4607">
      <c r="G4607" s="12">
        <f t="shared" si="768"/>
        <v>40600</v>
      </c>
    </row>
    <row r="4608">
      <c r="G4608" s="12">
        <f t="shared" si="768"/>
        <v>40600</v>
      </c>
    </row>
    <row r="4609">
      <c r="G4609" s="12">
        <f t="shared" si="768"/>
        <v>40600</v>
      </c>
    </row>
    <row r="4610">
      <c r="G4610" s="12">
        <f t="shared" si="768"/>
        <v>40600</v>
      </c>
    </row>
    <row r="4611">
      <c r="G4611" s="12">
        <f t="shared" si="768"/>
        <v>40600</v>
      </c>
    </row>
    <row r="4612">
      <c r="G4612" s="12">
        <f t="shared" si="768"/>
        <v>40600</v>
      </c>
    </row>
    <row r="4613">
      <c r="G4613" s="12">
        <f t="shared" si="768"/>
        <v>40600</v>
      </c>
    </row>
    <row r="4614">
      <c r="G4614" s="12">
        <f t="shared" si="768"/>
        <v>40600</v>
      </c>
    </row>
    <row r="4615">
      <c r="G4615" s="12">
        <f t="shared" si="768"/>
        <v>40600</v>
      </c>
    </row>
    <row r="4616">
      <c r="G4616" s="12">
        <f>DATE(2012,12,31)-673</f>
        <v>40601</v>
      </c>
    </row>
    <row r="4617">
      <c r="G4617" s="12">
        <f t="shared" ref="G4617:G4620" si="769">DATE(2012,12,31)-672</f>
        <v>40602</v>
      </c>
    </row>
    <row r="4618">
      <c r="G4618" s="12">
        <f t="shared" si="769"/>
        <v>40602</v>
      </c>
    </row>
    <row r="4619">
      <c r="G4619" s="12">
        <f t="shared" si="769"/>
        <v>40602</v>
      </c>
    </row>
    <row r="4620">
      <c r="G4620" s="12">
        <f t="shared" si="769"/>
        <v>40602</v>
      </c>
    </row>
    <row r="4621">
      <c r="G4621" s="12">
        <f t="shared" ref="G4621:G4626" si="770">DATE(2012,12,31)-671</f>
        <v>40603</v>
      </c>
    </row>
    <row r="4622">
      <c r="G4622" s="12">
        <f t="shared" si="770"/>
        <v>40603</v>
      </c>
    </row>
    <row r="4623">
      <c r="G4623" s="12">
        <f t="shared" si="770"/>
        <v>40603</v>
      </c>
    </row>
    <row r="4624">
      <c r="G4624" s="12">
        <f t="shared" si="770"/>
        <v>40603</v>
      </c>
    </row>
    <row r="4625">
      <c r="G4625" s="12">
        <f t="shared" si="770"/>
        <v>40603</v>
      </c>
    </row>
    <row r="4626">
      <c r="G4626" s="12">
        <f t="shared" si="770"/>
        <v>40603</v>
      </c>
    </row>
    <row r="4627">
      <c r="G4627" s="12">
        <f t="shared" ref="G4627:G4631" si="771">DATE(2012,12,31)-670</f>
        <v>40604</v>
      </c>
    </row>
    <row r="4628">
      <c r="G4628" s="12">
        <f t="shared" si="771"/>
        <v>40604</v>
      </c>
    </row>
    <row r="4629">
      <c r="G4629" s="12">
        <f t="shared" si="771"/>
        <v>40604</v>
      </c>
    </row>
    <row r="4630">
      <c r="G4630" s="12">
        <f t="shared" si="771"/>
        <v>40604</v>
      </c>
    </row>
    <row r="4631">
      <c r="G4631" s="12">
        <f t="shared" si="771"/>
        <v>40604</v>
      </c>
    </row>
    <row r="4632">
      <c r="G4632" s="12">
        <f t="shared" ref="G4632:G4635" si="772">DATE(2012,12,31)-669</f>
        <v>40605</v>
      </c>
    </row>
    <row r="4633">
      <c r="G4633" s="12">
        <f t="shared" si="772"/>
        <v>40605</v>
      </c>
    </row>
    <row r="4634">
      <c r="G4634" s="12">
        <f t="shared" si="772"/>
        <v>40605</v>
      </c>
    </row>
    <row r="4635">
      <c r="G4635" s="12">
        <f t="shared" si="772"/>
        <v>40605</v>
      </c>
    </row>
    <row r="4636">
      <c r="G4636" s="12">
        <f t="shared" ref="G4636:G4644" si="773">DATE(2012,12,31)-668</f>
        <v>40606</v>
      </c>
    </row>
    <row r="4637">
      <c r="G4637" s="12">
        <f t="shared" si="773"/>
        <v>40606</v>
      </c>
    </row>
    <row r="4638">
      <c r="G4638" s="12">
        <f t="shared" si="773"/>
        <v>40606</v>
      </c>
    </row>
    <row r="4639">
      <c r="G4639" s="12">
        <f t="shared" si="773"/>
        <v>40606</v>
      </c>
    </row>
    <row r="4640">
      <c r="G4640" s="12">
        <f t="shared" si="773"/>
        <v>40606</v>
      </c>
    </row>
    <row r="4641">
      <c r="G4641" s="12">
        <f t="shared" si="773"/>
        <v>40606</v>
      </c>
    </row>
    <row r="4642">
      <c r="G4642" s="12">
        <f t="shared" si="773"/>
        <v>40606</v>
      </c>
    </row>
    <row r="4643">
      <c r="G4643" s="12">
        <f t="shared" si="773"/>
        <v>40606</v>
      </c>
    </row>
    <row r="4644">
      <c r="G4644" s="12">
        <f t="shared" si="773"/>
        <v>40606</v>
      </c>
    </row>
    <row r="4645">
      <c r="G4645" s="12">
        <f t="shared" ref="G4645:G4651" si="774">DATE(2012,12,31)-667</f>
        <v>40607</v>
      </c>
    </row>
    <row r="4646">
      <c r="G4646" s="12">
        <f t="shared" si="774"/>
        <v>40607</v>
      </c>
    </row>
    <row r="4647">
      <c r="G4647" s="12">
        <f t="shared" si="774"/>
        <v>40607</v>
      </c>
    </row>
    <row r="4648">
      <c r="G4648" s="12">
        <f t="shared" si="774"/>
        <v>40607</v>
      </c>
    </row>
    <row r="4649">
      <c r="G4649" s="12">
        <f t="shared" si="774"/>
        <v>40607</v>
      </c>
    </row>
    <row r="4650">
      <c r="G4650" s="12">
        <f t="shared" si="774"/>
        <v>40607</v>
      </c>
    </row>
    <row r="4651">
      <c r="G4651" s="12">
        <f t="shared" si="774"/>
        <v>40607</v>
      </c>
    </row>
    <row r="4652">
      <c r="G4652" s="12">
        <f t="shared" ref="G4652:G4657" si="775">DATE(2012,12,31)-665</f>
        <v>40609</v>
      </c>
    </row>
    <row r="4653">
      <c r="G4653" s="12">
        <f t="shared" si="775"/>
        <v>40609</v>
      </c>
    </row>
    <row r="4654">
      <c r="G4654" s="12">
        <f t="shared" si="775"/>
        <v>40609</v>
      </c>
    </row>
    <row r="4655">
      <c r="G4655" s="12">
        <f t="shared" si="775"/>
        <v>40609</v>
      </c>
    </row>
    <row r="4656">
      <c r="G4656" s="12">
        <f t="shared" si="775"/>
        <v>40609</v>
      </c>
    </row>
    <row r="4657">
      <c r="G4657" s="12">
        <f t="shared" si="775"/>
        <v>40609</v>
      </c>
    </row>
    <row r="4658">
      <c r="G4658" s="12">
        <f t="shared" ref="G4658:G4665" si="776">DATE(2012,12,31)-664</f>
        <v>40610</v>
      </c>
    </row>
    <row r="4659">
      <c r="G4659" s="12">
        <f t="shared" si="776"/>
        <v>40610</v>
      </c>
    </row>
    <row r="4660">
      <c r="G4660" s="12">
        <f t="shared" si="776"/>
        <v>40610</v>
      </c>
    </row>
    <row r="4661">
      <c r="G4661" s="12">
        <f t="shared" si="776"/>
        <v>40610</v>
      </c>
    </row>
    <row r="4662">
      <c r="G4662" s="12">
        <f t="shared" si="776"/>
        <v>40610</v>
      </c>
    </row>
    <row r="4663">
      <c r="G4663" s="12">
        <f t="shared" si="776"/>
        <v>40610</v>
      </c>
    </row>
    <row r="4664">
      <c r="G4664" s="12">
        <f t="shared" si="776"/>
        <v>40610</v>
      </c>
    </row>
    <row r="4665">
      <c r="G4665" s="12">
        <f t="shared" si="776"/>
        <v>40610</v>
      </c>
    </row>
    <row r="4666">
      <c r="G4666" s="12">
        <f t="shared" ref="G4666:G4667" si="777">DATE(2012,12,31)-663</f>
        <v>40611</v>
      </c>
    </row>
    <row r="4667">
      <c r="G4667" s="12">
        <f t="shared" si="777"/>
        <v>40611</v>
      </c>
    </row>
    <row r="4668">
      <c r="G4668" s="12">
        <f t="shared" ref="G4668:G4678" si="778">DATE(2012,12,31)-662</f>
        <v>40612</v>
      </c>
    </row>
    <row r="4669">
      <c r="G4669" s="12">
        <f t="shared" si="778"/>
        <v>40612</v>
      </c>
    </row>
    <row r="4670">
      <c r="G4670" s="12">
        <f t="shared" si="778"/>
        <v>40612</v>
      </c>
    </row>
    <row r="4671">
      <c r="G4671" s="12">
        <f t="shared" si="778"/>
        <v>40612</v>
      </c>
    </row>
    <row r="4672">
      <c r="G4672" s="12">
        <f t="shared" si="778"/>
        <v>40612</v>
      </c>
    </row>
    <row r="4673">
      <c r="G4673" s="12">
        <f t="shared" si="778"/>
        <v>40612</v>
      </c>
    </row>
    <row r="4674">
      <c r="G4674" s="12">
        <f t="shared" si="778"/>
        <v>40612</v>
      </c>
    </row>
    <row r="4675">
      <c r="G4675" s="12">
        <f t="shared" si="778"/>
        <v>40612</v>
      </c>
    </row>
    <row r="4676">
      <c r="G4676" s="12">
        <f t="shared" si="778"/>
        <v>40612</v>
      </c>
    </row>
    <row r="4677">
      <c r="G4677" s="12">
        <f t="shared" si="778"/>
        <v>40612</v>
      </c>
    </row>
    <row r="4678">
      <c r="G4678" s="12">
        <f t="shared" si="778"/>
        <v>40612</v>
      </c>
    </row>
    <row r="4679">
      <c r="G4679" s="12">
        <f t="shared" ref="G4679:G4681" si="779">DATE(2012,12,31)-661</f>
        <v>40613</v>
      </c>
    </row>
    <row r="4680">
      <c r="G4680" s="12">
        <f t="shared" si="779"/>
        <v>40613</v>
      </c>
    </row>
    <row r="4681">
      <c r="G4681" s="12">
        <f t="shared" si="779"/>
        <v>40613</v>
      </c>
    </row>
    <row r="4682">
      <c r="G4682" s="12">
        <f t="shared" ref="G4682:G4688" si="780">DATE(2012,12,31)-660</f>
        <v>40614</v>
      </c>
    </row>
    <row r="4683">
      <c r="G4683" s="12">
        <f t="shared" si="780"/>
        <v>40614</v>
      </c>
    </row>
    <row r="4684">
      <c r="G4684" s="12">
        <f t="shared" si="780"/>
        <v>40614</v>
      </c>
    </row>
    <row r="4685">
      <c r="G4685" s="12">
        <f t="shared" si="780"/>
        <v>40614</v>
      </c>
    </row>
    <row r="4686">
      <c r="G4686" s="12">
        <f t="shared" si="780"/>
        <v>40614</v>
      </c>
    </row>
    <row r="4687">
      <c r="G4687" s="12">
        <f t="shared" si="780"/>
        <v>40614</v>
      </c>
    </row>
    <row r="4688">
      <c r="G4688" s="12">
        <f t="shared" si="780"/>
        <v>40614</v>
      </c>
    </row>
    <row r="4689">
      <c r="G4689" s="12">
        <f t="shared" ref="G4689:G4693" si="781">DATE(2012,12,31)-659</f>
        <v>40615</v>
      </c>
    </row>
    <row r="4690">
      <c r="G4690" s="12">
        <f t="shared" si="781"/>
        <v>40615</v>
      </c>
    </row>
    <row r="4691">
      <c r="G4691" s="12">
        <f t="shared" si="781"/>
        <v>40615</v>
      </c>
    </row>
    <row r="4692">
      <c r="G4692" s="12">
        <f t="shared" si="781"/>
        <v>40615</v>
      </c>
    </row>
    <row r="4693">
      <c r="G4693" s="12">
        <f t="shared" si="781"/>
        <v>40615</v>
      </c>
    </row>
    <row r="4694">
      <c r="G4694" s="12">
        <f>DATE(2012,12,31)-658</f>
        <v>40616</v>
      </c>
    </row>
    <row r="4695">
      <c r="G4695" s="12">
        <f t="shared" ref="G4695:G4706" si="782">DATE(2012,12,31)-657</f>
        <v>40617</v>
      </c>
    </row>
    <row r="4696">
      <c r="G4696" s="12">
        <f t="shared" si="782"/>
        <v>40617</v>
      </c>
    </row>
    <row r="4697">
      <c r="G4697" s="12">
        <f t="shared" si="782"/>
        <v>40617</v>
      </c>
    </row>
    <row r="4698">
      <c r="G4698" s="12">
        <f t="shared" si="782"/>
        <v>40617</v>
      </c>
    </row>
    <row r="4699">
      <c r="G4699" s="12">
        <f t="shared" si="782"/>
        <v>40617</v>
      </c>
    </row>
    <row r="4700">
      <c r="G4700" s="12">
        <f t="shared" si="782"/>
        <v>40617</v>
      </c>
    </row>
    <row r="4701">
      <c r="G4701" s="12">
        <f t="shared" si="782"/>
        <v>40617</v>
      </c>
    </row>
    <row r="4702">
      <c r="G4702" s="12">
        <f t="shared" si="782"/>
        <v>40617</v>
      </c>
    </row>
    <row r="4703">
      <c r="G4703" s="12">
        <f t="shared" si="782"/>
        <v>40617</v>
      </c>
    </row>
    <row r="4704">
      <c r="G4704" s="12">
        <f t="shared" si="782"/>
        <v>40617</v>
      </c>
    </row>
    <row r="4705">
      <c r="G4705" s="12">
        <f t="shared" si="782"/>
        <v>40617</v>
      </c>
    </row>
    <row r="4706">
      <c r="G4706" s="12">
        <f t="shared" si="782"/>
        <v>40617</v>
      </c>
    </row>
    <row r="4707">
      <c r="G4707" s="12">
        <f t="shared" ref="G4707:G4711" si="783">DATE(2012,12,31)-656</f>
        <v>40618</v>
      </c>
    </row>
    <row r="4708">
      <c r="G4708" s="12">
        <f t="shared" si="783"/>
        <v>40618</v>
      </c>
    </row>
    <row r="4709">
      <c r="G4709" s="12">
        <f t="shared" si="783"/>
        <v>40618</v>
      </c>
    </row>
    <row r="4710">
      <c r="G4710" s="12">
        <f t="shared" si="783"/>
        <v>40618</v>
      </c>
    </row>
    <row r="4711">
      <c r="G4711" s="12">
        <f t="shared" si="783"/>
        <v>40618</v>
      </c>
    </row>
    <row r="4712">
      <c r="G4712" s="12">
        <f t="shared" ref="G4712:G4718" si="784">DATE(2012,12,31)-655</f>
        <v>40619</v>
      </c>
    </row>
    <row r="4713">
      <c r="G4713" s="12">
        <f t="shared" si="784"/>
        <v>40619</v>
      </c>
    </row>
    <row r="4714">
      <c r="G4714" s="12">
        <f t="shared" si="784"/>
        <v>40619</v>
      </c>
    </row>
    <row r="4715">
      <c r="G4715" s="12">
        <f t="shared" si="784"/>
        <v>40619</v>
      </c>
    </row>
    <row r="4716">
      <c r="G4716" s="12">
        <f t="shared" si="784"/>
        <v>40619</v>
      </c>
    </row>
    <row r="4717">
      <c r="G4717" s="12">
        <f t="shared" si="784"/>
        <v>40619</v>
      </c>
    </row>
    <row r="4718">
      <c r="G4718" s="12">
        <f t="shared" si="784"/>
        <v>40619</v>
      </c>
    </row>
    <row r="4719">
      <c r="G4719" s="12">
        <f t="shared" ref="G4719:G4727" si="785">DATE(2012,12,31)-654</f>
        <v>40620</v>
      </c>
    </row>
    <row r="4720">
      <c r="G4720" s="12">
        <f t="shared" si="785"/>
        <v>40620</v>
      </c>
    </row>
    <row r="4721">
      <c r="G4721" s="12">
        <f t="shared" si="785"/>
        <v>40620</v>
      </c>
    </row>
    <row r="4722">
      <c r="G4722" s="12">
        <f t="shared" si="785"/>
        <v>40620</v>
      </c>
    </row>
    <row r="4723">
      <c r="G4723" s="12">
        <f t="shared" si="785"/>
        <v>40620</v>
      </c>
    </row>
    <row r="4724">
      <c r="G4724" s="12">
        <f t="shared" si="785"/>
        <v>40620</v>
      </c>
    </row>
    <row r="4725">
      <c r="G4725" s="12">
        <f t="shared" si="785"/>
        <v>40620</v>
      </c>
    </row>
    <row r="4726">
      <c r="G4726" s="12">
        <f t="shared" si="785"/>
        <v>40620</v>
      </c>
    </row>
    <row r="4727">
      <c r="G4727" s="12">
        <f t="shared" si="785"/>
        <v>40620</v>
      </c>
    </row>
    <row r="4728">
      <c r="G4728" s="12">
        <f t="shared" ref="G4728:G4730" si="786">DATE(2012,12,31)-653</f>
        <v>40621</v>
      </c>
    </row>
    <row r="4729">
      <c r="G4729" s="12">
        <f t="shared" si="786"/>
        <v>40621</v>
      </c>
    </row>
    <row r="4730">
      <c r="G4730" s="12">
        <f t="shared" si="786"/>
        <v>40621</v>
      </c>
    </row>
    <row r="4731">
      <c r="G4731" s="12">
        <f t="shared" ref="G4731:G4735" si="787">DATE(2012,12,31)-652</f>
        <v>40622</v>
      </c>
    </row>
    <row r="4732">
      <c r="G4732" s="12">
        <f t="shared" si="787"/>
        <v>40622</v>
      </c>
    </row>
    <row r="4733">
      <c r="G4733" s="12">
        <f t="shared" si="787"/>
        <v>40622</v>
      </c>
    </row>
    <row r="4734">
      <c r="G4734" s="12">
        <f t="shared" si="787"/>
        <v>40622</v>
      </c>
    </row>
    <row r="4735">
      <c r="G4735" s="12">
        <f t="shared" si="787"/>
        <v>40622</v>
      </c>
    </row>
    <row r="4736">
      <c r="G4736" s="12">
        <f t="shared" ref="G4736:G4739" si="788">DATE(2012,12,31)-651</f>
        <v>40623</v>
      </c>
    </row>
    <row r="4737">
      <c r="G4737" s="12">
        <f t="shared" si="788"/>
        <v>40623</v>
      </c>
    </row>
    <row r="4738">
      <c r="G4738" s="12">
        <f t="shared" si="788"/>
        <v>40623</v>
      </c>
    </row>
    <row r="4739">
      <c r="G4739" s="12">
        <f t="shared" si="788"/>
        <v>40623</v>
      </c>
    </row>
    <row r="4740">
      <c r="G4740" s="12">
        <f t="shared" ref="G4740:G4743" si="789">DATE(2012,12,31)-650</f>
        <v>40624</v>
      </c>
    </row>
    <row r="4741">
      <c r="G4741" s="12">
        <f t="shared" si="789"/>
        <v>40624</v>
      </c>
    </row>
    <row r="4742">
      <c r="G4742" s="12">
        <f t="shared" si="789"/>
        <v>40624</v>
      </c>
    </row>
    <row r="4743">
      <c r="G4743" s="12">
        <f t="shared" si="789"/>
        <v>40624</v>
      </c>
    </row>
    <row r="4744">
      <c r="G4744" s="12">
        <f t="shared" ref="G4744:G4747" si="790">DATE(2012,12,31)-649</f>
        <v>40625</v>
      </c>
    </row>
    <row r="4745">
      <c r="G4745" s="12">
        <f t="shared" si="790"/>
        <v>40625</v>
      </c>
    </row>
    <row r="4746">
      <c r="G4746" s="12">
        <f t="shared" si="790"/>
        <v>40625</v>
      </c>
    </row>
    <row r="4747">
      <c r="G4747" s="12">
        <f t="shared" si="790"/>
        <v>40625</v>
      </c>
    </row>
    <row r="4748">
      <c r="G4748" s="12">
        <f t="shared" ref="G4748:G4752" si="791">DATE(2012,12,31)-648</f>
        <v>40626</v>
      </c>
    </row>
    <row r="4749">
      <c r="G4749" s="12">
        <f t="shared" si="791"/>
        <v>40626</v>
      </c>
    </row>
    <row r="4750">
      <c r="G4750" s="12">
        <f t="shared" si="791"/>
        <v>40626</v>
      </c>
    </row>
    <row r="4751">
      <c r="G4751" s="12">
        <f t="shared" si="791"/>
        <v>40626</v>
      </c>
    </row>
    <row r="4752">
      <c r="G4752" s="12">
        <f t="shared" si="791"/>
        <v>40626</v>
      </c>
    </row>
    <row r="4753">
      <c r="G4753" s="12">
        <f t="shared" ref="G4753:G4755" si="792">DATE(2012,12,31)-647</f>
        <v>40627</v>
      </c>
    </row>
    <row r="4754">
      <c r="G4754" s="12">
        <f t="shared" si="792"/>
        <v>40627</v>
      </c>
    </row>
    <row r="4755">
      <c r="G4755" s="12">
        <f t="shared" si="792"/>
        <v>40627</v>
      </c>
    </row>
    <row r="4756">
      <c r="G4756" s="12">
        <f t="shared" ref="G4756:G4764" si="793">DATE(2012,12,31)-646</f>
        <v>40628</v>
      </c>
    </row>
    <row r="4757">
      <c r="G4757" s="12">
        <f t="shared" si="793"/>
        <v>40628</v>
      </c>
    </row>
    <row r="4758">
      <c r="G4758" s="12">
        <f t="shared" si="793"/>
        <v>40628</v>
      </c>
    </row>
    <row r="4759">
      <c r="G4759" s="12">
        <f t="shared" si="793"/>
        <v>40628</v>
      </c>
    </row>
    <row r="4760">
      <c r="G4760" s="12">
        <f t="shared" si="793"/>
        <v>40628</v>
      </c>
    </row>
    <row r="4761">
      <c r="G4761" s="12">
        <f t="shared" si="793"/>
        <v>40628</v>
      </c>
    </row>
    <row r="4762">
      <c r="G4762" s="12">
        <f t="shared" si="793"/>
        <v>40628</v>
      </c>
    </row>
    <row r="4763">
      <c r="G4763" s="12">
        <f t="shared" si="793"/>
        <v>40628</v>
      </c>
    </row>
    <row r="4764">
      <c r="G4764" s="12">
        <f t="shared" si="793"/>
        <v>40628</v>
      </c>
    </row>
    <row r="4765">
      <c r="G4765" s="12">
        <f t="shared" ref="G4765:G4766" si="794">DATE(2012,12,31)-645</f>
        <v>40629</v>
      </c>
    </row>
    <row r="4766">
      <c r="G4766" s="12">
        <f t="shared" si="794"/>
        <v>40629</v>
      </c>
    </row>
    <row r="4767">
      <c r="G4767" s="12">
        <f t="shared" ref="G4767:G4769" si="795">DATE(2012,12,31)-644</f>
        <v>40630</v>
      </c>
    </row>
    <row r="4768">
      <c r="G4768" s="12">
        <f t="shared" si="795"/>
        <v>40630</v>
      </c>
    </row>
    <row r="4769">
      <c r="G4769" s="12">
        <f t="shared" si="795"/>
        <v>40630</v>
      </c>
    </row>
    <row r="4770">
      <c r="G4770" s="12">
        <f t="shared" ref="G4770:G4771" si="796">DATE(2012,12,31)-643</f>
        <v>40631</v>
      </c>
    </row>
    <row r="4771">
      <c r="G4771" s="12">
        <f t="shared" si="796"/>
        <v>40631</v>
      </c>
    </row>
    <row r="4772">
      <c r="G4772" s="12">
        <f t="shared" ref="G4772:G4774" si="797">DATE(2012,12,31)-642</f>
        <v>40632</v>
      </c>
    </row>
    <row r="4773">
      <c r="G4773" s="12">
        <f t="shared" si="797"/>
        <v>40632</v>
      </c>
    </row>
    <row r="4774">
      <c r="G4774" s="12">
        <f t="shared" si="797"/>
        <v>40632</v>
      </c>
    </row>
    <row r="4775">
      <c r="G4775" s="12">
        <f t="shared" ref="G4775:G4776" si="798">DATE(2012,12,31)-641</f>
        <v>40633</v>
      </c>
    </row>
    <row r="4776">
      <c r="G4776" s="12">
        <f t="shared" si="798"/>
        <v>40633</v>
      </c>
    </row>
    <row r="4777">
      <c r="G4777" s="12">
        <f t="shared" ref="G4777:G4780" si="799">DATE(2012,12,31)-640</f>
        <v>40634</v>
      </c>
    </row>
    <row r="4778">
      <c r="G4778" s="12">
        <f t="shared" si="799"/>
        <v>40634</v>
      </c>
    </row>
    <row r="4779">
      <c r="G4779" s="12">
        <f t="shared" si="799"/>
        <v>40634</v>
      </c>
    </row>
    <row r="4780">
      <c r="G4780" s="12">
        <f t="shared" si="799"/>
        <v>40634</v>
      </c>
    </row>
    <row r="4781">
      <c r="G4781" s="12">
        <f t="shared" ref="G4781:G4788" si="800">DATE(2012,12,31)-639</f>
        <v>40635</v>
      </c>
    </row>
    <row r="4782">
      <c r="G4782" s="12">
        <f t="shared" si="800"/>
        <v>40635</v>
      </c>
    </row>
    <row r="4783">
      <c r="G4783" s="12">
        <f t="shared" si="800"/>
        <v>40635</v>
      </c>
    </row>
    <row r="4784">
      <c r="G4784" s="12">
        <f t="shared" si="800"/>
        <v>40635</v>
      </c>
    </row>
    <row r="4785">
      <c r="G4785" s="12">
        <f t="shared" si="800"/>
        <v>40635</v>
      </c>
    </row>
    <row r="4786">
      <c r="G4786" s="12">
        <f t="shared" si="800"/>
        <v>40635</v>
      </c>
    </row>
    <row r="4787">
      <c r="G4787" s="12">
        <f t="shared" si="800"/>
        <v>40635</v>
      </c>
    </row>
    <row r="4788">
      <c r="G4788" s="12">
        <f t="shared" si="800"/>
        <v>40635</v>
      </c>
    </row>
    <row r="4789">
      <c r="G4789" s="12">
        <f t="shared" ref="G4789:G4794" si="801">DATE(2012,12,31)-638</f>
        <v>40636</v>
      </c>
    </row>
    <row r="4790">
      <c r="G4790" s="12">
        <f t="shared" si="801"/>
        <v>40636</v>
      </c>
    </row>
    <row r="4791">
      <c r="G4791" s="12">
        <f t="shared" si="801"/>
        <v>40636</v>
      </c>
    </row>
    <row r="4792">
      <c r="G4792" s="12">
        <f t="shared" si="801"/>
        <v>40636</v>
      </c>
    </row>
    <row r="4793">
      <c r="G4793" s="12">
        <f t="shared" si="801"/>
        <v>40636</v>
      </c>
    </row>
    <row r="4794">
      <c r="G4794" s="12">
        <f t="shared" si="801"/>
        <v>40636</v>
      </c>
    </row>
    <row r="4795">
      <c r="G4795" s="12">
        <f t="shared" ref="G4795:G4797" si="802">DATE(2012,12,31)-637</f>
        <v>40637</v>
      </c>
    </row>
    <row r="4796">
      <c r="G4796" s="12">
        <f t="shared" si="802"/>
        <v>40637</v>
      </c>
    </row>
    <row r="4797">
      <c r="G4797" s="12">
        <f t="shared" si="802"/>
        <v>40637</v>
      </c>
    </row>
    <row r="4798">
      <c r="G4798" s="12">
        <f t="shared" ref="G4798:G4803" si="803">DATE(2012,12,31)-636</f>
        <v>40638</v>
      </c>
    </row>
    <row r="4799">
      <c r="G4799" s="12">
        <f t="shared" si="803"/>
        <v>40638</v>
      </c>
    </row>
    <row r="4800">
      <c r="G4800" s="12">
        <f t="shared" si="803"/>
        <v>40638</v>
      </c>
    </row>
    <row r="4801">
      <c r="G4801" s="12">
        <f t="shared" si="803"/>
        <v>40638</v>
      </c>
    </row>
    <row r="4802">
      <c r="G4802" s="12">
        <f t="shared" si="803"/>
        <v>40638</v>
      </c>
    </row>
    <row r="4803">
      <c r="G4803" s="12">
        <f t="shared" si="803"/>
        <v>40638</v>
      </c>
    </row>
    <row r="4804">
      <c r="G4804" s="12">
        <f t="shared" ref="G4804:G4806" si="804">DATE(2012,12,31)-635</f>
        <v>40639</v>
      </c>
    </row>
    <row r="4805">
      <c r="G4805" s="12">
        <f t="shared" si="804"/>
        <v>40639</v>
      </c>
    </row>
    <row r="4806">
      <c r="G4806" s="12">
        <f t="shared" si="804"/>
        <v>40639</v>
      </c>
    </row>
    <row r="4807">
      <c r="G4807" s="12">
        <f t="shared" ref="G4807:G4808" si="805">DATE(2012,12,31)-634</f>
        <v>40640</v>
      </c>
    </row>
    <row r="4808">
      <c r="G4808" s="12">
        <f t="shared" si="805"/>
        <v>40640</v>
      </c>
    </row>
    <row r="4809">
      <c r="G4809" s="12">
        <f t="shared" ref="G4809:G4820" si="806">DATE(2012,12,31)-633</f>
        <v>40641</v>
      </c>
    </row>
    <row r="4810">
      <c r="G4810" s="12">
        <f t="shared" si="806"/>
        <v>40641</v>
      </c>
    </row>
    <row r="4811">
      <c r="G4811" s="12">
        <f t="shared" si="806"/>
        <v>40641</v>
      </c>
    </row>
    <row r="4812">
      <c r="G4812" s="12">
        <f t="shared" si="806"/>
        <v>40641</v>
      </c>
    </row>
    <row r="4813">
      <c r="G4813" s="12">
        <f t="shared" si="806"/>
        <v>40641</v>
      </c>
    </row>
    <row r="4814">
      <c r="G4814" s="12">
        <f t="shared" si="806"/>
        <v>40641</v>
      </c>
    </row>
    <row r="4815">
      <c r="G4815" s="12">
        <f t="shared" si="806"/>
        <v>40641</v>
      </c>
    </row>
    <row r="4816">
      <c r="G4816" s="12">
        <f t="shared" si="806"/>
        <v>40641</v>
      </c>
    </row>
    <row r="4817">
      <c r="G4817" s="12">
        <f t="shared" si="806"/>
        <v>40641</v>
      </c>
    </row>
    <row r="4818">
      <c r="G4818" s="12">
        <f t="shared" si="806"/>
        <v>40641</v>
      </c>
    </row>
    <row r="4819">
      <c r="G4819" s="12">
        <f t="shared" si="806"/>
        <v>40641</v>
      </c>
    </row>
    <row r="4820">
      <c r="G4820" s="12">
        <f t="shared" si="806"/>
        <v>40641</v>
      </c>
    </row>
    <row r="4821">
      <c r="G4821" s="12">
        <f t="shared" ref="G4821:G4830" si="807">DATE(2012,12,31)-632</f>
        <v>40642</v>
      </c>
    </row>
    <row r="4822">
      <c r="G4822" s="12">
        <f t="shared" si="807"/>
        <v>40642</v>
      </c>
    </row>
    <row r="4823">
      <c r="G4823" s="12">
        <f t="shared" si="807"/>
        <v>40642</v>
      </c>
    </row>
    <row r="4824">
      <c r="G4824" s="12">
        <f t="shared" si="807"/>
        <v>40642</v>
      </c>
    </row>
    <row r="4825">
      <c r="G4825" s="12">
        <f t="shared" si="807"/>
        <v>40642</v>
      </c>
    </row>
    <row r="4826">
      <c r="G4826" s="12">
        <f t="shared" si="807"/>
        <v>40642</v>
      </c>
    </row>
    <row r="4827">
      <c r="G4827" s="12">
        <f t="shared" si="807"/>
        <v>40642</v>
      </c>
    </row>
    <row r="4828">
      <c r="G4828" s="12">
        <f t="shared" si="807"/>
        <v>40642</v>
      </c>
    </row>
    <row r="4829">
      <c r="G4829" s="12">
        <f t="shared" si="807"/>
        <v>40642</v>
      </c>
    </row>
    <row r="4830">
      <c r="G4830" s="12">
        <f t="shared" si="807"/>
        <v>40642</v>
      </c>
    </row>
    <row r="4831">
      <c r="G4831" s="12">
        <f t="shared" ref="G4831:G4838" si="808">DATE(2012,12,31)-631</f>
        <v>40643</v>
      </c>
    </row>
    <row r="4832">
      <c r="G4832" s="12">
        <f t="shared" si="808"/>
        <v>40643</v>
      </c>
    </row>
    <row r="4833">
      <c r="G4833" s="12">
        <f t="shared" si="808"/>
        <v>40643</v>
      </c>
    </row>
    <row r="4834">
      <c r="G4834" s="12">
        <f t="shared" si="808"/>
        <v>40643</v>
      </c>
    </row>
    <row r="4835">
      <c r="G4835" s="12">
        <f t="shared" si="808"/>
        <v>40643</v>
      </c>
    </row>
    <row r="4836">
      <c r="G4836" s="12">
        <f t="shared" si="808"/>
        <v>40643</v>
      </c>
    </row>
    <row r="4837">
      <c r="G4837" s="12">
        <f t="shared" si="808"/>
        <v>40643</v>
      </c>
    </row>
    <row r="4838">
      <c r="G4838" s="12">
        <f t="shared" si="808"/>
        <v>40643</v>
      </c>
    </row>
    <row r="4839">
      <c r="G4839" s="12">
        <f t="shared" ref="G4839:G4851" si="809">DATE(2012,12,31)-630</f>
        <v>40644</v>
      </c>
    </row>
    <row r="4840">
      <c r="G4840" s="12">
        <f t="shared" si="809"/>
        <v>40644</v>
      </c>
    </row>
    <row r="4841">
      <c r="G4841" s="12">
        <f t="shared" si="809"/>
        <v>40644</v>
      </c>
    </row>
    <row r="4842">
      <c r="G4842" s="12">
        <f t="shared" si="809"/>
        <v>40644</v>
      </c>
    </row>
    <row r="4843">
      <c r="G4843" s="12">
        <f t="shared" si="809"/>
        <v>40644</v>
      </c>
    </row>
    <row r="4844">
      <c r="G4844" s="12">
        <f t="shared" si="809"/>
        <v>40644</v>
      </c>
    </row>
    <row r="4845">
      <c r="G4845" s="12">
        <f t="shared" si="809"/>
        <v>40644</v>
      </c>
    </row>
    <row r="4846">
      <c r="G4846" s="12">
        <f t="shared" si="809"/>
        <v>40644</v>
      </c>
    </row>
    <row r="4847">
      <c r="G4847" s="12">
        <f t="shared" si="809"/>
        <v>40644</v>
      </c>
    </row>
    <row r="4848">
      <c r="G4848" s="12">
        <f t="shared" si="809"/>
        <v>40644</v>
      </c>
    </row>
    <row r="4849">
      <c r="G4849" s="12">
        <f t="shared" si="809"/>
        <v>40644</v>
      </c>
    </row>
    <row r="4850">
      <c r="G4850" s="12">
        <f t="shared" si="809"/>
        <v>40644</v>
      </c>
    </row>
    <row r="4851">
      <c r="G4851" s="12">
        <f t="shared" si="809"/>
        <v>40644</v>
      </c>
    </row>
    <row r="4852">
      <c r="G4852" s="12">
        <f t="shared" ref="G4852:G4854" si="810">DATE(2012,12,31)-629</f>
        <v>40645</v>
      </c>
    </row>
    <row r="4853">
      <c r="G4853" s="12">
        <f t="shared" si="810"/>
        <v>40645</v>
      </c>
    </row>
    <row r="4854">
      <c r="G4854" s="12">
        <f t="shared" si="810"/>
        <v>40645</v>
      </c>
    </row>
    <row r="4855">
      <c r="G4855" s="12">
        <f t="shared" ref="G4855:G4859" si="811">DATE(2012,12,31)-628</f>
        <v>40646</v>
      </c>
    </row>
    <row r="4856">
      <c r="G4856" s="12">
        <f t="shared" si="811"/>
        <v>40646</v>
      </c>
    </row>
    <row r="4857">
      <c r="G4857" s="12">
        <f t="shared" si="811"/>
        <v>40646</v>
      </c>
    </row>
    <row r="4858">
      <c r="G4858" s="12">
        <f t="shared" si="811"/>
        <v>40646</v>
      </c>
    </row>
    <row r="4859">
      <c r="G4859" s="12">
        <f t="shared" si="811"/>
        <v>40646</v>
      </c>
    </row>
    <row r="4860">
      <c r="G4860" s="12">
        <f>DATE(2012,12,31)-627</f>
        <v>40647</v>
      </c>
    </row>
    <row r="4861">
      <c r="G4861" s="12">
        <f t="shared" ref="G4861:G4867" si="812">DATE(2012,12,31)-626</f>
        <v>40648</v>
      </c>
    </row>
    <row r="4862">
      <c r="G4862" s="12">
        <f t="shared" si="812"/>
        <v>40648</v>
      </c>
    </row>
    <row r="4863">
      <c r="G4863" s="12">
        <f t="shared" si="812"/>
        <v>40648</v>
      </c>
    </row>
    <row r="4864">
      <c r="G4864" s="12">
        <f t="shared" si="812"/>
        <v>40648</v>
      </c>
    </row>
    <row r="4865">
      <c r="G4865" s="12">
        <f t="shared" si="812"/>
        <v>40648</v>
      </c>
    </row>
    <row r="4866">
      <c r="G4866" s="12">
        <f t="shared" si="812"/>
        <v>40648</v>
      </c>
    </row>
    <row r="4867">
      <c r="G4867" s="12">
        <f t="shared" si="812"/>
        <v>40648</v>
      </c>
    </row>
    <row r="4868">
      <c r="G4868" s="12">
        <f t="shared" ref="G4868:G4873" si="813">DATE(2012,12,31)-625</f>
        <v>40649</v>
      </c>
    </row>
    <row r="4869">
      <c r="G4869" s="12">
        <f t="shared" si="813"/>
        <v>40649</v>
      </c>
    </row>
    <row r="4870">
      <c r="G4870" s="12">
        <f t="shared" si="813"/>
        <v>40649</v>
      </c>
    </row>
    <row r="4871">
      <c r="G4871" s="12">
        <f t="shared" si="813"/>
        <v>40649</v>
      </c>
    </row>
    <row r="4872">
      <c r="G4872" s="12">
        <f t="shared" si="813"/>
        <v>40649</v>
      </c>
    </row>
    <row r="4873">
      <c r="G4873" s="12">
        <f t="shared" si="813"/>
        <v>40649</v>
      </c>
    </row>
    <row r="4874">
      <c r="G4874" s="12">
        <f t="shared" ref="G4874:G4880" si="814">DATE(2012,12,31)-624</f>
        <v>40650</v>
      </c>
    </row>
    <row r="4875">
      <c r="G4875" s="12">
        <f t="shared" si="814"/>
        <v>40650</v>
      </c>
    </row>
    <row r="4876">
      <c r="G4876" s="12">
        <f t="shared" si="814"/>
        <v>40650</v>
      </c>
    </row>
    <row r="4877">
      <c r="G4877" s="12">
        <f t="shared" si="814"/>
        <v>40650</v>
      </c>
    </row>
    <row r="4878">
      <c r="G4878" s="12">
        <f t="shared" si="814"/>
        <v>40650</v>
      </c>
    </row>
    <row r="4879">
      <c r="G4879" s="12">
        <f t="shared" si="814"/>
        <v>40650</v>
      </c>
    </row>
    <row r="4880">
      <c r="G4880" s="12">
        <f t="shared" si="814"/>
        <v>40650</v>
      </c>
    </row>
    <row r="4881">
      <c r="G4881" s="12">
        <f t="shared" ref="G4881:G4886" si="815">DATE(2012,12,31)-623</f>
        <v>40651</v>
      </c>
    </row>
    <row r="4882">
      <c r="G4882" s="12">
        <f t="shared" si="815"/>
        <v>40651</v>
      </c>
    </row>
    <row r="4883">
      <c r="G4883" s="12">
        <f t="shared" si="815"/>
        <v>40651</v>
      </c>
    </row>
    <row r="4884">
      <c r="G4884" s="12">
        <f t="shared" si="815"/>
        <v>40651</v>
      </c>
    </row>
    <row r="4885">
      <c r="G4885" s="12">
        <f t="shared" si="815"/>
        <v>40651</v>
      </c>
    </row>
    <row r="4886">
      <c r="G4886" s="12">
        <f t="shared" si="815"/>
        <v>40651</v>
      </c>
    </row>
    <row r="4887">
      <c r="G4887" s="12">
        <f t="shared" ref="G4887:G4889" si="816">DATE(2012,12,31)-622</f>
        <v>40652</v>
      </c>
    </row>
    <row r="4888">
      <c r="G4888" s="12">
        <f t="shared" si="816"/>
        <v>40652</v>
      </c>
    </row>
    <row r="4889">
      <c r="G4889" s="12">
        <f t="shared" si="816"/>
        <v>40652</v>
      </c>
    </row>
    <row r="4890">
      <c r="G4890" s="12">
        <f t="shared" ref="G4890:G4899" si="817">DATE(2012,12,31)-621</f>
        <v>40653</v>
      </c>
    </row>
    <row r="4891">
      <c r="G4891" s="12">
        <f t="shared" si="817"/>
        <v>40653</v>
      </c>
    </row>
    <row r="4892">
      <c r="G4892" s="12">
        <f t="shared" si="817"/>
        <v>40653</v>
      </c>
    </row>
    <row r="4893">
      <c r="G4893" s="12">
        <f t="shared" si="817"/>
        <v>40653</v>
      </c>
    </row>
    <row r="4894">
      <c r="G4894" s="12">
        <f t="shared" si="817"/>
        <v>40653</v>
      </c>
    </row>
    <row r="4895">
      <c r="G4895" s="12">
        <f t="shared" si="817"/>
        <v>40653</v>
      </c>
    </row>
    <row r="4896">
      <c r="G4896" s="12">
        <f t="shared" si="817"/>
        <v>40653</v>
      </c>
    </row>
    <row r="4897">
      <c r="G4897" s="12">
        <f t="shared" si="817"/>
        <v>40653</v>
      </c>
    </row>
    <row r="4898">
      <c r="G4898" s="12">
        <f t="shared" si="817"/>
        <v>40653</v>
      </c>
    </row>
    <row r="4899">
      <c r="G4899" s="12">
        <f t="shared" si="817"/>
        <v>40653</v>
      </c>
    </row>
    <row r="4900">
      <c r="G4900" s="12">
        <f t="shared" ref="G4900:G4903" si="818">DATE(2012,12,31)-620</f>
        <v>40654</v>
      </c>
    </row>
    <row r="4901">
      <c r="G4901" s="12">
        <f t="shared" si="818"/>
        <v>40654</v>
      </c>
    </row>
    <row r="4902">
      <c r="G4902" s="12">
        <f t="shared" si="818"/>
        <v>40654</v>
      </c>
    </row>
    <row r="4903">
      <c r="G4903" s="12">
        <f t="shared" si="818"/>
        <v>40654</v>
      </c>
    </row>
    <row r="4904">
      <c r="G4904" s="12">
        <f t="shared" ref="G4904:G4911" si="819">DATE(2012,12,31)-619</f>
        <v>40655</v>
      </c>
    </row>
    <row r="4905">
      <c r="G4905" s="12">
        <f t="shared" si="819"/>
        <v>40655</v>
      </c>
    </row>
    <row r="4906">
      <c r="G4906" s="12">
        <f t="shared" si="819"/>
        <v>40655</v>
      </c>
    </row>
    <row r="4907">
      <c r="G4907" s="12">
        <f t="shared" si="819"/>
        <v>40655</v>
      </c>
    </row>
    <row r="4908">
      <c r="G4908" s="12">
        <f t="shared" si="819"/>
        <v>40655</v>
      </c>
    </row>
    <row r="4909">
      <c r="G4909" s="12">
        <f t="shared" si="819"/>
        <v>40655</v>
      </c>
    </row>
    <row r="4910">
      <c r="G4910" s="12">
        <f t="shared" si="819"/>
        <v>40655</v>
      </c>
    </row>
    <row r="4911">
      <c r="G4911" s="12">
        <f t="shared" si="819"/>
        <v>40655</v>
      </c>
    </row>
    <row r="4912">
      <c r="G4912" s="12">
        <f t="shared" ref="G4912:G4915" si="820">DATE(2012,12,31)-618</f>
        <v>40656</v>
      </c>
    </row>
    <row r="4913">
      <c r="G4913" s="12">
        <f t="shared" si="820"/>
        <v>40656</v>
      </c>
    </row>
    <row r="4914">
      <c r="G4914" s="12">
        <f t="shared" si="820"/>
        <v>40656</v>
      </c>
    </row>
    <row r="4915">
      <c r="G4915" s="12">
        <f t="shared" si="820"/>
        <v>40656</v>
      </c>
    </row>
    <row r="4916">
      <c r="G4916" s="12">
        <f t="shared" ref="G4916:G4917" si="821">DATE(2012,12,31)-617</f>
        <v>40657</v>
      </c>
    </row>
    <row r="4917">
      <c r="G4917" s="12">
        <f t="shared" si="821"/>
        <v>40657</v>
      </c>
    </row>
    <row r="4918">
      <c r="G4918" s="12">
        <f t="shared" ref="G4918:G4923" si="822">DATE(2012,12,31)-616</f>
        <v>40658</v>
      </c>
    </row>
    <row r="4919">
      <c r="G4919" s="12">
        <f t="shared" si="822"/>
        <v>40658</v>
      </c>
    </row>
    <row r="4920">
      <c r="G4920" s="12">
        <f t="shared" si="822"/>
        <v>40658</v>
      </c>
    </row>
    <row r="4921">
      <c r="G4921" s="12">
        <f t="shared" si="822"/>
        <v>40658</v>
      </c>
    </row>
    <row r="4922">
      <c r="G4922" s="12">
        <f t="shared" si="822"/>
        <v>40658</v>
      </c>
    </row>
    <row r="4923">
      <c r="G4923" s="12">
        <f t="shared" si="822"/>
        <v>40658</v>
      </c>
    </row>
    <row r="4924">
      <c r="G4924" s="12">
        <f>DATE(2012,12,31)-615</f>
        <v>40659</v>
      </c>
    </row>
    <row r="4925">
      <c r="G4925" s="12">
        <f t="shared" ref="G4925:G4930" si="823">DATE(2012,12,31)-613</f>
        <v>40661</v>
      </c>
    </row>
    <row r="4926">
      <c r="G4926" s="12">
        <f t="shared" si="823"/>
        <v>40661</v>
      </c>
    </row>
    <row r="4927">
      <c r="G4927" s="12">
        <f t="shared" si="823"/>
        <v>40661</v>
      </c>
    </row>
    <row r="4928">
      <c r="G4928" s="12">
        <f t="shared" si="823"/>
        <v>40661</v>
      </c>
    </row>
    <row r="4929">
      <c r="G4929" s="12">
        <f t="shared" si="823"/>
        <v>40661</v>
      </c>
    </row>
    <row r="4930">
      <c r="G4930" s="12">
        <f t="shared" si="823"/>
        <v>40661</v>
      </c>
    </row>
    <row r="4931">
      <c r="G4931" s="12">
        <f t="shared" ref="G4931:G4938" si="824">DATE(2012,12,31)-612</f>
        <v>40662</v>
      </c>
    </row>
    <row r="4932">
      <c r="G4932" s="12">
        <f t="shared" si="824"/>
        <v>40662</v>
      </c>
    </row>
    <row r="4933">
      <c r="G4933" s="12">
        <f t="shared" si="824"/>
        <v>40662</v>
      </c>
    </row>
    <row r="4934">
      <c r="G4934" s="12">
        <f t="shared" si="824"/>
        <v>40662</v>
      </c>
    </row>
    <row r="4935">
      <c r="G4935" s="12">
        <f t="shared" si="824"/>
        <v>40662</v>
      </c>
    </row>
    <row r="4936">
      <c r="G4936" s="12">
        <f t="shared" si="824"/>
        <v>40662</v>
      </c>
    </row>
    <row r="4937">
      <c r="G4937" s="12">
        <f t="shared" si="824"/>
        <v>40662</v>
      </c>
    </row>
    <row r="4938">
      <c r="G4938" s="12">
        <f t="shared" si="824"/>
        <v>40662</v>
      </c>
    </row>
    <row r="4939">
      <c r="G4939" s="12">
        <f t="shared" ref="G4939:G4945" si="825">DATE(2012,12,31)-611</f>
        <v>40663</v>
      </c>
    </row>
    <row r="4940">
      <c r="G4940" s="12">
        <f t="shared" si="825"/>
        <v>40663</v>
      </c>
    </row>
    <row r="4941">
      <c r="G4941" s="12">
        <f t="shared" si="825"/>
        <v>40663</v>
      </c>
    </row>
    <row r="4942">
      <c r="G4942" s="12">
        <f t="shared" si="825"/>
        <v>40663</v>
      </c>
    </row>
    <row r="4943">
      <c r="G4943" s="12">
        <f t="shared" si="825"/>
        <v>40663</v>
      </c>
    </row>
    <row r="4944">
      <c r="G4944" s="12">
        <f t="shared" si="825"/>
        <v>40663</v>
      </c>
    </row>
    <row r="4945">
      <c r="G4945" s="12">
        <f t="shared" si="825"/>
        <v>40663</v>
      </c>
    </row>
    <row r="4946">
      <c r="G4946" s="12">
        <f t="shared" ref="G4946:G4954" si="826">DATE(2012,12,31)-610</f>
        <v>40664</v>
      </c>
    </row>
    <row r="4947">
      <c r="G4947" s="12">
        <f t="shared" si="826"/>
        <v>40664</v>
      </c>
    </row>
    <row r="4948">
      <c r="G4948" s="12">
        <f t="shared" si="826"/>
        <v>40664</v>
      </c>
    </row>
    <row r="4949">
      <c r="G4949" s="12">
        <f t="shared" si="826"/>
        <v>40664</v>
      </c>
    </row>
    <row r="4950">
      <c r="G4950" s="12">
        <f t="shared" si="826"/>
        <v>40664</v>
      </c>
    </row>
    <row r="4951">
      <c r="G4951" s="12">
        <f t="shared" si="826"/>
        <v>40664</v>
      </c>
    </row>
    <row r="4952">
      <c r="G4952" s="12">
        <f t="shared" si="826"/>
        <v>40664</v>
      </c>
    </row>
    <row r="4953">
      <c r="G4953" s="12">
        <f t="shared" si="826"/>
        <v>40664</v>
      </c>
    </row>
    <row r="4954">
      <c r="G4954" s="12">
        <f t="shared" si="826"/>
        <v>40664</v>
      </c>
    </row>
    <row r="4955">
      <c r="G4955" s="12">
        <f t="shared" ref="G4955:G4961" si="827">DATE(2012,12,31)-609</f>
        <v>40665</v>
      </c>
    </row>
    <row r="4956">
      <c r="G4956" s="12">
        <f t="shared" si="827"/>
        <v>40665</v>
      </c>
    </row>
    <row r="4957">
      <c r="G4957" s="12">
        <f t="shared" si="827"/>
        <v>40665</v>
      </c>
    </row>
    <row r="4958">
      <c r="G4958" s="12">
        <f t="shared" si="827"/>
        <v>40665</v>
      </c>
    </row>
    <row r="4959">
      <c r="G4959" s="12">
        <f t="shared" si="827"/>
        <v>40665</v>
      </c>
    </row>
    <row r="4960">
      <c r="G4960" s="12">
        <f t="shared" si="827"/>
        <v>40665</v>
      </c>
    </row>
    <row r="4961">
      <c r="G4961" s="12">
        <f t="shared" si="827"/>
        <v>40665</v>
      </c>
    </row>
    <row r="4962">
      <c r="G4962" s="12">
        <f t="shared" ref="G4962:G4972" si="828">DATE(2012,12,31)-608</f>
        <v>40666</v>
      </c>
    </row>
    <row r="4963">
      <c r="G4963" s="12">
        <f t="shared" si="828"/>
        <v>40666</v>
      </c>
    </row>
    <row r="4964">
      <c r="G4964" s="12">
        <f t="shared" si="828"/>
        <v>40666</v>
      </c>
    </row>
    <row r="4965">
      <c r="G4965" s="12">
        <f t="shared" si="828"/>
        <v>40666</v>
      </c>
    </row>
    <row r="4966">
      <c r="G4966" s="12">
        <f t="shared" si="828"/>
        <v>40666</v>
      </c>
    </row>
    <row r="4967">
      <c r="G4967" s="12">
        <f t="shared" si="828"/>
        <v>40666</v>
      </c>
    </row>
    <row r="4968">
      <c r="G4968" s="12">
        <f t="shared" si="828"/>
        <v>40666</v>
      </c>
    </row>
    <row r="4969">
      <c r="G4969" s="12">
        <f t="shared" si="828"/>
        <v>40666</v>
      </c>
    </row>
    <row r="4970">
      <c r="G4970" s="12">
        <f t="shared" si="828"/>
        <v>40666</v>
      </c>
    </row>
    <row r="4971">
      <c r="G4971" s="12">
        <f t="shared" si="828"/>
        <v>40666</v>
      </c>
    </row>
    <row r="4972">
      <c r="G4972" s="12">
        <f t="shared" si="828"/>
        <v>40666</v>
      </c>
    </row>
    <row r="4973">
      <c r="G4973" s="12">
        <f t="shared" ref="G4973:G4981" si="829">DATE(2012,12,31)-607</f>
        <v>40667</v>
      </c>
    </row>
    <row r="4974">
      <c r="G4974" s="12">
        <f t="shared" si="829"/>
        <v>40667</v>
      </c>
    </row>
    <row r="4975">
      <c r="G4975" s="12">
        <f t="shared" si="829"/>
        <v>40667</v>
      </c>
    </row>
    <row r="4976">
      <c r="G4976" s="12">
        <f t="shared" si="829"/>
        <v>40667</v>
      </c>
    </row>
    <row r="4977">
      <c r="G4977" s="12">
        <f t="shared" si="829"/>
        <v>40667</v>
      </c>
    </row>
    <row r="4978">
      <c r="G4978" s="12">
        <f t="shared" si="829"/>
        <v>40667</v>
      </c>
    </row>
    <row r="4979">
      <c r="G4979" s="12">
        <f t="shared" si="829"/>
        <v>40667</v>
      </c>
    </row>
    <row r="4980">
      <c r="G4980" s="12">
        <f t="shared" si="829"/>
        <v>40667</v>
      </c>
    </row>
    <row r="4981">
      <c r="G4981" s="12">
        <f t="shared" si="829"/>
        <v>40667</v>
      </c>
    </row>
    <row r="4982">
      <c r="G4982" s="12">
        <f t="shared" ref="G4982:G4987" si="830">DATE(2012,12,31)-606</f>
        <v>40668</v>
      </c>
    </row>
    <row r="4983">
      <c r="G4983" s="12">
        <f t="shared" si="830"/>
        <v>40668</v>
      </c>
    </row>
    <row r="4984">
      <c r="G4984" s="12">
        <f t="shared" si="830"/>
        <v>40668</v>
      </c>
    </row>
    <row r="4985">
      <c r="G4985" s="12">
        <f t="shared" si="830"/>
        <v>40668</v>
      </c>
    </row>
    <row r="4986">
      <c r="G4986" s="12">
        <f t="shared" si="830"/>
        <v>40668</v>
      </c>
    </row>
    <row r="4987">
      <c r="G4987" s="12">
        <f t="shared" si="830"/>
        <v>40668</v>
      </c>
    </row>
    <row r="4988">
      <c r="G4988" s="12">
        <f t="shared" ref="G4988:G4992" si="831">DATE(2012,12,31)-605</f>
        <v>40669</v>
      </c>
    </row>
    <row r="4989">
      <c r="G4989" s="12">
        <f t="shared" si="831"/>
        <v>40669</v>
      </c>
    </row>
    <row r="4990">
      <c r="G4990" s="12">
        <f t="shared" si="831"/>
        <v>40669</v>
      </c>
    </row>
    <row r="4991">
      <c r="G4991" s="12">
        <f t="shared" si="831"/>
        <v>40669</v>
      </c>
    </row>
    <row r="4992">
      <c r="G4992" s="12">
        <f t="shared" si="831"/>
        <v>40669</v>
      </c>
    </row>
    <row r="4993">
      <c r="G4993" s="12">
        <f t="shared" ref="G4993:G4998" si="832">DATE(2012,12,31)-604</f>
        <v>40670</v>
      </c>
    </row>
    <row r="4994">
      <c r="G4994" s="12">
        <f t="shared" si="832"/>
        <v>40670</v>
      </c>
    </row>
    <row r="4995">
      <c r="G4995" s="12">
        <f t="shared" si="832"/>
        <v>40670</v>
      </c>
    </row>
    <row r="4996">
      <c r="G4996" s="12">
        <f t="shared" si="832"/>
        <v>40670</v>
      </c>
    </row>
    <row r="4997">
      <c r="G4997" s="12">
        <f t="shared" si="832"/>
        <v>40670</v>
      </c>
    </row>
    <row r="4998">
      <c r="G4998" s="12">
        <f t="shared" si="832"/>
        <v>40670</v>
      </c>
    </row>
    <row r="4999">
      <c r="G4999" s="12">
        <f t="shared" ref="G4999:G5005" si="833">DATE(2012,12,31)-603</f>
        <v>40671</v>
      </c>
    </row>
    <row r="5000">
      <c r="G5000" s="12">
        <f t="shared" si="833"/>
        <v>40671</v>
      </c>
    </row>
    <row r="5001">
      <c r="G5001" s="12">
        <f t="shared" si="833"/>
        <v>40671</v>
      </c>
    </row>
    <row r="5002">
      <c r="G5002" s="12">
        <f t="shared" si="833"/>
        <v>40671</v>
      </c>
    </row>
    <row r="5003">
      <c r="G5003" s="12">
        <f t="shared" si="833"/>
        <v>40671</v>
      </c>
    </row>
    <row r="5004">
      <c r="G5004" s="12">
        <f t="shared" si="833"/>
        <v>40671</v>
      </c>
    </row>
    <row r="5005">
      <c r="G5005" s="12">
        <f t="shared" si="833"/>
        <v>40671</v>
      </c>
    </row>
    <row r="5006">
      <c r="G5006" s="12">
        <f t="shared" ref="G5006:G5009" si="834">DATE(2012,12,31)-602</f>
        <v>40672</v>
      </c>
    </row>
    <row r="5007">
      <c r="G5007" s="12">
        <f t="shared" si="834"/>
        <v>40672</v>
      </c>
    </row>
    <row r="5008">
      <c r="G5008" s="12">
        <f t="shared" si="834"/>
        <v>40672</v>
      </c>
    </row>
    <row r="5009">
      <c r="G5009" s="12">
        <f t="shared" si="834"/>
        <v>40672</v>
      </c>
    </row>
    <row r="5010">
      <c r="G5010" s="12">
        <f t="shared" ref="G5010:G5011" si="835">DATE(2012,12,31)-601</f>
        <v>40673</v>
      </c>
    </row>
    <row r="5011">
      <c r="G5011" s="12">
        <f t="shared" si="835"/>
        <v>40673</v>
      </c>
    </row>
    <row r="5012">
      <c r="G5012" s="12">
        <f t="shared" ref="G5012:G5014" si="836">DATE(2012,12,31)-600</f>
        <v>40674</v>
      </c>
    </row>
    <row r="5013">
      <c r="G5013" s="12">
        <f t="shared" si="836"/>
        <v>40674</v>
      </c>
    </row>
    <row r="5014">
      <c r="G5014" s="12">
        <f t="shared" si="836"/>
        <v>40674</v>
      </c>
    </row>
    <row r="5015">
      <c r="G5015" s="12">
        <f t="shared" ref="G5015:G5020" si="837">DATE(2012,12,31)-599</f>
        <v>40675</v>
      </c>
    </row>
    <row r="5016">
      <c r="G5016" s="12">
        <f t="shared" si="837"/>
        <v>40675</v>
      </c>
    </row>
    <row r="5017">
      <c r="G5017" s="12">
        <f t="shared" si="837"/>
        <v>40675</v>
      </c>
    </row>
    <row r="5018">
      <c r="G5018" s="12">
        <f t="shared" si="837"/>
        <v>40675</v>
      </c>
    </row>
    <row r="5019">
      <c r="G5019" s="12">
        <f t="shared" si="837"/>
        <v>40675</v>
      </c>
    </row>
    <row r="5020">
      <c r="G5020" s="12">
        <f t="shared" si="837"/>
        <v>40675</v>
      </c>
    </row>
    <row r="5021">
      <c r="G5021" s="12">
        <f t="shared" ref="G5021:G5022" si="838">DATE(2012,12,31)-598</f>
        <v>40676</v>
      </c>
    </row>
    <row r="5022">
      <c r="G5022" s="12">
        <f t="shared" si="838"/>
        <v>40676</v>
      </c>
    </row>
    <row r="5023">
      <c r="G5023" s="12">
        <f t="shared" ref="G5023:G5027" si="839">DATE(2012,12,31)-597</f>
        <v>40677</v>
      </c>
    </row>
    <row r="5024">
      <c r="G5024" s="12">
        <f t="shared" si="839"/>
        <v>40677</v>
      </c>
    </row>
    <row r="5025">
      <c r="G5025" s="12">
        <f t="shared" si="839"/>
        <v>40677</v>
      </c>
    </row>
    <row r="5026">
      <c r="G5026" s="12">
        <f t="shared" si="839"/>
        <v>40677</v>
      </c>
    </row>
    <row r="5027">
      <c r="G5027" s="12">
        <f t="shared" si="839"/>
        <v>40677</v>
      </c>
    </row>
    <row r="5028">
      <c r="G5028" s="12">
        <f t="shared" ref="G5028:G5030" si="840">DATE(2012,12,31)-596</f>
        <v>40678</v>
      </c>
    </row>
    <row r="5029">
      <c r="G5029" s="12">
        <f t="shared" si="840"/>
        <v>40678</v>
      </c>
    </row>
    <row r="5030">
      <c r="G5030" s="12">
        <f t="shared" si="840"/>
        <v>40678</v>
      </c>
    </row>
    <row r="5031">
      <c r="G5031" s="12">
        <f t="shared" ref="G5031:G5032" si="841">DATE(2012,12,31)-595</f>
        <v>40679</v>
      </c>
    </row>
    <row r="5032">
      <c r="G5032" s="12">
        <f t="shared" si="841"/>
        <v>40679</v>
      </c>
    </row>
    <row r="5033">
      <c r="G5033" s="12">
        <f t="shared" ref="G5033:G5040" si="842">DATE(2012,12,31)-594</f>
        <v>40680</v>
      </c>
    </row>
    <row r="5034">
      <c r="G5034" s="12">
        <f t="shared" si="842"/>
        <v>40680</v>
      </c>
    </row>
    <row r="5035">
      <c r="G5035" s="12">
        <f t="shared" si="842"/>
        <v>40680</v>
      </c>
    </row>
    <row r="5036">
      <c r="G5036" s="12">
        <f t="shared" si="842"/>
        <v>40680</v>
      </c>
    </row>
    <row r="5037">
      <c r="G5037" s="12">
        <f t="shared" si="842"/>
        <v>40680</v>
      </c>
    </row>
    <row r="5038">
      <c r="G5038" s="12">
        <f t="shared" si="842"/>
        <v>40680</v>
      </c>
    </row>
    <row r="5039">
      <c r="G5039" s="12">
        <f t="shared" si="842"/>
        <v>40680</v>
      </c>
    </row>
    <row r="5040">
      <c r="G5040" s="12">
        <f t="shared" si="842"/>
        <v>40680</v>
      </c>
    </row>
    <row r="5041">
      <c r="G5041" s="12">
        <f t="shared" ref="G5041:G5043" si="843">DATE(2012,12,31)-593</f>
        <v>40681</v>
      </c>
    </row>
    <row r="5042">
      <c r="G5042" s="12">
        <f t="shared" si="843"/>
        <v>40681</v>
      </c>
    </row>
    <row r="5043">
      <c r="G5043" s="12">
        <f t="shared" si="843"/>
        <v>40681</v>
      </c>
    </row>
    <row r="5044">
      <c r="G5044" s="12">
        <f t="shared" ref="G5044:G5050" si="844">DATE(2012,12,31)-592</f>
        <v>40682</v>
      </c>
    </row>
    <row r="5045">
      <c r="G5045" s="12">
        <f t="shared" si="844"/>
        <v>40682</v>
      </c>
    </row>
    <row r="5046">
      <c r="G5046" s="12">
        <f t="shared" si="844"/>
        <v>40682</v>
      </c>
    </row>
    <row r="5047">
      <c r="G5047" s="12">
        <f t="shared" si="844"/>
        <v>40682</v>
      </c>
    </row>
    <row r="5048">
      <c r="G5048" s="12">
        <f t="shared" si="844"/>
        <v>40682</v>
      </c>
    </row>
    <row r="5049">
      <c r="G5049" s="12">
        <f t="shared" si="844"/>
        <v>40682</v>
      </c>
    </row>
    <row r="5050">
      <c r="G5050" s="12">
        <f t="shared" si="844"/>
        <v>40682</v>
      </c>
    </row>
    <row r="5051">
      <c r="G5051" s="12">
        <f t="shared" ref="G5051:G5063" si="845">DATE(2012,12,31)-591</f>
        <v>40683</v>
      </c>
    </row>
    <row r="5052">
      <c r="G5052" s="12">
        <f t="shared" si="845"/>
        <v>40683</v>
      </c>
    </row>
    <row r="5053">
      <c r="G5053" s="12">
        <f t="shared" si="845"/>
        <v>40683</v>
      </c>
    </row>
    <row r="5054">
      <c r="G5054" s="12">
        <f t="shared" si="845"/>
        <v>40683</v>
      </c>
    </row>
    <row r="5055">
      <c r="G5055" s="12">
        <f t="shared" si="845"/>
        <v>40683</v>
      </c>
    </row>
    <row r="5056">
      <c r="G5056" s="12">
        <f t="shared" si="845"/>
        <v>40683</v>
      </c>
    </row>
    <row r="5057">
      <c r="G5057" s="12">
        <f t="shared" si="845"/>
        <v>40683</v>
      </c>
    </row>
    <row r="5058">
      <c r="G5058" s="12">
        <f t="shared" si="845"/>
        <v>40683</v>
      </c>
    </row>
    <row r="5059">
      <c r="G5059" s="12">
        <f t="shared" si="845"/>
        <v>40683</v>
      </c>
    </row>
    <row r="5060">
      <c r="G5060" s="12">
        <f t="shared" si="845"/>
        <v>40683</v>
      </c>
    </row>
    <row r="5061">
      <c r="G5061" s="12">
        <f t="shared" si="845"/>
        <v>40683</v>
      </c>
    </row>
    <row r="5062">
      <c r="G5062" s="12">
        <f t="shared" si="845"/>
        <v>40683</v>
      </c>
    </row>
    <row r="5063">
      <c r="G5063" s="12">
        <f t="shared" si="845"/>
        <v>40683</v>
      </c>
    </row>
    <row r="5064">
      <c r="G5064" s="12">
        <f t="shared" ref="G5064:G5073" si="846">DATE(2012,12,31)-590</f>
        <v>40684</v>
      </c>
    </row>
    <row r="5065">
      <c r="G5065" s="12">
        <f t="shared" si="846"/>
        <v>40684</v>
      </c>
    </row>
    <row r="5066">
      <c r="G5066" s="12">
        <f t="shared" si="846"/>
        <v>40684</v>
      </c>
    </row>
    <row r="5067">
      <c r="G5067" s="12">
        <f t="shared" si="846"/>
        <v>40684</v>
      </c>
    </row>
    <row r="5068">
      <c r="G5068" s="12">
        <f t="shared" si="846"/>
        <v>40684</v>
      </c>
    </row>
    <row r="5069">
      <c r="G5069" s="12">
        <f t="shared" si="846"/>
        <v>40684</v>
      </c>
    </row>
    <row r="5070">
      <c r="G5070" s="12">
        <f t="shared" si="846"/>
        <v>40684</v>
      </c>
    </row>
    <row r="5071">
      <c r="G5071" s="12">
        <f t="shared" si="846"/>
        <v>40684</v>
      </c>
    </row>
    <row r="5072">
      <c r="G5072" s="12">
        <f t="shared" si="846"/>
        <v>40684</v>
      </c>
    </row>
    <row r="5073">
      <c r="G5073" s="12">
        <f t="shared" si="846"/>
        <v>40684</v>
      </c>
    </row>
    <row r="5074">
      <c r="G5074" s="12">
        <f t="shared" ref="G5074:G5081" si="847">DATE(2012,12,31)-589</f>
        <v>40685</v>
      </c>
    </row>
    <row r="5075">
      <c r="G5075" s="12">
        <f t="shared" si="847"/>
        <v>40685</v>
      </c>
    </row>
    <row r="5076">
      <c r="G5076" s="12">
        <f t="shared" si="847"/>
        <v>40685</v>
      </c>
    </row>
    <row r="5077">
      <c r="G5077" s="12">
        <f t="shared" si="847"/>
        <v>40685</v>
      </c>
    </row>
    <row r="5078">
      <c r="G5078" s="12">
        <f t="shared" si="847"/>
        <v>40685</v>
      </c>
    </row>
    <row r="5079">
      <c r="G5079" s="12">
        <f t="shared" si="847"/>
        <v>40685</v>
      </c>
    </row>
    <row r="5080">
      <c r="G5080" s="12">
        <f t="shared" si="847"/>
        <v>40685</v>
      </c>
    </row>
    <row r="5081">
      <c r="G5081" s="12">
        <f t="shared" si="847"/>
        <v>40685</v>
      </c>
    </row>
    <row r="5082">
      <c r="G5082" s="12">
        <f t="shared" ref="G5082:G5086" si="848">DATE(2012,12,31)-588</f>
        <v>40686</v>
      </c>
    </row>
    <row r="5083">
      <c r="G5083" s="12">
        <f t="shared" si="848"/>
        <v>40686</v>
      </c>
    </row>
    <row r="5084">
      <c r="G5084" s="12">
        <f t="shared" si="848"/>
        <v>40686</v>
      </c>
    </row>
    <row r="5085">
      <c r="G5085" s="12">
        <f t="shared" si="848"/>
        <v>40686</v>
      </c>
    </row>
    <row r="5086">
      <c r="G5086" s="12">
        <f t="shared" si="848"/>
        <v>40686</v>
      </c>
    </row>
    <row r="5087">
      <c r="G5087" s="12">
        <f t="shared" ref="G5087:G5091" si="849">DATE(2012,12,31)-587</f>
        <v>40687</v>
      </c>
    </row>
    <row r="5088">
      <c r="G5088" s="12">
        <f t="shared" si="849"/>
        <v>40687</v>
      </c>
    </row>
    <row r="5089">
      <c r="G5089" s="12">
        <f t="shared" si="849"/>
        <v>40687</v>
      </c>
    </row>
    <row r="5090">
      <c r="G5090" s="12">
        <f t="shared" si="849"/>
        <v>40687</v>
      </c>
    </row>
    <row r="5091">
      <c r="G5091" s="12">
        <f t="shared" si="849"/>
        <v>40687</v>
      </c>
    </row>
    <row r="5092">
      <c r="G5092" s="12">
        <f t="shared" ref="G5092:G5098" si="850">DATE(2012,12,31)-586</f>
        <v>40688</v>
      </c>
    </row>
    <row r="5093">
      <c r="G5093" s="12">
        <f t="shared" si="850"/>
        <v>40688</v>
      </c>
    </row>
    <row r="5094">
      <c r="G5094" s="12">
        <f t="shared" si="850"/>
        <v>40688</v>
      </c>
    </row>
    <row r="5095">
      <c r="G5095" s="12">
        <f t="shared" si="850"/>
        <v>40688</v>
      </c>
    </row>
    <row r="5096">
      <c r="G5096" s="12">
        <f t="shared" si="850"/>
        <v>40688</v>
      </c>
    </row>
    <row r="5097">
      <c r="G5097" s="12">
        <f t="shared" si="850"/>
        <v>40688</v>
      </c>
    </row>
    <row r="5098">
      <c r="G5098" s="12">
        <f t="shared" si="850"/>
        <v>40688</v>
      </c>
    </row>
    <row r="5099">
      <c r="G5099" s="12">
        <f t="shared" ref="G5099:G5102" si="851">DATE(2012,12,31)-585</f>
        <v>40689</v>
      </c>
    </row>
    <row r="5100">
      <c r="G5100" s="12">
        <f t="shared" si="851"/>
        <v>40689</v>
      </c>
    </row>
    <row r="5101">
      <c r="G5101" s="12">
        <f t="shared" si="851"/>
        <v>40689</v>
      </c>
    </row>
    <row r="5102">
      <c r="G5102" s="12">
        <f t="shared" si="851"/>
        <v>40689</v>
      </c>
    </row>
    <row r="5103">
      <c r="G5103" s="12">
        <f t="shared" ref="G5103:G5110" si="852">DATE(2012,12,31)-584</f>
        <v>40690</v>
      </c>
    </row>
    <row r="5104">
      <c r="G5104" s="12">
        <f t="shared" si="852"/>
        <v>40690</v>
      </c>
    </row>
    <row r="5105">
      <c r="G5105" s="12">
        <f t="shared" si="852"/>
        <v>40690</v>
      </c>
    </row>
    <row r="5106">
      <c r="G5106" s="12">
        <f t="shared" si="852"/>
        <v>40690</v>
      </c>
    </row>
    <row r="5107">
      <c r="G5107" s="12">
        <f t="shared" si="852"/>
        <v>40690</v>
      </c>
    </row>
    <row r="5108">
      <c r="G5108" s="12">
        <f t="shared" si="852"/>
        <v>40690</v>
      </c>
    </row>
    <row r="5109">
      <c r="G5109" s="12">
        <f t="shared" si="852"/>
        <v>40690</v>
      </c>
    </row>
    <row r="5110">
      <c r="G5110" s="12">
        <f t="shared" si="852"/>
        <v>40690</v>
      </c>
    </row>
    <row r="5111">
      <c r="G5111" s="12">
        <f t="shared" ref="G5111:G5117" si="853">DATE(2012,12,31)-583</f>
        <v>40691</v>
      </c>
    </row>
    <row r="5112">
      <c r="G5112" s="12">
        <f t="shared" si="853"/>
        <v>40691</v>
      </c>
    </row>
    <row r="5113">
      <c r="G5113" s="12">
        <f t="shared" si="853"/>
        <v>40691</v>
      </c>
    </row>
    <row r="5114">
      <c r="G5114" s="12">
        <f t="shared" si="853"/>
        <v>40691</v>
      </c>
    </row>
    <row r="5115">
      <c r="G5115" s="12">
        <f t="shared" si="853"/>
        <v>40691</v>
      </c>
    </row>
    <row r="5116">
      <c r="G5116" s="12">
        <f t="shared" si="853"/>
        <v>40691</v>
      </c>
    </row>
    <row r="5117">
      <c r="G5117" s="12">
        <f t="shared" si="853"/>
        <v>40691</v>
      </c>
    </row>
    <row r="5118">
      <c r="G5118" s="12">
        <f t="shared" ref="G5118:G5120" si="854">DATE(2012,12,31)-581</f>
        <v>40693</v>
      </c>
    </row>
    <row r="5119">
      <c r="G5119" s="12">
        <f t="shared" si="854"/>
        <v>40693</v>
      </c>
    </row>
    <row r="5120">
      <c r="G5120" s="12">
        <f t="shared" si="854"/>
        <v>40693</v>
      </c>
    </row>
    <row r="5121">
      <c r="G5121" s="12">
        <f t="shared" ref="G5121:G5129" si="855">DATE(2012,12,31)-580</f>
        <v>40694</v>
      </c>
    </row>
    <row r="5122">
      <c r="G5122" s="12">
        <f t="shared" si="855"/>
        <v>40694</v>
      </c>
    </row>
    <row r="5123">
      <c r="G5123" s="12">
        <f t="shared" si="855"/>
        <v>40694</v>
      </c>
    </row>
    <row r="5124">
      <c r="G5124" s="12">
        <f t="shared" si="855"/>
        <v>40694</v>
      </c>
    </row>
    <row r="5125">
      <c r="G5125" s="12">
        <f t="shared" si="855"/>
        <v>40694</v>
      </c>
    </row>
    <row r="5126">
      <c r="G5126" s="12">
        <f t="shared" si="855"/>
        <v>40694</v>
      </c>
    </row>
    <row r="5127">
      <c r="G5127" s="12">
        <f t="shared" si="855"/>
        <v>40694</v>
      </c>
    </row>
    <row r="5128">
      <c r="G5128" s="12">
        <f t="shared" si="855"/>
        <v>40694</v>
      </c>
    </row>
    <row r="5129">
      <c r="G5129" s="12">
        <f t="shared" si="855"/>
        <v>40694</v>
      </c>
    </row>
    <row r="5130">
      <c r="G5130" s="12">
        <f t="shared" ref="G5130:G5136" si="856">DATE(2012,12,31)-579</f>
        <v>40695</v>
      </c>
    </row>
    <row r="5131">
      <c r="G5131" s="12">
        <f t="shared" si="856"/>
        <v>40695</v>
      </c>
    </row>
    <row r="5132">
      <c r="G5132" s="12">
        <f t="shared" si="856"/>
        <v>40695</v>
      </c>
    </row>
    <row r="5133">
      <c r="G5133" s="12">
        <f t="shared" si="856"/>
        <v>40695</v>
      </c>
    </row>
    <row r="5134">
      <c r="G5134" s="12">
        <f t="shared" si="856"/>
        <v>40695</v>
      </c>
    </row>
    <row r="5135">
      <c r="G5135" s="12">
        <f t="shared" si="856"/>
        <v>40695</v>
      </c>
    </row>
    <row r="5136">
      <c r="G5136" s="12">
        <f t="shared" si="856"/>
        <v>40695</v>
      </c>
    </row>
    <row r="5137">
      <c r="G5137" s="12">
        <f t="shared" ref="G5137:G5140" si="857">DATE(2012,12,31)-578</f>
        <v>40696</v>
      </c>
    </row>
    <row r="5138">
      <c r="G5138" s="12">
        <f t="shared" si="857"/>
        <v>40696</v>
      </c>
    </row>
    <row r="5139">
      <c r="G5139" s="12">
        <f t="shared" si="857"/>
        <v>40696</v>
      </c>
    </row>
    <row r="5140">
      <c r="G5140" s="12">
        <f t="shared" si="857"/>
        <v>40696</v>
      </c>
    </row>
    <row r="5141">
      <c r="G5141" s="12">
        <f t="shared" ref="G5141:G5148" si="858">DATE(2012,12,31)-577</f>
        <v>40697</v>
      </c>
    </row>
    <row r="5142">
      <c r="G5142" s="12">
        <f t="shared" si="858"/>
        <v>40697</v>
      </c>
    </row>
    <row r="5143">
      <c r="G5143" s="12">
        <f t="shared" si="858"/>
        <v>40697</v>
      </c>
    </row>
    <row r="5144">
      <c r="G5144" s="12">
        <f t="shared" si="858"/>
        <v>40697</v>
      </c>
    </row>
    <row r="5145">
      <c r="G5145" s="12">
        <f t="shared" si="858"/>
        <v>40697</v>
      </c>
    </row>
    <row r="5146">
      <c r="G5146" s="12">
        <f t="shared" si="858"/>
        <v>40697</v>
      </c>
    </row>
    <row r="5147">
      <c r="G5147" s="12">
        <f t="shared" si="858"/>
        <v>40697</v>
      </c>
    </row>
    <row r="5148">
      <c r="G5148" s="12">
        <f t="shared" si="858"/>
        <v>40697</v>
      </c>
    </row>
    <row r="5149">
      <c r="G5149" s="12">
        <f>DATE(2012,12,31)-576</f>
        <v>40698</v>
      </c>
    </row>
    <row r="5150">
      <c r="G5150" s="12">
        <f t="shared" ref="G5150:G5154" si="859">DATE(2012,12,31)-575</f>
        <v>40699</v>
      </c>
    </row>
    <row r="5151">
      <c r="G5151" s="12">
        <f t="shared" si="859"/>
        <v>40699</v>
      </c>
    </row>
    <row r="5152">
      <c r="G5152" s="12">
        <f t="shared" si="859"/>
        <v>40699</v>
      </c>
    </row>
    <row r="5153">
      <c r="G5153" s="12">
        <f t="shared" si="859"/>
        <v>40699</v>
      </c>
    </row>
    <row r="5154">
      <c r="G5154" s="12">
        <f t="shared" si="859"/>
        <v>40699</v>
      </c>
    </row>
    <row r="5155">
      <c r="G5155" s="12">
        <f t="shared" ref="G5155:G5158" si="860">DATE(2012,12,31)-574</f>
        <v>40700</v>
      </c>
    </row>
    <row r="5156">
      <c r="G5156" s="12">
        <f t="shared" si="860"/>
        <v>40700</v>
      </c>
    </row>
    <row r="5157">
      <c r="G5157" s="12">
        <f t="shared" si="860"/>
        <v>40700</v>
      </c>
    </row>
    <row r="5158">
      <c r="G5158" s="12">
        <f t="shared" si="860"/>
        <v>40700</v>
      </c>
    </row>
    <row r="5159">
      <c r="G5159" s="12">
        <f t="shared" ref="G5159:G5166" si="861">DATE(2012,12,31)-573</f>
        <v>40701</v>
      </c>
    </row>
    <row r="5160">
      <c r="G5160" s="12">
        <f t="shared" si="861"/>
        <v>40701</v>
      </c>
    </row>
    <row r="5161">
      <c r="G5161" s="12">
        <f t="shared" si="861"/>
        <v>40701</v>
      </c>
    </row>
    <row r="5162">
      <c r="G5162" s="12">
        <f t="shared" si="861"/>
        <v>40701</v>
      </c>
    </row>
    <row r="5163">
      <c r="G5163" s="12">
        <f t="shared" si="861"/>
        <v>40701</v>
      </c>
    </row>
    <row r="5164">
      <c r="G5164" s="12">
        <f t="shared" si="861"/>
        <v>40701</v>
      </c>
    </row>
    <row r="5165">
      <c r="G5165" s="12">
        <f t="shared" si="861"/>
        <v>40701</v>
      </c>
    </row>
    <row r="5166">
      <c r="G5166" s="12">
        <f t="shared" si="861"/>
        <v>40701</v>
      </c>
    </row>
    <row r="5167">
      <c r="G5167" s="12">
        <f t="shared" ref="G5167:G5172" si="862">DATE(2012,12,31)-572</f>
        <v>40702</v>
      </c>
    </row>
    <row r="5168">
      <c r="G5168" s="12">
        <f t="shared" si="862"/>
        <v>40702</v>
      </c>
    </row>
    <row r="5169">
      <c r="G5169" s="12">
        <f t="shared" si="862"/>
        <v>40702</v>
      </c>
    </row>
    <row r="5170">
      <c r="G5170" s="12">
        <f t="shared" si="862"/>
        <v>40702</v>
      </c>
    </row>
    <row r="5171">
      <c r="G5171" s="12">
        <f t="shared" si="862"/>
        <v>40702</v>
      </c>
    </row>
    <row r="5172">
      <c r="G5172" s="12">
        <f t="shared" si="862"/>
        <v>40702</v>
      </c>
    </row>
    <row r="5173">
      <c r="G5173" s="12">
        <f t="shared" ref="G5173:G5178" si="863">DATE(2012,12,31)-571</f>
        <v>40703</v>
      </c>
    </row>
    <row r="5174">
      <c r="G5174" s="12">
        <f t="shared" si="863"/>
        <v>40703</v>
      </c>
    </row>
    <row r="5175">
      <c r="G5175" s="12">
        <f t="shared" si="863"/>
        <v>40703</v>
      </c>
    </row>
    <row r="5176">
      <c r="G5176" s="12">
        <f t="shared" si="863"/>
        <v>40703</v>
      </c>
    </row>
    <row r="5177">
      <c r="G5177" s="12">
        <f t="shared" si="863"/>
        <v>40703</v>
      </c>
    </row>
    <row r="5178">
      <c r="G5178" s="12">
        <f t="shared" si="863"/>
        <v>40703</v>
      </c>
    </row>
    <row r="5179">
      <c r="G5179" s="12">
        <f t="shared" ref="G5179:G5188" si="864">DATE(2012,12,31)-570</f>
        <v>40704</v>
      </c>
    </row>
    <row r="5180">
      <c r="G5180" s="12">
        <f t="shared" si="864"/>
        <v>40704</v>
      </c>
    </row>
    <row r="5181">
      <c r="G5181" s="12">
        <f t="shared" si="864"/>
        <v>40704</v>
      </c>
    </row>
    <row r="5182">
      <c r="G5182" s="12">
        <f t="shared" si="864"/>
        <v>40704</v>
      </c>
    </row>
    <row r="5183">
      <c r="G5183" s="12">
        <f t="shared" si="864"/>
        <v>40704</v>
      </c>
    </row>
    <row r="5184">
      <c r="G5184" s="12">
        <f t="shared" si="864"/>
        <v>40704</v>
      </c>
    </row>
    <row r="5185">
      <c r="G5185" s="12">
        <f t="shared" si="864"/>
        <v>40704</v>
      </c>
    </row>
    <row r="5186">
      <c r="G5186" s="12">
        <f t="shared" si="864"/>
        <v>40704</v>
      </c>
    </row>
    <row r="5187">
      <c r="G5187" s="12">
        <f t="shared" si="864"/>
        <v>40704</v>
      </c>
    </row>
    <row r="5188">
      <c r="G5188" s="12">
        <f t="shared" si="864"/>
        <v>40704</v>
      </c>
    </row>
    <row r="5189">
      <c r="G5189" s="12">
        <f t="shared" ref="G5189:G5194" si="865">DATE(2012,12,31)-569</f>
        <v>40705</v>
      </c>
    </row>
    <row r="5190">
      <c r="G5190" s="12">
        <f t="shared" si="865"/>
        <v>40705</v>
      </c>
    </row>
    <row r="5191">
      <c r="G5191" s="12">
        <f t="shared" si="865"/>
        <v>40705</v>
      </c>
    </row>
    <row r="5192">
      <c r="G5192" s="12">
        <f t="shared" si="865"/>
        <v>40705</v>
      </c>
    </row>
    <row r="5193">
      <c r="G5193" s="12">
        <f t="shared" si="865"/>
        <v>40705</v>
      </c>
    </row>
    <row r="5194">
      <c r="G5194" s="12">
        <f t="shared" si="865"/>
        <v>40705</v>
      </c>
    </row>
    <row r="5195">
      <c r="G5195" s="12">
        <f t="shared" ref="G5195:G5198" si="866">DATE(2012,12,31)-568</f>
        <v>40706</v>
      </c>
    </row>
    <row r="5196">
      <c r="G5196" s="12">
        <f t="shared" si="866"/>
        <v>40706</v>
      </c>
    </row>
    <row r="5197">
      <c r="G5197" s="12">
        <f t="shared" si="866"/>
        <v>40706</v>
      </c>
    </row>
    <row r="5198">
      <c r="G5198" s="12">
        <f t="shared" si="866"/>
        <v>40706</v>
      </c>
    </row>
    <row r="5199">
      <c r="G5199" s="12">
        <f t="shared" ref="G5199:G5201" si="867">DATE(2012,12,31)-567</f>
        <v>40707</v>
      </c>
    </row>
    <row r="5200">
      <c r="G5200" s="12">
        <f t="shared" si="867"/>
        <v>40707</v>
      </c>
    </row>
    <row r="5201">
      <c r="G5201" s="12">
        <f t="shared" si="867"/>
        <v>40707</v>
      </c>
    </row>
    <row r="5202">
      <c r="G5202" s="12">
        <f t="shared" ref="G5202:G5209" si="868">DATE(2012,12,31)-566</f>
        <v>40708</v>
      </c>
    </row>
    <row r="5203">
      <c r="G5203" s="12">
        <f t="shared" si="868"/>
        <v>40708</v>
      </c>
    </row>
    <row r="5204">
      <c r="G5204" s="12">
        <f t="shared" si="868"/>
        <v>40708</v>
      </c>
    </row>
    <row r="5205">
      <c r="G5205" s="12">
        <f t="shared" si="868"/>
        <v>40708</v>
      </c>
    </row>
    <row r="5206">
      <c r="G5206" s="12">
        <f t="shared" si="868"/>
        <v>40708</v>
      </c>
    </row>
    <row r="5207">
      <c r="G5207" s="12">
        <f t="shared" si="868"/>
        <v>40708</v>
      </c>
    </row>
    <row r="5208">
      <c r="G5208" s="12">
        <f t="shared" si="868"/>
        <v>40708</v>
      </c>
    </row>
    <row r="5209">
      <c r="G5209" s="12">
        <f t="shared" si="868"/>
        <v>40708</v>
      </c>
    </row>
    <row r="5210">
      <c r="G5210" s="12">
        <f t="shared" ref="G5210:G5211" si="869">DATE(2012,12,31)-565</f>
        <v>40709</v>
      </c>
    </row>
    <row r="5211">
      <c r="G5211" s="12">
        <f t="shared" si="869"/>
        <v>40709</v>
      </c>
    </row>
    <row r="5212">
      <c r="G5212" s="12">
        <f t="shared" ref="G5212:G5218" si="870">DATE(2012,12,31)-564</f>
        <v>40710</v>
      </c>
    </row>
    <row r="5213">
      <c r="G5213" s="12">
        <f t="shared" si="870"/>
        <v>40710</v>
      </c>
    </row>
    <row r="5214">
      <c r="G5214" s="12">
        <f t="shared" si="870"/>
        <v>40710</v>
      </c>
    </row>
    <row r="5215">
      <c r="G5215" s="12">
        <f t="shared" si="870"/>
        <v>40710</v>
      </c>
    </row>
    <row r="5216">
      <c r="G5216" s="12">
        <f t="shared" si="870"/>
        <v>40710</v>
      </c>
    </row>
    <row r="5217">
      <c r="G5217" s="12">
        <f t="shared" si="870"/>
        <v>40710</v>
      </c>
    </row>
    <row r="5218">
      <c r="G5218" s="12">
        <f t="shared" si="870"/>
        <v>40710</v>
      </c>
    </row>
    <row r="5219">
      <c r="G5219" s="12">
        <f t="shared" ref="G5219:G5225" si="871">DATE(2012,12,31)-563</f>
        <v>40711</v>
      </c>
    </row>
    <row r="5220">
      <c r="G5220" s="12">
        <f t="shared" si="871"/>
        <v>40711</v>
      </c>
    </row>
    <row r="5221">
      <c r="G5221" s="12">
        <f t="shared" si="871"/>
        <v>40711</v>
      </c>
    </row>
    <row r="5222">
      <c r="G5222" s="12">
        <f t="shared" si="871"/>
        <v>40711</v>
      </c>
    </row>
    <row r="5223">
      <c r="G5223" s="12">
        <f t="shared" si="871"/>
        <v>40711</v>
      </c>
    </row>
    <row r="5224">
      <c r="G5224" s="12">
        <f t="shared" si="871"/>
        <v>40711</v>
      </c>
    </row>
    <row r="5225">
      <c r="G5225" s="12">
        <f t="shared" si="871"/>
        <v>40711</v>
      </c>
    </row>
    <row r="5226">
      <c r="G5226" s="12">
        <f t="shared" ref="G5226:G5229" si="872">DATE(2012,12,31)-562</f>
        <v>40712</v>
      </c>
    </row>
    <row r="5227">
      <c r="G5227" s="12">
        <f t="shared" si="872"/>
        <v>40712</v>
      </c>
    </row>
    <row r="5228">
      <c r="G5228" s="12">
        <f t="shared" si="872"/>
        <v>40712</v>
      </c>
    </row>
    <row r="5229">
      <c r="G5229" s="12">
        <f t="shared" si="872"/>
        <v>40712</v>
      </c>
    </row>
    <row r="5230">
      <c r="G5230" s="12">
        <f t="shared" ref="G5230:G5233" si="873">DATE(2012,12,31)-561</f>
        <v>40713</v>
      </c>
    </row>
    <row r="5231">
      <c r="G5231" s="12">
        <f t="shared" si="873"/>
        <v>40713</v>
      </c>
    </row>
    <row r="5232">
      <c r="G5232" s="12">
        <f t="shared" si="873"/>
        <v>40713</v>
      </c>
    </row>
    <row r="5233">
      <c r="G5233" s="12">
        <f t="shared" si="873"/>
        <v>40713</v>
      </c>
    </row>
    <row r="5234">
      <c r="G5234" s="12">
        <f t="shared" ref="G5234:G5238" si="874">DATE(2012,12,31)-560</f>
        <v>40714</v>
      </c>
    </row>
    <row r="5235">
      <c r="G5235" s="12">
        <f t="shared" si="874"/>
        <v>40714</v>
      </c>
    </row>
    <row r="5236">
      <c r="G5236" s="12">
        <f t="shared" si="874"/>
        <v>40714</v>
      </c>
    </row>
    <row r="5237">
      <c r="G5237" s="12">
        <f t="shared" si="874"/>
        <v>40714</v>
      </c>
    </row>
    <row r="5238">
      <c r="G5238" s="12">
        <f t="shared" si="874"/>
        <v>40714</v>
      </c>
    </row>
    <row r="5239">
      <c r="G5239" s="12">
        <f t="shared" ref="G5239:G5242" si="875">DATE(2012,12,31)-559</f>
        <v>40715</v>
      </c>
    </row>
    <row r="5240">
      <c r="G5240" s="12">
        <f t="shared" si="875"/>
        <v>40715</v>
      </c>
    </row>
    <row r="5241">
      <c r="G5241" s="12">
        <f t="shared" si="875"/>
        <v>40715</v>
      </c>
    </row>
    <row r="5242">
      <c r="G5242" s="12">
        <f t="shared" si="875"/>
        <v>40715</v>
      </c>
    </row>
    <row r="5243">
      <c r="G5243" s="12">
        <f t="shared" ref="G5243:G5256" si="876">DATE(2012,12,31)-558</f>
        <v>40716</v>
      </c>
    </row>
    <row r="5244">
      <c r="G5244" s="12">
        <f t="shared" si="876"/>
        <v>40716</v>
      </c>
    </row>
    <row r="5245">
      <c r="G5245" s="12">
        <f t="shared" si="876"/>
        <v>40716</v>
      </c>
    </row>
    <row r="5246">
      <c r="G5246" s="12">
        <f t="shared" si="876"/>
        <v>40716</v>
      </c>
    </row>
    <row r="5247">
      <c r="G5247" s="12">
        <f t="shared" si="876"/>
        <v>40716</v>
      </c>
    </row>
    <row r="5248">
      <c r="G5248" s="12">
        <f t="shared" si="876"/>
        <v>40716</v>
      </c>
    </row>
    <row r="5249">
      <c r="G5249" s="12">
        <f t="shared" si="876"/>
        <v>40716</v>
      </c>
    </row>
    <row r="5250">
      <c r="G5250" s="12">
        <f t="shared" si="876"/>
        <v>40716</v>
      </c>
    </row>
    <row r="5251">
      <c r="G5251" s="12">
        <f t="shared" si="876"/>
        <v>40716</v>
      </c>
    </row>
    <row r="5252">
      <c r="G5252" s="12">
        <f t="shared" si="876"/>
        <v>40716</v>
      </c>
    </row>
    <row r="5253">
      <c r="G5253" s="12">
        <f t="shared" si="876"/>
        <v>40716</v>
      </c>
    </row>
    <row r="5254">
      <c r="G5254" s="12">
        <f t="shared" si="876"/>
        <v>40716</v>
      </c>
    </row>
    <row r="5255">
      <c r="G5255" s="12">
        <f t="shared" si="876"/>
        <v>40716</v>
      </c>
    </row>
    <row r="5256">
      <c r="G5256" s="12">
        <f t="shared" si="876"/>
        <v>40716</v>
      </c>
    </row>
    <row r="5257">
      <c r="G5257" s="12">
        <f t="shared" ref="G5257:G5261" si="877">DATE(2012,12,31)-557</f>
        <v>40717</v>
      </c>
    </row>
    <row r="5258">
      <c r="G5258" s="12">
        <f t="shared" si="877"/>
        <v>40717</v>
      </c>
    </row>
    <row r="5259">
      <c r="G5259" s="12">
        <f t="shared" si="877"/>
        <v>40717</v>
      </c>
    </row>
    <row r="5260">
      <c r="G5260" s="12">
        <f t="shared" si="877"/>
        <v>40717</v>
      </c>
    </row>
    <row r="5261">
      <c r="G5261" s="12">
        <f t="shared" si="877"/>
        <v>40717</v>
      </c>
    </row>
    <row r="5262">
      <c r="G5262" s="12">
        <f t="shared" ref="G5262:G5265" si="878">DATE(2012,12,31)-556</f>
        <v>40718</v>
      </c>
    </row>
    <row r="5263">
      <c r="G5263" s="12">
        <f t="shared" si="878"/>
        <v>40718</v>
      </c>
    </row>
    <row r="5264">
      <c r="G5264" s="12">
        <f t="shared" si="878"/>
        <v>40718</v>
      </c>
    </row>
    <row r="5265">
      <c r="G5265" s="12">
        <f t="shared" si="878"/>
        <v>40718</v>
      </c>
    </row>
    <row r="5266">
      <c r="G5266" s="12">
        <f t="shared" ref="G5266:G5270" si="879">DATE(2012,12,31)-555</f>
        <v>40719</v>
      </c>
    </row>
    <row r="5267">
      <c r="G5267" s="12">
        <f t="shared" si="879"/>
        <v>40719</v>
      </c>
    </row>
    <row r="5268">
      <c r="G5268" s="12">
        <f t="shared" si="879"/>
        <v>40719</v>
      </c>
    </row>
    <row r="5269">
      <c r="G5269" s="12">
        <f t="shared" si="879"/>
        <v>40719</v>
      </c>
    </row>
    <row r="5270">
      <c r="G5270" s="12">
        <f t="shared" si="879"/>
        <v>40719</v>
      </c>
    </row>
    <row r="5271">
      <c r="G5271" s="12">
        <f t="shared" ref="G5271:G5272" si="880">DATE(2012,12,31)-554</f>
        <v>40720</v>
      </c>
    </row>
    <row r="5272">
      <c r="G5272" s="12">
        <f t="shared" si="880"/>
        <v>40720</v>
      </c>
    </row>
    <row r="5273">
      <c r="G5273" s="12">
        <f t="shared" ref="G5273:G5275" si="881">DATE(2012,12,31)-553</f>
        <v>40721</v>
      </c>
    </row>
    <row r="5274">
      <c r="G5274" s="12">
        <f t="shared" si="881"/>
        <v>40721</v>
      </c>
    </row>
    <row r="5275">
      <c r="G5275" s="12">
        <f t="shared" si="881"/>
        <v>40721</v>
      </c>
    </row>
    <row r="5276">
      <c r="G5276" s="12">
        <f t="shared" ref="G5276:G5281" si="882">DATE(2012,12,31)-552</f>
        <v>40722</v>
      </c>
    </row>
    <row r="5277">
      <c r="G5277" s="12">
        <f t="shared" si="882"/>
        <v>40722</v>
      </c>
    </row>
    <row r="5278">
      <c r="G5278" s="12">
        <f t="shared" si="882"/>
        <v>40722</v>
      </c>
    </row>
    <row r="5279">
      <c r="G5279" s="12">
        <f t="shared" si="882"/>
        <v>40722</v>
      </c>
    </row>
    <row r="5280">
      <c r="G5280" s="12">
        <f t="shared" si="882"/>
        <v>40722</v>
      </c>
    </row>
    <row r="5281">
      <c r="G5281" s="12">
        <f t="shared" si="882"/>
        <v>40722</v>
      </c>
    </row>
    <row r="5282">
      <c r="G5282" s="12">
        <f t="shared" ref="G5282:G5287" si="883">DATE(2012,12,31)-551</f>
        <v>40723</v>
      </c>
    </row>
    <row r="5283">
      <c r="G5283" s="12">
        <f t="shared" si="883"/>
        <v>40723</v>
      </c>
    </row>
    <row r="5284">
      <c r="G5284" s="12">
        <f t="shared" si="883"/>
        <v>40723</v>
      </c>
    </row>
    <row r="5285">
      <c r="G5285" s="12">
        <f t="shared" si="883"/>
        <v>40723</v>
      </c>
    </row>
    <row r="5286">
      <c r="G5286" s="12">
        <f t="shared" si="883"/>
        <v>40723</v>
      </c>
    </row>
    <row r="5287">
      <c r="G5287" s="12">
        <f t="shared" si="883"/>
        <v>40723</v>
      </c>
    </row>
    <row r="5288">
      <c r="G5288" s="12">
        <f t="shared" ref="G5288:G5293" si="884">DATE(2012,12,31)-550</f>
        <v>40724</v>
      </c>
    </row>
    <row r="5289">
      <c r="G5289" s="12">
        <f t="shared" si="884"/>
        <v>40724</v>
      </c>
    </row>
    <row r="5290">
      <c r="G5290" s="12">
        <f t="shared" si="884"/>
        <v>40724</v>
      </c>
    </row>
    <row r="5291">
      <c r="G5291" s="12">
        <f t="shared" si="884"/>
        <v>40724</v>
      </c>
    </row>
    <row r="5292">
      <c r="G5292" s="12">
        <f t="shared" si="884"/>
        <v>40724</v>
      </c>
    </row>
    <row r="5293">
      <c r="G5293" s="12">
        <f t="shared" si="884"/>
        <v>40724</v>
      </c>
    </row>
    <row r="5294">
      <c r="G5294" s="12">
        <f t="shared" ref="G5294:G5298" si="885">DATE(2012,12,31)-549</f>
        <v>40725</v>
      </c>
    </row>
    <row r="5295">
      <c r="G5295" s="12">
        <f t="shared" si="885"/>
        <v>40725</v>
      </c>
    </row>
    <row r="5296">
      <c r="G5296" s="12">
        <f t="shared" si="885"/>
        <v>40725</v>
      </c>
    </row>
    <row r="5297">
      <c r="G5297" s="12">
        <f t="shared" si="885"/>
        <v>40725</v>
      </c>
    </row>
    <row r="5298">
      <c r="G5298" s="12">
        <f t="shared" si="885"/>
        <v>40725</v>
      </c>
    </row>
    <row r="5299">
      <c r="G5299" s="12">
        <f t="shared" ref="G5299:G5305" si="886">DATE(2012,12,31)-548</f>
        <v>40726</v>
      </c>
    </row>
    <row r="5300">
      <c r="G5300" s="12">
        <f t="shared" si="886"/>
        <v>40726</v>
      </c>
    </row>
    <row r="5301">
      <c r="G5301" s="12">
        <f t="shared" si="886"/>
        <v>40726</v>
      </c>
    </row>
    <row r="5302">
      <c r="G5302" s="12">
        <f t="shared" si="886"/>
        <v>40726</v>
      </c>
    </row>
    <row r="5303">
      <c r="G5303" s="12">
        <f t="shared" si="886"/>
        <v>40726</v>
      </c>
    </row>
    <row r="5304">
      <c r="G5304" s="12">
        <f t="shared" si="886"/>
        <v>40726</v>
      </c>
    </row>
    <row r="5305">
      <c r="G5305" s="12">
        <f t="shared" si="886"/>
        <v>40726</v>
      </c>
    </row>
    <row r="5306">
      <c r="G5306" s="12">
        <f t="shared" ref="G5306:G5315" si="887">DATE(2012,12,31)-547</f>
        <v>40727</v>
      </c>
    </row>
    <row r="5307">
      <c r="G5307" s="12">
        <f t="shared" si="887"/>
        <v>40727</v>
      </c>
    </row>
    <row r="5308">
      <c r="G5308" s="12">
        <f t="shared" si="887"/>
        <v>40727</v>
      </c>
    </row>
    <row r="5309">
      <c r="G5309" s="12">
        <f t="shared" si="887"/>
        <v>40727</v>
      </c>
    </row>
    <row r="5310">
      <c r="G5310" s="12">
        <f t="shared" si="887"/>
        <v>40727</v>
      </c>
    </row>
    <row r="5311">
      <c r="G5311" s="12">
        <f t="shared" si="887"/>
        <v>40727</v>
      </c>
    </row>
    <row r="5312">
      <c r="G5312" s="12">
        <f t="shared" si="887"/>
        <v>40727</v>
      </c>
    </row>
    <row r="5313">
      <c r="G5313" s="12">
        <f t="shared" si="887"/>
        <v>40727</v>
      </c>
    </row>
    <row r="5314">
      <c r="G5314" s="12">
        <f t="shared" si="887"/>
        <v>40727</v>
      </c>
    </row>
    <row r="5315">
      <c r="G5315" s="12">
        <f t="shared" si="887"/>
        <v>40727</v>
      </c>
    </row>
    <row r="5316">
      <c r="G5316" s="12">
        <f t="shared" ref="G5316:G5323" si="888">DATE(2012,12,31)-546</f>
        <v>40728</v>
      </c>
    </row>
    <row r="5317">
      <c r="G5317" s="12">
        <f t="shared" si="888"/>
        <v>40728</v>
      </c>
    </row>
    <row r="5318">
      <c r="G5318" s="12">
        <f t="shared" si="888"/>
        <v>40728</v>
      </c>
    </row>
    <row r="5319">
      <c r="G5319" s="12">
        <f t="shared" si="888"/>
        <v>40728</v>
      </c>
    </row>
    <row r="5320">
      <c r="G5320" s="12">
        <f t="shared" si="888"/>
        <v>40728</v>
      </c>
    </row>
    <row r="5321">
      <c r="G5321" s="12">
        <f t="shared" si="888"/>
        <v>40728</v>
      </c>
    </row>
    <row r="5322">
      <c r="G5322" s="12">
        <f t="shared" si="888"/>
        <v>40728</v>
      </c>
    </row>
    <row r="5323">
      <c r="G5323" s="12">
        <f t="shared" si="888"/>
        <v>40728</v>
      </c>
    </row>
    <row r="5324">
      <c r="G5324" s="12">
        <f t="shared" ref="G5324:G5330" si="889">DATE(2012,12,31)-545</f>
        <v>40729</v>
      </c>
    </row>
    <row r="5325">
      <c r="G5325" s="12">
        <f t="shared" si="889"/>
        <v>40729</v>
      </c>
    </row>
    <row r="5326">
      <c r="G5326" s="12">
        <f t="shared" si="889"/>
        <v>40729</v>
      </c>
    </row>
    <row r="5327">
      <c r="G5327" s="12">
        <f t="shared" si="889"/>
        <v>40729</v>
      </c>
    </row>
    <row r="5328">
      <c r="G5328" s="12">
        <f t="shared" si="889"/>
        <v>40729</v>
      </c>
    </row>
    <row r="5329">
      <c r="G5329" s="12">
        <f t="shared" si="889"/>
        <v>40729</v>
      </c>
    </row>
    <row r="5330">
      <c r="G5330" s="12">
        <f t="shared" si="889"/>
        <v>40729</v>
      </c>
    </row>
    <row r="5331">
      <c r="G5331" s="12">
        <f t="shared" ref="G5331:G5335" si="890">DATE(2012,12,31)-544</f>
        <v>40730</v>
      </c>
    </row>
    <row r="5332">
      <c r="G5332" s="12">
        <f t="shared" si="890"/>
        <v>40730</v>
      </c>
    </row>
    <row r="5333">
      <c r="G5333" s="12">
        <f t="shared" si="890"/>
        <v>40730</v>
      </c>
    </row>
    <row r="5334">
      <c r="G5334" s="12">
        <f t="shared" si="890"/>
        <v>40730</v>
      </c>
    </row>
    <row r="5335">
      <c r="G5335" s="12">
        <f t="shared" si="890"/>
        <v>40730</v>
      </c>
    </row>
    <row r="5336">
      <c r="G5336" s="12">
        <f t="shared" ref="G5336:G5340" si="891">DATE(2012,12,31)-543</f>
        <v>40731</v>
      </c>
    </row>
    <row r="5337">
      <c r="G5337" s="12">
        <f t="shared" si="891"/>
        <v>40731</v>
      </c>
    </row>
    <row r="5338">
      <c r="G5338" s="12">
        <f t="shared" si="891"/>
        <v>40731</v>
      </c>
    </row>
    <row r="5339">
      <c r="G5339" s="12">
        <f t="shared" si="891"/>
        <v>40731</v>
      </c>
    </row>
    <row r="5340">
      <c r="G5340" s="12">
        <f t="shared" si="891"/>
        <v>40731</v>
      </c>
    </row>
    <row r="5341">
      <c r="G5341" s="12">
        <f t="shared" ref="G5341:G5342" si="892">DATE(2012,12,31)-542</f>
        <v>40732</v>
      </c>
    </row>
    <row r="5342">
      <c r="G5342" s="12">
        <f t="shared" si="892"/>
        <v>40732</v>
      </c>
    </row>
    <row r="5343">
      <c r="G5343" s="12">
        <f t="shared" ref="G5343:G5350" si="893">DATE(2012,12,31)-540</f>
        <v>40734</v>
      </c>
    </row>
    <row r="5344">
      <c r="G5344" s="12">
        <f t="shared" si="893"/>
        <v>40734</v>
      </c>
    </row>
    <row r="5345">
      <c r="G5345" s="12">
        <f t="shared" si="893"/>
        <v>40734</v>
      </c>
    </row>
    <row r="5346">
      <c r="G5346" s="12">
        <f t="shared" si="893"/>
        <v>40734</v>
      </c>
    </row>
    <row r="5347">
      <c r="G5347" s="12">
        <f t="shared" si="893"/>
        <v>40734</v>
      </c>
    </row>
    <row r="5348">
      <c r="G5348" s="12">
        <f t="shared" si="893"/>
        <v>40734</v>
      </c>
    </row>
    <row r="5349">
      <c r="G5349" s="12">
        <f t="shared" si="893"/>
        <v>40734</v>
      </c>
    </row>
    <row r="5350">
      <c r="G5350" s="12">
        <f t="shared" si="893"/>
        <v>40734</v>
      </c>
    </row>
    <row r="5351">
      <c r="G5351" s="12">
        <f>DATE(2012,12,31)-539</f>
        <v>40735</v>
      </c>
    </row>
    <row r="5352">
      <c r="G5352" s="12">
        <f t="shared" ref="G5352:G5361" si="894">DATE(2012,12,31)-538</f>
        <v>40736</v>
      </c>
    </row>
    <row r="5353">
      <c r="G5353" s="12">
        <f t="shared" si="894"/>
        <v>40736</v>
      </c>
    </row>
    <row r="5354">
      <c r="G5354" s="12">
        <f t="shared" si="894"/>
        <v>40736</v>
      </c>
    </row>
    <row r="5355">
      <c r="G5355" s="12">
        <f t="shared" si="894"/>
        <v>40736</v>
      </c>
    </row>
    <row r="5356">
      <c r="G5356" s="12">
        <f t="shared" si="894"/>
        <v>40736</v>
      </c>
    </row>
    <row r="5357">
      <c r="G5357" s="12">
        <f t="shared" si="894"/>
        <v>40736</v>
      </c>
    </row>
    <row r="5358">
      <c r="G5358" s="12">
        <f t="shared" si="894"/>
        <v>40736</v>
      </c>
    </row>
    <row r="5359">
      <c r="G5359" s="12">
        <f t="shared" si="894"/>
        <v>40736</v>
      </c>
    </row>
    <row r="5360">
      <c r="G5360" s="12">
        <f t="shared" si="894"/>
        <v>40736</v>
      </c>
    </row>
    <row r="5361">
      <c r="G5361" s="12">
        <f t="shared" si="894"/>
        <v>40736</v>
      </c>
    </row>
    <row r="5362">
      <c r="G5362" s="12">
        <f t="shared" ref="G5362:G5366" si="895">DATE(2012,12,31)-537</f>
        <v>40737</v>
      </c>
    </row>
    <row r="5363">
      <c r="G5363" s="12">
        <f t="shared" si="895"/>
        <v>40737</v>
      </c>
    </row>
    <row r="5364">
      <c r="G5364" s="12">
        <f t="shared" si="895"/>
        <v>40737</v>
      </c>
    </row>
    <row r="5365">
      <c r="G5365" s="12">
        <f t="shared" si="895"/>
        <v>40737</v>
      </c>
    </row>
    <row r="5366">
      <c r="G5366" s="12">
        <f t="shared" si="895"/>
        <v>40737</v>
      </c>
    </row>
    <row r="5367">
      <c r="G5367" s="12">
        <f t="shared" ref="G5367:G5372" si="896">DATE(2012,12,31)-536</f>
        <v>40738</v>
      </c>
    </row>
    <row r="5368">
      <c r="G5368" s="12">
        <f t="shared" si="896"/>
        <v>40738</v>
      </c>
    </row>
    <row r="5369">
      <c r="G5369" s="12">
        <f t="shared" si="896"/>
        <v>40738</v>
      </c>
    </row>
    <row r="5370">
      <c r="G5370" s="12">
        <f t="shared" si="896"/>
        <v>40738</v>
      </c>
    </row>
    <row r="5371">
      <c r="G5371" s="12">
        <f t="shared" si="896"/>
        <v>40738</v>
      </c>
    </row>
    <row r="5372">
      <c r="G5372" s="12">
        <f t="shared" si="896"/>
        <v>40738</v>
      </c>
    </row>
    <row r="5373">
      <c r="G5373" s="12">
        <f t="shared" ref="G5373:G5381" si="897">DATE(2012,12,31)-535</f>
        <v>40739</v>
      </c>
    </row>
    <row r="5374">
      <c r="G5374" s="12">
        <f t="shared" si="897"/>
        <v>40739</v>
      </c>
    </row>
    <row r="5375">
      <c r="G5375" s="12">
        <f t="shared" si="897"/>
        <v>40739</v>
      </c>
    </row>
    <row r="5376">
      <c r="G5376" s="12">
        <f t="shared" si="897"/>
        <v>40739</v>
      </c>
    </row>
    <row r="5377">
      <c r="G5377" s="12">
        <f t="shared" si="897"/>
        <v>40739</v>
      </c>
    </row>
    <row r="5378">
      <c r="G5378" s="12">
        <f t="shared" si="897"/>
        <v>40739</v>
      </c>
    </row>
    <row r="5379">
      <c r="G5379" s="12">
        <f t="shared" si="897"/>
        <v>40739</v>
      </c>
    </row>
    <row r="5380">
      <c r="G5380" s="12">
        <f t="shared" si="897"/>
        <v>40739</v>
      </c>
    </row>
    <row r="5381">
      <c r="G5381" s="12">
        <f t="shared" si="897"/>
        <v>40739</v>
      </c>
    </row>
    <row r="5382">
      <c r="G5382" s="12">
        <f t="shared" ref="G5382:G5386" si="898">DATE(2012,12,31)-534</f>
        <v>40740</v>
      </c>
    </row>
    <row r="5383">
      <c r="G5383" s="12">
        <f t="shared" si="898"/>
        <v>40740</v>
      </c>
    </row>
    <row r="5384">
      <c r="G5384" s="12">
        <f t="shared" si="898"/>
        <v>40740</v>
      </c>
    </row>
    <row r="5385">
      <c r="G5385" s="12">
        <f t="shared" si="898"/>
        <v>40740</v>
      </c>
    </row>
    <row r="5386">
      <c r="G5386" s="12">
        <f t="shared" si="898"/>
        <v>40740</v>
      </c>
    </row>
    <row r="5387">
      <c r="G5387" s="12">
        <f>DATE(2012,12,31)-533</f>
        <v>40741</v>
      </c>
    </row>
    <row r="5388">
      <c r="G5388" s="12">
        <f t="shared" ref="G5388:G5395" si="899">DATE(2012,12,31)-532</f>
        <v>40742</v>
      </c>
    </row>
    <row r="5389">
      <c r="G5389" s="12">
        <f t="shared" si="899"/>
        <v>40742</v>
      </c>
    </row>
    <row r="5390">
      <c r="G5390" s="12">
        <f t="shared" si="899"/>
        <v>40742</v>
      </c>
    </row>
    <row r="5391">
      <c r="G5391" s="12">
        <f t="shared" si="899"/>
        <v>40742</v>
      </c>
    </row>
    <row r="5392">
      <c r="G5392" s="12">
        <f t="shared" si="899"/>
        <v>40742</v>
      </c>
    </row>
    <row r="5393">
      <c r="G5393" s="12">
        <f t="shared" si="899"/>
        <v>40742</v>
      </c>
    </row>
    <row r="5394">
      <c r="G5394" s="12">
        <f t="shared" si="899"/>
        <v>40742</v>
      </c>
    </row>
    <row r="5395">
      <c r="G5395" s="12">
        <f t="shared" si="899"/>
        <v>40742</v>
      </c>
    </row>
    <row r="5396">
      <c r="G5396" s="12">
        <f t="shared" ref="G5396:G5399" si="900">DATE(2012,12,31)-531</f>
        <v>40743</v>
      </c>
    </row>
    <row r="5397">
      <c r="G5397" s="12">
        <f t="shared" si="900"/>
        <v>40743</v>
      </c>
    </row>
    <row r="5398">
      <c r="G5398" s="12">
        <f t="shared" si="900"/>
        <v>40743</v>
      </c>
    </row>
    <row r="5399">
      <c r="G5399" s="12">
        <f t="shared" si="900"/>
        <v>40743</v>
      </c>
    </row>
    <row r="5400">
      <c r="G5400" s="12">
        <f>DATE(2012,12,31)-530</f>
        <v>40744</v>
      </c>
    </row>
    <row r="5401">
      <c r="G5401" s="12">
        <f t="shared" ref="G5401:G5406" si="901">DATE(2012,12,31)-529</f>
        <v>40745</v>
      </c>
    </row>
    <row r="5402">
      <c r="G5402" s="12">
        <f t="shared" si="901"/>
        <v>40745</v>
      </c>
    </row>
    <row r="5403">
      <c r="G5403" s="12">
        <f t="shared" si="901"/>
        <v>40745</v>
      </c>
    </row>
    <row r="5404">
      <c r="G5404" s="12">
        <f t="shared" si="901"/>
        <v>40745</v>
      </c>
    </row>
    <row r="5405">
      <c r="G5405" s="12">
        <f t="shared" si="901"/>
        <v>40745</v>
      </c>
    </row>
    <row r="5406">
      <c r="G5406" s="12">
        <f t="shared" si="901"/>
        <v>40745</v>
      </c>
    </row>
    <row r="5407">
      <c r="G5407" s="12">
        <f t="shared" ref="G5407:G5412" si="902">DATE(2012,12,31)-528</f>
        <v>40746</v>
      </c>
    </row>
    <row r="5408">
      <c r="G5408" s="12">
        <f t="shared" si="902"/>
        <v>40746</v>
      </c>
    </row>
    <row r="5409">
      <c r="G5409" s="12">
        <f t="shared" si="902"/>
        <v>40746</v>
      </c>
    </row>
    <row r="5410">
      <c r="G5410" s="12">
        <f t="shared" si="902"/>
        <v>40746</v>
      </c>
    </row>
    <row r="5411">
      <c r="G5411" s="12">
        <f t="shared" si="902"/>
        <v>40746</v>
      </c>
    </row>
    <row r="5412">
      <c r="G5412" s="12">
        <f t="shared" si="902"/>
        <v>40746</v>
      </c>
    </row>
    <row r="5413">
      <c r="G5413" s="12">
        <f t="shared" ref="G5413:G5420" si="903">DATE(2012,12,31)-527</f>
        <v>40747</v>
      </c>
    </row>
    <row r="5414">
      <c r="G5414" s="12">
        <f t="shared" si="903"/>
        <v>40747</v>
      </c>
    </row>
    <row r="5415">
      <c r="G5415" s="12">
        <f t="shared" si="903"/>
        <v>40747</v>
      </c>
    </row>
    <row r="5416">
      <c r="G5416" s="12">
        <f t="shared" si="903"/>
        <v>40747</v>
      </c>
    </row>
    <row r="5417">
      <c r="G5417" s="12">
        <f t="shared" si="903"/>
        <v>40747</v>
      </c>
    </row>
    <row r="5418">
      <c r="G5418" s="12">
        <f t="shared" si="903"/>
        <v>40747</v>
      </c>
    </row>
    <row r="5419">
      <c r="G5419" s="12">
        <f t="shared" si="903"/>
        <v>40747</v>
      </c>
    </row>
    <row r="5420">
      <c r="G5420" s="12">
        <f t="shared" si="903"/>
        <v>40747</v>
      </c>
    </row>
    <row r="5421">
      <c r="G5421" s="12">
        <f t="shared" ref="G5421:G5425" si="904">DATE(2012,12,31)-526</f>
        <v>40748</v>
      </c>
    </row>
    <row r="5422">
      <c r="G5422" s="12">
        <f t="shared" si="904"/>
        <v>40748</v>
      </c>
    </row>
    <row r="5423">
      <c r="G5423" s="12">
        <f t="shared" si="904"/>
        <v>40748</v>
      </c>
    </row>
    <row r="5424">
      <c r="G5424" s="12">
        <f t="shared" si="904"/>
        <v>40748</v>
      </c>
    </row>
    <row r="5425">
      <c r="G5425" s="12">
        <f t="shared" si="904"/>
        <v>40748</v>
      </c>
    </row>
    <row r="5426">
      <c r="G5426" s="12">
        <f t="shared" ref="G5426:G5435" si="905">DATE(2012,12,31)-525</f>
        <v>40749</v>
      </c>
    </row>
    <row r="5427">
      <c r="G5427" s="12">
        <f t="shared" si="905"/>
        <v>40749</v>
      </c>
    </row>
    <row r="5428">
      <c r="G5428" s="12">
        <f t="shared" si="905"/>
        <v>40749</v>
      </c>
    </row>
    <row r="5429">
      <c r="G5429" s="12">
        <f t="shared" si="905"/>
        <v>40749</v>
      </c>
    </row>
    <row r="5430">
      <c r="G5430" s="12">
        <f t="shared" si="905"/>
        <v>40749</v>
      </c>
    </row>
    <row r="5431">
      <c r="G5431" s="12">
        <f t="shared" si="905"/>
        <v>40749</v>
      </c>
    </row>
    <row r="5432">
      <c r="G5432" s="12">
        <f t="shared" si="905"/>
        <v>40749</v>
      </c>
    </row>
    <row r="5433">
      <c r="G5433" s="12">
        <f t="shared" si="905"/>
        <v>40749</v>
      </c>
    </row>
    <row r="5434">
      <c r="G5434" s="12">
        <f t="shared" si="905"/>
        <v>40749</v>
      </c>
    </row>
    <row r="5435">
      <c r="G5435" s="12">
        <f t="shared" si="905"/>
        <v>40749</v>
      </c>
    </row>
    <row r="5436">
      <c r="G5436" s="12">
        <f t="shared" ref="G5436:G5438" si="906">DATE(2012,12,31)-524</f>
        <v>40750</v>
      </c>
    </row>
    <row r="5437">
      <c r="G5437" s="12">
        <f t="shared" si="906"/>
        <v>40750</v>
      </c>
    </row>
    <row r="5438">
      <c r="G5438" s="12">
        <f t="shared" si="906"/>
        <v>40750</v>
      </c>
    </row>
    <row r="5439">
      <c r="G5439" s="12">
        <f t="shared" ref="G5439:G5448" si="907">DATE(2012,12,31)-523</f>
        <v>40751</v>
      </c>
    </row>
    <row r="5440">
      <c r="G5440" s="12">
        <f t="shared" si="907"/>
        <v>40751</v>
      </c>
    </row>
    <row r="5441">
      <c r="G5441" s="12">
        <f t="shared" si="907"/>
        <v>40751</v>
      </c>
    </row>
    <row r="5442">
      <c r="G5442" s="12">
        <f t="shared" si="907"/>
        <v>40751</v>
      </c>
    </row>
    <row r="5443">
      <c r="G5443" s="12">
        <f t="shared" si="907"/>
        <v>40751</v>
      </c>
    </row>
    <row r="5444">
      <c r="G5444" s="12">
        <f t="shared" si="907"/>
        <v>40751</v>
      </c>
    </row>
    <row r="5445">
      <c r="G5445" s="12">
        <f t="shared" si="907"/>
        <v>40751</v>
      </c>
    </row>
    <row r="5446">
      <c r="G5446" s="12">
        <f t="shared" si="907"/>
        <v>40751</v>
      </c>
    </row>
    <row r="5447">
      <c r="G5447" s="12">
        <f t="shared" si="907"/>
        <v>40751</v>
      </c>
    </row>
    <row r="5448">
      <c r="G5448" s="12">
        <f t="shared" si="907"/>
        <v>40751</v>
      </c>
    </row>
    <row r="5449">
      <c r="G5449" s="12">
        <f t="shared" ref="G5449:G5452" si="908">DATE(2012,12,31)-522</f>
        <v>40752</v>
      </c>
    </row>
    <row r="5450">
      <c r="G5450" s="12">
        <f t="shared" si="908"/>
        <v>40752</v>
      </c>
    </row>
    <row r="5451">
      <c r="G5451" s="12">
        <f t="shared" si="908"/>
        <v>40752</v>
      </c>
    </row>
    <row r="5452">
      <c r="G5452" s="12">
        <f t="shared" si="908"/>
        <v>40752</v>
      </c>
    </row>
    <row r="5453">
      <c r="G5453" s="12">
        <f t="shared" ref="G5453:G5455" si="909">DATE(2012,12,31)-521</f>
        <v>40753</v>
      </c>
    </row>
    <row r="5454">
      <c r="G5454" s="12">
        <f t="shared" si="909"/>
        <v>40753</v>
      </c>
    </row>
    <row r="5455">
      <c r="G5455" s="12">
        <f t="shared" si="909"/>
        <v>40753</v>
      </c>
    </row>
    <row r="5456">
      <c r="G5456" s="12">
        <f t="shared" ref="G5456:G5460" si="910">DATE(2012,12,31)-520</f>
        <v>40754</v>
      </c>
    </row>
    <row r="5457">
      <c r="G5457" s="12">
        <f t="shared" si="910"/>
        <v>40754</v>
      </c>
    </row>
    <row r="5458">
      <c r="G5458" s="12">
        <f t="shared" si="910"/>
        <v>40754</v>
      </c>
    </row>
    <row r="5459">
      <c r="G5459" s="12">
        <f t="shared" si="910"/>
        <v>40754</v>
      </c>
    </row>
    <row r="5460">
      <c r="G5460" s="12">
        <f t="shared" si="910"/>
        <v>40754</v>
      </c>
    </row>
    <row r="5461">
      <c r="G5461" s="12">
        <f t="shared" ref="G5461:G5464" si="911">DATE(2012,12,31)-519</f>
        <v>40755</v>
      </c>
    </row>
    <row r="5462">
      <c r="G5462" s="12">
        <f t="shared" si="911"/>
        <v>40755</v>
      </c>
    </row>
    <row r="5463">
      <c r="G5463" s="12">
        <f t="shared" si="911"/>
        <v>40755</v>
      </c>
    </row>
    <row r="5464">
      <c r="G5464" s="12">
        <f t="shared" si="911"/>
        <v>40755</v>
      </c>
    </row>
    <row r="5465">
      <c r="G5465" s="12">
        <f t="shared" ref="G5465:G5466" si="912">DATE(2012,12,31)-518</f>
        <v>40756</v>
      </c>
    </row>
    <row r="5466">
      <c r="G5466" s="12">
        <f t="shared" si="912"/>
        <v>40756</v>
      </c>
    </row>
    <row r="5467">
      <c r="G5467" s="12">
        <f t="shared" ref="G5467:G5470" si="913">DATE(2012,12,31)-517</f>
        <v>40757</v>
      </c>
    </row>
    <row r="5468">
      <c r="G5468" s="12">
        <f t="shared" si="913"/>
        <v>40757</v>
      </c>
    </row>
    <row r="5469">
      <c r="G5469" s="12">
        <f t="shared" si="913"/>
        <v>40757</v>
      </c>
    </row>
    <row r="5470">
      <c r="G5470" s="12">
        <f t="shared" si="913"/>
        <v>40757</v>
      </c>
    </row>
    <row r="5471">
      <c r="G5471" s="12">
        <f t="shared" ref="G5471:G5475" si="914">DATE(2012,12,31)-516</f>
        <v>40758</v>
      </c>
    </row>
    <row r="5472">
      <c r="G5472" s="12">
        <f t="shared" si="914"/>
        <v>40758</v>
      </c>
    </row>
    <row r="5473">
      <c r="G5473" s="12">
        <f t="shared" si="914"/>
        <v>40758</v>
      </c>
    </row>
    <row r="5474">
      <c r="G5474" s="12">
        <f t="shared" si="914"/>
        <v>40758</v>
      </c>
    </row>
    <row r="5475">
      <c r="G5475" s="12">
        <f t="shared" si="914"/>
        <v>40758</v>
      </c>
    </row>
    <row r="5476">
      <c r="G5476" s="12">
        <f t="shared" ref="G5476:G5479" si="915">DATE(2012,12,31)-515</f>
        <v>40759</v>
      </c>
    </row>
    <row r="5477">
      <c r="G5477" s="12">
        <f t="shared" si="915"/>
        <v>40759</v>
      </c>
    </row>
    <row r="5478">
      <c r="G5478" s="12">
        <f t="shared" si="915"/>
        <v>40759</v>
      </c>
    </row>
    <row r="5479">
      <c r="G5479" s="12">
        <f t="shared" si="915"/>
        <v>40759</v>
      </c>
    </row>
    <row r="5480">
      <c r="G5480" s="12">
        <f t="shared" ref="G5480:G5482" si="916">DATE(2012,12,31)-514</f>
        <v>40760</v>
      </c>
    </row>
    <row r="5481">
      <c r="G5481" s="12">
        <f t="shared" si="916"/>
        <v>40760</v>
      </c>
    </row>
    <row r="5482">
      <c r="G5482" s="12">
        <f t="shared" si="916"/>
        <v>40760</v>
      </c>
    </row>
    <row r="5483">
      <c r="G5483" s="12">
        <f t="shared" ref="G5483:G5485" si="917">DATE(2012,12,31)-513</f>
        <v>40761</v>
      </c>
    </row>
    <row r="5484">
      <c r="G5484" s="12">
        <f t="shared" si="917"/>
        <v>40761</v>
      </c>
    </row>
    <row r="5485">
      <c r="G5485" s="12">
        <f t="shared" si="917"/>
        <v>40761</v>
      </c>
    </row>
    <row r="5486">
      <c r="G5486" s="12">
        <f t="shared" ref="G5486:G5491" si="918">DATE(2012,12,31)-512</f>
        <v>40762</v>
      </c>
    </row>
    <row r="5487">
      <c r="G5487" s="12">
        <f t="shared" si="918"/>
        <v>40762</v>
      </c>
    </row>
    <row r="5488">
      <c r="G5488" s="12">
        <f t="shared" si="918"/>
        <v>40762</v>
      </c>
    </row>
    <row r="5489">
      <c r="G5489" s="12">
        <f t="shared" si="918"/>
        <v>40762</v>
      </c>
    </row>
    <row r="5490">
      <c r="G5490" s="12">
        <f t="shared" si="918"/>
        <v>40762</v>
      </c>
    </row>
    <row r="5491">
      <c r="G5491" s="12">
        <f t="shared" si="918"/>
        <v>40762</v>
      </c>
    </row>
    <row r="5492">
      <c r="G5492" s="12">
        <f t="shared" ref="G5492:G5498" si="919">DATE(2012,12,31)-511</f>
        <v>40763</v>
      </c>
    </row>
    <row r="5493">
      <c r="G5493" s="12">
        <f t="shared" si="919"/>
        <v>40763</v>
      </c>
    </row>
    <row r="5494">
      <c r="G5494" s="12">
        <f t="shared" si="919"/>
        <v>40763</v>
      </c>
    </row>
    <row r="5495">
      <c r="G5495" s="12">
        <f t="shared" si="919"/>
        <v>40763</v>
      </c>
    </row>
    <row r="5496">
      <c r="G5496" s="12">
        <f t="shared" si="919"/>
        <v>40763</v>
      </c>
    </row>
    <row r="5497">
      <c r="G5497" s="12">
        <f t="shared" si="919"/>
        <v>40763</v>
      </c>
    </row>
    <row r="5498">
      <c r="G5498" s="12">
        <f t="shared" si="919"/>
        <v>40763</v>
      </c>
    </row>
    <row r="5499">
      <c r="G5499" s="12">
        <f t="shared" ref="G5499:G5504" si="920">DATE(2012,12,31)-510</f>
        <v>40764</v>
      </c>
    </row>
    <row r="5500">
      <c r="G5500" s="12">
        <f t="shared" si="920"/>
        <v>40764</v>
      </c>
    </row>
    <row r="5501">
      <c r="G5501" s="12">
        <f t="shared" si="920"/>
        <v>40764</v>
      </c>
    </row>
    <row r="5502">
      <c r="G5502" s="12">
        <f t="shared" si="920"/>
        <v>40764</v>
      </c>
    </row>
    <row r="5503">
      <c r="G5503" s="12">
        <f t="shared" si="920"/>
        <v>40764</v>
      </c>
    </row>
    <row r="5504">
      <c r="G5504" s="12">
        <f t="shared" si="920"/>
        <v>40764</v>
      </c>
    </row>
    <row r="5505">
      <c r="G5505" s="12">
        <f t="shared" ref="G5505:G5511" si="921">DATE(2012,12,31)-509</f>
        <v>40765</v>
      </c>
    </row>
    <row r="5506">
      <c r="G5506" s="12">
        <f t="shared" si="921"/>
        <v>40765</v>
      </c>
    </row>
    <row r="5507">
      <c r="G5507" s="12">
        <f t="shared" si="921"/>
        <v>40765</v>
      </c>
    </row>
    <row r="5508">
      <c r="G5508" s="12">
        <f t="shared" si="921"/>
        <v>40765</v>
      </c>
    </row>
    <row r="5509">
      <c r="G5509" s="12">
        <f t="shared" si="921"/>
        <v>40765</v>
      </c>
    </row>
    <row r="5510">
      <c r="G5510" s="12">
        <f t="shared" si="921"/>
        <v>40765</v>
      </c>
    </row>
    <row r="5511">
      <c r="G5511" s="12">
        <f t="shared" si="921"/>
        <v>40765</v>
      </c>
    </row>
    <row r="5512">
      <c r="G5512" s="12">
        <f t="shared" ref="G5512:G5517" si="922">DATE(2012,12,31)-508</f>
        <v>40766</v>
      </c>
    </row>
    <row r="5513">
      <c r="G5513" s="12">
        <f t="shared" si="922"/>
        <v>40766</v>
      </c>
    </row>
    <row r="5514">
      <c r="G5514" s="12">
        <f t="shared" si="922"/>
        <v>40766</v>
      </c>
    </row>
    <row r="5515">
      <c r="G5515" s="12">
        <f t="shared" si="922"/>
        <v>40766</v>
      </c>
    </row>
    <row r="5516">
      <c r="G5516" s="12">
        <f t="shared" si="922"/>
        <v>40766</v>
      </c>
    </row>
    <row r="5517">
      <c r="G5517" s="12">
        <f t="shared" si="922"/>
        <v>40766</v>
      </c>
    </row>
    <row r="5518">
      <c r="G5518" s="12">
        <f t="shared" ref="G5518:G5520" si="923">DATE(2012,12,31)-507</f>
        <v>40767</v>
      </c>
    </row>
    <row r="5519">
      <c r="G5519" s="12">
        <f t="shared" si="923"/>
        <v>40767</v>
      </c>
    </row>
    <row r="5520">
      <c r="G5520" s="12">
        <f t="shared" si="923"/>
        <v>40767</v>
      </c>
    </row>
    <row r="5521">
      <c r="G5521" s="12">
        <f t="shared" ref="G5521:G5523" si="924">DATE(2012,12,31)-506</f>
        <v>40768</v>
      </c>
    </row>
    <row r="5522">
      <c r="G5522" s="12">
        <f t="shared" si="924"/>
        <v>40768</v>
      </c>
    </row>
    <row r="5523">
      <c r="G5523" s="12">
        <f t="shared" si="924"/>
        <v>40768</v>
      </c>
    </row>
    <row r="5524">
      <c r="G5524" s="12">
        <f t="shared" ref="G5524:G5528" si="925">DATE(2012,12,31)-505</f>
        <v>40769</v>
      </c>
    </row>
    <row r="5525">
      <c r="G5525" s="12">
        <f t="shared" si="925"/>
        <v>40769</v>
      </c>
    </row>
    <row r="5526">
      <c r="G5526" s="12">
        <f t="shared" si="925"/>
        <v>40769</v>
      </c>
    </row>
    <row r="5527">
      <c r="G5527" s="12">
        <f t="shared" si="925"/>
        <v>40769</v>
      </c>
    </row>
    <row r="5528">
      <c r="G5528" s="12">
        <f t="shared" si="925"/>
        <v>40769</v>
      </c>
    </row>
    <row r="5529">
      <c r="G5529" s="12">
        <f t="shared" ref="G5529:G5531" si="926">DATE(2012,12,31)-504</f>
        <v>40770</v>
      </c>
    </row>
    <row r="5530">
      <c r="G5530" s="12">
        <f t="shared" si="926"/>
        <v>40770</v>
      </c>
    </row>
    <row r="5531">
      <c r="G5531" s="12">
        <f t="shared" si="926"/>
        <v>40770</v>
      </c>
    </row>
    <row r="5532">
      <c r="G5532" s="12">
        <f t="shared" ref="G5532:G5536" si="927">DATE(2012,12,31)-503</f>
        <v>40771</v>
      </c>
    </row>
    <row r="5533">
      <c r="G5533" s="12">
        <f t="shared" si="927"/>
        <v>40771</v>
      </c>
    </row>
    <row r="5534">
      <c r="G5534" s="12">
        <f t="shared" si="927"/>
        <v>40771</v>
      </c>
    </row>
    <row r="5535">
      <c r="G5535" s="12">
        <f t="shared" si="927"/>
        <v>40771</v>
      </c>
    </row>
    <row r="5536">
      <c r="G5536" s="12">
        <f t="shared" si="927"/>
        <v>40771</v>
      </c>
    </row>
    <row r="5537">
      <c r="G5537" s="12">
        <f t="shared" ref="G5537:G5543" si="928">DATE(2012,12,31)-502</f>
        <v>40772</v>
      </c>
    </row>
    <row r="5538">
      <c r="G5538" s="12">
        <f t="shared" si="928"/>
        <v>40772</v>
      </c>
    </row>
    <row r="5539">
      <c r="G5539" s="12">
        <f t="shared" si="928"/>
        <v>40772</v>
      </c>
    </row>
    <row r="5540">
      <c r="G5540" s="12">
        <f t="shared" si="928"/>
        <v>40772</v>
      </c>
    </row>
    <row r="5541">
      <c r="G5541" s="12">
        <f t="shared" si="928"/>
        <v>40772</v>
      </c>
    </row>
    <row r="5542">
      <c r="G5542" s="12">
        <f t="shared" si="928"/>
        <v>40772</v>
      </c>
    </row>
    <row r="5543">
      <c r="G5543" s="12">
        <f t="shared" si="928"/>
        <v>40772</v>
      </c>
    </row>
    <row r="5544">
      <c r="G5544" s="12">
        <f t="shared" ref="G5544:G5546" si="929">DATE(2012,12,31)-501</f>
        <v>40773</v>
      </c>
    </row>
    <row r="5545">
      <c r="G5545" s="12">
        <f t="shared" si="929"/>
        <v>40773</v>
      </c>
    </row>
    <row r="5546">
      <c r="G5546" s="12">
        <f t="shared" si="929"/>
        <v>40773</v>
      </c>
    </row>
    <row r="5547">
      <c r="G5547" s="12">
        <f t="shared" ref="G5547:G5550" si="930">DATE(2012,12,31)-500</f>
        <v>40774</v>
      </c>
    </row>
    <row r="5548">
      <c r="G5548" s="12">
        <f t="shared" si="930"/>
        <v>40774</v>
      </c>
    </row>
    <row r="5549">
      <c r="G5549" s="12">
        <f t="shared" si="930"/>
        <v>40774</v>
      </c>
    </row>
    <row r="5550">
      <c r="G5550" s="12">
        <f t="shared" si="930"/>
        <v>40774</v>
      </c>
    </row>
    <row r="5551">
      <c r="G5551" s="12">
        <f t="shared" ref="G5551:G5559" si="931">DATE(2012,12,31)-499</f>
        <v>40775</v>
      </c>
    </row>
    <row r="5552">
      <c r="G5552" s="12">
        <f t="shared" si="931"/>
        <v>40775</v>
      </c>
    </row>
    <row r="5553">
      <c r="G5553" s="12">
        <f t="shared" si="931"/>
        <v>40775</v>
      </c>
    </row>
    <row r="5554">
      <c r="G5554" s="12">
        <f t="shared" si="931"/>
        <v>40775</v>
      </c>
    </row>
    <row r="5555">
      <c r="G5555" s="12">
        <f t="shared" si="931"/>
        <v>40775</v>
      </c>
    </row>
    <row r="5556">
      <c r="G5556" s="12">
        <f t="shared" si="931"/>
        <v>40775</v>
      </c>
    </row>
    <row r="5557">
      <c r="G5557" s="12">
        <f t="shared" si="931"/>
        <v>40775</v>
      </c>
    </row>
    <row r="5558">
      <c r="G5558" s="12">
        <f t="shared" si="931"/>
        <v>40775</v>
      </c>
    </row>
    <row r="5559">
      <c r="G5559" s="12">
        <f t="shared" si="931"/>
        <v>40775</v>
      </c>
    </row>
    <row r="5560">
      <c r="G5560" s="12">
        <f t="shared" ref="G5560:G5570" si="932">DATE(2012,12,31)-498</f>
        <v>40776</v>
      </c>
    </row>
    <row r="5561">
      <c r="G5561" s="12">
        <f t="shared" si="932"/>
        <v>40776</v>
      </c>
    </row>
    <row r="5562">
      <c r="G5562" s="12">
        <f t="shared" si="932"/>
        <v>40776</v>
      </c>
    </row>
    <row r="5563">
      <c r="G5563" s="12">
        <f t="shared" si="932"/>
        <v>40776</v>
      </c>
    </row>
    <row r="5564">
      <c r="G5564" s="12">
        <f t="shared" si="932"/>
        <v>40776</v>
      </c>
    </row>
    <row r="5565">
      <c r="G5565" s="12">
        <f t="shared" si="932"/>
        <v>40776</v>
      </c>
    </row>
    <row r="5566">
      <c r="G5566" s="12">
        <f t="shared" si="932"/>
        <v>40776</v>
      </c>
    </row>
    <row r="5567">
      <c r="G5567" s="12">
        <f t="shared" si="932"/>
        <v>40776</v>
      </c>
    </row>
    <row r="5568">
      <c r="G5568" s="12">
        <f t="shared" si="932"/>
        <v>40776</v>
      </c>
    </row>
    <row r="5569">
      <c r="G5569" s="12">
        <f t="shared" si="932"/>
        <v>40776</v>
      </c>
    </row>
    <row r="5570">
      <c r="G5570" s="12">
        <f t="shared" si="932"/>
        <v>40776</v>
      </c>
    </row>
    <row r="5571">
      <c r="G5571" s="12">
        <f t="shared" ref="G5571:G5572" si="933">DATE(2012,12,31)-497</f>
        <v>40777</v>
      </c>
    </row>
    <row r="5572">
      <c r="G5572" s="12">
        <f t="shared" si="933"/>
        <v>40777</v>
      </c>
    </row>
    <row r="5573">
      <c r="G5573" s="12">
        <f t="shared" ref="G5573:G5579" si="934">DATE(2012,12,31)-496</f>
        <v>40778</v>
      </c>
    </row>
    <row r="5574">
      <c r="G5574" s="12">
        <f t="shared" si="934"/>
        <v>40778</v>
      </c>
    </row>
    <row r="5575">
      <c r="G5575" s="12">
        <f t="shared" si="934"/>
        <v>40778</v>
      </c>
    </row>
    <row r="5576">
      <c r="G5576" s="12">
        <f t="shared" si="934"/>
        <v>40778</v>
      </c>
    </row>
    <row r="5577">
      <c r="G5577" s="12">
        <f t="shared" si="934"/>
        <v>40778</v>
      </c>
    </row>
    <row r="5578">
      <c r="G5578" s="12">
        <f t="shared" si="934"/>
        <v>40778</v>
      </c>
    </row>
    <row r="5579">
      <c r="G5579" s="12">
        <f t="shared" si="934"/>
        <v>40778</v>
      </c>
    </row>
    <row r="5580">
      <c r="G5580" s="12">
        <f t="shared" ref="G5580:G5582" si="935">DATE(2012,12,31)-495</f>
        <v>40779</v>
      </c>
    </row>
    <row r="5581">
      <c r="G5581" s="12">
        <f t="shared" si="935"/>
        <v>40779</v>
      </c>
    </row>
    <row r="5582">
      <c r="G5582" s="12">
        <f t="shared" si="935"/>
        <v>40779</v>
      </c>
    </row>
    <row r="5583">
      <c r="G5583" s="12">
        <f t="shared" ref="G5583:G5592" si="936">DATE(2012,12,31)-494</f>
        <v>40780</v>
      </c>
    </row>
    <row r="5584">
      <c r="G5584" s="12">
        <f t="shared" si="936"/>
        <v>40780</v>
      </c>
    </row>
    <row r="5585">
      <c r="G5585" s="12">
        <f t="shared" si="936"/>
        <v>40780</v>
      </c>
    </row>
    <row r="5586">
      <c r="G5586" s="12">
        <f t="shared" si="936"/>
        <v>40780</v>
      </c>
    </row>
    <row r="5587">
      <c r="G5587" s="12">
        <f t="shared" si="936"/>
        <v>40780</v>
      </c>
    </row>
    <row r="5588">
      <c r="G5588" s="12">
        <f t="shared" si="936"/>
        <v>40780</v>
      </c>
    </row>
    <row r="5589">
      <c r="G5589" s="12">
        <f t="shared" si="936"/>
        <v>40780</v>
      </c>
    </row>
    <row r="5590">
      <c r="G5590" s="12">
        <f t="shared" si="936"/>
        <v>40780</v>
      </c>
    </row>
    <row r="5591">
      <c r="G5591" s="12">
        <f t="shared" si="936"/>
        <v>40780</v>
      </c>
    </row>
    <row r="5592">
      <c r="G5592" s="12">
        <f t="shared" si="936"/>
        <v>40780</v>
      </c>
    </row>
    <row r="5593">
      <c r="G5593" s="12">
        <f t="shared" ref="G5593:G5597" si="937">DATE(2012,12,31)-493</f>
        <v>40781</v>
      </c>
    </row>
    <row r="5594">
      <c r="G5594" s="12">
        <f t="shared" si="937"/>
        <v>40781</v>
      </c>
    </row>
    <row r="5595">
      <c r="G5595" s="12">
        <f t="shared" si="937"/>
        <v>40781</v>
      </c>
    </row>
    <row r="5596">
      <c r="G5596" s="12">
        <f t="shared" si="937"/>
        <v>40781</v>
      </c>
    </row>
    <row r="5597">
      <c r="G5597" s="12">
        <f t="shared" si="937"/>
        <v>40781</v>
      </c>
    </row>
    <row r="5598">
      <c r="G5598" s="12">
        <f t="shared" ref="G5598:G5602" si="938">DATE(2012,12,31)-491</f>
        <v>40783</v>
      </c>
    </row>
    <row r="5599">
      <c r="G5599" s="12">
        <f t="shared" si="938"/>
        <v>40783</v>
      </c>
    </row>
    <row r="5600">
      <c r="G5600" s="12">
        <f t="shared" si="938"/>
        <v>40783</v>
      </c>
    </row>
    <row r="5601">
      <c r="G5601" s="12">
        <f t="shared" si="938"/>
        <v>40783</v>
      </c>
    </row>
    <row r="5602">
      <c r="G5602" s="12">
        <f t="shared" si="938"/>
        <v>40783</v>
      </c>
    </row>
    <row r="5603">
      <c r="G5603" s="12">
        <f t="shared" ref="G5603:G5606" si="939">DATE(2012,12,31)-489</f>
        <v>40785</v>
      </c>
    </row>
    <row r="5604">
      <c r="G5604" s="12">
        <f t="shared" si="939"/>
        <v>40785</v>
      </c>
    </row>
    <row r="5605">
      <c r="G5605" s="12">
        <f t="shared" si="939"/>
        <v>40785</v>
      </c>
    </row>
    <row r="5606">
      <c r="G5606" s="12">
        <f t="shared" si="939"/>
        <v>40785</v>
      </c>
    </row>
    <row r="5607">
      <c r="G5607" s="12">
        <f t="shared" ref="G5607:G5614" si="940">DATE(2012,12,31)-488</f>
        <v>40786</v>
      </c>
    </row>
    <row r="5608">
      <c r="G5608" s="12">
        <f t="shared" si="940"/>
        <v>40786</v>
      </c>
    </row>
    <row r="5609">
      <c r="G5609" s="12">
        <f t="shared" si="940"/>
        <v>40786</v>
      </c>
    </row>
    <row r="5610">
      <c r="G5610" s="12">
        <f t="shared" si="940"/>
        <v>40786</v>
      </c>
    </row>
    <row r="5611">
      <c r="G5611" s="12">
        <f t="shared" si="940"/>
        <v>40786</v>
      </c>
    </row>
    <row r="5612">
      <c r="G5612" s="12">
        <f t="shared" si="940"/>
        <v>40786</v>
      </c>
    </row>
    <row r="5613">
      <c r="G5613" s="12">
        <f t="shared" si="940"/>
        <v>40786</v>
      </c>
    </row>
    <row r="5614">
      <c r="G5614" s="12">
        <f t="shared" si="940"/>
        <v>40786</v>
      </c>
    </row>
    <row r="5615">
      <c r="G5615" s="12">
        <f t="shared" ref="G5615:G5616" si="941">DATE(2012,12,31)-487</f>
        <v>40787</v>
      </c>
    </row>
    <row r="5616">
      <c r="G5616" s="12">
        <f t="shared" si="941"/>
        <v>40787</v>
      </c>
    </row>
    <row r="5617">
      <c r="G5617" s="12">
        <f t="shared" ref="G5617:G5622" si="942">DATE(2012,12,31)-486</f>
        <v>40788</v>
      </c>
    </row>
    <row r="5618">
      <c r="G5618" s="12">
        <f t="shared" si="942"/>
        <v>40788</v>
      </c>
    </row>
    <row r="5619">
      <c r="G5619" s="12">
        <f t="shared" si="942"/>
        <v>40788</v>
      </c>
    </row>
    <row r="5620">
      <c r="G5620" s="12">
        <f t="shared" si="942"/>
        <v>40788</v>
      </c>
    </row>
    <row r="5621">
      <c r="G5621" s="12">
        <f t="shared" si="942"/>
        <v>40788</v>
      </c>
    </row>
    <row r="5622">
      <c r="G5622" s="12">
        <f t="shared" si="942"/>
        <v>40788</v>
      </c>
    </row>
    <row r="5623">
      <c r="G5623" s="12">
        <f t="shared" ref="G5623:G5631" si="943">DATE(2012,12,31)-485</f>
        <v>40789</v>
      </c>
    </row>
    <row r="5624">
      <c r="G5624" s="12">
        <f t="shared" si="943"/>
        <v>40789</v>
      </c>
    </row>
    <row r="5625">
      <c r="G5625" s="12">
        <f t="shared" si="943"/>
        <v>40789</v>
      </c>
    </row>
    <row r="5626">
      <c r="G5626" s="12">
        <f t="shared" si="943"/>
        <v>40789</v>
      </c>
    </row>
    <row r="5627">
      <c r="G5627" s="12">
        <f t="shared" si="943"/>
        <v>40789</v>
      </c>
    </row>
    <row r="5628">
      <c r="G5628" s="12">
        <f t="shared" si="943"/>
        <v>40789</v>
      </c>
    </row>
    <row r="5629">
      <c r="G5629" s="12">
        <f t="shared" si="943"/>
        <v>40789</v>
      </c>
    </row>
    <row r="5630">
      <c r="G5630" s="12">
        <f t="shared" si="943"/>
        <v>40789</v>
      </c>
    </row>
    <row r="5631">
      <c r="G5631" s="12">
        <f t="shared" si="943"/>
        <v>40789</v>
      </c>
    </row>
    <row r="5632">
      <c r="G5632" s="12">
        <f t="shared" ref="G5632:G5639" si="944">DATE(2012,12,31)-484</f>
        <v>40790</v>
      </c>
    </row>
    <row r="5633">
      <c r="G5633" s="12">
        <f t="shared" si="944"/>
        <v>40790</v>
      </c>
    </row>
    <row r="5634">
      <c r="G5634" s="12">
        <f t="shared" si="944"/>
        <v>40790</v>
      </c>
    </row>
    <row r="5635">
      <c r="G5635" s="12">
        <f t="shared" si="944"/>
        <v>40790</v>
      </c>
    </row>
    <row r="5636">
      <c r="G5636" s="12">
        <f t="shared" si="944"/>
        <v>40790</v>
      </c>
    </row>
    <row r="5637">
      <c r="G5637" s="12">
        <f t="shared" si="944"/>
        <v>40790</v>
      </c>
    </row>
    <row r="5638">
      <c r="G5638" s="12">
        <f t="shared" si="944"/>
        <v>40790</v>
      </c>
    </row>
    <row r="5639">
      <c r="G5639" s="12">
        <f t="shared" si="944"/>
        <v>40790</v>
      </c>
    </row>
    <row r="5640">
      <c r="G5640" s="12">
        <f t="shared" ref="G5640:G5643" si="945">DATE(2012,12,31)-483</f>
        <v>40791</v>
      </c>
    </row>
    <row r="5641">
      <c r="G5641" s="12">
        <f t="shared" si="945"/>
        <v>40791</v>
      </c>
    </row>
    <row r="5642">
      <c r="G5642" s="12">
        <f t="shared" si="945"/>
        <v>40791</v>
      </c>
    </row>
    <row r="5643">
      <c r="G5643" s="12">
        <f t="shared" si="945"/>
        <v>40791</v>
      </c>
    </row>
    <row r="5644">
      <c r="G5644" s="12">
        <f t="shared" ref="G5644:G5647" si="946">DATE(2012,12,31)-482</f>
        <v>40792</v>
      </c>
    </row>
    <row r="5645">
      <c r="G5645" s="12">
        <f t="shared" si="946"/>
        <v>40792</v>
      </c>
    </row>
    <row r="5646">
      <c r="G5646" s="12">
        <f t="shared" si="946"/>
        <v>40792</v>
      </c>
    </row>
    <row r="5647">
      <c r="G5647" s="12">
        <f t="shared" si="946"/>
        <v>40792</v>
      </c>
    </row>
    <row r="5648">
      <c r="G5648" s="12">
        <f t="shared" ref="G5648:G5653" si="947">DATE(2012,12,31)-481</f>
        <v>40793</v>
      </c>
    </row>
    <row r="5649">
      <c r="G5649" s="12">
        <f t="shared" si="947"/>
        <v>40793</v>
      </c>
    </row>
    <row r="5650">
      <c r="G5650" s="12">
        <f t="shared" si="947"/>
        <v>40793</v>
      </c>
    </row>
    <row r="5651">
      <c r="G5651" s="12">
        <f t="shared" si="947"/>
        <v>40793</v>
      </c>
    </row>
    <row r="5652">
      <c r="G5652" s="12">
        <f t="shared" si="947"/>
        <v>40793</v>
      </c>
    </row>
    <row r="5653">
      <c r="G5653" s="12">
        <f t="shared" si="947"/>
        <v>40793</v>
      </c>
    </row>
    <row r="5654">
      <c r="G5654" s="12">
        <f t="shared" ref="G5654:G5660" si="948">DATE(2012,12,31)-480</f>
        <v>40794</v>
      </c>
    </row>
    <row r="5655">
      <c r="G5655" s="12">
        <f t="shared" si="948"/>
        <v>40794</v>
      </c>
    </row>
    <row r="5656">
      <c r="G5656" s="12">
        <f t="shared" si="948"/>
        <v>40794</v>
      </c>
    </row>
    <row r="5657">
      <c r="G5657" s="12">
        <f t="shared" si="948"/>
        <v>40794</v>
      </c>
    </row>
    <row r="5658">
      <c r="G5658" s="12">
        <f t="shared" si="948"/>
        <v>40794</v>
      </c>
    </row>
    <row r="5659">
      <c r="G5659" s="12">
        <f t="shared" si="948"/>
        <v>40794</v>
      </c>
    </row>
    <row r="5660">
      <c r="G5660" s="12">
        <f t="shared" si="948"/>
        <v>40794</v>
      </c>
    </row>
    <row r="5661">
      <c r="G5661" s="12">
        <f t="shared" ref="G5661:G5663" si="949">DATE(2012,12,31)-479</f>
        <v>40795</v>
      </c>
    </row>
    <row r="5662">
      <c r="G5662" s="12">
        <f t="shared" si="949"/>
        <v>40795</v>
      </c>
    </row>
    <row r="5663">
      <c r="G5663" s="12">
        <f t="shared" si="949"/>
        <v>40795</v>
      </c>
    </row>
    <row r="5664">
      <c r="G5664" s="12">
        <f t="shared" ref="G5664:G5670" si="950">DATE(2012,12,31)-478</f>
        <v>40796</v>
      </c>
    </row>
    <row r="5665">
      <c r="G5665" s="12">
        <f t="shared" si="950"/>
        <v>40796</v>
      </c>
    </row>
    <row r="5666">
      <c r="G5666" s="12">
        <f t="shared" si="950"/>
        <v>40796</v>
      </c>
    </row>
    <row r="5667">
      <c r="G5667" s="12">
        <f t="shared" si="950"/>
        <v>40796</v>
      </c>
    </row>
    <row r="5668">
      <c r="G5668" s="12">
        <f t="shared" si="950"/>
        <v>40796</v>
      </c>
    </row>
    <row r="5669">
      <c r="G5669" s="12">
        <f t="shared" si="950"/>
        <v>40796</v>
      </c>
    </row>
    <row r="5670">
      <c r="G5670" s="12">
        <f t="shared" si="950"/>
        <v>40796</v>
      </c>
    </row>
    <row r="5671">
      <c r="G5671" s="12">
        <f t="shared" ref="G5671:G5676" si="951">DATE(2012,12,31)-477</f>
        <v>40797</v>
      </c>
    </row>
    <row r="5672">
      <c r="G5672" s="12">
        <f t="shared" si="951"/>
        <v>40797</v>
      </c>
    </row>
    <row r="5673">
      <c r="G5673" s="12">
        <f t="shared" si="951"/>
        <v>40797</v>
      </c>
    </row>
    <row r="5674">
      <c r="G5674" s="12">
        <f t="shared" si="951"/>
        <v>40797</v>
      </c>
    </row>
    <row r="5675">
      <c r="G5675" s="12">
        <f t="shared" si="951"/>
        <v>40797</v>
      </c>
    </row>
    <row r="5676">
      <c r="G5676" s="12">
        <f t="shared" si="951"/>
        <v>40797</v>
      </c>
    </row>
    <row r="5677">
      <c r="G5677" s="12">
        <f t="shared" ref="G5677:G5686" si="952">DATE(2012,12,31)-476</f>
        <v>40798</v>
      </c>
    </row>
    <row r="5678">
      <c r="G5678" s="12">
        <f t="shared" si="952"/>
        <v>40798</v>
      </c>
    </row>
    <row r="5679">
      <c r="G5679" s="12">
        <f t="shared" si="952"/>
        <v>40798</v>
      </c>
    </row>
    <row r="5680">
      <c r="G5680" s="12">
        <f t="shared" si="952"/>
        <v>40798</v>
      </c>
    </row>
    <row r="5681">
      <c r="G5681" s="12">
        <f t="shared" si="952"/>
        <v>40798</v>
      </c>
    </row>
    <row r="5682">
      <c r="G5682" s="12">
        <f t="shared" si="952"/>
        <v>40798</v>
      </c>
    </row>
    <row r="5683">
      <c r="G5683" s="12">
        <f t="shared" si="952"/>
        <v>40798</v>
      </c>
    </row>
    <row r="5684">
      <c r="G5684" s="12">
        <f t="shared" si="952"/>
        <v>40798</v>
      </c>
    </row>
    <row r="5685">
      <c r="G5685" s="12">
        <f t="shared" si="952"/>
        <v>40798</v>
      </c>
    </row>
    <row r="5686">
      <c r="G5686" s="12">
        <f t="shared" si="952"/>
        <v>40798</v>
      </c>
    </row>
    <row r="5687">
      <c r="G5687" s="12">
        <f t="shared" ref="G5687:G5690" si="953">DATE(2012,12,31)-475</f>
        <v>40799</v>
      </c>
    </row>
    <row r="5688">
      <c r="G5688" s="12">
        <f t="shared" si="953"/>
        <v>40799</v>
      </c>
    </row>
    <row r="5689">
      <c r="G5689" s="12">
        <f t="shared" si="953"/>
        <v>40799</v>
      </c>
    </row>
    <row r="5690">
      <c r="G5690" s="12">
        <f t="shared" si="953"/>
        <v>40799</v>
      </c>
    </row>
    <row r="5691">
      <c r="G5691" s="12">
        <f t="shared" ref="G5691:G5692" si="954">DATE(2012,12,31)-474</f>
        <v>40800</v>
      </c>
    </row>
    <row r="5692">
      <c r="G5692" s="12">
        <f t="shared" si="954"/>
        <v>40800</v>
      </c>
    </row>
    <row r="5693">
      <c r="G5693" s="12">
        <f t="shared" ref="G5693:G5712" si="955">DATE(2012,12,31)-473</f>
        <v>40801</v>
      </c>
    </row>
    <row r="5694">
      <c r="G5694" s="12">
        <f t="shared" si="955"/>
        <v>40801</v>
      </c>
    </row>
    <row r="5695">
      <c r="G5695" s="12">
        <f t="shared" si="955"/>
        <v>40801</v>
      </c>
    </row>
    <row r="5696">
      <c r="G5696" s="12">
        <f t="shared" si="955"/>
        <v>40801</v>
      </c>
    </row>
    <row r="5697">
      <c r="G5697" s="12">
        <f t="shared" si="955"/>
        <v>40801</v>
      </c>
    </row>
    <row r="5698">
      <c r="G5698" s="12">
        <f t="shared" si="955"/>
        <v>40801</v>
      </c>
    </row>
    <row r="5699">
      <c r="G5699" s="12">
        <f t="shared" si="955"/>
        <v>40801</v>
      </c>
    </row>
    <row r="5700">
      <c r="G5700" s="12">
        <f t="shared" si="955"/>
        <v>40801</v>
      </c>
    </row>
    <row r="5701">
      <c r="G5701" s="12">
        <f t="shared" si="955"/>
        <v>40801</v>
      </c>
    </row>
    <row r="5702">
      <c r="G5702" s="12">
        <f t="shared" si="955"/>
        <v>40801</v>
      </c>
    </row>
    <row r="5703">
      <c r="G5703" s="12">
        <f t="shared" si="955"/>
        <v>40801</v>
      </c>
    </row>
    <row r="5704">
      <c r="G5704" s="12">
        <f t="shared" si="955"/>
        <v>40801</v>
      </c>
    </row>
    <row r="5705">
      <c r="G5705" s="12">
        <f t="shared" si="955"/>
        <v>40801</v>
      </c>
    </row>
    <row r="5706">
      <c r="G5706" s="12">
        <f t="shared" si="955"/>
        <v>40801</v>
      </c>
    </row>
    <row r="5707">
      <c r="G5707" s="12">
        <f t="shared" si="955"/>
        <v>40801</v>
      </c>
    </row>
    <row r="5708">
      <c r="G5708" s="12">
        <f t="shared" si="955"/>
        <v>40801</v>
      </c>
    </row>
    <row r="5709">
      <c r="G5709" s="12">
        <f t="shared" si="955"/>
        <v>40801</v>
      </c>
    </row>
    <row r="5710">
      <c r="G5710" s="12">
        <f t="shared" si="955"/>
        <v>40801</v>
      </c>
    </row>
    <row r="5711">
      <c r="G5711" s="12">
        <f t="shared" si="955"/>
        <v>40801</v>
      </c>
    </row>
    <row r="5712">
      <c r="G5712" s="12">
        <f t="shared" si="955"/>
        <v>40801</v>
      </c>
    </row>
    <row r="5713">
      <c r="G5713" s="12">
        <f>DATE(2012,12,31)-472</f>
        <v>40802</v>
      </c>
    </row>
    <row r="5714">
      <c r="G5714" s="12">
        <f>DATE(2012,12,31)-471</f>
        <v>40803</v>
      </c>
    </row>
    <row r="5715">
      <c r="G5715" s="12">
        <f>DATE(2012,12,31)-470</f>
        <v>40804</v>
      </c>
    </row>
    <row r="5716">
      <c r="G5716" s="12">
        <f t="shared" ref="G5716:G5723" si="956">DATE(2012,12,31)-469</f>
        <v>40805</v>
      </c>
    </row>
    <row r="5717">
      <c r="G5717" s="12">
        <f t="shared" si="956"/>
        <v>40805</v>
      </c>
    </row>
    <row r="5718">
      <c r="G5718" s="12">
        <f t="shared" si="956"/>
        <v>40805</v>
      </c>
    </row>
    <row r="5719">
      <c r="G5719" s="12">
        <f t="shared" si="956"/>
        <v>40805</v>
      </c>
    </row>
    <row r="5720">
      <c r="G5720" s="12">
        <f t="shared" si="956"/>
        <v>40805</v>
      </c>
    </row>
    <row r="5721">
      <c r="G5721" s="12">
        <f t="shared" si="956"/>
        <v>40805</v>
      </c>
    </row>
    <row r="5722">
      <c r="G5722" s="12">
        <f t="shared" si="956"/>
        <v>40805</v>
      </c>
    </row>
    <row r="5723">
      <c r="G5723" s="12">
        <f t="shared" si="956"/>
        <v>40805</v>
      </c>
    </row>
    <row r="5724">
      <c r="G5724" s="12">
        <f>DATE(2012,12,31)-468</f>
        <v>40806</v>
      </c>
    </row>
    <row r="5725">
      <c r="G5725" s="12">
        <f>DATE(2012,12,31)-467</f>
        <v>40807</v>
      </c>
    </row>
    <row r="5726">
      <c r="G5726" s="12">
        <f t="shared" ref="G5726:G5735" si="957">DATE(2012,12,31)-466</f>
        <v>40808</v>
      </c>
    </row>
    <row r="5727">
      <c r="G5727" s="12">
        <f t="shared" si="957"/>
        <v>40808</v>
      </c>
    </row>
    <row r="5728">
      <c r="G5728" s="12">
        <f t="shared" si="957"/>
        <v>40808</v>
      </c>
    </row>
    <row r="5729">
      <c r="G5729" s="12">
        <f t="shared" si="957"/>
        <v>40808</v>
      </c>
    </row>
    <row r="5730">
      <c r="G5730" s="12">
        <f t="shared" si="957"/>
        <v>40808</v>
      </c>
    </row>
    <row r="5731">
      <c r="G5731" s="12">
        <f t="shared" si="957"/>
        <v>40808</v>
      </c>
    </row>
    <row r="5732">
      <c r="G5732" s="12">
        <f t="shared" si="957"/>
        <v>40808</v>
      </c>
    </row>
    <row r="5733">
      <c r="G5733" s="12">
        <f t="shared" si="957"/>
        <v>40808</v>
      </c>
    </row>
    <row r="5734">
      <c r="G5734" s="12">
        <f t="shared" si="957"/>
        <v>40808</v>
      </c>
    </row>
    <row r="5735">
      <c r="G5735" s="12">
        <f t="shared" si="957"/>
        <v>40808</v>
      </c>
    </row>
    <row r="5736">
      <c r="G5736" s="12">
        <f t="shared" ref="G5736:G5742" si="958">DATE(2012,12,31)-465</f>
        <v>40809</v>
      </c>
    </row>
    <row r="5737">
      <c r="G5737" s="12">
        <f t="shared" si="958"/>
        <v>40809</v>
      </c>
    </row>
    <row r="5738">
      <c r="G5738" s="12">
        <f t="shared" si="958"/>
        <v>40809</v>
      </c>
    </row>
    <row r="5739">
      <c r="G5739" s="12">
        <f t="shared" si="958"/>
        <v>40809</v>
      </c>
    </row>
    <row r="5740">
      <c r="G5740" s="12">
        <f t="shared" si="958"/>
        <v>40809</v>
      </c>
    </row>
    <row r="5741">
      <c r="G5741" s="12">
        <f t="shared" si="958"/>
        <v>40809</v>
      </c>
    </row>
    <row r="5742">
      <c r="G5742" s="12">
        <f t="shared" si="958"/>
        <v>40809</v>
      </c>
    </row>
    <row r="5743">
      <c r="G5743" s="12">
        <f t="shared" ref="G5743:G5750" si="959">DATE(2012,12,31)-464</f>
        <v>40810</v>
      </c>
    </row>
    <row r="5744">
      <c r="G5744" s="12">
        <f t="shared" si="959"/>
        <v>40810</v>
      </c>
    </row>
    <row r="5745">
      <c r="G5745" s="12">
        <f t="shared" si="959"/>
        <v>40810</v>
      </c>
    </row>
    <row r="5746">
      <c r="G5746" s="12">
        <f t="shared" si="959"/>
        <v>40810</v>
      </c>
    </row>
    <row r="5747">
      <c r="G5747" s="12">
        <f t="shared" si="959"/>
        <v>40810</v>
      </c>
    </row>
    <row r="5748">
      <c r="G5748" s="12">
        <f t="shared" si="959"/>
        <v>40810</v>
      </c>
    </row>
    <row r="5749">
      <c r="G5749" s="12">
        <f t="shared" si="959"/>
        <v>40810</v>
      </c>
    </row>
    <row r="5750">
      <c r="G5750" s="12">
        <f t="shared" si="959"/>
        <v>40810</v>
      </c>
    </row>
    <row r="5751">
      <c r="G5751" s="12">
        <f t="shared" ref="G5751:G5754" si="960">DATE(2012,12,31)-463</f>
        <v>40811</v>
      </c>
    </row>
    <row r="5752">
      <c r="G5752" s="12">
        <f t="shared" si="960"/>
        <v>40811</v>
      </c>
    </row>
    <row r="5753">
      <c r="G5753" s="12">
        <f t="shared" si="960"/>
        <v>40811</v>
      </c>
    </row>
    <row r="5754">
      <c r="G5754" s="12">
        <f t="shared" si="960"/>
        <v>40811</v>
      </c>
    </row>
    <row r="5755">
      <c r="G5755" s="12">
        <f t="shared" ref="G5755:G5758" si="961">DATE(2012,12,31)-462</f>
        <v>40812</v>
      </c>
    </row>
    <row r="5756">
      <c r="G5756" s="12">
        <f t="shared" si="961"/>
        <v>40812</v>
      </c>
    </row>
    <row r="5757">
      <c r="G5757" s="12">
        <f t="shared" si="961"/>
        <v>40812</v>
      </c>
    </row>
    <row r="5758">
      <c r="G5758" s="12">
        <f t="shared" si="961"/>
        <v>40812</v>
      </c>
    </row>
    <row r="5759">
      <c r="G5759" s="12">
        <f t="shared" ref="G5759:G5761" si="962">DATE(2012,12,31)-461</f>
        <v>40813</v>
      </c>
    </row>
    <row r="5760">
      <c r="G5760" s="12">
        <f t="shared" si="962"/>
        <v>40813</v>
      </c>
    </row>
    <row r="5761">
      <c r="G5761" s="12">
        <f t="shared" si="962"/>
        <v>40813</v>
      </c>
    </row>
    <row r="5762">
      <c r="G5762" s="12">
        <f t="shared" ref="G5762:G5766" si="963">DATE(2012,12,31)-460</f>
        <v>40814</v>
      </c>
    </row>
    <row r="5763">
      <c r="G5763" s="12">
        <f t="shared" si="963"/>
        <v>40814</v>
      </c>
    </row>
    <row r="5764">
      <c r="G5764" s="12">
        <f t="shared" si="963"/>
        <v>40814</v>
      </c>
    </row>
    <row r="5765">
      <c r="G5765" s="12">
        <f t="shared" si="963"/>
        <v>40814</v>
      </c>
    </row>
    <row r="5766">
      <c r="G5766" s="12">
        <f t="shared" si="963"/>
        <v>40814</v>
      </c>
    </row>
    <row r="5767">
      <c r="G5767" s="12">
        <f t="shared" ref="G5767:G5773" si="964">DATE(2012,12,31)-459</f>
        <v>40815</v>
      </c>
    </row>
    <row r="5768">
      <c r="G5768" s="12">
        <f t="shared" si="964"/>
        <v>40815</v>
      </c>
    </row>
    <row r="5769">
      <c r="G5769" s="12">
        <f t="shared" si="964"/>
        <v>40815</v>
      </c>
    </row>
    <row r="5770">
      <c r="G5770" s="12">
        <f t="shared" si="964"/>
        <v>40815</v>
      </c>
    </row>
    <row r="5771">
      <c r="G5771" s="12">
        <f t="shared" si="964"/>
        <v>40815</v>
      </c>
    </row>
    <row r="5772">
      <c r="G5772" s="12">
        <f t="shared" si="964"/>
        <v>40815</v>
      </c>
    </row>
    <row r="5773">
      <c r="G5773" s="12">
        <f t="shared" si="964"/>
        <v>40815</v>
      </c>
    </row>
    <row r="5774">
      <c r="G5774" s="12">
        <f t="shared" ref="G5774:G5776" si="965">DATE(2012,12,31)-458</f>
        <v>40816</v>
      </c>
    </row>
    <row r="5775">
      <c r="G5775" s="12">
        <f t="shared" si="965"/>
        <v>40816</v>
      </c>
    </row>
    <row r="5776">
      <c r="G5776" s="12">
        <f t="shared" si="965"/>
        <v>40816</v>
      </c>
    </row>
    <row r="5777">
      <c r="G5777" s="12">
        <f t="shared" ref="G5777:G5782" si="966">DATE(2012,12,31)-457</f>
        <v>40817</v>
      </c>
    </row>
    <row r="5778">
      <c r="G5778" s="12">
        <f t="shared" si="966"/>
        <v>40817</v>
      </c>
    </row>
    <row r="5779">
      <c r="G5779" s="12">
        <f t="shared" si="966"/>
        <v>40817</v>
      </c>
    </row>
    <row r="5780">
      <c r="G5780" s="12">
        <f t="shared" si="966"/>
        <v>40817</v>
      </c>
    </row>
    <row r="5781">
      <c r="G5781" s="12">
        <f t="shared" si="966"/>
        <v>40817</v>
      </c>
    </row>
    <row r="5782">
      <c r="G5782" s="12">
        <f t="shared" si="966"/>
        <v>40817</v>
      </c>
    </row>
    <row r="5783">
      <c r="G5783" s="12">
        <f t="shared" ref="G5783:G5790" si="967">DATE(2012,12,31)-456</f>
        <v>40818</v>
      </c>
    </row>
    <row r="5784">
      <c r="G5784" s="12">
        <f t="shared" si="967"/>
        <v>40818</v>
      </c>
    </row>
    <row r="5785">
      <c r="G5785" s="12">
        <f t="shared" si="967"/>
        <v>40818</v>
      </c>
    </row>
    <row r="5786">
      <c r="G5786" s="12">
        <f t="shared" si="967"/>
        <v>40818</v>
      </c>
    </row>
    <row r="5787">
      <c r="G5787" s="12">
        <f t="shared" si="967"/>
        <v>40818</v>
      </c>
    </row>
    <row r="5788">
      <c r="G5788" s="12">
        <f t="shared" si="967"/>
        <v>40818</v>
      </c>
    </row>
    <row r="5789">
      <c r="G5789" s="12">
        <f t="shared" si="967"/>
        <v>40818</v>
      </c>
    </row>
    <row r="5790">
      <c r="G5790" s="12">
        <f t="shared" si="967"/>
        <v>40818</v>
      </c>
    </row>
    <row r="5791">
      <c r="G5791" s="12">
        <f t="shared" ref="G5791:G5802" si="968">DATE(2012,12,31)-455</f>
        <v>40819</v>
      </c>
    </row>
    <row r="5792">
      <c r="G5792" s="12">
        <f t="shared" si="968"/>
        <v>40819</v>
      </c>
    </row>
    <row r="5793">
      <c r="G5793" s="12">
        <f t="shared" si="968"/>
        <v>40819</v>
      </c>
    </row>
    <row r="5794">
      <c r="G5794" s="12">
        <f t="shared" si="968"/>
        <v>40819</v>
      </c>
    </row>
    <row r="5795">
      <c r="G5795" s="12">
        <f t="shared" si="968"/>
        <v>40819</v>
      </c>
    </row>
    <row r="5796">
      <c r="G5796" s="12">
        <f t="shared" si="968"/>
        <v>40819</v>
      </c>
    </row>
    <row r="5797">
      <c r="G5797" s="12">
        <f t="shared" si="968"/>
        <v>40819</v>
      </c>
    </row>
    <row r="5798">
      <c r="G5798" s="12">
        <f t="shared" si="968"/>
        <v>40819</v>
      </c>
    </row>
    <row r="5799">
      <c r="G5799" s="12">
        <f t="shared" si="968"/>
        <v>40819</v>
      </c>
    </row>
    <row r="5800">
      <c r="G5800" s="12">
        <f t="shared" si="968"/>
        <v>40819</v>
      </c>
    </row>
    <row r="5801">
      <c r="G5801" s="12">
        <f t="shared" si="968"/>
        <v>40819</v>
      </c>
    </row>
    <row r="5802">
      <c r="G5802" s="12">
        <f t="shared" si="968"/>
        <v>40819</v>
      </c>
    </row>
    <row r="5803">
      <c r="G5803" s="12">
        <f t="shared" ref="G5803:G5807" si="969">DATE(2012,12,31)-454</f>
        <v>40820</v>
      </c>
    </row>
    <row r="5804">
      <c r="G5804" s="12">
        <f t="shared" si="969"/>
        <v>40820</v>
      </c>
    </row>
    <row r="5805">
      <c r="G5805" s="12">
        <f t="shared" si="969"/>
        <v>40820</v>
      </c>
    </row>
    <row r="5806">
      <c r="G5806" s="12">
        <f t="shared" si="969"/>
        <v>40820</v>
      </c>
    </row>
    <row r="5807">
      <c r="G5807" s="12">
        <f t="shared" si="969"/>
        <v>40820</v>
      </c>
    </row>
    <row r="5808">
      <c r="G5808" s="12">
        <f t="shared" ref="G5808:G5811" si="970">DATE(2012,12,31)-453</f>
        <v>40821</v>
      </c>
    </row>
    <row r="5809">
      <c r="G5809" s="12">
        <f t="shared" si="970"/>
        <v>40821</v>
      </c>
    </row>
    <row r="5810">
      <c r="G5810" s="12">
        <f t="shared" si="970"/>
        <v>40821</v>
      </c>
    </row>
    <row r="5811">
      <c r="G5811" s="12">
        <f t="shared" si="970"/>
        <v>40821</v>
      </c>
    </row>
    <row r="5812">
      <c r="G5812" s="12">
        <f t="shared" ref="G5812:G5816" si="971">DATE(2012,12,31)-452</f>
        <v>40822</v>
      </c>
    </row>
    <row r="5813">
      <c r="G5813" s="12">
        <f t="shared" si="971"/>
        <v>40822</v>
      </c>
    </row>
    <row r="5814">
      <c r="G5814" s="12">
        <f t="shared" si="971"/>
        <v>40822</v>
      </c>
    </row>
    <row r="5815">
      <c r="G5815" s="12">
        <f t="shared" si="971"/>
        <v>40822</v>
      </c>
    </row>
    <row r="5816">
      <c r="G5816" s="12">
        <f t="shared" si="971"/>
        <v>40822</v>
      </c>
    </row>
    <row r="5817">
      <c r="G5817" s="12">
        <f t="shared" ref="G5817:G5821" si="972">DATE(2012,12,31)-451</f>
        <v>40823</v>
      </c>
    </row>
    <row r="5818">
      <c r="G5818" s="12">
        <f t="shared" si="972"/>
        <v>40823</v>
      </c>
    </row>
    <row r="5819">
      <c r="G5819" s="12">
        <f t="shared" si="972"/>
        <v>40823</v>
      </c>
    </row>
    <row r="5820">
      <c r="G5820" s="12">
        <f t="shared" si="972"/>
        <v>40823</v>
      </c>
    </row>
    <row r="5821">
      <c r="G5821" s="12">
        <f t="shared" si="972"/>
        <v>40823</v>
      </c>
    </row>
    <row r="5822">
      <c r="G5822" s="12">
        <f t="shared" ref="G5822:G5825" si="973">DATE(2012,12,31)-450</f>
        <v>40824</v>
      </c>
    </row>
    <row r="5823">
      <c r="G5823" s="12">
        <f t="shared" si="973"/>
        <v>40824</v>
      </c>
    </row>
    <row r="5824">
      <c r="G5824" s="12">
        <f t="shared" si="973"/>
        <v>40824</v>
      </c>
    </row>
    <row r="5825">
      <c r="G5825" s="12">
        <f t="shared" si="973"/>
        <v>40824</v>
      </c>
    </row>
    <row r="5826">
      <c r="G5826" s="12">
        <f t="shared" ref="G5826:G5837" si="974">DATE(2012,12,31)-449</f>
        <v>40825</v>
      </c>
    </row>
    <row r="5827">
      <c r="G5827" s="12">
        <f t="shared" si="974"/>
        <v>40825</v>
      </c>
    </row>
    <row r="5828">
      <c r="G5828" s="12">
        <f t="shared" si="974"/>
        <v>40825</v>
      </c>
    </row>
    <row r="5829">
      <c r="G5829" s="12">
        <f t="shared" si="974"/>
        <v>40825</v>
      </c>
    </row>
    <row r="5830">
      <c r="G5830" s="12">
        <f t="shared" si="974"/>
        <v>40825</v>
      </c>
    </row>
    <row r="5831">
      <c r="G5831" s="12">
        <f t="shared" si="974"/>
        <v>40825</v>
      </c>
    </row>
    <row r="5832">
      <c r="G5832" s="12">
        <f t="shared" si="974"/>
        <v>40825</v>
      </c>
    </row>
    <row r="5833">
      <c r="G5833" s="12">
        <f t="shared" si="974"/>
        <v>40825</v>
      </c>
    </row>
    <row r="5834">
      <c r="G5834" s="12">
        <f t="shared" si="974"/>
        <v>40825</v>
      </c>
    </row>
    <row r="5835">
      <c r="G5835" s="12">
        <f t="shared" si="974"/>
        <v>40825</v>
      </c>
    </row>
    <row r="5836">
      <c r="G5836" s="12">
        <f t="shared" si="974"/>
        <v>40825</v>
      </c>
    </row>
    <row r="5837">
      <c r="G5837" s="12">
        <f t="shared" si="974"/>
        <v>40825</v>
      </c>
    </row>
    <row r="5838">
      <c r="G5838" s="12">
        <f t="shared" ref="G5838:G5844" si="975">DATE(2012,12,31)-448</f>
        <v>40826</v>
      </c>
    </row>
    <row r="5839">
      <c r="G5839" s="12">
        <f t="shared" si="975"/>
        <v>40826</v>
      </c>
    </row>
    <row r="5840">
      <c r="G5840" s="12">
        <f t="shared" si="975"/>
        <v>40826</v>
      </c>
    </row>
    <row r="5841">
      <c r="G5841" s="12">
        <f t="shared" si="975"/>
        <v>40826</v>
      </c>
    </row>
    <row r="5842">
      <c r="G5842" s="12">
        <f t="shared" si="975"/>
        <v>40826</v>
      </c>
    </row>
    <row r="5843">
      <c r="G5843" s="12">
        <f t="shared" si="975"/>
        <v>40826</v>
      </c>
    </row>
    <row r="5844">
      <c r="G5844" s="12">
        <f t="shared" si="975"/>
        <v>40826</v>
      </c>
    </row>
    <row r="5845">
      <c r="G5845" s="12">
        <f t="shared" ref="G5845:G5847" si="976">DATE(2012,12,31)-447</f>
        <v>40827</v>
      </c>
    </row>
    <row r="5846">
      <c r="G5846" s="12">
        <f t="shared" si="976"/>
        <v>40827</v>
      </c>
    </row>
    <row r="5847">
      <c r="G5847" s="12">
        <f t="shared" si="976"/>
        <v>40827</v>
      </c>
    </row>
    <row r="5848">
      <c r="G5848" s="12">
        <f t="shared" ref="G5848:G5852" si="977">DATE(2012,12,31)-446</f>
        <v>40828</v>
      </c>
    </row>
    <row r="5849">
      <c r="G5849" s="12">
        <f t="shared" si="977"/>
        <v>40828</v>
      </c>
    </row>
    <row r="5850">
      <c r="G5850" s="12">
        <f t="shared" si="977"/>
        <v>40828</v>
      </c>
    </row>
    <row r="5851">
      <c r="G5851" s="12">
        <f t="shared" si="977"/>
        <v>40828</v>
      </c>
    </row>
    <row r="5852">
      <c r="G5852" s="12">
        <f t="shared" si="977"/>
        <v>40828</v>
      </c>
    </row>
    <row r="5853">
      <c r="G5853" s="12">
        <f t="shared" ref="G5853:G5854" si="978">DATE(2012,12,31)-445</f>
        <v>40829</v>
      </c>
    </row>
    <row r="5854">
      <c r="G5854" s="12">
        <f t="shared" si="978"/>
        <v>40829</v>
      </c>
    </row>
    <row r="5855">
      <c r="G5855" s="12">
        <f t="shared" ref="G5855:G5856" si="979">DATE(2012,12,31)-444</f>
        <v>40830</v>
      </c>
    </row>
    <row r="5856">
      <c r="G5856" s="12">
        <f t="shared" si="979"/>
        <v>40830</v>
      </c>
    </row>
    <row r="5857">
      <c r="G5857" s="12">
        <f t="shared" ref="G5857:G5859" si="980">DATE(2012,12,31)-443</f>
        <v>40831</v>
      </c>
    </row>
    <row r="5858">
      <c r="G5858" s="12">
        <f t="shared" si="980"/>
        <v>40831</v>
      </c>
    </row>
    <row r="5859">
      <c r="G5859" s="12">
        <f t="shared" si="980"/>
        <v>40831</v>
      </c>
    </row>
    <row r="5860">
      <c r="G5860" s="12">
        <f t="shared" ref="G5860:G5863" si="981">DATE(2012,12,31)-442</f>
        <v>40832</v>
      </c>
    </row>
    <row r="5861">
      <c r="G5861" s="12">
        <f t="shared" si="981"/>
        <v>40832</v>
      </c>
    </row>
    <row r="5862">
      <c r="G5862" s="12">
        <f t="shared" si="981"/>
        <v>40832</v>
      </c>
    </row>
    <row r="5863">
      <c r="G5863" s="12">
        <f t="shared" si="981"/>
        <v>40832</v>
      </c>
    </row>
    <row r="5864">
      <c r="G5864" s="12">
        <f t="shared" ref="G5864:G5866" si="982">DATE(2012,12,31)-441</f>
        <v>40833</v>
      </c>
    </row>
    <row r="5865">
      <c r="G5865" s="12">
        <f t="shared" si="982"/>
        <v>40833</v>
      </c>
    </row>
    <row r="5866">
      <c r="G5866" s="12">
        <f t="shared" si="982"/>
        <v>40833</v>
      </c>
    </row>
    <row r="5867">
      <c r="G5867" s="12">
        <f t="shared" ref="G5867:G5871" si="983">DATE(2012,12,31)-440</f>
        <v>40834</v>
      </c>
    </row>
    <row r="5868">
      <c r="G5868" s="12">
        <f t="shared" si="983"/>
        <v>40834</v>
      </c>
    </row>
    <row r="5869">
      <c r="G5869" s="12">
        <f t="shared" si="983"/>
        <v>40834</v>
      </c>
    </row>
    <row r="5870">
      <c r="G5870" s="12">
        <f t="shared" si="983"/>
        <v>40834</v>
      </c>
    </row>
    <row r="5871">
      <c r="G5871" s="12">
        <f t="shared" si="983"/>
        <v>40834</v>
      </c>
    </row>
    <row r="5872">
      <c r="G5872" s="12">
        <f t="shared" ref="G5872:G5876" si="984">DATE(2012,12,31)-439</f>
        <v>40835</v>
      </c>
    </row>
    <row r="5873">
      <c r="G5873" s="12">
        <f t="shared" si="984"/>
        <v>40835</v>
      </c>
    </row>
    <row r="5874">
      <c r="G5874" s="12">
        <f t="shared" si="984"/>
        <v>40835</v>
      </c>
    </row>
    <row r="5875">
      <c r="G5875" s="12">
        <f t="shared" si="984"/>
        <v>40835</v>
      </c>
    </row>
    <row r="5876">
      <c r="G5876" s="12">
        <f t="shared" si="984"/>
        <v>40835</v>
      </c>
    </row>
    <row r="5877">
      <c r="G5877" s="12">
        <f t="shared" ref="G5877:G5889" si="985">DATE(2012,12,31)-438</f>
        <v>40836</v>
      </c>
    </row>
    <row r="5878">
      <c r="G5878" s="12">
        <f t="shared" si="985"/>
        <v>40836</v>
      </c>
    </row>
    <row r="5879">
      <c r="G5879" s="12">
        <f t="shared" si="985"/>
        <v>40836</v>
      </c>
    </row>
    <row r="5880">
      <c r="G5880" s="12">
        <f t="shared" si="985"/>
        <v>40836</v>
      </c>
    </row>
    <row r="5881">
      <c r="G5881" s="12">
        <f t="shared" si="985"/>
        <v>40836</v>
      </c>
    </row>
    <row r="5882">
      <c r="G5882" s="12">
        <f t="shared" si="985"/>
        <v>40836</v>
      </c>
    </row>
    <row r="5883">
      <c r="G5883" s="12">
        <f t="shared" si="985"/>
        <v>40836</v>
      </c>
    </row>
    <row r="5884">
      <c r="G5884" s="12">
        <f t="shared" si="985"/>
        <v>40836</v>
      </c>
    </row>
    <row r="5885">
      <c r="G5885" s="12">
        <f t="shared" si="985"/>
        <v>40836</v>
      </c>
    </row>
    <row r="5886">
      <c r="G5886" s="12">
        <f t="shared" si="985"/>
        <v>40836</v>
      </c>
    </row>
    <row r="5887">
      <c r="G5887" s="12">
        <f t="shared" si="985"/>
        <v>40836</v>
      </c>
    </row>
    <row r="5888">
      <c r="G5888" s="12">
        <f t="shared" si="985"/>
        <v>40836</v>
      </c>
    </row>
    <row r="5889">
      <c r="G5889" s="12">
        <f t="shared" si="985"/>
        <v>40836</v>
      </c>
    </row>
    <row r="5890">
      <c r="G5890" s="12">
        <f t="shared" ref="G5890:G5893" si="986">DATE(2012,12,31)-437</f>
        <v>40837</v>
      </c>
    </row>
    <row r="5891">
      <c r="G5891" s="12">
        <f t="shared" si="986"/>
        <v>40837</v>
      </c>
    </row>
    <row r="5892">
      <c r="G5892" s="12">
        <f t="shared" si="986"/>
        <v>40837</v>
      </c>
    </row>
    <row r="5893">
      <c r="G5893" s="12">
        <f t="shared" si="986"/>
        <v>40837</v>
      </c>
    </row>
    <row r="5894">
      <c r="G5894" s="12">
        <f t="shared" ref="G5894:G5899" si="987">DATE(2012,12,31)-436</f>
        <v>40838</v>
      </c>
    </row>
    <row r="5895">
      <c r="G5895" s="12">
        <f t="shared" si="987"/>
        <v>40838</v>
      </c>
    </row>
    <row r="5896">
      <c r="G5896" s="12">
        <f t="shared" si="987"/>
        <v>40838</v>
      </c>
    </row>
    <row r="5897">
      <c r="G5897" s="12">
        <f t="shared" si="987"/>
        <v>40838</v>
      </c>
    </row>
    <row r="5898">
      <c r="G5898" s="12">
        <f t="shared" si="987"/>
        <v>40838</v>
      </c>
    </row>
    <row r="5899">
      <c r="G5899" s="12">
        <f t="shared" si="987"/>
        <v>40838</v>
      </c>
    </row>
    <row r="5900">
      <c r="G5900" s="12">
        <f>DATE(2012,12,31)-435</f>
        <v>40839</v>
      </c>
    </row>
    <row r="5901">
      <c r="G5901" s="12">
        <f t="shared" ref="G5901:G5902" si="988">DATE(2012,12,31)-434</f>
        <v>40840</v>
      </c>
    </row>
    <row r="5902">
      <c r="G5902" s="12">
        <f t="shared" si="988"/>
        <v>40840</v>
      </c>
    </row>
    <row r="5903">
      <c r="G5903" s="12">
        <f t="shared" ref="G5903:G5908" si="989">DATE(2012,12,31)-433</f>
        <v>40841</v>
      </c>
    </row>
    <row r="5904">
      <c r="G5904" s="12">
        <f t="shared" si="989"/>
        <v>40841</v>
      </c>
    </row>
    <row r="5905">
      <c r="G5905" s="12">
        <f t="shared" si="989"/>
        <v>40841</v>
      </c>
    </row>
    <row r="5906">
      <c r="G5906" s="12">
        <f t="shared" si="989"/>
        <v>40841</v>
      </c>
    </row>
    <row r="5907">
      <c r="G5907" s="12">
        <f t="shared" si="989"/>
        <v>40841</v>
      </c>
    </row>
    <row r="5908">
      <c r="G5908" s="12">
        <f t="shared" si="989"/>
        <v>40841</v>
      </c>
    </row>
    <row r="5909">
      <c r="G5909" s="12">
        <f t="shared" ref="G5909:G5914" si="990">DATE(2012,12,31)-432</f>
        <v>40842</v>
      </c>
    </row>
    <row r="5910">
      <c r="G5910" s="12">
        <f t="shared" si="990"/>
        <v>40842</v>
      </c>
    </row>
    <row r="5911">
      <c r="G5911" s="12">
        <f t="shared" si="990"/>
        <v>40842</v>
      </c>
    </row>
    <row r="5912">
      <c r="G5912" s="12">
        <f t="shared" si="990"/>
        <v>40842</v>
      </c>
    </row>
    <row r="5913">
      <c r="G5913" s="12">
        <f t="shared" si="990"/>
        <v>40842</v>
      </c>
    </row>
    <row r="5914">
      <c r="G5914" s="12">
        <f t="shared" si="990"/>
        <v>40842</v>
      </c>
    </row>
    <row r="5915">
      <c r="G5915" s="12">
        <f>DATE(2012,12,31)-431</f>
        <v>40843</v>
      </c>
    </row>
    <row r="5916">
      <c r="G5916" s="12">
        <f t="shared" ref="G5916:G5924" si="991">DATE(2012,12,31)-430</f>
        <v>40844</v>
      </c>
    </row>
    <row r="5917">
      <c r="G5917" s="12">
        <f t="shared" si="991"/>
        <v>40844</v>
      </c>
    </row>
    <row r="5918">
      <c r="G5918" s="12">
        <f t="shared" si="991"/>
        <v>40844</v>
      </c>
    </row>
    <row r="5919">
      <c r="G5919" s="12">
        <f t="shared" si="991"/>
        <v>40844</v>
      </c>
    </row>
    <row r="5920">
      <c r="G5920" s="12">
        <f t="shared" si="991"/>
        <v>40844</v>
      </c>
    </row>
    <row r="5921">
      <c r="G5921" s="12">
        <f t="shared" si="991"/>
        <v>40844</v>
      </c>
    </row>
    <row r="5922">
      <c r="G5922" s="12">
        <f t="shared" si="991"/>
        <v>40844</v>
      </c>
    </row>
    <row r="5923">
      <c r="G5923" s="12">
        <f t="shared" si="991"/>
        <v>40844</v>
      </c>
    </row>
    <row r="5924">
      <c r="G5924" s="12">
        <f t="shared" si="991"/>
        <v>40844</v>
      </c>
    </row>
    <row r="5925">
      <c r="G5925" s="12">
        <f t="shared" ref="G5925:G5930" si="992">DATE(2012,12,31)-429</f>
        <v>40845</v>
      </c>
    </row>
    <row r="5926">
      <c r="G5926" s="12">
        <f t="shared" si="992"/>
        <v>40845</v>
      </c>
    </row>
    <row r="5927">
      <c r="G5927" s="12">
        <f t="shared" si="992"/>
        <v>40845</v>
      </c>
    </row>
    <row r="5928">
      <c r="G5928" s="12">
        <f t="shared" si="992"/>
        <v>40845</v>
      </c>
    </row>
    <row r="5929">
      <c r="G5929" s="12">
        <f t="shared" si="992"/>
        <v>40845</v>
      </c>
    </row>
    <row r="5930">
      <c r="G5930" s="12">
        <f t="shared" si="992"/>
        <v>40845</v>
      </c>
    </row>
    <row r="5931">
      <c r="G5931" s="12">
        <f t="shared" ref="G5931:G5936" si="993">DATE(2012,12,31)-428</f>
        <v>40846</v>
      </c>
    </row>
    <row r="5932">
      <c r="G5932" s="12">
        <f t="shared" si="993"/>
        <v>40846</v>
      </c>
    </row>
    <row r="5933">
      <c r="G5933" s="12">
        <f t="shared" si="993"/>
        <v>40846</v>
      </c>
    </row>
    <row r="5934">
      <c r="G5934" s="12">
        <f t="shared" si="993"/>
        <v>40846</v>
      </c>
    </row>
    <row r="5935">
      <c r="G5935" s="12">
        <f t="shared" si="993"/>
        <v>40846</v>
      </c>
    </row>
    <row r="5936">
      <c r="G5936" s="12">
        <f t="shared" si="993"/>
        <v>40846</v>
      </c>
    </row>
    <row r="5937">
      <c r="G5937" s="12">
        <f t="shared" ref="G5937:G5944" si="994">DATE(2012,12,31)-427</f>
        <v>40847</v>
      </c>
    </row>
    <row r="5938">
      <c r="G5938" s="12">
        <f t="shared" si="994"/>
        <v>40847</v>
      </c>
    </row>
    <row r="5939">
      <c r="G5939" s="12">
        <f t="shared" si="994"/>
        <v>40847</v>
      </c>
    </row>
    <row r="5940">
      <c r="G5940" s="12">
        <f t="shared" si="994"/>
        <v>40847</v>
      </c>
    </row>
    <row r="5941">
      <c r="G5941" s="12">
        <f t="shared" si="994"/>
        <v>40847</v>
      </c>
    </row>
    <row r="5942">
      <c r="G5942" s="12">
        <f t="shared" si="994"/>
        <v>40847</v>
      </c>
    </row>
    <row r="5943">
      <c r="G5943" s="12">
        <f t="shared" si="994"/>
        <v>40847</v>
      </c>
    </row>
    <row r="5944">
      <c r="G5944" s="12">
        <f t="shared" si="994"/>
        <v>40847</v>
      </c>
    </row>
    <row r="5945">
      <c r="G5945" s="12">
        <f t="shared" ref="G5945:G5954" si="995">DATE(2012,12,31)-426</f>
        <v>40848</v>
      </c>
    </row>
    <row r="5946">
      <c r="G5946" s="12">
        <f t="shared" si="995"/>
        <v>40848</v>
      </c>
    </row>
    <row r="5947">
      <c r="G5947" s="12">
        <f t="shared" si="995"/>
        <v>40848</v>
      </c>
    </row>
    <row r="5948">
      <c r="G5948" s="12">
        <f t="shared" si="995"/>
        <v>40848</v>
      </c>
    </row>
    <row r="5949">
      <c r="G5949" s="12">
        <f t="shared" si="995"/>
        <v>40848</v>
      </c>
    </row>
    <row r="5950">
      <c r="G5950" s="12">
        <f t="shared" si="995"/>
        <v>40848</v>
      </c>
    </row>
    <row r="5951">
      <c r="G5951" s="12">
        <f t="shared" si="995"/>
        <v>40848</v>
      </c>
    </row>
    <row r="5952">
      <c r="G5952" s="12">
        <f t="shared" si="995"/>
        <v>40848</v>
      </c>
    </row>
    <row r="5953">
      <c r="G5953" s="12">
        <f t="shared" si="995"/>
        <v>40848</v>
      </c>
    </row>
    <row r="5954">
      <c r="G5954" s="12">
        <f t="shared" si="995"/>
        <v>40848</v>
      </c>
    </row>
    <row r="5955">
      <c r="G5955" s="12">
        <f t="shared" ref="G5955:G5959" si="996">DATE(2012,12,31)-425</f>
        <v>40849</v>
      </c>
    </row>
    <row r="5956">
      <c r="G5956" s="12">
        <f t="shared" si="996"/>
        <v>40849</v>
      </c>
    </row>
    <row r="5957">
      <c r="G5957" s="12">
        <f t="shared" si="996"/>
        <v>40849</v>
      </c>
    </row>
    <row r="5958">
      <c r="G5958" s="12">
        <f t="shared" si="996"/>
        <v>40849</v>
      </c>
    </row>
    <row r="5959">
      <c r="G5959" s="12">
        <f t="shared" si="996"/>
        <v>40849</v>
      </c>
    </row>
    <row r="5960">
      <c r="G5960" s="12">
        <f t="shared" ref="G5960:G5962" si="997">DATE(2012,12,31)-424</f>
        <v>40850</v>
      </c>
    </row>
    <row r="5961">
      <c r="G5961" s="12">
        <f t="shared" si="997"/>
        <v>40850</v>
      </c>
    </row>
    <row r="5962">
      <c r="G5962" s="12">
        <f t="shared" si="997"/>
        <v>40850</v>
      </c>
    </row>
    <row r="5963">
      <c r="G5963" s="12">
        <f t="shared" ref="G5963:G5967" si="998">DATE(2012,12,31)-422</f>
        <v>40852</v>
      </c>
    </row>
    <row r="5964">
      <c r="G5964" s="12">
        <f t="shared" si="998"/>
        <v>40852</v>
      </c>
    </row>
    <row r="5965">
      <c r="G5965" s="12">
        <f t="shared" si="998"/>
        <v>40852</v>
      </c>
    </row>
    <row r="5966">
      <c r="G5966" s="12">
        <f t="shared" si="998"/>
        <v>40852</v>
      </c>
    </row>
    <row r="5967">
      <c r="G5967" s="12">
        <f t="shared" si="998"/>
        <v>40852</v>
      </c>
    </row>
    <row r="5968">
      <c r="G5968" s="12">
        <f t="shared" ref="G5968:G5970" si="999">DATE(2012,12,31)-421</f>
        <v>40853</v>
      </c>
    </row>
    <row r="5969">
      <c r="G5969" s="12">
        <f t="shared" si="999"/>
        <v>40853</v>
      </c>
    </row>
    <row r="5970">
      <c r="G5970" s="12">
        <f t="shared" si="999"/>
        <v>40853</v>
      </c>
    </row>
    <row r="5971">
      <c r="G5971" s="12">
        <f t="shared" ref="G5971:G5976" si="1000">DATE(2012,12,31)-420</f>
        <v>40854</v>
      </c>
    </row>
    <row r="5972">
      <c r="G5972" s="12">
        <f t="shared" si="1000"/>
        <v>40854</v>
      </c>
    </row>
    <row r="5973">
      <c r="G5973" s="12">
        <f t="shared" si="1000"/>
        <v>40854</v>
      </c>
    </row>
    <row r="5974">
      <c r="G5974" s="12">
        <f t="shared" si="1000"/>
        <v>40854</v>
      </c>
    </row>
    <row r="5975">
      <c r="G5975" s="12">
        <f t="shared" si="1000"/>
        <v>40854</v>
      </c>
    </row>
    <row r="5976">
      <c r="G5976" s="12">
        <f t="shared" si="1000"/>
        <v>40854</v>
      </c>
    </row>
    <row r="5977">
      <c r="G5977" s="12">
        <f t="shared" ref="G5977:G5982" si="1001">DATE(2012,12,31)-419</f>
        <v>40855</v>
      </c>
    </row>
    <row r="5978">
      <c r="G5978" s="12">
        <f t="shared" si="1001"/>
        <v>40855</v>
      </c>
    </row>
    <row r="5979">
      <c r="G5979" s="12">
        <f t="shared" si="1001"/>
        <v>40855</v>
      </c>
    </row>
    <row r="5980">
      <c r="G5980" s="12">
        <f t="shared" si="1001"/>
        <v>40855</v>
      </c>
    </row>
    <row r="5981">
      <c r="G5981" s="12">
        <f t="shared" si="1001"/>
        <v>40855</v>
      </c>
    </row>
    <row r="5982">
      <c r="G5982" s="12">
        <f t="shared" si="1001"/>
        <v>40855</v>
      </c>
    </row>
    <row r="5983">
      <c r="G5983" s="12">
        <f t="shared" ref="G5983:G5986" si="1002">DATE(2012,12,31)-418</f>
        <v>40856</v>
      </c>
    </row>
    <row r="5984">
      <c r="G5984" s="12">
        <f t="shared" si="1002"/>
        <v>40856</v>
      </c>
    </row>
    <row r="5985">
      <c r="G5985" s="12">
        <f t="shared" si="1002"/>
        <v>40856</v>
      </c>
    </row>
    <row r="5986">
      <c r="G5986" s="12">
        <f t="shared" si="1002"/>
        <v>40856</v>
      </c>
    </row>
    <row r="5987">
      <c r="G5987" s="12">
        <f t="shared" ref="G5987:G5998" si="1003">DATE(2012,12,31)-417</f>
        <v>40857</v>
      </c>
    </row>
    <row r="5988">
      <c r="G5988" s="12">
        <f t="shared" si="1003"/>
        <v>40857</v>
      </c>
    </row>
    <row r="5989">
      <c r="G5989" s="12">
        <f t="shared" si="1003"/>
        <v>40857</v>
      </c>
    </row>
    <row r="5990">
      <c r="G5990" s="12">
        <f t="shared" si="1003"/>
        <v>40857</v>
      </c>
    </row>
    <row r="5991">
      <c r="G5991" s="12">
        <f t="shared" si="1003"/>
        <v>40857</v>
      </c>
    </row>
    <row r="5992">
      <c r="G5992" s="12">
        <f t="shared" si="1003"/>
        <v>40857</v>
      </c>
    </row>
    <row r="5993">
      <c r="G5993" s="12">
        <f t="shared" si="1003"/>
        <v>40857</v>
      </c>
    </row>
    <row r="5994">
      <c r="G5994" s="12">
        <f t="shared" si="1003"/>
        <v>40857</v>
      </c>
    </row>
    <row r="5995">
      <c r="G5995" s="12">
        <f t="shared" si="1003"/>
        <v>40857</v>
      </c>
    </row>
    <row r="5996">
      <c r="G5996" s="12">
        <f t="shared" si="1003"/>
        <v>40857</v>
      </c>
    </row>
    <row r="5997">
      <c r="G5997" s="12">
        <f t="shared" si="1003"/>
        <v>40857</v>
      </c>
    </row>
    <row r="5998">
      <c r="G5998" s="12">
        <f t="shared" si="1003"/>
        <v>40857</v>
      </c>
    </row>
    <row r="5999">
      <c r="G5999" s="12">
        <f t="shared" ref="G5999:G6001" si="1004">DATE(2012,12,31)-416</f>
        <v>40858</v>
      </c>
    </row>
    <row r="6000">
      <c r="G6000" s="12">
        <f t="shared" si="1004"/>
        <v>40858</v>
      </c>
    </row>
    <row r="6001">
      <c r="G6001" s="12">
        <f t="shared" si="1004"/>
        <v>40858</v>
      </c>
    </row>
    <row r="6002">
      <c r="G6002" s="12">
        <f t="shared" ref="G6002:G6009" si="1005">DATE(2012,12,31)-415</f>
        <v>40859</v>
      </c>
    </row>
    <row r="6003">
      <c r="G6003" s="12">
        <f t="shared" si="1005"/>
        <v>40859</v>
      </c>
    </row>
    <row r="6004">
      <c r="G6004" s="12">
        <f t="shared" si="1005"/>
        <v>40859</v>
      </c>
    </row>
    <row r="6005">
      <c r="G6005" s="12">
        <f t="shared" si="1005"/>
        <v>40859</v>
      </c>
    </row>
    <row r="6006">
      <c r="G6006" s="12">
        <f t="shared" si="1005"/>
        <v>40859</v>
      </c>
    </row>
    <row r="6007">
      <c r="G6007" s="12">
        <f t="shared" si="1005"/>
        <v>40859</v>
      </c>
    </row>
    <row r="6008">
      <c r="G6008" s="12">
        <f t="shared" si="1005"/>
        <v>40859</v>
      </c>
    </row>
    <row r="6009">
      <c r="G6009" s="12">
        <f t="shared" si="1005"/>
        <v>40859</v>
      </c>
    </row>
    <row r="6010">
      <c r="G6010" s="12">
        <f t="shared" ref="G6010:G6012" si="1006">DATE(2012,12,31)-414</f>
        <v>40860</v>
      </c>
    </row>
    <row r="6011">
      <c r="G6011" s="12">
        <f t="shared" si="1006"/>
        <v>40860</v>
      </c>
    </row>
    <row r="6012">
      <c r="G6012" s="12">
        <f t="shared" si="1006"/>
        <v>40860</v>
      </c>
    </row>
    <row r="6013">
      <c r="G6013" s="12">
        <f t="shared" ref="G6013:G6014" si="1007">DATE(2012,12,31)-413</f>
        <v>40861</v>
      </c>
    </row>
    <row r="6014">
      <c r="G6014" s="12">
        <f t="shared" si="1007"/>
        <v>40861</v>
      </c>
    </row>
    <row r="6015">
      <c r="G6015" s="12">
        <f t="shared" ref="G6015:G6018" si="1008">DATE(2012,12,31)-412</f>
        <v>40862</v>
      </c>
    </row>
    <row r="6016">
      <c r="G6016" s="12">
        <f t="shared" si="1008"/>
        <v>40862</v>
      </c>
    </row>
    <row r="6017">
      <c r="G6017" s="12">
        <f t="shared" si="1008"/>
        <v>40862</v>
      </c>
    </row>
    <row r="6018">
      <c r="G6018" s="12">
        <f t="shared" si="1008"/>
        <v>40862</v>
      </c>
    </row>
    <row r="6019">
      <c r="G6019" s="12">
        <f t="shared" ref="G6019:G6030" si="1009">DATE(2012,12,31)-411</f>
        <v>40863</v>
      </c>
    </row>
    <row r="6020">
      <c r="G6020" s="12">
        <f t="shared" si="1009"/>
        <v>40863</v>
      </c>
    </row>
    <row r="6021">
      <c r="G6021" s="12">
        <f t="shared" si="1009"/>
        <v>40863</v>
      </c>
    </row>
    <row r="6022">
      <c r="G6022" s="12">
        <f t="shared" si="1009"/>
        <v>40863</v>
      </c>
    </row>
    <row r="6023">
      <c r="G6023" s="12">
        <f t="shared" si="1009"/>
        <v>40863</v>
      </c>
    </row>
    <row r="6024">
      <c r="G6024" s="12">
        <f t="shared" si="1009"/>
        <v>40863</v>
      </c>
    </row>
    <row r="6025">
      <c r="G6025" s="12">
        <f t="shared" si="1009"/>
        <v>40863</v>
      </c>
    </row>
    <row r="6026">
      <c r="G6026" s="12">
        <f t="shared" si="1009"/>
        <v>40863</v>
      </c>
    </row>
    <row r="6027">
      <c r="G6027" s="12">
        <f t="shared" si="1009"/>
        <v>40863</v>
      </c>
    </row>
    <row r="6028">
      <c r="G6028" s="12">
        <f t="shared" si="1009"/>
        <v>40863</v>
      </c>
    </row>
    <row r="6029">
      <c r="G6029" s="12">
        <f t="shared" si="1009"/>
        <v>40863</v>
      </c>
    </row>
    <row r="6030">
      <c r="G6030" s="12">
        <f t="shared" si="1009"/>
        <v>40863</v>
      </c>
    </row>
    <row r="6031">
      <c r="G6031" s="12">
        <f t="shared" ref="G6031:G6034" si="1010">DATE(2012,12,31)-410</f>
        <v>40864</v>
      </c>
    </row>
    <row r="6032">
      <c r="G6032" s="12">
        <f t="shared" si="1010"/>
        <v>40864</v>
      </c>
    </row>
    <row r="6033">
      <c r="G6033" s="12">
        <f t="shared" si="1010"/>
        <v>40864</v>
      </c>
    </row>
    <row r="6034">
      <c r="G6034" s="12">
        <f t="shared" si="1010"/>
        <v>40864</v>
      </c>
    </row>
    <row r="6035">
      <c r="G6035" s="12">
        <f t="shared" ref="G6035:G6046" si="1011">DATE(2012,12,31)-409</f>
        <v>40865</v>
      </c>
    </row>
    <row r="6036">
      <c r="G6036" s="12">
        <f t="shared" si="1011"/>
        <v>40865</v>
      </c>
    </row>
    <row r="6037">
      <c r="G6037" s="12">
        <f t="shared" si="1011"/>
        <v>40865</v>
      </c>
    </row>
    <row r="6038">
      <c r="G6038" s="12">
        <f t="shared" si="1011"/>
        <v>40865</v>
      </c>
    </row>
    <row r="6039">
      <c r="G6039" s="12">
        <f t="shared" si="1011"/>
        <v>40865</v>
      </c>
    </row>
    <row r="6040">
      <c r="G6040" s="12">
        <f t="shared" si="1011"/>
        <v>40865</v>
      </c>
    </row>
    <row r="6041">
      <c r="G6041" s="12">
        <f t="shared" si="1011"/>
        <v>40865</v>
      </c>
    </row>
    <row r="6042">
      <c r="G6042" s="12">
        <f t="shared" si="1011"/>
        <v>40865</v>
      </c>
    </row>
    <row r="6043">
      <c r="G6043" s="12">
        <f t="shared" si="1011"/>
        <v>40865</v>
      </c>
    </row>
    <row r="6044">
      <c r="G6044" s="12">
        <f t="shared" si="1011"/>
        <v>40865</v>
      </c>
    </row>
    <row r="6045">
      <c r="G6045" s="12">
        <f t="shared" si="1011"/>
        <v>40865</v>
      </c>
    </row>
    <row r="6046">
      <c r="G6046" s="12">
        <f t="shared" si="1011"/>
        <v>40865</v>
      </c>
    </row>
    <row r="6047">
      <c r="G6047" s="12">
        <f t="shared" ref="G6047:G6063" si="1012">DATE(2012,12,31)-408</f>
        <v>40866</v>
      </c>
    </row>
    <row r="6048">
      <c r="G6048" s="12">
        <f t="shared" si="1012"/>
        <v>40866</v>
      </c>
    </row>
    <row r="6049">
      <c r="G6049" s="12">
        <f t="shared" si="1012"/>
        <v>40866</v>
      </c>
    </row>
    <row r="6050">
      <c r="G6050" s="12">
        <f t="shared" si="1012"/>
        <v>40866</v>
      </c>
    </row>
    <row r="6051">
      <c r="G6051" s="12">
        <f t="shared" si="1012"/>
        <v>40866</v>
      </c>
    </row>
    <row r="6052">
      <c r="G6052" s="12">
        <f t="shared" si="1012"/>
        <v>40866</v>
      </c>
    </row>
    <row r="6053">
      <c r="G6053" s="12">
        <f t="shared" si="1012"/>
        <v>40866</v>
      </c>
    </row>
    <row r="6054">
      <c r="G6054" s="12">
        <f t="shared" si="1012"/>
        <v>40866</v>
      </c>
    </row>
    <row r="6055">
      <c r="G6055" s="12">
        <f t="shared" si="1012"/>
        <v>40866</v>
      </c>
    </row>
    <row r="6056">
      <c r="G6056" s="12">
        <f t="shared" si="1012"/>
        <v>40866</v>
      </c>
    </row>
    <row r="6057">
      <c r="G6057" s="12">
        <f t="shared" si="1012"/>
        <v>40866</v>
      </c>
    </row>
    <row r="6058">
      <c r="G6058" s="12">
        <f t="shared" si="1012"/>
        <v>40866</v>
      </c>
    </row>
    <row r="6059">
      <c r="G6059" s="12">
        <f t="shared" si="1012"/>
        <v>40866</v>
      </c>
    </row>
    <row r="6060">
      <c r="G6060" s="12">
        <f t="shared" si="1012"/>
        <v>40866</v>
      </c>
    </row>
    <row r="6061">
      <c r="G6061" s="12">
        <f t="shared" si="1012"/>
        <v>40866</v>
      </c>
    </row>
    <row r="6062">
      <c r="G6062" s="12">
        <f t="shared" si="1012"/>
        <v>40866</v>
      </c>
    </row>
    <row r="6063">
      <c r="G6063" s="12">
        <f t="shared" si="1012"/>
        <v>40866</v>
      </c>
    </row>
    <row r="6064">
      <c r="G6064" s="12">
        <f t="shared" ref="G6064:G6065" si="1013">DATE(2012,12,31)-407</f>
        <v>40867</v>
      </c>
    </row>
    <row r="6065">
      <c r="G6065" s="12">
        <f t="shared" si="1013"/>
        <v>40867</v>
      </c>
    </row>
    <row r="6066">
      <c r="G6066" s="12">
        <f t="shared" ref="G6066:G6069" si="1014">DATE(2012,12,31)-406</f>
        <v>40868</v>
      </c>
    </row>
    <row r="6067">
      <c r="G6067" s="12">
        <f t="shared" si="1014"/>
        <v>40868</v>
      </c>
    </row>
    <row r="6068">
      <c r="G6068" s="12">
        <f t="shared" si="1014"/>
        <v>40868</v>
      </c>
    </row>
    <row r="6069">
      <c r="G6069" s="12">
        <f t="shared" si="1014"/>
        <v>40868</v>
      </c>
    </row>
    <row r="6070">
      <c r="G6070" s="12">
        <f t="shared" ref="G6070:G6077" si="1015">DATE(2012,12,31)-405</f>
        <v>40869</v>
      </c>
    </row>
    <row r="6071">
      <c r="G6071" s="12">
        <f t="shared" si="1015"/>
        <v>40869</v>
      </c>
    </row>
    <row r="6072">
      <c r="G6072" s="12">
        <f t="shared" si="1015"/>
        <v>40869</v>
      </c>
    </row>
    <row r="6073">
      <c r="G6073" s="12">
        <f t="shared" si="1015"/>
        <v>40869</v>
      </c>
    </row>
    <row r="6074">
      <c r="G6074" s="12">
        <f t="shared" si="1015"/>
        <v>40869</v>
      </c>
    </row>
    <row r="6075">
      <c r="G6075" s="12">
        <f t="shared" si="1015"/>
        <v>40869</v>
      </c>
    </row>
    <row r="6076">
      <c r="G6076" s="12">
        <f t="shared" si="1015"/>
        <v>40869</v>
      </c>
    </row>
    <row r="6077">
      <c r="G6077" s="12">
        <f t="shared" si="1015"/>
        <v>40869</v>
      </c>
    </row>
    <row r="6078">
      <c r="G6078" s="12">
        <f>DATE(2012,12,31)-404</f>
        <v>40870</v>
      </c>
    </row>
    <row r="6079">
      <c r="G6079" s="12">
        <f t="shared" ref="G6079:G6080" si="1016">DATE(2012,12,31)-403</f>
        <v>40871</v>
      </c>
    </row>
    <row r="6080">
      <c r="G6080" s="12">
        <f t="shared" si="1016"/>
        <v>40871</v>
      </c>
    </row>
    <row r="6081">
      <c r="G6081" s="12">
        <f t="shared" ref="G6081:G6084" si="1017">DATE(2012,12,31)-402</f>
        <v>40872</v>
      </c>
    </row>
    <row r="6082">
      <c r="G6082" s="12">
        <f t="shared" si="1017"/>
        <v>40872</v>
      </c>
    </row>
    <row r="6083">
      <c r="G6083" s="12">
        <f t="shared" si="1017"/>
        <v>40872</v>
      </c>
    </row>
    <row r="6084">
      <c r="G6084" s="12">
        <f t="shared" si="1017"/>
        <v>40872</v>
      </c>
    </row>
    <row r="6085">
      <c r="G6085" s="12">
        <f t="shared" ref="G6085:G6092" si="1018">DATE(2012,12,31)-401</f>
        <v>40873</v>
      </c>
    </row>
    <row r="6086">
      <c r="G6086" s="12">
        <f t="shared" si="1018"/>
        <v>40873</v>
      </c>
    </row>
    <row r="6087">
      <c r="G6087" s="12">
        <f t="shared" si="1018"/>
        <v>40873</v>
      </c>
    </row>
    <row r="6088">
      <c r="G6088" s="12">
        <f t="shared" si="1018"/>
        <v>40873</v>
      </c>
    </row>
    <row r="6089">
      <c r="G6089" s="12">
        <f t="shared" si="1018"/>
        <v>40873</v>
      </c>
    </row>
    <row r="6090">
      <c r="G6090" s="12">
        <f t="shared" si="1018"/>
        <v>40873</v>
      </c>
    </row>
    <row r="6091">
      <c r="G6091" s="12">
        <f t="shared" si="1018"/>
        <v>40873</v>
      </c>
    </row>
    <row r="6092">
      <c r="G6092" s="12">
        <f t="shared" si="1018"/>
        <v>40873</v>
      </c>
    </row>
    <row r="6093">
      <c r="G6093" s="12">
        <f t="shared" ref="G6093:G6098" si="1019">DATE(2012,12,31)-400</f>
        <v>40874</v>
      </c>
    </row>
    <row r="6094">
      <c r="G6094" s="12">
        <f t="shared" si="1019"/>
        <v>40874</v>
      </c>
    </row>
    <row r="6095">
      <c r="G6095" s="12">
        <f t="shared" si="1019"/>
        <v>40874</v>
      </c>
    </row>
    <row r="6096">
      <c r="G6096" s="12">
        <f t="shared" si="1019"/>
        <v>40874</v>
      </c>
    </row>
    <row r="6097">
      <c r="G6097" s="12">
        <f t="shared" si="1019"/>
        <v>40874</v>
      </c>
    </row>
    <row r="6098">
      <c r="G6098" s="12">
        <f t="shared" si="1019"/>
        <v>40874</v>
      </c>
    </row>
    <row r="6099">
      <c r="G6099" s="12">
        <f t="shared" ref="G6099:G6103" si="1020">DATE(2012,12,31)-399</f>
        <v>40875</v>
      </c>
    </row>
    <row r="6100">
      <c r="G6100" s="12">
        <f t="shared" si="1020"/>
        <v>40875</v>
      </c>
    </row>
    <row r="6101">
      <c r="G6101" s="12">
        <f t="shared" si="1020"/>
        <v>40875</v>
      </c>
    </row>
    <row r="6102">
      <c r="G6102" s="12">
        <f t="shared" si="1020"/>
        <v>40875</v>
      </c>
    </row>
    <row r="6103">
      <c r="G6103" s="12">
        <f t="shared" si="1020"/>
        <v>40875</v>
      </c>
    </row>
    <row r="6104">
      <c r="G6104" s="12">
        <f t="shared" ref="G6104:G6108" si="1021">DATE(2012,12,31)-398</f>
        <v>40876</v>
      </c>
    </row>
    <row r="6105">
      <c r="G6105" s="12">
        <f t="shared" si="1021"/>
        <v>40876</v>
      </c>
    </row>
    <row r="6106">
      <c r="G6106" s="12">
        <f t="shared" si="1021"/>
        <v>40876</v>
      </c>
    </row>
    <row r="6107">
      <c r="G6107" s="12">
        <f t="shared" si="1021"/>
        <v>40876</v>
      </c>
    </row>
    <row r="6108">
      <c r="G6108" s="12">
        <f t="shared" si="1021"/>
        <v>40876</v>
      </c>
    </row>
    <row r="6109">
      <c r="G6109" s="12">
        <f t="shared" ref="G6109:G6112" si="1022">DATE(2012,12,31)-397</f>
        <v>40877</v>
      </c>
    </row>
    <row r="6110">
      <c r="G6110" s="12">
        <f t="shared" si="1022"/>
        <v>40877</v>
      </c>
    </row>
    <row r="6111">
      <c r="G6111" s="12">
        <f t="shared" si="1022"/>
        <v>40877</v>
      </c>
    </row>
    <row r="6112">
      <c r="G6112" s="12">
        <f t="shared" si="1022"/>
        <v>40877</v>
      </c>
    </row>
    <row r="6113">
      <c r="G6113" s="12">
        <f t="shared" ref="G6113:G6119" si="1023">DATE(2012,12,31)-396</f>
        <v>40878</v>
      </c>
    </row>
    <row r="6114">
      <c r="G6114" s="12">
        <f t="shared" si="1023"/>
        <v>40878</v>
      </c>
    </row>
    <row r="6115">
      <c r="G6115" s="12">
        <f t="shared" si="1023"/>
        <v>40878</v>
      </c>
    </row>
    <row r="6116">
      <c r="G6116" s="12">
        <f t="shared" si="1023"/>
        <v>40878</v>
      </c>
    </row>
    <row r="6117">
      <c r="G6117" s="12">
        <f t="shared" si="1023"/>
        <v>40878</v>
      </c>
    </row>
    <row r="6118">
      <c r="G6118" s="12">
        <f t="shared" si="1023"/>
        <v>40878</v>
      </c>
    </row>
    <row r="6119">
      <c r="G6119" s="12">
        <f t="shared" si="1023"/>
        <v>40878</v>
      </c>
    </row>
    <row r="6120">
      <c r="G6120" s="12">
        <f t="shared" ref="G6120:G6125" si="1024">DATE(2012,12,31)-395</f>
        <v>40879</v>
      </c>
    </row>
    <row r="6121">
      <c r="G6121" s="12">
        <f t="shared" si="1024"/>
        <v>40879</v>
      </c>
    </row>
    <row r="6122">
      <c r="G6122" s="12">
        <f t="shared" si="1024"/>
        <v>40879</v>
      </c>
    </row>
    <row r="6123">
      <c r="G6123" s="12">
        <f t="shared" si="1024"/>
        <v>40879</v>
      </c>
    </row>
    <row r="6124">
      <c r="G6124" s="12">
        <f t="shared" si="1024"/>
        <v>40879</v>
      </c>
    </row>
    <row r="6125">
      <c r="G6125" s="12">
        <f t="shared" si="1024"/>
        <v>40879</v>
      </c>
    </row>
    <row r="6126">
      <c r="G6126" s="12">
        <f t="shared" ref="G6126:G6130" si="1025">DATE(2012,12,31)-394</f>
        <v>40880</v>
      </c>
    </row>
    <row r="6127">
      <c r="G6127" s="12">
        <f t="shared" si="1025"/>
        <v>40880</v>
      </c>
    </row>
    <row r="6128">
      <c r="G6128" s="12">
        <f t="shared" si="1025"/>
        <v>40880</v>
      </c>
    </row>
    <row r="6129">
      <c r="G6129" s="12">
        <f t="shared" si="1025"/>
        <v>40880</v>
      </c>
    </row>
    <row r="6130">
      <c r="G6130" s="12">
        <f t="shared" si="1025"/>
        <v>40880</v>
      </c>
    </row>
    <row r="6131">
      <c r="G6131" s="12">
        <f t="shared" ref="G6131:G6135" si="1026">DATE(2012,12,31)-393</f>
        <v>40881</v>
      </c>
    </row>
    <row r="6132">
      <c r="G6132" s="12">
        <f t="shared" si="1026"/>
        <v>40881</v>
      </c>
    </row>
    <row r="6133">
      <c r="G6133" s="12">
        <f t="shared" si="1026"/>
        <v>40881</v>
      </c>
    </row>
    <row r="6134">
      <c r="G6134" s="12">
        <f t="shared" si="1026"/>
        <v>40881</v>
      </c>
    </row>
    <row r="6135">
      <c r="G6135" s="12">
        <f t="shared" si="1026"/>
        <v>40881</v>
      </c>
    </row>
    <row r="6136">
      <c r="G6136" s="12">
        <f t="shared" ref="G6136:G6140" si="1027">DATE(2012,12,31)-392</f>
        <v>40882</v>
      </c>
    </row>
    <row r="6137">
      <c r="G6137" s="12">
        <f t="shared" si="1027"/>
        <v>40882</v>
      </c>
    </row>
    <row r="6138">
      <c r="G6138" s="12">
        <f t="shared" si="1027"/>
        <v>40882</v>
      </c>
    </row>
    <row r="6139">
      <c r="G6139" s="12">
        <f t="shared" si="1027"/>
        <v>40882</v>
      </c>
    </row>
    <row r="6140">
      <c r="G6140" s="12">
        <f t="shared" si="1027"/>
        <v>40882</v>
      </c>
    </row>
    <row r="6141">
      <c r="G6141" s="12">
        <f t="shared" ref="G6141:G6144" si="1028">DATE(2012,12,31)-391</f>
        <v>40883</v>
      </c>
    </row>
    <row r="6142">
      <c r="G6142" s="12">
        <f t="shared" si="1028"/>
        <v>40883</v>
      </c>
    </row>
    <row r="6143">
      <c r="G6143" s="12">
        <f t="shared" si="1028"/>
        <v>40883</v>
      </c>
    </row>
    <row r="6144">
      <c r="G6144" s="12">
        <f t="shared" si="1028"/>
        <v>40883</v>
      </c>
    </row>
    <row r="6145">
      <c r="G6145" s="12">
        <f t="shared" ref="G6145:G6157" si="1029">DATE(2012,12,31)-390</f>
        <v>40884</v>
      </c>
    </row>
    <row r="6146">
      <c r="G6146" s="12">
        <f t="shared" si="1029"/>
        <v>40884</v>
      </c>
    </row>
    <row r="6147">
      <c r="G6147" s="12">
        <f t="shared" si="1029"/>
        <v>40884</v>
      </c>
    </row>
    <row r="6148">
      <c r="G6148" s="12">
        <f t="shared" si="1029"/>
        <v>40884</v>
      </c>
    </row>
    <row r="6149">
      <c r="G6149" s="12">
        <f t="shared" si="1029"/>
        <v>40884</v>
      </c>
    </row>
    <row r="6150">
      <c r="G6150" s="12">
        <f t="shared" si="1029"/>
        <v>40884</v>
      </c>
    </row>
    <row r="6151">
      <c r="G6151" s="12">
        <f t="shared" si="1029"/>
        <v>40884</v>
      </c>
    </row>
    <row r="6152">
      <c r="G6152" s="12">
        <f t="shared" si="1029"/>
        <v>40884</v>
      </c>
    </row>
    <row r="6153">
      <c r="G6153" s="12">
        <f t="shared" si="1029"/>
        <v>40884</v>
      </c>
    </row>
    <row r="6154">
      <c r="G6154" s="12">
        <f t="shared" si="1029"/>
        <v>40884</v>
      </c>
    </row>
    <row r="6155">
      <c r="G6155" s="12">
        <f t="shared" si="1029"/>
        <v>40884</v>
      </c>
    </row>
    <row r="6156">
      <c r="G6156" s="12">
        <f t="shared" si="1029"/>
        <v>40884</v>
      </c>
    </row>
    <row r="6157">
      <c r="G6157" s="12">
        <f t="shared" si="1029"/>
        <v>40884</v>
      </c>
    </row>
    <row r="6158">
      <c r="G6158" s="12">
        <f t="shared" ref="G6158:G6163" si="1030">DATE(2012,12,31)-389</f>
        <v>40885</v>
      </c>
    </row>
    <row r="6159">
      <c r="G6159" s="12">
        <f t="shared" si="1030"/>
        <v>40885</v>
      </c>
    </row>
    <row r="6160">
      <c r="G6160" s="12">
        <f t="shared" si="1030"/>
        <v>40885</v>
      </c>
    </row>
    <row r="6161">
      <c r="G6161" s="12">
        <f t="shared" si="1030"/>
        <v>40885</v>
      </c>
    </row>
    <row r="6162">
      <c r="G6162" s="12">
        <f t="shared" si="1030"/>
        <v>40885</v>
      </c>
    </row>
    <row r="6163">
      <c r="G6163" s="12">
        <f t="shared" si="1030"/>
        <v>40885</v>
      </c>
    </row>
    <row r="6164">
      <c r="G6164" s="12">
        <f t="shared" ref="G6164:G6169" si="1031">DATE(2012,12,31)-388</f>
        <v>40886</v>
      </c>
    </row>
    <row r="6165">
      <c r="G6165" s="12">
        <f t="shared" si="1031"/>
        <v>40886</v>
      </c>
    </row>
    <row r="6166">
      <c r="G6166" s="12">
        <f t="shared" si="1031"/>
        <v>40886</v>
      </c>
    </row>
    <row r="6167">
      <c r="G6167" s="12">
        <f t="shared" si="1031"/>
        <v>40886</v>
      </c>
    </row>
    <row r="6168">
      <c r="G6168" s="12">
        <f t="shared" si="1031"/>
        <v>40886</v>
      </c>
    </row>
    <row r="6169">
      <c r="G6169" s="12">
        <f t="shared" si="1031"/>
        <v>40886</v>
      </c>
    </row>
    <row r="6170">
      <c r="G6170" s="12">
        <f t="shared" ref="G6170:G6179" si="1032">DATE(2012,12,31)-387</f>
        <v>40887</v>
      </c>
    </row>
    <row r="6171">
      <c r="G6171" s="12">
        <f t="shared" si="1032"/>
        <v>40887</v>
      </c>
    </row>
    <row r="6172">
      <c r="G6172" s="12">
        <f t="shared" si="1032"/>
        <v>40887</v>
      </c>
    </row>
    <row r="6173">
      <c r="G6173" s="12">
        <f t="shared" si="1032"/>
        <v>40887</v>
      </c>
    </row>
    <row r="6174">
      <c r="G6174" s="12">
        <f t="shared" si="1032"/>
        <v>40887</v>
      </c>
    </row>
    <row r="6175">
      <c r="G6175" s="12">
        <f t="shared" si="1032"/>
        <v>40887</v>
      </c>
    </row>
    <row r="6176">
      <c r="G6176" s="12">
        <f t="shared" si="1032"/>
        <v>40887</v>
      </c>
    </row>
    <row r="6177">
      <c r="G6177" s="12">
        <f t="shared" si="1032"/>
        <v>40887</v>
      </c>
    </row>
    <row r="6178">
      <c r="G6178" s="12">
        <f t="shared" si="1032"/>
        <v>40887</v>
      </c>
    </row>
    <row r="6179">
      <c r="G6179" s="12">
        <f t="shared" si="1032"/>
        <v>40887</v>
      </c>
    </row>
    <row r="6180">
      <c r="G6180" s="12">
        <f t="shared" ref="G6180:G6186" si="1033">DATE(2012,12,31)-386</f>
        <v>40888</v>
      </c>
    </row>
    <row r="6181">
      <c r="G6181" s="12">
        <f t="shared" si="1033"/>
        <v>40888</v>
      </c>
    </row>
    <row r="6182">
      <c r="G6182" s="12">
        <f t="shared" si="1033"/>
        <v>40888</v>
      </c>
    </row>
    <row r="6183">
      <c r="G6183" s="12">
        <f t="shared" si="1033"/>
        <v>40888</v>
      </c>
    </row>
    <row r="6184">
      <c r="G6184" s="12">
        <f t="shared" si="1033"/>
        <v>40888</v>
      </c>
    </row>
    <row r="6185">
      <c r="G6185" s="12">
        <f t="shared" si="1033"/>
        <v>40888</v>
      </c>
    </row>
    <row r="6186">
      <c r="G6186" s="12">
        <f t="shared" si="1033"/>
        <v>40888</v>
      </c>
    </row>
    <row r="6187">
      <c r="G6187" s="12">
        <f t="shared" ref="G6187:G6188" si="1034">DATE(2012,12,31)-385</f>
        <v>40889</v>
      </c>
    </row>
    <row r="6188">
      <c r="G6188" s="12">
        <f t="shared" si="1034"/>
        <v>40889</v>
      </c>
    </row>
    <row r="6189">
      <c r="G6189" s="12">
        <f t="shared" ref="G6189:G6191" si="1035">DATE(2012,12,31)-384</f>
        <v>40890</v>
      </c>
    </row>
    <row r="6190">
      <c r="G6190" s="12">
        <f t="shared" si="1035"/>
        <v>40890</v>
      </c>
    </row>
    <row r="6191">
      <c r="G6191" s="12">
        <f t="shared" si="1035"/>
        <v>40890</v>
      </c>
    </row>
    <row r="6192">
      <c r="G6192" s="12">
        <f t="shared" ref="G6192:G6194" si="1036">DATE(2012,12,31)-383</f>
        <v>40891</v>
      </c>
    </row>
    <row r="6193">
      <c r="G6193" s="12">
        <f t="shared" si="1036"/>
        <v>40891</v>
      </c>
    </row>
    <row r="6194">
      <c r="G6194" s="12">
        <f t="shared" si="1036"/>
        <v>40891</v>
      </c>
    </row>
    <row r="6195">
      <c r="G6195" s="12">
        <f t="shared" ref="G6195:G6196" si="1037">DATE(2012,12,31)-382</f>
        <v>40892</v>
      </c>
    </row>
    <row r="6196">
      <c r="G6196" s="12">
        <f t="shared" si="1037"/>
        <v>40892</v>
      </c>
    </row>
    <row r="6197">
      <c r="G6197" s="12">
        <f t="shared" ref="G6197:G6204" si="1038">DATE(2012,12,31)-381</f>
        <v>40893</v>
      </c>
    </row>
    <row r="6198">
      <c r="G6198" s="12">
        <f t="shared" si="1038"/>
        <v>40893</v>
      </c>
    </row>
    <row r="6199">
      <c r="G6199" s="12">
        <f t="shared" si="1038"/>
        <v>40893</v>
      </c>
    </row>
    <row r="6200">
      <c r="G6200" s="12">
        <f t="shared" si="1038"/>
        <v>40893</v>
      </c>
    </row>
    <row r="6201">
      <c r="G6201" s="12">
        <f t="shared" si="1038"/>
        <v>40893</v>
      </c>
    </row>
    <row r="6202">
      <c r="G6202" s="12">
        <f t="shared" si="1038"/>
        <v>40893</v>
      </c>
    </row>
    <row r="6203">
      <c r="G6203" s="12">
        <f t="shared" si="1038"/>
        <v>40893</v>
      </c>
    </row>
    <row r="6204">
      <c r="G6204" s="12">
        <f t="shared" si="1038"/>
        <v>40893</v>
      </c>
    </row>
    <row r="6205">
      <c r="G6205" s="12">
        <f t="shared" ref="G6205:G6217" si="1039">DATE(2012,12,31)-380</f>
        <v>40894</v>
      </c>
    </row>
    <row r="6206">
      <c r="G6206" s="12">
        <f t="shared" si="1039"/>
        <v>40894</v>
      </c>
    </row>
    <row r="6207">
      <c r="G6207" s="12">
        <f t="shared" si="1039"/>
        <v>40894</v>
      </c>
    </row>
    <row r="6208">
      <c r="G6208" s="12">
        <f t="shared" si="1039"/>
        <v>40894</v>
      </c>
    </row>
    <row r="6209">
      <c r="G6209" s="12">
        <f t="shared" si="1039"/>
        <v>40894</v>
      </c>
    </row>
    <row r="6210">
      <c r="G6210" s="12">
        <f t="shared" si="1039"/>
        <v>40894</v>
      </c>
    </row>
    <row r="6211">
      <c r="G6211" s="12">
        <f t="shared" si="1039"/>
        <v>40894</v>
      </c>
    </row>
    <row r="6212">
      <c r="G6212" s="12">
        <f t="shared" si="1039"/>
        <v>40894</v>
      </c>
    </row>
    <row r="6213">
      <c r="G6213" s="12">
        <f t="shared" si="1039"/>
        <v>40894</v>
      </c>
    </row>
    <row r="6214">
      <c r="G6214" s="12">
        <f t="shared" si="1039"/>
        <v>40894</v>
      </c>
    </row>
    <row r="6215">
      <c r="G6215" s="12">
        <f t="shared" si="1039"/>
        <v>40894</v>
      </c>
    </row>
    <row r="6216">
      <c r="G6216" s="12">
        <f t="shared" si="1039"/>
        <v>40894</v>
      </c>
    </row>
    <row r="6217">
      <c r="G6217" s="12">
        <f t="shared" si="1039"/>
        <v>40894</v>
      </c>
    </row>
    <row r="6218">
      <c r="G6218" s="12">
        <f t="shared" ref="G6218:G6231" si="1040">DATE(2012,12,31)-379</f>
        <v>40895</v>
      </c>
    </row>
    <row r="6219">
      <c r="G6219" s="12">
        <f t="shared" si="1040"/>
        <v>40895</v>
      </c>
    </row>
    <row r="6220">
      <c r="G6220" s="23">
        <f t="shared" si="1040"/>
        <v>40895</v>
      </c>
    </row>
    <row r="6221">
      <c r="G6221" s="12">
        <f t="shared" si="1040"/>
        <v>40895</v>
      </c>
    </row>
    <row r="6222">
      <c r="G6222" s="12">
        <f t="shared" si="1040"/>
        <v>40895</v>
      </c>
    </row>
    <row r="6223">
      <c r="G6223" s="12">
        <f t="shared" si="1040"/>
        <v>40895</v>
      </c>
    </row>
    <row r="6224">
      <c r="G6224" s="12">
        <f t="shared" si="1040"/>
        <v>40895</v>
      </c>
    </row>
    <row r="6225">
      <c r="G6225" s="12">
        <f t="shared" si="1040"/>
        <v>40895</v>
      </c>
    </row>
    <row r="6226">
      <c r="G6226" s="12">
        <f t="shared" si="1040"/>
        <v>40895</v>
      </c>
    </row>
    <row r="6227">
      <c r="G6227" s="12">
        <f t="shared" si="1040"/>
        <v>40895</v>
      </c>
    </row>
    <row r="6228">
      <c r="G6228" s="12">
        <f t="shared" si="1040"/>
        <v>40895</v>
      </c>
    </row>
    <row r="6229">
      <c r="G6229" s="12">
        <f t="shared" si="1040"/>
        <v>40895</v>
      </c>
    </row>
    <row r="6230">
      <c r="G6230" s="12">
        <f t="shared" si="1040"/>
        <v>40895</v>
      </c>
    </row>
    <row r="6231">
      <c r="G6231" s="12">
        <f t="shared" si="1040"/>
        <v>40895</v>
      </c>
    </row>
    <row r="6232">
      <c r="G6232" s="12">
        <f t="shared" ref="G6232:G6235" si="1041">DATE(2012,12,31)-378</f>
        <v>40896</v>
      </c>
    </row>
    <row r="6233">
      <c r="G6233" s="12">
        <f t="shared" si="1041"/>
        <v>40896</v>
      </c>
    </row>
    <row r="6234">
      <c r="G6234" s="12">
        <f t="shared" si="1041"/>
        <v>40896</v>
      </c>
    </row>
    <row r="6235">
      <c r="G6235" s="12">
        <f t="shared" si="1041"/>
        <v>40896</v>
      </c>
    </row>
    <row r="6236">
      <c r="G6236" s="12">
        <f t="shared" ref="G6236:G6244" si="1042">DATE(2012,12,31)-377</f>
        <v>40897</v>
      </c>
    </row>
    <row r="6237">
      <c r="G6237" s="12">
        <f t="shared" si="1042"/>
        <v>40897</v>
      </c>
    </row>
    <row r="6238">
      <c r="G6238" s="12">
        <f t="shared" si="1042"/>
        <v>40897</v>
      </c>
    </row>
    <row r="6239">
      <c r="G6239" s="12">
        <f t="shared" si="1042"/>
        <v>40897</v>
      </c>
    </row>
    <row r="6240">
      <c r="G6240" s="12">
        <f t="shared" si="1042"/>
        <v>40897</v>
      </c>
    </row>
    <row r="6241">
      <c r="G6241" s="12">
        <f t="shared" si="1042"/>
        <v>40897</v>
      </c>
    </row>
    <row r="6242">
      <c r="G6242" s="12">
        <f t="shared" si="1042"/>
        <v>40897</v>
      </c>
    </row>
    <row r="6243">
      <c r="G6243" s="12">
        <f t="shared" si="1042"/>
        <v>40897</v>
      </c>
    </row>
    <row r="6244">
      <c r="G6244" s="12">
        <f t="shared" si="1042"/>
        <v>40897</v>
      </c>
    </row>
    <row r="6245">
      <c r="G6245" s="12">
        <f t="shared" ref="G6245:G6250" si="1043">DATE(2012,12,31)-376</f>
        <v>40898</v>
      </c>
    </row>
    <row r="6246">
      <c r="G6246" s="12">
        <f t="shared" si="1043"/>
        <v>40898</v>
      </c>
    </row>
    <row r="6247">
      <c r="G6247" s="12">
        <f t="shared" si="1043"/>
        <v>40898</v>
      </c>
    </row>
    <row r="6248">
      <c r="G6248" s="12">
        <f t="shared" si="1043"/>
        <v>40898</v>
      </c>
    </row>
    <row r="6249">
      <c r="G6249" s="12">
        <f t="shared" si="1043"/>
        <v>40898</v>
      </c>
    </row>
    <row r="6250">
      <c r="G6250" s="12">
        <f t="shared" si="1043"/>
        <v>40898</v>
      </c>
    </row>
    <row r="6251">
      <c r="G6251" s="12">
        <f t="shared" ref="G6251:G6255" si="1044">DATE(2012,12,31)-375</f>
        <v>40899</v>
      </c>
    </row>
    <row r="6252">
      <c r="G6252" s="12">
        <f t="shared" si="1044"/>
        <v>40899</v>
      </c>
    </row>
    <row r="6253">
      <c r="G6253" s="12">
        <f t="shared" si="1044"/>
        <v>40899</v>
      </c>
    </row>
    <row r="6254">
      <c r="G6254" s="12">
        <f t="shared" si="1044"/>
        <v>40899</v>
      </c>
    </row>
    <row r="6255">
      <c r="G6255" s="12">
        <f t="shared" si="1044"/>
        <v>40899</v>
      </c>
    </row>
    <row r="6256">
      <c r="G6256" s="12">
        <f t="shared" ref="G6256:G6262" si="1045">DATE(2012,12,31)-373</f>
        <v>40901</v>
      </c>
    </row>
    <row r="6257">
      <c r="G6257" s="12">
        <f t="shared" si="1045"/>
        <v>40901</v>
      </c>
    </row>
    <row r="6258">
      <c r="G6258" s="12">
        <f t="shared" si="1045"/>
        <v>40901</v>
      </c>
    </row>
    <row r="6259">
      <c r="G6259" s="12">
        <f t="shared" si="1045"/>
        <v>40901</v>
      </c>
    </row>
    <row r="6260">
      <c r="G6260" s="12">
        <f t="shared" si="1045"/>
        <v>40901</v>
      </c>
    </row>
    <row r="6261">
      <c r="G6261" s="12">
        <f t="shared" si="1045"/>
        <v>40901</v>
      </c>
    </row>
    <row r="6262">
      <c r="G6262" s="12">
        <f t="shared" si="1045"/>
        <v>40901</v>
      </c>
    </row>
    <row r="6263">
      <c r="G6263" s="12">
        <f t="shared" ref="G6263:G6269" si="1046">DATE(2012,12,31)-372</f>
        <v>40902</v>
      </c>
    </row>
    <row r="6264">
      <c r="G6264" s="12">
        <f t="shared" si="1046"/>
        <v>40902</v>
      </c>
    </row>
    <row r="6265">
      <c r="G6265" s="12">
        <f t="shared" si="1046"/>
        <v>40902</v>
      </c>
    </row>
    <row r="6266">
      <c r="G6266" s="12">
        <f t="shared" si="1046"/>
        <v>40902</v>
      </c>
    </row>
    <row r="6267">
      <c r="G6267" s="12">
        <f t="shared" si="1046"/>
        <v>40902</v>
      </c>
    </row>
    <row r="6268">
      <c r="G6268" s="12">
        <f t="shared" si="1046"/>
        <v>40902</v>
      </c>
    </row>
    <row r="6269">
      <c r="G6269" s="12">
        <f t="shared" si="1046"/>
        <v>40902</v>
      </c>
    </row>
    <row r="6270">
      <c r="G6270" s="12">
        <f t="shared" ref="G6270:G6271" si="1047">DATE(2012,12,31)-371</f>
        <v>40903</v>
      </c>
    </row>
    <row r="6271">
      <c r="G6271" s="12">
        <f t="shared" si="1047"/>
        <v>40903</v>
      </c>
    </row>
    <row r="6272">
      <c r="G6272" s="12">
        <f t="shared" ref="G6272:G6273" si="1048">DATE(2012,12,31)-370</f>
        <v>40904</v>
      </c>
    </row>
    <row r="6273">
      <c r="G6273" s="12">
        <f t="shared" si="1048"/>
        <v>40904</v>
      </c>
    </row>
    <row r="6274">
      <c r="G6274" s="12">
        <f>DATE(2012,12,31)-369</f>
        <v>40905</v>
      </c>
    </row>
    <row r="6275">
      <c r="G6275" s="12">
        <f t="shared" ref="G6275:G6281" si="1049">DATE(2012,12,31)-368</f>
        <v>40906</v>
      </c>
    </row>
    <row r="6276">
      <c r="G6276" s="12">
        <f t="shared" si="1049"/>
        <v>40906</v>
      </c>
    </row>
    <row r="6277">
      <c r="G6277" s="12">
        <f t="shared" si="1049"/>
        <v>40906</v>
      </c>
    </row>
    <row r="6278">
      <c r="G6278" s="12">
        <f t="shared" si="1049"/>
        <v>40906</v>
      </c>
    </row>
    <row r="6279">
      <c r="G6279" s="12">
        <f t="shared" si="1049"/>
        <v>40906</v>
      </c>
    </row>
    <row r="6280">
      <c r="G6280" s="12">
        <f t="shared" si="1049"/>
        <v>40906</v>
      </c>
    </row>
    <row r="6281">
      <c r="G6281" s="12">
        <f t="shared" si="1049"/>
        <v>40906</v>
      </c>
    </row>
    <row r="6282">
      <c r="G6282" s="12">
        <f t="shared" ref="G6282:G6292" si="1050">DATE(2012,12,31)-367</f>
        <v>40907</v>
      </c>
    </row>
    <row r="6283">
      <c r="G6283" s="12">
        <f t="shared" si="1050"/>
        <v>40907</v>
      </c>
    </row>
    <row r="6284">
      <c r="G6284" s="12">
        <f t="shared" si="1050"/>
        <v>40907</v>
      </c>
    </row>
    <row r="6285">
      <c r="G6285" s="12">
        <f t="shared" si="1050"/>
        <v>40907</v>
      </c>
    </row>
    <row r="6286">
      <c r="G6286" s="12">
        <f t="shared" si="1050"/>
        <v>40907</v>
      </c>
    </row>
    <row r="6287">
      <c r="G6287" s="12">
        <f t="shared" si="1050"/>
        <v>40907</v>
      </c>
    </row>
    <row r="6288">
      <c r="G6288" s="12">
        <f t="shared" si="1050"/>
        <v>40907</v>
      </c>
    </row>
    <row r="6289">
      <c r="G6289" s="12">
        <f t="shared" si="1050"/>
        <v>40907</v>
      </c>
    </row>
    <row r="6290">
      <c r="G6290" s="12">
        <f t="shared" si="1050"/>
        <v>40907</v>
      </c>
    </row>
    <row r="6291">
      <c r="G6291" s="12">
        <f t="shared" si="1050"/>
        <v>40907</v>
      </c>
    </row>
    <row r="6292">
      <c r="G6292" s="12">
        <f t="shared" si="1050"/>
        <v>40907</v>
      </c>
    </row>
    <row r="6293">
      <c r="G6293" s="12">
        <f t="shared" ref="G6293:G6298" si="1051">DATE(2012,12,31)-366</f>
        <v>40908</v>
      </c>
    </row>
    <row r="6294">
      <c r="G6294" s="12">
        <f t="shared" si="1051"/>
        <v>40908</v>
      </c>
    </row>
    <row r="6295">
      <c r="G6295" s="12">
        <f t="shared" si="1051"/>
        <v>40908</v>
      </c>
    </row>
    <row r="6296">
      <c r="G6296" s="12">
        <f t="shared" si="1051"/>
        <v>40908</v>
      </c>
    </row>
    <row r="6297">
      <c r="G6297" s="12">
        <f t="shared" si="1051"/>
        <v>40908</v>
      </c>
    </row>
    <row r="6298">
      <c r="G6298" s="30">
        <f t="shared" si="1051"/>
        <v>40908</v>
      </c>
    </row>
    <row r="6299">
      <c r="G6299" s="12">
        <f t="shared" ref="G6299:G6300" si="1052">DATE(2012,12,31)-365</f>
        <v>40909</v>
      </c>
    </row>
    <row r="6300">
      <c r="G6300" s="12">
        <f t="shared" si="1052"/>
        <v>40909</v>
      </c>
    </row>
    <row r="6301">
      <c r="G6301" s="12">
        <f t="shared" ref="G6301:G6303" si="1053">DATE(2012,12,31)-364</f>
        <v>40910</v>
      </c>
    </row>
    <row r="6302">
      <c r="G6302" s="12">
        <f t="shared" si="1053"/>
        <v>40910</v>
      </c>
    </row>
    <row r="6303">
      <c r="G6303" s="12">
        <f t="shared" si="1053"/>
        <v>40910</v>
      </c>
    </row>
    <row r="6304">
      <c r="G6304" s="12">
        <f t="shared" ref="G6304:G6311" si="1054">DATE(2012,12,31)-363</f>
        <v>40911</v>
      </c>
    </row>
    <row r="6305">
      <c r="G6305" s="12">
        <f t="shared" si="1054"/>
        <v>40911</v>
      </c>
    </row>
    <row r="6306">
      <c r="G6306" s="12">
        <f t="shared" si="1054"/>
        <v>40911</v>
      </c>
    </row>
    <row r="6307">
      <c r="G6307" s="12">
        <f t="shared" si="1054"/>
        <v>40911</v>
      </c>
    </row>
    <row r="6308">
      <c r="G6308" s="12">
        <f t="shared" si="1054"/>
        <v>40911</v>
      </c>
    </row>
    <row r="6309">
      <c r="G6309" s="12">
        <f t="shared" si="1054"/>
        <v>40911</v>
      </c>
    </row>
    <row r="6310">
      <c r="G6310" s="12">
        <f t="shared" si="1054"/>
        <v>40911</v>
      </c>
    </row>
    <row r="6311">
      <c r="G6311" s="12">
        <f t="shared" si="1054"/>
        <v>40911</v>
      </c>
    </row>
    <row r="6312">
      <c r="G6312" s="12">
        <f t="shared" ref="G6312:G6320" si="1055">DATE(2012,12,31)-362</f>
        <v>40912</v>
      </c>
    </row>
    <row r="6313">
      <c r="G6313" s="12">
        <f t="shared" si="1055"/>
        <v>40912</v>
      </c>
    </row>
    <row r="6314">
      <c r="G6314" s="12">
        <f t="shared" si="1055"/>
        <v>40912</v>
      </c>
    </row>
    <row r="6315">
      <c r="G6315" s="12">
        <f t="shared" si="1055"/>
        <v>40912</v>
      </c>
    </row>
    <row r="6316">
      <c r="G6316" s="12">
        <f t="shared" si="1055"/>
        <v>40912</v>
      </c>
    </row>
    <row r="6317">
      <c r="G6317" s="12">
        <f t="shared" si="1055"/>
        <v>40912</v>
      </c>
    </row>
    <row r="6318">
      <c r="G6318" s="12">
        <f t="shared" si="1055"/>
        <v>40912</v>
      </c>
    </row>
    <row r="6319">
      <c r="G6319" s="12">
        <f t="shared" si="1055"/>
        <v>40912</v>
      </c>
    </row>
    <row r="6320">
      <c r="G6320" s="12">
        <f t="shared" si="1055"/>
        <v>40912</v>
      </c>
    </row>
    <row r="6321">
      <c r="G6321" s="12">
        <f t="shared" ref="G6321:G6334" si="1056">DATE(2012,12,31)-361</f>
        <v>40913</v>
      </c>
    </row>
    <row r="6322">
      <c r="G6322" s="12">
        <f t="shared" si="1056"/>
        <v>40913</v>
      </c>
    </row>
    <row r="6323">
      <c r="G6323" s="12">
        <f t="shared" si="1056"/>
        <v>40913</v>
      </c>
    </row>
    <row r="6324">
      <c r="G6324" s="12">
        <f t="shared" si="1056"/>
        <v>40913</v>
      </c>
    </row>
    <row r="6325">
      <c r="G6325" s="12">
        <f t="shared" si="1056"/>
        <v>40913</v>
      </c>
    </row>
    <row r="6326">
      <c r="G6326" s="12">
        <f t="shared" si="1056"/>
        <v>40913</v>
      </c>
    </row>
    <row r="6327">
      <c r="G6327" s="12">
        <f t="shared" si="1056"/>
        <v>40913</v>
      </c>
    </row>
    <row r="6328">
      <c r="G6328" s="12">
        <f t="shared" si="1056"/>
        <v>40913</v>
      </c>
    </row>
    <row r="6329">
      <c r="G6329" s="12">
        <f t="shared" si="1056"/>
        <v>40913</v>
      </c>
    </row>
    <row r="6330">
      <c r="G6330" s="12">
        <f t="shared" si="1056"/>
        <v>40913</v>
      </c>
    </row>
    <row r="6331">
      <c r="G6331" s="12">
        <f t="shared" si="1056"/>
        <v>40913</v>
      </c>
    </row>
    <row r="6332">
      <c r="G6332" s="12">
        <f t="shared" si="1056"/>
        <v>40913</v>
      </c>
    </row>
    <row r="6333">
      <c r="G6333" s="12">
        <f t="shared" si="1056"/>
        <v>40913</v>
      </c>
    </row>
    <row r="6334">
      <c r="G6334" s="12">
        <f t="shared" si="1056"/>
        <v>40913</v>
      </c>
    </row>
    <row r="6335">
      <c r="G6335" s="12">
        <f t="shared" ref="G6335:G6338" si="1057">DATE(2012,12,31)-360</f>
        <v>40914</v>
      </c>
    </row>
    <row r="6336">
      <c r="G6336" s="12">
        <f t="shared" si="1057"/>
        <v>40914</v>
      </c>
    </row>
    <row r="6337">
      <c r="G6337" s="12">
        <f t="shared" si="1057"/>
        <v>40914</v>
      </c>
    </row>
    <row r="6338">
      <c r="G6338" s="12">
        <f t="shared" si="1057"/>
        <v>40914</v>
      </c>
    </row>
    <row r="6339">
      <c r="G6339" s="12">
        <f t="shared" ref="G6339:G6341" si="1058">DATE(2012,12,31)-359</f>
        <v>40915</v>
      </c>
    </row>
    <row r="6340">
      <c r="G6340" s="12">
        <f t="shared" si="1058"/>
        <v>40915</v>
      </c>
    </row>
    <row r="6341">
      <c r="G6341" s="12">
        <f t="shared" si="1058"/>
        <v>40915</v>
      </c>
    </row>
    <row r="6342">
      <c r="G6342" s="12">
        <f t="shared" ref="G6342:G6352" si="1059">DATE(2012,12,31)-358</f>
        <v>40916</v>
      </c>
    </row>
    <row r="6343">
      <c r="G6343" s="12">
        <f t="shared" si="1059"/>
        <v>40916</v>
      </c>
    </row>
    <row r="6344">
      <c r="G6344" s="12">
        <f t="shared" si="1059"/>
        <v>40916</v>
      </c>
    </row>
    <row r="6345">
      <c r="G6345" s="12">
        <f t="shared" si="1059"/>
        <v>40916</v>
      </c>
    </row>
    <row r="6346">
      <c r="G6346" s="12">
        <f t="shared" si="1059"/>
        <v>40916</v>
      </c>
    </row>
    <row r="6347">
      <c r="G6347" s="12">
        <f t="shared" si="1059"/>
        <v>40916</v>
      </c>
    </row>
    <row r="6348">
      <c r="G6348" s="12">
        <f t="shared" si="1059"/>
        <v>40916</v>
      </c>
    </row>
    <row r="6349">
      <c r="G6349" s="12">
        <f t="shared" si="1059"/>
        <v>40916</v>
      </c>
    </row>
    <row r="6350">
      <c r="G6350" s="12">
        <f t="shared" si="1059"/>
        <v>40916</v>
      </c>
    </row>
    <row r="6351">
      <c r="G6351" s="12">
        <f t="shared" si="1059"/>
        <v>40916</v>
      </c>
    </row>
    <row r="6352">
      <c r="G6352" s="12">
        <f t="shared" si="1059"/>
        <v>40916</v>
      </c>
    </row>
    <row r="6353">
      <c r="G6353" s="12">
        <f t="shared" ref="G6353:G6356" si="1060">DATE(2012,12,31)-357</f>
        <v>40917</v>
      </c>
    </row>
    <row r="6354">
      <c r="G6354" s="12">
        <f t="shared" si="1060"/>
        <v>40917</v>
      </c>
    </row>
    <row r="6355">
      <c r="G6355" s="12">
        <f t="shared" si="1060"/>
        <v>40917</v>
      </c>
    </row>
    <row r="6356">
      <c r="G6356" s="12">
        <f t="shared" si="1060"/>
        <v>40917</v>
      </c>
    </row>
    <row r="6357">
      <c r="G6357" s="12">
        <f t="shared" ref="G6357:G6361" si="1061">DATE(2012,12,31)-356</f>
        <v>40918</v>
      </c>
    </row>
    <row r="6358">
      <c r="G6358" s="12">
        <f t="shared" si="1061"/>
        <v>40918</v>
      </c>
    </row>
    <row r="6359">
      <c r="G6359" s="12">
        <f t="shared" si="1061"/>
        <v>40918</v>
      </c>
    </row>
    <row r="6360">
      <c r="G6360" s="12">
        <f t="shared" si="1061"/>
        <v>40918</v>
      </c>
    </row>
    <row r="6361">
      <c r="G6361" s="12">
        <f t="shared" si="1061"/>
        <v>40918</v>
      </c>
    </row>
    <row r="6362">
      <c r="G6362" s="12">
        <f t="shared" ref="G6362:G6369" si="1062">DATE(2012,12,31)-355</f>
        <v>40919</v>
      </c>
    </row>
    <row r="6363">
      <c r="G6363" s="12">
        <f t="shared" si="1062"/>
        <v>40919</v>
      </c>
    </row>
    <row r="6364">
      <c r="G6364" s="12">
        <f t="shared" si="1062"/>
        <v>40919</v>
      </c>
    </row>
    <row r="6365">
      <c r="G6365" s="12">
        <f t="shared" si="1062"/>
        <v>40919</v>
      </c>
    </row>
    <row r="6366">
      <c r="G6366" s="12">
        <f t="shared" si="1062"/>
        <v>40919</v>
      </c>
    </row>
    <row r="6367">
      <c r="G6367" s="12">
        <f t="shared" si="1062"/>
        <v>40919</v>
      </c>
    </row>
    <row r="6368">
      <c r="G6368" s="12">
        <f t="shared" si="1062"/>
        <v>40919</v>
      </c>
    </row>
    <row r="6369">
      <c r="G6369" s="12">
        <f t="shared" si="1062"/>
        <v>40919</v>
      </c>
    </row>
    <row r="6370">
      <c r="G6370" s="12">
        <f t="shared" ref="G6370:G6378" si="1063">DATE(2012,12,31)-354</f>
        <v>40920</v>
      </c>
    </row>
    <row r="6371">
      <c r="G6371" s="12">
        <f t="shared" si="1063"/>
        <v>40920</v>
      </c>
    </row>
    <row r="6372">
      <c r="G6372" s="12">
        <f t="shared" si="1063"/>
        <v>40920</v>
      </c>
    </row>
    <row r="6373">
      <c r="G6373" s="12">
        <f t="shared" si="1063"/>
        <v>40920</v>
      </c>
    </row>
    <row r="6374">
      <c r="G6374" s="12">
        <f t="shared" si="1063"/>
        <v>40920</v>
      </c>
    </row>
    <row r="6375">
      <c r="G6375" s="12">
        <f t="shared" si="1063"/>
        <v>40920</v>
      </c>
    </row>
    <row r="6376">
      <c r="G6376" s="12">
        <f t="shared" si="1063"/>
        <v>40920</v>
      </c>
    </row>
    <row r="6377">
      <c r="G6377" s="12">
        <f t="shared" si="1063"/>
        <v>40920</v>
      </c>
    </row>
    <row r="6378">
      <c r="G6378" s="12">
        <f t="shared" si="1063"/>
        <v>40920</v>
      </c>
    </row>
    <row r="6379">
      <c r="G6379" s="12">
        <f t="shared" ref="G6379:G6385" si="1064">DATE(2012,12,31)-353</f>
        <v>40921</v>
      </c>
    </row>
    <row r="6380">
      <c r="G6380" s="12">
        <f t="shared" si="1064"/>
        <v>40921</v>
      </c>
    </row>
    <row r="6381">
      <c r="G6381" s="12">
        <f t="shared" si="1064"/>
        <v>40921</v>
      </c>
    </row>
    <row r="6382">
      <c r="G6382" s="12">
        <f t="shared" si="1064"/>
        <v>40921</v>
      </c>
    </row>
    <row r="6383">
      <c r="G6383" s="12">
        <f t="shared" si="1064"/>
        <v>40921</v>
      </c>
    </row>
    <row r="6384">
      <c r="G6384" s="12">
        <f t="shared" si="1064"/>
        <v>40921</v>
      </c>
    </row>
    <row r="6385">
      <c r="G6385" s="12">
        <f t="shared" si="1064"/>
        <v>40921</v>
      </c>
    </row>
    <row r="6386">
      <c r="G6386" s="12">
        <f>DATE(2012,12,31)-352</f>
        <v>40922</v>
      </c>
    </row>
    <row r="6387">
      <c r="G6387" s="12">
        <f t="shared" ref="G6387:G6389" si="1065">DATE(2012,12,31)-351</f>
        <v>40923</v>
      </c>
    </row>
    <row r="6388">
      <c r="G6388" s="12">
        <f t="shared" si="1065"/>
        <v>40923</v>
      </c>
    </row>
    <row r="6389">
      <c r="G6389" s="12">
        <f t="shared" si="1065"/>
        <v>40923</v>
      </c>
    </row>
    <row r="6390">
      <c r="G6390" s="12">
        <f t="shared" ref="G6390:G6396" si="1066">DATE(2012,12,31)-350</f>
        <v>40924</v>
      </c>
    </row>
    <row r="6391">
      <c r="G6391" s="12">
        <f t="shared" si="1066"/>
        <v>40924</v>
      </c>
    </row>
    <row r="6392">
      <c r="G6392" s="12">
        <f t="shared" si="1066"/>
        <v>40924</v>
      </c>
    </row>
    <row r="6393">
      <c r="G6393" s="12">
        <f t="shared" si="1066"/>
        <v>40924</v>
      </c>
    </row>
    <row r="6394">
      <c r="G6394" s="12">
        <f t="shared" si="1066"/>
        <v>40924</v>
      </c>
    </row>
    <row r="6395">
      <c r="G6395" s="12">
        <f t="shared" si="1066"/>
        <v>40924</v>
      </c>
    </row>
    <row r="6396">
      <c r="G6396" s="12">
        <f t="shared" si="1066"/>
        <v>40924</v>
      </c>
    </row>
    <row r="6397">
      <c r="G6397" s="12">
        <f t="shared" ref="G6397:G6402" si="1067">DATE(2012,12,31)-348</f>
        <v>40926</v>
      </c>
    </row>
    <row r="6398">
      <c r="G6398" s="12">
        <f t="shared" si="1067"/>
        <v>40926</v>
      </c>
    </row>
    <row r="6399">
      <c r="G6399" s="12">
        <f t="shared" si="1067"/>
        <v>40926</v>
      </c>
    </row>
    <row r="6400">
      <c r="G6400" s="12">
        <f t="shared" si="1067"/>
        <v>40926</v>
      </c>
    </row>
    <row r="6401">
      <c r="G6401" s="12">
        <f t="shared" si="1067"/>
        <v>40926</v>
      </c>
    </row>
    <row r="6402">
      <c r="G6402" s="12">
        <f t="shared" si="1067"/>
        <v>40926</v>
      </c>
    </row>
    <row r="6403">
      <c r="G6403" s="12">
        <f t="shared" ref="G6403:G6412" si="1068">DATE(2012,12,31)-347</f>
        <v>40927</v>
      </c>
    </row>
    <row r="6404">
      <c r="G6404" s="12">
        <f t="shared" si="1068"/>
        <v>40927</v>
      </c>
    </row>
    <row r="6405">
      <c r="G6405" s="12">
        <f t="shared" si="1068"/>
        <v>40927</v>
      </c>
    </row>
    <row r="6406">
      <c r="G6406" s="12">
        <f t="shared" si="1068"/>
        <v>40927</v>
      </c>
    </row>
    <row r="6407">
      <c r="G6407" s="12">
        <f t="shared" si="1068"/>
        <v>40927</v>
      </c>
    </row>
    <row r="6408">
      <c r="G6408" s="12">
        <f t="shared" si="1068"/>
        <v>40927</v>
      </c>
    </row>
    <row r="6409">
      <c r="G6409" s="12">
        <f t="shared" si="1068"/>
        <v>40927</v>
      </c>
    </row>
    <row r="6410">
      <c r="G6410" s="12">
        <f t="shared" si="1068"/>
        <v>40927</v>
      </c>
    </row>
    <row r="6411">
      <c r="G6411" s="12">
        <f t="shared" si="1068"/>
        <v>40927</v>
      </c>
    </row>
    <row r="6412">
      <c r="G6412" s="12">
        <f t="shared" si="1068"/>
        <v>40927</v>
      </c>
    </row>
    <row r="6413">
      <c r="G6413" s="12">
        <f t="shared" ref="G6413:G6417" si="1069">DATE(2012,12,31)-346</f>
        <v>40928</v>
      </c>
    </row>
    <row r="6414">
      <c r="G6414" s="12">
        <f t="shared" si="1069"/>
        <v>40928</v>
      </c>
    </row>
    <row r="6415">
      <c r="G6415" s="12">
        <f t="shared" si="1069"/>
        <v>40928</v>
      </c>
    </row>
    <row r="6416">
      <c r="G6416" s="12">
        <f t="shared" si="1069"/>
        <v>40928</v>
      </c>
    </row>
    <row r="6417">
      <c r="G6417" s="12">
        <f t="shared" si="1069"/>
        <v>40928</v>
      </c>
    </row>
    <row r="6418">
      <c r="G6418" s="12">
        <f t="shared" ref="G6418:G6420" si="1070">DATE(2012,12,31)-345</f>
        <v>40929</v>
      </c>
    </row>
    <row r="6419">
      <c r="G6419" s="12">
        <f t="shared" si="1070"/>
        <v>40929</v>
      </c>
    </row>
    <row r="6420">
      <c r="G6420" s="12">
        <f t="shared" si="1070"/>
        <v>40929</v>
      </c>
    </row>
    <row r="6421">
      <c r="G6421" s="12">
        <f t="shared" ref="G6421:G6425" si="1071">DATE(2012,12,31)-344</f>
        <v>40930</v>
      </c>
    </row>
    <row r="6422">
      <c r="G6422" s="12">
        <f t="shared" si="1071"/>
        <v>40930</v>
      </c>
    </row>
    <row r="6423">
      <c r="G6423" s="12">
        <f t="shared" si="1071"/>
        <v>40930</v>
      </c>
    </row>
    <row r="6424">
      <c r="G6424" s="12">
        <f t="shared" si="1071"/>
        <v>40930</v>
      </c>
    </row>
    <row r="6425">
      <c r="G6425" s="12">
        <f t="shared" si="1071"/>
        <v>40930</v>
      </c>
    </row>
    <row r="6426">
      <c r="G6426" s="12">
        <f t="shared" ref="G6426:G6430" si="1072">DATE(2012,12,31)-343</f>
        <v>40931</v>
      </c>
    </row>
    <row r="6427">
      <c r="G6427" s="12">
        <f t="shared" si="1072"/>
        <v>40931</v>
      </c>
    </row>
    <row r="6428">
      <c r="G6428" s="12">
        <f t="shared" si="1072"/>
        <v>40931</v>
      </c>
    </row>
    <row r="6429">
      <c r="G6429" s="12">
        <f t="shared" si="1072"/>
        <v>40931</v>
      </c>
    </row>
    <row r="6430">
      <c r="G6430" s="12">
        <f t="shared" si="1072"/>
        <v>40931</v>
      </c>
    </row>
    <row r="6431">
      <c r="G6431" s="12">
        <f t="shared" ref="G6431:G6436" si="1073">DATE(2012,12,31)-342</f>
        <v>40932</v>
      </c>
    </row>
    <row r="6432">
      <c r="G6432" s="12">
        <f t="shared" si="1073"/>
        <v>40932</v>
      </c>
    </row>
    <row r="6433">
      <c r="G6433" s="12">
        <f t="shared" si="1073"/>
        <v>40932</v>
      </c>
    </row>
    <row r="6434">
      <c r="G6434" s="12">
        <f t="shared" si="1073"/>
        <v>40932</v>
      </c>
    </row>
    <row r="6435">
      <c r="G6435" s="12">
        <f t="shared" si="1073"/>
        <v>40932</v>
      </c>
    </row>
    <row r="6436">
      <c r="G6436" s="12">
        <f t="shared" si="1073"/>
        <v>40932</v>
      </c>
    </row>
    <row r="6437">
      <c r="G6437" s="12">
        <f t="shared" ref="G6437:G6439" si="1074">DATE(2012,12,31)-341</f>
        <v>40933</v>
      </c>
    </row>
    <row r="6438">
      <c r="G6438" s="12">
        <f t="shared" si="1074"/>
        <v>40933</v>
      </c>
    </row>
    <row r="6439">
      <c r="G6439" s="12">
        <f t="shared" si="1074"/>
        <v>40933</v>
      </c>
    </row>
    <row r="6440">
      <c r="G6440" s="12">
        <f t="shared" ref="G6440:G6444" si="1075">DATE(2012,12,31)-340</f>
        <v>40934</v>
      </c>
    </row>
    <row r="6441">
      <c r="G6441" s="12">
        <f t="shared" si="1075"/>
        <v>40934</v>
      </c>
    </row>
    <row r="6442">
      <c r="G6442" s="12">
        <f t="shared" si="1075"/>
        <v>40934</v>
      </c>
    </row>
    <row r="6443">
      <c r="G6443" s="12">
        <f t="shared" si="1075"/>
        <v>40934</v>
      </c>
    </row>
    <row r="6444">
      <c r="G6444" s="12">
        <f t="shared" si="1075"/>
        <v>40934</v>
      </c>
    </row>
    <row r="6445">
      <c r="G6445" s="12">
        <f t="shared" ref="G6445:G6452" si="1076">DATE(2012,12,31)-339</f>
        <v>40935</v>
      </c>
    </row>
    <row r="6446">
      <c r="G6446" s="12">
        <f t="shared" si="1076"/>
        <v>40935</v>
      </c>
    </row>
    <row r="6447">
      <c r="G6447" s="12">
        <f t="shared" si="1076"/>
        <v>40935</v>
      </c>
    </row>
    <row r="6448">
      <c r="G6448" s="12">
        <f t="shared" si="1076"/>
        <v>40935</v>
      </c>
    </row>
    <row r="6449">
      <c r="G6449" s="12">
        <f t="shared" si="1076"/>
        <v>40935</v>
      </c>
    </row>
    <row r="6450">
      <c r="G6450" s="12">
        <f t="shared" si="1076"/>
        <v>40935</v>
      </c>
    </row>
    <row r="6451">
      <c r="G6451" s="12">
        <f t="shared" si="1076"/>
        <v>40935</v>
      </c>
    </row>
    <row r="6452">
      <c r="G6452" s="12">
        <f t="shared" si="1076"/>
        <v>40935</v>
      </c>
    </row>
    <row r="6453">
      <c r="G6453" s="12">
        <f t="shared" ref="G6453:G6456" si="1077">DATE(2012,12,31)-338</f>
        <v>40936</v>
      </c>
    </row>
    <row r="6454">
      <c r="G6454" s="12">
        <f t="shared" si="1077"/>
        <v>40936</v>
      </c>
    </row>
    <row r="6455">
      <c r="G6455" s="12">
        <f t="shared" si="1077"/>
        <v>40936</v>
      </c>
    </row>
    <row r="6456">
      <c r="G6456" s="12">
        <f t="shared" si="1077"/>
        <v>40936</v>
      </c>
    </row>
    <row r="6457">
      <c r="G6457" s="12">
        <f>DATE(2012,12,31)-337</f>
        <v>40937</v>
      </c>
    </row>
    <row r="6458">
      <c r="G6458" s="12">
        <f t="shared" ref="G6458:G6466" si="1078">DATE(2012,12,31)-336</f>
        <v>40938</v>
      </c>
    </row>
    <row r="6459">
      <c r="G6459" s="12">
        <f t="shared" si="1078"/>
        <v>40938</v>
      </c>
    </row>
    <row r="6460">
      <c r="G6460" s="12">
        <f t="shared" si="1078"/>
        <v>40938</v>
      </c>
    </row>
    <row r="6461">
      <c r="G6461" s="12">
        <f t="shared" si="1078"/>
        <v>40938</v>
      </c>
    </row>
    <row r="6462">
      <c r="G6462" s="12">
        <f t="shared" si="1078"/>
        <v>40938</v>
      </c>
    </row>
    <row r="6463">
      <c r="G6463" s="12">
        <f t="shared" si="1078"/>
        <v>40938</v>
      </c>
    </row>
    <row r="6464">
      <c r="G6464" s="12">
        <f t="shared" si="1078"/>
        <v>40938</v>
      </c>
    </row>
    <row r="6465">
      <c r="G6465" s="12">
        <f t="shared" si="1078"/>
        <v>40938</v>
      </c>
    </row>
    <row r="6466">
      <c r="G6466" s="12">
        <f t="shared" si="1078"/>
        <v>40938</v>
      </c>
    </row>
    <row r="6467">
      <c r="G6467" s="12">
        <f t="shared" ref="G6467:G6471" si="1079">DATE(2012,12,31)-335</f>
        <v>40939</v>
      </c>
    </row>
    <row r="6468">
      <c r="G6468" s="12">
        <f t="shared" si="1079"/>
        <v>40939</v>
      </c>
    </row>
    <row r="6469">
      <c r="G6469" s="12">
        <f t="shared" si="1079"/>
        <v>40939</v>
      </c>
    </row>
    <row r="6470">
      <c r="G6470" s="12">
        <f t="shared" si="1079"/>
        <v>40939</v>
      </c>
    </row>
    <row r="6471">
      <c r="G6471" s="12">
        <f t="shared" si="1079"/>
        <v>40939</v>
      </c>
    </row>
    <row r="6472">
      <c r="G6472" s="12">
        <f t="shared" ref="G6472:G6477" si="1080">DATE(2012,12,31)-334</f>
        <v>40940</v>
      </c>
    </row>
    <row r="6473">
      <c r="G6473" s="12">
        <f t="shared" si="1080"/>
        <v>40940</v>
      </c>
    </row>
    <row r="6474">
      <c r="G6474" s="12">
        <f t="shared" si="1080"/>
        <v>40940</v>
      </c>
    </row>
    <row r="6475">
      <c r="G6475" s="12">
        <f t="shared" si="1080"/>
        <v>40940</v>
      </c>
    </row>
    <row r="6476">
      <c r="G6476" s="12">
        <f t="shared" si="1080"/>
        <v>40940</v>
      </c>
    </row>
    <row r="6477">
      <c r="G6477" s="12">
        <f t="shared" si="1080"/>
        <v>40940</v>
      </c>
    </row>
    <row r="6478">
      <c r="G6478" s="12">
        <f t="shared" ref="G6478:G6483" si="1081">DATE(2012,12,31)-333</f>
        <v>40941</v>
      </c>
    </row>
    <row r="6479">
      <c r="G6479" s="12">
        <f t="shared" si="1081"/>
        <v>40941</v>
      </c>
    </row>
    <row r="6480">
      <c r="G6480" s="12">
        <f t="shared" si="1081"/>
        <v>40941</v>
      </c>
    </row>
    <row r="6481">
      <c r="G6481" s="12">
        <f t="shared" si="1081"/>
        <v>40941</v>
      </c>
    </row>
    <row r="6482">
      <c r="G6482" s="12">
        <f t="shared" si="1081"/>
        <v>40941</v>
      </c>
    </row>
    <row r="6483">
      <c r="G6483" s="12">
        <f t="shared" si="1081"/>
        <v>40941</v>
      </c>
    </row>
    <row r="6484">
      <c r="G6484" s="12">
        <f t="shared" ref="G6484:G6485" si="1082">DATE(2012,12,31)-331</f>
        <v>40943</v>
      </c>
    </row>
    <row r="6485">
      <c r="G6485" s="12">
        <f t="shared" si="1082"/>
        <v>40943</v>
      </c>
    </row>
    <row r="6486">
      <c r="G6486" s="12">
        <f t="shared" ref="G6486:G6491" si="1083">DATE(2012,12,31)-330</f>
        <v>40944</v>
      </c>
    </row>
    <row r="6487">
      <c r="G6487" s="12">
        <f t="shared" si="1083"/>
        <v>40944</v>
      </c>
    </row>
    <row r="6488">
      <c r="G6488" s="12">
        <f t="shared" si="1083"/>
        <v>40944</v>
      </c>
    </row>
    <row r="6489">
      <c r="G6489" s="12">
        <f t="shared" si="1083"/>
        <v>40944</v>
      </c>
    </row>
    <row r="6490">
      <c r="G6490" s="12">
        <f t="shared" si="1083"/>
        <v>40944</v>
      </c>
    </row>
    <row r="6491">
      <c r="G6491" s="12">
        <f t="shared" si="1083"/>
        <v>40944</v>
      </c>
    </row>
    <row r="6492">
      <c r="G6492" s="12">
        <f t="shared" ref="G6492:G6496" si="1084">DATE(2012,12,31)-329</f>
        <v>40945</v>
      </c>
    </row>
    <row r="6493">
      <c r="G6493" s="12">
        <f t="shared" si="1084"/>
        <v>40945</v>
      </c>
    </row>
    <row r="6494">
      <c r="G6494" s="12">
        <f t="shared" si="1084"/>
        <v>40945</v>
      </c>
    </row>
    <row r="6495">
      <c r="G6495" s="12">
        <f t="shared" si="1084"/>
        <v>40945</v>
      </c>
    </row>
    <row r="6496">
      <c r="G6496" s="12">
        <f t="shared" si="1084"/>
        <v>40945</v>
      </c>
    </row>
    <row r="6497">
      <c r="G6497" s="12">
        <f t="shared" ref="G6497:G6504" si="1085">DATE(2012,12,31)-328</f>
        <v>40946</v>
      </c>
    </row>
    <row r="6498">
      <c r="G6498" s="12">
        <f t="shared" si="1085"/>
        <v>40946</v>
      </c>
    </row>
    <row r="6499">
      <c r="G6499" s="12">
        <f t="shared" si="1085"/>
        <v>40946</v>
      </c>
    </row>
    <row r="6500">
      <c r="G6500" s="12">
        <f t="shared" si="1085"/>
        <v>40946</v>
      </c>
    </row>
    <row r="6501">
      <c r="G6501" s="12">
        <f t="shared" si="1085"/>
        <v>40946</v>
      </c>
    </row>
    <row r="6502">
      <c r="G6502" s="12">
        <f t="shared" si="1085"/>
        <v>40946</v>
      </c>
    </row>
    <row r="6503">
      <c r="G6503" s="12">
        <f t="shared" si="1085"/>
        <v>40946</v>
      </c>
    </row>
    <row r="6504">
      <c r="G6504" s="12">
        <f t="shared" si="1085"/>
        <v>40946</v>
      </c>
    </row>
    <row r="6505">
      <c r="G6505" s="12">
        <f t="shared" ref="G6505:G6512" si="1086">DATE(2012,12,31)-327</f>
        <v>40947</v>
      </c>
    </row>
    <row r="6506">
      <c r="G6506" s="12">
        <f t="shared" si="1086"/>
        <v>40947</v>
      </c>
    </row>
    <row r="6507">
      <c r="G6507" s="12">
        <f t="shared" si="1086"/>
        <v>40947</v>
      </c>
    </row>
    <row r="6508">
      <c r="G6508" s="12">
        <f t="shared" si="1086"/>
        <v>40947</v>
      </c>
    </row>
    <row r="6509">
      <c r="G6509" s="12">
        <f t="shared" si="1086"/>
        <v>40947</v>
      </c>
    </row>
    <row r="6510">
      <c r="G6510" s="12">
        <f t="shared" si="1086"/>
        <v>40947</v>
      </c>
    </row>
    <row r="6511">
      <c r="G6511" s="12">
        <f t="shared" si="1086"/>
        <v>40947</v>
      </c>
    </row>
    <row r="6512">
      <c r="G6512" s="12">
        <f t="shared" si="1086"/>
        <v>40947</v>
      </c>
    </row>
    <row r="6513">
      <c r="G6513" s="12">
        <f t="shared" ref="G6513:G6517" si="1087">DATE(2012,12,31)-326</f>
        <v>40948</v>
      </c>
    </row>
    <row r="6514">
      <c r="G6514" s="12">
        <f t="shared" si="1087"/>
        <v>40948</v>
      </c>
    </row>
    <row r="6515">
      <c r="G6515" s="12">
        <f t="shared" si="1087"/>
        <v>40948</v>
      </c>
    </row>
    <row r="6516">
      <c r="G6516" s="12">
        <f t="shared" si="1087"/>
        <v>40948</v>
      </c>
    </row>
    <row r="6517">
      <c r="G6517" s="12">
        <f t="shared" si="1087"/>
        <v>40948</v>
      </c>
    </row>
    <row r="6518">
      <c r="G6518" s="12">
        <f t="shared" ref="G6518:G6522" si="1088">DATE(2012,12,31)-325</f>
        <v>40949</v>
      </c>
    </row>
    <row r="6519">
      <c r="G6519" s="12">
        <f t="shared" si="1088"/>
        <v>40949</v>
      </c>
    </row>
    <row r="6520">
      <c r="G6520" s="12">
        <f t="shared" si="1088"/>
        <v>40949</v>
      </c>
    </row>
    <row r="6521">
      <c r="G6521" s="12">
        <f t="shared" si="1088"/>
        <v>40949</v>
      </c>
    </row>
    <row r="6522">
      <c r="G6522" s="12">
        <f t="shared" si="1088"/>
        <v>40949</v>
      </c>
    </row>
    <row r="6523">
      <c r="G6523" s="12">
        <f t="shared" ref="G6523:G6532" si="1089">DATE(2012,12,31)-324</f>
        <v>40950</v>
      </c>
    </row>
    <row r="6524">
      <c r="G6524" s="12">
        <f t="shared" si="1089"/>
        <v>40950</v>
      </c>
    </row>
    <row r="6525">
      <c r="G6525" s="12">
        <f t="shared" si="1089"/>
        <v>40950</v>
      </c>
    </row>
    <row r="6526">
      <c r="G6526" s="12">
        <f t="shared" si="1089"/>
        <v>40950</v>
      </c>
    </row>
    <row r="6527">
      <c r="G6527" s="12">
        <f t="shared" si="1089"/>
        <v>40950</v>
      </c>
    </row>
    <row r="6528">
      <c r="G6528" s="12">
        <f t="shared" si="1089"/>
        <v>40950</v>
      </c>
    </row>
    <row r="6529">
      <c r="G6529" s="12">
        <f t="shared" si="1089"/>
        <v>40950</v>
      </c>
    </row>
    <row r="6530">
      <c r="G6530" s="12">
        <f t="shared" si="1089"/>
        <v>40950</v>
      </c>
    </row>
    <row r="6531">
      <c r="G6531" s="12">
        <f t="shared" si="1089"/>
        <v>40950</v>
      </c>
    </row>
    <row r="6532">
      <c r="G6532" s="12">
        <f t="shared" si="1089"/>
        <v>40950</v>
      </c>
    </row>
    <row r="6533">
      <c r="G6533" s="12">
        <f t="shared" ref="G6533:G6538" si="1090">DATE(2012,12,31)-323</f>
        <v>40951</v>
      </c>
    </row>
    <row r="6534">
      <c r="G6534" s="12">
        <f t="shared" si="1090"/>
        <v>40951</v>
      </c>
    </row>
    <row r="6535">
      <c r="G6535" s="12">
        <f t="shared" si="1090"/>
        <v>40951</v>
      </c>
    </row>
    <row r="6536">
      <c r="G6536" s="12">
        <f t="shared" si="1090"/>
        <v>40951</v>
      </c>
    </row>
    <row r="6537">
      <c r="G6537" s="12">
        <f t="shared" si="1090"/>
        <v>40951</v>
      </c>
    </row>
    <row r="6538">
      <c r="G6538" s="12">
        <f t="shared" si="1090"/>
        <v>40951</v>
      </c>
    </row>
    <row r="6539">
      <c r="G6539" s="12">
        <f t="shared" ref="G6539:G6542" si="1091">DATE(2012,12,31)-322</f>
        <v>40952</v>
      </c>
    </row>
    <row r="6540">
      <c r="G6540" s="12">
        <f t="shared" si="1091"/>
        <v>40952</v>
      </c>
    </row>
    <row r="6541">
      <c r="G6541" s="12">
        <f t="shared" si="1091"/>
        <v>40952</v>
      </c>
    </row>
    <row r="6542">
      <c r="G6542" s="12">
        <f t="shared" si="1091"/>
        <v>40952</v>
      </c>
    </row>
    <row r="6543">
      <c r="G6543" s="12">
        <f t="shared" ref="G6543:G6550" si="1092">DATE(2012,12,31)-321</f>
        <v>40953</v>
      </c>
    </row>
    <row r="6544">
      <c r="G6544" s="12">
        <f t="shared" si="1092"/>
        <v>40953</v>
      </c>
    </row>
    <row r="6545">
      <c r="G6545" s="12">
        <f t="shared" si="1092"/>
        <v>40953</v>
      </c>
    </row>
    <row r="6546">
      <c r="G6546" s="12">
        <f t="shared" si="1092"/>
        <v>40953</v>
      </c>
    </row>
    <row r="6547">
      <c r="G6547" s="12">
        <f t="shared" si="1092"/>
        <v>40953</v>
      </c>
    </row>
    <row r="6548">
      <c r="G6548" s="12">
        <f t="shared" si="1092"/>
        <v>40953</v>
      </c>
    </row>
    <row r="6549">
      <c r="G6549" s="12">
        <f t="shared" si="1092"/>
        <v>40953</v>
      </c>
    </row>
    <row r="6550">
      <c r="G6550" s="12">
        <f t="shared" si="1092"/>
        <v>40953</v>
      </c>
    </row>
    <row r="6551">
      <c r="G6551" s="12">
        <f t="shared" ref="G6551:G6557" si="1093">DATE(2012,12,31)-320</f>
        <v>40954</v>
      </c>
    </row>
    <row r="6552">
      <c r="G6552" s="12">
        <f t="shared" si="1093"/>
        <v>40954</v>
      </c>
    </row>
    <row r="6553">
      <c r="G6553" s="12">
        <f t="shared" si="1093"/>
        <v>40954</v>
      </c>
    </row>
    <row r="6554">
      <c r="G6554" s="12">
        <f t="shared" si="1093"/>
        <v>40954</v>
      </c>
    </row>
    <row r="6555">
      <c r="G6555" s="12">
        <f t="shared" si="1093"/>
        <v>40954</v>
      </c>
    </row>
    <row r="6556">
      <c r="G6556" s="12">
        <f t="shared" si="1093"/>
        <v>40954</v>
      </c>
    </row>
    <row r="6557">
      <c r="G6557" s="12">
        <f t="shared" si="1093"/>
        <v>40954</v>
      </c>
    </row>
    <row r="6558">
      <c r="G6558" s="12">
        <f t="shared" ref="G6558:G6563" si="1094">DATE(2012,12,31)-319</f>
        <v>40955</v>
      </c>
    </row>
    <row r="6559">
      <c r="G6559" s="12">
        <f t="shared" si="1094"/>
        <v>40955</v>
      </c>
    </row>
    <row r="6560">
      <c r="G6560" s="12">
        <f t="shared" si="1094"/>
        <v>40955</v>
      </c>
    </row>
    <row r="6561">
      <c r="G6561" s="12">
        <f t="shared" si="1094"/>
        <v>40955</v>
      </c>
    </row>
    <row r="6562">
      <c r="G6562" s="12">
        <f t="shared" si="1094"/>
        <v>40955</v>
      </c>
    </row>
    <row r="6563">
      <c r="G6563" s="12">
        <f t="shared" si="1094"/>
        <v>40955</v>
      </c>
    </row>
    <row r="6564">
      <c r="G6564" s="12">
        <f t="shared" ref="G6564:G6573" si="1095">DATE(2012,12,31)-318</f>
        <v>40956</v>
      </c>
    </row>
    <row r="6565">
      <c r="G6565" s="12">
        <f t="shared" si="1095"/>
        <v>40956</v>
      </c>
    </row>
    <row r="6566">
      <c r="G6566" s="12">
        <f t="shared" si="1095"/>
        <v>40956</v>
      </c>
    </row>
    <row r="6567">
      <c r="G6567" s="12">
        <f t="shared" si="1095"/>
        <v>40956</v>
      </c>
    </row>
    <row r="6568">
      <c r="G6568" s="12">
        <f t="shared" si="1095"/>
        <v>40956</v>
      </c>
    </row>
    <row r="6569">
      <c r="G6569" s="12">
        <f t="shared" si="1095"/>
        <v>40956</v>
      </c>
    </row>
    <row r="6570">
      <c r="G6570" s="12">
        <f t="shared" si="1095"/>
        <v>40956</v>
      </c>
    </row>
    <row r="6571">
      <c r="G6571" s="12">
        <f t="shared" si="1095"/>
        <v>40956</v>
      </c>
    </row>
    <row r="6572">
      <c r="G6572" s="12">
        <f t="shared" si="1095"/>
        <v>40956</v>
      </c>
    </row>
    <row r="6573">
      <c r="G6573" s="12">
        <f t="shared" si="1095"/>
        <v>40956</v>
      </c>
    </row>
    <row r="6574">
      <c r="G6574" s="12">
        <f t="shared" ref="G6574:G6581" si="1096">DATE(2012,12,31)-317</f>
        <v>40957</v>
      </c>
    </row>
    <row r="6575">
      <c r="G6575" s="12">
        <f t="shared" si="1096"/>
        <v>40957</v>
      </c>
    </row>
    <row r="6576">
      <c r="G6576" s="12">
        <f t="shared" si="1096"/>
        <v>40957</v>
      </c>
    </row>
    <row r="6577">
      <c r="G6577" s="12">
        <f t="shared" si="1096"/>
        <v>40957</v>
      </c>
    </row>
    <row r="6578">
      <c r="G6578" s="12">
        <f t="shared" si="1096"/>
        <v>40957</v>
      </c>
    </row>
    <row r="6579">
      <c r="G6579" s="12">
        <f t="shared" si="1096"/>
        <v>40957</v>
      </c>
    </row>
    <row r="6580">
      <c r="G6580" s="12">
        <f t="shared" si="1096"/>
        <v>40957</v>
      </c>
    </row>
    <row r="6581">
      <c r="G6581" s="12">
        <f t="shared" si="1096"/>
        <v>40957</v>
      </c>
    </row>
    <row r="6582">
      <c r="G6582" s="12">
        <f t="shared" ref="G6582:G6588" si="1097">DATE(2012,12,31)-316</f>
        <v>40958</v>
      </c>
    </row>
    <row r="6583">
      <c r="G6583" s="12">
        <f t="shared" si="1097"/>
        <v>40958</v>
      </c>
    </row>
    <row r="6584">
      <c r="G6584" s="12">
        <f t="shared" si="1097"/>
        <v>40958</v>
      </c>
    </row>
    <row r="6585">
      <c r="G6585" s="12">
        <f t="shared" si="1097"/>
        <v>40958</v>
      </c>
    </row>
    <row r="6586">
      <c r="G6586" s="12">
        <f t="shared" si="1097"/>
        <v>40958</v>
      </c>
    </row>
    <row r="6587">
      <c r="G6587" s="12">
        <f t="shared" si="1097"/>
        <v>40958</v>
      </c>
    </row>
    <row r="6588">
      <c r="G6588" s="12">
        <f t="shared" si="1097"/>
        <v>40958</v>
      </c>
    </row>
    <row r="6589">
      <c r="G6589" s="12">
        <f>DATE(2012,12,31)-315</f>
        <v>40959</v>
      </c>
    </row>
    <row r="6590">
      <c r="G6590" s="12">
        <f>DATE(2012,12,31)-314</f>
        <v>40960</v>
      </c>
    </row>
    <row r="6591">
      <c r="G6591" s="12">
        <f t="shared" ref="G6591:G6602" si="1098">DATE(2012,12,31)-312</f>
        <v>40962</v>
      </c>
    </row>
    <row r="6592">
      <c r="G6592" s="12">
        <f t="shared" si="1098"/>
        <v>40962</v>
      </c>
    </row>
    <row r="6593">
      <c r="G6593" s="12">
        <f t="shared" si="1098"/>
        <v>40962</v>
      </c>
    </row>
    <row r="6594">
      <c r="G6594" s="12">
        <f t="shared" si="1098"/>
        <v>40962</v>
      </c>
    </row>
    <row r="6595">
      <c r="G6595" s="12">
        <f t="shared" si="1098"/>
        <v>40962</v>
      </c>
    </row>
    <row r="6596">
      <c r="G6596" s="12">
        <f t="shared" si="1098"/>
        <v>40962</v>
      </c>
    </row>
    <row r="6597">
      <c r="G6597" s="12">
        <f t="shared" si="1098"/>
        <v>40962</v>
      </c>
    </row>
    <row r="6598">
      <c r="G6598" s="12">
        <f t="shared" si="1098"/>
        <v>40962</v>
      </c>
    </row>
    <row r="6599">
      <c r="G6599" s="12">
        <f t="shared" si="1098"/>
        <v>40962</v>
      </c>
    </row>
    <row r="6600">
      <c r="G6600" s="12">
        <f t="shared" si="1098"/>
        <v>40962</v>
      </c>
    </row>
    <row r="6601">
      <c r="G6601" s="12">
        <f t="shared" si="1098"/>
        <v>40962</v>
      </c>
    </row>
    <row r="6602">
      <c r="G6602" s="12">
        <f t="shared" si="1098"/>
        <v>40962</v>
      </c>
    </row>
    <row r="6603">
      <c r="G6603" s="12">
        <f t="shared" ref="G6603:G6605" si="1099">DATE(2012,12,31)-311</f>
        <v>40963</v>
      </c>
    </row>
    <row r="6604">
      <c r="G6604" s="12">
        <f t="shared" si="1099"/>
        <v>40963</v>
      </c>
    </row>
    <row r="6605">
      <c r="G6605" s="12">
        <f t="shared" si="1099"/>
        <v>40963</v>
      </c>
    </row>
    <row r="6606">
      <c r="G6606" s="12">
        <f>DATE(2012,12,31)-310</f>
        <v>40964</v>
      </c>
    </row>
    <row r="6607">
      <c r="G6607" s="12">
        <f t="shared" ref="G6607:G6611" si="1100">DATE(2012,12,31)-309</f>
        <v>40965</v>
      </c>
    </row>
    <row r="6608">
      <c r="G6608" s="12">
        <f t="shared" si="1100"/>
        <v>40965</v>
      </c>
    </row>
    <row r="6609">
      <c r="G6609" s="12">
        <f t="shared" si="1100"/>
        <v>40965</v>
      </c>
    </row>
    <row r="6610">
      <c r="G6610" s="12">
        <f t="shared" si="1100"/>
        <v>40965</v>
      </c>
    </row>
    <row r="6611">
      <c r="G6611" s="12">
        <f t="shared" si="1100"/>
        <v>40965</v>
      </c>
    </row>
    <row r="6612">
      <c r="G6612" s="12">
        <f t="shared" ref="G6612:G6620" si="1101">DATE(2012,12,31)-308</f>
        <v>40966</v>
      </c>
    </row>
    <row r="6613">
      <c r="G6613" s="12">
        <f t="shared" si="1101"/>
        <v>40966</v>
      </c>
    </row>
    <row r="6614">
      <c r="G6614" s="12">
        <f t="shared" si="1101"/>
        <v>40966</v>
      </c>
    </row>
    <row r="6615">
      <c r="G6615" s="12">
        <f t="shared" si="1101"/>
        <v>40966</v>
      </c>
    </row>
    <row r="6616">
      <c r="G6616" s="12">
        <f t="shared" si="1101"/>
        <v>40966</v>
      </c>
    </row>
    <row r="6617">
      <c r="G6617" s="12">
        <f t="shared" si="1101"/>
        <v>40966</v>
      </c>
    </row>
    <row r="6618">
      <c r="G6618" s="12">
        <f t="shared" si="1101"/>
        <v>40966</v>
      </c>
    </row>
    <row r="6619">
      <c r="G6619" s="12">
        <f t="shared" si="1101"/>
        <v>40966</v>
      </c>
    </row>
    <row r="6620">
      <c r="G6620" s="12">
        <f t="shared" si="1101"/>
        <v>40966</v>
      </c>
    </row>
    <row r="6621">
      <c r="G6621" s="12">
        <f t="shared" ref="G6621:G6623" si="1102">DATE(2012,12,31)-306</f>
        <v>40968</v>
      </c>
    </row>
    <row r="6622">
      <c r="G6622" s="12">
        <f t="shared" si="1102"/>
        <v>40968</v>
      </c>
    </row>
    <row r="6623">
      <c r="G6623" s="12">
        <f t="shared" si="1102"/>
        <v>40968</v>
      </c>
    </row>
    <row r="6624">
      <c r="G6624" s="12">
        <f t="shared" ref="G6624:G6628" si="1103">DATE(2012,12,31)-305</f>
        <v>40969</v>
      </c>
    </row>
    <row r="6625">
      <c r="G6625" s="12">
        <f t="shared" si="1103"/>
        <v>40969</v>
      </c>
    </row>
    <row r="6626">
      <c r="G6626" s="12">
        <f t="shared" si="1103"/>
        <v>40969</v>
      </c>
    </row>
    <row r="6627">
      <c r="G6627" s="12">
        <f t="shared" si="1103"/>
        <v>40969</v>
      </c>
    </row>
    <row r="6628">
      <c r="G6628" s="12">
        <f t="shared" si="1103"/>
        <v>40969</v>
      </c>
    </row>
    <row r="6629">
      <c r="G6629" s="12">
        <f t="shared" ref="G6629:G6637" si="1104">DATE(2012,12,31)-304</f>
        <v>40970</v>
      </c>
    </row>
    <row r="6630">
      <c r="G6630" s="12">
        <f t="shared" si="1104"/>
        <v>40970</v>
      </c>
    </row>
    <row r="6631">
      <c r="G6631" s="12">
        <f t="shared" si="1104"/>
        <v>40970</v>
      </c>
    </row>
    <row r="6632">
      <c r="G6632" s="12">
        <f t="shared" si="1104"/>
        <v>40970</v>
      </c>
    </row>
    <row r="6633">
      <c r="G6633" s="12">
        <f t="shared" si="1104"/>
        <v>40970</v>
      </c>
    </row>
    <row r="6634">
      <c r="G6634" s="12">
        <f t="shared" si="1104"/>
        <v>40970</v>
      </c>
    </row>
    <row r="6635">
      <c r="G6635" s="12">
        <f t="shared" si="1104"/>
        <v>40970</v>
      </c>
    </row>
    <row r="6636">
      <c r="G6636" s="12">
        <f t="shared" si="1104"/>
        <v>40970</v>
      </c>
    </row>
    <row r="6637">
      <c r="G6637" s="12">
        <f t="shared" si="1104"/>
        <v>40970</v>
      </c>
    </row>
    <row r="6638">
      <c r="G6638" s="12">
        <f t="shared" ref="G6638:G6650" si="1105">DATE(2012,12,31)-303</f>
        <v>40971</v>
      </c>
    </row>
    <row r="6639">
      <c r="G6639" s="12">
        <f t="shared" si="1105"/>
        <v>40971</v>
      </c>
    </row>
    <row r="6640">
      <c r="G6640" s="12">
        <f t="shared" si="1105"/>
        <v>40971</v>
      </c>
    </row>
    <row r="6641">
      <c r="G6641" s="12">
        <f t="shared" si="1105"/>
        <v>40971</v>
      </c>
    </row>
    <row r="6642">
      <c r="G6642" s="12">
        <f t="shared" si="1105"/>
        <v>40971</v>
      </c>
    </row>
    <row r="6643">
      <c r="G6643" s="12">
        <f t="shared" si="1105"/>
        <v>40971</v>
      </c>
    </row>
    <row r="6644">
      <c r="G6644" s="12">
        <f t="shared" si="1105"/>
        <v>40971</v>
      </c>
    </row>
    <row r="6645">
      <c r="G6645" s="12">
        <f t="shared" si="1105"/>
        <v>40971</v>
      </c>
    </row>
    <row r="6646">
      <c r="G6646" s="12">
        <f t="shared" si="1105"/>
        <v>40971</v>
      </c>
    </row>
    <row r="6647">
      <c r="G6647" s="12">
        <f t="shared" si="1105"/>
        <v>40971</v>
      </c>
    </row>
    <row r="6648">
      <c r="G6648" s="12">
        <f t="shared" si="1105"/>
        <v>40971</v>
      </c>
    </row>
    <row r="6649">
      <c r="G6649" s="12">
        <f t="shared" si="1105"/>
        <v>40971</v>
      </c>
    </row>
    <row r="6650">
      <c r="G6650" s="12">
        <f t="shared" si="1105"/>
        <v>40971</v>
      </c>
    </row>
    <row r="6651">
      <c r="G6651" s="12">
        <f t="shared" ref="G6651:G6657" si="1106">DATE(2012,12,31)-302</f>
        <v>40972</v>
      </c>
    </row>
    <row r="6652">
      <c r="G6652" s="12">
        <f t="shared" si="1106"/>
        <v>40972</v>
      </c>
    </row>
    <row r="6653">
      <c r="G6653" s="12">
        <f t="shared" si="1106"/>
        <v>40972</v>
      </c>
    </row>
    <row r="6654">
      <c r="G6654" s="12">
        <f t="shared" si="1106"/>
        <v>40972</v>
      </c>
    </row>
    <row r="6655">
      <c r="G6655" s="12">
        <f t="shared" si="1106"/>
        <v>40972</v>
      </c>
    </row>
    <row r="6656">
      <c r="G6656" s="12">
        <f t="shared" si="1106"/>
        <v>40972</v>
      </c>
    </row>
    <row r="6657">
      <c r="G6657" s="12">
        <f t="shared" si="1106"/>
        <v>40972</v>
      </c>
    </row>
    <row r="6658">
      <c r="G6658" s="12">
        <f t="shared" ref="G6658:G6662" si="1107">DATE(2012,12,31)-301</f>
        <v>40973</v>
      </c>
    </row>
    <row r="6659">
      <c r="G6659" s="12">
        <f t="shared" si="1107"/>
        <v>40973</v>
      </c>
    </row>
    <row r="6660">
      <c r="G6660" s="12">
        <f t="shared" si="1107"/>
        <v>40973</v>
      </c>
    </row>
    <row r="6661">
      <c r="G6661" s="12">
        <f t="shared" si="1107"/>
        <v>40973</v>
      </c>
    </row>
    <row r="6662">
      <c r="G6662" s="12">
        <f t="shared" si="1107"/>
        <v>40973</v>
      </c>
    </row>
    <row r="6663">
      <c r="G6663" s="12">
        <f t="shared" ref="G6663:G6666" si="1108">DATE(2012,12,31)-300</f>
        <v>40974</v>
      </c>
    </row>
    <row r="6664">
      <c r="G6664" s="12">
        <f t="shared" si="1108"/>
        <v>40974</v>
      </c>
    </row>
    <row r="6665">
      <c r="G6665" s="12">
        <f t="shared" si="1108"/>
        <v>40974</v>
      </c>
    </row>
    <row r="6666">
      <c r="G6666" s="12">
        <f t="shared" si="1108"/>
        <v>40974</v>
      </c>
    </row>
    <row r="6667">
      <c r="G6667" s="12">
        <f t="shared" ref="G6667:G6672" si="1109">DATE(2012,12,31)-299</f>
        <v>40975</v>
      </c>
    </row>
    <row r="6668">
      <c r="G6668" s="12">
        <f t="shared" si="1109"/>
        <v>40975</v>
      </c>
    </row>
    <row r="6669">
      <c r="G6669" s="12">
        <f t="shared" si="1109"/>
        <v>40975</v>
      </c>
    </row>
    <row r="6670">
      <c r="G6670" s="12">
        <f t="shared" si="1109"/>
        <v>40975</v>
      </c>
    </row>
    <row r="6671">
      <c r="G6671" s="12">
        <f t="shared" si="1109"/>
        <v>40975</v>
      </c>
    </row>
    <row r="6672">
      <c r="G6672" s="12">
        <f t="shared" si="1109"/>
        <v>40975</v>
      </c>
    </row>
    <row r="6673">
      <c r="G6673" s="12">
        <f t="shared" ref="G6673:G6676" si="1110">DATE(2012,12,31)-298</f>
        <v>40976</v>
      </c>
    </row>
    <row r="6674">
      <c r="G6674" s="12">
        <f t="shared" si="1110"/>
        <v>40976</v>
      </c>
    </row>
    <row r="6675">
      <c r="G6675" s="12">
        <f t="shared" si="1110"/>
        <v>40976</v>
      </c>
    </row>
    <row r="6676">
      <c r="G6676" s="12">
        <f t="shared" si="1110"/>
        <v>40976</v>
      </c>
    </row>
    <row r="6677">
      <c r="G6677" s="12">
        <f t="shared" ref="G6677:G6681" si="1111">DATE(2012,12,31)-297</f>
        <v>40977</v>
      </c>
    </row>
    <row r="6678">
      <c r="G6678" s="12">
        <f t="shared" si="1111"/>
        <v>40977</v>
      </c>
    </row>
    <row r="6679">
      <c r="G6679" s="12">
        <f t="shared" si="1111"/>
        <v>40977</v>
      </c>
    </row>
    <row r="6680">
      <c r="G6680" s="12">
        <f t="shared" si="1111"/>
        <v>40977</v>
      </c>
    </row>
    <row r="6681">
      <c r="G6681" s="12">
        <f t="shared" si="1111"/>
        <v>40977</v>
      </c>
    </row>
    <row r="6682">
      <c r="G6682" s="12">
        <f t="shared" ref="G6682:G6689" si="1112">DATE(2012,12,31)-296</f>
        <v>40978</v>
      </c>
    </row>
    <row r="6683">
      <c r="G6683" s="12">
        <f t="shared" si="1112"/>
        <v>40978</v>
      </c>
    </row>
    <row r="6684">
      <c r="G6684" s="12">
        <f t="shared" si="1112"/>
        <v>40978</v>
      </c>
    </row>
    <row r="6685">
      <c r="G6685" s="12">
        <f t="shared" si="1112"/>
        <v>40978</v>
      </c>
    </row>
    <row r="6686">
      <c r="G6686" s="12">
        <f t="shared" si="1112"/>
        <v>40978</v>
      </c>
    </row>
    <row r="6687">
      <c r="G6687" s="12">
        <f t="shared" si="1112"/>
        <v>40978</v>
      </c>
    </row>
    <row r="6688">
      <c r="G6688" s="12">
        <f t="shared" si="1112"/>
        <v>40978</v>
      </c>
    </row>
    <row r="6689">
      <c r="G6689" s="12">
        <f t="shared" si="1112"/>
        <v>40978</v>
      </c>
    </row>
    <row r="6690">
      <c r="G6690" s="12">
        <f t="shared" ref="G6690:G6694" si="1113">DATE(2012,12,31)-295</f>
        <v>40979</v>
      </c>
    </row>
    <row r="6691">
      <c r="G6691" s="12">
        <f t="shared" si="1113"/>
        <v>40979</v>
      </c>
    </row>
    <row r="6692">
      <c r="G6692" s="12">
        <f t="shared" si="1113"/>
        <v>40979</v>
      </c>
    </row>
    <row r="6693">
      <c r="G6693" s="12">
        <f t="shared" si="1113"/>
        <v>40979</v>
      </c>
    </row>
    <row r="6694">
      <c r="G6694" s="12">
        <f t="shared" si="1113"/>
        <v>40979</v>
      </c>
    </row>
    <row r="6695">
      <c r="G6695" s="12">
        <f t="shared" ref="G6695:G6699" si="1114">DATE(2012,12,31)-294</f>
        <v>40980</v>
      </c>
    </row>
    <row r="6696">
      <c r="G6696" s="12">
        <f t="shared" si="1114"/>
        <v>40980</v>
      </c>
    </row>
    <row r="6697">
      <c r="G6697" s="12">
        <f t="shared" si="1114"/>
        <v>40980</v>
      </c>
    </row>
    <row r="6698">
      <c r="G6698" s="12">
        <f t="shared" si="1114"/>
        <v>40980</v>
      </c>
    </row>
    <row r="6699">
      <c r="G6699" s="12">
        <f t="shared" si="1114"/>
        <v>40980</v>
      </c>
    </row>
    <row r="6700">
      <c r="G6700" s="12">
        <f t="shared" ref="G6700:G6703" si="1115">DATE(2012,12,31)-293</f>
        <v>40981</v>
      </c>
    </row>
    <row r="6701">
      <c r="G6701" s="12">
        <f t="shared" si="1115"/>
        <v>40981</v>
      </c>
    </row>
    <row r="6702">
      <c r="G6702" s="12">
        <f t="shared" si="1115"/>
        <v>40981</v>
      </c>
    </row>
    <row r="6703">
      <c r="G6703" s="12">
        <f t="shared" si="1115"/>
        <v>40981</v>
      </c>
    </row>
    <row r="6704">
      <c r="G6704" s="12">
        <f t="shared" ref="G6704:G6708" si="1116">DATE(2012,12,31)-292</f>
        <v>40982</v>
      </c>
    </row>
    <row r="6705">
      <c r="G6705" s="12">
        <f t="shared" si="1116"/>
        <v>40982</v>
      </c>
    </row>
    <row r="6706">
      <c r="G6706" s="12">
        <f t="shared" si="1116"/>
        <v>40982</v>
      </c>
    </row>
    <row r="6707">
      <c r="G6707" s="12">
        <f t="shared" si="1116"/>
        <v>40982</v>
      </c>
    </row>
    <row r="6708">
      <c r="G6708" s="12">
        <f t="shared" si="1116"/>
        <v>40982</v>
      </c>
    </row>
    <row r="6709">
      <c r="G6709" s="12">
        <f t="shared" ref="G6709:G6717" si="1117">DATE(2012,12,31)-291</f>
        <v>40983</v>
      </c>
    </row>
    <row r="6710">
      <c r="G6710" s="12">
        <f t="shared" si="1117"/>
        <v>40983</v>
      </c>
    </row>
    <row r="6711">
      <c r="G6711" s="12">
        <f t="shared" si="1117"/>
        <v>40983</v>
      </c>
    </row>
    <row r="6712">
      <c r="G6712" s="12">
        <f t="shared" si="1117"/>
        <v>40983</v>
      </c>
    </row>
    <row r="6713">
      <c r="G6713" s="12">
        <f t="shared" si="1117"/>
        <v>40983</v>
      </c>
    </row>
    <row r="6714">
      <c r="G6714" s="12">
        <f t="shared" si="1117"/>
        <v>40983</v>
      </c>
    </row>
    <row r="6715">
      <c r="G6715" s="12">
        <f t="shared" si="1117"/>
        <v>40983</v>
      </c>
    </row>
    <row r="6716">
      <c r="G6716" s="12">
        <f t="shared" si="1117"/>
        <v>40983</v>
      </c>
    </row>
    <row r="6717">
      <c r="G6717" s="12">
        <f t="shared" si="1117"/>
        <v>40983</v>
      </c>
    </row>
    <row r="6718">
      <c r="G6718" s="12">
        <f t="shared" ref="G6718:G6721" si="1118">DATE(2012,12,31)-290</f>
        <v>40984</v>
      </c>
    </row>
    <row r="6719">
      <c r="G6719" s="12">
        <f t="shared" si="1118"/>
        <v>40984</v>
      </c>
    </row>
    <row r="6720">
      <c r="G6720" s="12">
        <f t="shared" si="1118"/>
        <v>40984</v>
      </c>
    </row>
    <row r="6721">
      <c r="G6721" s="12">
        <f t="shared" si="1118"/>
        <v>40984</v>
      </c>
    </row>
    <row r="6722">
      <c r="G6722" s="12">
        <f t="shared" ref="G6722:G6728" si="1119">DATE(2012,12,31)-289</f>
        <v>40985</v>
      </c>
    </row>
    <row r="6723">
      <c r="G6723" s="12">
        <f t="shared" si="1119"/>
        <v>40985</v>
      </c>
    </row>
    <row r="6724">
      <c r="G6724" s="12">
        <f t="shared" si="1119"/>
        <v>40985</v>
      </c>
    </row>
    <row r="6725">
      <c r="G6725" s="12">
        <f t="shared" si="1119"/>
        <v>40985</v>
      </c>
    </row>
    <row r="6726">
      <c r="G6726" s="12">
        <f t="shared" si="1119"/>
        <v>40985</v>
      </c>
    </row>
    <row r="6727">
      <c r="G6727" s="12">
        <f t="shared" si="1119"/>
        <v>40985</v>
      </c>
    </row>
    <row r="6728">
      <c r="G6728" s="12">
        <f t="shared" si="1119"/>
        <v>40985</v>
      </c>
    </row>
    <row r="6729">
      <c r="G6729" s="12">
        <f t="shared" ref="G6729:G6731" si="1120">DATE(2012,12,31)-288</f>
        <v>40986</v>
      </c>
    </row>
    <row r="6730">
      <c r="G6730" s="12">
        <f t="shared" si="1120"/>
        <v>40986</v>
      </c>
    </row>
    <row r="6731">
      <c r="G6731" s="12">
        <f t="shared" si="1120"/>
        <v>40986</v>
      </c>
    </row>
    <row r="6732">
      <c r="G6732" s="12">
        <f t="shared" ref="G6732:G6737" si="1121">DATE(2012,12,31)-287</f>
        <v>40987</v>
      </c>
    </row>
    <row r="6733">
      <c r="G6733" s="12">
        <f t="shared" si="1121"/>
        <v>40987</v>
      </c>
    </row>
    <row r="6734">
      <c r="G6734" s="12">
        <f t="shared" si="1121"/>
        <v>40987</v>
      </c>
    </row>
    <row r="6735">
      <c r="G6735" s="12">
        <f t="shared" si="1121"/>
        <v>40987</v>
      </c>
    </row>
    <row r="6736">
      <c r="G6736" s="12">
        <f t="shared" si="1121"/>
        <v>40987</v>
      </c>
    </row>
    <row r="6737">
      <c r="G6737" s="12">
        <f t="shared" si="1121"/>
        <v>40987</v>
      </c>
    </row>
    <row r="6738">
      <c r="G6738" s="12">
        <f t="shared" ref="G6738:G6742" si="1122">DATE(2012,12,31)-286</f>
        <v>40988</v>
      </c>
    </row>
    <row r="6739">
      <c r="G6739" s="12">
        <f t="shared" si="1122"/>
        <v>40988</v>
      </c>
    </row>
    <row r="6740">
      <c r="G6740" s="12">
        <f t="shared" si="1122"/>
        <v>40988</v>
      </c>
    </row>
    <row r="6741">
      <c r="G6741" s="12">
        <f t="shared" si="1122"/>
        <v>40988</v>
      </c>
    </row>
    <row r="6742">
      <c r="G6742" s="12">
        <f t="shared" si="1122"/>
        <v>40988</v>
      </c>
    </row>
    <row r="6743">
      <c r="G6743" s="12">
        <f t="shared" ref="G6743:G6745" si="1123">DATE(2012,12,31)-285</f>
        <v>40989</v>
      </c>
    </row>
    <row r="6744">
      <c r="G6744" s="12">
        <f t="shared" si="1123"/>
        <v>40989</v>
      </c>
    </row>
    <row r="6745">
      <c r="G6745" s="12">
        <f t="shared" si="1123"/>
        <v>40989</v>
      </c>
    </row>
    <row r="6746">
      <c r="G6746" s="12">
        <f t="shared" ref="G6746:G6748" si="1124">DATE(2012,12,31)-284</f>
        <v>40990</v>
      </c>
    </row>
    <row r="6747">
      <c r="G6747" s="12">
        <f t="shared" si="1124"/>
        <v>40990</v>
      </c>
    </row>
    <row r="6748">
      <c r="G6748" s="12">
        <f t="shared" si="1124"/>
        <v>40990</v>
      </c>
    </row>
    <row r="6749">
      <c r="G6749" s="12">
        <f t="shared" ref="G6749:G6763" si="1125">DATE(2012,12,31)-283</f>
        <v>40991</v>
      </c>
    </row>
    <row r="6750">
      <c r="G6750" s="12">
        <f t="shared" si="1125"/>
        <v>40991</v>
      </c>
    </row>
    <row r="6751">
      <c r="G6751" s="12">
        <f t="shared" si="1125"/>
        <v>40991</v>
      </c>
    </row>
    <row r="6752">
      <c r="G6752" s="12">
        <f t="shared" si="1125"/>
        <v>40991</v>
      </c>
    </row>
    <row r="6753">
      <c r="G6753" s="12">
        <f t="shared" si="1125"/>
        <v>40991</v>
      </c>
    </row>
    <row r="6754">
      <c r="G6754" s="12">
        <f t="shared" si="1125"/>
        <v>40991</v>
      </c>
    </row>
    <row r="6755">
      <c r="G6755" s="12">
        <f t="shared" si="1125"/>
        <v>40991</v>
      </c>
    </row>
    <row r="6756">
      <c r="G6756" s="12">
        <f t="shared" si="1125"/>
        <v>40991</v>
      </c>
    </row>
    <row r="6757">
      <c r="G6757" s="12">
        <f t="shared" si="1125"/>
        <v>40991</v>
      </c>
    </row>
    <row r="6758">
      <c r="G6758" s="12">
        <f t="shared" si="1125"/>
        <v>40991</v>
      </c>
    </row>
    <row r="6759">
      <c r="G6759" s="12">
        <f t="shared" si="1125"/>
        <v>40991</v>
      </c>
    </row>
    <row r="6760">
      <c r="G6760" s="12">
        <f t="shared" si="1125"/>
        <v>40991</v>
      </c>
    </row>
    <row r="6761">
      <c r="G6761" s="12">
        <f t="shared" si="1125"/>
        <v>40991</v>
      </c>
    </row>
    <row r="6762">
      <c r="G6762" s="12">
        <f t="shared" si="1125"/>
        <v>40991</v>
      </c>
    </row>
    <row r="6763">
      <c r="G6763" s="12">
        <f t="shared" si="1125"/>
        <v>40991</v>
      </c>
    </row>
    <row r="6764">
      <c r="G6764" s="12">
        <f t="shared" ref="G6764:G6772" si="1126">DATE(2012,12,31)-282</f>
        <v>40992</v>
      </c>
    </row>
    <row r="6765">
      <c r="G6765" s="12">
        <f t="shared" si="1126"/>
        <v>40992</v>
      </c>
    </row>
    <row r="6766">
      <c r="G6766" s="12">
        <f t="shared" si="1126"/>
        <v>40992</v>
      </c>
    </row>
    <row r="6767">
      <c r="G6767" s="12">
        <f t="shared" si="1126"/>
        <v>40992</v>
      </c>
    </row>
    <row r="6768">
      <c r="G6768" s="12">
        <f t="shared" si="1126"/>
        <v>40992</v>
      </c>
    </row>
    <row r="6769">
      <c r="G6769" s="12">
        <f t="shared" si="1126"/>
        <v>40992</v>
      </c>
    </row>
    <row r="6770">
      <c r="G6770" s="12">
        <f t="shared" si="1126"/>
        <v>40992</v>
      </c>
    </row>
    <row r="6771">
      <c r="G6771" s="12">
        <f t="shared" si="1126"/>
        <v>40992</v>
      </c>
    </row>
    <row r="6772">
      <c r="G6772" s="12">
        <f t="shared" si="1126"/>
        <v>40992</v>
      </c>
    </row>
    <row r="6773">
      <c r="G6773" s="12">
        <f>DATE(2012,12,31)-281</f>
        <v>40993</v>
      </c>
    </row>
    <row r="6774">
      <c r="G6774" s="12">
        <f t="shared" ref="G6774:G6778" si="1127">DATE(2012,12,31)-280</f>
        <v>40994</v>
      </c>
    </row>
    <row r="6775">
      <c r="G6775" s="12">
        <f t="shared" si="1127"/>
        <v>40994</v>
      </c>
    </row>
    <row r="6776">
      <c r="G6776" s="12">
        <f t="shared" si="1127"/>
        <v>40994</v>
      </c>
    </row>
    <row r="6777">
      <c r="G6777" s="12">
        <f t="shared" si="1127"/>
        <v>40994</v>
      </c>
    </row>
    <row r="6778">
      <c r="G6778" s="12">
        <f t="shared" si="1127"/>
        <v>40994</v>
      </c>
    </row>
    <row r="6779">
      <c r="G6779" s="12">
        <f t="shared" ref="G6779:G6783" si="1128">DATE(2012,12,31)-279</f>
        <v>40995</v>
      </c>
    </row>
    <row r="6780">
      <c r="G6780" s="12">
        <f t="shared" si="1128"/>
        <v>40995</v>
      </c>
    </row>
    <row r="6781">
      <c r="G6781" s="12">
        <f t="shared" si="1128"/>
        <v>40995</v>
      </c>
    </row>
    <row r="6782">
      <c r="G6782" s="12">
        <f t="shared" si="1128"/>
        <v>40995</v>
      </c>
    </row>
    <row r="6783">
      <c r="G6783" s="12">
        <f t="shared" si="1128"/>
        <v>40995</v>
      </c>
    </row>
    <row r="6784">
      <c r="G6784" s="12">
        <f t="shared" ref="G6784:G6803" si="1129">DATE(2012,12,31)-278</f>
        <v>40996</v>
      </c>
    </row>
    <row r="6785">
      <c r="G6785" s="12">
        <f t="shared" si="1129"/>
        <v>40996</v>
      </c>
    </row>
    <row r="6786">
      <c r="G6786" s="12">
        <f t="shared" si="1129"/>
        <v>40996</v>
      </c>
    </row>
    <row r="6787">
      <c r="G6787" s="12">
        <f t="shared" si="1129"/>
        <v>40996</v>
      </c>
    </row>
    <row r="6788">
      <c r="G6788" s="12">
        <f t="shared" si="1129"/>
        <v>40996</v>
      </c>
    </row>
    <row r="6789">
      <c r="G6789" s="12">
        <f t="shared" si="1129"/>
        <v>40996</v>
      </c>
    </row>
    <row r="6790">
      <c r="G6790" s="12">
        <f t="shared" si="1129"/>
        <v>40996</v>
      </c>
    </row>
    <row r="6791">
      <c r="G6791" s="12">
        <f t="shared" si="1129"/>
        <v>40996</v>
      </c>
    </row>
    <row r="6792">
      <c r="G6792" s="12">
        <f t="shared" si="1129"/>
        <v>40996</v>
      </c>
    </row>
    <row r="6793">
      <c r="G6793" s="12">
        <f t="shared" si="1129"/>
        <v>40996</v>
      </c>
    </row>
    <row r="6794">
      <c r="G6794" s="12">
        <f t="shared" si="1129"/>
        <v>40996</v>
      </c>
    </row>
    <row r="6795">
      <c r="G6795" s="12">
        <f t="shared" si="1129"/>
        <v>40996</v>
      </c>
    </row>
    <row r="6796">
      <c r="G6796" s="12">
        <f t="shared" si="1129"/>
        <v>40996</v>
      </c>
    </row>
    <row r="6797">
      <c r="G6797" s="12">
        <f t="shared" si="1129"/>
        <v>40996</v>
      </c>
    </row>
    <row r="6798">
      <c r="G6798" s="12">
        <f t="shared" si="1129"/>
        <v>40996</v>
      </c>
    </row>
    <row r="6799">
      <c r="G6799" s="12">
        <f t="shared" si="1129"/>
        <v>40996</v>
      </c>
    </row>
    <row r="6800">
      <c r="G6800" s="12">
        <f t="shared" si="1129"/>
        <v>40996</v>
      </c>
    </row>
    <row r="6801">
      <c r="G6801" s="12">
        <f t="shared" si="1129"/>
        <v>40996</v>
      </c>
    </row>
    <row r="6802">
      <c r="G6802" s="12">
        <f t="shared" si="1129"/>
        <v>40996</v>
      </c>
    </row>
    <row r="6803">
      <c r="G6803" s="12">
        <f t="shared" si="1129"/>
        <v>40996</v>
      </c>
    </row>
    <row r="6804">
      <c r="G6804" s="12">
        <f t="shared" ref="G6804:G6809" si="1130">DATE(2012,12,31)-277</f>
        <v>40997</v>
      </c>
    </row>
    <row r="6805">
      <c r="G6805" s="12">
        <f t="shared" si="1130"/>
        <v>40997</v>
      </c>
    </row>
    <row r="6806">
      <c r="G6806" s="12">
        <f t="shared" si="1130"/>
        <v>40997</v>
      </c>
    </row>
    <row r="6807">
      <c r="G6807" s="12">
        <f t="shared" si="1130"/>
        <v>40997</v>
      </c>
    </row>
    <row r="6808">
      <c r="G6808" s="12">
        <f t="shared" si="1130"/>
        <v>40997</v>
      </c>
    </row>
    <row r="6809">
      <c r="G6809" s="12">
        <f t="shared" si="1130"/>
        <v>40997</v>
      </c>
    </row>
    <row r="6810">
      <c r="G6810" s="12">
        <f t="shared" ref="G6810:G6816" si="1131">DATE(2012,12,31)-276</f>
        <v>40998</v>
      </c>
    </row>
    <row r="6811">
      <c r="G6811" s="12">
        <f t="shared" si="1131"/>
        <v>40998</v>
      </c>
    </row>
    <row r="6812">
      <c r="G6812" s="12">
        <f t="shared" si="1131"/>
        <v>40998</v>
      </c>
    </row>
    <row r="6813">
      <c r="G6813" s="12">
        <f t="shared" si="1131"/>
        <v>40998</v>
      </c>
    </row>
    <row r="6814">
      <c r="G6814" s="12">
        <f t="shared" si="1131"/>
        <v>40998</v>
      </c>
    </row>
    <row r="6815">
      <c r="G6815" s="12">
        <f t="shared" si="1131"/>
        <v>40998</v>
      </c>
    </row>
    <row r="6816">
      <c r="G6816" s="12">
        <f t="shared" si="1131"/>
        <v>40998</v>
      </c>
    </row>
    <row r="6817">
      <c r="G6817" s="12">
        <f t="shared" ref="G6817:G6820" si="1132">DATE(2012,12,31)-275</f>
        <v>40999</v>
      </c>
    </row>
    <row r="6818">
      <c r="G6818" s="12">
        <f t="shared" si="1132"/>
        <v>40999</v>
      </c>
    </row>
    <row r="6819">
      <c r="G6819" s="12">
        <f t="shared" si="1132"/>
        <v>40999</v>
      </c>
    </row>
    <row r="6820">
      <c r="G6820" s="12">
        <f t="shared" si="1132"/>
        <v>40999</v>
      </c>
    </row>
    <row r="6821">
      <c r="G6821" s="12">
        <f t="shared" ref="G6821:G6825" si="1133">DATE(2012,12,31)-274</f>
        <v>41000</v>
      </c>
    </row>
    <row r="6822">
      <c r="G6822" s="12">
        <f t="shared" si="1133"/>
        <v>41000</v>
      </c>
    </row>
    <row r="6823">
      <c r="G6823" s="12">
        <f t="shared" si="1133"/>
        <v>41000</v>
      </c>
    </row>
    <row r="6824">
      <c r="G6824" s="12">
        <f t="shared" si="1133"/>
        <v>41000</v>
      </c>
    </row>
    <row r="6825">
      <c r="G6825" s="12">
        <f t="shared" si="1133"/>
        <v>41000</v>
      </c>
    </row>
    <row r="6826">
      <c r="G6826" s="12">
        <f>DATE(2012,12,31)-273</f>
        <v>41001</v>
      </c>
    </row>
    <row r="6827">
      <c r="G6827" s="12">
        <f t="shared" ref="G6827:G6831" si="1134">DATE(2012,12,31)-272</f>
        <v>41002</v>
      </c>
    </row>
    <row r="6828">
      <c r="G6828" s="12">
        <f t="shared" si="1134"/>
        <v>41002</v>
      </c>
    </row>
    <row r="6829">
      <c r="G6829" s="12">
        <f t="shared" si="1134"/>
        <v>41002</v>
      </c>
    </row>
    <row r="6830">
      <c r="G6830" s="12">
        <f t="shared" si="1134"/>
        <v>41002</v>
      </c>
    </row>
    <row r="6831">
      <c r="G6831" s="12">
        <f t="shared" si="1134"/>
        <v>41002</v>
      </c>
    </row>
    <row r="6832">
      <c r="G6832" s="12">
        <f t="shared" ref="G6832:G6837" si="1135">DATE(2012,12,31)-271</f>
        <v>41003</v>
      </c>
    </row>
    <row r="6833">
      <c r="G6833" s="12">
        <f t="shared" si="1135"/>
        <v>41003</v>
      </c>
    </row>
    <row r="6834">
      <c r="G6834" s="12">
        <f t="shared" si="1135"/>
        <v>41003</v>
      </c>
    </row>
    <row r="6835">
      <c r="G6835" s="12">
        <f t="shared" si="1135"/>
        <v>41003</v>
      </c>
    </row>
    <row r="6836">
      <c r="G6836" s="12">
        <f t="shared" si="1135"/>
        <v>41003</v>
      </c>
    </row>
    <row r="6837">
      <c r="G6837" s="12">
        <f t="shared" si="1135"/>
        <v>41003</v>
      </c>
    </row>
    <row r="6838">
      <c r="G6838" s="12">
        <f t="shared" ref="G6838:G6842" si="1136">DATE(2012,12,31)-270</f>
        <v>41004</v>
      </c>
    </row>
    <row r="6839">
      <c r="G6839" s="12">
        <f t="shared" si="1136"/>
        <v>41004</v>
      </c>
    </row>
    <row r="6840">
      <c r="G6840" s="12">
        <f t="shared" si="1136"/>
        <v>41004</v>
      </c>
    </row>
    <row r="6841">
      <c r="G6841" s="12">
        <f t="shared" si="1136"/>
        <v>41004</v>
      </c>
    </row>
    <row r="6842">
      <c r="G6842" s="12">
        <f t="shared" si="1136"/>
        <v>41004</v>
      </c>
    </row>
    <row r="6843">
      <c r="G6843" s="12">
        <f t="shared" ref="G6843:G6847" si="1137">DATE(2012,12,31)-269</f>
        <v>41005</v>
      </c>
    </row>
    <row r="6844">
      <c r="G6844" s="12">
        <f t="shared" si="1137"/>
        <v>41005</v>
      </c>
    </row>
    <row r="6845">
      <c r="G6845" s="12">
        <f t="shared" si="1137"/>
        <v>41005</v>
      </c>
    </row>
    <row r="6846">
      <c r="G6846" s="12">
        <f t="shared" si="1137"/>
        <v>41005</v>
      </c>
    </row>
    <row r="6847">
      <c r="G6847" s="12">
        <f t="shared" si="1137"/>
        <v>41005</v>
      </c>
    </row>
    <row r="6848">
      <c r="G6848" s="12">
        <f t="shared" ref="G6848:G6851" si="1138">DATE(2012,12,31)-268</f>
        <v>41006</v>
      </c>
    </row>
    <row r="6849">
      <c r="G6849" s="12">
        <f t="shared" si="1138"/>
        <v>41006</v>
      </c>
    </row>
    <row r="6850">
      <c r="G6850" s="12">
        <f t="shared" si="1138"/>
        <v>41006</v>
      </c>
    </row>
    <row r="6851">
      <c r="G6851" s="12">
        <f t="shared" si="1138"/>
        <v>41006</v>
      </c>
    </row>
    <row r="6852">
      <c r="G6852" s="12">
        <f t="shared" ref="G6852:G6854" si="1139">DATE(2012,12,31)-267</f>
        <v>41007</v>
      </c>
    </row>
    <row r="6853">
      <c r="G6853" s="12">
        <f t="shared" si="1139"/>
        <v>41007</v>
      </c>
    </row>
    <row r="6854">
      <c r="G6854" s="12">
        <f t="shared" si="1139"/>
        <v>41007</v>
      </c>
    </row>
    <row r="6855">
      <c r="G6855" s="12">
        <f t="shared" ref="G6855:G6865" si="1140">DATE(2012,12,31)-266</f>
        <v>41008</v>
      </c>
    </row>
    <row r="6856">
      <c r="G6856" s="12">
        <f t="shared" si="1140"/>
        <v>41008</v>
      </c>
    </row>
    <row r="6857">
      <c r="G6857" s="12">
        <f t="shared" si="1140"/>
        <v>41008</v>
      </c>
    </row>
    <row r="6858">
      <c r="G6858" s="12">
        <f t="shared" si="1140"/>
        <v>41008</v>
      </c>
    </row>
    <row r="6859">
      <c r="G6859" s="12">
        <f t="shared" si="1140"/>
        <v>41008</v>
      </c>
    </row>
    <row r="6860">
      <c r="G6860" s="12">
        <f t="shared" si="1140"/>
        <v>41008</v>
      </c>
    </row>
    <row r="6861">
      <c r="G6861" s="12">
        <f t="shared" si="1140"/>
        <v>41008</v>
      </c>
    </row>
    <row r="6862">
      <c r="G6862" s="12">
        <f t="shared" si="1140"/>
        <v>41008</v>
      </c>
    </row>
    <row r="6863">
      <c r="G6863" s="12">
        <f t="shared" si="1140"/>
        <v>41008</v>
      </c>
    </row>
    <row r="6864">
      <c r="G6864" s="12">
        <f t="shared" si="1140"/>
        <v>41008</v>
      </c>
    </row>
    <row r="6865">
      <c r="G6865" s="12">
        <f t="shared" si="1140"/>
        <v>41008</v>
      </c>
    </row>
    <row r="6866">
      <c r="G6866" s="12">
        <f t="shared" ref="G6866:G6870" si="1141">DATE(2012,12,31)-265</f>
        <v>41009</v>
      </c>
    </row>
    <row r="6867">
      <c r="G6867" s="12">
        <f t="shared" si="1141"/>
        <v>41009</v>
      </c>
    </row>
    <row r="6868">
      <c r="G6868" s="12">
        <f t="shared" si="1141"/>
        <v>41009</v>
      </c>
    </row>
    <row r="6869">
      <c r="G6869" s="12">
        <f t="shared" si="1141"/>
        <v>41009</v>
      </c>
    </row>
    <row r="6870">
      <c r="G6870" s="12">
        <f t="shared" si="1141"/>
        <v>41009</v>
      </c>
    </row>
    <row r="6871">
      <c r="G6871" s="12">
        <f t="shared" ref="G6871:G6877" si="1142">DATE(2012,12,31)-264</f>
        <v>41010</v>
      </c>
    </row>
    <row r="6872">
      <c r="G6872" s="12">
        <f t="shared" si="1142"/>
        <v>41010</v>
      </c>
    </row>
    <row r="6873">
      <c r="G6873" s="12">
        <f t="shared" si="1142"/>
        <v>41010</v>
      </c>
    </row>
    <row r="6874">
      <c r="G6874" s="12">
        <f t="shared" si="1142"/>
        <v>41010</v>
      </c>
    </row>
    <row r="6875">
      <c r="G6875" s="12">
        <f t="shared" si="1142"/>
        <v>41010</v>
      </c>
    </row>
    <row r="6876">
      <c r="G6876" s="12">
        <f t="shared" si="1142"/>
        <v>41010</v>
      </c>
    </row>
    <row r="6877">
      <c r="G6877" s="12">
        <f t="shared" si="1142"/>
        <v>41010</v>
      </c>
    </row>
    <row r="6878">
      <c r="G6878" s="12">
        <f t="shared" ref="G6878:G6883" si="1143">DATE(2012,12,31)-263</f>
        <v>41011</v>
      </c>
    </row>
    <row r="6879">
      <c r="G6879" s="12">
        <f t="shared" si="1143"/>
        <v>41011</v>
      </c>
    </row>
    <row r="6880">
      <c r="G6880" s="12">
        <f t="shared" si="1143"/>
        <v>41011</v>
      </c>
    </row>
    <row r="6881">
      <c r="G6881" s="12">
        <f t="shared" si="1143"/>
        <v>41011</v>
      </c>
    </row>
    <row r="6882">
      <c r="G6882" s="12">
        <f t="shared" si="1143"/>
        <v>41011</v>
      </c>
    </row>
    <row r="6883">
      <c r="G6883" s="12">
        <f t="shared" si="1143"/>
        <v>41011</v>
      </c>
    </row>
    <row r="6884">
      <c r="G6884" s="12">
        <f t="shared" ref="G6884:G6897" si="1144">DATE(2012,12,31)-262</f>
        <v>41012</v>
      </c>
    </row>
    <row r="6885">
      <c r="G6885" s="12">
        <f t="shared" si="1144"/>
        <v>41012</v>
      </c>
    </row>
    <row r="6886">
      <c r="G6886" s="12">
        <f t="shared" si="1144"/>
        <v>41012</v>
      </c>
    </row>
    <row r="6887">
      <c r="G6887" s="12">
        <f t="shared" si="1144"/>
        <v>41012</v>
      </c>
    </row>
    <row r="6888">
      <c r="G6888" s="12">
        <f t="shared" si="1144"/>
        <v>41012</v>
      </c>
    </row>
    <row r="6889">
      <c r="G6889" s="12">
        <f t="shared" si="1144"/>
        <v>41012</v>
      </c>
    </row>
    <row r="6890">
      <c r="G6890" s="12">
        <f t="shared" si="1144"/>
        <v>41012</v>
      </c>
    </row>
    <row r="6891">
      <c r="G6891" s="12">
        <f t="shared" si="1144"/>
        <v>41012</v>
      </c>
    </row>
    <row r="6892">
      <c r="G6892" s="12">
        <f t="shared" si="1144"/>
        <v>41012</v>
      </c>
    </row>
    <row r="6893">
      <c r="G6893" s="12">
        <f t="shared" si="1144"/>
        <v>41012</v>
      </c>
    </row>
    <row r="6894">
      <c r="G6894" s="12">
        <f t="shared" si="1144"/>
        <v>41012</v>
      </c>
    </row>
    <row r="6895">
      <c r="G6895" s="12">
        <f t="shared" si="1144"/>
        <v>41012</v>
      </c>
    </row>
    <row r="6896">
      <c r="G6896" s="12">
        <f t="shared" si="1144"/>
        <v>41012</v>
      </c>
    </row>
    <row r="6897">
      <c r="G6897" s="12">
        <f t="shared" si="1144"/>
        <v>41012</v>
      </c>
    </row>
    <row r="6898">
      <c r="G6898" s="12">
        <f t="shared" ref="G6898:G6906" si="1145">DATE(2012,12,31)-261</f>
        <v>41013</v>
      </c>
    </row>
    <row r="6899">
      <c r="G6899" s="12">
        <f t="shared" si="1145"/>
        <v>41013</v>
      </c>
    </row>
    <row r="6900">
      <c r="G6900" s="12">
        <f t="shared" si="1145"/>
        <v>41013</v>
      </c>
    </row>
    <row r="6901">
      <c r="G6901" s="12">
        <f t="shared" si="1145"/>
        <v>41013</v>
      </c>
    </row>
    <row r="6902">
      <c r="G6902" s="12">
        <f t="shared" si="1145"/>
        <v>41013</v>
      </c>
    </row>
    <row r="6903">
      <c r="G6903" s="12">
        <f t="shared" si="1145"/>
        <v>41013</v>
      </c>
    </row>
    <row r="6904">
      <c r="G6904" s="12">
        <f t="shared" si="1145"/>
        <v>41013</v>
      </c>
    </row>
    <row r="6905">
      <c r="G6905" s="12">
        <f t="shared" si="1145"/>
        <v>41013</v>
      </c>
    </row>
    <row r="6906">
      <c r="G6906" s="12">
        <f t="shared" si="1145"/>
        <v>41013</v>
      </c>
    </row>
    <row r="6907">
      <c r="G6907" s="12">
        <f t="shared" ref="G6907:G6915" si="1146">DATE(2012,12,31)-260</f>
        <v>41014</v>
      </c>
    </row>
    <row r="6908">
      <c r="G6908" s="12">
        <f t="shared" si="1146"/>
        <v>41014</v>
      </c>
    </row>
    <row r="6909">
      <c r="G6909" s="12">
        <f t="shared" si="1146"/>
        <v>41014</v>
      </c>
    </row>
    <row r="6910">
      <c r="G6910" s="12">
        <f t="shared" si="1146"/>
        <v>41014</v>
      </c>
    </row>
    <row r="6911">
      <c r="G6911" s="12">
        <f t="shared" si="1146"/>
        <v>41014</v>
      </c>
    </row>
    <row r="6912">
      <c r="G6912" s="12">
        <f t="shared" si="1146"/>
        <v>41014</v>
      </c>
    </row>
    <row r="6913">
      <c r="G6913" s="12">
        <f t="shared" si="1146"/>
        <v>41014</v>
      </c>
    </row>
    <row r="6914">
      <c r="G6914" s="12">
        <f t="shared" si="1146"/>
        <v>41014</v>
      </c>
    </row>
    <row r="6915">
      <c r="G6915" s="12">
        <f t="shared" si="1146"/>
        <v>41014</v>
      </c>
    </row>
    <row r="6916">
      <c r="G6916" s="12">
        <f t="shared" ref="G6916:G6918" si="1147">DATE(2012,12,31)-259</f>
        <v>41015</v>
      </c>
    </row>
    <row r="6917">
      <c r="G6917" s="12">
        <f t="shared" si="1147"/>
        <v>41015</v>
      </c>
    </row>
    <row r="6918">
      <c r="G6918" s="12">
        <f t="shared" si="1147"/>
        <v>41015</v>
      </c>
    </row>
    <row r="6919">
      <c r="G6919" s="12">
        <f t="shared" ref="G6919:G6925" si="1148">DATE(2012,12,31)-258</f>
        <v>41016</v>
      </c>
    </row>
    <row r="6920">
      <c r="G6920" s="12">
        <f t="shared" si="1148"/>
        <v>41016</v>
      </c>
    </row>
    <row r="6921">
      <c r="G6921" s="12">
        <f t="shared" si="1148"/>
        <v>41016</v>
      </c>
    </row>
    <row r="6922">
      <c r="G6922" s="12">
        <f t="shared" si="1148"/>
        <v>41016</v>
      </c>
    </row>
    <row r="6923">
      <c r="G6923" s="12">
        <f t="shared" si="1148"/>
        <v>41016</v>
      </c>
    </row>
    <row r="6924">
      <c r="G6924" s="12">
        <f t="shared" si="1148"/>
        <v>41016</v>
      </c>
    </row>
    <row r="6925">
      <c r="G6925" s="12">
        <f t="shared" si="1148"/>
        <v>41016</v>
      </c>
    </row>
    <row r="6926">
      <c r="G6926" s="12">
        <f t="shared" ref="G6926:G6932" si="1149">DATE(2012,12,31)-257</f>
        <v>41017</v>
      </c>
    </row>
    <row r="6927">
      <c r="G6927" s="12">
        <f t="shared" si="1149"/>
        <v>41017</v>
      </c>
    </row>
    <row r="6928">
      <c r="G6928" s="12">
        <f t="shared" si="1149"/>
        <v>41017</v>
      </c>
    </row>
    <row r="6929">
      <c r="G6929" s="12">
        <f t="shared" si="1149"/>
        <v>41017</v>
      </c>
    </row>
    <row r="6930">
      <c r="G6930" s="12">
        <f t="shared" si="1149"/>
        <v>41017</v>
      </c>
    </row>
    <row r="6931">
      <c r="G6931" s="12">
        <f t="shared" si="1149"/>
        <v>41017</v>
      </c>
    </row>
    <row r="6932">
      <c r="G6932" s="12">
        <f t="shared" si="1149"/>
        <v>41017</v>
      </c>
    </row>
    <row r="6933">
      <c r="G6933" s="12">
        <f>DATE(2012,12,31)-255</f>
        <v>41019</v>
      </c>
    </row>
    <row r="6934">
      <c r="G6934" s="12">
        <f t="shared" ref="G6934:G6938" si="1150">DATE(2012,12,31)-254</f>
        <v>41020</v>
      </c>
    </row>
    <row r="6935">
      <c r="G6935" s="12">
        <f t="shared" si="1150"/>
        <v>41020</v>
      </c>
    </row>
    <row r="6936">
      <c r="G6936" s="12">
        <f t="shared" si="1150"/>
        <v>41020</v>
      </c>
    </row>
    <row r="6937">
      <c r="G6937" s="12">
        <f t="shared" si="1150"/>
        <v>41020</v>
      </c>
    </row>
    <row r="6938">
      <c r="G6938" s="12">
        <f t="shared" si="1150"/>
        <v>41020</v>
      </c>
    </row>
    <row r="6939">
      <c r="G6939" s="12">
        <f t="shared" ref="G6939:G6945" si="1151">DATE(2012,12,31)-253</f>
        <v>41021</v>
      </c>
    </row>
    <row r="6940">
      <c r="G6940" s="12">
        <f t="shared" si="1151"/>
        <v>41021</v>
      </c>
    </row>
    <row r="6941">
      <c r="G6941" s="12">
        <f t="shared" si="1151"/>
        <v>41021</v>
      </c>
    </row>
    <row r="6942">
      <c r="G6942" s="12">
        <f t="shared" si="1151"/>
        <v>41021</v>
      </c>
    </row>
    <row r="6943">
      <c r="G6943" s="12">
        <f t="shared" si="1151"/>
        <v>41021</v>
      </c>
    </row>
    <row r="6944">
      <c r="G6944" s="12">
        <f t="shared" si="1151"/>
        <v>41021</v>
      </c>
    </row>
    <row r="6945">
      <c r="G6945" s="12">
        <f t="shared" si="1151"/>
        <v>41021</v>
      </c>
    </row>
    <row r="6946">
      <c r="G6946" s="12">
        <f t="shared" ref="G6946:G6951" si="1152">DATE(2012,12,31)-252</f>
        <v>41022</v>
      </c>
    </row>
    <row r="6947">
      <c r="G6947" s="12">
        <f t="shared" si="1152"/>
        <v>41022</v>
      </c>
    </row>
    <row r="6948">
      <c r="G6948" s="12">
        <f t="shared" si="1152"/>
        <v>41022</v>
      </c>
    </row>
    <row r="6949">
      <c r="G6949" s="12">
        <f t="shared" si="1152"/>
        <v>41022</v>
      </c>
    </row>
    <row r="6950">
      <c r="G6950" s="12">
        <f t="shared" si="1152"/>
        <v>41022</v>
      </c>
    </row>
    <row r="6951">
      <c r="G6951" s="12">
        <f t="shared" si="1152"/>
        <v>41022</v>
      </c>
    </row>
    <row r="6952">
      <c r="G6952" s="12">
        <f t="shared" ref="G6952:G6958" si="1153">DATE(2012,12,31)-251</f>
        <v>41023</v>
      </c>
    </row>
    <row r="6953">
      <c r="G6953" s="12">
        <f t="shared" si="1153"/>
        <v>41023</v>
      </c>
    </row>
    <row r="6954">
      <c r="G6954" s="12">
        <f t="shared" si="1153"/>
        <v>41023</v>
      </c>
    </row>
    <row r="6955">
      <c r="G6955" s="12">
        <f t="shared" si="1153"/>
        <v>41023</v>
      </c>
    </row>
    <row r="6956">
      <c r="G6956" s="12">
        <f t="shared" si="1153"/>
        <v>41023</v>
      </c>
    </row>
    <row r="6957">
      <c r="G6957" s="12">
        <f t="shared" si="1153"/>
        <v>41023</v>
      </c>
    </row>
    <row r="6958">
      <c r="G6958" s="12">
        <f t="shared" si="1153"/>
        <v>41023</v>
      </c>
    </row>
    <row r="6959">
      <c r="G6959" s="12">
        <f t="shared" ref="G6959:G6970" si="1154">DATE(2012,12,31)-250</f>
        <v>41024</v>
      </c>
    </row>
    <row r="6960">
      <c r="G6960" s="12">
        <f t="shared" si="1154"/>
        <v>41024</v>
      </c>
    </row>
    <row r="6961">
      <c r="G6961" s="12">
        <f t="shared" si="1154"/>
        <v>41024</v>
      </c>
    </row>
    <row r="6962">
      <c r="G6962" s="12">
        <f t="shared" si="1154"/>
        <v>41024</v>
      </c>
    </row>
    <row r="6963">
      <c r="G6963" s="12">
        <f t="shared" si="1154"/>
        <v>41024</v>
      </c>
    </row>
    <row r="6964">
      <c r="G6964" s="12">
        <f t="shared" si="1154"/>
        <v>41024</v>
      </c>
    </row>
    <row r="6965">
      <c r="G6965" s="12">
        <f t="shared" si="1154"/>
        <v>41024</v>
      </c>
    </row>
    <row r="6966">
      <c r="G6966" s="12">
        <f t="shared" si="1154"/>
        <v>41024</v>
      </c>
    </row>
    <row r="6967">
      <c r="G6967" s="12">
        <f t="shared" si="1154"/>
        <v>41024</v>
      </c>
    </row>
    <row r="6968">
      <c r="G6968" s="12">
        <f t="shared" si="1154"/>
        <v>41024</v>
      </c>
    </row>
    <row r="6969">
      <c r="G6969" s="12">
        <f t="shared" si="1154"/>
        <v>41024</v>
      </c>
    </row>
    <row r="6970">
      <c r="G6970" s="12">
        <f t="shared" si="1154"/>
        <v>41024</v>
      </c>
    </row>
    <row r="6971">
      <c r="G6971" s="12">
        <f t="shared" ref="G6971:G6974" si="1155">DATE(2012,12,31)-249</f>
        <v>41025</v>
      </c>
    </row>
    <row r="6972">
      <c r="G6972" s="12">
        <f t="shared" si="1155"/>
        <v>41025</v>
      </c>
    </row>
    <row r="6973">
      <c r="G6973" s="12">
        <f t="shared" si="1155"/>
        <v>41025</v>
      </c>
    </row>
    <row r="6974">
      <c r="G6974" s="12">
        <f t="shared" si="1155"/>
        <v>41025</v>
      </c>
    </row>
    <row r="6975">
      <c r="G6975" s="12">
        <f t="shared" ref="G6975:G6985" si="1156">DATE(2012,12,31)-248</f>
        <v>41026</v>
      </c>
    </row>
    <row r="6976">
      <c r="G6976" s="12">
        <f t="shared" si="1156"/>
        <v>41026</v>
      </c>
    </row>
    <row r="6977">
      <c r="G6977" s="12">
        <f t="shared" si="1156"/>
        <v>41026</v>
      </c>
    </row>
    <row r="6978">
      <c r="G6978" s="12">
        <f t="shared" si="1156"/>
        <v>41026</v>
      </c>
    </row>
    <row r="6979">
      <c r="G6979" s="12">
        <f t="shared" si="1156"/>
        <v>41026</v>
      </c>
    </row>
    <row r="6980">
      <c r="G6980" s="12">
        <f t="shared" si="1156"/>
        <v>41026</v>
      </c>
    </row>
    <row r="6981">
      <c r="G6981" s="12">
        <f t="shared" si="1156"/>
        <v>41026</v>
      </c>
    </row>
    <row r="6982">
      <c r="G6982" s="12">
        <f t="shared" si="1156"/>
        <v>41026</v>
      </c>
    </row>
    <row r="6983">
      <c r="G6983" s="12">
        <f t="shared" si="1156"/>
        <v>41026</v>
      </c>
    </row>
    <row r="6984">
      <c r="G6984" s="12">
        <f t="shared" si="1156"/>
        <v>41026</v>
      </c>
    </row>
    <row r="6985">
      <c r="G6985" s="12">
        <f t="shared" si="1156"/>
        <v>41026</v>
      </c>
    </row>
    <row r="6986">
      <c r="G6986" s="12">
        <f t="shared" ref="G6986:G6991" si="1157">DATE(2012,12,31)-247</f>
        <v>41027</v>
      </c>
    </row>
    <row r="6987">
      <c r="G6987" s="12">
        <f t="shared" si="1157"/>
        <v>41027</v>
      </c>
    </row>
    <row r="6988">
      <c r="G6988" s="12">
        <f t="shared" si="1157"/>
        <v>41027</v>
      </c>
    </row>
    <row r="6989">
      <c r="G6989" s="12">
        <f t="shared" si="1157"/>
        <v>41027</v>
      </c>
    </row>
    <row r="6990">
      <c r="G6990" s="12">
        <f t="shared" si="1157"/>
        <v>41027</v>
      </c>
    </row>
    <row r="6991">
      <c r="G6991" s="12">
        <f t="shared" si="1157"/>
        <v>41027</v>
      </c>
    </row>
    <row r="6992">
      <c r="G6992" s="12">
        <f t="shared" ref="G6992:G7000" si="1158">DATE(2012,12,31)-246</f>
        <v>41028</v>
      </c>
    </row>
    <row r="6993">
      <c r="G6993" s="12">
        <f t="shared" si="1158"/>
        <v>41028</v>
      </c>
    </row>
    <row r="6994">
      <c r="G6994" s="12">
        <f t="shared" si="1158"/>
        <v>41028</v>
      </c>
    </row>
    <row r="6995">
      <c r="G6995" s="12">
        <f t="shared" si="1158"/>
        <v>41028</v>
      </c>
    </row>
    <row r="6996">
      <c r="G6996" s="12">
        <f t="shared" si="1158"/>
        <v>41028</v>
      </c>
    </row>
    <row r="6997">
      <c r="G6997" s="12">
        <f t="shared" si="1158"/>
        <v>41028</v>
      </c>
    </row>
    <row r="6998">
      <c r="G6998" s="12">
        <f t="shared" si="1158"/>
        <v>41028</v>
      </c>
    </row>
    <row r="6999">
      <c r="G6999" s="12">
        <f t="shared" si="1158"/>
        <v>41028</v>
      </c>
    </row>
    <row r="7000">
      <c r="G7000" s="12">
        <f t="shared" si="1158"/>
        <v>41028</v>
      </c>
    </row>
    <row r="7001">
      <c r="G7001" s="12">
        <f t="shared" ref="G7001:G7002" si="1159">DATE(2012,12,31)-245</f>
        <v>41029</v>
      </c>
    </row>
    <row r="7002">
      <c r="G7002" s="12">
        <f t="shared" si="1159"/>
        <v>41029</v>
      </c>
    </row>
    <row r="7003">
      <c r="G7003" s="12">
        <f t="shared" ref="G7003:G7004" si="1160">DATE(2012,12,31)-244</f>
        <v>41030</v>
      </c>
    </row>
    <row r="7004">
      <c r="G7004" s="12">
        <f t="shared" si="1160"/>
        <v>41030</v>
      </c>
    </row>
    <row r="7005">
      <c r="G7005" s="12">
        <f t="shared" ref="G7005:G7010" si="1161">DATE(2012,12,31)-243</f>
        <v>41031</v>
      </c>
    </row>
    <row r="7006">
      <c r="G7006" s="12">
        <f t="shared" si="1161"/>
        <v>41031</v>
      </c>
    </row>
    <row r="7007">
      <c r="G7007" s="12">
        <f t="shared" si="1161"/>
        <v>41031</v>
      </c>
    </row>
    <row r="7008">
      <c r="G7008" s="12">
        <f t="shared" si="1161"/>
        <v>41031</v>
      </c>
    </row>
    <row r="7009">
      <c r="G7009" s="12">
        <f t="shared" si="1161"/>
        <v>41031</v>
      </c>
    </row>
    <row r="7010">
      <c r="G7010" s="12">
        <f t="shared" si="1161"/>
        <v>41031</v>
      </c>
    </row>
    <row r="7011">
      <c r="G7011" s="12">
        <f t="shared" ref="G7011:G7016" si="1162">DATE(2012,12,31)-242</f>
        <v>41032</v>
      </c>
    </row>
    <row r="7012">
      <c r="G7012" s="12">
        <f t="shared" si="1162"/>
        <v>41032</v>
      </c>
    </row>
    <row r="7013">
      <c r="G7013" s="12">
        <f t="shared" si="1162"/>
        <v>41032</v>
      </c>
    </row>
    <row r="7014">
      <c r="G7014" s="12">
        <f t="shared" si="1162"/>
        <v>41032</v>
      </c>
    </row>
    <row r="7015">
      <c r="G7015" s="12">
        <f t="shared" si="1162"/>
        <v>41032</v>
      </c>
    </row>
    <row r="7016">
      <c r="G7016" s="12">
        <f t="shared" si="1162"/>
        <v>41032</v>
      </c>
    </row>
    <row r="7017">
      <c r="G7017" s="12">
        <f t="shared" ref="G7017:G7024" si="1163">DATE(2012,12,31)-241</f>
        <v>41033</v>
      </c>
    </row>
    <row r="7018">
      <c r="G7018" s="12">
        <f t="shared" si="1163"/>
        <v>41033</v>
      </c>
    </row>
    <row r="7019">
      <c r="G7019" s="12">
        <f t="shared" si="1163"/>
        <v>41033</v>
      </c>
    </row>
    <row r="7020">
      <c r="G7020" s="12">
        <f t="shared" si="1163"/>
        <v>41033</v>
      </c>
    </row>
    <row r="7021">
      <c r="G7021" s="12">
        <f t="shared" si="1163"/>
        <v>41033</v>
      </c>
    </row>
    <row r="7022">
      <c r="G7022" s="12">
        <f t="shared" si="1163"/>
        <v>41033</v>
      </c>
    </row>
    <row r="7023">
      <c r="G7023" s="12">
        <f t="shared" si="1163"/>
        <v>41033</v>
      </c>
    </row>
    <row r="7024">
      <c r="G7024" s="12">
        <f t="shared" si="1163"/>
        <v>41033</v>
      </c>
    </row>
    <row r="7025">
      <c r="G7025" s="12">
        <f t="shared" ref="G7025:G7033" si="1164">DATE(2012,12,31)-240</f>
        <v>41034</v>
      </c>
    </row>
    <row r="7026">
      <c r="G7026" s="12">
        <f t="shared" si="1164"/>
        <v>41034</v>
      </c>
    </row>
    <row r="7027">
      <c r="G7027" s="12">
        <f t="shared" si="1164"/>
        <v>41034</v>
      </c>
    </row>
    <row r="7028">
      <c r="G7028" s="12">
        <f t="shared" si="1164"/>
        <v>41034</v>
      </c>
    </row>
    <row r="7029">
      <c r="G7029" s="12">
        <f t="shared" si="1164"/>
        <v>41034</v>
      </c>
    </row>
    <row r="7030">
      <c r="G7030" s="12">
        <f t="shared" si="1164"/>
        <v>41034</v>
      </c>
    </row>
    <row r="7031">
      <c r="G7031" s="12">
        <f t="shared" si="1164"/>
        <v>41034</v>
      </c>
    </row>
    <row r="7032">
      <c r="G7032" s="12">
        <f t="shared" si="1164"/>
        <v>41034</v>
      </c>
    </row>
    <row r="7033">
      <c r="G7033" s="12">
        <f t="shared" si="1164"/>
        <v>41034</v>
      </c>
    </row>
    <row r="7034">
      <c r="G7034" s="12">
        <f t="shared" ref="G7034:G7044" si="1165">DATE(2012,12,31)-239</f>
        <v>41035</v>
      </c>
    </row>
    <row r="7035">
      <c r="G7035" s="12">
        <f t="shared" si="1165"/>
        <v>41035</v>
      </c>
    </row>
    <row r="7036">
      <c r="G7036" s="12">
        <f t="shared" si="1165"/>
        <v>41035</v>
      </c>
    </row>
    <row r="7037">
      <c r="G7037" s="12">
        <f t="shared" si="1165"/>
        <v>41035</v>
      </c>
    </row>
    <row r="7038">
      <c r="G7038" s="12">
        <f t="shared" si="1165"/>
        <v>41035</v>
      </c>
    </row>
    <row r="7039">
      <c r="G7039" s="12">
        <f t="shared" si="1165"/>
        <v>41035</v>
      </c>
    </row>
    <row r="7040">
      <c r="G7040" s="12">
        <f t="shared" si="1165"/>
        <v>41035</v>
      </c>
    </row>
    <row r="7041">
      <c r="G7041" s="12">
        <f t="shared" si="1165"/>
        <v>41035</v>
      </c>
    </row>
    <row r="7042">
      <c r="G7042" s="12">
        <f t="shared" si="1165"/>
        <v>41035</v>
      </c>
    </row>
    <row r="7043">
      <c r="G7043" s="12">
        <f t="shared" si="1165"/>
        <v>41035</v>
      </c>
    </row>
    <row r="7044">
      <c r="G7044" s="12">
        <f t="shared" si="1165"/>
        <v>41035</v>
      </c>
    </row>
    <row r="7045">
      <c r="G7045" s="12">
        <f t="shared" ref="G7045:G7054" si="1166">DATE(2012,12,31)-238</f>
        <v>41036</v>
      </c>
    </row>
    <row r="7046">
      <c r="G7046" s="12">
        <f t="shared" si="1166"/>
        <v>41036</v>
      </c>
    </row>
    <row r="7047">
      <c r="G7047" s="12">
        <f t="shared" si="1166"/>
        <v>41036</v>
      </c>
    </row>
    <row r="7048">
      <c r="G7048" s="12">
        <f t="shared" si="1166"/>
        <v>41036</v>
      </c>
    </row>
    <row r="7049">
      <c r="G7049" s="12">
        <f t="shared" si="1166"/>
        <v>41036</v>
      </c>
    </row>
    <row r="7050">
      <c r="G7050" s="12">
        <f t="shared" si="1166"/>
        <v>41036</v>
      </c>
    </row>
    <row r="7051">
      <c r="G7051" s="12">
        <f t="shared" si="1166"/>
        <v>41036</v>
      </c>
    </row>
    <row r="7052">
      <c r="G7052" s="12">
        <f t="shared" si="1166"/>
        <v>41036</v>
      </c>
    </row>
    <row r="7053">
      <c r="G7053" s="12">
        <f t="shared" si="1166"/>
        <v>41036</v>
      </c>
    </row>
    <row r="7054">
      <c r="G7054" s="12">
        <f t="shared" si="1166"/>
        <v>41036</v>
      </c>
    </row>
    <row r="7055">
      <c r="G7055" s="12">
        <f t="shared" ref="G7055:G7059" si="1167">DATE(2012,12,31)-237</f>
        <v>41037</v>
      </c>
    </row>
    <row r="7056">
      <c r="G7056" s="12">
        <f t="shared" si="1167"/>
        <v>41037</v>
      </c>
    </row>
    <row r="7057">
      <c r="G7057" s="12">
        <f t="shared" si="1167"/>
        <v>41037</v>
      </c>
    </row>
    <row r="7058">
      <c r="G7058" s="12">
        <f t="shared" si="1167"/>
        <v>41037</v>
      </c>
    </row>
    <row r="7059">
      <c r="G7059" s="12">
        <f t="shared" si="1167"/>
        <v>41037</v>
      </c>
    </row>
    <row r="7060">
      <c r="G7060" s="12">
        <f t="shared" ref="G7060:G7065" si="1168">DATE(2012,12,31)-236</f>
        <v>41038</v>
      </c>
    </row>
    <row r="7061">
      <c r="G7061" s="12">
        <f t="shared" si="1168"/>
        <v>41038</v>
      </c>
    </row>
    <row r="7062">
      <c r="G7062" s="12">
        <f t="shared" si="1168"/>
        <v>41038</v>
      </c>
    </row>
    <row r="7063">
      <c r="G7063" s="12">
        <f t="shared" si="1168"/>
        <v>41038</v>
      </c>
    </row>
    <row r="7064">
      <c r="G7064" s="12">
        <f t="shared" si="1168"/>
        <v>41038</v>
      </c>
    </row>
    <row r="7065">
      <c r="G7065" s="12">
        <f t="shared" si="1168"/>
        <v>41038</v>
      </c>
    </row>
    <row r="7066">
      <c r="G7066" s="12">
        <f t="shared" ref="G7066:G7075" si="1169">DATE(2012,12,31)-235</f>
        <v>41039</v>
      </c>
    </row>
    <row r="7067">
      <c r="G7067" s="12">
        <f t="shared" si="1169"/>
        <v>41039</v>
      </c>
    </row>
    <row r="7068">
      <c r="G7068" s="12">
        <f t="shared" si="1169"/>
        <v>41039</v>
      </c>
    </row>
    <row r="7069">
      <c r="G7069" s="12">
        <f t="shared" si="1169"/>
        <v>41039</v>
      </c>
    </row>
    <row r="7070">
      <c r="G7070" s="12">
        <f t="shared" si="1169"/>
        <v>41039</v>
      </c>
    </row>
    <row r="7071">
      <c r="G7071" s="12">
        <f t="shared" si="1169"/>
        <v>41039</v>
      </c>
    </row>
    <row r="7072">
      <c r="G7072" s="12">
        <f t="shared" si="1169"/>
        <v>41039</v>
      </c>
    </row>
    <row r="7073">
      <c r="G7073" s="12">
        <f t="shared" si="1169"/>
        <v>41039</v>
      </c>
    </row>
    <row r="7074">
      <c r="G7074" s="12">
        <f t="shared" si="1169"/>
        <v>41039</v>
      </c>
    </row>
    <row r="7075">
      <c r="G7075" s="12">
        <f t="shared" si="1169"/>
        <v>41039</v>
      </c>
    </row>
    <row r="7076">
      <c r="G7076" s="12">
        <f t="shared" ref="G7076:G7081" si="1170">DATE(2012,12,31)-234</f>
        <v>41040</v>
      </c>
    </row>
    <row r="7077">
      <c r="G7077" s="12">
        <f t="shared" si="1170"/>
        <v>41040</v>
      </c>
    </row>
    <row r="7078">
      <c r="G7078" s="12">
        <f t="shared" si="1170"/>
        <v>41040</v>
      </c>
    </row>
    <row r="7079">
      <c r="G7079" s="12">
        <f t="shared" si="1170"/>
        <v>41040</v>
      </c>
    </row>
    <row r="7080">
      <c r="G7080" s="12">
        <f t="shared" si="1170"/>
        <v>41040</v>
      </c>
    </row>
    <row r="7081">
      <c r="G7081" s="12">
        <f t="shared" si="1170"/>
        <v>41040</v>
      </c>
    </row>
    <row r="7082">
      <c r="G7082" s="12">
        <f t="shared" ref="G7082:G7095" si="1171">DATE(2012,12,31)-233</f>
        <v>41041</v>
      </c>
    </row>
    <row r="7083">
      <c r="G7083" s="12">
        <f t="shared" si="1171"/>
        <v>41041</v>
      </c>
    </row>
    <row r="7084">
      <c r="G7084" s="12">
        <f t="shared" si="1171"/>
        <v>41041</v>
      </c>
    </row>
    <row r="7085">
      <c r="G7085" s="12">
        <f t="shared" si="1171"/>
        <v>41041</v>
      </c>
    </row>
    <row r="7086">
      <c r="G7086" s="12">
        <f t="shared" si="1171"/>
        <v>41041</v>
      </c>
    </row>
    <row r="7087">
      <c r="G7087" s="12">
        <f t="shared" si="1171"/>
        <v>41041</v>
      </c>
    </row>
    <row r="7088">
      <c r="G7088" s="12">
        <f t="shared" si="1171"/>
        <v>41041</v>
      </c>
    </row>
    <row r="7089">
      <c r="G7089" s="12">
        <f t="shared" si="1171"/>
        <v>41041</v>
      </c>
    </row>
    <row r="7090">
      <c r="G7090" s="12">
        <f t="shared" si="1171"/>
        <v>41041</v>
      </c>
    </row>
    <row r="7091">
      <c r="G7091" s="12">
        <f t="shared" si="1171"/>
        <v>41041</v>
      </c>
    </row>
    <row r="7092">
      <c r="G7092" s="12">
        <f t="shared" si="1171"/>
        <v>41041</v>
      </c>
    </row>
    <row r="7093">
      <c r="G7093" s="12">
        <f t="shared" si="1171"/>
        <v>41041</v>
      </c>
    </row>
    <row r="7094">
      <c r="G7094" s="12">
        <f t="shared" si="1171"/>
        <v>41041</v>
      </c>
    </row>
    <row r="7095">
      <c r="G7095" s="12">
        <f t="shared" si="1171"/>
        <v>41041</v>
      </c>
    </row>
    <row r="7096">
      <c r="G7096" s="12">
        <f t="shared" ref="G7096:G7108" si="1172">DATE(2012,12,31)-232</f>
        <v>41042</v>
      </c>
    </row>
    <row r="7097">
      <c r="G7097" s="12">
        <f t="shared" si="1172"/>
        <v>41042</v>
      </c>
    </row>
    <row r="7098">
      <c r="G7098" s="12">
        <f t="shared" si="1172"/>
        <v>41042</v>
      </c>
    </row>
    <row r="7099">
      <c r="G7099" s="12">
        <f t="shared" si="1172"/>
        <v>41042</v>
      </c>
    </row>
    <row r="7100">
      <c r="G7100" s="12">
        <f t="shared" si="1172"/>
        <v>41042</v>
      </c>
    </row>
    <row r="7101">
      <c r="G7101" s="12">
        <f t="shared" si="1172"/>
        <v>41042</v>
      </c>
    </row>
    <row r="7102">
      <c r="G7102" s="12">
        <f t="shared" si="1172"/>
        <v>41042</v>
      </c>
    </row>
    <row r="7103">
      <c r="G7103" s="12">
        <f t="shared" si="1172"/>
        <v>41042</v>
      </c>
    </row>
    <row r="7104">
      <c r="G7104" s="12">
        <f t="shared" si="1172"/>
        <v>41042</v>
      </c>
    </row>
    <row r="7105">
      <c r="G7105" s="12">
        <f t="shared" si="1172"/>
        <v>41042</v>
      </c>
    </row>
    <row r="7106">
      <c r="G7106" s="12">
        <f t="shared" si="1172"/>
        <v>41042</v>
      </c>
    </row>
    <row r="7107">
      <c r="G7107" s="12">
        <f t="shared" si="1172"/>
        <v>41042</v>
      </c>
    </row>
    <row r="7108">
      <c r="G7108" s="12">
        <f t="shared" si="1172"/>
        <v>41042</v>
      </c>
    </row>
    <row r="7109">
      <c r="G7109" s="12">
        <f t="shared" ref="G7109:G7111" si="1173">DATE(2012,12,31)-231</f>
        <v>41043</v>
      </c>
    </row>
    <row r="7110">
      <c r="G7110" s="12">
        <f t="shared" si="1173"/>
        <v>41043</v>
      </c>
    </row>
    <row r="7111">
      <c r="G7111" s="12">
        <f t="shared" si="1173"/>
        <v>41043</v>
      </c>
    </row>
    <row r="7112">
      <c r="G7112" s="12">
        <f t="shared" ref="G7112:G7113" si="1174">DATE(2012,12,31)-229</f>
        <v>41045</v>
      </c>
    </row>
    <row r="7113">
      <c r="G7113" s="12">
        <f t="shared" si="1174"/>
        <v>41045</v>
      </c>
    </row>
    <row r="7114">
      <c r="G7114" s="12">
        <f t="shared" ref="G7114:G7123" si="1175">DATE(2012,12,31)-228</f>
        <v>41046</v>
      </c>
    </row>
    <row r="7115">
      <c r="G7115" s="12">
        <f t="shared" si="1175"/>
        <v>41046</v>
      </c>
    </row>
    <row r="7116">
      <c r="G7116" s="12">
        <f t="shared" si="1175"/>
        <v>41046</v>
      </c>
    </row>
    <row r="7117">
      <c r="G7117" s="12">
        <f t="shared" si="1175"/>
        <v>41046</v>
      </c>
    </row>
    <row r="7118">
      <c r="G7118" s="12">
        <f t="shared" si="1175"/>
        <v>41046</v>
      </c>
    </row>
    <row r="7119">
      <c r="G7119" s="12">
        <f t="shared" si="1175"/>
        <v>41046</v>
      </c>
    </row>
    <row r="7120">
      <c r="G7120" s="12">
        <f t="shared" si="1175"/>
        <v>41046</v>
      </c>
    </row>
    <row r="7121">
      <c r="G7121" s="12">
        <f t="shared" si="1175"/>
        <v>41046</v>
      </c>
    </row>
    <row r="7122">
      <c r="G7122" s="12">
        <f t="shared" si="1175"/>
        <v>41046</v>
      </c>
    </row>
    <row r="7123">
      <c r="G7123" s="12">
        <f t="shared" si="1175"/>
        <v>41046</v>
      </c>
    </row>
    <row r="7124">
      <c r="G7124" s="12">
        <f t="shared" ref="G7124:G7128" si="1176">DATE(2012,12,31)-227</f>
        <v>41047</v>
      </c>
    </row>
    <row r="7125">
      <c r="G7125" s="12">
        <f t="shared" si="1176"/>
        <v>41047</v>
      </c>
    </row>
    <row r="7126">
      <c r="G7126" s="12">
        <f t="shared" si="1176"/>
        <v>41047</v>
      </c>
    </row>
    <row r="7127">
      <c r="G7127" s="12">
        <f t="shared" si="1176"/>
        <v>41047</v>
      </c>
    </row>
    <row r="7128">
      <c r="G7128" s="12">
        <f t="shared" si="1176"/>
        <v>41047</v>
      </c>
    </row>
    <row r="7129">
      <c r="G7129" s="12">
        <f t="shared" ref="G7129:G7131" si="1177">DATE(2012,12,31)-226</f>
        <v>41048</v>
      </c>
    </row>
    <row r="7130">
      <c r="G7130" s="12">
        <f t="shared" si="1177"/>
        <v>41048</v>
      </c>
    </row>
    <row r="7131">
      <c r="G7131" s="12">
        <f t="shared" si="1177"/>
        <v>41048</v>
      </c>
    </row>
    <row r="7132">
      <c r="G7132" s="12">
        <f t="shared" ref="G7132:G7139" si="1178">DATE(2012,12,31)-225</f>
        <v>41049</v>
      </c>
    </row>
    <row r="7133">
      <c r="G7133" s="12">
        <f t="shared" si="1178"/>
        <v>41049</v>
      </c>
    </row>
    <row r="7134">
      <c r="G7134" s="12">
        <f t="shared" si="1178"/>
        <v>41049</v>
      </c>
    </row>
    <row r="7135">
      <c r="G7135" s="12">
        <f t="shared" si="1178"/>
        <v>41049</v>
      </c>
    </row>
    <row r="7136">
      <c r="G7136" s="12">
        <f t="shared" si="1178"/>
        <v>41049</v>
      </c>
    </row>
    <row r="7137">
      <c r="G7137" s="12">
        <f t="shared" si="1178"/>
        <v>41049</v>
      </c>
    </row>
    <row r="7138">
      <c r="G7138" s="12">
        <f t="shared" si="1178"/>
        <v>41049</v>
      </c>
    </row>
    <row r="7139">
      <c r="G7139" s="12">
        <f t="shared" si="1178"/>
        <v>41049</v>
      </c>
    </row>
    <row r="7140">
      <c r="G7140" s="12">
        <f t="shared" ref="G7140:G7148" si="1179">DATE(2012,12,31)-224</f>
        <v>41050</v>
      </c>
    </row>
    <row r="7141">
      <c r="G7141" s="12">
        <f t="shared" si="1179"/>
        <v>41050</v>
      </c>
    </row>
    <row r="7142">
      <c r="G7142" s="12">
        <f t="shared" si="1179"/>
        <v>41050</v>
      </c>
    </row>
    <row r="7143">
      <c r="G7143" s="12">
        <f t="shared" si="1179"/>
        <v>41050</v>
      </c>
    </row>
    <row r="7144">
      <c r="G7144" s="12">
        <f t="shared" si="1179"/>
        <v>41050</v>
      </c>
    </row>
    <row r="7145">
      <c r="G7145" s="12">
        <f t="shared" si="1179"/>
        <v>41050</v>
      </c>
    </row>
    <row r="7146">
      <c r="G7146" s="12">
        <f t="shared" si="1179"/>
        <v>41050</v>
      </c>
    </row>
    <row r="7147">
      <c r="G7147" s="12">
        <f t="shared" si="1179"/>
        <v>41050</v>
      </c>
    </row>
    <row r="7148">
      <c r="G7148" s="12">
        <f t="shared" si="1179"/>
        <v>41050</v>
      </c>
    </row>
    <row r="7149">
      <c r="G7149" s="12">
        <f t="shared" ref="G7149:G7154" si="1180">DATE(2012,12,31)-223</f>
        <v>41051</v>
      </c>
    </row>
    <row r="7150">
      <c r="G7150" s="12">
        <f t="shared" si="1180"/>
        <v>41051</v>
      </c>
    </row>
    <row r="7151">
      <c r="G7151" s="12">
        <f t="shared" si="1180"/>
        <v>41051</v>
      </c>
    </row>
    <row r="7152">
      <c r="G7152" s="12">
        <f t="shared" si="1180"/>
        <v>41051</v>
      </c>
    </row>
    <row r="7153">
      <c r="G7153" s="12">
        <f t="shared" si="1180"/>
        <v>41051</v>
      </c>
    </row>
    <row r="7154">
      <c r="G7154" s="12">
        <f t="shared" si="1180"/>
        <v>41051</v>
      </c>
    </row>
    <row r="7155">
      <c r="G7155" s="12">
        <f t="shared" ref="G7155:G7159" si="1181">DATE(2012,12,31)-222</f>
        <v>41052</v>
      </c>
    </row>
    <row r="7156">
      <c r="G7156" s="12">
        <f t="shared" si="1181"/>
        <v>41052</v>
      </c>
    </row>
    <row r="7157">
      <c r="G7157" s="12">
        <f t="shared" si="1181"/>
        <v>41052</v>
      </c>
    </row>
    <row r="7158">
      <c r="G7158" s="12">
        <f t="shared" si="1181"/>
        <v>41052</v>
      </c>
    </row>
    <row r="7159">
      <c r="G7159" s="12">
        <f t="shared" si="1181"/>
        <v>41052</v>
      </c>
    </row>
    <row r="7160">
      <c r="G7160" s="12">
        <f t="shared" ref="G7160:G7162" si="1182">DATE(2012,12,31)-221</f>
        <v>41053</v>
      </c>
    </row>
    <row r="7161">
      <c r="G7161" s="12">
        <f t="shared" si="1182"/>
        <v>41053</v>
      </c>
    </row>
    <row r="7162">
      <c r="G7162" s="12">
        <f t="shared" si="1182"/>
        <v>41053</v>
      </c>
    </row>
    <row r="7163">
      <c r="G7163" s="12">
        <f t="shared" ref="G7163:G7173" si="1183">DATE(2012,12,31)-220</f>
        <v>41054</v>
      </c>
    </row>
    <row r="7164">
      <c r="G7164" s="12">
        <f t="shared" si="1183"/>
        <v>41054</v>
      </c>
    </row>
    <row r="7165">
      <c r="G7165" s="12">
        <f t="shared" si="1183"/>
        <v>41054</v>
      </c>
    </row>
    <row r="7166">
      <c r="G7166" s="12">
        <f t="shared" si="1183"/>
        <v>41054</v>
      </c>
    </row>
    <row r="7167">
      <c r="G7167" s="12">
        <f t="shared" si="1183"/>
        <v>41054</v>
      </c>
    </row>
    <row r="7168">
      <c r="G7168" s="12">
        <f t="shared" si="1183"/>
        <v>41054</v>
      </c>
    </row>
    <row r="7169">
      <c r="G7169" s="12">
        <f t="shared" si="1183"/>
        <v>41054</v>
      </c>
    </row>
    <row r="7170">
      <c r="G7170" s="12">
        <f t="shared" si="1183"/>
        <v>41054</v>
      </c>
    </row>
    <row r="7171">
      <c r="G7171" s="12">
        <f t="shared" si="1183"/>
        <v>41054</v>
      </c>
    </row>
    <row r="7172">
      <c r="G7172" s="12">
        <f t="shared" si="1183"/>
        <v>41054</v>
      </c>
    </row>
    <row r="7173">
      <c r="G7173" s="12">
        <f t="shared" si="1183"/>
        <v>41054</v>
      </c>
    </row>
    <row r="7174">
      <c r="G7174" s="12">
        <f t="shared" ref="G7174:G7184" si="1184">DATE(2012,12,31)-219</f>
        <v>41055</v>
      </c>
    </row>
    <row r="7175">
      <c r="G7175" s="12">
        <f t="shared" si="1184"/>
        <v>41055</v>
      </c>
    </row>
    <row r="7176">
      <c r="G7176" s="12">
        <f t="shared" si="1184"/>
        <v>41055</v>
      </c>
    </row>
    <row r="7177">
      <c r="G7177" s="12">
        <f t="shared" si="1184"/>
        <v>41055</v>
      </c>
    </row>
    <row r="7178">
      <c r="G7178" s="12">
        <f t="shared" si="1184"/>
        <v>41055</v>
      </c>
    </row>
    <row r="7179">
      <c r="G7179" s="12">
        <f t="shared" si="1184"/>
        <v>41055</v>
      </c>
    </row>
    <row r="7180">
      <c r="G7180" s="12">
        <f t="shared" si="1184"/>
        <v>41055</v>
      </c>
    </row>
    <row r="7181">
      <c r="G7181" s="12">
        <f t="shared" si="1184"/>
        <v>41055</v>
      </c>
    </row>
    <row r="7182">
      <c r="G7182" s="12">
        <f t="shared" si="1184"/>
        <v>41055</v>
      </c>
    </row>
    <row r="7183">
      <c r="G7183" s="12">
        <f t="shared" si="1184"/>
        <v>41055</v>
      </c>
    </row>
    <row r="7184">
      <c r="G7184" s="12">
        <f t="shared" si="1184"/>
        <v>41055</v>
      </c>
    </row>
    <row r="7185">
      <c r="G7185" s="12">
        <f t="shared" ref="G7185:G7188" si="1185">DATE(2012,12,31)-218</f>
        <v>41056</v>
      </c>
    </row>
    <row r="7186">
      <c r="G7186" s="12">
        <f t="shared" si="1185"/>
        <v>41056</v>
      </c>
    </row>
    <row r="7187">
      <c r="G7187" s="12">
        <f t="shared" si="1185"/>
        <v>41056</v>
      </c>
    </row>
    <row r="7188">
      <c r="G7188" s="12">
        <f t="shared" si="1185"/>
        <v>41056</v>
      </c>
    </row>
    <row r="7189">
      <c r="G7189" s="12">
        <f t="shared" ref="G7189:G7194" si="1186">DATE(2012,12,31)-217</f>
        <v>41057</v>
      </c>
    </row>
    <row r="7190">
      <c r="G7190" s="12">
        <f t="shared" si="1186"/>
        <v>41057</v>
      </c>
    </row>
    <row r="7191">
      <c r="G7191" s="12">
        <f t="shared" si="1186"/>
        <v>41057</v>
      </c>
    </row>
    <row r="7192">
      <c r="G7192" s="12">
        <f t="shared" si="1186"/>
        <v>41057</v>
      </c>
    </row>
    <row r="7193">
      <c r="G7193" s="12">
        <f t="shared" si="1186"/>
        <v>41057</v>
      </c>
    </row>
    <row r="7194">
      <c r="G7194" s="12">
        <f t="shared" si="1186"/>
        <v>41057</v>
      </c>
    </row>
    <row r="7195">
      <c r="G7195" s="12">
        <f t="shared" ref="G7195:G7202" si="1187">DATE(2012,12,31)-216</f>
        <v>41058</v>
      </c>
    </row>
    <row r="7196">
      <c r="G7196" s="12">
        <f t="shared" si="1187"/>
        <v>41058</v>
      </c>
    </row>
    <row r="7197">
      <c r="G7197" s="12">
        <f t="shared" si="1187"/>
        <v>41058</v>
      </c>
    </row>
    <row r="7198">
      <c r="G7198" s="12">
        <f t="shared" si="1187"/>
        <v>41058</v>
      </c>
    </row>
    <row r="7199">
      <c r="G7199" s="12">
        <f t="shared" si="1187"/>
        <v>41058</v>
      </c>
    </row>
    <row r="7200">
      <c r="G7200" s="12">
        <f t="shared" si="1187"/>
        <v>41058</v>
      </c>
    </row>
    <row r="7201">
      <c r="G7201" s="12">
        <f t="shared" si="1187"/>
        <v>41058</v>
      </c>
    </row>
    <row r="7202">
      <c r="G7202" s="12">
        <f t="shared" si="1187"/>
        <v>41058</v>
      </c>
    </row>
    <row r="7203">
      <c r="G7203" s="12">
        <f t="shared" ref="G7203:G7208" si="1188">DATE(2012,12,31)-215</f>
        <v>41059</v>
      </c>
    </row>
    <row r="7204">
      <c r="G7204" s="12">
        <f t="shared" si="1188"/>
        <v>41059</v>
      </c>
    </row>
    <row r="7205">
      <c r="G7205" s="12">
        <f t="shared" si="1188"/>
        <v>41059</v>
      </c>
    </row>
    <row r="7206">
      <c r="G7206" s="12">
        <f t="shared" si="1188"/>
        <v>41059</v>
      </c>
    </row>
    <row r="7207">
      <c r="G7207" s="12">
        <f t="shared" si="1188"/>
        <v>41059</v>
      </c>
    </row>
    <row r="7208">
      <c r="G7208" s="12">
        <f t="shared" si="1188"/>
        <v>41059</v>
      </c>
    </row>
    <row r="7209">
      <c r="G7209" s="12">
        <f t="shared" ref="G7209:G7215" si="1189">DATE(2012,12,31)-214</f>
        <v>41060</v>
      </c>
    </row>
    <row r="7210">
      <c r="G7210" s="12">
        <f t="shared" si="1189"/>
        <v>41060</v>
      </c>
    </row>
    <row r="7211">
      <c r="G7211" s="12">
        <f t="shared" si="1189"/>
        <v>41060</v>
      </c>
    </row>
    <row r="7212">
      <c r="G7212" s="12">
        <f t="shared" si="1189"/>
        <v>41060</v>
      </c>
    </row>
    <row r="7213">
      <c r="G7213" s="12">
        <f t="shared" si="1189"/>
        <v>41060</v>
      </c>
    </row>
    <row r="7214">
      <c r="G7214" s="12">
        <f t="shared" si="1189"/>
        <v>41060</v>
      </c>
    </row>
    <row r="7215">
      <c r="G7215" s="12">
        <f t="shared" si="1189"/>
        <v>41060</v>
      </c>
    </row>
    <row r="7216">
      <c r="G7216" s="12">
        <f t="shared" ref="G7216:G7222" si="1190">DATE(2012,12,31)-213</f>
        <v>41061</v>
      </c>
    </row>
    <row r="7217">
      <c r="G7217" s="12">
        <f t="shared" si="1190"/>
        <v>41061</v>
      </c>
    </row>
    <row r="7218">
      <c r="G7218" s="12">
        <f t="shared" si="1190"/>
        <v>41061</v>
      </c>
    </row>
    <row r="7219">
      <c r="G7219" s="12">
        <f t="shared" si="1190"/>
        <v>41061</v>
      </c>
    </row>
    <row r="7220">
      <c r="G7220" s="12">
        <f t="shared" si="1190"/>
        <v>41061</v>
      </c>
    </row>
    <row r="7221">
      <c r="G7221" s="12">
        <f t="shared" si="1190"/>
        <v>41061</v>
      </c>
    </row>
    <row r="7222">
      <c r="G7222" s="12">
        <f t="shared" si="1190"/>
        <v>41061</v>
      </c>
    </row>
    <row r="7223">
      <c r="G7223" s="12">
        <f t="shared" ref="G7223:G7234" si="1191">DATE(2012,12,31)-212</f>
        <v>41062</v>
      </c>
    </row>
    <row r="7224">
      <c r="G7224" s="12">
        <f t="shared" si="1191"/>
        <v>41062</v>
      </c>
    </row>
    <row r="7225">
      <c r="G7225" s="12">
        <f t="shared" si="1191"/>
        <v>41062</v>
      </c>
    </row>
    <row r="7226">
      <c r="G7226" s="12">
        <f t="shared" si="1191"/>
        <v>41062</v>
      </c>
    </row>
    <row r="7227">
      <c r="G7227" s="12">
        <f t="shared" si="1191"/>
        <v>41062</v>
      </c>
    </row>
    <row r="7228">
      <c r="G7228" s="12">
        <f t="shared" si="1191"/>
        <v>41062</v>
      </c>
    </row>
    <row r="7229">
      <c r="G7229" s="12">
        <f t="shared" si="1191"/>
        <v>41062</v>
      </c>
    </row>
    <row r="7230">
      <c r="G7230" s="12">
        <f t="shared" si="1191"/>
        <v>41062</v>
      </c>
    </row>
    <row r="7231">
      <c r="G7231" s="12">
        <f t="shared" si="1191"/>
        <v>41062</v>
      </c>
    </row>
    <row r="7232">
      <c r="G7232" s="12">
        <f t="shared" si="1191"/>
        <v>41062</v>
      </c>
    </row>
    <row r="7233">
      <c r="G7233" s="12">
        <f t="shared" si="1191"/>
        <v>41062</v>
      </c>
    </row>
    <row r="7234">
      <c r="G7234" s="12">
        <f t="shared" si="1191"/>
        <v>41062</v>
      </c>
    </row>
    <row r="7235">
      <c r="G7235" s="12">
        <f t="shared" ref="G7235:G7236" si="1192">DATE(2012,12,31)-211</f>
        <v>41063</v>
      </c>
    </row>
    <row r="7236">
      <c r="G7236" s="12">
        <f t="shared" si="1192"/>
        <v>41063</v>
      </c>
    </row>
    <row r="7237">
      <c r="G7237" s="12">
        <f t="shared" ref="G7237:G7238" si="1193">DATE(2012,12,31)-210</f>
        <v>41064</v>
      </c>
    </row>
    <row r="7238">
      <c r="G7238" s="12">
        <f t="shared" si="1193"/>
        <v>41064</v>
      </c>
    </row>
    <row r="7239">
      <c r="G7239" s="12">
        <f t="shared" ref="G7239:G7242" si="1194">DATE(2012,12,31)-209</f>
        <v>41065</v>
      </c>
    </row>
    <row r="7240">
      <c r="G7240" s="12">
        <f t="shared" si="1194"/>
        <v>41065</v>
      </c>
    </row>
    <row r="7241">
      <c r="G7241" s="12">
        <f t="shared" si="1194"/>
        <v>41065</v>
      </c>
    </row>
    <row r="7242">
      <c r="G7242" s="12">
        <f t="shared" si="1194"/>
        <v>41065</v>
      </c>
    </row>
    <row r="7243">
      <c r="G7243" s="12">
        <f t="shared" ref="G7243:G7245" si="1195">DATE(2012,12,31)-208</f>
        <v>41066</v>
      </c>
    </row>
    <row r="7244">
      <c r="G7244" s="12">
        <f t="shared" si="1195"/>
        <v>41066</v>
      </c>
    </row>
    <row r="7245">
      <c r="G7245" s="12">
        <f t="shared" si="1195"/>
        <v>41066</v>
      </c>
    </row>
    <row r="7246">
      <c r="G7246" s="12">
        <f t="shared" ref="G7246:G7253" si="1196">DATE(2012,12,31)-207</f>
        <v>41067</v>
      </c>
    </row>
    <row r="7247">
      <c r="G7247" s="12">
        <f t="shared" si="1196"/>
        <v>41067</v>
      </c>
    </row>
    <row r="7248">
      <c r="G7248" s="12">
        <f t="shared" si="1196"/>
        <v>41067</v>
      </c>
    </row>
    <row r="7249">
      <c r="G7249" s="12">
        <f t="shared" si="1196"/>
        <v>41067</v>
      </c>
    </row>
    <row r="7250">
      <c r="G7250" s="12">
        <f t="shared" si="1196"/>
        <v>41067</v>
      </c>
    </row>
    <row r="7251">
      <c r="G7251" s="12">
        <f t="shared" si="1196"/>
        <v>41067</v>
      </c>
    </row>
    <row r="7252">
      <c r="G7252" s="12">
        <f t="shared" si="1196"/>
        <v>41067</v>
      </c>
    </row>
    <row r="7253">
      <c r="G7253" s="12">
        <f t="shared" si="1196"/>
        <v>41067</v>
      </c>
    </row>
    <row r="7254">
      <c r="G7254" s="12">
        <f t="shared" ref="G7254:G7263" si="1197">DATE(2012,12,31)-206</f>
        <v>41068</v>
      </c>
    </row>
    <row r="7255">
      <c r="G7255" s="12">
        <f t="shared" si="1197"/>
        <v>41068</v>
      </c>
    </row>
    <row r="7256">
      <c r="G7256" s="12">
        <f t="shared" si="1197"/>
        <v>41068</v>
      </c>
    </row>
    <row r="7257">
      <c r="G7257" s="12">
        <f t="shared" si="1197"/>
        <v>41068</v>
      </c>
    </row>
    <row r="7258">
      <c r="G7258" s="12">
        <f t="shared" si="1197"/>
        <v>41068</v>
      </c>
    </row>
    <row r="7259">
      <c r="G7259" s="12">
        <f t="shared" si="1197"/>
        <v>41068</v>
      </c>
    </row>
    <row r="7260">
      <c r="G7260" s="12">
        <f t="shared" si="1197"/>
        <v>41068</v>
      </c>
    </row>
    <row r="7261">
      <c r="G7261" s="12">
        <f t="shared" si="1197"/>
        <v>41068</v>
      </c>
    </row>
    <row r="7262">
      <c r="G7262" s="12">
        <f t="shared" si="1197"/>
        <v>41068</v>
      </c>
    </row>
    <row r="7263">
      <c r="G7263" s="12">
        <f t="shared" si="1197"/>
        <v>41068</v>
      </c>
    </row>
    <row r="7264">
      <c r="G7264" s="12">
        <f>DATE(2012,12,31)-205</f>
        <v>41069</v>
      </c>
    </row>
    <row r="7265">
      <c r="G7265" s="12">
        <f t="shared" ref="G7265:G7270" si="1198">DATE(2012,12,31)-204</f>
        <v>41070</v>
      </c>
    </row>
    <row r="7266">
      <c r="G7266" s="12">
        <f t="shared" si="1198"/>
        <v>41070</v>
      </c>
    </row>
    <row r="7267">
      <c r="G7267" s="12">
        <f t="shared" si="1198"/>
        <v>41070</v>
      </c>
    </row>
    <row r="7268">
      <c r="G7268" s="12">
        <f t="shared" si="1198"/>
        <v>41070</v>
      </c>
    </row>
    <row r="7269">
      <c r="G7269" s="12">
        <f t="shared" si="1198"/>
        <v>41070</v>
      </c>
    </row>
    <row r="7270">
      <c r="G7270" s="12">
        <f t="shared" si="1198"/>
        <v>41070</v>
      </c>
    </row>
    <row r="7271">
      <c r="G7271" s="12">
        <f t="shared" ref="G7271:G7278" si="1199">DATE(2012,12,31)-203</f>
        <v>41071</v>
      </c>
    </row>
    <row r="7272">
      <c r="G7272" s="12">
        <f t="shared" si="1199"/>
        <v>41071</v>
      </c>
    </row>
    <row r="7273">
      <c r="G7273" s="12">
        <f t="shared" si="1199"/>
        <v>41071</v>
      </c>
    </row>
    <row r="7274">
      <c r="G7274" s="12">
        <f t="shared" si="1199"/>
        <v>41071</v>
      </c>
    </row>
    <row r="7275">
      <c r="G7275" s="12">
        <f t="shared" si="1199"/>
        <v>41071</v>
      </c>
    </row>
    <row r="7276">
      <c r="G7276" s="12">
        <f t="shared" si="1199"/>
        <v>41071</v>
      </c>
    </row>
    <row r="7277">
      <c r="G7277" s="12">
        <f t="shared" si="1199"/>
        <v>41071</v>
      </c>
    </row>
    <row r="7278">
      <c r="G7278" s="12">
        <f t="shared" si="1199"/>
        <v>41071</v>
      </c>
    </row>
    <row r="7279">
      <c r="G7279" s="12">
        <f t="shared" ref="G7279:G7284" si="1200">DATE(2012,12,31)-202</f>
        <v>41072</v>
      </c>
    </row>
    <row r="7280">
      <c r="G7280" s="12">
        <f t="shared" si="1200"/>
        <v>41072</v>
      </c>
    </row>
    <row r="7281">
      <c r="G7281" s="12">
        <f t="shared" si="1200"/>
        <v>41072</v>
      </c>
    </row>
    <row r="7282">
      <c r="G7282" s="12">
        <f t="shared" si="1200"/>
        <v>41072</v>
      </c>
    </row>
    <row r="7283">
      <c r="G7283" s="12">
        <f t="shared" si="1200"/>
        <v>41072</v>
      </c>
    </row>
    <row r="7284">
      <c r="G7284" s="12">
        <f t="shared" si="1200"/>
        <v>41072</v>
      </c>
    </row>
    <row r="7285">
      <c r="G7285" s="12">
        <f t="shared" ref="G7285:G7291" si="1201">DATE(2012,12,31)-201</f>
        <v>41073</v>
      </c>
    </row>
    <row r="7286">
      <c r="G7286" s="12">
        <f t="shared" si="1201"/>
        <v>41073</v>
      </c>
    </row>
    <row r="7287">
      <c r="G7287" s="12">
        <f t="shared" si="1201"/>
        <v>41073</v>
      </c>
    </row>
    <row r="7288">
      <c r="G7288" s="12">
        <f t="shared" si="1201"/>
        <v>41073</v>
      </c>
    </row>
    <row r="7289">
      <c r="G7289" s="12">
        <f t="shared" si="1201"/>
        <v>41073</v>
      </c>
    </row>
    <row r="7290">
      <c r="G7290" s="12">
        <f t="shared" si="1201"/>
        <v>41073</v>
      </c>
    </row>
    <row r="7291">
      <c r="G7291" s="12">
        <f t="shared" si="1201"/>
        <v>41073</v>
      </c>
    </row>
    <row r="7292">
      <c r="G7292" s="12">
        <f t="shared" ref="G7292:G7295" si="1202">DATE(2012,12,31)-200</f>
        <v>41074</v>
      </c>
    </row>
    <row r="7293">
      <c r="G7293" s="12">
        <f t="shared" si="1202"/>
        <v>41074</v>
      </c>
    </row>
    <row r="7294">
      <c r="G7294" s="12">
        <f t="shared" si="1202"/>
        <v>41074</v>
      </c>
    </row>
    <row r="7295">
      <c r="G7295" s="12">
        <f t="shared" si="1202"/>
        <v>41074</v>
      </c>
    </row>
    <row r="7296">
      <c r="G7296" s="12">
        <f t="shared" ref="G7296:G7299" si="1203">DATE(2012,12,31)-199</f>
        <v>41075</v>
      </c>
    </row>
    <row r="7297">
      <c r="G7297" s="12">
        <f t="shared" si="1203"/>
        <v>41075</v>
      </c>
    </row>
    <row r="7298">
      <c r="G7298" s="12">
        <f t="shared" si="1203"/>
        <v>41075</v>
      </c>
    </row>
    <row r="7299">
      <c r="G7299" s="12">
        <f t="shared" si="1203"/>
        <v>41075</v>
      </c>
    </row>
    <row r="7300">
      <c r="G7300" s="12">
        <f t="shared" ref="G7300:G7302" si="1204">DATE(2012,12,31)-198</f>
        <v>41076</v>
      </c>
    </row>
    <row r="7301">
      <c r="G7301" s="12">
        <f t="shared" si="1204"/>
        <v>41076</v>
      </c>
    </row>
    <row r="7302">
      <c r="G7302" s="12">
        <f t="shared" si="1204"/>
        <v>41076</v>
      </c>
    </row>
    <row r="7303">
      <c r="G7303" s="12">
        <f t="shared" ref="G7303:G7304" si="1205">DATE(2012,12,31)-197</f>
        <v>41077</v>
      </c>
    </row>
    <row r="7304">
      <c r="G7304" s="12">
        <f t="shared" si="1205"/>
        <v>41077</v>
      </c>
    </row>
    <row r="7305">
      <c r="G7305" s="12">
        <f t="shared" ref="G7305:G7310" si="1206">DATE(2012,12,31)-196</f>
        <v>41078</v>
      </c>
    </row>
    <row r="7306">
      <c r="G7306" s="12">
        <f t="shared" si="1206"/>
        <v>41078</v>
      </c>
    </row>
    <row r="7307">
      <c r="G7307" s="12">
        <f t="shared" si="1206"/>
        <v>41078</v>
      </c>
    </row>
    <row r="7308">
      <c r="G7308" s="12">
        <f t="shared" si="1206"/>
        <v>41078</v>
      </c>
    </row>
    <row r="7309">
      <c r="G7309" s="12">
        <f t="shared" si="1206"/>
        <v>41078</v>
      </c>
    </row>
    <row r="7310">
      <c r="G7310" s="12">
        <f t="shared" si="1206"/>
        <v>41078</v>
      </c>
    </row>
    <row r="7311">
      <c r="G7311" s="12">
        <f t="shared" ref="G7311:G7319" si="1207">DATE(2012,12,31)-195</f>
        <v>41079</v>
      </c>
    </row>
    <row r="7312">
      <c r="G7312" s="12">
        <f t="shared" si="1207"/>
        <v>41079</v>
      </c>
    </row>
    <row r="7313">
      <c r="G7313" s="12">
        <f t="shared" si="1207"/>
        <v>41079</v>
      </c>
    </row>
    <row r="7314">
      <c r="G7314" s="12">
        <f t="shared" si="1207"/>
        <v>41079</v>
      </c>
    </row>
    <row r="7315">
      <c r="G7315" s="12">
        <f t="shared" si="1207"/>
        <v>41079</v>
      </c>
    </row>
    <row r="7316">
      <c r="G7316" s="12">
        <f t="shared" si="1207"/>
        <v>41079</v>
      </c>
    </row>
    <row r="7317">
      <c r="G7317" s="12">
        <f t="shared" si="1207"/>
        <v>41079</v>
      </c>
    </row>
    <row r="7318">
      <c r="G7318" s="12">
        <f t="shared" si="1207"/>
        <v>41079</v>
      </c>
    </row>
    <row r="7319">
      <c r="G7319" s="12">
        <f t="shared" si="1207"/>
        <v>41079</v>
      </c>
    </row>
    <row r="7320">
      <c r="G7320" s="12">
        <f t="shared" ref="G7320:G7324" si="1208">DATE(2012,12,31)-194</f>
        <v>41080</v>
      </c>
    </row>
    <row r="7321">
      <c r="G7321" s="12">
        <f t="shared" si="1208"/>
        <v>41080</v>
      </c>
    </row>
    <row r="7322">
      <c r="G7322" s="12">
        <f t="shared" si="1208"/>
        <v>41080</v>
      </c>
    </row>
    <row r="7323">
      <c r="G7323" s="12">
        <f t="shared" si="1208"/>
        <v>41080</v>
      </c>
    </row>
    <row r="7324">
      <c r="G7324" s="12">
        <f t="shared" si="1208"/>
        <v>41080</v>
      </c>
    </row>
    <row r="7325">
      <c r="G7325" s="12">
        <f t="shared" ref="G7325:G7326" si="1209">DATE(2012,12,31)-192</f>
        <v>41082</v>
      </c>
    </row>
    <row r="7326">
      <c r="G7326" s="12">
        <f t="shared" si="1209"/>
        <v>41082</v>
      </c>
    </row>
    <row r="7327">
      <c r="G7327" s="12">
        <f t="shared" ref="G7327:G7328" si="1210">DATE(2012,12,31)-191</f>
        <v>41083</v>
      </c>
    </row>
    <row r="7328">
      <c r="G7328" s="12">
        <f t="shared" si="1210"/>
        <v>41083</v>
      </c>
    </row>
    <row r="7329">
      <c r="G7329" s="12">
        <f t="shared" ref="G7329:G7332" si="1211">DATE(2012,12,31)-190</f>
        <v>41084</v>
      </c>
    </row>
    <row r="7330">
      <c r="G7330" s="12">
        <f t="shared" si="1211"/>
        <v>41084</v>
      </c>
    </row>
    <row r="7331">
      <c r="G7331" s="12">
        <f t="shared" si="1211"/>
        <v>41084</v>
      </c>
    </row>
    <row r="7332">
      <c r="G7332" s="12">
        <f t="shared" si="1211"/>
        <v>41084</v>
      </c>
    </row>
    <row r="7333">
      <c r="G7333" s="12">
        <f t="shared" ref="G7333:G7335" si="1212">DATE(2012,12,31)-189</f>
        <v>41085</v>
      </c>
    </row>
    <row r="7334">
      <c r="G7334" s="12">
        <f t="shared" si="1212"/>
        <v>41085</v>
      </c>
    </row>
    <row r="7335">
      <c r="G7335" s="12">
        <f t="shared" si="1212"/>
        <v>41085</v>
      </c>
    </row>
    <row r="7336">
      <c r="G7336" s="12">
        <f t="shared" ref="G7336:G7341" si="1213">DATE(2012,12,31)-188</f>
        <v>41086</v>
      </c>
    </row>
    <row r="7337">
      <c r="G7337" s="12">
        <f t="shared" si="1213"/>
        <v>41086</v>
      </c>
    </row>
    <row r="7338">
      <c r="G7338" s="12">
        <f t="shared" si="1213"/>
        <v>41086</v>
      </c>
    </row>
    <row r="7339">
      <c r="G7339" s="12">
        <f t="shared" si="1213"/>
        <v>41086</v>
      </c>
    </row>
    <row r="7340">
      <c r="G7340" s="12">
        <f t="shared" si="1213"/>
        <v>41086</v>
      </c>
    </row>
    <row r="7341">
      <c r="G7341" s="12">
        <f t="shared" si="1213"/>
        <v>41086</v>
      </c>
    </row>
    <row r="7342">
      <c r="G7342" s="12">
        <f t="shared" ref="G7342:G7349" si="1214">DATE(2012,12,31)-187</f>
        <v>41087</v>
      </c>
    </row>
    <row r="7343">
      <c r="G7343" s="12">
        <f t="shared" si="1214"/>
        <v>41087</v>
      </c>
    </row>
    <row r="7344">
      <c r="G7344" s="12">
        <f t="shared" si="1214"/>
        <v>41087</v>
      </c>
    </row>
    <row r="7345">
      <c r="G7345" s="12">
        <f t="shared" si="1214"/>
        <v>41087</v>
      </c>
    </row>
    <row r="7346">
      <c r="G7346" s="12">
        <f t="shared" si="1214"/>
        <v>41087</v>
      </c>
    </row>
    <row r="7347">
      <c r="G7347" s="12">
        <f t="shared" si="1214"/>
        <v>41087</v>
      </c>
    </row>
    <row r="7348">
      <c r="G7348" s="12">
        <f t="shared" si="1214"/>
        <v>41087</v>
      </c>
    </row>
    <row r="7349">
      <c r="G7349" s="12">
        <f t="shared" si="1214"/>
        <v>41087</v>
      </c>
    </row>
    <row r="7350">
      <c r="G7350" s="12">
        <f t="shared" ref="G7350:G7355" si="1215">DATE(2012,12,31)-186</f>
        <v>41088</v>
      </c>
    </row>
    <row r="7351">
      <c r="G7351" s="12">
        <f t="shared" si="1215"/>
        <v>41088</v>
      </c>
    </row>
    <row r="7352">
      <c r="G7352" s="12">
        <f t="shared" si="1215"/>
        <v>41088</v>
      </c>
    </row>
    <row r="7353">
      <c r="G7353" s="12">
        <f t="shared" si="1215"/>
        <v>41088</v>
      </c>
    </row>
    <row r="7354">
      <c r="G7354" s="12">
        <f t="shared" si="1215"/>
        <v>41088</v>
      </c>
    </row>
    <row r="7355">
      <c r="G7355" s="12">
        <f t="shared" si="1215"/>
        <v>41088</v>
      </c>
    </row>
    <row r="7356">
      <c r="G7356" s="12">
        <f t="shared" ref="G7356:G7365" si="1216">DATE(2012,12,31)-185</f>
        <v>41089</v>
      </c>
    </row>
    <row r="7357">
      <c r="G7357" s="12">
        <f t="shared" si="1216"/>
        <v>41089</v>
      </c>
    </row>
    <row r="7358">
      <c r="G7358" s="12">
        <f t="shared" si="1216"/>
        <v>41089</v>
      </c>
    </row>
    <row r="7359">
      <c r="G7359" s="12">
        <f t="shared" si="1216"/>
        <v>41089</v>
      </c>
    </row>
    <row r="7360">
      <c r="G7360" s="12">
        <f t="shared" si="1216"/>
        <v>41089</v>
      </c>
    </row>
    <row r="7361">
      <c r="G7361" s="12">
        <f t="shared" si="1216"/>
        <v>41089</v>
      </c>
    </row>
    <row r="7362">
      <c r="G7362" s="12">
        <f t="shared" si="1216"/>
        <v>41089</v>
      </c>
    </row>
    <row r="7363">
      <c r="G7363" s="12">
        <f t="shared" si="1216"/>
        <v>41089</v>
      </c>
    </row>
    <row r="7364">
      <c r="G7364" s="12">
        <f t="shared" si="1216"/>
        <v>41089</v>
      </c>
    </row>
    <row r="7365">
      <c r="G7365" s="12">
        <f t="shared" si="1216"/>
        <v>41089</v>
      </c>
    </row>
    <row r="7366">
      <c r="G7366" s="12">
        <f t="shared" ref="G7366:G7367" si="1217">DATE(2012,12,31)-184</f>
        <v>41090</v>
      </c>
    </row>
    <row r="7367">
      <c r="G7367" s="12">
        <f t="shared" si="1217"/>
        <v>41090</v>
      </c>
    </row>
    <row r="7368">
      <c r="G7368" s="12">
        <f>DATE(2012,12,31)-183</f>
        <v>41091</v>
      </c>
    </row>
    <row r="7369">
      <c r="G7369" s="12">
        <f t="shared" ref="G7369:G7377" si="1218">DATE(2012,12,31)-182</f>
        <v>41092</v>
      </c>
    </row>
    <row r="7370">
      <c r="G7370" s="12">
        <f t="shared" si="1218"/>
        <v>41092</v>
      </c>
    </row>
    <row r="7371">
      <c r="G7371" s="12">
        <f t="shared" si="1218"/>
        <v>41092</v>
      </c>
    </row>
    <row r="7372">
      <c r="G7372" s="12">
        <f t="shared" si="1218"/>
        <v>41092</v>
      </c>
    </row>
    <row r="7373">
      <c r="G7373" s="12">
        <f t="shared" si="1218"/>
        <v>41092</v>
      </c>
    </row>
    <row r="7374">
      <c r="G7374" s="12">
        <f t="shared" si="1218"/>
        <v>41092</v>
      </c>
    </row>
    <row r="7375">
      <c r="G7375" s="12">
        <f t="shared" si="1218"/>
        <v>41092</v>
      </c>
    </row>
    <row r="7376">
      <c r="G7376" s="12">
        <f t="shared" si="1218"/>
        <v>41092</v>
      </c>
    </row>
    <row r="7377">
      <c r="G7377" s="12">
        <f t="shared" si="1218"/>
        <v>41092</v>
      </c>
    </row>
    <row r="7378">
      <c r="G7378" s="12">
        <f t="shared" ref="G7378:G7383" si="1219">DATE(2012,12,31)-181</f>
        <v>41093</v>
      </c>
    </row>
    <row r="7379">
      <c r="G7379" s="12">
        <f t="shared" si="1219"/>
        <v>41093</v>
      </c>
    </row>
    <row r="7380">
      <c r="G7380" s="12">
        <f t="shared" si="1219"/>
        <v>41093</v>
      </c>
    </row>
    <row r="7381">
      <c r="G7381" s="12">
        <f t="shared" si="1219"/>
        <v>41093</v>
      </c>
    </row>
    <row r="7382">
      <c r="G7382" s="12">
        <f t="shared" si="1219"/>
        <v>41093</v>
      </c>
    </row>
    <row r="7383">
      <c r="G7383" s="12">
        <f t="shared" si="1219"/>
        <v>41093</v>
      </c>
    </row>
    <row r="7384">
      <c r="G7384" s="12">
        <f t="shared" ref="G7384:G7386" si="1220">DATE(2012,12,31)-179</f>
        <v>41095</v>
      </c>
    </row>
    <row r="7385">
      <c r="G7385" s="12">
        <f t="shared" si="1220"/>
        <v>41095</v>
      </c>
    </row>
    <row r="7386">
      <c r="G7386" s="12">
        <f t="shared" si="1220"/>
        <v>41095</v>
      </c>
    </row>
    <row r="7387">
      <c r="G7387" s="12">
        <f>DATE(2012,12,31)-178</f>
        <v>41096</v>
      </c>
    </row>
    <row r="7388">
      <c r="G7388" s="12">
        <f t="shared" ref="G7388:G7391" si="1221">DATE(2012,12,31)-177</f>
        <v>41097</v>
      </c>
    </row>
    <row r="7389">
      <c r="G7389" s="12">
        <f t="shared" si="1221"/>
        <v>41097</v>
      </c>
    </row>
    <row r="7390">
      <c r="G7390" s="12">
        <f t="shared" si="1221"/>
        <v>41097</v>
      </c>
    </row>
    <row r="7391">
      <c r="G7391" s="12">
        <f t="shared" si="1221"/>
        <v>41097</v>
      </c>
    </row>
    <row r="7392">
      <c r="G7392" s="12">
        <f t="shared" ref="G7392:G7396" si="1222">DATE(2012,12,31)-176</f>
        <v>41098</v>
      </c>
    </row>
    <row r="7393">
      <c r="G7393" s="12">
        <f t="shared" si="1222"/>
        <v>41098</v>
      </c>
    </row>
    <row r="7394">
      <c r="G7394" s="12">
        <f t="shared" si="1222"/>
        <v>41098</v>
      </c>
    </row>
    <row r="7395">
      <c r="G7395" s="12">
        <f t="shared" si="1222"/>
        <v>41098</v>
      </c>
    </row>
    <row r="7396">
      <c r="G7396" s="12">
        <f t="shared" si="1222"/>
        <v>41098</v>
      </c>
    </row>
    <row r="7397">
      <c r="G7397" s="12">
        <f t="shared" ref="G7397:G7410" si="1223">DATE(2012,12,31)-175</f>
        <v>41099</v>
      </c>
    </row>
    <row r="7398">
      <c r="G7398" s="12">
        <f t="shared" si="1223"/>
        <v>41099</v>
      </c>
    </row>
    <row r="7399">
      <c r="G7399" s="12">
        <f t="shared" si="1223"/>
        <v>41099</v>
      </c>
    </row>
    <row r="7400">
      <c r="G7400" s="12">
        <f t="shared" si="1223"/>
        <v>41099</v>
      </c>
    </row>
    <row r="7401">
      <c r="G7401" s="12">
        <f t="shared" si="1223"/>
        <v>41099</v>
      </c>
    </row>
    <row r="7402">
      <c r="G7402" s="12">
        <f t="shared" si="1223"/>
        <v>41099</v>
      </c>
    </row>
    <row r="7403">
      <c r="G7403" s="12">
        <f t="shared" si="1223"/>
        <v>41099</v>
      </c>
    </row>
    <row r="7404">
      <c r="G7404" s="12">
        <f t="shared" si="1223"/>
        <v>41099</v>
      </c>
    </row>
    <row r="7405">
      <c r="G7405" s="12">
        <f t="shared" si="1223"/>
        <v>41099</v>
      </c>
    </row>
    <row r="7406">
      <c r="G7406" s="12">
        <f t="shared" si="1223"/>
        <v>41099</v>
      </c>
    </row>
    <row r="7407">
      <c r="G7407" s="12">
        <f t="shared" si="1223"/>
        <v>41099</v>
      </c>
    </row>
    <row r="7408">
      <c r="G7408" s="12">
        <f t="shared" si="1223"/>
        <v>41099</v>
      </c>
    </row>
    <row r="7409">
      <c r="G7409" s="12">
        <f t="shared" si="1223"/>
        <v>41099</v>
      </c>
    </row>
    <row r="7410">
      <c r="G7410" s="12">
        <f t="shared" si="1223"/>
        <v>41099</v>
      </c>
    </row>
    <row r="7411">
      <c r="G7411" s="12">
        <f t="shared" ref="G7411:G7417" si="1224">DATE(2012,12,31)-174</f>
        <v>41100</v>
      </c>
    </row>
    <row r="7412">
      <c r="G7412" s="12">
        <f t="shared" si="1224"/>
        <v>41100</v>
      </c>
    </row>
    <row r="7413">
      <c r="G7413" s="12">
        <f t="shared" si="1224"/>
        <v>41100</v>
      </c>
    </row>
    <row r="7414">
      <c r="G7414" s="12">
        <f t="shared" si="1224"/>
        <v>41100</v>
      </c>
    </row>
    <row r="7415">
      <c r="G7415" s="12">
        <f t="shared" si="1224"/>
        <v>41100</v>
      </c>
    </row>
    <row r="7416">
      <c r="G7416" s="12">
        <f t="shared" si="1224"/>
        <v>41100</v>
      </c>
    </row>
    <row r="7417">
      <c r="G7417" s="12">
        <f t="shared" si="1224"/>
        <v>41100</v>
      </c>
    </row>
    <row r="7418">
      <c r="G7418" s="12">
        <f t="shared" ref="G7418:G7423" si="1225">DATE(2012,12,31)-173</f>
        <v>41101</v>
      </c>
    </row>
    <row r="7419">
      <c r="G7419" s="12">
        <f t="shared" si="1225"/>
        <v>41101</v>
      </c>
    </row>
    <row r="7420">
      <c r="G7420" s="12">
        <f t="shared" si="1225"/>
        <v>41101</v>
      </c>
    </row>
    <row r="7421">
      <c r="G7421" s="12">
        <f t="shared" si="1225"/>
        <v>41101</v>
      </c>
    </row>
    <row r="7422">
      <c r="G7422" s="12">
        <f t="shared" si="1225"/>
        <v>41101</v>
      </c>
    </row>
    <row r="7423">
      <c r="G7423" s="12">
        <f t="shared" si="1225"/>
        <v>41101</v>
      </c>
    </row>
    <row r="7424">
      <c r="G7424" s="12">
        <f t="shared" ref="G7424:G7430" si="1226">DATE(2012,12,31)-172</f>
        <v>41102</v>
      </c>
    </row>
    <row r="7425">
      <c r="G7425" s="12">
        <f t="shared" si="1226"/>
        <v>41102</v>
      </c>
    </row>
    <row r="7426">
      <c r="G7426" s="12">
        <f t="shared" si="1226"/>
        <v>41102</v>
      </c>
    </row>
    <row r="7427">
      <c r="G7427" s="12">
        <f t="shared" si="1226"/>
        <v>41102</v>
      </c>
    </row>
    <row r="7428">
      <c r="G7428" s="12">
        <f t="shared" si="1226"/>
        <v>41102</v>
      </c>
    </row>
    <row r="7429">
      <c r="G7429" s="12">
        <f t="shared" si="1226"/>
        <v>41102</v>
      </c>
    </row>
    <row r="7430">
      <c r="G7430" s="12">
        <f t="shared" si="1226"/>
        <v>41102</v>
      </c>
    </row>
    <row r="7431">
      <c r="G7431" s="12">
        <f t="shared" ref="G7431:G7437" si="1227">DATE(2012,12,31)-171</f>
        <v>41103</v>
      </c>
    </row>
    <row r="7432">
      <c r="G7432" s="12">
        <f t="shared" si="1227"/>
        <v>41103</v>
      </c>
    </row>
    <row r="7433">
      <c r="G7433" s="12">
        <f t="shared" si="1227"/>
        <v>41103</v>
      </c>
    </row>
    <row r="7434">
      <c r="G7434" s="12">
        <f t="shared" si="1227"/>
        <v>41103</v>
      </c>
    </row>
    <row r="7435">
      <c r="G7435" s="12">
        <f t="shared" si="1227"/>
        <v>41103</v>
      </c>
    </row>
    <row r="7436">
      <c r="G7436" s="12">
        <f t="shared" si="1227"/>
        <v>41103</v>
      </c>
    </row>
    <row r="7437">
      <c r="G7437" s="12">
        <f t="shared" si="1227"/>
        <v>41103</v>
      </c>
    </row>
    <row r="7438">
      <c r="G7438" s="12">
        <f t="shared" ref="G7438:G7440" si="1228">DATE(2012,12,31)-170</f>
        <v>41104</v>
      </c>
    </row>
    <row r="7439">
      <c r="G7439" s="12">
        <f t="shared" si="1228"/>
        <v>41104</v>
      </c>
    </row>
    <row r="7440">
      <c r="G7440" s="12">
        <f t="shared" si="1228"/>
        <v>41104</v>
      </c>
    </row>
    <row r="7441">
      <c r="G7441" s="12">
        <f t="shared" ref="G7441:G7444" si="1229">DATE(2012,12,31)-169</f>
        <v>41105</v>
      </c>
    </row>
    <row r="7442">
      <c r="G7442" s="12">
        <f t="shared" si="1229"/>
        <v>41105</v>
      </c>
    </row>
    <row r="7443">
      <c r="G7443" s="12">
        <f t="shared" si="1229"/>
        <v>41105</v>
      </c>
    </row>
    <row r="7444">
      <c r="G7444" s="12">
        <f t="shared" si="1229"/>
        <v>41105</v>
      </c>
    </row>
    <row r="7445">
      <c r="G7445" s="12">
        <f t="shared" ref="G7445:G7455" si="1230">DATE(2012,12,31)-168</f>
        <v>41106</v>
      </c>
    </row>
    <row r="7446">
      <c r="G7446" s="12">
        <f t="shared" si="1230"/>
        <v>41106</v>
      </c>
    </row>
    <row r="7447">
      <c r="G7447" s="12">
        <f t="shared" si="1230"/>
        <v>41106</v>
      </c>
    </row>
    <row r="7448">
      <c r="G7448" s="12">
        <f t="shared" si="1230"/>
        <v>41106</v>
      </c>
    </row>
    <row r="7449">
      <c r="G7449" s="12">
        <f t="shared" si="1230"/>
        <v>41106</v>
      </c>
    </row>
    <row r="7450">
      <c r="G7450" s="12">
        <f t="shared" si="1230"/>
        <v>41106</v>
      </c>
    </row>
    <row r="7451">
      <c r="G7451" s="12">
        <f t="shared" si="1230"/>
        <v>41106</v>
      </c>
    </row>
    <row r="7452">
      <c r="G7452" s="12">
        <f t="shared" si="1230"/>
        <v>41106</v>
      </c>
    </row>
    <row r="7453">
      <c r="G7453" s="12">
        <f t="shared" si="1230"/>
        <v>41106</v>
      </c>
    </row>
    <row r="7454">
      <c r="G7454" s="12">
        <f t="shared" si="1230"/>
        <v>41106</v>
      </c>
    </row>
    <row r="7455">
      <c r="G7455" s="12">
        <f t="shared" si="1230"/>
        <v>41106</v>
      </c>
    </row>
    <row r="7456">
      <c r="G7456" s="12">
        <f t="shared" ref="G7456:G7461" si="1231">DATE(2012,12,31)-167</f>
        <v>41107</v>
      </c>
    </row>
    <row r="7457">
      <c r="G7457" s="12">
        <f t="shared" si="1231"/>
        <v>41107</v>
      </c>
    </row>
    <row r="7458">
      <c r="G7458" s="12">
        <f t="shared" si="1231"/>
        <v>41107</v>
      </c>
    </row>
    <row r="7459">
      <c r="G7459" s="12">
        <f t="shared" si="1231"/>
        <v>41107</v>
      </c>
    </row>
    <row r="7460">
      <c r="G7460" s="12">
        <f t="shared" si="1231"/>
        <v>41107</v>
      </c>
    </row>
    <row r="7461">
      <c r="G7461" s="12">
        <f t="shared" si="1231"/>
        <v>41107</v>
      </c>
    </row>
    <row r="7462">
      <c r="G7462" s="12">
        <f t="shared" ref="G7462:G7463" si="1232">DATE(2012,12,31)-166</f>
        <v>41108</v>
      </c>
    </row>
    <row r="7463">
      <c r="G7463" s="12">
        <f t="shared" si="1232"/>
        <v>41108</v>
      </c>
    </row>
    <row r="7464">
      <c r="G7464" s="12">
        <f t="shared" ref="G7464:G7469" si="1233">DATE(2012,12,31)-165</f>
        <v>41109</v>
      </c>
    </row>
    <row r="7465">
      <c r="G7465" s="12">
        <f t="shared" si="1233"/>
        <v>41109</v>
      </c>
    </row>
    <row r="7466">
      <c r="G7466" s="12">
        <f t="shared" si="1233"/>
        <v>41109</v>
      </c>
    </row>
    <row r="7467">
      <c r="G7467" s="12">
        <f t="shared" si="1233"/>
        <v>41109</v>
      </c>
    </row>
    <row r="7468">
      <c r="G7468" s="12">
        <f t="shared" si="1233"/>
        <v>41109</v>
      </c>
    </row>
    <row r="7469">
      <c r="G7469" s="12">
        <f t="shared" si="1233"/>
        <v>41109</v>
      </c>
    </row>
    <row r="7470">
      <c r="G7470" s="12">
        <f t="shared" ref="G7470:G7474" si="1234">DATE(2012,12,31)-164</f>
        <v>41110</v>
      </c>
    </row>
    <row r="7471">
      <c r="G7471" s="12">
        <f t="shared" si="1234"/>
        <v>41110</v>
      </c>
    </row>
    <row r="7472">
      <c r="G7472" s="12">
        <f t="shared" si="1234"/>
        <v>41110</v>
      </c>
    </row>
    <row r="7473">
      <c r="G7473" s="12">
        <f t="shared" si="1234"/>
        <v>41110</v>
      </c>
    </row>
    <row r="7474">
      <c r="G7474" s="12">
        <f t="shared" si="1234"/>
        <v>41110</v>
      </c>
    </row>
    <row r="7475">
      <c r="G7475" s="12">
        <f t="shared" ref="G7475:G7489" si="1235">DATE(2012,12,31)-163</f>
        <v>41111</v>
      </c>
    </row>
    <row r="7476">
      <c r="G7476" s="12">
        <f t="shared" si="1235"/>
        <v>41111</v>
      </c>
    </row>
    <row r="7477">
      <c r="G7477" s="12">
        <f t="shared" si="1235"/>
        <v>41111</v>
      </c>
    </row>
    <row r="7478">
      <c r="G7478" s="12">
        <f t="shared" si="1235"/>
        <v>41111</v>
      </c>
    </row>
    <row r="7479">
      <c r="G7479" s="12">
        <f t="shared" si="1235"/>
        <v>41111</v>
      </c>
    </row>
    <row r="7480">
      <c r="G7480" s="12">
        <f t="shared" si="1235"/>
        <v>41111</v>
      </c>
    </row>
    <row r="7481">
      <c r="G7481" s="12">
        <f t="shared" si="1235"/>
        <v>41111</v>
      </c>
    </row>
    <row r="7482">
      <c r="G7482" s="12">
        <f t="shared" si="1235"/>
        <v>41111</v>
      </c>
    </row>
    <row r="7483">
      <c r="G7483" s="12">
        <f t="shared" si="1235"/>
        <v>41111</v>
      </c>
    </row>
    <row r="7484">
      <c r="G7484" s="12">
        <f t="shared" si="1235"/>
        <v>41111</v>
      </c>
    </row>
    <row r="7485">
      <c r="G7485" s="12">
        <f t="shared" si="1235"/>
        <v>41111</v>
      </c>
    </row>
    <row r="7486">
      <c r="G7486" s="12">
        <f t="shared" si="1235"/>
        <v>41111</v>
      </c>
    </row>
    <row r="7487">
      <c r="G7487" s="12">
        <f t="shared" si="1235"/>
        <v>41111</v>
      </c>
    </row>
    <row r="7488">
      <c r="G7488" s="12">
        <f t="shared" si="1235"/>
        <v>41111</v>
      </c>
    </row>
    <row r="7489">
      <c r="G7489" s="12">
        <f t="shared" si="1235"/>
        <v>41111</v>
      </c>
    </row>
    <row r="7490">
      <c r="G7490" s="12">
        <f t="shared" ref="G7490:G7492" si="1236">DATE(2012,12,31)-162</f>
        <v>41112</v>
      </c>
    </row>
    <row r="7491">
      <c r="G7491" s="12">
        <f t="shared" si="1236"/>
        <v>41112</v>
      </c>
    </row>
    <row r="7492">
      <c r="G7492" s="12">
        <f t="shared" si="1236"/>
        <v>41112</v>
      </c>
    </row>
    <row r="7493">
      <c r="G7493" s="12">
        <f t="shared" ref="G7493:G7494" si="1237">DATE(2012,12,31)-161</f>
        <v>41113</v>
      </c>
    </row>
    <row r="7494">
      <c r="G7494" s="12">
        <f t="shared" si="1237"/>
        <v>41113</v>
      </c>
    </row>
    <row r="7495">
      <c r="G7495" s="12">
        <f>DATE(2012,12,31)-160</f>
        <v>41114</v>
      </c>
    </row>
    <row r="7496">
      <c r="G7496" s="12">
        <f t="shared" ref="G7496:G7499" si="1238">DATE(2012,12,31)-159</f>
        <v>41115</v>
      </c>
    </row>
    <row r="7497">
      <c r="G7497" s="12">
        <f t="shared" si="1238"/>
        <v>41115</v>
      </c>
    </row>
    <row r="7498">
      <c r="G7498" s="12">
        <f t="shared" si="1238"/>
        <v>41115</v>
      </c>
    </row>
    <row r="7499">
      <c r="G7499" s="12">
        <f t="shared" si="1238"/>
        <v>41115</v>
      </c>
    </row>
    <row r="7500">
      <c r="G7500" s="12">
        <f t="shared" ref="G7500:G7503" si="1239">DATE(2012,12,31)-158</f>
        <v>41116</v>
      </c>
    </row>
    <row r="7501">
      <c r="G7501" s="12">
        <f t="shared" si="1239"/>
        <v>41116</v>
      </c>
    </row>
    <row r="7502">
      <c r="G7502" s="12">
        <f t="shared" si="1239"/>
        <v>41116</v>
      </c>
    </row>
    <row r="7503">
      <c r="G7503" s="12">
        <f t="shared" si="1239"/>
        <v>41116</v>
      </c>
    </row>
    <row r="7504">
      <c r="G7504" s="12">
        <f t="shared" ref="G7504:G7507" si="1240">DATE(2012,12,31)-157</f>
        <v>41117</v>
      </c>
    </row>
    <row r="7505">
      <c r="G7505" s="12">
        <f t="shared" si="1240"/>
        <v>41117</v>
      </c>
    </row>
    <row r="7506">
      <c r="G7506" s="12">
        <f t="shared" si="1240"/>
        <v>41117</v>
      </c>
    </row>
    <row r="7507">
      <c r="G7507" s="12">
        <f t="shared" si="1240"/>
        <v>41117</v>
      </c>
    </row>
    <row r="7508">
      <c r="G7508" s="12">
        <f t="shared" ref="G7508:G7513" si="1241">DATE(2012,12,31)-156</f>
        <v>41118</v>
      </c>
    </row>
    <row r="7509">
      <c r="G7509" s="12">
        <f t="shared" si="1241"/>
        <v>41118</v>
      </c>
    </row>
    <row r="7510">
      <c r="G7510" s="12">
        <f t="shared" si="1241"/>
        <v>41118</v>
      </c>
    </row>
    <row r="7511">
      <c r="G7511" s="12">
        <f t="shared" si="1241"/>
        <v>41118</v>
      </c>
    </row>
    <row r="7512">
      <c r="G7512" s="12">
        <f t="shared" si="1241"/>
        <v>41118</v>
      </c>
    </row>
    <row r="7513">
      <c r="G7513" s="12">
        <f t="shared" si="1241"/>
        <v>41118</v>
      </c>
    </row>
    <row r="7514">
      <c r="G7514" s="12">
        <f t="shared" ref="G7514:G7525" si="1242">DATE(2012,12,31)-155</f>
        <v>41119</v>
      </c>
    </row>
    <row r="7515">
      <c r="G7515" s="12">
        <f t="shared" si="1242"/>
        <v>41119</v>
      </c>
    </row>
    <row r="7516">
      <c r="G7516" s="12">
        <f t="shared" si="1242"/>
        <v>41119</v>
      </c>
    </row>
    <row r="7517">
      <c r="G7517" s="12">
        <f t="shared" si="1242"/>
        <v>41119</v>
      </c>
    </row>
    <row r="7518">
      <c r="G7518" s="12">
        <f t="shared" si="1242"/>
        <v>41119</v>
      </c>
    </row>
    <row r="7519">
      <c r="G7519" s="12">
        <f t="shared" si="1242"/>
        <v>41119</v>
      </c>
    </row>
    <row r="7520">
      <c r="G7520" s="12">
        <f t="shared" si="1242"/>
        <v>41119</v>
      </c>
    </row>
    <row r="7521">
      <c r="G7521" s="12">
        <f t="shared" si="1242"/>
        <v>41119</v>
      </c>
    </row>
    <row r="7522">
      <c r="G7522" s="12">
        <f t="shared" si="1242"/>
        <v>41119</v>
      </c>
    </row>
    <row r="7523">
      <c r="G7523" s="12">
        <f t="shared" si="1242"/>
        <v>41119</v>
      </c>
    </row>
    <row r="7524">
      <c r="G7524" s="12">
        <f t="shared" si="1242"/>
        <v>41119</v>
      </c>
    </row>
    <row r="7525">
      <c r="G7525" s="12">
        <f t="shared" si="1242"/>
        <v>41119</v>
      </c>
    </row>
    <row r="7526">
      <c r="G7526" s="12">
        <f t="shared" ref="G7526:G7529" si="1243">DATE(2012,12,31)-154</f>
        <v>41120</v>
      </c>
    </row>
    <row r="7527">
      <c r="G7527" s="12">
        <f t="shared" si="1243"/>
        <v>41120</v>
      </c>
    </row>
    <row r="7528">
      <c r="G7528" s="12">
        <f t="shared" si="1243"/>
        <v>41120</v>
      </c>
    </row>
    <row r="7529">
      <c r="G7529" s="12">
        <f t="shared" si="1243"/>
        <v>41120</v>
      </c>
    </row>
    <row r="7530">
      <c r="G7530" s="12">
        <f t="shared" ref="G7530:G7535" si="1244">DATE(2012,12,31)-153</f>
        <v>41121</v>
      </c>
    </row>
    <row r="7531">
      <c r="G7531" s="12">
        <f t="shared" si="1244"/>
        <v>41121</v>
      </c>
    </row>
    <row r="7532">
      <c r="G7532" s="12">
        <f t="shared" si="1244"/>
        <v>41121</v>
      </c>
    </row>
    <row r="7533">
      <c r="G7533" s="12">
        <f t="shared" si="1244"/>
        <v>41121</v>
      </c>
    </row>
    <row r="7534">
      <c r="G7534" s="12">
        <f t="shared" si="1244"/>
        <v>41121</v>
      </c>
    </row>
    <row r="7535">
      <c r="G7535" s="12">
        <f t="shared" si="1244"/>
        <v>41121</v>
      </c>
    </row>
    <row r="7536">
      <c r="G7536" s="12">
        <f t="shared" ref="G7536:G7543" si="1245">DATE(2012,12,31)-152</f>
        <v>41122</v>
      </c>
    </row>
    <row r="7537">
      <c r="G7537" s="12">
        <f t="shared" si="1245"/>
        <v>41122</v>
      </c>
    </row>
    <row r="7538">
      <c r="G7538" s="12">
        <f t="shared" si="1245"/>
        <v>41122</v>
      </c>
    </row>
    <row r="7539">
      <c r="G7539" s="12">
        <f t="shared" si="1245"/>
        <v>41122</v>
      </c>
    </row>
    <row r="7540">
      <c r="G7540" s="12">
        <f t="shared" si="1245"/>
        <v>41122</v>
      </c>
    </row>
    <row r="7541">
      <c r="G7541" s="12">
        <f t="shared" si="1245"/>
        <v>41122</v>
      </c>
    </row>
    <row r="7542">
      <c r="G7542" s="12">
        <f t="shared" si="1245"/>
        <v>41122</v>
      </c>
    </row>
    <row r="7543">
      <c r="G7543" s="12">
        <f t="shared" si="1245"/>
        <v>41122</v>
      </c>
    </row>
    <row r="7544">
      <c r="G7544" s="12">
        <f t="shared" ref="G7544:G7547" si="1246">DATE(2012,12,31)-151</f>
        <v>41123</v>
      </c>
    </row>
    <row r="7545">
      <c r="G7545" s="12">
        <f t="shared" si="1246"/>
        <v>41123</v>
      </c>
    </row>
    <row r="7546">
      <c r="G7546" s="12">
        <f t="shared" si="1246"/>
        <v>41123</v>
      </c>
    </row>
    <row r="7547">
      <c r="G7547" s="12">
        <f t="shared" si="1246"/>
        <v>41123</v>
      </c>
    </row>
    <row r="7548">
      <c r="G7548" s="12">
        <f t="shared" ref="G7548:G7549" si="1247">DATE(2012,12,31)-150</f>
        <v>41124</v>
      </c>
    </row>
    <row r="7549">
      <c r="G7549" s="12">
        <f t="shared" si="1247"/>
        <v>41124</v>
      </c>
    </row>
    <row r="7550">
      <c r="G7550" s="12">
        <f t="shared" ref="G7550:G7560" si="1248">DATE(2012,12,31)-149</f>
        <v>41125</v>
      </c>
    </row>
    <row r="7551">
      <c r="G7551" s="12">
        <f t="shared" si="1248"/>
        <v>41125</v>
      </c>
    </row>
    <row r="7552">
      <c r="G7552" s="12">
        <f t="shared" si="1248"/>
        <v>41125</v>
      </c>
    </row>
    <row r="7553">
      <c r="G7553" s="12">
        <f t="shared" si="1248"/>
        <v>41125</v>
      </c>
    </row>
    <row r="7554">
      <c r="G7554" s="12">
        <f t="shared" si="1248"/>
        <v>41125</v>
      </c>
    </row>
    <row r="7555">
      <c r="G7555" s="12">
        <f t="shared" si="1248"/>
        <v>41125</v>
      </c>
    </row>
    <row r="7556">
      <c r="G7556" s="12">
        <f t="shared" si="1248"/>
        <v>41125</v>
      </c>
    </row>
    <row r="7557">
      <c r="G7557" s="12">
        <f t="shared" si="1248"/>
        <v>41125</v>
      </c>
    </row>
    <row r="7558">
      <c r="G7558" s="12">
        <f t="shared" si="1248"/>
        <v>41125</v>
      </c>
    </row>
    <row r="7559">
      <c r="G7559" s="12">
        <f t="shared" si="1248"/>
        <v>41125</v>
      </c>
    </row>
    <row r="7560">
      <c r="G7560" s="12">
        <f t="shared" si="1248"/>
        <v>41125</v>
      </c>
    </row>
    <row r="7561">
      <c r="G7561" s="12">
        <f t="shared" ref="G7561:G7569" si="1249">DATE(2012,12,31)-148</f>
        <v>41126</v>
      </c>
    </row>
    <row r="7562">
      <c r="G7562" s="12">
        <f t="shared" si="1249"/>
        <v>41126</v>
      </c>
    </row>
    <row r="7563">
      <c r="G7563" s="12">
        <f t="shared" si="1249"/>
        <v>41126</v>
      </c>
    </row>
    <row r="7564">
      <c r="G7564" s="12">
        <f t="shared" si="1249"/>
        <v>41126</v>
      </c>
    </row>
    <row r="7565">
      <c r="G7565" s="12">
        <f t="shared" si="1249"/>
        <v>41126</v>
      </c>
    </row>
    <row r="7566">
      <c r="G7566" s="12">
        <f t="shared" si="1249"/>
        <v>41126</v>
      </c>
    </row>
    <row r="7567">
      <c r="G7567" s="12">
        <f t="shared" si="1249"/>
        <v>41126</v>
      </c>
    </row>
    <row r="7568">
      <c r="G7568" s="12">
        <f t="shared" si="1249"/>
        <v>41126</v>
      </c>
    </row>
    <row r="7569">
      <c r="G7569" s="12">
        <f t="shared" si="1249"/>
        <v>41126</v>
      </c>
    </row>
    <row r="7570">
      <c r="G7570" s="12">
        <f t="shared" ref="G7570:G7572" si="1250">DATE(2012,12,31)-147</f>
        <v>41127</v>
      </c>
    </row>
    <row r="7571">
      <c r="G7571" s="12">
        <f t="shared" si="1250"/>
        <v>41127</v>
      </c>
    </row>
    <row r="7572">
      <c r="G7572" s="12">
        <f t="shared" si="1250"/>
        <v>41127</v>
      </c>
    </row>
    <row r="7573">
      <c r="G7573" s="12">
        <f t="shared" ref="G7573:G7579" si="1251">DATE(2012,12,31)-146</f>
        <v>41128</v>
      </c>
    </row>
    <row r="7574">
      <c r="G7574" s="12">
        <f t="shared" si="1251"/>
        <v>41128</v>
      </c>
    </row>
    <row r="7575">
      <c r="G7575" s="12">
        <f t="shared" si="1251"/>
        <v>41128</v>
      </c>
    </row>
    <row r="7576">
      <c r="G7576" s="12">
        <f t="shared" si="1251"/>
        <v>41128</v>
      </c>
    </row>
    <row r="7577">
      <c r="G7577" s="12">
        <f t="shared" si="1251"/>
        <v>41128</v>
      </c>
    </row>
    <row r="7578">
      <c r="G7578" s="12">
        <f t="shared" si="1251"/>
        <v>41128</v>
      </c>
    </row>
    <row r="7579">
      <c r="G7579" s="12">
        <f t="shared" si="1251"/>
        <v>41128</v>
      </c>
    </row>
    <row r="7580">
      <c r="G7580" s="12">
        <f>DATE(2012,12,31)-145</f>
        <v>41129</v>
      </c>
    </row>
    <row r="7581">
      <c r="G7581" s="12">
        <f t="shared" ref="G7581:G7587" si="1252">DATE(2012,12,31)-144</f>
        <v>41130</v>
      </c>
    </row>
    <row r="7582">
      <c r="G7582" s="12">
        <f t="shared" si="1252"/>
        <v>41130</v>
      </c>
    </row>
    <row r="7583">
      <c r="G7583" s="12">
        <f t="shared" si="1252"/>
        <v>41130</v>
      </c>
    </row>
    <row r="7584">
      <c r="G7584" s="12">
        <f t="shared" si="1252"/>
        <v>41130</v>
      </c>
    </row>
    <row r="7585">
      <c r="G7585" s="12">
        <f t="shared" si="1252"/>
        <v>41130</v>
      </c>
    </row>
    <row r="7586">
      <c r="G7586" s="12">
        <f t="shared" si="1252"/>
        <v>41130</v>
      </c>
    </row>
    <row r="7587">
      <c r="G7587" s="12">
        <f t="shared" si="1252"/>
        <v>41130</v>
      </c>
    </row>
    <row r="7588">
      <c r="G7588" s="12">
        <f t="shared" ref="G7588:G7599" si="1253">DATE(2012,12,31)-143</f>
        <v>41131</v>
      </c>
    </row>
    <row r="7589">
      <c r="G7589" s="12">
        <f t="shared" si="1253"/>
        <v>41131</v>
      </c>
    </row>
    <row r="7590">
      <c r="G7590" s="12">
        <f t="shared" si="1253"/>
        <v>41131</v>
      </c>
    </row>
    <row r="7591">
      <c r="G7591" s="12">
        <f t="shared" si="1253"/>
        <v>41131</v>
      </c>
    </row>
    <row r="7592">
      <c r="G7592" s="12">
        <f t="shared" si="1253"/>
        <v>41131</v>
      </c>
    </row>
    <row r="7593">
      <c r="G7593" s="12">
        <f t="shared" si="1253"/>
        <v>41131</v>
      </c>
    </row>
    <row r="7594">
      <c r="G7594" s="12">
        <f t="shared" si="1253"/>
        <v>41131</v>
      </c>
    </row>
    <row r="7595">
      <c r="G7595" s="12">
        <f t="shared" si="1253"/>
        <v>41131</v>
      </c>
    </row>
    <row r="7596">
      <c r="G7596" s="12">
        <f t="shared" si="1253"/>
        <v>41131</v>
      </c>
    </row>
    <row r="7597">
      <c r="G7597" s="12">
        <f t="shared" si="1253"/>
        <v>41131</v>
      </c>
    </row>
    <row r="7598">
      <c r="G7598" s="12">
        <f t="shared" si="1253"/>
        <v>41131</v>
      </c>
    </row>
    <row r="7599">
      <c r="G7599" s="12">
        <f t="shared" si="1253"/>
        <v>41131</v>
      </c>
    </row>
    <row r="7600">
      <c r="G7600" s="12">
        <f t="shared" ref="G7600:G7604" si="1254">DATE(2012,12,31)-142</f>
        <v>41132</v>
      </c>
    </row>
    <row r="7601">
      <c r="G7601" s="12">
        <f t="shared" si="1254"/>
        <v>41132</v>
      </c>
    </row>
    <row r="7602">
      <c r="G7602" s="12">
        <f t="shared" si="1254"/>
        <v>41132</v>
      </c>
    </row>
    <row r="7603">
      <c r="G7603" s="12">
        <f t="shared" si="1254"/>
        <v>41132</v>
      </c>
    </row>
    <row r="7604">
      <c r="G7604" s="12">
        <f t="shared" si="1254"/>
        <v>41132</v>
      </c>
    </row>
    <row r="7605">
      <c r="G7605" s="12">
        <f t="shared" ref="G7605:G7615" si="1255">DATE(2012,12,31)-141</f>
        <v>41133</v>
      </c>
    </row>
    <row r="7606">
      <c r="G7606" s="12">
        <f t="shared" si="1255"/>
        <v>41133</v>
      </c>
    </row>
    <row r="7607">
      <c r="G7607" s="12">
        <f t="shared" si="1255"/>
        <v>41133</v>
      </c>
    </row>
    <row r="7608">
      <c r="G7608" s="12">
        <f t="shared" si="1255"/>
        <v>41133</v>
      </c>
    </row>
    <row r="7609">
      <c r="G7609" s="12">
        <f t="shared" si="1255"/>
        <v>41133</v>
      </c>
    </row>
    <row r="7610">
      <c r="G7610" s="12">
        <f t="shared" si="1255"/>
        <v>41133</v>
      </c>
    </row>
    <row r="7611">
      <c r="G7611" s="12">
        <f t="shared" si="1255"/>
        <v>41133</v>
      </c>
    </row>
    <row r="7612">
      <c r="G7612" s="12">
        <f t="shared" si="1255"/>
        <v>41133</v>
      </c>
    </row>
    <row r="7613">
      <c r="G7613" s="12">
        <f t="shared" si="1255"/>
        <v>41133</v>
      </c>
    </row>
    <row r="7614">
      <c r="G7614" s="12">
        <f t="shared" si="1255"/>
        <v>41133</v>
      </c>
    </row>
    <row r="7615">
      <c r="G7615" s="12">
        <f t="shared" si="1255"/>
        <v>41133</v>
      </c>
    </row>
    <row r="7616">
      <c r="G7616" s="12">
        <f t="shared" ref="G7616:G7617" si="1256">DATE(2012,12,31)-140</f>
        <v>41134</v>
      </c>
    </row>
    <row r="7617">
      <c r="G7617" s="12">
        <f t="shared" si="1256"/>
        <v>41134</v>
      </c>
    </row>
    <row r="7618">
      <c r="G7618" s="12">
        <f t="shared" ref="G7618:G7625" si="1257">DATE(2012,12,31)-139</f>
        <v>41135</v>
      </c>
    </row>
    <row r="7619">
      <c r="G7619" s="12">
        <f t="shared" si="1257"/>
        <v>41135</v>
      </c>
    </row>
    <row r="7620">
      <c r="G7620" s="12">
        <f t="shared" si="1257"/>
        <v>41135</v>
      </c>
    </row>
    <row r="7621">
      <c r="G7621" s="12">
        <f t="shared" si="1257"/>
        <v>41135</v>
      </c>
    </row>
    <row r="7622">
      <c r="G7622" s="12">
        <f t="shared" si="1257"/>
        <v>41135</v>
      </c>
    </row>
    <row r="7623">
      <c r="G7623" s="12">
        <f t="shared" si="1257"/>
        <v>41135</v>
      </c>
    </row>
    <row r="7624">
      <c r="G7624" s="12">
        <f t="shared" si="1257"/>
        <v>41135</v>
      </c>
    </row>
    <row r="7625">
      <c r="G7625" s="12">
        <f t="shared" si="1257"/>
        <v>41135</v>
      </c>
    </row>
    <row r="7626">
      <c r="G7626" s="12">
        <f t="shared" ref="G7626:G7629" si="1258">DATE(2012,12,31)-138</f>
        <v>41136</v>
      </c>
    </row>
    <row r="7627">
      <c r="G7627" s="12">
        <f t="shared" si="1258"/>
        <v>41136</v>
      </c>
    </row>
    <row r="7628">
      <c r="G7628" s="12">
        <f t="shared" si="1258"/>
        <v>41136</v>
      </c>
    </row>
    <row r="7629">
      <c r="G7629" s="12">
        <f t="shared" si="1258"/>
        <v>41136</v>
      </c>
    </row>
    <row r="7630">
      <c r="G7630" s="12">
        <f t="shared" ref="G7630:G7634" si="1259">DATE(2012,12,31)-137</f>
        <v>41137</v>
      </c>
    </row>
    <row r="7631">
      <c r="G7631" s="12">
        <f t="shared" si="1259"/>
        <v>41137</v>
      </c>
    </row>
    <row r="7632">
      <c r="G7632" s="12">
        <f t="shared" si="1259"/>
        <v>41137</v>
      </c>
    </row>
    <row r="7633">
      <c r="G7633" s="12">
        <f t="shared" si="1259"/>
        <v>41137</v>
      </c>
    </row>
    <row r="7634">
      <c r="G7634" s="12">
        <f t="shared" si="1259"/>
        <v>41137</v>
      </c>
    </row>
    <row r="7635">
      <c r="G7635" s="12">
        <f t="shared" ref="G7635:G7639" si="1260">DATE(2012,12,31)-136</f>
        <v>41138</v>
      </c>
    </row>
    <row r="7636">
      <c r="G7636" s="12">
        <f t="shared" si="1260"/>
        <v>41138</v>
      </c>
    </row>
    <row r="7637">
      <c r="G7637" s="12">
        <f t="shared" si="1260"/>
        <v>41138</v>
      </c>
    </row>
    <row r="7638">
      <c r="G7638" s="12">
        <f t="shared" si="1260"/>
        <v>41138</v>
      </c>
    </row>
    <row r="7639">
      <c r="G7639" s="12">
        <f t="shared" si="1260"/>
        <v>41138</v>
      </c>
    </row>
    <row r="7640">
      <c r="G7640" s="12">
        <f t="shared" ref="G7640:G7648" si="1261">DATE(2012,12,31)-135</f>
        <v>41139</v>
      </c>
    </row>
    <row r="7641">
      <c r="G7641" s="12">
        <f t="shared" si="1261"/>
        <v>41139</v>
      </c>
    </row>
    <row r="7642">
      <c r="G7642" s="12">
        <f t="shared" si="1261"/>
        <v>41139</v>
      </c>
    </row>
    <row r="7643">
      <c r="G7643" s="12">
        <f t="shared" si="1261"/>
        <v>41139</v>
      </c>
    </row>
    <row r="7644">
      <c r="G7644" s="12">
        <f t="shared" si="1261"/>
        <v>41139</v>
      </c>
    </row>
    <row r="7645">
      <c r="G7645" s="12">
        <f t="shared" si="1261"/>
        <v>41139</v>
      </c>
    </row>
    <row r="7646">
      <c r="G7646" s="12">
        <f t="shared" si="1261"/>
        <v>41139</v>
      </c>
    </row>
    <row r="7647">
      <c r="G7647" s="12">
        <f t="shared" si="1261"/>
        <v>41139</v>
      </c>
    </row>
    <row r="7648">
      <c r="G7648" s="12">
        <f t="shared" si="1261"/>
        <v>41139</v>
      </c>
    </row>
    <row r="7649">
      <c r="G7649" s="12">
        <f t="shared" ref="G7649:G7656" si="1262">DATE(2012,12,31)-134</f>
        <v>41140</v>
      </c>
    </row>
    <row r="7650">
      <c r="G7650" s="12">
        <f t="shared" si="1262"/>
        <v>41140</v>
      </c>
    </row>
    <row r="7651">
      <c r="G7651" s="12">
        <f t="shared" si="1262"/>
        <v>41140</v>
      </c>
    </row>
    <row r="7652">
      <c r="G7652" s="12">
        <f t="shared" si="1262"/>
        <v>41140</v>
      </c>
    </row>
    <row r="7653">
      <c r="G7653" s="12">
        <f t="shared" si="1262"/>
        <v>41140</v>
      </c>
    </row>
    <row r="7654">
      <c r="G7654" s="12">
        <f t="shared" si="1262"/>
        <v>41140</v>
      </c>
    </row>
    <row r="7655">
      <c r="G7655" s="12">
        <f t="shared" si="1262"/>
        <v>41140</v>
      </c>
    </row>
    <row r="7656">
      <c r="G7656" s="12">
        <f t="shared" si="1262"/>
        <v>41140</v>
      </c>
    </row>
    <row r="7657">
      <c r="G7657" s="12">
        <f t="shared" ref="G7657:G7666" si="1263">DATE(2012,12,31)-133</f>
        <v>41141</v>
      </c>
    </row>
    <row r="7658">
      <c r="G7658" s="12">
        <f t="shared" si="1263"/>
        <v>41141</v>
      </c>
    </row>
    <row r="7659">
      <c r="G7659" s="12">
        <f t="shared" si="1263"/>
        <v>41141</v>
      </c>
    </row>
    <row r="7660">
      <c r="G7660" s="12">
        <f t="shared" si="1263"/>
        <v>41141</v>
      </c>
    </row>
    <row r="7661">
      <c r="G7661" s="12">
        <f t="shared" si="1263"/>
        <v>41141</v>
      </c>
    </row>
    <row r="7662">
      <c r="G7662" s="12">
        <f t="shared" si="1263"/>
        <v>41141</v>
      </c>
    </row>
    <row r="7663">
      <c r="G7663" s="12">
        <f t="shared" si="1263"/>
        <v>41141</v>
      </c>
    </row>
    <row r="7664">
      <c r="G7664" s="12">
        <f t="shared" si="1263"/>
        <v>41141</v>
      </c>
    </row>
    <row r="7665">
      <c r="G7665" s="12">
        <f t="shared" si="1263"/>
        <v>41141</v>
      </c>
    </row>
    <row r="7666">
      <c r="G7666" s="12">
        <f t="shared" si="1263"/>
        <v>41141</v>
      </c>
    </row>
    <row r="7667">
      <c r="G7667" s="12">
        <f t="shared" ref="G7667:G7671" si="1264">DATE(2012,12,31)-132</f>
        <v>41142</v>
      </c>
    </row>
    <row r="7668">
      <c r="G7668" s="12">
        <f t="shared" si="1264"/>
        <v>41142</v>
      </c>
    </row>
    <row r="7669">
      <c r="G7669" s="12">
        <f t="shared" si="1264"/>
        <v>41142</v>
      </c>
    </row>
    <row r="7670">
      <c r="G7670" s="12">
        <f t="shared" si="1264"/>
        <v>41142</v>
      </c>
    </row>
    <row r="7671">
      <c r="G7671" s="12">
        <f t="shared" si="1264"/>
        <v>41142</v>
      </c>
    </row>
    <row r="7672">
      <c r="G7672" s="12">
        <f t="shared" ref="G7672:G7678" si="1265">DATE(2012,12,31)-131</f>
        <v>41143</v>
      </c>
    </row>
    <row r="7673">
      <c r="G7673" s="12">
        <f t="shared" si="1265"/>
        <v>41143</v>
      </c>
    </row>
    <row r="7674">
      <c r="G7674" s="12">
        <f t="shared" si="1265"/>
        <v>41143</v>
      </c>
    </row>
    <row r="7675">
      <c r="G7675" s="12">
        <f t="shared" si="1265"/>
        <v>41143</v>
      </c>
    </row>
    <row r="7676">
      <c r="G7676" s="12">
        <f t="shared" si="1265"/>
        <v>41143</v>
      </c>
    </row>
    <row r="7677">
      <c r="G7677" s="12">
        <f t="shared" si="1265"/>
        <v>41143</v>
      </c>
    </row>
    <row r="7678">
      <c r="G7678" s="12">
        <f t="shared" si="1265"/>
        <v>41143</v>
      </c>
    </row>
    <row r="7679">
      <c r="G7679" s="12">
        <f t="shared" ref="G7679:G7682" si="1266">DATE(2012,12,31)-130</f>
        <v>41144</v>
      </c>
    </row>
    <row r="7680">
      <c r="G7680" s="12">
        <f t="shared" si="1266"/>
        <v>41144</v>
      </c>
    </row>
    <row r="7681">
      <c r="G7681" s="12">
        <f t="shared" si="1266"/>
        <v>41144</v>
      </c>
    </row>
    <row r="7682">
      <c r="G7682" s="12">
        <f t="shared" si="1266"/>
        <v>41144</v>
      </c>
    </row>
    <row r="7683">
      <c r="G7683" s="12">
        <f t="shared" ref="G7683:G7684" si="1267">DATE(2012,12,31)-129</f>
        <v>41145</v>
      </c>
    </row>
    <row r="7684">
      <c r="G7684" s="12">
        <f t="shared" si="1267"/>
        <v>41145</v>
      </c>
    </row>
    <row r="7685">
      <c r="G7685" s="12">
        <f t="shared" ref="G7685:G7687" si="1268">DATE(2012,12,31)-127</f>
        <v>41147</v>
      </c>
    </row>
    <row r="7686">
      <c r="G7686" s="12">
        <f t="shared" si="1268"/>
        <v>41147</v>
      </c>
    </row>
    <row r="7687">
      <c r="G7687" s="12">
        <f t="shared" si="1268"/>
        <v>41147</v>
      </c>
    </row>
    <row r="7688">
      <c r="G7688" s="12">
        <f t="shared" ref="G7688:G7692" si="1269">DATE(2012,12,31)-126</f>
        <v>41148</v>
      </c>
    </row>
    <row r="7689">
      <c r="G7689" s="12">
        <f t="shared" si="1269"/>
        <v>41148</v>
      </c>
    </row>
    <row r="7690">
      <c r="G7690" s="12">
        <f t="shared" si="1269"/>
        <v>41148</v>
      </c>
    </row>
    <row r="7691">
      <c r="G7691" s="12">
        <f t="shared" si="1269"/>
        <v>41148</v>
      </c>
    </row>
    <row r="7692">
      <c r="G7692" s="12">
        <f t="shared" si="1269"/>
        <v>41148</v>
      </c>
    </row>
    <row r="7693">
      <c r="G7693" s="12">
        <f t="shared" ref="G7693:G7701" si="1270">DATE(2012,12,31)-125</f>
        <v>41149</v>
      </c>
    </row>
    <row r="7694">
      <c r="G7694" s="12">
        <f t="shared" si="1270"/>
        <v>41149</v>
      </c>
    </row>
    <row r="7695">
      <c r="G7695" s="12">
        <f t="shared" si="1270"/>
        <v>41149</v>
      </c>
    </row>
    <row r="7696">
      <c r="G7696" s="12">
        <f t="shared" si="1270"/>
        <v>41149</v>
      </c>
    </row>
    <row r="7697">
      <c r="G7697" s="12">
        <f t="shared" si="1270"/>
        <v>41149</v>
      </c>
    </row>
    <row r="7698">
      <c r="G7698" s="12">
        <f t="shared" si="1270"/>
        <v>41149</v>
      </c>
    </row>
    <row r="7699">
      <c r="G7699" s="12">
        <f t="shared" si="1270"/>
        <v>41149</v>
      </c>
    </row>
    <row r="7700">
      <c r="G7700" s="12">
        <f t="shared" si="1270"/>
        <v>41149</v>
      </c>
    </row>
    <row r="7701">
      <c r="G7701" s="12">
        <f t="shared" si="1270"/>
        <v>41149</v>
      </c>
    </row>
    <row r="7702">
      <c r="G7702" s="12">
        <f t="shared" ref="G7702:G7707" si="1271">DATE(2012,12,31)-124</f>
        <v>41150</v>
      </c>
    </row>
    <row r="7703">
      <c r="G7703" s="12">
        <f t="shared" si="1271"/>
        <v>41150</v>
      </c>
    </row>
    <row r="7704">
      <c r="G7704" s="12">
        <f t="shared" si="1271"/>
        <v>41150</v>
      </c>
    </row>
    <row r="7705">
      <c r="G7705" s="12">
        <f t="shared" si="1271"/>
        <v>41150</v>
      </c>
    </row>
    <row r="7706">
      <c r="G7706" s="12">
        <f t="shared" si="1271"/>
        <v>41150</v>
      </c>
    </row>
    <row r="7707">
      <c r="G7707" s="12">
        <f t="shared" si="1271"/>
        <v>41150</v>
      </c>
    </row>
    <row r="7708">
      <c r="G7708" s="12">
        <f t="shared" ref="G7708:G7716" si="1272">DATE(2012,12,31)-123</f>
        <v>41151</v>
      </c>
    </row>
    <row r="7709">
      <c r="G7709" s="12">
        <f t="shared" si="1272"/>
        <v>41151</v>
      </c>
    </row>
    <row r="7710">
      <c r="G7710" s="12">
        <f t="shared" si="1272"/>
        <v>41151</v>
      </c>
    </row>
    <row r="7711">
      <c r="G7711" s="12">
        <f t="shared" si="1272"/>
        <v>41151</v>
      </c>
    </row>
    <row r="7712">
      <c r="G7712" s="12">
        <f t="shared" si="1272"/>
        <v>41151</v>
      </c>
    </row>
    <row r="7713">
      <c r="G7713" s="12">
        <f t="shared" si="1272"/>
        <v>41151</v>
      </c>
    </row>
    <row r="7714">
      <c r="G7714" s="12">
        <f t="shared" si="1272"/>
        <v>41151</v>
      </c>
    </row>
    <row r="7715">
      <c r="G7715" s="12">
        <f t="shared" si="1272"/>
        <v>41151</v>
      </c>
    </row>
    <row r="7716">
      <c r="G7716" s="12">
        <f t="shared" si="1272"/>
        <v>41151</v>
      </c>
    </row>
    <row r="7717">
      <c r="G7717" s="12">
        <f t="shared" ref="G7717:G7722" si="1273">DATE(2012,12,31)-121</f>
        <v>41153</v>
      </c>
    </row>
    <row r="7718">
      <c r="G7718" s="12">
        <f t="shared" si="1273"/>
        <v>41153</v>
      </c>
    </row>
    <row r="7719">
      <c r="G7719" s="12">
        <f t="shared" si="1273"/>
        <v>41153</v>
      </c>
    </row>
    <row r="7720">
      <c r="G7720" s="12">
        <f t="shared" si="1273"/>
        <v>41153</v>
      </c>
    </row>
    <row r="7721">
      <c r="G7721" s="12">
        <f t="shared" si="1273"/>
        <v>41153</v>
      </c>
    </row>
    <row r="7722">
      <c r="G7722" s="12">
        <f t="shared" si="1273"/>
        <v>41153</v>
      </c>
    </row>
    <row r="7723">
      <c r="G7723" s="12">
        <f t="shared" ref="G7723:G7734" si="1274">DATE(2012,12,31)-120</f>
        <v>41154</v>
      </c>
    </row>
    <row r="7724">
      <c r="G7724" s="12">
        <f t="shared" si="1274"/>
        <v>41154</v>
      </c>
    </row>
    <row r="7725">
      <c r="G7725" s="12">
        <f t="shared" si="1274"/>
        <v>41154</v>
      </c>
    </row>
    <row r="7726">
      <c r="G7726" s="12">
        <f t="shared" si="1274"/>
        <v>41154</v>
      </c>
    </row>
    <row r="7727">
      <c r="G7727" s="12">
        <f t="shared" si="1274"/>
        <v>41154</v>
      </c>
    </row>
    <row r="7728">
      <c r="G7728" s="12">
        <f t="shared" si="1274"/>
        <v>41154</v>
      </c>
    </row>
    <row r="7729">
      <c r="G7729" s="12">
        <f t="shared" si="1274"/>
        <v>41154</v>
      </c>
    </row>
    <row r="7730">
      <c r="G7730" s="12">
        <f t="shared" si="1274"/>
        <v>41154</v>
      </c>
    </row>
    <row r="7731">
      <c r="G7731" s="12">
        <f t="shared" si="1274"/>
        <v>41154</v>
      </c>
    </row>
    <row r="7732">
      <c r="G7732" s="12">
        <f t="shared" si="1274"/>
        <v>41154</v>
      </c>
    </row>
    <row r="7733">
      <c r="G7733" s="12">
        <f t="shared" si="1274"/>
        <v>41154</v>
      </c>
    </row>
    <row r="7734">
      <c r="G7734" s="12">
        <f t="shared" si="1274"/>
        <v>41154</v>
      </c>
    </row>
    <row r="7735">
      <c r="G7735" s="12">
        <f t="shared" ref="G7735:G7740" si="1275">DATE(2012,12,31)-119</f>
        <v>41155</v>
      </c>
    </row>
    <row r="7736">
      <c r="G7736" s="12">
        <f t="shared" si="1275"/>
        <v>41155</v>
      </c>
    </row>
    <row r="7737">
      <c r="G7737" s="12">
        <f t="shared" si="1275"/>
        <v>41155</v>
      </c>
    </row>
    <row r="7738">
      <c r="G7738" s="12">
        <f t="shared" si="1275"/>
        <v>41155</v>
      </c>
    </row>
    <row r="7739">
      <c r="G7739" s="12">
        <f t="shared" si="1275"/>
        <v>41155</v>
      </c>
    </row>
    <row r="7740">
      <c r="G7740" s="12">
        <f t="shared" si="1275"/>
        <v>41155</v>
      </c>
    </row>
    <row r="7741">
      <c r="G7741" s="12">
        <f t="shared" ref="G7741:G7744" si="1276">DATE(2012,12,31)-118</f>
        <v>41156</v>
      </c>
    </row>
    <row r="7742">
      <c r="G7742" s="12">
        <f t="shared" si="1276"/>
        <v>41156</v>
      </c>
    </row>
    <row r="7743">
      <c r="G7743" s="12">
        <f t="shared" si="1276"/>
        <v>41156</v>
      </c>
    </row>
    <row r="7744">
      <c r="G7744" s="12">
        <f t="shared" si="1276"/>
        <v>41156</v>
      </c>
    </row>
    <row r="7745">
      <c r="G7745" s="12">
        <f t="shared" ref="G7745:G7756" si="1277">DATE(2012,12,31)-117</f>
        <v>41157</v>
      </c>
    </row>
    <row r="7746">
      <c r="G7746" s="12">
        <f t="shared" si="1277"/>
        <v>41157</v>
      </c>
    </row>
    <row r="7747">
      <c r="G7747" s="12">
        <f t="shared" si="1277"/>
        <v>41157</v>
      </c>
    </row>
    <row r="7748">
      <c r="G7748" s="12">
        <f t="shared" si="1277"/>
        <v>41157</v>
      </c>
    </row>
    <row r="7749">
      <c r="G7749" s="12">
        <f t="shared" si="1277"/>
        <v>41157</v>
      </c>
    </row>
    <row r="7750">
      <c r="G7750" s="12">
        <f t="shared" si="1277"/>
        <v>41157</v>
      </c>
    </row>
    <row r="7751">
      <c r="G7751" s="12">
        <f t="shared" si="1277"/>
        <v>41157</v>
      </c>
    </row>
    <row r="7752">
      <c r="G7752" s="12">
        <f t="shared" si="1277"/>
        <v>41157</v>
      </c>
    </row>
    <row r="7753">
      <c r="G7753" s="12">
        <f t="shared" si="1277"/>
        <v>41157</v>
      </c>
    </row>
    <row r="7754">
      <c r="G7754" s="12">
        <f t="shared" si="1277"/>
        <v>41157</v>
      </c>
    </row>
    <row r="7755">
      <c r="G7755" s="12">
        <f t="shared" si="1277"/>
        <v>41157</v>
      </c>
    </row>
    <row r="7756">
      <c r="G7756" s="12">
        <f t="shared" si="1277"/>
        <v>41157</v>
      </c>
    </row>
    <row r="7757">
      <c r="G7757" s="12">
        <f t="shared" ref="G7757:G7760" si="1278">DATE(2012,12,31)-116</f>
        <v>41158</v>
      </c>
    </row>
    <row r="7758">
      <c r="G7758" s="12">
        <f t="shared" si="1278"/>
        <v>41158</v>
      </c>
    </row>
    <row r="7759">
      <c r="G7759" s="12">
        <f t="shared" si="1278"/>
        <v>41158</v>
      </c>
    </row>
    <row r="7760">
      <c r="G7760" s="12">
        <f t="shared" si="1278"/>
        <v>41158</v>
      </c>
    </row>
    <row r="7761">
      <c r="G7761" s="12">
        <f t="shared" ref="G7761:G7764" si="1279">DATE(2012,12,31)-115</f>
        <v>41159</v>
      </c>
    </row>
    <row r="7762">
      <c r="G7762" s="12">
        <f t="shared" si="1279"/>
        <v>41159</v>
      </c>
    </row>
    <row r="7763">
      <c r="G7763" s="12">
        <f t="shared" si="1279"/>
        <v>41159</v>
      </c>
    </row>
    <row r="7764">
      <c r="G7764" s="12">
        <f t="shared" si="1279"/>
        <v>41159</v>
      </c>
    </row>
    <row r="7765">
      <c r="G7765" s="12">
        <f t="shared" ref="G7765:G7769" si="1280">DATE(2012,12,31)-114</f>
        <v>41160</v>
      </c>
    </row>
    <row r="7766">
      <c r="G7766" s="12">
        <f t="shared" si="1280"/>
        <v>41160</v>
      </c>
    </row>
    <row r="7767">
      <c r="G7767" s="12">
        <f t="shared" si="1280"/>
        <v>41160</v>
      </c>
    </row>
    <row r="7768">
      <c r="G7768" s="12">
        <f t="shared" si="1280"/>
        <v>41160</v>
      </c>
    </row>
    <row r="7769">
      <c r="G7769" s="12">
        <f t="shared" si="1280"/>
        <v>41160</v>
      </c>
    </row>
    <row r="7770">
      <c r="G7770" s="12">
        <f t="shared" ref="G7770:G7776" si="1281">DATE(2012,12,31)-113</f>
        <v>41161</v>
      </c>
    </row>
    <row r="7771">
      <c r="G7771" s="12">
        <f t="shared" si="1281"/>
        <v>41161</v>
      </c>
    </row>
    <row r="7772">
      <c r="G7772" s="12">
        <f t="shared" si="1281"/>
        <v>41161</v>
      </c>
    </row>
    <row r="7773">
      <c r="G7773" s="12">
        <f t="shared" si="1281"/>
        <v>41161</v>
      </c>
    </row>
    <row r="7774">
      <c r="G7774" s="12">
        <f t="shared" si="1281"/>
        <v>41161</v>
      </c>
    </row>
    <row r="7775">
      <c r="G7775" s="12">
        <f t="shared" si="1281"/>
        <v>41161</v>
      </c>
    </row>
    <row r="7776">
      <c r="G7776" s="12">
        <f t="shared" si="1281"/>
        <v>41161</v>
      </c>
    </row>
    <row r="7777">
      <c r="G7777" s="12">
        <f t="shared" ref="G7777:G7785" si="1282">DATE(2012,12,31)-112</f>
        <v>41162</v>
      </c>
    </row>
    <row r="7778">
      <c r="G7778" s="12">
        <f t="shared" si="1282"/>
        <v>41162</v>
      </c>
    </row>
    <row r="7779">
      <c r="G7779" s="12">
        <f t="shared" si="1282"/>
        <v>41162</v>
      </c>
    </row>
    <row r="7780">
      <c r="G7780" s="12">
        <f t="shared" si="1282"/>
        <v>41162</v>
      </c>
    </row>
    <row r="7781">
      <c r="G7781" s="12">
        <f t="shared" si="1282"/>
        <v>41162</v>
      </c>
    </row>
    <row r="7782">
      <c r="G7782" s="12">
        <f t="shared" si="1282"/>
        <v>41162</v>
      </c>
    </row>
    <row r="7783">
      <c r="G7783" s="12">
        <f t="shared" si="1282"/>
        <v>41162</v>
      </c>
    </row>
    <row r="7784">
      <c r="G7784" s="12">
        <f t="shared" si="1282"/>
        <v>41162</v>
      </c>
    </row>
    <row r="7785">
      <c r="G7785" s="12">
        <f t="shared" si="1282"/>
        <v>41162</v>
      </c>
    </row>
    <row r="7786">
      <c r="G7786" s="12">
        <f t="shared" ref="G7786:G7788" si="1283">DATE(2012,12,31)-111</f>
        <v>41163</v>
      </c>
    </row>
    <row r="7787">
      <c r="G7787" s="12">
        <f t="shared" si="1283"/>
        <v>41163</v>
      </c>
    </row>
    <row r="7788">
      <c r="G7788" s="12">
        <f t="shared" si="1283"/>
        <v>41163</v>
      </c>
    </row>
    <row r="7789">
      <c r="G7789" s="12">
        <f t="shared" ref="G7789:G7798" si="1284">DATE(2012,12,31)-110</f>
        <v>41164</v>
      </c>
    </row>
    <row r="7790">
      <c r="G7790" s="12">
        <f t="shared" si="1284"/>
        <v>41164</v>
      </c>
    </row>
    <row r="7791">
      <c r="G7791" s="12">
        <f t="shared" si="1284"/>
        <v>41164</v>
      </c>
    </row>
    <row r="7792">
      <c r="G7792" s="12">
        <f t="shared" si="1284"/>
        <v>41164</v>
      </c>
    </row>
    <row r="7793">
      <c r="G7793" s="12">
        <f t="shared" si="1284"/>
        <v>41164</v>
      </c>
    </row>
    <row r="7794">
      <c r="G7794" s="12">
        <f t="shared" si="1284"/>
        <v>41164</v>
      </c>
    </row>
    <row r="7795">
      <c r="G7795" s="12">
        <f t="shared" si="1284"/>
        <v>41164</v>
      </c>
    </row>
    <row r="7796">
      <c r="G7796" s="12">
        <f t="shared" si="1284"/>
        <v>41164</v>
      </c>
    </row>
    <row r="7797">
      <c r="G7797" s="12">
        <f t="shared" si="1284"/>
        <v>41164</v>
      </c>
    </row>
    <row r="7798">
      <c r="G7798" s="12">
        <f t="shared" si="1284"/>
        <v>41164</v>
      </c>
    </row>
    <row r="7799">
      <c r="G7799" s="12">
        <f t="shared" ref="G7799:G7807" si="1285">DATE(2012,12,31)-109</f>
        <v>41165</v>
      </c>
    </row>
    <row r="7800">
      <c r="G7800" s="12">
        <f t="shared" si="1285"/>
        <v>41165</v>
      </c>
    </row>
    <row r="7801">
      <c r="G7801" s="12">
        <f t="shared" si="1285"/>
        <v>41165</v>
      </c>
    </row>
    <row r="7802">
      <c r="G7802" s="12">
        <f t="shared" si="1285"/>
        <v>41165</v>
      </c>
    </row>
    <row r="7803">
      <c r="G7803" s="12">
        <f t="shared" si="1285"/>
        <v>41165</v>
      </c>
    </row>
    <row r="7804">
      <c r="G7804" s="12">
        <f t="shared" si="1285"/>
        <v>41165</v>
      </c>
    </row>
    <row r="7805">
      <c r="G7805" s="12">
        <f t="shared" si="1285"/>
        <v>41165</v>
      </c>
    </row>
    <row r="7806">
      <c r="G7806" s="12">
        <f t="shared" si="1285"/>
        <v>41165</v>
      </c>
    </row>
    <row r="7807">
      <c r="G7807" s="12">
        <f t="shared" si="1285"/>
        <v>41165</v>
      </c>
    </row>
    <row r="7808">
      <c r="G7808" s="12">
        <f t="shared" ref="G7808:G7816" si="1286">DATE(2012,12,31)-108</f>
        <v>41166</v>
      </c>
    </row>
    <row r="7809">
      <c r="G7809" s="12">
        <f t="shared" si="1286"/>
        <v>41166</v>
      </c>
    </row>
    <row r="7810">
      <c r="G7810" s="12">
        <f t="shared" si="1286"/>
        <v>41166</v>
      </c>
    </row>
    <row r="7811">
      <c r="G7811" s="12">
        <f t="shared" si="1286"/>
        <v>41166</v>
      </c>
    </row>
    <row r="7812">
      <c r="G7812" s="12">
        <f t="shared" si="1286"/>
        <v>41166</v>
      </c>
    </row>
    <row r="7813">
      <c r="G7813" s="12">
        <f t="shared" si="1286"/>
        <v>41166</v>
      </c>
    </row>
    <row r="7814">
      <c r="G7814" s="12">
        <f t="shared" si="1286"/>
        <v>41166</v>
      </c>
    </row>
    <row r="7815">
      <c r="G7815" s="12">
        <f t="shared" si="1286"/>
        <v>41166</v>
      </c>
    </row>
    <row r="7816">
      <c r="G7816" s="12">
        <f t="shared" si="1286"/>
        <v>41166</v>
      </c>
    </row>
    <row r="7817">
      <c r="G7817" s="12">
        <f t="shared" ref="G7817:G7825" si="1287">DATE(2012,12,31)-107</f>
        <v>41167</v>
      </c>
    </row>
    <row r="7818">
      <c r="G7818" s="12">
        <f t="shared" si="1287"/>
        <v>41167</v>
      </c>
    </row>
    <row r="7819">
      <c r="G7819" s="12">
        <f t="shared" si="1287"/>
        <v>41167</v>
      </c>
    </row>
    <row r="7820">
      <c r="G7820" s="12">
        <f t="shared" si="1287"/>
        <v>41167</v>
      </c>
    </row>
    <row r="7821">
      <c r="G7821" s="12">
        <f t="shared" si="1287"/>
        <v>41167</v>
      </c>
    </row>
    <row r="7822">
      <c r="G7822" s="12">
        <f t="shared" si="1287"/>
        <v>41167</v>
      </c>
    </row>
    <row r="7823">
      <c r="G7823" s="12">
        <f t="shared" si="1287"/>
        <v>41167</v>
      </c>
    </row>
    <row r="7824">
      <c r="G7824" s="12">
        <f t="shared" si="1287"/>
        <v>41167</v>
      </c>
    </row>
    <row r="7825">
      <c r="G7825" s="12">
        <f t="shared" si="1287"/>
        <v>41167</v>
      </c>
    </row>
    <row r="7826">
      <c r="G7826" s="12">
        <f t="shared" ref="G7826:G7833" si="1288">DATE(2012,12,31)-106</f>
        <v>41168</v>
      </c>
    </row>
    <row r="7827">
      <c r="G7827" s="12">
        <f t="shared" si="1288"/>
        <v>41168</v>
      </c>
    </row>
    <row r="7828">
      <c r="G7828" s="12">
        <f t="shared" si="1288"/>
        <v>41168</v>
      </c>
    </row>
    <row r="7829">
      <c r="G7829" s="12">
        <f t="shared" si="1288"/>
        <v>41168</v>
      </c>
    </row>
    <row r="7830">
      <c r="G7830" s="12">
        <f t="shared" si="1288"/>
        <v>41168</v>
      </c>
    </row>
    <row r="7831">
      <c r="G7831" s="12">
        <f t="shared" si="1288"/>
        <v>41168</v>
      </c>
    </row>
    <row r="7832">
      <c r="G7832" s="12">
        <f t="shared" si="1288"/>
        <v>41168</v>
      </c>
    </row>
    <row r="7833">
      <c r="G7833" s="12">
        <f t="shared" si="1288"/>
        <v>41168</v>
      </c>
    </row>
    <row r="7834">
      <c r="G7834" s="12">
        <f t="shared" ref="G7834:G7837" si="1289">DATE(2012,12,31)-105</f>
        <v>41169</v>
      </c>
    </row>
    <row r="7835">
      <c r="G7835" s="12">
        <f t="shared" si="1289"/>
        <v>41169</v>
      </c>
    </row>
    <row r="7836">
      <c r="G7836" s="12">
        <f t="shared" si="1289"/>
        <v>41169</v>
      </c>
    </row>
    <row r="7837">
      <c r="G7837" s="12">
        <f t="shared" si="1289"/>
        <v>41169</v>
      </c>
    </row>
    <row r="7838">
      <c r="G7838" s="12">
        <f t="shared" ref="G7838:G7846" si="1290">DATE(2012,12,31)-104</f>
        <v>41170</v>
      </c>
    </row>
    <row r="7839">
      <c r="G7839" s="12">
        <f t="shared" si="1290"/>
        <v>41170</v>
      </c>
    </row>
    <row r="7840">
      <c r="G7840" s="12">
        <f t="shared" si="1290"/>
        <v>41170</v>
      </c>
    </row>
    <row r="7841">
      <c r="G7841" s="12">
        <f t="shared" si="1290"/>
        <v>41170</v>
      </c>
    </row>
    <row r="7842">
      <c r="G7842" s="12">
        <f t="shared" si="1290"/>
        <v>41170</v>
      </c>
    </row>
    <row r="7843">
      <c r="G7843" s="12">
        <f t="shared" si="1290"/>
        <v>41170</v>
      </c>
    </row>
    <row r="7844">
      <c r="G7844" s="12">
        <f t="shared" si="1290"/>
        <v>41170</v>
      </c>
    </row>
    <row r="7845">
      <c r="G7845" s="12">
        <f t="shared" si="1290"/>
        <v>41170</v>
      </c>
    </row>
    <row r="7846">
      <c r="G7846" s="12">
        <f t="shared" si="1290"/>
        <v>41170</v>
      </c>
    </row>
    <row r="7847">
      <c r="G7847" s="12">
        <f t="shared" ref="G7847:G7852" si="1291">DATE(2012,12,31)-103</f>
        <v>41171</v>
      </c>
    </row>
    <row r="7848">
      <c r="G7848" s="12">
        <f t="shared" si="1291"/>
        <v>41171</v>
      </c>
    </row>
    <row r="7849">
      <c r="G7849" s="12">
        <f t="shared" si="1291"/>
        <v>41171</v>
      </c>
    </row>
    <row r="7850">
      <c r="G7850" s="12">
        <f t="shared" si="1291"/>
        <v>41171</v>
      </c>
    </row>
    <row r="7851">
      <c r="G7851" s="12">
        <f t="shared" si="1291"/>
        <v>41171</v>
      </c>
    </row>
    <row r="7852">
      <c r="G7852" s="12">
        <f t="shared" si="1291"/>
        <v>41171</v>
      </c>
    </row>
    <row r="7853">
      <c r="G7853" s="12">
        <f t="shared" ref="G7853:G7860" si="1292">DATE(2012,12,31)-102</f>
        <v>41172</v>
      </c>
    </row>
    <row r="7854">
      <c r="G7854" s="12">
        <f t="shared" si="1292"/>
        <v>41172</v>
      </c>
    </row>
    <row r="7855">
      <c r="G7855" s="12">
        <f t="shared" si="1292"/>
        <v>41172</v>
      </c>
    </row>
    <row r="7856">
      <c r="G7856" s="12">
        <f t="shared" si="1292"/>
        <v>41172</v>
      </c>
    </row>
    <row r="7857">
      <c r="G7857" s="12">
        <f t="shared" si="1292"/>
        <v>41172</v>
      </c>
    </row>
    <row r="7858">
      <c r="G7858" s="12">
        <f t="shared" si="1292"/>
        <v>41172</v>
      </c>
    </row>
    <row r="7859">
      <c r="G7859" s="12">
        <f t="shared" si="1292"/>
        <v>41172</v>
      </c>
    </row>
    <row r="7860">
      <c r="G7860" s="12">
        <f t="shared" si="1292"/>
        <v>41172</v>
      </c>
    </row>
    <row r="7861">
      <c r="G7861" s="12">
        <f t="shared" ref="G7861:G7863" si="1293">DATE(2012,12,31)-101</f>
        <v>41173</v>
      </c>
    </row>
    <row r="7862">
      <c r="G7862" s="12">
        <f t="shared" si="1293"/>
        <v>41173</v>
      </c>
    </row>
    <row r="7863">
      <c r="G7863" s="12">
        <f t="shared" si="1293"/>
        <v>41173</v>
      </c>
    </row>
    <row r="7864">
      <c r="G7864" s="12">
        <f t="shared" ref="G7864:G7872" si="1294">DATE(2012,12,31)-100</f>
        <v>41174</v>
      </c>
    </row>
    <row r="7865">
      <c r="G7865" s="12">
        <f t="shared" si="1294"/>
        <v>41174</v>
      </c>
    </row>
    <row r="7866">
      <c r="G7866" s="12">
        <f t="shared" si="1294"/>
        <v>41174</v>
      </c>
    </row>
    <row r="7867">
      <c r="G7867" s="12">
        <f t="shared" si="1294"/>
        <v>41174</v>
      </c>
    </row>
    <row r="7868">
      <c r="G7868" s="12">
        <f t="shared" si="1294"/>
        <v>41174</v>
      </c>
    </row>
    <row r="7869">
      <c r="G7869" s="12">
        <f t="shared" si="1294"/>
        <v>41174</v>
      </c>
    </row>
    <row r="7870">
      <c r="G7870" s="12">
        <f t="shared" si="1294"/>
        <v>41174</v>
      </c>
    </row>
    <row r="7871">
      <c r="G7871" s="12">
        <f t="shared" si="1294"/>
        <v>41174</v>
      </c>
    </row>
    <row r="7872">
      <c r="G7872" s="12">
        <f t="shared" si="1294"/>
        <v>41174</v>
      </c>
    </row>
    <row r="7873">
      <c r="G7873" s="12">
        <f t="shared" ref="G7873:G7880" si="1295">DATE(2012,12,31)-99</f>
        <v>41175</v>
      </c>
    </row>
    <row r="7874">
      <c r="G7874" s="12">
        <f t="shared" si="1295"/>
        <v>41175</v>
      </c>
    </row>
    <row r="7875">
      <c r="G7875" s="12">
        <f t="shared" si="1295"/>
        <v>41175</v>
      </c>
    </row>
    <row r="7876">
      <c r="G7876" s="12">
        <f t="shared" si="1295"/>
        <v>41175</v>
      </c>
    </row>
    <row r="7877">
      <c r="G7877" s="12">
        <f t="shared" si="1295"/>
        <v>41175</v>
      </c>
    </row>
    <row r="7878">
      <c r="G7878" s="12">
        <f t="shared" si="1295"/>
        <v>41175</v>
      </c>
    </row>
    <row r="7879">
      <c r="G7879" s="12">
        <f t="shared" si="1295"/>
        <v>41175</v>
      </c>
    </row>
    <row r="7880">
      <c r="G7880" s="12">
        <f t="shared" si="1295"/>
        <v>41175</v>
      </c>
    </row>
    <row r="7881">
      <c r="G7881" s="12">
        <f t="shared" ref="G7881:G7889" si="1296">DATE(2012,12,31)-98</f>
        <v>41176</v>
      </c>
    </row>
    <row r="7882">
      <c r="G7882" s="12">
        <f t="shared" si="1296"/>
        <v>41176</v>
      </c>
    </row>
    <row r="7883">
      <c r="G7883" s="12">
        <f t="shared" si="1296"/>
        <v>41176</v>
      </c>
    </row>
    <row r="7884">
      <c r="G7884" s="12">
        <f t="shared" si="1296"/>
        <v>41176</v>
      </c>
    </row>
    <row r="7885">
      <c r="G7885" s="12">
        <f t="shared" si="1296"/>
        <v>41176</v>
      </c>
    </row>
    <row r="7886">
      <c r="G7886" s="12">
        <f t="shared" si="1296"/>
        <v>41176</v>
      </c>
    </row>
    <row r="7887">
      <c r="G7887" s="12">
        <f t="shared" si="1296"/>
        <v>41176</v>
      </c>
    </row>
    <row r="7888">
      <c r="G7888" s="12">
        <f t="shared" si="1296"/>
        <v>41176</v>
      </c>
    </row>
    <row r="7889">
      <c r="G7889" s="12">
        <f t="shared" si="1296"/>
        <v>41176</v>
      </c>
    </row>
    <row r="7890">
      <c r="G7890" s="12">
        <f t="shared" ref="G7890:G7894" si="1297">DATE(2012,12,31)-97</f>
        <v>41177</v>
      </c>
    </row>
    <row r="7891">
      <c r="G7891" s="12">
        <f t="shared" si="1297"/>
        <v>41177</v>
      </c>
    </row>
    <row r="7892">
      <c r="G7892" s="12">
        <f t="shared" si="1297"/>
        <v>41177</v>
      </c>
    </row>
    <row r="7893">
      <c r="G7893" s="12">
        <f t="shared" si="1297"/>
        <v>41177</v>
      </c>
    </row>
    <row r="7894">
      <c r="G7894" s="12">
        <f t="shared" si="1297"/>
        <v>41177</v>
      </c>
    </row>
    <row r="7895">
      <c r="G7895" s="12">
        <f t="shared" ref="G7895:G7897" si="1298">DATE(2012,12,31)-95</f>
        <v>41179</v>
      </c>
    </row>
    <row r="7896">
      <c r="G7896" s="12">
        <f t="shared" si="1298"/>
        <v>41179</v>
      </c>
    </row>
    <row r="7897">
      <c r="G7897" s="12">
        <f t="shared" si="1298"/>
        <v>41179</v>
      </c>
    </row>
    <row r="7898">
      <c r="G7898" s="12">
        <f t="shared" ref="G7898:G7900" si="1299">DATE(2012,12,31)-94</f>
        <v>41180</v>
      </c>
    </row>
    <row r="7899">
      <c r="G7899" s="12">
        <f t="shared" si="1299"/>
        <v>41180</v>
      </c>
    </row>
    <row r="7900">
      <c r="G7900" s="12">
        <f t="shared" si="1299"/>
        <v>41180</v>
      </c>
    </row>
    <row r="7901">
      <c r="G7901" s="12">
        <f t="shared" ref="G7901:G7906" si="1300">DATE(2012,12,31)-93</f>
        <v>41181</v>
      </c>
    </row>
    <row r="7902">
      <c r="G7902" s="12">
        <f t="shared" si="1300"/>
        <v>41181</v>
      </c>
    </row>
    <row r="7903">
      <c r="G7903" s="12">
        <f t="shared" si="1300"/>
        <v>41181</v>
      </c>
    </row>
    <row r="7904">
      <c r="G7904" s="12">
        <f t="shared" si="1300"/>
        <v>41181</v>
      </c>
    </row>
    <row r="7905">
      <c r="G7905" s="12">
        <f t="shared" si="1300"/>
        <v>41181</v>
      </c>
    </row>
    <row r="7906">
      <c r="G7906" s="12">
        <f t="shared" si="1300"/>
        <v>41181</v>
      </c>
    </row>
    <row r="7907">
      <c r="G7907" s="12">
        <f t="shared" ref="G7907:G7913" si="1301">DATE(2012,12,31)-92</f>
        <v>41182</v>
      </c>
    </row>
    <row r="7908">
      <c r="G7908" s="12">
        <f t="shared" si="1301"/>
        <v>41182</v>
      </c>
    </row>
    <row r="7909">
      <c r="G7909" s="12">
        <f t="shared" si="1301"/>
        <v>41182</v>
      </c>
    </row>
    <row r="7910">
      <c r="G7910" s="12">
        <f t="shared" si="1301"/>
        <v>41182</v>
      </c>
    </row>
    <row r="7911">
      <c r="G7911" s="12">
        <f t="shared" si="1301"/>
        <v>41182</v>
      </c>
    </row>
    <row r="7912">
      <c r="G7912" s="12">
        <f t="shared" si="1301"/>
        <v>41182</v>
      </c>
    </row>
    <row r="7913">
      <c r="G7913" s="12">
        <f t="shared" si="1301"/>
        <v>41182</v>
      </c>
    </row>
    <row r="7914">
      <c r="G7914" s="12">
        <f t="shared" ref="G7914:G7921" si="1302">DATE(2012,12,31)-91</f>
        <v>41183</v>
      </c>
    </row>
    <row r="7915">
      <c r="G7915" s="12">
        <f t="shared" si="1302"/>
        <v>41183</v>
      </c>
    </row>
    <row r="7916">
      <c r="G7916" s="12">
        <f t="shared" si="1302"/>
        <v>41183</v>
      </c>
    </row>
    <row r="7917">
      <c r="G7917" s="12">
        <f t="shared" si="1302"/>
        <v>41183</v>
      </c>
    </row>
    <row r="7918">
      <c r="G7918" s="12">
        <f t="shared" si="1302"/>
        <v>41183</v>
      </c>
    </row>
    <row r="7919">
      <c r="G7919" s="12">
        <f t="shared" si="1302"/>
        <v>41183</v>
      </c>
    </row>
    <row r="7920">
      <c r="G7920" s="12">
        <f t="shared" si="1302"/>
        <v>41183</v>
      </c>
    </row>
    <row r="7921">
      <c r="G7921" s="12">
        <f t="shared" si="1302"/>
        <v>41183</v>
      </c>
    </row>
    <row r="7922">
      <c r="G7922" s="12">
        <f t="shared" ref="G7922:G7929" si="1303">DATE(2012,12,31)-90</f>
        <v>41184</v>
      </c>
    </row>
    <row r="7923">
      <c r="G7923" s="12">
        <f t="shared" si="1303"/>
        <v>41184</v>
      </c>
    </row>
    <row r="7924">
      <c r="G7924" s="12">
        <f t="shared" si="1303"/>
        <v>41184</v>
      </c>
    </row>
    <row r="7925">
      <c r="G7925" s="12">
        <f t="shared" si="1303"/>
        <v>41184</v>
      </c>
    </row>
    <row r="7926">
      <c r="G7926" s="12">
        <f t="shared" si="1303"/>
        <v>41184</v>
      </c>
    </row>
    <row r="7927">
      <c r="G7927" s="12">
        <f t="shared" si="1303"/>
        <v>41184</v>
      </c>
    </row>
    <row r="7928">
      <c r="G7928" s="12">
        <f t="shared" si="1303"/>
        <v>41184</v>
      </c>
    </row>
    <row r="7929">
      <c r="G7929" s="12">
        <f t="shared" si="1303"/>
        <v>41184</v>
      </c>
    </row>
    <row r="7930">
      <c r="G7930" s="12">
        <f t="shared" ref="G7930:G7931" si="1304">DATE(2012,12,31)-89</f>
        <v>41185</v>
      </c>
    </row>
    <row r="7931">
      <c r="G7931" s="12">
        <f t="shared" si="1304"/>
        <v>41185</v>
      </c>
    </row>
    <row r="7932">
      <c r="G7932" s="12">
        <f t="shared" ref="G7932:G7942" si="1305">DATE(2012,12,31)-88</f>
        <v>41186</v>
      </c>
    </row>
    <row r="7933">
      <c r="G7933" s="12">
        <f t="shared" si="1305"/>
        <v>41186</v>
      </c>
    </row>
    <row r="7934">
      <c r="G7934" s="12">
        <f t="shared" si="1305"/>
        <v>41186</v>
      </c>
    </row>
    <row r="7935">
      <c r="G7935" s="12">
        <f t="shared" si="1305"/>
        <v>41186</v>
      </c>
    </row>
    <row r="7936">
      <c r="G7936" s="12">
        <f t="shared" si="1305"/>
        <v>41186</v>
      </c>
    </row>
    <row r="7937">
      <c r="G7937" s="12">
        <f t="shared" si="1305"/>
        <v>41186</v>
      </c>
    </row>
    <row r="7938">
      <c r="G7938" s="12">
        <f t="shared" si="1305"/>
        <v>41186</v>
      </c>
    </row>
    <row r="7939">
      <c r="G7939" s="12">
        <f t="shared" si="1305"/>
        <v>41186</v>
      </c>
    </row>
    <row r="7940">
      <c r="G7940" s="12">
        <f t="shared" si="1305"/>
        <v>41186</v>
      </c>
    </row>
    <row r="7941">
      <c r="G7941" s="12">
        <f t="shared" si="1305"/>
        <v>41186</v>
      </c>
    </row>
    <row r="7942">
      <c r="G7942" s="12">
        <f t="shared" si="1305"/>
        <v>41186</v>
      </c>
    </row>
    <row r="7943">
      <c r="G7943" s="12">
        <f t="shared" ref="G7943:G7948" si="1306">DATE(2012,12,31)-87</f>
        <v>41187</v>
      </c>
    </row>
    <row r="7944">
      <c r="G7944" s="12">
        <f t="shared" si="1306"/>
        <v>41187</v>
      </c>
    </row>
    <row r="7945">
      <c r="G7945" s="12">
        <f t="shared" si="1306"/>
        <v>41187</v>
      </c>
    </row>
    <row r="7946">
      <c r="G7946" s="12">
        <f t="shared" si="1306"/>
        <v>41187</v>
      </c>
    </row>
    <row r="7947">
      <c r="G7947" s="12">
        <f t="shared" si="1306"/>
        <v>41187</v>
      </c>
    </row>
    <row r="7948">
      <c r="G7948" s="12">
        <f t="shared" si="1306"/>
        <v>41187</v>
      </c>
    </row>
    <row r="7949">
      <c r="G7949" s="12">
        <f t="shared" ref="G7949:G7954" si="1307">DATE(2012,12,31)-86</f>
        <v>41188</v>
      </c>
    </row>
    <row r="7950">
      <c r="G7950" s="12">
        <f t="shared" si="1307"/>
        <v>41188</v>
      </c>
    </row>
    <row r="7951">
      <c r="G7951" s="12">
        <f t="shared" si="1307"/>
        <v>41188</v>
      </c>
    </row>
    <row r="7952">
      <c r="G7952" s="12">
        <f t="shared" si="1307"/>
        <v>41188</v>
      </c>
    </row>
    <row r="7953">
      <c r="G7953" s="12">
        <f t="shared" si="1307"/>
        <v>41188</v>
      </c>
    </row>
    <row r="7954">
      <c r="G7954" s="12">
        <f t="shared" si="1307"/>
        <v>41188</v>
      </c>
    </row>
    <row r="7955">
      <c r="G7955" s="12">
        <f t="shared" ref="G7955:G7963" si="1308">DATE(2012,12,31)-85</f>
        <v>41189</v>
      </c>
    </row>
    <row r="7956">
      <c r="G7956" s="12">
        <f t="shared" si="1308"/>
        <v>41189</v>
      </c>
    </row>
    <row r="7957">
      <c r="G7957" s="12">
        <f t="shared" si="1308"/>
        <v>41189</v>
      </c>
    </row>
    <row r="7958">
      <c r="G7958" s="12">
        <f t="shared" si="1308"/>
        <v>41189</v>
      </c>
    </row>
    <row r="7959">
      <c r="G7959" s="12">
        <f t="shared" si="1308"/>
        <v>41189</v>
      </c>
    </row>
    <row r="7960">
      <c r="G7960" s="12">
        <f t="shared" si="1308"/>
        <v>41189</v>
      </c>
    </row>
    <row r="7961">
      <c r="G7961" s="12">
        <f t="shared" si="1308"/>
        <v>41189</v>
      </c>
    </row>
    <row r="7962">
      <c r="G7962" s="12">
        <f t="shared" si="1308"/>
        <v>41189</v>
      </c>
    </row>
    <row r="7963">
      <c r="G7963" s="12">
        <f t="shared" si="1308"/>
        <v>41189</v>
      </c>
    </row>
    <row r="7964">
      <c r="G7964" s="12">
        <f t="shared" ref="G7964:G7968" si="1309">DATE(2012,12,31)-84</f>
        <v>41190</v>
      </c>
    </row>
    <row r="7965">
      <c r="G7965" s="12">
        <f t="shared" si="1309"/>
        <v>41190</v>
      </c>
    </row>
    <row r="7966">
      <c r="G7966" s="12">
        <f t="shared" si="1309"/>
        <v>41190</v>
      </c>
    </row>
    <row r="7967">
      <c r="G7967" s="12">
        <f t="shared" si="1309"/>
        <v>41190</v>
      </c>
    </row>
    <row r="7968">
      <c r="G7968" s="12">
        <f t="shared" si="1309"/>
        <v>41190</v>
      </c>
    </row>
    <row r="7969">
      <c r="G7969" s="12">
        <f t="shared" ref="G7969:G7973" si="1310">DATE(2012,12,31)-83</f>
        <v>41191</v>
      </c>
    </row>
    <row r="7970">
      <c r="G7970" s="12">
        <f t="shared" si="1310"/>
        <v>41191</v>
      </c>
    </row>
    <row r="7971">
      <c r="G7971" s="12">
        <f t="shared" si="1310"/>
        <v>41191</v>
      </c>
    </row>
    <row r="7972">
      <c r="G7972" s="12">
        <f t="shared" si="1310"/>
        <v>41191</v>
      </c>
    </row>
    <row r="7973">
      <c r="G7973" s="12">
        <f t="shared" si="1310"/>
        <v>41191</v>
      </c>
    </row>
    <row r="7974">
      <c r="G7974" s="12">
        <f t="shared" ref="G7974:G7976" si="1311">DATE(2012,12,31)-82</f>
        <v>41192</v>
      </c>
    </row>
    <row r="7975">
      <c r="G7975" s="12">
        <f t="shared" si="1311"/>
        <v>41192</v>
      </c>
    </row>
    <row r="7976">
      <c r="G7976" s="12">
        <f t="shared" si="1311"/>
        <v>41192</v>
      </c>
    </row>
    <row r="7977">
      <c r="G7977" s="12">
        <f t="shared" ref="G7977:G7981" si="1312">DATE(2012,12,31)-81</f>
        <v>41193</v>
      </c>
    </row>
    <row r="7978">
      <c r="G7978" s="12">
        <f t="shared" si="1312"/>
        <v>41193</v>
      </c>
    </row>
    <row r="7979">
      <c r="G7979" s="12">
        <f t="shared" si="1312"/>
        <v>41193</v>
      </c>
    </row>
    <row r="7980">
      <c r="G7980" s="12">
        <f t="shared" si="1312"/>
        <v>41193</v>
      </c>
    </row>
    <row r="7981">
      <c r="G7981" s="12">
        <f t="shared" si="1312"/>
        <v>41193</v>
      </c>
    </row>
    <row r="7982">
      <c r="G7982" s="12">
        <f t="shared" ref="G7982:G7985" si="1313">DATE(2012,12,31)-80</f>
        <v>41194</v>
      </c>
    </row>
    <row r="7983">
      <c r="G7983" s="12">
        <f t="shared" si="1313"/>
        <v>41194</v>
      </c>
    </row>
    <row r="7984">
      <c r="G7984" s="12">
        <f t="shared" si="1313"/>
        <v>41194</v>
      </c>
    </row>
    <row r="7985">
      <c r="G7985" s="12">
        <f t="shared" si="1313"/>
        <v>41194</v>
      </c>
    </row>
    <row r="7986">
      <c r="G7986" s="12">
        <f t="shared" ref="G7986:G7989" si="1314">DATE(2012,12,31)-79</f>
        <v>41195</v>
      </c>
    </row>
    <row r="7987">
      <c r="G7987" s="12">
        <f t="shared" si="1314"/>
        <v>41195</v>
      </c>
    </row>
    <row r="7988">
      <c r="G7988" s="12">
        <f t="shared" si="1314"/>
        <v>41195</v>
      </c>
    </row>
    <row r="7989">
      <c r="G7989" s="12">
        <f t="shared" si="1314"/>
        <v>41195</v>
      </c>
    </row>
    <row r="7990">
      <c r="G7990" s="12">
        <f t="shared" ref="G7990:G7995" si="1315">DATE(2012,12,31)-78</f>
        <v>41196</v>
      </c>
    </row>
    <row r="7991">
      <c r="G7991" s="12">
        <f t="shared" si="1315"/>
        <v>41196</v>
      </c>
    </row>
    <row r="7992">
      <c r="G7992" s="12">
        <f t="shared" si="1315"/>
        <v>41196</v>
      </c>
    </row>
    <row r="7993">
      <c r="G7993" s="12">
        <f t="shared" si="1315"/>
        <v>41196</v>
      </c>
    </row>
    <row r="7994">
      <c r="G7994" s="12">
        <f t="shared" si="1315"/>
        <v>41196</v>
      </c>
    </row>
    <row r="7995">
      <c r="G7995" s="12">
        <f t="shared" si="1315"/>
        <v>41196</v>
      </c>
    </row>
    <row r="7996">
      <c r="G7996" s="12">
        <f t="shared" ref="G7996:G7998" si="1316">DATE(2012,12,31)-77</f>
        <v>41197</v>
      </c>
    </row>
    <row r="7997">
      <c r="G7997" s="12">
        <f t="shared" si="1316"/>
        <v>41197</v>
      </c>
    </row>
    <row r="7998">
      <c r="G7998" s="12">
        <f t="shared" si="1316"/>
        <v>41197</v>
      </c>
    </row>
    <row r="7999">
      <c r="G7999" s="12">
        <f t="shared" ref="G7999:G8004" si="1317">DATE(2012,12,31)-76</f>
        <v>41198</v>
      </c>
    </row>
    <row r="8000">
      <c r="G8000" s="12">
        <f t="shared" si="1317"/>
        <v>41198</v>
      </c>
    </row>
    <row r="8001">
      <c r="G8001" s="12">
        <f t="shared" si="1317"/>
        <v>41198</v>
      </c>
    </row>
    <row r="8002">
      <c r="G8002" s="12">
        <f t="shared" si="1317"/>
        <v>41198</v>
      </c>
    </row>
    <row r="8003">
      <c r="G8003" s="12">
        <f t="shared" si="1317"/>
        <v>41198</v>
      </c>
    </row>
    <row r="8004">
      <c r="G8004" s="12">
        <f t="shared" si="1317"/>
        <v>41198</v>
      </c>
    </row>
    <row r="8005">
      <c r="G8005" s="12">
        <f t="shared" ref="G8005:G8007" si="1318">DATE(2012,12,31)-75</f>
        <v>41199</v>
      </c>
    </row>
    <row r="8006">
      <c r="G8006" s="12">
        <f t="shared" si="1318"/>
        <v>41199</v>
      </c>
    </row>
    <row r="8007">
      <c r="G8007" s="12">
        <f t="shared" si="1318"/>
        <v>41199</v>
      </c>
    </row>
    <row r="8008">
      <c r="G8008" s="12">
        <f t="shared" ref="G8008:G8021" si="1319">DATE(2012,12,31)-74</f>
        <v>41200</v>
      </c>
    </row>
    <row r="8009">
      <c r="G8009" s="12">
        <f t="shared" si="1319"/>
        <v>41200</v>
      </c>
    </row>
    <row r="8010">
      <c r="G8010" s="12">
        <f t="shared" si="1319"/>
        <v>41200</v>
      </c>
    </row>
    <row r="8011">
      <c r="G8011" s="12">
        <f t="shared" si="1319"/>
        <v>41200</v>
      </c>
    </row>
    <row r="8012">
      <c r="G8012" s="12">
        <f t="shared" si="1319"/>
        <v>41200</v>
      </c>
    </row>
    <row r="8013">
      <c r="G8013" s="12">
        <f t="shared" si="1319"/>
        <v>41200</v>
      </c>
    </row>
    <row r="8014">
      <c r="G8014" s="12">
        <f t="shared" si="1319"/>
        <v>41200</v>
      </c>
    </row>
    <row r="8015">
      <c r="G8015" s="12">
        <f t="shared" si="1319"/>
        <v>41200</v>
      </c>
    </row>
    <row r="8016">
      <c r="G8016" s="12">
        <f t="shared" si="1319"/>
        <v>41200</v>
      </c>
    </row>
    <row r="8017">
      <c r="G8017" s="12">
        <f t="shared" si="1319"/>
        <v>41200</v>
      </c>
    </row>
    <row r="8018">
      <c r="G8018" s="12">
        <f t="shared" si="1319"/>
        <v>41200</v>
      </c>
    </row>
    <row r="8019">
      <c r="G8019" s="12">
        <f t="shared" si="1319"/>
        <v>41200</v>
      </c>
    </row>
    <row r="8020">
      <c r="G8020" s="12">
        <f t="shared" si="1319"/>
        <v>41200</v>
      </c>
    </row>
    <row r="8021">
      <c r="G8021" s="12">
        <f t="shared" si="1319"/>
        <v>41200</v>
      </c>
    </row>
    <row r="8022">
      <c r="G8022" s="12">
        <f t="shared" ref="G8022:G8027" si="1320">DATE(2012,12,31)-73</f>
        <v>41201</v>
      </c>
    </row>
    <row r="8023">
      <c r="G8023" s="12">
        <f t="shared" si="1320"/>
        <v>41201</v>
      </c>
    </row>
    <row r="8024">
      <c r="G8024" s="12">
        <f t="shared" si="1320"/>
        <v>41201</v>
      </c>
    </row>
    <row r="8025">
      <c r="G8025" s="12">
        <f t="shared" si="1320"/>
        <v>41201</v>
      </c>
    </row>
    <row r="8026">
      <c r="G8026" s="12">
        <f t="shared" si="1320"/>
        <v>41201</v>
      </c>
    </row>
    <row r="8027">
      <c r="G8027" s="12">
        <f t="shared" si="1320"/>
        <v>41201</v>
      </c>
    </row>
    <row r="8028">
      <c r="G8028" s="12">
        <f t="shared" ref="G8028:G8032" si="1321">DATE(2012,12,31)-72</f>
        <v>41202</v>
      </c>
    </row>
    <row r="8029">
      <c r="G8029" s="12">
        <f t="shared" si="1321"/>
        <v>41202</v>
      </c>
    </row>
    <row r="8030">
      <c r="G8030" s="12">
        <f t="shared" si="1321"/>
        <v>41202</v>
      </c>
    </row>
    <row r="8031">
      <c r="G8031" s="12">
        <f t="shared" si="1321"/>
        <v>41202</v>
      </c>
    </row>
    <row r="8032">
      <c r="G8032" s="12">
        <f t="shared" si="1321"/>
        <v>41202</v>
      </c>
    </row>
    <row r="8033">
      <c r="G8033" s="12">
        <f t="shared" ref="G8033:G8035" si="1322">DATE(2012,12,31)-71</f>
        <v>41203</v>
      </c>
    </row>
    <row r="8034">
      <c r="G8034" s="12">
        <f t="shared" si="1322"/>
        <v>41203</v>
      </c>
    </row>
    <row r="8035">
      <c r="G8035" s="12">
        <f t="shared" si="1322"/>
        <v>41203</v>
      </c>
    </row>
    <row r="8036">
      <c r="G8036" s="12">
        <f t="shared" ref="G8036:G8039" si="1323">DATE(2012,12,31)-70</f>
        <v>41204</v>
      </c>
    </row>
    <row r="8037">
      <c r="G8037" s="12">
        <f t="shared" si="1323"/>
        <v>41204</v>
      </c>
    </row>
    <row r="8038">
      <c r="G8038" s="12">
        <f t="shared" si="1323"/>
        <v>41204</v>
      </c>
    </row>
    <row r="8039">
      <c r="G8039" s="12">
        <f t="shared" si="1323"/>
        <v>41204</v>
      </c>
    </row>
    <row r="8040">
      <c r="G8040" s="12">
        <f t="shared" ref="G8040:G8046" si="1324">DATE(2012,12,31)-69</f>
        <v>41205</v>
      </c>
    </row>
    <row r="8041">
      <c r="G8041" s="12">
        <f t="shared" si="1324"/>
        <v>41205</v>
      </c>
    </row>
    <row r="8042">
      <c r="G8042" s="12">
        <f t="shared" si="1324"/>
        <v>41205</v>
      </c>
    </row>
    <row r="8043">
      <c r="G8043" s="12">
        <f t="shared" si="1324"/>
        <v>41205</v>
      </c>
    </row>
    <row r="8044">
      <c r="G8044" s="12">
        <f t="shared" si="1324"/>
        <v>41205</v>
      </c>
    </row>
    <row r="8045">
      <c r="G8045" s="12">
        <f t="shared" si="1324"/>
        <v>41205</v>
      </c>
    </row>
    <row r="8046">
      <c r="G8046" s="12">
        <f t="shared" si="1324"/>
        <v>41205</v>
      </c>
    </row>
    <row r="8047">
      <c r="G8047" s="12">
        <f t="shared" ref="G8047:G8050" si="1325">DATE(2012,12,31)-68</f>
        <v>41206</v>
      </c>
    </row>
    <row r="8048">
      <c r="G8048" s="12">
        <f t="shared" si="1325"/>
        <v>41206</v>
      </c>
    </row>
    <row r="8049">
      <c r="G8049" s="12">
        <f t="shared" si="1325"/>
        <v>41206</v>
      </c>
    </row>
    <row r="8050">
      <c r="G8050" s="12">
        <f t="shared" si="1325"/>
        <v>41206</v>
      </c>
    </row>
    <row r="8051">
      <c r="G8051" s="12">
        <f t="shared" ref="G8051:G8059" si="1326">DATE(2012,12,31)-67</f>
        <v>41207</v>
      </c>
    </row>
    <row r="8052">
      <c r="G8052" s="12">
        <f t="shared" si="1326"/>
        <v>41207</v>
      </c>
    </row>
    <row r="8053">
      <c r="G8053" s="12">
        <f t="shared" si="1326"/>
        <v>41207</v>
      </c>
    </row>
    <row r="8054">
      <c r="G8054" s="12">
        <f t="shared" si="1326"/>
        <v>41207</v>
      </c>
    </row>
    <row r="8055">
      <c r="G8055" s="12">
        <f t="shared" si="1326"/>
        <v>41207</v>
      </c>
    </row>
    <row r="8056">
      <c r="G8056" s="12">
        <f t="shared" si="1326"/>
        <v>41207</v>
      </c>
    </row>
    <row r="8057">
      <c r="G8057" s="12">
        <f t="shared" si="1326"/>
        <v>41207</v>
      </c>
    </row>
    <row r="8058">
      <c r="G8058" s="12">
        <f t="shared" si="1326"/>
        <v>41207</v>
      </c>
    </row>
    <row r="8059">
      <c r="G8059" s="12">
        <f t="shared" si="1326"/>
        <v>41207</v>
      </c>
    </row>
    <row r="8060">
      <c r="G8060" s="12">
        <f t="shared" ref="G8060:G8067" si="1327">DATE(2012,12,31)-66</f>
        <v>41208</v>
      </c>
    </row>
    <row r="8061">
      <c r="G8061" s="12">
        <f t="shared" si="1327"/>
        <v>41208</v>
      </c>
    </row>
    <row r="8062">
      <c r="G8062" s="12">
        <f t="shared" si="1327"/>
        <v>41208</v>
      </c>
    </row>
    <row r="8063">
      <c r="G8063" s="12">
        <f t="shared" si="1327"/>
        <v>41208</v>
      </c>
    </row>
    <row r="8064">
      <c r="G8064" s="12">
        <f t="shared" si="1327"/>
        <v>41208</v>
      </c>
    </row>
    <row r="8065">
      <c r="G8065" s="12">
        <f t="shared" si="1327"/>
        <v>41208</v>
      </c>
    </row>
    <row r="8066">
      <c r="G8066" s="12">
        <f t="shared" si="1327"/>
        <v>41208</v>
      </c>
    </row>
    <row r="8067">
      <c r="G8067" s="12">
        <f t="shared" si="1327"/>
        <v>41208</v>
      </c>
    </row>
    <row r="8068">
      <c r="G8068" s="12">
        <f t="shared" ref="G8068:G8073" si="1328">DATE(2012,12,31)-65</f>
        <v>41209</v>
      </c>
    </row>
    <row r="8069">
      <c r="G8069" s="12">
        <f t="shared" si="1328"/>
        <v>41209</v>
      </c>
    </row>
    <row r="8070">
      <c r="G8070" s="12">
        <f t="shared" si="1328"/>
        <v>41209</v>
      </c>
    </row>
    <row r="8071">
      <c r="G8071" s="12">
        <f t="shared" si="1328"/>
        <v>41209</v>
      </c>
    </row>
    <row r="8072">
      <c r="G8072" s="12">
        <f t="shared" si="1328"/>
        <v>41209</v>
      </c>
    </row>
    <row r="8073">
      <c r="G8073" s="12">
        <f t="shared" si="1328"/>
        <v>41209</v>
      </c>
    </row>
    <row r="8074">
      <c r="G8074" s="12">
        <f t="shared" ref="G8074:G8082" si="1329">DATE(2012,12,31)-64</f>
        <v>41210</v>
      </c>
    </row>
    <row r="8075">
      <c r="G8075" s="12">
        <f t="shared" si="1329"/>
        <v>41210</v>
      </c>
    </row>
    <row r="8076">
      <c r="G8076" s="12">
        <f t="shared" si="1329"/>
        <v>41210</v>
      </c>
    </row>
    <row r="8077">
      <c r="G8077" s="12">
        <f t="shared" si="1329"/>
        <v>41210</v>
      </c>
    </row>
    <row r="8078">
      <c r="G8078" s="12">
        <f t="shared" si="1329"/>
        <v>41210</v>
      </c>
    </row>
    <row r="8079">
      <c r="G8079" s="12">
        <f t="shared" si="1329"/>
        <v>41210</v>
      </c>
    </row>
    <row r="8080">
      <c r="G8080" s="12">
        <f t="shared" si="1329"/>
        <v>41210</v>
      </c>
    </row>
    <row r="8081">
      <c r="G8081" s="12">
        <f t="shared" si="1329"/>
        <v>41210</v>
      </c>
    </row>
    <row r="8082">
      <c r="G8082" s="12">
        <f t="shared" si="1329"/>
        <v>41210</v>
      </c>
    </row>
    <row r="8083">
      <c r="G8083" s="12">
        <f t="shared" ref="G8083:G8090" si="1330">DATE(2012,12,31)-63</f>
        <v>41211</v>
      </c>
    </row>
    <row r="8084">
      <c r="G8084" s="12">
        <f t="shared" si="1330"/>
        <v>41211</v>
      </c>
    </row>
    <row r="8085">
      <c r="G8085" s="12">
        <f t="shared" si="1330"/>
        <v>41211</v>
      </c>
    </row>
    <row r="8086">
      <c r="G8086" s="12">
        <f t="shared" si="1330"/>
        <v>41211</v>
      </c>
    </row>
    <row r="8087">
      <c r="G8087" s="12">
        <f t="shared" si="1330"/>
        <v>41211</v>
      </c>
    </row>
    <row r="8088">
      <c r="G8088" s="12">
        <f t="shared" si="1330"/>
        <v>41211</v>
      </c>
    </row>
    <row r="8089">
      <c r="G8089" s="12">
        <f t="shared" si="1330"/>
        <v>41211</v>
      </c>
    </row>
    <row r="8090">
      <c r="G8090" s="12">
        <f t="shared" si="1330"/>
        <v>41211</v>
      </c>
    </row>
    <row r="8091">
      <c r="G8091" s="12">
        <f t="shared" ref="G8091:G8106" si="1331">DATE(2012,12,31)-62</f>
        <v>41212</v>
      </c>
    </row>
    <row r="8092">
      <c r="G8092" s="12">
        <f t="shared" si="1331"/>
        <v>41212</v>
      </c>
    </row>
    <row r="8093">
      <c r="G8093" s="12">
        <f t="shared" si="1331"/>
        <v>41212</v>
      </c>
    </row>
    <row r="8094">
      <c r="G8094" s="12">
        <f t="shared" si="1331"/>
        <v>41212</v>
      </c>
    </row>
    <row r="8095">
      <c r="G8095" s="12">
        <f t="shared" si="1331"/>
        <v>41212</v>
      </c>
    </row>
    <row r="8096">
      <c r="G8096" s="12">
        <f t="shared" si="1331"/>
        <v>41212</v>
      </c>
    </row>
    <row r="8097">
      <c r="G8097" s="12">
        <f t="shared" si="1331"/>
        <v>41212</v>
      </c>
    </row>
    <row r="8098">
      <c r="G8098" s="12">
        <f t="shared" si="1331"/>
        <v>41212</v>
      </c>
    </row>
    <row r="8099">
      <c r="G8099" s="12">
        <f t="shared" si="1331"/>
        <v>41212</v>
      </c>
    </row>
    <row r="8100">
      <c r="G8100" s="12">
        <f t="shared" si="1331"/>
        <v>41212</v>
      </c>
    </row>
    <row r="8101">
      <c r="G8101" s="12">
        <f t="shared" si="1331"/>
        <v>41212</v>
      </c>
    </row>
    <row r="8102">
      <c r="G8102" s="12">
        <f t="shared" si="1331"/>
        <v>41212</v>
      </c>
    </row>
    <row r="8103">
      <c r="G8103" s="12">
        <f t="shared" si="1331"/>
        <v>41212</v>
      </c>
    </row>
    <row r="8104">
      <c r="G8104" s="12">
        <f t="shared" si="1331"/>
        <v>41212</v>
      </c>
    </row>
    <row r="8105">
      <c r="G8105" s="12">
        <f t="shared" si="1331"/>
        <v>41212</v>
      </c>
    </row>
    <row r="8106">
      <c r="G8106" s="12">
        <f t="shared" si="1331"/>
        <v>41212</v>
      </c>
    </row>
    <row r="8107">
      <c r="G8107" s="12">
        <f t="shared" ref="G8107:G8112" si="1332">DATE(2012,12,31)-61</f>
        <v>41213</v>
      </c>
    </row>
    <row r="8108">
      <c r="G8108" s="12">
        <f t="shared" si="1332"/>
        <v>41213</v>
      </c>
    </row>
    <row r="8109">
      <c r="G8109" s="12">
        <f t="shared" si="1332"/>
        <v>41213</v>
      </c>
    </row>
    <row r="8110">
      <c r="G8110" s="12">
        <f t="shared" si="1332"/>
        <v>41213</v>
      </c>
    </row>
    <row r="8111">
      <c r="G8111" s="12">
        <f t="shared" si="1332"/>
        <v>41213</v>
      </c>
    </row>
    <row r="8112">
      <c r="G8112" s="12">
        <f t="shared" si="1332"/>
        <v>41213</v>
      </c>
    </row>
    <row r="8113">
      <c r="G8113" s="12">
        <f t="shared" ref="G8113:G8120" si="1333">DATE(2012,12,31)-60</f>
        <v>41214</v>
      </c>
    </row>
    <row r="8114">
      <c r="G8114" s="12">
        <f t="shared" si="1333"/>
        <v>41214</v>
      </c>
    </row>
    <row r="8115">
      <c r="G8115" s="12">
        <f t="shared" si="1333"/>
        <v>41214</v>
      </c>
    </row>
    <row r="8116">
      <c r="G8116" s="12">
        <f t="shared" si="1333"/>
        <v>41214</v>
      </c>
    </row>
    <row r="8117">
      <c r="G8117" s="12">
        <f t="shared" si="1333"/>
        <v>41214</v>
      </c>
    </row>
    <row r="8118">
      <c r="G8118" s="12">
        <f t="shared" si="1333"/>
        <v>41214</v>
      </c>
    </row>
    <row r="8119">
      <c r="G8119" s="12">
        <f t="shared" si="1333"/>
        <v>41214</v>
      </c>
    </row>
    <row r="8120">
      <c r="G8120" s="12">
        <f t="shared" si="1333"/>
        <v>41214</v>
      </c>
    </row>
    <row r="8121">
      <c r="G8121" s="12">
        <f>DATE(2012,12,31)-59</f>
        <v>41215</v>
      </c>
    </row>
    <row r="8122">
      <c r="G8122" s="12">
        <f t="shared" ref="G8122:G8124" si="1334">DATE(2012,12,31)-58</f>
        <v>41216</v>
      </c>
    </row>
    <row r="8123">
      <c r="G8123" s="12">
        <f t="shared" si="1334"/>
        <v>41216</v>
      </c>
    </row>
    <row r="8124">
      <c r="G8124" s="12">
        <f t="shared" si="1334"/>
        <v>41216</v>
      </c>
    </row>
    <row r="8125">
      <c r="G8125" s="12">
        <f t="shared" ref="G8125:G8126" si="1335">DATE(2012,12,31)-57</f>
        <v>41217</v>
      </c>
    </row>
    <row r="8126">
      <c r="G8126" s="12">
        <f t="shared" si="1335"/>
        <v>41217</v>
      </c>
    </row>
    <row r="8127">
      <c r="G8127" s="12">
        <f t="shared" ref="G8127:G8129" si="1336">DATE(2012,12,31)-56</f>
        <v>41218</v>
      </c>
    </row>
    <row r="8128">
      <c r="G8128" s="12">
        <f t="shared" si="1336"/>
        <v>41218</v>
      </c>
    </row>
    <row r="8129">
      <c r="G8129" s="12">
        <f t="shared" si="1336"/>
        <v>41218</v>
      </c>
    </row>
    <row r="8130">
      <c r="G8130" s="12">
        <f t="shared" ref="G8130:G8134" si="1337">DATE(2012,12,31)-55</f>
        <v>41219</v>
      </c>
    </row>
    <row r="8131">
      <c r="G8131" s="12">
        <f t="shared" si="1337"/>
        <v>41219</v>
      </c>
    </row>
    <row r="8132">
      <c r="G8132" s="12">
        <f t="shared" si="1337"/>
        <v>41219</v>
      </c>
    </row>
    <row r="8133">
      <c r="G8133" s="12">
        <f t="shared" si="1337"/>
        <v>41219</v>
      </c>
    </row>
    <row r="8134">
      <c r="G8134" s="12">
        <f t="shared" si="1337"/>
        <v>41219</v>
      </c>
    </row>
    <row r="8135">
      <c r="G8135" s="12">
        <f t="shared" ref="G8135:G8137" si="1338">DATE(2012,12,31)-54</f>
        <v>41220</v>
      </c>
    </row>
    <row r="8136">
      <c r="G8136" s="12">
        <f t="shared" si="1338"/>
        <v>41220</v>
      </c>
    </row>
    <row r="8137">
      <c r="G8137" s="12">
        <f t="shared" si="1338"/>
        <v>41220</v>
      </c>
    </row>
    <row r="8138">
      <c r="G8138" s="12">
        <f t="shared" ref="G8138:G8143" si="1339">DATE(2012,12,31)-53</f>
        <v>41221</v>
      </c>
    </row>
    <row r="8139">
      <c r="G8139" s="12">
        <f t="shared" si="1339"/>
        <v>41221</v>
      </c>
    </row>
    <row r="8140">
      <c r="G8140" s="12">
        <f t="shared" si="1339"/>
        <v>41221</v>
      </c>
    </row>
    <row r="8141">
      <c r="G8141" s="12">
        <f t="shared" si="1339"/>
        <v>41221</v>
      </c>
    </row>
    <row r="8142">
      <c r="G8142" s="12">
        <f t="shared" si="1339"/>
        <v>41221</v>
      </c>
    </row>
    <row r="8143">
      <c r="G8143" s="12">
        <f t="shared" si="1339"/>
        <v>41221</v>
      </c>
    </row>
    <row r="8144">
      <c r="G8144" s="12">
        <f t="shared" ref="G8144:G8149" si="1340">DATE(2012,12,31)-52</f>
        <v>41222</v>
      </c>
    </row>
    <row r="8145">
      <c r="G8145" s="12">
        <f t="shared" si="1340"/>
        <v>41222</v>
      </c>
    </row>
    <row r="8146">
      <c r="G8146" s="12">
        <f t="shared" si="1340"/>
        <v>41222</v>
      </c>
    </row>
    <row r="8147">
      <c r="G8147" s="12">
        <f t="shared" si="1340"/>
        <v>41222</v>
      </c>
    </row>
    <row r="8148">
      <c r="G8148" s="12">
        <f t="shared" si="1340"/>
        <v>41222</v>
      </c>
    </row>
    <row r="8149">
      <c r="G8149" s="12">
        <f t="shared" si="1340"/>
        <v>41222</v>
      </c>
    </row>
    <row r="8150">
      <c r="G8150" s="12">
        <f t="shared" ref="G8150:G8161" si="1341">DATE(2012,12,31)-51</f>
        <v>41223</v>
      </c>
    </row>
    <row r="8151">
      <c r="G8151" s="12">
        <f t="shared" si="1341"/>
        <v>41223</v>
      </c>
    </row>
    <row r="8152">
      <c r="G8152" s="12">
        <f t="shared" si="1341"/>
        <v>41223</v>
      </c>
    </row>
    <row r="8153">
      <c r="G8153" s="12">
        <f t="shared" si="1341"/>
        <v>41223</v>
      </c>
    </row>
    <row r="8154">
      <c r="G8154" s="12">
        <f t="shared" si="1341"/>
        <v>41223</v>
      </c>
    </row>
    <row r="8155">
      <c r="G8155" s="12">
        <f t="shared" si="1341"/>
        <v>41223</v>
      </c>
    </row>
    <row r="8156">
      <c r="G8156" s="12">
        <f t="shared" si="1341"/>
        <v>41223</v>
      </c>
    </row>
    <row r="8157">
      <c r="G8157" s="12">
        <f t="shared" si="1341"/>
        <v>41223</v>
      </c>
    </row>
    <row r="8158">
      <c r="G8158" s="12">
        <f t="shared" si="1341"/>
        <v>41223</v>
      </c>
    </row>
    <row r="8159">
      <c r="G8159" s="12">
        <f t="shared" si="1341"/>
        <v>41223</v>
      </c>
    </row>
    <row r="8160">
      <c r="G8160" s="12">
        <f t="shared" si="1341"/>
        <v>41223</v>
      </c>
    </row>
    <row r="8161">
      <c r="G8161" s="12">
        <f t="shared" si="1341"/>
        <v>41223</v>
      </c>
    </row>
    <row r="8162">
      <c r="G8162" s="12">
        <f t="shared" ref="G8162:G8167" si="1342">DATE(2012,12,31)-50</f>
        <v>41224</v>
      </c>
    </row>
    <row r="8163">
      <c r="G8163" s="12">
        <f t="shared" si="1342"/>
        <v>41224</v>
      </c>
    </row>
    <row r="8164">
      <c r="G8164" s="12">
        <f t="shared" si="1342"/>
        <v>41224</v>
      </c>
    </row>
    <row r="8165">
      <c r="G8165" s="12">
        <f t="shared" si="1342"/>
        <v>41224</v>
      </c>
    </row>
    <row r="8166">
      <c r="G8166" s="12">
        <f t="shared" si="1342"/>
        <v>41224</v>
      </c>
    </row>
    <row r="8167">
      <c r="G8167" s="12">
        <f t="shared" si="1342"/>
        <v>41224</v>
      </c>
    </row>
    <row r="8168">
      <c r="G8168" s="12">
        <f>DATE(2012,12,31)-49</f>
        <v>41225</v>
      </c>
    </row>
    <row r="8169">
      <c r="G8169" s="12">
        <f t="shared" ref="G8169:G8171" si="1343">DATE(2012,12,31)-48</f>
        <v>41226</v>
      </c>
    </row>
    <row r="8170">
      <c r="G8170" s="12">
        <f t="shared" si="1343"/>
        <v>41226</v>
      </c>
    </row>
    <row r="8171">
      <c r="G8171" s="12">
        <f t="shared" si="1343"/>
        <v>41226</v>
      </c>
    </row>
    <row r="8172">
      <c r="G8172" s="12">
        <f>DATE(2012,12,31)-47</f>
        <v>41227</v>
      </c>
    </row>
    <row r="8173">
      <c r="G8173" s="12">
        <f t="shared" ref="G8173:G8178" si="1344">DATE(2012,12,31)-46</f>
        <v>41228</v>
      </c>
    </row>
    <row r="8174">
      <c r="G8174" s="12">
        <f t="shared" si="1344"/>
        <v>41228</v>
      </c>
    </row>
    <row r="8175">
      <c r="G8175" s="12">
        <f t="shared" si="1344"/>
        <v>41228</v>
      </c>
    </row>
    <row r="8176">
      <c r="G8176" s="12">
        <f t="shared" si="1344"/>
        <v>41228</v>
      </c>
    </row>
    <row r="8177">
      <c r="G8177" s="12">
        <f t="shared" si="1344"/>
        <v>41228</v>
      </c>
    </row>
    <row r="8178">
      <c r="G8178" s="12">
        <f t="shared" si="1344"/>
        <v>41228</v>
      </c>
    </row>
    <row r="8179">
      <c r="G8179" s="12">
        <f t="shared" ref="G8179:G8180" si="1345">DATE(2012,12,31)-45</f>
        <v>41229</v>
      </c>
    </row>
    <row r="8180">
      <c r="G8180" s="12">
        <f t="shared" si="1345"/>
        <v>41229</v>
      </c>
    </row>
    <row r="8181">
      <c r="G8181" s="12">
        <f t="shared" ref="G8181:G8182" si="1346">DATE(2012,12,31)-44</f>
        <v>41230</v>
      </c>
    </row>
    <row r="8182">
      <c r="G8182" s="12">
        <f t="shared" si="1346"/>
        <v>41230</v>
      </c>
    </row>
    <row r="8183">
      <c r="G8183" s="12">
        <f t="shared" ref="G8183:G8187" si="1347">DATE(2012,12,31)-43</f>
        <v>41231</v>
      </c>
    </row>
    <row r="8184">
      <c r="G8184" s="12">
        <f t="shared" si="1347"/>
        <v>41231</v>
      </c>
    </row>
    <row r="8185">
      <c r="G8185" s="12">
        <f t="shared" si="1347"/>
        <v>41231</v>
      </c>
    </row>
    <row r="8186">
      <c r="G8186" s="12">
        <f t="shared" si="1347"/>
        <v>41231</v>
      </c>
    </row>
    <row r="8187">
      <c r="G8187" s="12">
        <f t="shared" si="1347"/>
        <v>41231</v>
      </c>
    </row>
    <row r="8188">
      <c r="G8188" s="12">
        <f t="shared" ref="G8188:G8195" si="1348">DATE(2012,12,31)-42</f>
        <v>41232</v>
      </c>
    </row>
    <row r="8189">
      <c r="G8189" s="12">
        <f t="shared" si="1348"/>
        <v>41232</v>
      </c>
    </row>
    <row r="8190">
      <c r="G8190" s="12">
        <f t="shared" si="1348"/>
        <v>41232</v>
      </c>
    </row>
    <row r="8191">
      <c r="G8191" s="12">
        <f t="shared" si="1348"/>
        <v>41232</v>
      </c>
    </row>
    <row r="8192">
      <c r="G8192" s="12">
        <f t="shared" si="1348"/>
        <v>41232</v>
      </c>
    </row>
    <row r="8193">
      <c r="G8193" s="12">
        <f t="shared" si="1348"/>
        <v>41232</v>
      </c>
    </row>
    <row r="8194">
      <c r="G8194" s="12">
        <f t="shared" si="1348"/>
        <v>41232</v>
      </c>
    </row>
    <row r="8195">
      <c r="G8195" s="12">
        <f t="shared" si="1348"/>
        <v>41232</v>
      </c>
    </row>
    <row r="8196">
      <c r="G8196" s="12">
        <f t="shared" ref="G8196:G8199" si="1349">DATE(2012,12,31)-41</f>
        <v>41233</v>
      </c>
    </row>
    <row r="8197">
      <c r="G8197" s="12">
        <f t="shared" si="1349"/>
        <v>41233</v>
      </c>
    </row>
    <row r="8198">
      <c r="G8198" s="12">
        <f t="shared" si="1349"/>
        <v>41233</v>
      </c>
    </row>
    <row r="8199">
      <c r="G8199" s="12">
        <f t="shared" si="1349"/>
        <v>41233</v>
      </c>
    </row>
    <row r="8200">
      <c r="G8200" s="12">
        <f t="shared" ref="G8200:G8204" si="1350">DATE(2012,12,31)-40</f>
        <v>41234</v>
      </c>
    </row>
    <row r="8201">
      <c r="G8201" s="12">
        <f t="shared" si="1350"/>
        <v>41234</v>
      </c>
    </row>
    <row r="8202">
      <c r="G8202" s="12">
        <f t="shared" si="1350"/>
        <v>41234</v>
      </c>
    </row>
    <row r="8203">
      <c r="G8203" s="12">
        <f t="shared" si="1350"/>
        <v>41234</v>
      </c>
    </row>
    <row r="8204">
      <c r="G8204" s="12">
        <f t="shared" si="1350"/>
        <v>41234</v>
      </c>
    </row>
    <row r="8205">
      <c r="G8205" s="12">
        <f t="shared" ref="G8205:G8207" si="1351">DATE(2012,12,31)-39</f>
        <v>41235</v>
      </c>
    </row>
    <row r="8206">
      <c r="G8206" s="12">
        <f t="shared" si="1351"/>
        <v>41235</v>
      </c>
    </row>
    <row r="8207">
      <c r="G8207" s="12">
        <f t="shared" si="1351"/>
        <v>41235</v>
      </c>
    </row>
    <row r="8208">
      <c r="G8208" s="12">
        <f t="shared" ref="G8208:G8210" si="1352">DATE(2012,12,31)-38</f>
        <v>41236</v>
      </c>
    </row>
    <row r="8209">
      <c r="G8209" s="12">
        <f t="shared" si="1352"/>
        <v>41236</v>
      </c>
    </row>
    <row r="8210">
      <c r="G8210" s="12">
        <f t="shared" si="1352"/>
        <v>41236</v>
      </c>
    </row>
    <row r="8211">
      <c r="G8211" s="12">
        <f t="shared" ref="G8211:G8216" si="1353">DATE(2012,12,31)-37</f>
        <v>41237</v>
      </c>
    </row>
    <row r="8212">
      <c r="G8212" s="12">
        <f t="shared" si="1353"/>
        <v>41237</v>
      </c>
    </row>
    <row r="8213">
      <c r="G8213" s="12">
        <f t="shared" si="1353"/>
        <v>41237</v>
      </c>
    </row>
    <row r="8214">
      <c r="G8214" s="12">
        <f t="shared" si="1353"/>
        <v>41237</v>
      </c>
    </row>
    <row r="8215">
      <c r="G8215" s="12">
        <f t="shared" si="1353"/>
        <v>41237</v>
      </c>
    </row>
    <row r="8216">
      <c r="G8216" s="12">
        <f t="shared" si="1353"/>
        <v>41237</v>
      </c>
    </row>
    <row r="8217">
      <c r="G8217" s="12">
        <f t="shared" ref="G8217:G8219" si="1354">DATE(2012,12,31)-36</f>
        <v>41238</v>
      </c>
    </row>
    <row r="8218">
      <c r="G8218" s="12">
        <f t="shared" si="1354"/>
        <v>41238</v>
      </c>
    </row>
    <row r="8219">
      <c r="G8219" s="12">
        <f t="shared" si="1354"/>
        <v>41238</v>
      </c>
    </row>
    <row r="8220">
      <c r="G8220" s="12">
        <f t="shared" ref="G8220:G8226" si="1355">DATE(2012,12,31)-35</f>
        <v>41239</v>
      </c>
    </row>
    <row r="8221">
      <c r="G8221" s="12">
        <f t="shared" si="1355"/>
        <v>41239</v>
      </c>
    </row>
    <row r="8222">
      <c r="G8222" s="12">
        <f t="shared" si="1355"/>
        <v>41239</v>
      </c>
    </row>
    <row r="8223">
      <c r="G8223" s="12">
        <f t="shared" si="1355"/>
        <v>41239</v>
      </c>
    </row>
    <row r="8224">
      <c r="G8224" s="12">
        <f t="shared" si="1355"/>
        <v>41239</v>
      </c>
    </row>
    <row r="8225">
      <c r="G8225" s="12">
        <f t="shared" si="1355"/>
        <v>41239</v>
      </c>
    </row>
    <row r="8226">
      <c r="G8226" s="12">
        <f t="shared" si="1355"/>
        <v>41239</v>
      </c>
    </row>
    <row r="8227">
      <c r="G8227" s="12">
        <f>DATE(2012,12,31)-34</f>
        <v>41240</v>
      </c>
    </row>
    <row r="8228">
      <c r="G8228" s="12">
        <f t="shared" ref="G8228:G8234" si="1356">DATE(2012,12,31)-33</f>
        <v>41241</v>
      </c>
    </row>
    <row r="8229">
      <c r="G8229" s="12">
        <f t="shared" si="1356"/>
        <v>41241</v>
      </c>
    </row>
    <row r="8230">
      <c r="G8230" s="12">
        <f t="shared" si="1356"/>
        <v>41241</v>
      </c>
    </row>
    <row r="8231">
      <c r="G8231" s="12">
        <f t="shared" si="1356"/>
        <v>41241</v>
      </c>
    </row>
    <row r="8232">
      <c r="G8232" s="12">
        <f t="shared" si="1356"/>
        <v>41241</v>
      </c>
    </row>
    <row r="8233">
      <c r="G8233" s="12">
        <f t="shared" si="1356"/>
        <v>41241</v>
      </c>
    </row>
    <row r="8234">
      <c r="G8234" s="12">
        <f t="shared" si="1356"/>
        <v>41241</v>
      </c>
    </row>
    <row r="8235">
      <c r="G8235" s="12">
        <f t="shared" ref="G8235:G8238" si="1357">DATE(2012,12,31)-32</f>
        <v>41242</v>
      </c>
    </row>
    <row r="8236">
      <c r="G8236" s="12">
        <f t="shared" si="1357"/>
        <v>41242</v>
      </c>
    </row>
    <row r="8237">
      <c r="G8237" s="12">
        <f t="shared" si="1357"/>
        <v>41242</v>
      </c>
    </row>
    <row r="8238">
      <c r="G8238" s="12">
        <f t="shared" si="1357"/>
        <v>41242</v>
      </c>
    </row>
    <row r="8239">
      <c r="G8239" s="12">
        <f t="shared" ref="G8239:G8244" si="1358">DATE(2012,12,31)-31</f>
        <v>41243</v>
      </c>
    </row>
    <row r="8240">
      <c r="G8240" s="12">
        <f t="shared" si="1358"/>
        <v>41243</v>
      </c>
    </row>
    <row r="8241">
      <c r="G8241" s="12">
        <f t="shared" si="1358"/>
        <v>41243</v>
      </c>
    </row>
    <row r="8242">
      <c r="G8242" s="12">
        <f t="shared" si="1358"/>
        <v>41243</v>
      </c>
    </row>
    <row r="8243">
      <c r="G8243" s="12">
        <f t="shared" si="1358"/>
        <v>41243</v>
      </c>
    </row>
    <row r="8244">
      <c r="G8244" s="12">
        <f t="shared" si="1358"/>
        <v>41243</v>
      </c>
    </row>
    <row r="8245">
      <c r="G8245" s="12">
        <f t="shared" ref="G8245:G8249" si="1359">DATE(2012,12,31)-30</f>
        <v>41244</v>
      </c>
    </row>
    <row r="8246">
      <c r="G8246" s="12">
        <f t="shared" si="1359"/>
        <v>41244</v>
      </c>
    </row>
    <row r="8247">
      <c r="G8247" s="12">
        <f t="shared" si="1359"/>
        <v>41244</v>
      </c>
    </row>
    <row r="8248">
      <c r="G8248" s="12">
        <f t="shared" si="1359"/>
        <v>41244</v>
      </c>
    </row>
    <row r="8249">
      <c r="G8249" s="12">
        <f t="shared" si="1359"/>
        <v>41244</v>
      </c>
    </row>
    <row r="8250">
      <c r="G8250" s="12">
        <f t="shared" ref="G8250:G8259" si="1360">DATE(2012,12,31)-29</f>
        <v>41245</v>
      </c>
    </row>
    <row r="8251">
      <c r="G8251" s="12">
        <f t="shared" si="1360"/>
        <v>41245</v>
      </c>
    </row>
    <row r="8252">
      <c r="G8252" s="12">
        <f t="shared" si="1360"/>
        <v>41245</v>
      </c>
    </row>
    <row r="8253">
      <c r="G8253" s="12">
        <f t="shared" si="1360"/>
        <v>41245</v>
      </c>
    </row>
    <row r="8254">
      <c r="G8254" s="12">
        <f t="shared" si="1360"/>
        <v>41245</v>
      </c>
    </row>
    <row r="8255">
      <c r="G8255" s="12">
        <f t="shared" si="1360"/>
        <v>41245</v>
      </c>
    </row>
    <row r="8256">
      <c r="G8256" s="12">
        <f t="shared" si="1360"/>
        <v>41245</v>
      </c>
    </row>
    <row r="8257">
      <c r="G8257" s="12">
        <f t="shared" si="1360"/>
        <v>41245</v>
      </c>
    </row>
    <row r="8258">
      <c r="G8258" s="12">
        <f t="shared" si="1360"/>
        <v>41245</v>
      </c>
    </row>
    <row r="8259">
      <c r="G8259" s="12">
        <f t="shared" si="1360"/>
        <v>41245</v>
      </c>
    </row>
    <row r="8260">
      <c r="G8260" s="12">
        <f t="shared" ref="G8260:G8266" si="1361">DATE(2012,12,31)-28</f>
        <v>41246</v>
      </c>
    </row>
    <row r="8261">
      <c r="G8261" s="12">
        <f t="shared" si="1361"/>
        <v>41246</v>
      </c>
    </row>
    <row r="8262">
      <c r="G8262" s="12">
        <f t="shared" si="1361"/>
        <v>41246</v>
      </c>
    </row>
    <row r="8263">
      <c r="G8263" s="12">
        <f t="shared" si="1361"/>
        <v>41246</v>
      </c>
    </row>
    <row r="8264">
      <c r="G8264" s="12">
        <f t="shared" si="1361"/>
        <v>41246</v>
      </c>
    </row>
    <row r="8265">
      <c r="G8265" s="12">
        <f t="shared" si="1361"/>
        <v>41246</v>
      </c>
    </row>
    <row r="8266">
      <c r="G8266" s="12">
        <f t="shared" si="1361"/>
        <v>41246</v>
      </c>
    </row>
    <row r="8267">
      <c r="G8267" s="12">
        <f t="shared" ref="G8267:G8273" si="1362">DATE(2012,12,31)-27</f>
        <v>41247</v>
      </c>
    </row>
    <row r="8268">
      <c r="G8268" s="12">
        <f t="shared" si="1362"/>
        <v>41247</v>
      </c>
    </row>
    <row r="8269">
      <c r="G8269" s="12">
        <f t="shared" si="1362"/>
        <v>41247</v>
      </c>
    </row>
    <row r="8270">
      <c r="G8270" s="12">
        <f t="shared" si="1362"/>
        <v>41247</v>
      </c>
    </row>
    <row r="8271">
      <c r="G8271" s="12">
        <f t="shared" si="1362"/>
        <v>41247</v>
      </c>
    </row>
    <row r="8272">
      <c r="G8272" s="12">
        <f t="shared" si="1362"/>
        <v>41247</v>
      </c>
    </row>
    <row r="8273">
      <c r="G8273" s="12">
        <f t="shared" si="1362"/>
        <v>41247</v>
      </c>
    </row>
    <row r="8274">
      <c r="G8274" s="12">
        <f t="shared" ref="G8274:G8275" si="1363">DATE(2012,12,31)-26</f>
        <v>41248</v>
      </c>
    </row>
    <row r="8275">
      <c r="G8275" s="12">
        <f t="shared" si="1363"/>
        <v>41248</v>
      </c>
    </row>
    <row r="8276">
      <c r="G8276" s="12">
        <f t="shared" ref="G8276:G8278" si="1364">DATE(2012,12,31)-25</f>
        <v>41249</v>
      </c>
    </row>
    <row r="8277">
      <c r="G8277" s="12">
        <f t="shared" si="1364"/>
        <v>41249</v>
      </c>
    </row>
    <row r="8278">
      <c r="G8278" s="12">
        <f t="shared" si="1364"/>
        <v>41249</v>
      </c>
    </row>
    <row r="8279">
      <c r="G8279" s="12">
        <f t="shared" ref="G8279:G8280" si="1365">DATE(2012,12,31)-24</f>
        <v>41250</v>
      </c>
    </row>
    <row r="8280">
      <c r="G8280" s="12">
        <f t="shared" si="1365"/>
        <v>41250</v>
      </c>
    </row>
    <row r="8281">
      <c r="G8281" s="12">
        <f t="shared" ref="G8281:G8284" si="1366">DATE(2012,12,31)-23</f>
        <v>41251</v>
      </c>
    </row>
    <row r="8282">
      <c r="G8282" s="12">
        <f t="shared" si="1366"/>
        <v>41251</v>
      </c>
    </row>
    <row r="8283">
      <c r="G8283" s="12">
        <f t="shared" si="1366"/>
        <v>41251</v>
      </c>
    </row>
    <row r="8284">
      <c r="G8284" s="12">
        <f t="shared" si="1366"/>
        <v>41251</v>
      </c>
    </row>
    <row r="8285">
      <c r="G8285" s="12">
        <f t="shared" ref="G8285:G8298" si="1367">DATE(2012,12,31)-22</f>
        <v>41252</v>
      </c>
    </row>
    <row r="8286">
      <c r="G8286" s="12">
        <f t="shared" si="1367"/>
        <v>41252</v>
      </c>
    </row>
    <row r="8287">
      <c r="G8287" s="12">
        <f t="shared" si="1367"/>
        <v>41252</v>
      </c>
    </row>
    <row r="8288">
      <c r="G8288" s="12">
        <f t="shared" si="1367"/>
        <v>41252</v>
      </c>
    </row>
    <row r="8289">
      <c r="G8289" s="12">
        <f t="shared" si="1367"/>
        <v>41252</v>
      </c>
    </row>
    <row r="8290">
      <c r="G8290" s="12">
        <f t="shared" si="1367"/>
        <v>41252</v>
      </c>
    </row>
    <row r="8291">
      <c r="G8291" s="12">
        <f t="shared" si="1367"/>
        <v>41252</v>
      </c>
    </row>
    <row r="8292">
      <c r="G8292" s="12">
        <f t="shared" si="1367"/>
        <v>41252</v>
      </c>
    </row>
    <row r="8293">
      <c r="G8293" s="12">
        <f t="shared" si="1367"/>
        <v>41252</v>
      </c>
    </row>
    <row r="8294">
      <c r="G8294" s="12">
        <f t="shared" si="1367"/>
        <v>41252</v>
      </c>
    </row>
    <row r="8295">
      <c r="G8295" s="12">
        <f t="shared" si="1367"/>
        <v>41252</v>
      </c>
    </row>
    <row r="8296">
      <c r="G8296" s="12">
        <f t="shared" si="1367"/>
        <v>41252</v>
      </c>
    </row>
    <row r="8297">
      <c r="G8297" s="12">
        <f t="shared" si="1367"/>
        <v>41252</v>
      </c>
    </row>
    <row r="8298">
      <c r="G8298" s="12">
        <f t="shared" si="1367"/>
        <v>41252</v>
      </c>
    </row>
    <row r="8299">
      <c r="G8299" s="12">
        <f t="shared" ref="G8299:G8309" si="1368">DATE(2012,12,31)-21</f>
        <v>41253</v>
      </c>
    </row>
    <row r="8300">
      <c r="G8300" s="12">
        <f t="shared" si="1368"/>
        <v>41253</v>
      </c>
    </row>
    <row r="8301">
      <c r="G8301" s="12">
        <f t="shared" si="1368"/>
        <v>41253</v>
      </c>
    </row>
    <row r="8302">
      <c r="G8302" s="12">
        <f t="shared" si="1368"/>
        <v>41253</v>
      </c>
    </row>
    <row r="8303">
      <c r="G8303" s="12">
        <f t="shared" si="1368"/>
        <v>41253</v>
      </c>
    </row>
    <row r="8304">
      <c r="G8304" s="12">
        <f t="shared" si="1368"/>
        <v>41253</v>
      </c>
    </row>
    <row r="8305">
      <c r="G8305" s="12">
        <f t="shared" si="1368"/>
        <v>41253</v>
      </c>
    </row>
    <row r="8306">
      <c r="G8306" s="12">
        <f t="shared" si="1368"/>
        <v>41253</v>
      </c>
    </row>
    <row r="8307">
      <c r="G8307" s="12">
        <f t="shared" si="1368"/>
        <v>41253</v>
      </c>
    </row>
    <row r="8308">
      <c r="G8308" s="12">
        <f t="shared" si="1368"/>
        <v>41253</v>
      </c>
    </row>
    <row r="8309">
      <c r="G8309" s="12">
        <f t="shared" si="1368"/>
        <v>41253</v>
      </c>
    </row>
    <row r="8310">
      <c r="G8310" s="12">
        <f t="shared" ref="G8310:G8318" si="1369">DATE(2012,12,31)-20</f>
        <v>41254</v>
      </c>
    </row>
    <row r="8311">
      <c r="G8311" s="12">
        <f t="shared" si="1369"/>
        <v>41254</v>
      </c>
    </row>
    <row r="8312">
      <c r="G8312" s="12">
        <f t="shared" si="1369"/>
        <v>41254</v>
      </c>
    </row>
    <row r="8313">
      <c r="G8313" s="12">
        <f t="shared" si="1369"/>
        <v>41254</v>
      </c>
    </row>
    <row r="8314">
      <c r="G8314" s="12">
        <f t="shared" si="1369"/>
        <v>41254</v>
      </c>
    </row>
    <row r="8315">
      <c r="G8315" s="12">
        <f t="shared" si="1369"/>
        <v>41254</v>
      </c>
    </row>
    <row r="8316">
      <c r="G8316" s="12">
        <f t="shared" si="1369"/>
        <v>41254</v>
      </c>
    </row>
    <row r="8317">
      <c r="G8317" s="12">
        <f t="shared" si="1369"/>
        <v>41254</v>
      </c>
    </row>
    <row r="8318">
      <c r="G8318" s="12">
        <f t="shared" si="1369"/>
        <v>41254</v>
      </c>
    </row>
    <row r="8319">
      <c r="G8319" s="12">
        <f t="shared" ref="G8319:G8325" si="1370">DATE(2012,12,31)-19</f>
        <v>41255</v>
      </c>
    </row>
    <row r="8320">
      <c r="G8320" s="12">
        <f t="shared" si="1370"/>
        <v>41255</v>
      </c>
    </row>
    <row r="8321">
      <c r="G8321" s="12">
        <f t="shared" si="1370"/>
        <v>41255</v>
      </c>
    </row>
    <row r="8322">
      <c r="G8322" s="12">
        <f t="shared" si="1370"/>
        <v>41255</v>
      </c>
    </row>
    <row r="8323">
      <c r="G8323" s="12">
        <f t="shared" si="1370"/>
        <v>41255</v>
      </c>
    </row>
    <row r="8324">
      <c r="G8324" s="12">
        <f t="shared" si="1370"/>
        <v>41255</v>
      </c>
    </row>
    <row r="8325">
      <c r="G8325" s="12">
        <f t="shared" si="1370"/>
        <v>41255</v>
      </c>
    </row>
    <row r="8326">
      <c r="G8326" s="12">
        <f t="shared" ref="G8326:G8327" si="1371">DATE(2012,12,31)-18</f>
        <v>41256</v>
      </c>
    </row>
    <row r="8327">
      <c r="G8327" s="12">
        <f t="shared" si="1371"/>
        <v>41256</v>
      </c>
    </row>
    <row r="8328">
      <c r="G8328" s="12">
        <f>DATE(2012,12,31)-17</f>
        <v>41257</v>
      </c>
    </row>
    <row r="8329">
      <c r="G8329" s="12">
        <f t="shared" ref="G8329:G8334" si="1372">DATE(2012,12,31)-16</f>
        <v>41258</v>
      </c>
    </row>
    <row r="8330">
      <c r="G8330" s="12">
        <f t="shared" si="1372"/>
        <v>41258</v>
      </c>
    </row>
    <row r="8331">
      <c r="G8331" s="12">
        <f t="shared" si="1372"/>
        <v>41258</v>
      </c>
    </row>
    <row r="8332">
      <c r="G8332" s="12">
        <f t="shared" si="1372"/>
        <v>41258</v>
      </c>
    </row>
    <row r="8333">
      <c r="G8333" s="12">
        <f t="shared" si="1372"/>
        <v>41258</v>
      </c>
    </row>
    <row r="8334">
      <c r="G8334" s="12">
        <f t="shared" si="1372"/>
        <v>41258</v>
      </c>
    </row>
    <row r="8335">
      <c r="G8335" s="12">
        <f t="shared" ref="G8335:G8340" si="1373">DATE(2012,12,31)-15</f>
        <v>41259</v>
      </c>
    </row>
    <row r="8336">
      <c r="G8336" s="12">
        <f t="shared" si="1373"/>
        <v>41259</v>
      </c>
    </row>
    <row r="8337">
      <c r="G8337" s="12">
        <f t="shared" si="1373"/>
        <v>41259</v>
      </c>
    </row>
    <row r="8338">
      <c r="G8338" s="12">
        <f t="shared" si="1373"/>
        <v>41259</v>
      </c>
    </row>
    <row r="8339">
      <c r="G8339" s="12">
        <f t="shared" si="1373"/>
        <v>41259</v>
      </c>
    </row>
    <row r="8340">
      <c r="G8340" s="12">
        <f t="shared" si="1373"/>
        <v>41259</v>
      </c>
    </row>
    <row r="8341">
      <c r="G8341" s="12">
        <f>DATE(2012,12,31)-14</f>
        <v>41260</v>
      </c>
    </row>
    <row r="8342">
      <c r="G8342" s="12">
        <f t="shared" ref="G8342:G8346" si="1374">DATE(2012,12,31)-13</f>
        <v>41261</v>
      </c>
    </row>
    <row r="8343">
      <c r="G8343" s="12">
        <f t="shared" si="1374"/>
        <v>41261</v>
      </c>
    </row>
    <row r="8344">
      <c r="G8344" s="12">
        <f t="shared" si="1374"/>
        <v>41261</v>
      </c>
    </row>
    <row r="8345">
      <c r="G8345" s="12">
        <f t="shared" si="1374"/>
        <v>41261</v>
      </c>
    </row>
    <row r="8346">
      <c r="G8346" s="12">
        <f t="shared" si="1374"/>
        <v>41261</v>
      </c>
    </row>
    <row r="8347">
      <c r="G8347" s="12">
        <f t="shared" ref="G8347:G8348" si="1375">DATE(2012,12,31)-12</f>
        <v>41262</v>
      </c>
    </row>
    <row r="8348">
      <c r="G8348" s="12">
        <f t="shared" si="1375"/>
        <v>41262</v>
      </c>
    </row>
    <row r="8349">
      <c r="G8349" s="12">
        <f t="shared" ref="G8349:G8353" si="1376">DATE(2012,12,31)-11</f>
        <v>41263</v>
      </c>
    </row>
    <row r="8350">
      <c r="G8350" s="12">
        <f t="shared" si="1376"/>
        <v>41263</v>
      </c>
    </row>
    <row r="8351">
      <c r="G8351" s="12">
        <f t="shared" si="1376"/>
        <v>41263</v>
      </c>
    </row>
    <row r="8352">
      <c r="G8352" s="12">
        <f t="shared" si="1376"/>
        <v>41263</v>
      </c>
    </row>
    <row r="8353">
      <c r="G8353" s="12">
        <f t="shared" si="1376"/>
        <v>41263</v>
      </c>
    </row>
    <row r="8354">
      <c r="G8354" s="12">
        <f t="shared" ref="G8354:G8362" si="1377">DATE(2012,12,31)-10</f>
        <v>41264</v>
      </c>
    </row>
    <row r="8355">
      <c r="G8355" s="12">
        <f t="shared" si="1377"/>
        <v>41264</v>
      </c>
    </row>
    <row r="8356">
      <c r="G8356" s="12">
        <f t="shared" si="1377"/>
        <v>41264</v>
      </c>
    </row>
    <row r="8357">
      <c r="G8357" s="12">
        <f t="shared" si="1377"/>
        <v>41264</v>
      </c>
    </row>
    <row r="8358">
      <c r="G8358" s="12">
        <f t="shared" si="1377"/>
        <v>41264</v>
      </c>
    </row>
    <row r="8359">
      <c r="G8359" s="12">
        <f t="shared" si="1377"/>
        <v>41264</v>
      </c>
    </row>
    <row r="8360">
      <c r="G8360" s="12">
        <f t="shared" si="1377"/>
        <v>41264</v>
      </c>
    </row>
    <row r="8361">
      <c r="G8361" s="12">
        <f t="shared" si="1377"/>
        <v>41264</v>
      </c>
    </row>
    <row r="8362">
      <c r="G8362" s="12">
        <f t="shared" si="1377"/>
        <v>41264</v>
      </c>
    </row>
    <row r="8363">
      <c r="G8363" s="12">
        <f>DATE(2012,12,31)-9</f>
        <v>41265</v>
      </c>
    </row>
    <row r="8364">
      <c r="G8364" s="12">
        <f t="shared" ref="G8364:G8365" si="1378">DATE(2012,12,31)-8</f>
        <v>41266</v>
      </c>
    </row>
    <row r="8365">
      <c r="G8365" s="12">
        <f t="shared" si="1378"/>
        <v>41266</v>
      </c>
    </row>
    <row r="8366">
      <c r="G8366" s="12">
        <f t="shared" ref="G8366:G8370" si="1379">DATE(2012,12,31)-7</f>
        <v>41267</v>
      </c>
    </row>
    <row r="8367">
      <c r="G8367" s="12">
        <f t="shared" si="1379"/>
        <v>41267</v>
      </c>
    </row>
    <row r="8368">
      <c r="G8368" s="12">
        <f t="shared" si="1379"/>
        <v>41267</v>
      </c>
    </row>
    <row r="8369">
      <c r="G8369" s="12">
        <f t="shared" si="1379"/>
        <v>41267</v>
      </c>
    </row>
    <row r="8370">
      <c r="G8370" s="12">
        <f t="shared" si="1379"/>
        <v>41267</v>
      </c>
    </row>
    <row r="8371">
      <c r="G8371" s="12">
        <f t="shared" ref="G8371:G8375" si="1380">DATE(2012,12,31)-6</f>
        <v>41268</v>
      </c>
    </row>
    <row r="8372">
      <c r="G8372" s="12">
        <f t="shared" si="1380"/>
        <v>41268</v>
      </c>
    </row>
    <row r="8373">
      <c r="G8373" s="12">
        <f t="shared" si="1380"/>
        <v>41268</v>
      </c>
    </row>
    <row r="8374">
      <c r="G8374" s="12">
        <f t="shared" si="1380"/>
        <v>41268</v>
      </c>
    </row>
    <row r="8375">
      <c r="G8375" s="12">
        <f t="shared" si="1380"/>
        <v>41268</v>
      </c>
    </row>
    <row r="8376">
      <c r="G8376" s="12">
        <f t="shared" ref="G8376:G8377" si="1381">DATE(2012,12,31)-5</f>
        <v>41269</v>
      </c>
    </row>
    <row r="8377">
      <c r="G8377" s="12">
        <f t="shared" si="1381"/>
        <v>41269</v>
      </c>
    </row>
    <row r="8378">
      <c r="G8378" s="12">
        <f t="shared" ref="G8378:G8384" si="1382">DATE(2012,12,31)-4</f>
        <v>41270</v>
      </c>
    </row>
    <row r="8379">
      <c r="G8379" s="12">
        <f t="shared" si="1382"/>
        <v>41270</v>
      </c>
    </row>
    <row r="8380">
      <c r="G8380" s="12">
        <f t="shared" si="1382"/>
        <v>41270</v>
      </c>
    </row>
    <row r="8381">
      <c r="G8381" s="12">
        <f t="shared" si="1382"/>
        <v>41270</v>
      </c>
    </row>
    <row r="8382">
      <c r="G8382" s="12">
        <f t="shared" si="1382"/>
        <v>41270</v>
      </c>
    </row>
    <row r="8383">
      <c r="G8383" s="12">
        <f t="shared" si="1382"/>
        <v>41270</v>
      </c>
    </row>
    <row r="8384">
      <c r="G8384" s="12">
        <f t="shared" si="1382"/>
        <v>41270</v>
      </c>
    </row>
    <row r="8385">
      <c r="G8385" s="12">
        <f t="shared" ref="G8385:G8387" si="1383">DATE(2012,12,31)-3</f>
        <v>41271</v>
      </c>
    </row>
    <row r="8386">
      <c r="G8386" s="12">
        <f t="shared" si="1383"/>
        <v>41271</v>
      </c>
    </row>
    <row r="8387">
      <c r="G8387" s="12">
        <f t="shared" si="1383"/>
        <v>41271</v>
      </c>
    </row>
    <row r="8388">
      <c r="G8388" s="12">
        <f t="shared" ref="G8388:G8393" si="1384">DATE(2012,12,31)-2</f>
        <v>41272</v>
      </c>
    </row>
    <row r="8389">
      <c r="G8389" s="12">
        <f t="shared" si="1384"/>
        <v>41272</v>
      </c>
    </row>
    <row r="8390">
      <c r="G8390" s="12">
        <f t="shared" si="1384"/>
        <v>41272</v>
      </c>
    </row>
    <row r="8391">
      <c r="G8391" s="12">
        <f t="shared" si="1384"/>
        <v>41272</v>
      </c>
    </row>
    <row r="8392">
      <c r="G8392" s="12">
        <f t="shared" si="1384"/>
        <v>41272</v>
      </c>
    </row>
    <row r="8393">
      <c r="G8393" s="12">
        <f t="shared" si="1384"/>
        <v>41272</v>
      </c>
    </row>
    <row r="8394">
      <c r="G8394" s="12">
        <f t="shared" ref="G8394:G8400" si="1385">DATE(2012,12,31)-1</f>
        <v>41273</v>
      </c>
    </row>
    <row r="8395">
      <c r="G8395" s="12">
        <f t="shared" si="1385"/>
        <v>41273</v>
      </c>
    </row>
    <row r="8396">
      <c r="G8396" s="12">
        <f t="shared" si="1385"/>
        <v>41273</v>
      </c>
    </row>
    <row r="8397">
      <c r="G8397" s="12">
        <f t="shared" si="1385"/>
        <v>41273</v>
      </c>
    </row>
    <row r="8398">
      <c r="G8398" s="12">
        <f t="shared" si="1385"/>
        <v>41273</v>
      </c>
    </row>
    <row r="8399">
      <c r="G8399" s="12">
        <f t="shared" si="1385"/>
        <v>41273</v>
      </c>
    </row>
    <row r="8400">
      <c r="G8400" s="12">
        <f t="shared" si="1385"/>
        <v>41273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3" width="9.29"/>
    <col customWidth="1" min="4" max="26" width="8.0"/>
  </cols>
  <sheetData>
    <row r="1" ht="18.0" customHeight="1">
      <c r="A1" s="47" t="s">
        <v>2648</v>
      </c>
    </row>
    <row r="2" ht="15.0" customHeight="1">
      <c r="A2" s="48" t="s">
        <v>2649</v>
      </c>
      <c r="C2" s="39" t="s">
        <v>2650</v>
      </c>
    </row>
    <row r="3" ht="13.5" customHeight="1">
      <c r="A3" s="39">
        <v>2009.0</v>
      </c>
      <c r="B3" s="17">
        <f>SUM(Transactions!R2:R2154)</f>
        <v>223562.5704</v>
      </c>
      <c r="C3" s="17">
        <f>SUM(B3:B6)</f>
        <v>813900.7363</v>
      </c>
    </row>
    <row r="4" ht="13.5" customHeight="1">
      <c r="A4" s="39">
        <v>2010.0</v>
      </c>
      <c r="B4" s="17">
        <f>SUM(Transactions!R2155:R4296)</f>
        <v>192139.9035</v>
      </c>
    </row>
    <row r="5" ht="13.5" customHeight="1">
      <c r="A5" s="39">
        <v>2011.0</v>
      </c>
      <c r="B5" s="17">
        <f>SUM(Transactions!R4297:R6298)</f>
        <v>196352.6947</v>
      </c>
    </row>
    <row r="6" ht="13.5" customHeight="1">
      <c r="A6" s="39">
        <v>2012.0</v>
      </c>
      <c r="B6" s="17">
        <f>SUM(Transactions!R6299:R8400)</f>
        <v>201845.5677</v>
      </c>
    </row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7.71"/>
    <col customWidth="1" min="2" max="2" width="37.29"/>
    <col customWidth="1" min="6" max="6" width="19.0"/>
    <col customWidth="1" min="9" max="9" width="30.14"/>
  </cols>
  <sheetData>
    <row r="1">
      <c r="A1" s="49" t="s">
        <v>2651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>
      <c r="A2" s="50"/>
      <c r="B2" s="50"/>
      <c r="C2" s="51"/>
      <c r="D2" s="51"/>
      <c r="E2" s="51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>
      <c r="A3" s="52" t="s">
        <v>2652</v>
      </c>
      <c r="B3" s="53"/>
      <c r="C3" s="53"/>
      <c r="D3" s="53"/>
      <c r="E3" s="53"/>
      <c r="F3" s="53"/>
      <c r="G3" s="53"/>
      <c r="H3" s="52" t="s">
        <v>2652</v>
      </c>
      <c r="I3" s="53"/>
      <c r="J3" s="53"/>
      <c r="K3" s="53"/>
      <c r="L3" s="53"/>
      <c r="M3" s="53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>
      <c r="A4" s="53"/>
      <c r="B4" s="54" t="s">
        <v>2653</v>
      </c>
      <c r="C4" s="54" t="s">
        <v>2654</v>
      </c>
      <c r="D4" s="55"/>
      <c r="E4" s="55"/>
      <c r="F4" s="54" t="s">
        <v>2655</v>
      </c>
      <c r="G4" s="53"/>
      <c r="H4" s="53"/>
      <c r="I4" s="54" t="s">
        <v>2653</v>
      </c>
      <c r="J4" s="54" t="s">
        <v>2654</v>
      </c>
      <c r="K4" s="55"/>
      <c r="L4" s="55"/>
      <c r="M4" s="54" t="s">
        <v>2655</v>
      </c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>
      <c r="A5" s="53"/>
      <c r="B5" s="52" t="s">
        <v>2656</v>
      </c>
      <c r="C5" s="53">
        <f t="shared" ref="C5:E5" si="1">C10*$C$12-$C$11</f>
        <v>10</v>
      </c>
      <c r="D5" s="53">
        <f t="shared" si="1"/>
        <v>20</v>
      </c>
      <c r="E5" s="53">
        <f t="shared" si="1"/>
        <v>40</v>
      </c>
      <c r="F5" s="53">
        <f>SUMPRODUCT(C5:E5,C10:E10)</f>
        <v>28</v>
      </c>
      <c r="G5" s="53"/>
      <c r="H5" s="53"/>
      <c r="I5" s="52" t="s">
        <v>2657</v>
      </c>
      <c r="J5" s="53">
        <f t="shared" ref="J5:L5" si="2">J9*$J$11-25</f>
        <v>-5</v>
      </c>
      <c r="K5" s="53">
        <f t="shared" si="2"/>
        <v>5</v>
      </c>
      <c r="L5" s="53">
        <f t="shared" si="2"/>
        <v>25</v>
      </c>
      <c r="M5" s="53">
        <f>SUMPRODUCT(J5:L5,J9:L9)</f>
        <v>13</v>
      </c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</row>
    <row r="6">
      <c r="A6" s="53"/>
      <c r="B6" s="52" t="s">
        <v>2658</v>
      </c>
      <c r="C6" s="53">
        <f t="shared" ref="C6:E6" si="3">C10*$C$12-10</f>
        <v>10</v>
      </c>
      <c r="D6" s="53">
        <f t="shared" si="3"/>
        <v>20</v>
      </c>
      <c r="E6" s="53">
        <f t="shared" si="3"/>
        <v>40</v>
      </c>
      <c r="F6" s="53">
        <f>SUMPRODUCT(C6:E6,C10:E10)</f>
        <v>28</v>
      </c>
      <c r="G6" s="53"/>
      <c r="H6" s="53"/>
      <c r="I6" s="52" t="s">
        <v>2659</v>
      </c>
      <c r="J6" s="56">
        <f t="shared" ref="J6:L6" si="4">J9*$J$11-35</f>
        <v>-15</v>
      </c>
      <c r="K6" s="56">
        <f t="shared" si="4"/>
        <v>-5</v>
      </c>
      <c r="L6" s="56">
        <f t="shared" si="4"/>
        <v>15</v>
      </c>
      <c r="M6" s="53">
        <f>SUMPRODUCT(J6:L6,J9:L9)</f>
        <v>3</v>
      </c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</row>
    <row r="7">
      <c r="A7" s="53"/>
      <c r="B7" s="52" t="s">
        <v>2660</v>
      </c>
      <c r="C7" s="56">
        <f t="shared" ref="C7:E7" si="5">C10*$C$12-25</f>
        <v>-5</v>
      </c>
      <c r="D7" s="56">
        <f t="shared" si="5"/>
        <v>5</v>
      </c>
      <c r="E7" s="56">
        <f t="shared" si="5"/>
        <v>25</v>
      </c>
      <c r="F7" s="53">
        <f>SUMPRODUCT(C7:E7,C10:E10)</f>
        <v>13</v>
      </c>
      <c r="G7" s="53"/>
      <c r="H7" s="53"/>
      <c r="I7" s="52" t="s">
        <v>2661</v>
      </c>
      <c r="J7" s="57">
        <f t="shared" ref="J7:L7" si="6">(J9*$J$11)*0.7</f>
        <v>14</v>
      </c>
      <c r="K7" s="57">
        <f t="shared" si="6"/>
        <v>21</v>
      </c>
      <c r="L7" s="57">
        <f t="shared" si="6"/>
        <v>35</v>
      </c>
      <c r="M7" s="53">
        <f>SUMPRODUCT(J7:L7,J9:L9)</f>
        <v>26.6</v>
      </c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>
      <c r="A8" s="53"/>
      <c r="B8" s="52" t="s">
        <v>2662</v>
      </c>
      <c r="C8" s="57">
        <f t="shared" ref="C8:E8" si="7">(C10*$C$12)*0.9</f>
        <v>18</v>
      </c>
      <c r="D8" s="57">
        <f t="shared" si="7"/>
        <v>27</v>
      </c>
      <c r="E8" s="57">
        <f t="shared" si="7"/>
        <v>45</v>
      </c>
      <c r="F8" s="53">
        <f>SUMPRODUCT(C8:E8,C10:E10)</f>
        <v>34.2</v>
      </c>
      <c r="G8" s="53"/>
      <c r="H8" s="53"/>
      <c r="I8" s="52" t="s">
        <v>2663</v>
      </c>
      <c r="J8" s="53">
        <f t="shared" ref="J8:L8" si="8">(J9*$J$11)*0.65</f>
        <v>13</v>
      </c>
      <c r="K8" s="53">
        <f t="shared" si="8"/>
        <v>19.5</v>
      </c>
      <c r="L8" s="53">
        <f t="shared" si="8"/>
        <v>32.5</v>
      </c>
      <c r="M8" s="53">
        <f>SUMPRODUCT(J8:L8,J9:L9)</f>
        <v>24.7</v>
      </c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</row>
    <row r="9">
      <c r="A9" s="53"/>
      <c r="B9" s="52" t="s">
        <v>2664</v>
      </c>
      <c r="C9" s="53">
        <f t="shared" ref="C9:E9" si="9">(C10*$C$12)*0.8</f>
        <v>16</v>
      </c>
      <c r="D9" s="53">
        <f t="shared" si="9"/>
        <v>24</v>
      </c>
      <c r="E9" s="53">
        <f t="shared" si="9"/>
        <v>40</v>
      </c>
      <c r="F9" s="53">
        <f>SUMPRODUCT(C9:E9,C10:E10)</f>
        <v>30.4</v>
      </c>
      <c r="G9" s="53"/>
      <c r="H9" s="53"/>
      <c r="I9" s="52" t="s">
        <v>2665</v>
      </c>
      <c r="J9" s="52">
        <v>0.2</v>
      </c>
      <c r="K9" s="52">
        <v>0.3</v>
      </c>
      <c r="L9" s="52">
        <v>0.5</v>
      </c>
      <c r="M9" s="53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53"/>
      <c r="B10" s="52" t="s">
        <v>2665</v>
      </c>
      <c r="C10" s="52">
        <v>0.2</v>
      </c>
      <c r="D10" s="52">
        <v>0.3</v>
      </c>
      <c r="E10" s="52">
        <v>0.5</v>
      </c>
      <c r="F10" s="53"/>
      <c r="G10" s="53"/>
      <c r="H10" s="53"/>
      <c r="I10" s="52" t="s">
        <v>2666</v>
      </c>
      <c r="J10" s="52">
        <v>10.0</v>
      </c>
      <c r="K10" s="53"/>
      <c r="L10" s="53"/>
      <c r="M10" s="53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>
      <c r="A11" s="53"/>
      <c r="B11" s="52" t="s">
        <v>2666</v>
      </c>
      <c r="C11" s="52">
        <v>10.0</v>
      </c>
      <c r="D11" s="53"/>
      <c r="E11" s="53"/>
      <c r="F11" s="53"/>
      <c r="G11" s="53"/>
      <c r="H11" s="53"/>
      <c r="I11" s="52" t="s">
        <v>2667</v>
      </c>
      <c r="J11" s="52">
        <v>100.0</v>
      </c>
      <c r="K11" s="53"/>
      <c r="L11" s="53"/>
      <c r="M11" s="53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</row>
    <row r="12">
      <c r="A12" s="53"/>
      <c r="B12" s="52" t="s">
        <v>2667</v>
      </c>
      <c r="C12" s="52">
        <v>100.0</v>
      </c>
      <c r="D12" s="53"/>
      <c r="E12" s="53"/>
      <c r="F12" s="53"/>
      <c r="G12" s="53"/>
      <c r="H12" s="53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</row>
    <row r="13">
      <c r="A13" s="53"/>
      <c r="B13" s="53"/>
      <c r="C13" s="53"/>
      <c r="D13" s="53"/>
      <c r="E13" s="53"/>
      <c r="F13" s="53"/>
      <c r="G13" s="53"/>
      <c r="H13" s="53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>
      <c r="A14" s="53"/>
      <c r="B14" s="53"/>
      <c r="C14" s="53"/>
      <c r="D14" s="53"/>
      <c r="E14" s="53"/>
      <c r="F14" s="53"/>
      <c r="G14" s="53"/>
      <c r="H14" s="53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>
      <c r="A15" s="53"/>
      <c r="B15" s="53"/>
      <c r="C15" s="53"/>
      <c r="D15" s="53"/>
      <c r="E15" s="53"/>
      <c r="F15" s="53"/>
      <c r="G15" s="53"/>
      <c r="H15" s="53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</row>
    <row r="16">
      <c r="A16" s="52" t="s">
        <v>2668</v>
      </c>
      <c r="B16" s="53"/>
      <c r="C16" s="53"/>
      <c r="D16" s="53"/>
      <c r="E16" s="53"/>
      <c r="F16" s="53"/>
      <c r="G16" s="53"/>
      <c r="H16" s="53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>
      <c r="A17" s="53"/>
      <c r="B17" s="54" t="s">
        <v>2653</v>
      </c>
      <c r="C17" s="54" t="s">
        <v>2654</v>
      </c>
      <c r="D17" s="55"/>
      <c r="E17" s="55"/>
      <c r="F17" s="54" t="s">
        <v>2655</v>
      </c>
      <c r="G17" s="52"/>
      <c r="H17" s="52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>
      <c r="A18" s="53"/>
      <c r="B18" s="52" t="s">
        <v>2656</v>
      </c>
      <c r="C18" s="53">
        <f t="shared" ref="C18:E18" si="10">C23*$C$25-$C$24</f>
        <v>7.4</v>
      </c>
      <c r="D18" s="53">
        <f t="shared" si="10"/>
        <v>16.1</v>
      </c>
      <c r="E18" s="53">
        <f t="shared" si="10"/>
        <v>33.5</v>
      </c>
      <c r="F18" s="53">
        <f>SUMPRODUCT(C18:E18,C23:E23)</f>
        <v>23.06</v>
      </c>
      <c r="G18" s="52"/>
      <c r="H18" s="52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>
      <c r="A19" s="53"/>
      <c r="B19" s="52" t="s">
        <v>2669</v>
      </c>
      <c r="C19" s="53">
        <f t="shared" ref="C19:E19" si="11">C23*$C$25-10</f>
        <v>7.4</v>
      </c>
      <c r="D19" s="53">
        <f t="shared" si="11"/>
        <v>16.1</v>
      </c>
      <c r="E19" s="53">
        <f t="shared" si="11"/>
        <v>33.5</v>
      </c>
      <c r="F19" s="53">
        <f>SUMPRODUCT(C19:E19,C23:E23)</f>
        <v>23.06</v>
      </c>
      <c r="G19" s="52"/>
      <c r="H19" s="52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>
      <c r="A20" s="53"/>
      <c r="B20" s="52" t="s">
        <v>2670</v>
      </c>
      <c r="C20" s="56">
        <f t="shared" ref="C20:E20" si="12">C23*$C$25-25</f>
        <v>-7.6</v>
      </c>
      <c r="D20" s="56">
        <f t="shared" si="12"/>
        <v>1.1</v>
      </c>
      <c r="E20" s="56">
        <f t="shared" si="12"/>
        <v>18.5</v>
      </c>
      <c r="F20" s="53">
        <f>SUMPRODUCT(C20:E20,C23:E23)</f>
        <v>8.06</v>
      </c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>
      <c r="A21" s="53"/>
      <c r="B21" s="52" t="s">
        <v>2662</v>
      </c>
      <c r="C21" s="57">
        <f t="shared" ref="C21:E21" si="13">(C23*$C$25)*0.9</f>
        <v>15.66</v>
      </c>
      <c r="D21" s="57">
        <f t="shared" si="13"/>
        <v>23.49</v>
      </c>
      <c r="E21" s="57">
        <f t="shared" si="13"/>
        <v>39.15</v>
      </c>
      <c r="F21" s="53">
        <f>SUMPRODUCT(C21:E21,C23:E23)</f>
        <v>29.754</v>
      </c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>
      <c r="A22" s="53"/>
      <c r="B22" s="52" t="s">
        <v>2664</v>
      </c>
      <c r="C22" s="53">
        <f t="shared" ref="C22:E22" si="14">(C23*$C$25)*0.8</f>
        <v>13.92</v>
      </c>
      <c r="D22" s="53">
        <f t="shared" si="14"/>
        <v>20.88</v>
      </c>
      <c r="E22" s="53">
        <f t="shared" si="14"/>
        <v>34.8</v>
      </c>
      <c r="F22" s="53">
        <f>SUMPRODUCT(C22:E22,C23:E23)</f>
        <v>26.448</v>
      </c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>
      <c r="A23" s="53"/>
      <c r="B23" s="52" t="s">
        <v>2665</v>
      </c>
      <c r="C23" s="52">
        <v>0.2</v>
      </c>
      <c r="D23" s="52">
        <v>0.3</v>
      </c>
      <c r="E23" s="52">
        <v>0.5</v>
      </c>
      <c r="F23" s="53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>
      <c r="A24" s="53"/>
      <c r="B24" s="52" t="s">
        <v>2666</v>
      </c>
      <c r="C24" s="52">
        <v>10.0</v>
      </c>
      <c r="D24" s="53"/>
      <c r="E24" s="53"/>
      <c r="F24" s="53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>
      <c r="A25" s="53"/>
      <c r="B25" s="52" t="s">
        <v>2667</v>
      </c>
      <c r="C25" s="52">
        <v>87.0</v>
      </c>
      <c r="D25" s="53"/>
      <c r="E25" s="53"/>
      <c r="F25" s="53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>
      <c r="A26" s="50"/>
      <c r="B26" s="50"/>
      <c r="C26" s="58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</row>
    <row r="29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</row>
    <row r="30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</row>
    <row r="3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</row>
    <row r="32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</row>
    <row r="33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</row>
    <row r="34">
      <c r="A34" s="53"/>
      <c r="B34" s="52" t="s">
        <v>2671</v>
      </c>
      <c r="C34" s="53">
        <f>((30-26)*100-10)*100%</f>
        <v>390</v>
      </c>
      <c r="D34" s="53"/>
      <c r="E34" s="59">
        <f>((30-26)*100-10)*0.85</f>
        <v>331.5</v>
      </c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</row>
    <row r="35">
      <c r="A35" s="53"/>
      <c r="B35" s="60" t="s">
        <v>2672</v>
      </c>
      <c r="C35" s="53">
        <f>((100-87)-100*85%)*20%</f>
        <v>-14.4</v>
      </c>
      <c r="D35" s="52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>
      <c r="A36" s="53"/>
      <c r="B36" s="53"/>
      <c r="C36" s="53"/>
      <c r="D36" s="53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</row>
    <row r="38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</row>
    <row r="39">
      <c r="A39" s="50"/>
      <c r="B39" s="58">
        <v>580.0</v>
      </c>
      <c r="C39" s="40">
        <f>((580-87)-580*85%)*20%</f>
        <v>0</v>
      </c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>
      <c r="A40" s="50"/>
      <c r="B40" s="50"/>
      <c r="C40" s="4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</sheetData>
  <mergeCells count="3">
    <mergeCell ref="C4:E4"/>
    <mergeCell ref="J4:L4"/>
    <mergeCell ref="C17:E1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7">
        <v>9.780029941597558</v>
      </c>
      <c r="E1" s="17">
        <v>20.584130315398866</v>
      </c>
      <c r="I1" s="11">
        <v>4.0</v>
      </c>
      <c r="M1" s="16">
        <v>39.04</v>
      </c>
    </row>
    <row r="2">
      <c r="A2" s="17">
        <v>297.75396233650036</v>
      </c>
      <c r="E2" s="17">
        <v>42.71708988699849</v>
      </c>
      <c r="I2" s="11">
        <v>43.0</v>
      </c>
      <c r="M2" s="16">
        <v>36.0</v>
      </c>
    </row>
    <row r="3">
      <c r="A3" s="17">
        <v>239.59713728370426</v>
      </c>
      <c r="E3" s="17">
        <v>174.71691068374665</v>
      </c>
      <c r="I3" s="11">
        <v>32.0</v>
      </c>
      <c r="M3" s="16">
        <v>5.656000000000001</v>
      </c>
    </row>
    <row r="4">
      <c r="A4" s="17">
        <v>42.61870779449912</v>
      </c>
      <c r="E4" s="17">
        <v>234.13175629153253</v>
      </c>
      <c r="I4" s="11">
        <v>12.0</v>
      </c>
      <c r="M4" s="16">
        <v>13.368000000000002</v>
      </c>
    </row>
    <row r="5">
      <c r="A5" s="17">
        <v>1348.3501317859138</v>
      </c>
      <c r="C5" s="61" t="s">
        <v>2673</v>
      </c>
      <c r="E5" s="17">
        <v>54.81835444439797</v>
      </c>
      <c r="G5" s="62" t="s">
        <v>2673</v>
      </c>
      <c r="I5" s="11">
        <v>49.0</v>
      </c>
      <c r="K5" s="61" t="s">
        <v>2674</v>
      </c>
      <c r="M5" s="16">
        <v>19.592</v>
      </c>
      <c r="O5" s="61" t="s">
        <v>2675</v>
      </c>
    </row>
    <row r="6">
      <c r="A6" s="17">
        <v>5.6154084096198735</v>
      </c>
      <c r="C6" s="63">
        <f>AVERAGE(A1:A3076)</f>
        <v>99.58398938</v>
      </c>
      <c r="E6" s="17">
        <v>49.76553484357034</v>
      </c>
      <c r="G6" s="64">
        <f>AVERAGE(E1:E1642)</f>
        <v>86.79234473</v>
      </c>
      <c r="I6" s="11">
        <v>12.0</v>
      </c>
      <c r="K6" s="65">
        <f>AVERAGE(I1:I3076)</f>
        <v>25.5256827</v>
      </c>
      <c r="M6" s="16">
        <v>1.816</v>
      </c>
      <c r="O6" s="65">
        <f>AVEDEV(M1:M3076)</f>
        <v>9.171229567</v>
      </c>
    </row>
    <row r="7">
      <c r="A7" s="17">
        <v>23.33719487622341</v>
      </c>
      <c r="E7" s="17">
        <v>110.94162378222734</v>
      </c>
      <c r="I7" s="11">
        <v>4.0</v>
      </c>
      <c r="M7" s="16">
        <v>11.76</v>
      </c>
    </row>
    <row r="8">
      <c r="A8" s="17">
        <v>4.600416659038902</v>
      </c>
      <c r="E8" s="17">
        <v>7.228486078697418</v>
      </c>
      <c r="I8" s="11">
        <v>15.0</v>
      </c>
      <c r="M8" s="16">
        <v>4.5280000000000005</v>
      </c>
    </row>
    <row r="9">
      <c r="A9" s="17">
        <v>9.98656733014558</v>
      </c>
      <c r="E9" s="17">
        <v>2.9065232047477845</v>
      </c>
      <c r="I9" s="11">
        <v>8.0</v>
      </c>
      <c r="M9" s="16">
        <v>2.0</v>
      </c>
    </row>
    <row r="10">
      <c r="A10" s="17">
        <v>3.828186257668721</v>
      </c>
      <c r="E10" s="17">
        <v>10.841198612716754</v>
      </c>
      <c r="I10" s="11">
        <v>17.0</v>
      </c>
      <c r="M10" s="16">
        <v>5.016</v>
      </c>
    </row>
    <row r="11">
      <c r="A11" s="17">
        <v>10.936773349140463</v>
      </c>
      <c r="E11" s="17">
        <v>445.2207926267276</v>
      </c>
      <c r="I11" s="11">
        <v>42.0</v>
      </c>
      <c r="M11" s="16">
        <v>1.544</v>
      </c>
    </row>
    <row r="12">
      <c r="A12" s="17">
        <v>25.12976970206801</v>
      </c>
      <c r="E12" s="17">
        <v>17.931044819277126</v>
      </c>
      <c r="I12" s="11">
        <v>43.0</v>
      </c>
      <c r="M12" s="16">
        <v>3.7520000000000007</v>
      </c>
    </row>
    <row r="13">
      <c r="A13" s="17">
        <v>101.1672356428677</v>
      </c>
      <c r="E13" s="17">
        <v>16.502338766832054</v>
      </c>
      <c r="I13" s="11">
        <v>5.0</v>
      </c>
      <c r="M13" s="16">
        <v>34.656</v>
      </c>
    </row>
    <row r="14">
      <c r="A14" s="17">
        <v>29.756262392344468</v>
      </c>
      <c r="E14" s="17">
        <v>8.147852520692261</v>
      </c>
      <c r="I14" s="11">
        <v>46.0</v>
      </c>
      <c r="M14" s="16">
        <v>6.984000000000001</v>
      </c>
    </row>
    <row r="15">
      <c r="A15" s="17">
        <v>13.634708737864077</v>
      </c>
      <c r="E15" s="17">
        <v>7.695472311977706</v>
      </c>
      <c r="I15" s="11">
        <v>6.0</v>
      </c>
      <c r="M15" s="16">
        <v>28.0</v>
      </c>
    </row>
    <row r="16">
      <c r="A16" s="17">
        <v>0.5141946902654875</v>
      </c>
      <c r="E16" s="17">
        <v>282.7983771930251</v>
      </c>
      <c r="I16" s="11">
        <v>6.0</v>
      </c>
      <c r="M16" s="16">
        <v>0.5599999999999999</v>
      </c>
    </row>
    <row r="17">
      <c r="A17" s="17">
        <v>659.5352029559666</v>
      </c>
      <c r="E17" s="17">
        <v>52.581277627544566</v>
      </c>
      <c r="I17" s="11">
        <v>25.0</v>
      </c>
      <c r="M17" s="16">
        <v>15.991999999999999</v>
      </c>
    </row>
    <row r="18">
      <c r="A18" s="17">
        <v>4.271631463844789</v>
      </c>
      <c r="E18" s="17">
        <v>1.8604159999999967</v>
      </c>
      <c r="I18" s="11">
        <v>43.0</v>
      </c>
      <c r="M18" s="16">
        <v>7.192</v>
      </c>
    </row>
    <row r="19">
      <c r="A19" s="17">
        <v>6.837684504632928</v>
      </c>
      <c r="E19" s="17">
        <v>2.3513434838709615</v>
      </c>
      <c r="I19" s="11">
        <v>1.0</v>
      </c>
      <c r="M19" s="16">
        <v>7.192</v>
      </c>
    </row>
    <row r="20">
      <c r="A20" s="17">
        <v>11.635051189617863</v>
      </c>
      <c r="E20" s="17">
        <v>19.31274986892178</v>
      </c>
      <c r="I20" s="11">
        <v>39.0</v>
      </c>
      <c r="M20" s="16">
        <v>1.08</v>
      </c>
    </row>
    <row r="21">
      <c r="A21" s="17">
        <v>3.0837015066469493</v>
      </c>
      <c r="E21" s="17">
        <v>144.55500212564678</v>
      </c>
      <c r="I21" s="11">
        <v>24.0</v>
      </c>
      <c r="M21" s="16">
        <v>0.768</v>
      </c>
    </row>
    <row r="22">
      <c r="A22" s="17">
        <v>5.6721741310541285</v>
      </c>
      <c r="E22" s="17">
        <v>25.511260830670924</v>
      </c>
      <c r="I22" s="11">
        <v>19.0</v>
      </c>
      <c r="M22" s="16">
        <v>3.176</v>
      </c>
    </row>
    <row r="23">
      <c r="A23" s="17">
        <v>24.462129093678765</v>
      </c>
      <c r="E23" s="17">
        <v>3.5040422752293603</v>
      </c>
      <c r="I23" s="11">
        <v>35.0</v>
      </c>
      <c r="M23" s="16">
        <v>6.840000000000001</v>
      </c>
    </row>
    <row r="24">
      <c r="A24" s="17">
        <v>429.79835169249026</v>
      </c>
      <c r="E24" s="17">
        <v>8.899571541135568</v>
      </c>
      <c r="I24" s="11">
        <v>49.0</v>
      </c>
      <c r="M24" s="16">
        <v>11.76</v>
      </c>
    </row>
    <row r="25">
      <c r="A25" s="17">
        <v>25.626113127753385</v>
      </c>
      <c r="E25" s="17">
        <v>23.755703699336816</v>
      </c>
      <c r="I25" s="11">
        <v>34.0</v>
      </c>
      <c r="M25" s="16">
        <v>1.592</v>
      </c>
    </row>
    <row r="26">
      <c r="A26" s="17">
        <v>436.20592548880705</v>
      </c>
      <c r="E26" s="17">
        <v>396.625678195273</v>
      </c>
      <c r="I26" s="11">
        <v>32.0</v>
      </c>
      <c r="M26" s="16">
        <v>15.991999999999999</v>
      </c>
    </row>
    <row r="27">
      <c r="A27" s="17">
        <v>5.114021754995647</v>
      </c>
      <c r="E27" s="17">
        <v>96.27533030140269</v>
      </c>
      <c r="I27" s="11">
        <v>16.0</v>
      </c>
      <c r="M27" s="16">
        <v>7.336</v>
      </c>
    </row>
    <row r="28">
      <c r="A28" s="17">
        <v>70.38644733720467</v>
      </c>
      <c r="E28" s="17">
        <v>4.461267135678379</v>
      </c>
      <c r="I28" s="11">
        <v>31.0</v>
      </c>
      <c r="M28" s="16">
        <v>1.592</v>
      </c>
    </row>
    <row r="29">
      <c r="A29" s="17">
        <v>98.20601748619677</v>
      </c>
      <c r="E29" s="17">
        <v>87.9579165741278</v>
      </c>
      <c r="I29" s="11">
        <v>40.0</v>
      </c>
      <c r="M29" s="16">
        <v>15.991999999999999</v>
      </c>
    </row>
    <row r="30">
      <c r="A30" s="17">
        <v>18.88531418394725</v>
      </c>
      <c r="E30" s="17">
        <v>68.21418066167304</v>
      </c>
      <c r="I30" s="11">
        <v>27.0</v>
      </c>
      <c r="M30" s="16">
        <v>3.192</v>
      </c>
    </row>
    <row r="31">
      <c r="A31" s="17">
        <v>16.678737922188965</v>
      </c>
      <c r="E31" s="17">
        <v>11.38628626631854</v>
      </c>
      <c r="I31" s="11">
        <v>3.0</v>
      </c>
      <c r="M31" s="16">
        <v>14.280000000000001</v>
      </c>
    </row>
    <row r="32">
      <c r="A32" s="17">
        <v>13.817192799750899</v>
      </c>
      <c r="E32" s="17">
        <v>13.035789473684215</v>
      </c>
      <c r="I32" s="11">
        <v>13.0</v>
      </c>
      <c r="M32" s="16">
        <v>4.072</v>
      </c>
    </row>
    <row r="33">
      <c r="A33" s="17">
        <v>37.675480606738</v>
      </c>
      <c r="E33" s="17">
        <v>412.940008713662</v>
      </c>
      <c r="I33" s="11">
        <v>29.0</v>
      </c>
      <c r="M33" s="16">
        <v>8.936</v>
      </c>
    </row>
    <row r="34">
      <c r="A34" s="17">
        <v>579.4489780941933</v>
      </c>
      <c r="E34" s="17">
        <v>17.067785629236674</v>
      </c>
      <c r="I34" s="11">
        <v>36.0</v>
      </c>
      <c r="M34" s="16">
        <v>14.288</v>
      </c>
    </row>
    <row r="35">
      <c r="A35" s="17">
        <v>433.20943652936774</v>
      </c>
      <c r="E35" s="17">
        <v>656.3804097662818</v>
      </c>
      <c r="I35" s="11">
        <v>23.0</v>
      </c>
      <c r="M35" s="16">
        <v>47.160000000000004</v>
      </c>
    </row>
    <row r="36">
      <c r="A36" s="17">
        <v>10.90908388040109</v>
      </c>
      <c r="E36" s="17">
        <v>129.4113817366121</v>
      </c>
      <c r="I36" s="11">
        <v>48.0</v>
      </c>
      <c r="M36" s="16">
        <v>4.952000000000001</v>
      </c>
    </row>
    <row r="37">
      <c r="A37" s="17">
        <v>34.99958661837939</v>
      </c>
      <c r="E37" s="17">
        <v>25.533417354382145</v>
      </c>
      <c r="I37" s="11">
        <v>37.0</v>
      </c>
      <c r="M37" s="16">
        <v>7.192</v>
      </c>
    </row>
    <row r="38">
      <c r="A38" s="17">
        <v>4.076790999999998</v>
      </c>
      <c r="E38" s="17">
        <v>35.4088468635851</v>
      </c>
      <c r="I38" s="11">
        <v>20.0</v>
      </c>
      <c r="M38" s="16">
        <v>1.6239999999999999</v>
      </c>
    </row>
    <row r="39">
      <c r="A39" s="17">
        <v>35.21056726201314</v>
      </c>
      <c r="E39" s="17">
        <v>531.5954675484218</v>
      </c>
      <c r="I39" s="11">
        <v>25.0</v>
      </c>
      <c r="M39" s="16">
        <v>7.192</v>
      </c>
    </row>
    <row r="40">
      <c r="A40" s="17">
        <v>26.79812441806794</v>
      </c>
      <c r="E40" s="17">
        <v>49.29169334240235</v>
      </c>
      <c r="I40" s="11">
        <v>46.0</v>
      </c>
      <c r="M40" s="16">
        <v>6.792000000000001</v>
      </c>
    </row>
    <row r="41">
      <c r="A41" s="17">
        <v>2.6984455958549325</v>
      </c>
      <c r="E41" s="17">
        <v>4.845389518716576</v>
      </c>
      <c r="I41" s="11">
        <v>41.0</v>
      </c>
      <c r="M41" s="16">
        <v>0.6000000000000001</v>
      </c>
    </row>
    <row r="42">
      <c r="A42" s="17">
        <v>12.352796854381834</v>
      </c>
      <c r="E42" s="17">
        <v>1287.6374517317563</v>
      </c>
      <c r="I42" s="11">
        <v>3.0</v>
      </c>
      <c r="M42" s="16">
        <v>15.991999999999999</v>
      </c>
    </row>
    <row r="43">
      <c r="A43" s="17">
        <v>36.40209381601627</v>
      </c>
      <c r="E43" s="17">
        <v>53.87227358978554</v>
      </c>
      <c r="I43" s="11">
        <v>26.0</v>
      </c>
      <c r="M43" s="16">
        <v>6.5440000000000005</v>
      </c>
    </row>
    <row r="44">
      <c r="A44" s="17">
        <v>33.50391829904934</v>
      </c>
      <c r="E44" s="17">
        <v>12.43296128945604</v>
      </c>
      <c r="I44" s="11">
        <v>33.0</v>
      </c>
      <c r="M44" s="16">
        <v>1.592</v>
      </c>
    </row>
    <row r="45">
      <c r="A45" s="17">
        <v>13.437394345549764</v>
      </c>
      <c r="E45" s="17">
        <v>108.34074607905077</v>
      </c>
      <c r="I45" s="11">
        <v>18.0</v>
      </c>
      <c r="M45" s="16">
        <v>1.1119999999999999</v>
      </c>
    </row>
    <row r="46">
      <c r="A46" s="17">
        <v>13.515180562540223</v>
      </c>
      <c r="E46" s="17">
        <v>369.86330708499474</v>
      </c>
      <c r="I46" s="11">
        <v>3.0</v>
      </c>
      <c r="M46" s="16">
        <v>2.0</v>
      </c>
    </row>
    <row r="47">
      <c r="A47" s="17">
        <v>27.847042648344793</v>
      </c>
      <c r="E47" s="17">
        <v>168.750370962099</v>
      </c>
      <c r="I47" s="11">
        <v>25.0</v>
      </c>
      <c r="M47" s="16">
        <v>1.888</v>
      </c>
    </row>
    <row r="48">
      <c r="A48" s="17">
        <v>138.6607263700113</v>
      </c>
      <c r="E48" s="17">
        <v>37.86219739292357</v>
      </c>
      <c r="I48" s="11">
        <v>50.0</v>
      </c>
      <c r="M48" s="16">
        <v>1.192</v>
      </c>
    </row>
    <row r="49">
      <c r="A49" s="17">
        <v>69.06752484789017</v>
      </c>
      <c r="E49" s="17">
        <v>26.251439020864854</v>
      </c>
      <c r="I49" s="11">
        <v>47.0</v>
      </c>
      <c r="M49" s="16">
        <v>1.1119999999999999</v>
      </c>
    </row>
    <row r="50">
      <c r="A50" s="17">
        <v>4.759621857627125</v>
      </c>
      <c r="E50" s="17">
        <v>3.0640842105263144</v>
      </c>
      <c r="I50" s="11">
        <v>12.0</v>
      </c>
      <c r="M50" s="16">
        <v>4.576</v>
      </c>
    </row>
    <row r="51">
      <c r="A51" s="17">
        <v>81.85513334393225</v>
      </c>
      <c r="E51" s="17">
        <v>10.170681552436003</v>
      </c>
      <c r="I51" s="11">
        <v>29.0</v>
      </c>
      <c r="M51" s="16">
        <v>4.648</v>
      </c>
    </row>
    <row r="52">
      <c r="A52" s="17">
        <v>8.976194508710812</v>
      </c>
      <c r="E52" s="17">
        <v>10.302497923497281</v>
      </c>
      <c r="I52" s="11">
        <v>17.0</v>
      </c>
      <c r="M52" s="16">
        <v>14.224000000000002</v>
      </c>
    </row>
    <row r="53">
      <c r="A53" s="17">
        <v>428.7503879235813</v>
      </c>
      <c r="E53" s="17">
        <v>16.264928645533136</v>
      </c>
      <c r="I53" s="11">
        <v>25.0</v>
      </c>
      <c r="M53" s="16">
        <v>31.200000000000003</v>
      </c>
    </row>
    <row r="54">
      <c r="A54" s="17">
        <v>15.957422144317876</v>
      </c>
      <c r="E54" s="17">
        <v>4.414657650429803</v>
      </c>
      <c r="I54" s="11">
        <v>20.0</v>
      </c>
      <c r="M54" s="16">
        <v>7.5200000000000005</v>
      </c>
    </row>
    <row r="55">
      <c r="A55" s="17">
        <v>43.893805309734255</v>
      </c>
      <c r="E55" s="17">
        <v>213.52552153068766</v>
      </c>
      <c r="I55" s="11">
        <v>36.0</v>
      </c>
      <c r="M55" s="16">
        <v>2.8000000000000003</v>
      </c>
    </row>
    <row r="56">
      <c r="A56" s="17">
        <v>26.304369608177176</v>
      </c>
      <c r="E56" s="17">
        <v>3.3445317171717193</v>
      </c>
      <c r="I56" s="11">
        <v>41.0</v>
      </c>
      <c r="M56" s="16">
        <v>3.7680000000000002</v>
      </c>
    </row>
    <row r="57">
      <c r="A57" s="17">
        <v>129.5185888243381</v>
      </c>
      <c r="E57" s="17">
        <v>7.012053259052928</v>
      </c>
      <c r="I57" s="11">
        <v>40.0</v>
      </c>
      <c r="M57" s="16">
        <v>19.592</v>
      </c>
    </row>
    <row r="58">
      <c r="A58" s="17">
        <v>177.45503115232626</v>
      </c>
      <c r="E58" s="17">
        <v>1.1534296875000247</v>
      </c>
      <c r="I58" s="11">
        <v>16.0</v>
      </c>
      <c r="M58" s="16">
        <v>18.552000000000003</v>
      </c>
    </row>
    <row r="59">
      <c r="A59" s="17">
        <v>3.9115044247787614</v>
      </c>
      <c r="E59" s="17">
        <v>6.0214116888045615</v>
      </c>
      <c r="I59" s="11">
        <v>36.0</v>
      </c>
      <c r="M59" s="16">
        <v>0.4</v>
      </c>
    </row>
    <row r="60">
      <c r="A60" s="17">
        <v>29.473956729383954</v>
      </c>
      <c r="E60" s="17">
        <v>9.648380095956163</v>
      </c>
      <c r="I60" s="11">
        <v>46.0</v>
      </c>
      <c r="M60" s="16">
        <v>1.192</v>
      </c>
    </row>
    <row r="61">
      <c r="A61" s="17">
        <v>3.6653849999999992</v>
      </c>
      <c r="E61" s="17">
        <v>11.30224754804891</v>
      </c>
      <c r="I61" s="11">
        <v>4.0</v>
      </c>
      <c r="M61" s="16">
        <v>2.2960000000000003</v>
      </c>
    </row>
    <row r="62">
      <c r="A62" s="17">
        <v>18.574849808847492</v>
      </c>
      <c r="E62" s="17">
        <v>17.895347995452816</v>
      </c>
      <c r="I62" s="11">
        <v>13.0</v>
      </c>
      <c r="M62" s="16">
        <v>28.0</v>
      </c>
    </row>
    <row r="63">
      <c r="A63" s="17">
        <v>3.522617856780113</v>
      </c>
      <c r="E63" s="17">
        <v>21.778365764753122</v>
      </c>
      <c r="I63" s="11">
        <v>9.0</v>
      </c>
      <c r="M63" s="16">
        <v>11.512</v>
      </c>
    </row>
    <row r="64">
      <c r="A64" s="17">
        <v>5.221161942183564</v>
      </c>
      <c r="E64" s="17">
        <v>23.393649047111634</v>
      </c>
      <c r="I64" s="11">
        <v>24.0</v>
      </c>
      <c r="M64" s="16">
        <v>5.4</v>
      </c>
    </row>
    <row r="65">
      <c r="A65" s="17">
        <v>1.4072396581196576</v>
      </c>
      <c r="E65" s="17">
        <v>31.087799102691925</v>
      </c>
      <c r="I65" s="11">
        <v>4.0</v>
      </c>
      <c r="M65" s="16">
        <v>3.2640000000000002</v>
      </c>
    </row>
    <row r="66">
      <c r="A66" s="17">
        <v>352.2049244237551</v>
      </c>
      <c r="E66" s="17">
        <v>0.2921739130434773</v>
      </c>
      <c r="I66" s="11">
        <v>31.0</v>
      </c>
      <c r="M66" s="16">
        <v>11.192</v>
      </c>
    </row>
    <row r="67">
      <c r="A67" s="17">
        <v>15.48811981735162</v>
      </c>
      <c r="E67" s="17">
        <v>62.834146573916584</v>
      </c>
      <c r="I67" s="11">
        <v>15.0</v>
      </c>
      <c r="M67" s="16">
        <v>11.488</v>
      </c>
    </row>
    <row r="68">
      <c r="A68" s="17">
        <v>126.47179773711416</v>
      </c>
      <c r="E68" s="17">
        <v>54.07817709011345</v>
      </c>
      <c r="I68" s="11">
        <v>39.0</v>
      </c>
      <c r="M68" s="16">
        <v>28.0</v>
      </c>
    </row>
    <row r="69">
      <c r="A69" s="17">
        <v>10.071097329888028</v>
      </c>
      <c r="E69" s="17">
        <v>21.25501457475379</v>
      </c>
      <c r="I69" s="11">
        <v>36.0</v>
      </c>
      <c r="M69" s="16">
        <v>0.5599999999999999</v>
      </c>
    </row>
    <row r="70">
      <c r="A70" s="17">
        <v>57.517129137958875</v>
      </c>
      <c r="E70" s="17">
        <v>1.0769880916030528</v>
      </c>
      <c r="I70" s="11">
        <v>41.0</v>
      </c>
      <c r="M70" s="16">
        <v>7.192</v>
      </c>
    </row>
    <row r="71">
      <c r="A71" s="17">
        <v>5.037682487725035</v>
      </c>
      <c r="E71" s="17">
        <v>72.13057504637479</v>
      </c>
      <c r="I71" s="11">
        <v>50.0</v>
      </c>
      <c r="M71" s="16">
        <v>0.5599999999999999</v>
      </c>
    </row>
    <row r="72">
      <c r="A72" s="17">
        <v>4.589848272921107</v>
      </c>
      <c r="E72" s="17">
        <v>7.544719448275857</v>
      </c>
      <c r="I72" s="11">
        <v>3.0</v>
      </c>
      <c r="M72" s="16">
        <v>3.192</v>
      </c>
    </row>
    <row r="73">
      <c r="A73" s="17">
        <v>8.845432653497083</v>
      </c>
      <c r="E73" s="17">
        <v>859.9613638240216</v>
      </c>
      <c r="I73" s="11">
        <v>34.0</v>
      </c>
      <c r="M73" s="16">
        <v>4.5920000000000005</v>
      </c>
    </row>
    <row r="74">
      <c r="A74" s="17">
        <v>6.385526387009474</v>
      </c>
      <c r="E74" s="17">
        <v>52.45482891376724</v>
      </c>
      <c r="I74" s="11">
        <v>1.0</v>
      </c>
      <c r="M74" s="16">
        <v>11.440000000000001</v>
      </c>
    </row>
    <row r="75">
      <c r="A75" s="17">
        <v>0.5820991044776114</v>
      </c>
      <c r="E75" s="17">
        <v>30.226511349737688</v>
      </c>
      <c r="I75" s="11">
        <v>3.0</v>
      </c>
      <c r="M75" s="16">
        <v>1.2560000000000002</v>
      </c>
    </row>
    <row r="76">
      <c r="A76" s="17">
        <v>320.7506609417606</v>
      </c>
      <c r="E76" s="17">
        <v>18.462151964034923</v>
      </c>
      <c r="I76" s="11">
        <v>38.0</v>
      </c>
      <c r="M76" s="16">
        <v>15.991999999999999</v>
      </c>
    </row>
    <row r="77">
      <c r="A77" s="17">
        <v>31.807580317824925</v>
      </c>
      <c r="E77" s="17">
        <v>136.78340584594648</v>
      </c>
      <c r="I77" s="11">
        <v>4.0</v>
      </c>
      <c r="M77" s="16">
        <v>48.160000000000004</v>
      </c>
    </row>
    <row r="78">
      <c r="A78" s="17">
        <v>124.56730463547345</v>
      </c>
      <c r="E78" s="17">
        <v>88.87331677865302</v>
      </c>
      <c r="I78" s="11">
        <v>42.0</v>
      </c>
      <c r="M78" s="16">
        <v>1.592</v>
      </c>
    </row>
    <row r="79">
      <c r="A79" s="17">
        <v>30.913535504181038</v>
      </c>
      <c r="E79" s="17">
        <v>1.4431494071146183</v>
      </c>
      <c r="I79" s="11">
        <v>23.0</v>
      </c>
      <c r="M79" s="16">
        <v>7.192</v>
      </c>
    </row>
    <row r="80">
      <c r="A80" s="17">
        <v>3.0814936708860805</v>
      </c>
      <c r="E80" s="17">
        <v>192.56226504804997</v>
      </c>
      <c r="I80" s="11">
        <v>36.0</v>
      </c>
      <c r="M80" s="16">
        <v>1.2800000000000002</v>
      </c>
    </row>
    <row r="81">
      <c r="A81" s="17">
        <v>217.4306542039663</v>
      </c>
      <c r="E81" s="17">
        <v>4.830871854545448</v>
      </c>
      <c r="I81" s="11">
        <v>46.0</v>
      </c>
      <c r="M81" s="16">
        <v>15.991999999999999</v>
      </c>
    </row>
    <row r="82">
      <c r="A82" s="17">
        <v>3.650167970479711</v>
      </c>
      <c r="E82" s="17">
        <v>64.55114730662889</v>
      </c>
      <c r="I82" s="11">
        <v>6.0</v>
      </c>
      <c r="M82" s="16">
        <v>4.664000000000001</v>
      </c>
    </row>
    <row r="83">
      <c r="A83" s="17">
        <v>353.86844989926306</v>
      </c>
      <c r="E83" s="17">
        <v>30.994332810218946</v>
      </c>
      <c r="I83" s="11">
        <v>40.0</v>
      </c>
      <c r="M83" s="16">
        <v>55.712</v>
      </c>
    </row>
    <row r="84">
      <c r="A84" s="17">
        <v>1.8322701688555336</v>
      </c>
      <c r="E84" s="17">
        <v>116.60090264345584</v>
      </c>
      <c r="I84" s="11">
        <v>17.0</v>
      </c>
      <c r="M84" s="16">
        <v>0.4</v>
      </c>
    </row>
    <row r="85">
      <c r="A85" s="17">
        <v>97.99975176735794</v>
      </c>
      <c r="E85" s="17">
        <v>17.170695419571373</v>
      </c>
      <c r="I85" s="11">
        <v>37.0</v>
      </c>
      <c r="M85" s="16">
        <v>1.592</v>
      </c>
    </row>
    <row r="86">
      <c r="A86" s="17">
        <v>122.7402899294922</v>
      </c>
      <c r="E86" s="17">
        <v>437.3097631665832</v>
      </c>
      <c r="I86" s="11">
        <v>38.0</v>
      </c>
      <c r="M86" s="16">
        <v>4.904</v>
      </c>
    </row>
    <row r="87">
      <c r="A87" s="17">
        <v>266.23221597126775</v>
      </c>
      <c r="E87" s="17">
        <v>29.265029082942267</v>
      </c>
      <c r="I87" s="11">
        <v>42.0</v>
      </c>
      <c r="M87" s="16">
        <v>44.96000000000001</v>
      </c>
    </row>
    <row r="88">
      <c r="A88" s="17">
        <v>452.6231070765426</v>
      </c>
      <c r="E88" s="17">
        <v>5.590395646258497</v>
      </c>
      <c r="I88" s="11">
        <v>31.0</v>
      </c>
      <c r="M88" s="16">
        <v>55.2</v>
      </c>
    </row>
    <row r="89">
      <c r="A89" s="17">
        <v>2.3963118040089015</v>
      </c>
      <c r="E89" s="17">
        <v>12.994740229885094</v>
      </c>
      <c r="I89" s="11">
        <v>38.0</v>
      </c>
      <c r="M89" s="16">
        <v>0.5599999999999999</v>
      </c>
    </row>
    <row r="90">
      <c r="A90" s="17">
        <v>518.7384320582654</v>
      </c>
      <c r="E90" s="17">
        <v>49.594597200694096</v>
      </c>
      <c r="I90" s="11">
        <v>49.0</v>
      </c>
      <c r="M90" s="16">
        <v>56.160000000000004</v>
      </c>
    </row>
    <row r="91">
      <c r="A91" s="17">
        <v>8.117773209432968</v>
      </c>
      <c r="E91" s="17">
        <v>6.347125194805187</v>
      </c>
      <c r="I91" s="11">
        <v>46.0</v>
      </c>
      <c r="M91" s="16">
        <v>0.4</v>
      </c>
    </row>
    <row r="92">
      <c r="A92" s="17">
        <v>5.49351213872833</v>
      </c>
      <c r="E92" s="17">
        <v>186.42412623853176</v>
      </c>
      <c r="I92" s="11">
        <v>22.0</v>
      </c>
      <c r="M92" s="16">
        <v>8.92</v>
      </c>
    </row>
    <row r="93">
      <c r="A93" s="17">
        <v>8.430018051787915</v>
      </c>
      <c r="E93" s="17">
        <v>24.05845287107259</v>
      </c>
      <c r="I93" s="11">
        <v>10.0</v>
      </c>
      <c r="M93" s="16">
        <v>5.5440000000000005</v>
      </c>
    </row>
    <row r="94">
      <c r="A94" s="17">
        <v>102.1049312615538</v>
      </c>
      <c r="E94" s="17">
        <v>70.22018252835412</v>
      </c>
      <c r="I94" s="11">
        <v>50.0</v>
      </c>
      <c r="M94" s="16">
        <v>1.592</v>
      </c>
    </row>
    <row r="95">
      <c r="A95" s="17">
        <v>6.5789160384833</v>
      </c>
      <c r="E95" s="17">
        <v>277.50021956782433</v>
      </c>
      <c r="I95" s="11">
        <v>20.0</v>
      </c>
      <c r="M95" s="16">
        <v>3.8560000000000003</v>
      </c>
    </row>
    <row r="96">
      <c r="A96" s="17">
        <v>15.013302935465452</v>
      </c>
      <c r="E96" s="17">
        <v>9.093101268292687</v>
      </c>
      <c r="I96" s="11">
        <v>15.0</v>
      </c>
      <c r="M96" s="16">
        <v>10.016</v>
      </c>
    </row>
    <row r="97">
      <c r="A97" s="17">
        <v>220.87384381298148</v>
      </c>
      <c r="E97" s="17">
        <v>5.218993003300331</v>
      </c>
      <c r="I97" s="11">
        <v>45.0</v>
      </c>
      <c r="M97" s="16">
        <v>24.0</v>
      </c>
    </row>
    <row r="98">
      <c r="A98" s="17">
        <v>48.94800607594919</v>
      </c>
      <c r="E98" s="17">
        <v>13.36609775136208</v>
      </c>
      <c r="I98" s="11">
        <v>24.0</v>
      </c>
      <c r="M98" s="16">
        <v>3.192</v>
      </c>
    </row>
    <row r="99">
      <c r="A99" s="17">
        <v>19.10862592389651</v>
      </c>
      <c r="E99" s="17">
        <v>2.291906687402795</v>
      </c>
      <c r="I99" s="11">
        <v>46.0</v>
      </c>
      <c r="M99" s="16">
        <v>4.5280000000000005</v>
      </c>
    </row>
    <row r="100">
      <c r="A100" s="17">
        <v>9.181581819554548</v>
      </c>
      <c r="E100" s="17">
        <v>276.0119794566173</v>
      </c>
      <c r="I100" s="11">
        <v>14.0</v>
      </c>
      <c r="M100" s="16">
        <v>7.5760000000000005</v>
      </c>
    </row>
    <row r="101">
      <c r="A101" s="17">
        <v>95.01803750812704</v>
      </c>
      <c r="E101" s="17">
        <v>22.244054513056852</v>
      </c>
      <c r="I101" s="11">
        <v>46.0</v>
      </c>
      <c r="M101" s="16">
        <v>2.3920000000000003</v>
      </c>
    </row>
    <row r="102">
      <c r="A102" s="17">
        <v>54.46964625676338</v>
      </c>
      <c r="E102" s="17">
        <v>22.598316310907897</v>
      </c>
      <c r="I102" s="11">
        <v>47.0</v>
      </c>
      <c r="M102" s="16">
        <v>7.192</v>
      </c>
    </row>
    <row r="103">
      <c r="A103" s="17">
        <v>118.28021948415845</v>
      </c>
      <c r="E103" s="17">
        <v>1.7734454122621632</v>
      </c>
      <c r="I103" s="11">
        <v>43.0</v>
      </c>
      <c r="M103" s="16">
        <v>48.160000000000004</v>
      </c>
    </row>
    <row r="104">
      <c r="A104" s="17">
        <v>3.002146015037606</v>
      </c>
      <c r="E104" s="17">
        <v>17.852782186878763</v>
      </c>
      <c r="I104" s="11">
        <v>7.0</v>
      </c>
      <c r="M104" s="16">
        <v>6.008</v>
      </c>
    </row>
    <row r="105">
      <c r="A105" s="17">
        <v>10.426457766233783</v>
      </c>
      <c r="E105" s="17">
        <v>4.865867690517771</v>
      </c>
      <c r="I105" s="11">
        <v>22.0</v>
      </c>
      <c r="M105" s="16">
        <v>4.152</v>
      </c>
    </row>
    <row r="106">
      <c r="A106" s="17">
        <v>6.3429944369693745</v>
      </c>
      <c r="E106" s="17">
        <v>45.91761707274935</v>
      </c>
      <c r="I106" s="11">
        <v>44.0</v>
      </c>
      <c r="M106" s="16">
        <v>11.512</v>
      </c>
    </row>
    <row r="107">
      <c r="A107" s="17">
        <v>652.602661176561</v>
      </c>
      <c r="E107" s="17">
        <v>34.797017466038234</v>
      </c>
      <c r="I107" s="11">
        <v>36.0</v>
      </c>
      <c r="M107" s="16">
        <v>40.0</v>
      </c>
    </row>
    <row r="108">
      <c r="A108" s="17">
        <v>36.23829360655736</v>
      </c>
      <c r="E108" s="17">
        <v>18.368941381331094</v>
      </c>
      <c r="I108" s="11">
        <v>48.0</v>
      </c>
      <c r="M108" s="16">
        <v>4.376</v>
      </c>
    </row>
    <row r="109">
      <c r="A109" s="17">
        <v>10.53804548587181</v>
      </c>
      <c r="E109" s="17">
        <v>348.8278889363454</v>
      </c>
      <c r="I109" s="11">
        <v>13.0</v>
      </c>
      <c r="M109" s="16">
        <v>7.56</v>
      </c>
    </row>
    <row r="110">
      <c r="A110" s="17">
        <v>1.093278926174497</v>
      </c>
      <c r="E110" s="17">
        <v>1.232169749103941</v>
      </c>
      <c r="I110" s="11">
        <v>2.0</v>
      </c>
      <c r="M110" s="16">
        <v>1.7120000000000002</v>
      </c>
    </row>
    <row r="111">
      <c r="A111" s="17">
        <v>898.4170198897881</v>
      </c>
      <c r="E111" s="17">
        <v>38.606259168704135</v>
      </c>
      <c r="I111" s="11">
        <v>30.0</v>
      </c>
      <c r="M111" s="16">
        <v>47.136</v>
      </c>
    </row>
    <row r="112">
      <c r="A112" s="17">
        <v>83.08022165292768</v>
      </c>
      <c r="E112" s="17">
        <v>1.9399991304347803</v>
      </c>
      <c r="I112" s="11">
        <v>8.0</v>
      </c>
      <c r="M112" s="16">
        <v>55.712</v>
      </c>
    </row>
    <row r="113">
      <c r="A113" s="17">
        <v>3.0878531773177094</v>
      </c>
      <c r="E113" s="17">
        <v>58.98762021683257</v>
      </c>
      <c r="I113" s="11">
        <v>37.0</v>
      </c>
      <c r="M113" s="16">
        <v>0.768</v>
      </c>
    </row>
    <row r="114">
      <c r="A114" s="17">
        <v>0.8696087272727272</v>
      </c>
      <c r="E114" s="17">
        <v>46.72550702005232</v>
      </c>
      <c r="I114" s="11">
        <v>4.0</v>
      </c>
      <c r="M114" s="16">
        <v>2.048</v>
      </c>
    </row>
    <row r="115">
      <c r="A115" s="17">
        <v>6.6685535964912175</v>
      </c>
      <c r="E115" s="17">
        <v>2.7733664680851025</v>
      </c>
      <c r="I115" s="11">
        <v>29.0</v>
      </c>
      <c r="M115" s="16">
        <v>4.368</v>
      </c>
    </row>
    <row r="116">
      <c r="A116" s="17">
        <v>21.467356770938455</v>
      </c>
      <c r="E116" s="17">
        <v>42.91934017506821</v>
      </c>
      <c r="I116" s="11">
        <v>33.0</v>
      </c>
      <c r="M116" s="16">
        <v>4.024</v>
      </c>
    </row>
    <row r="117">
      <c r="A117" s="17">
        <v>23.97841466395115</v>
      </c>
      <c r="E117" s="17">
        <v>4.192029834586462</v>
      </c>
      <c r="I117" s="11">
        <v>24.0</v>
      </c>
      <c r="M117" s="16">
        <v>4.920000000000001</v>
      </c>
    </row>
    <row r="118">
      <c r="A118" s="17">
        <v>1066.2844355225625</v>
      </c>
      <c r="E118" s="17">
        <v>74.62439092143488</v>
      </c>
      <c r="I118" s="11">
        <v>40.0</v>
      </c>
      <c r="M118" s="16">
        <v>11.76</v>
      </c>
    </row>
    <row r="119">
      <c r="A119" s="17">
        <v>135.28906804932024</v>
      </c>
      <c r="E119" s="17">
        <v>15.137782812254505</v>
      </c>
      <c r="I119" s="11">
        <v>50.0</v>
      </c>
      <c r="M119" s="16">
        <v>6.184000000000001</v>
      </c>
    </row>
    <row r="120">
      <c r="A120" s="17">
        <v>15.973579969304996</v>
      </c>
      <c r="E120" s="17">
        <v>16.901155450864877</v>
      </c>
      <c r="I120" s="11">
        <v>19.0</v>
      </c>
      <c r="M120" s="16">
        <v>42.42400000000001</v>
      </c>
    </row>
    <row r="121">
      <c r="A121" s="17">
        <v>5.544823387622165</v>
      </c>
      <c r="E121" s="17">
        <v>1.489705036202717</v>
      </c>
      <c r="I121" s="11">
        <v>17.0</v>
      </c>
      <c r="M121" s="16">
        <v>7.024</v>
      </c>
    </row>
    <row r="122">
      <c r="A122" s="17">
        <v>42.80019694187264</v>
      </c>
      <c r="E122" s="17">
        <v>25.123467870967726</v>
      </c>
      <c r="I122" s="11">
        <v>30.0</v>
      </c>
      <c r="M122" s="16">
        <v>6.992000000000001</v>
      </c>
    </row>
    <row r="123">
      <c r="A123" s="17">
        <v>18.691293856079398</v>
      </c>
      <c r="E123" s="17">
        <v>8.163235294117642</v>
      </c>
      <c r="I123" s="11">
        <v>12.0</v>
      </c>
      <c r="M123" s="16">
        <v>3.192</v>
      </c>
    </row>
    <row r="124">
      <c r="A124" s="17">
        <v>108.9650558270408</v>
      </c>
      <c r="E124" s="17">
        <v>93.078197124183</v>
      </c>
      <c r="I124" s="11">
        <v>22.0</v>
      </c>
      <c r="M124" s="16">
        <v>17.791999999999998</v>
      </c>
    </row>
    <row r="125">
      <c r="A125" s="17">
        <v>48.50767225763174</v>
      </c>
      <c r="E125" s="17">
        <v>14.302253300626836</v>
      </c>
      <c r="I125" s="11">
        <v>39.0</v>
      </c>
      <c r="M125" s="16">
        <v>6.840000000000001</v>
      </c>
    </row>
    <row r="126">
      <c r="A126" s="17">
        <v>68.58094241715125</v>
      </c>
      <c r="E126" s="17">
        <v>21.127841974496153</v>
      </c>
      <c r="I126" s="11">
        <v>31.0</v>
      </c>
      <c r="M126" s="16">
        <v>28.0</v>
      </c>
    </row>
    <row r="127">
      <c r="A127" s="17">
        <v>31.86061275186306</v>
      </c>
      <c r="E127" s="17">
        <v>3.6874223826714796</v>
      </c>
      <c r="I127" s="11">
        <v>31.0</v>
      </c>
      <c r="M127" s="16">
        <v>4.6000000000000005</v>
      </c>
    </row>
    <row r="128">
      <c r="A128" s="17">
        <v>1.8665240701754378</v>
      </c>
      <c r="E128" s="17">
        <v>80.93645230727823</v>
      </c>
      <c r="I128" s="11">
        <v>3.0</v>
      </c>
      <c r="M128" s="16">
        <v>1.592</v>
      </c>
    </row>
    <row r="129">
      <c r="A129" s="17">
        <v>3.689914788273622</v>
      </c>
      <c r="E129" s="17">
        <v>17.380112834978913</v>
      </c>
      <c r="I129" s="11">
        <v>22.0</v>
      </c>
      <c r="M129" s="16">
        <v>2.3920000000000003</v>
      </c>
    </row>
    <row r="130">
      <c r="A130" s="17">
        <v>32.04905204663479</v>
      </c>
      <c r="E130" s="17">
        <v>25.866288164383583</v>
      </c>
      <c r="I130" s="11">
        <v>24.0</v>
      </c>
      <c r="M130" s="16">
        <v>5.976</v>
      </c>
    </row>
    <row r="131">
      <c r="A131" s="17">
        <v>135.1732439643633</v>
      </c>
      <c r="E131" s="17">
        <v>648.0418489027738</v>
      </c>
      <c r="I131" s="11">
        <v>16.0</v>
      </c>
      <c r="M131" s="16">
        <v>7.040000000000001</v>
      </c>
    </row>
    <row r="132">
      <c r="A132" s="17">
        <v>5.967172385786794</v>
      </c>
      <c r="E132" s="17">
        <v>66.44837601811554</v>
      </c>
      <c r="I132" s="11">
        <v>14.0</v>
      </c>
      <c r="M132" s="16">
        <v>3.696</v>
      </c>
    </row>
    <row r="133">
      <c r="A133" s="17">
        <v>87.54988491150456</v>
      </c>
      <c r="E133" s="17">
        <v>20.57239525881473</v>
      </c>
      <c r="I133" s="11">
        <v>10.0</v>
      </c>
      <c r="M133" s="16">
        <v>43.792</v>
      </c>
    </row>
    <row r="134">
      <c r="A134" s="17">
        <v>557.5371870995004</v>
      </c>
      <c r="E134" s="17">
        <v>45.54387451362735</v>
      </c>
      <c r="I134" s="11">
        <v>39.0</v>
      </c>
      <c r="M134" s="16">
        <v>34.016000000000005</v>
      </c>
    </row>
    <row r="135">
      <c r="A135" s="17">
        <v>201.3830344921632</v>
      </c>
      <c r="E135" s="17">
        <v>1.9839972294372294</v>
      </c>
      <c r="I135" s="11">
        <v>18.0</v>
      </c>
      <c r="M135" s="16">
        <v>7.256</v>
      </c>
    </row>
    <row r="136">
      <c r="A136" s="17">
        <v>15.110967418738037</v>
      </c>
      <c r="E136" s="17">
        <v>294.3192387532047</v>
      </c>
      <c r="I136" s="11">
        <v>23.0</v>
      </c>
      <c r="M136" s="16">
        <v>1.904</v>
      </c>
    </row>
    <row r="137">
      <c r="A137" s="17">
        <v>335.35621701419035</v>
      </c>
      <c r="E137" s="17">
        <v>162.6209686470451</v>
      </c>
      <c r="I137" s="11">
        <v>29.0</v>
      </c>
      <c r="M137" s="16">
        <v>3.3600000000000003</v>
      </c>
    </row>
    <row r="138">
      <c r="A138" s="17">
        <v>11.95568957669545</v>
      </c>
      <c r="E138" s="17">
        <v>39.89042837092004</v>
      </c>
      <c r="I138" s="11">
        <v>37.0</v>
      </c>
      <c r="M138" s="16">
        <v>9.0</v>
      </c>
    </row>
    <row r="139">
      <c r="A139" s="17">
        <v>23.707789863395597</v>
      </c>
      <c r="E139" s="17">
        <v>313.0484082474893</v>
      </c>
      <c r="I139" s="11">
        <v>8.0</v>
      </c>
      <c r="M139" s="16">
        <v>5.976</v>
      </c>
    </row>
    <row r="140">
      <c r="A140" s="17">
        <v>203.87221947482527</v>
      </c>
      <c r="E140" s="17">
        <v>9.956781906300487</v>
      </c>
      <c r="I140" s="11">
        <v>1.0</v>
      </c>
      <c r="M140" s="16">
        <v>19.592</v>
      </c>
    </row>
    <row r="141">
      <c r="A141" s="17">
        <v>82.67098314036159</v>
      </c>
      <c r="E141" s="17">
        <v>8.380956494303234</v>
      </c>
      <c r="I141" s="11">
        <v>29.0</v>
      </c>
      <c r="M141" s="16">
        <v>3.2</v>
      </c>
    </row>
    <row r="142">
      <c r="A142" s="17">
        <v>8.657596881851399</v>
      </c>
      <c r="E142" s="17">
        <v>6.5144959503490965</v>
      </c>
      <c r="I142" s="11">
        <v>34.0</v>
      </c>
      <c r="M142" s="16">
        <v>4.264</v>
      </c>
    </row>
    <row r="143">
      <c r="A143" s="17">
        <v>115.06543474222286</v>
      </c>
      <c r="E143" s="17">
        <v>453.53862149810556</v>
      </c>
      <c r="I143" s="11">
        <v>6.0</v>
      </c>
      <c r="M143" s="16">
        <v>7.192</v>
      </c>
    </row>
    <row r="144">
      <c r="A144" s="17">
        <v>24.442070023732498</v>
      </c>
      <c r="E144" s="17">
        <v>45.75010471913965</v>
      </c>
      <c r="I144" s="11">
        <v>45.0</v>
      </c>
      <c r="M144" s="16">
        <v>1.1119999999999999</v>
      </c>
    </row>
    <row r="145">
      <c r="A145" s="17">
        <v>4.4873491410392266</v>
      </c>
      <c r="E145" s="17">
        <v>65.12541812370499</v>
      </c>
      <c r="I145" s="11">
        <v>27.0</v>
      </c>
      <c r="M145" s="16">
        <v>3.176</v>
      </c>
    </row>
    <row r="146">
      <c r="A146" s="17">
        <v>28.416532846108897</v>
      </c>
      <c r="E146" s="17">
        <v>11.801121319199074</v>
      </c>
      <c r="I146" s="11">
        <v>36.0</v>
      </c>
      <c r="M146" s="16">
        <v>7.040000000000001</v>
      </c>
    </row>
    <row r="147">
      <c r="A147" s="17">
        <v>5.314781849462364</v>
      </c>
      <c r="E147" s="17">
        <v>11.900059293044496</v>
      </c>
      <c r="I147" s="11">
        <v>5.0</v>
      </c>
      <c r="M147" s="16">
        <v>6.024000000000001</v>
      </c>
    </row>
    <row r="148">
      <c r="A148" s="17">
        <v>4.7413535717988635</v>
      </c>
      <c r="E148" s="17">
        <v>236.96488347697334</v>
      </c>
      <c r="I148" s="11">
        <v>9.0</v>
      </c>
      <c r="M148" s="16">
        <v>8.936</v>
      </c>
    </row>
    <row r="149">
      <c r="A149" s="17">
        <v>5.958828636836634</v>
      </c>
      <c r="E149" s="17">
        <v>254.50272382290945</v>
      </c>
      <c r="I149" s="11">
        <v>9.0</v>
      </c>
      <c r="M149" s="16">
        <v>6.944</v>
      </c>
    </row>
    <row r="150">
      <c r="A150" s="17">
        <v>12.60579950289975</v>
      </c>
      <c r="E150" s="17">
        <v>39.91579990114523</v>
      </c>
      <c r="I150" s="11">
        <v>21.0</v>
      </c>
      <c r="M150" s="16">
        <v>39.2</v>
      </c>
    </row>
    <row r="151">
      <c r="A151" s="17">
        <v>4.220251495946897</v>
      </c>
      <c r="E151" s="17">
        <v>32.027352449903155</v>
      </c>
      <c r="I151" s="11">
        <v>35.0</v>
      </c>
      <c r="M151" s="16">
        <v>1.1119999999999999</v>
      </c>
    </row>
    <row r="152">
      <c r="A152" s="17">
        <v>879.1120097071038</v>
      </c>
      <c r="E152" s="17">
        <v>12.243508911988897</v>
      </c>
      <c r="I152" s="11">
        <v>33.0</v>
      </c>
      <c r="M152" s="16">
        <v>38.608000000000004</v>
      </c>
    </row>
    <row r="153">
      <c r="A153" s="17">
        <v>49.13858259325023</v>
      </c>
      <c r="E153" s="17">
        <v>4.0897435897435885</v>
      </c>
      <c r="I153" s="11">
        <v>33.0</v>
      </c>
      <c r="M153" s="16">
        <v>2.64</v>
      </c>
    </row>
    <row r="154">
      <c r="A154" s="17">
        <v>18.935146985360046</v>
      </c>
      <c r="E154" s="17">
        <v>100.40536757572016</v>
      </c>
      <c r="I154" s="11">
        <v>36.0</v>
      </c>
      <c r="M154" s="16">
        <v>4.952000000000001</v>
      </c>
    </row>
    <row r="155">
      <c r="A155" s="17">
        <v>9.959991207519886</v>
      </c>
      <c r="E155" s="17">
        <v>1.277284308797134</v>
      </c>
      <c r="I155" s="11">
        <v>19.0</v>
      </c>
      <c r="M155" s="16">
        <v>5.896000000000001</v>
      </c>
    </row>
    <row r="156">
      <c r="A156" s="17">
        <v>481.45293537304786</v>
      </c>
      <c r="E156" s="17">
        <v>8.153134545454536</v>
      </c>
      <c r="I156" s="11">
        <v>36.0</v>
      </c>
      <c r="M156" s="16">
        <v>19.008000000000003</v>
      </c>
    </row>
    <row r="157">
      <c r="A157" s="17">
        <v>27.714716393966512</v>
      </c>
      <c r="E157" s="17">
        <v>294.1091089222014</v>
      </c>
      <c r="I157" s="11">
        <v>6.0</v>
      </c>
      <c r="M157" s="16">
        <v>23.368000000000002</v>
      </c>
    </row>
    <row r="158">
      <c r="A158" s="17">
        <v>501.67361283131027</v>
      </c>
      <c r="E158" s="17">
        <v>3.0828767959949968</v>
      </c>
      <c r="I158" s="11">
        <v>38.0</v>
      </c>
      <c r="M158" s="16">
        <v>55.2</v>
      </c>
    </row>
    <row r="159">
      <c r="A159" s="17">
        <v>287.1857109081867</v>
      </c>
      <c r="E159" s="17">
        <v>6.063336797583084</v>
      </c>
      <c r="I159" s="11">
        <v>24.0</v>
      </c>
      <c r="M159" s="16">
        <v>43.296</v>
      </c>
    </row>
    <row r="160">
      <c r="A160" s="17">
        <v>1.3728932038834962</v>
      </c>
      <c r="E160" s="17">
        <v>3.6003150984682692</v>
      </c>
      <c r="I160" s="11">
        <v>17.0</v>
      </c>
      <c r="M160" s="16">
        <v>0.5599999999999999</v>
      </c>
    </row>
    <row r="161">
      <c r="A161" s="17">
        <v>7.2332264957264885</v>
      </c>
      <c r="E161" s="17">
        <v>2.7676026463104284</v>
      </c>
      <c r="I161" s="11">
        <v>11.0</v>
      </c>
      <c r="M161" s="16">
        <v>3.2</v>
      </c>
    </row>
    <row r="162">
      <c r="A162" s="17">
        <v>20.95972256941568</v>
      </c>
      <c r="E162" s="17">
        <v>7.306787628865974</v>
      </c>
      <c r="I162" s="11">
        <v>14.0</v>
      </c>
      <c r="M162" s="16">
        <v>1.1119999999999999</v>
      </c>
    </row>
    <row r="163">
      <c r="A163" s="17">
        <v>6.5434398822375295</v>
      </c>
      <c r="E163" s="17">
        <v>39.265774229319</v>
      </c>
      <c r="I163" s="11">
        <v>19.0</v>
      </c>
      <c r="M163" s="16">
        <v>3.848</v>
      </c>
    </row>
    <row r="164">
      <c r="A164" s="17">
        <v>2.1276872964169384</v>
      </c>
      <c r="E164" s="17">
        <v>172.05104479992258</v>
      </c>
      <c r="I164" s="11">
        <v>10.0</v>
      </c>
      <c r="M164" s="16">
        <v>0.4</v>
      </c>
    </row>
    <row r="165">
      <c r="A165" s="17">
        <v>112.95107967306062</v>
      </c>
      <c r="E165" s="17">
        <v>65.50201942465348</v>
      </c>
      <c r="I165" s="11">
        <v>44.0</v>
      </c>
      <c r="M165" s="16">
        <v>51.728</v>
      </c>
    </row>
    <row r="166">
      <c r="A166" s="17">
        <v>10.692119124087599</v>
      </c>
      <c r="E166" s="17">
        <v>1.5898332009531317</v>
      </c>
      <c r="I166" s="11">
        <v>28.0</v>
      </c>
      <c r="M166" s="16">
        <v>4.5040000000000004</v>
      </c>
    </row>
    <row r="167">
      <c r="A167" s="17">
        <v>84.75975856294521</v>
      </c>
      <c r="E167" s="17">
        <v>503.87810542926275</v>
      </c>
      <c r="I167" s="11">
        <v>19.0</v>
      </c>
      <c r="M167" s="16">
        <v>4.208</v>
      </c>
    </row>
    <row r="168">
      <c r="A168" s="17">
        <v>1.499212598425195</v>
      </c>
      <c r="E168" s="17">
        <v>21.163758492483563</v>
      </c>
      <c r="I168" s="11">
        <v>9.0</v>
      </c>
      <c r="M168" s="16">
        <v>0.4</v>
      </c>
    </row>
    <row r="169">
      <c r="A169" s="17">
        <v>2.6497933884297686</v>
      </c>
      <c r="E169" s="17">
        <v>30.7370033491793</v>
      </c>
      <c r="I169" s="11">
        <v>7.0</v>
      </c>
      <c r="M169" s="16">
        <v>3.2</v>
      </c>
    </row>
    <row r="170">
      <c r="A170" s="17">
        <v>383.4658679308054</v>
      </c>
      <c r="E170" s="17">
        <v>69.4292128203961</v>
      </c>
      <c r="I170" s="11">
        <v>6.0</v>
      </c>
      <c r="M170" s="16">
        <v>19.592</v>
      </c>
    </row>
    <row r="171">
      <c r="A171" s="17">
        <v>4.05343335064935</v>
      </c>
      <c r="E171" s="17">
        <v>10.660206633165853</v>
      </c>
      <c r="I171" s="11">
        <v>4.0</v>
      </c>
      <c r="M171" s="16">
        <v>6.696</v>
      </c>
    </row>
    <row r="172">
      <c r="A172" s="17">
        <v>223.81333333333342</v>
      </c>
      <c r="E172" s="17">
        <v>30.810155163784437</v>
      </c>
      <c r="I172" s="11">
        <v>16.0</v>
      </c>
      <c r="M172" s="16">
        <v>3.2</v>
      </c>
    </row>
    <row r="173">
      <c r="A173" s="17">
        <v>51.25094526266686</v>
      </c>
      <c r="E173" s="17">
        <v>8.934710679611664</v>
      </c>
      <c r="I173" s="11">
        <v>32.0</v>
      </c>
      <c r="M173" s="16">
        <v>14.280000000000001</v>
      </c>
    </row>
    <row r="174">
      <c r="A174" s="17">
        <v>5.410828699902248</v>
      </c>
      <c r="E174" s="17">
        <v>0.5238049315068498</v>
      </c>
      <c r="I174" s="11">
        <v>20.0</v>
      </c>
      <c r="M174" s="16">
        <v>0.568</v>
      </c>
    </row>
    <row r="175">
      <c r="A175" s="17">
        <v>7.897860213259158</v>
      </c>
      <c r="E175" s="17">
        <v>2.21036897338403</v>
      </c>
      <c r="I175" s="11">
        <v>28.0</v>
      </c>
      <c r="M175" s="16">
        <v>6.152000000000001</v>
      </c>
    </row>
    <row r="176">
      <c r="A176" s="17">
        <v>107.81602851026439</v>
      </c>
      <c r="E176" s="17">
        <v>15.58925435336977</v>
      </c>
      <c r="I176" s="11">
        <v>3.0</v>
      </c>
      <c r="M176" s="16">
        <v>19.592</v>
      </c>
    </row>
    <row r="177">
      <c r="A177" s="17">
        <v>5.662354212765964</v>
      </c>
      <c r="E177" s="17">
        <v>47.618023579800294</v>
      </c>
      <c r="I177" s="11">
        <v>7.0</v>
      </c>
      <c r="M177" s="16">
        <v>4.648</v>
      </c>
    </row>
    <row r="178">
      <c r="A178" s="17">
        <v>4.64892650361965</v>
      </c>
      <c r="E178" s="17">
        <v>606.2589092014534</v>
      </c>
      <c r="I178" s="11">
        <v>36.0</v>
      </c>
      <c r="M178" s="16">
        <v>6.008</v>
      </c>
    </row>
    <row r="179">
      <c r="A179" s="17">
        <v>3.9003199273057785</v>
      </c>
      <c r="E179" s="17">
        <v>30.37146994931214</v>
      </c>
      <c r="I179" s="11">
        <v>20.0</v>
      </c>
      <c r="M179" s="16">
        <v>4.128</v>
      </c>
    </row>
    <row r="180">
      <c r="A180" s="17">
        <v>67.7455726795659</v>
      </c>
      <c r="E180" s="17">
        <v>38.24236820657127</v>
      </c>
      <c r="I180" s="11">
        <v>11.0</v>
      </c>
      <c r="M180" s="16">
        <v>11.192</v>
      </c>
    </row>
    <row r="181">
      <c r="A181" s="17">
        <v>9.515655804075974</v>
      </c>
      <c r="E181" s="17">
        <v>100.06053108317047</v>
      </c>
      <c r="I181" s="11">
        <v>30.0</v>
      </c>
      <c r="M181" s="16">
        <v>7.224</v>
      </c>
    </row>
    <row r="182">
      <c r="A182" s="17">
        <v>10.971872443393071</v>
      </c>
      <c r="E182" s="17">
        <v>111.78352219730381</v>
      </c>
      <c r="I182" s="11">
        <v>23.0</v>
      </c>
      <c r="M182" s="16">
        <v>3.8880000000000003</v>
      </c>
    </row>
    <row r="183">
      <c r="A183" s="17">
        <v>82.10812163241276</v>
      </c>
      <c r="E183" s="17">
        <v>3.1673447098976104</v>
      </c>
      <c r="I183" s="11">
        <v>46.0</v>
      </c>
      <c r="M183" s="16">
        <v>6.184000000000001</v>
      </c>
    </row>
    <row r="184">
      <c r="A184" s="17">
        <v>23.396368527236064</v>
      </c>
      <c r="E184" s="17">
        <v>5.525660646830518</v>
      </c>
      <c r="I184" s="11">
        <v>41.0</v>
      </c>
      <c r="M184" s="16">
        <v>1.2000000000000002</v>
      </c>
    </row>
    <row r="185">
      <c r="A185" s="17">
        <v>5.152492121212128</v>
      </c>
      <c r="E185" s="17">
        <v>54.26398934004481</v>
      </c>
      <c r="I185" s="11">
        <v>7.0</v>
      </c>
      <c r="M185" s="16">
        <v>4.5920000000000005</v>
      </c>
    </row>
    <row r="186">
      <c r="A186" s="17">
        <v>52.57335548172752</v>
      </c>
      <c r="E186" s="17">
        <v>12.417513455185336</v>
      </c>
      <c r="I186" s="11">
        <v>34.0</v>
      </c>
      <c r="M186" s="16">
        <v>3.2</v>
      </c>
    </row>
    <row r="187">
      <c r="A187" s="17">
        <v>20.144538234963495</v>
      </c>
      <c r="E187" s="17">
        <v>1.748780876494071</v>
      </c>
      <c r="I187" s="11">
        <v>41.0</v>
      </c>
      <c r="M187" s="16">
        <v>2.2640000000000002</v>
      </c>
    </row>
    <row r="188">
      <c r="A188" s="17">
        <v>126.87771748795114</v>
      </c>
      <c r="E188" s="17">
        <v>15.930683455202894</v>
      </c>
      <c r="I188" s="11">
        <v>49.0</v>
      </c>
      <c r="M188" s="16">
        <v>14.76</v>
      </c>
    </row>
    <row r="189">
      <c r="A189" s="17">
        <v>0.5760000000000014</v>
      </c>
      <c r="E189" s="17">
        <v>26.35196719970435</v>
      </c>
      <c r="I189" s="11">
        <v>2.0</v>
      </c>
      <c r="M189" s="16">
        <v>1.2000000000000002</v>
      </c>
    </row>
    <row r="190">
      <c r="A190" s="17">
        <v>629.0714897663958</v>
      </c>
      <c r="E190" s="17">
        <v>2.6027124909747275</v>
      </c>
      <c r="I190" s="11">
        <v>39.0</v>
      </c>
      <c r="M190" s="16">
        <v>7.192</v>
      </c>
    </row>
    <row r="191">
      <c r="A191" s="17">
        <v>29.617048183754193</v>
      </c>
      <c r="E191" s="17">
        <v>10.840631498746859</v>
      </c>
      <c r="I191" s="11">
        <v>11.0</v>
      </c>
      <c r="M191" s="16">
        <v>48.160000000000004</v>
      </c>
    </row>
    <row r="192">
      <c r="A192" s="17">
        <v>3.4969192041267627</v>
      </c>
      <c r="E192" s="17">
        <v>901.5296169738646</v>
      </c>
      <c r="I192" s="11">
        <v>7.0</v>
      </c>
      <c r="M192" s="16">
        <v>6.808</v>
      </c>
    </row>
    <row r="193">
      <c r="A193" s="17">
        <v>23.105860870567835</v>
      </c>
      <c r="E193" s="17">
        <v>139.41597458706258</v>
      </c>
      <c r="I193" s="11">
        <v>36.0</v>
      </c>
      <c r="M193" s="16">
        <v>1.6079999999999999</v>
      </c>
    </row>
    <row r="194">
      <c r="A194" s="17">
        <v>525.6865413356819</v>
      </c>
      <c r="E194" s="17">
        <v>1379.1381465202794</v>
      </c>
      <c r="I194" s="11">
        <v>40.0</v>
      </c>
      <c r="M194" s="16">
        <v>3.9920000000000004</v>
      </c>
    </row>
    <row r="195">
      <c r="A195" s="17">
        <v>20.325049742710128</v>
      </c>
      <c r="E195" s="17">
        <v>54.18866850303981</v>
      </c>
      <c r="I195" s="11">
        <v>48.0</v>
      </c>
      <c r="M195" s="16">
        <v>4.32</v>
      </c>
    </row>
    <row r="196">
      <c r="A196" s="17">
        <v>19.51875496035241</v>
      </c>
      <c r="E196" s="17">
        <v>191.41875369694267</v>
      </c>
      <c r="I196" s="11">
        <v>48.0</v>
      </c>
      <c r="M196" s="16">
        <v>3.8320000000000003</v>
      </c>
    </row>
    <row r="197">
      <c r="A197" s="17">
        <v>11.726816608695648</v>
      </c>
      <c r="E197" s="17">
        <v>1.1582305882352917</v>
      </c>
      <c r="I197" s="11">
        <v>29.0</v>
      </c>
      <c r="M197" s="16">
        <v>6.112</v>
      </c>
    </row>
    <row r="198">
      <c r="A198" s="17">
        <v>4.869171779141108</v>
      </c>
      <c r="E198" s="17">
        <v>44.32853838348701</v>
      </c>
      <c r="I198" s="11">
        <v>1.0</v>
      </c>
      <c r="M198" s="16">
        <v>4.0</v>
      </c>
    </row>
    <row r="199">
      <c r="A199" s="17">
        <v>23.591603161094234</v>
      </c>
      <c r="E199" s="17">
        <v>20.730684857088036</v>
      </c>
      <c r="I199" s="11">
        <v>23.0</v>
      </c>
      <c r="M199" s="16">
        <v>5.752000000000001</v>
      </c>
    </row>
    <row r="200">
      <c r="A200" s="17">
        <v>140.36692757273448</v>
      </c>
      <c r="E200" s="17">
        <v>8.826933589990382</v>
      </c>
      <c r="I200" s="11">
        <v>15.0</v>
      </c>
      <c r="M200" s="16">
        <v>5.744</v>
      </c>
    </row>
    <row r="201">
      <c r="A201" s="17">
        <v>156.9816858047616</v>
      </c>
      <c r="E201" s="17">
        <v>3.573876484560578</v>
      </c>
      <c r="I201" s="11">
        <v>23.0</v>
      </c>
      <c r="M201" s="16">
        <v>15.991999999999999</v>
      </c>
    </row>
    <row r="202">
      <c r="A202" s="17">
        <v>60.42571119440566</v>
      </c>
      <c r="E202" s="17">
        <v>87.26080345929063</v>
      </c>
      <c r="I202" s="11">
        <v>17.0</v>
      </c>
      <c r="M202" s="16">
        <v>4.064</v>
      </c>
    </row>
    <row r="203">
      <c r="A203" s="17">
        <v>1071.8100624860924</v>
      </c>
      <c r="E203" s="17">
        <v>5.115588923076941</v>
      </c>
      <c r="I203" s="11">
        <v>40.0</v>
      </c>
      <c r="M203" s="16">
        <v>47.136</v>
      </c>
    </row>
    <row r="204">
      <c r="A204" s="17">
        <v>23.450621191046913</v>
      </c>
      <c r="E204" s="17">
        <v>8.854995670995685</v>
      </c>
      <c r="I204" s="11">
        <v>33.0</v>
      </c>
      <c r="M204" s="16">
        <v>7.768000000000001</v>
      </c>
    </row>
    <row r="205">
      <c r="A205" s="17">
        <v>154.88213069662916</v>
      </c>
      <c r="E205" s="17">
        <v>105.50847990684134</v>
      </c>
      <c r="I205" s="11">
        <v>45.0</v>
      </c>
      <c r="M205" s="16">
        <v>11.112000000000002</v>
      </c>
    </row>
    <row r="206">
      <c r="A206" s="17">
        <v>5.418617164379876</v>
      </c>
      <c r="E206" s="17">
        <v>110.90237944954157</v>
      </c>
      <c r="I206" s="11">
        <v>27.0</v>
      </c>
      <c r="M206" s="16">
        <v>4.4</v>
      </c>
    </row>
    <row r="207">
      <c r="A207" s="17">
        <v>139.81619000307734</v>
      </c>
      <c r="E207" s="17">
        <v>196.16895112401156</v>
      </c>
      <c r="I207" s="11">
        <v>36.0</v>
      </c>
      <c r="M207" s="16">
        <v>15.991999999999999</v>
      </c>
    </row>
    <row r="208">
      <c r="A208" s="17">
        <v>84.50777091681495</v>
      </c>
      <c r="E208" s="17">
        <v>67.01497331009112</v>
      </c>
      <c r="I208" s="11">
        <v>36.0</v>
      </c>
      <c r="M208" s="16">
        <v>4.208</v>
      </c>
    </row>
    <row r="209">
      <c r="A209" s="17">
        <v>17.980166419453063</v>
      </c>
      <c r="E209" s="17">
        <v>5.167371983223569</v>
      </c>
      <c r="I209" s="11">
        <v>34.0</v>
      </c>
      <c r="M209" s="16">
        <v>3.696</v>
      </c>
    </row>
    <row r="210">
      <c r="A210" s="17">
        <v>1.129756097560978</v>
      </c>
      <c r="E210" s="17">
        <v>1.7004794101382572</v>
      </c>
      <c r="I210" s="11">
        <v>3.0</v>
      </c>
      <c r="M210" s="16">
        <v>0.4</v>
      </c>
    </row>
    <row r="211">
      <c r="A211" s="17">
        <v>251.44587906132014</v>
      </c>
      <c r="E211" s="17">
        <v>301.161700493462</v>
      </c>
      <c r="I211" s="11">
        <v>30.0</v>
      </c>
      <c r="M211" s="16">
        <v>6.152000000000001</v>
      </c>
    </row>
    <row r="212">
      <c r="A212" s="17">
        <v>43.45508612994876</v>
      </c>
      <c r="E212" s="17">
        <v>312.9284972456409</v>
      </c>
      <c r="I212" s="11">
        <v>11.0</v>
      </c>
      <c r="M212" s="16">
        <v>15.991999999999999</v>
      </c>
    </row>
    <row r="213">
      <c r="A213" s="17">
        <v>10.46520982456145</v>
      </c>
      <c r="E213" s="17">
        <v>7.3983303667481675</v>
      </c>
      <c r="I213" s="11">
        <v>36.0</v>
      </c>
      <c r="M213" s="16">
        <v>4.816</v>
      </c>
    </row>
    <row r="214">
      <c r="A214" s="17">
        <v>7.819085525383714</v>
      </c>
      <c r="E214" s="17">
        <v>15.161130254996545</v>
      </c>
      <c r="I214" s="11">
        <v>2.0</v>
      </c>
      <c r="M214" s="16">
        <v>6.184000000000001</v>
      </c>
    </row>
    <row r="215">
      <c r="A215" s="17">
        <v>27.82289037560787</v>
      </c>
      <c r="E215" s="17">
        <v>141.6658573970041</v>
      </c>
      <c r="I215" s="11">
        <v>16.0</v>
      </c>
      <c r="M215" s="16">
        <v>4.648</v>
      </c>
    </row>
    <row r="216">
      <c r="A216" s="17">
        <v>301.511837531743</v>
      </c>
      <c r="E216" s="17">
        <v>397.09038277791956</v>
      </c>
      <c r="I216" s="11">
        <v>24.0</v>
      </c>
      <c r="M216" s="16">
        <v>15.991999999999999</v>
      </c>
    </row>
    <row r="217">
      <c r="A217" s="17">
        <v>3.462381449275365</v>
      </c>
      <c r="E217" s="17">
        <v>9.008707551686623</v>
      </c>
      <c r="I217" s="11">
        <v>28.0</v>
      </c>
      <c r="M217" s="16">
        <v>3.8880000000000003</v>
      </c>
    </row>
    <row r="218">
      <c r="A218" s="17">
        <v>55.72956304649341</v>
      </c>
      <c r="E218" s="17">
        <v>90.10778309037903</v>
      </c>
      <c r="I218" s="11">
        <v>38.0</v>
      </c>
      <c r="M218" s="16">
        <v>27.360000000000003</v>
      </c>
    </row>
    <row r="219">
      <c r="A219" s="17">
        <v>11.249279907084805</v>
      </c>
      <c r="E219" s="17">
        <v>15.033659294889288</v>
      </c>
      <c r="I219" s="11">
        <v>35.0</v>
      </c>
      <c r="M219" s="16">
        <v>2.2800000000000002</v>
      </c>
    </row>
    <row r="220">
      <c r="A220" s="17">
        <v>0.43426742857142864</v>
      </c>
      <c r="E220" s="17">
        <v>701.0251762889299</v>
      </c>
      <c r="I220" s="11">
        <v>1.0</v>
      </c>
      <c r="M220" s="16">
        <v>1.192</v>
      </c>
    </row>
    <row r="221">
      <c r="A221" s="17">
        <v>735.5540479840976</v>
      </c>
      <c r="E221" s="17">
        <v>2.101548278757347</v>
      </c>
      <c r="I221" s="11">
        <v>6.0</v>
      </c>
      <c r="M221" s="16">
        <v>23.76</v>
      </c>
    </row>
    <row r="222">
      <c r="A222" s="17">
        <v>4.430876417457287</v>
      </c>
      <c r="E222" s="17">
        <v>28.94752336262608</v>
      </c>
      <c r="I222" s="11">
        <v>2.0</v>
      </c>
      <c r="M222" s="16">
        <v>7.192</v>
      </c>
    </row>
    <row r="223">
      <c r="A223" s="17">
        <v>344.75600444057085</v>
      </c>
      <c r="E223" s="17">
        <v>9.572211928825617</v>
      </c>
      <c r="I223" s="11">
        <v>41.0</v>
      </c>
      <c r="M223" s="16">
        <v>15.991999999999999</v>
      </c>
    </row>
    <row r="224">
      <c r="A224" s="17">
        <v>67.08356265910473</v>
      </c>
      <c r="E224" s="17">
        <v>238.47247089855657</v>
      </c>
      <c r="I224" s="11">
        <v>23.0</v>
      </c>
      <c r="M224" s="16">
        <v>24.0</v>
      </c>
    </row>
    <row r="225">
      <c r="A225" s="17">
        <v>141.94176731318018</v>
      </c>
      <c r="E225" s="17">
        <v>87.29476639313832</v>
      </c>
      <c r="I225" s="11">
        <v>28.0</v>
      </c>
      <c r="M225" s="16">
        <v>15.991999999999999</v>
      </c>
    </row>
    <row r="226">
      <c r="A226" s="17">
        <v>66.90281731014367</v>
      </c>
      <c r="E226" s="17">
        <v>239.47006923231362</v>
      </c>
      <c r="I226" s="11">
        <v>8.0</v>
      </c>
      <c r="M226" s="16">
        <v>45.904</v>
      </c>
    </row>
    <row r="227">
      <c r="A227" s="17">
        <v>51.9865727465585</v>
      </c>
      <c r="E227" s="17">
        <v>4.252609718925685</v>
      </c>
      <c r="I227" s="11">
        <v>20.0</v>
      </c>
      <c r="M227" s="16">
        <v>0.792</v>
      </c>
    </row>
    <row r="228">
      <c r="A228" s="17">
        <v>321.6383423036239</v>
      </c>
      <c r="E228" s="17">
        <v>7.012018431095446</v>
      </c>
      <c r="I228" s="11">
        <v>36.0</v>
      </c>
      <c r="M228" s="16">
        <v>3.12</v>
      </c>
    </row>
    <row r="229">
      <c r="A229" s="17">
        <v>10.67436041124058</v>
      </c>
      <c r="E229" s="17">
        <v>465.2777257463105</v>
      </c>
      <c r="I229" s="11">
        <v>38.0</v>
      </c>
      <c r="M229" s="16">
        <v>1.304</v>
      </c>
    </row>
    <row r="230">
      <c r="A230" s="17">
        <v>81.51787801364001</v>
      </c>
      <c r="E230" s="17">
        <v>17.57019456714118</v>
      </c>
      <c r="I230" s="11">
        <v>29.0</v>
      </c>
      <c r="M230" s="16">
        <v>11.192</v>
      </c>
    </row>
    <row r="231">
      <c r="A231" s="17">
        <v>393.7603506827482</v>
      </c>
      <c r="E231" s="17">
        <v>167.96128983273167</v>
      </c>
      <c r="I231" s="11">
        <v>41.0</v>
      </c>
      <c r="M231" s="16">
        <v>56.160000000000004</v>
      </c>
    </row>
    <row r="232">
      <c r="A232" s="17">
        <v>93.10988230284168</v>
      </c>
      <c r="E232" s="17">
        <v>12.9713509985935</v>
      </c>
      <c r="I232" s="11">
        <v>35.0</v>
      </c>
      <c r="M232" s="16">
        <v>28.672000000000004</v>
      </c>
    </row>
    <row r="233">
      <c r="A233" s="17">
        <v>23.093730499047613</v>
      </c>
      <c r="E233" s="17">
        <v>3.4199999999999977</v>
      </c>
      <c r="I233" s="11">
        <v>50.0</v>
      </c>
      <c r="M233" s="16">
        <v>1.9120000000000001</v>
      </c>
    </row>
    <row r="234">
      <c r="A234" s="17">
        <v>368.71886612905666</v>
      </c>
      <c r="E234" s="17">
        <v>615.6040959736358</v>
      </c>
      <c r="I234" s="11">
        <v>21.0</v>
      </c>
      <c r="M234" s="16">
        <v>15.991999999999999</v>
      </c>
    </row>
    <row r="235">
      <c r="A235" s="17">
        <v>11.511727325245529</v>
      </c>
      <c r="E235" s="17">
        <v>23.93523202549297</v>
      </c>
      <c r="I235" s="11">
        <v>21.0</v>
      </c>
      <c r="M235" s="16">
        <v>3.2</v>
      </c>
    </row>
    <row r="236">
      <c r="A236" s="17">
        <v>13.306116996997012</v>
      </c>
      <c r="E236" s="17">
        <v>13.419759036144576</v>
      </c>
      <c r="I236" s="11">
        <v>18.0</v>
      </c>
      <c r="M236" s="16">
        <v>8.544</v>
      </c>
    </row>
    <row r="237">
      <c r="A237" s="17">
        <v>10.042652424663842</v>
      </c>
      <c r="E237" s="17">
        <v>19.207593955831054</v>
      </c>
      <c r="I237" s="11">
        <v>14.0</v>
      </c>
      <c r="M237" s="16">
        <v>5.312</v>
      </c>
    </row>
    <row r="238">
      <c r="A238" s="17">
        <v>71.80734814123134</v>
      </c>
      <c r="E238" s="17">
        <v>253.297275278573</v>
      </c>
      <c r="I238" s="11">
        <v>43.0</v>
      </c>
      <c r="M238" s="16">
        <v>4.424</v>
      </c>
    </row>
    <row r="239">
      <c r="A239" s="17">
        <v>8.038923345724886</v>
      </c>
      <c r="E239" s="17">
        <v>53.67715886148015</v>
      </c>
      <c r="I239" s="11">
        <v>45.0</v>
      </c>
      <c r="M239" s="16">
        <v>4.336</v>
      </c>
    </row>
    <row r="240">
      <c r="A240" s="17">
        <v>0.6331844776119404</v>
      </c>
      <c r="E240" s="17">
        <v>224.62577803455198</v>
      </c>
      <c r="I240" s="11">
        <v>2.0</v>
      </c>
      <c r="M240" s="16">
        <v>0.392</v>
      </c>
    </row>
    <row r="241">
      <c r="A241" s="17">
        <v>948.3359574205551</v>
      </c>
      <c r="E241" s="17">
        <v>11.24066695787834</v>
      </c>
      <c r="I241" s="11">
        <v>38.0</v>
      </c>
      <c r="M241" s="16">
        <v>5.744</v>
      </c>
    </row>
    <row r="242">
      <c r="A242" s="17">
        <v>15.235628867819306</v>
      </c>
      <c r="E242" s="17">
        <v>15.31756681922563</v>
      </c>
      <c r="I242" s="11">
        <v>13.0</v>
      </c>
      <c r="M242" s="16">
        <v>3.8880000000000003</v>
      </c>
    </row>
    <row r="243">
      <c r="A243" s="17">
        <v>5.4923422386223795</v>
      </c>
      <c r="E243" s="17">
        <v>4.172887440015834</v>
      </c>
      <c r="I243" s="11">
        <v>11.0</v>
      </c>
      <c r="M243" s="16">
        <v>4.976</v>
      </c>
    </row>
    <row r="244">
      <c r="A244" s="17">
        <v>705.3118792866945</v>
      </c>
      <c r="E244" s="17">
        <v>50.17309578434551</v>
      </c>
      <c r="I244" s="11">
        <v>49.0</v>
      </c>
      <c r="M244" s="16">
        <v>55.2</v>
      </c>
    </row>
    <row r="245">
      <c r="A245" s="17">
        <v>88.97151675618412</v>
      </c>
      <c r="E245" s="17">
        <v>37.60219718363463</v>
      </c>
      <c r="I245" s="11">
        <v>29.0</v>
      </c>
      <c r="M245" s="16">
        <v>5.744</v>
      </c>
    </row>
    <row r="246">
      <c r="A246" s="17">
        <v>22.361448323508117</v>
      </c>
      <c r="E246" s="17">
        <v>21.969987802364358</v>
      </c>
      <c r="I246" s="11">
        <v>43.0</v>
      </c>
      <c r="M246" s="16">
        <v>2.2960000000000003</v>
      </c>
    </row>
    <row r="247">
      <c r="A247" s="17">
        <v>60.84143784713548</v>
      </c>
      <c r="E247" s="17">
        <v>93.08801734664753</v>
      </c>
      <c r="I247" s="11">
        <v>19.0</v>
      </c>
      <c r="M247" s="16">
        <v>4.016</v>
      </c>
    </row>
    <row r="248">
      <c r="A248" s="17">
        <v>6.121281401323442</v>
      </c>
      <c r="E248" s="17">
        <v>12.931546254102207</v>
      </c>
      <c r="I248" s="11">
        <v>43.0</v>
      </c>
      <c r="M248" s="16">
        <v>4.5040000000000004</v>
      </c>
    </row>
    <row r="249">
      <c r="A249" s="17">
        <v>4.605220491228077</v>
      </c>
      <c r="E249" s="17">
        <v>10.765113521747827</v>
      </c>
      <c r="I249" s="11">
        <v>24.0</v>
      </c>
      <c r="M249" s="16">
        <v>1.192</v>
      </c>
    </row>
    <row r="250">
      <c r="A250" s="17">
        <v>57.22436224808779</v>
      </c>
      <c r="E250" s="17">
        <v>15.49478849420849</v>
      </c>
      <c r="I250" s="11">
        <v>2.0</v>
      </c>
      <c r="M250" s="16">
        <v>9.096</v>
      </c>
    </row>
    <row r="251">
      <c r="A251" s="17">
        <v>151.77255144831756</v>
      </c>
      <c r="E251" s="17">
        <v>7.964919275653934</v>
      </c>
      <c r="I251" s="11">
        <v>15.0</v>
      </c>
      <c r="M251" s="16">
        <v>3.192</v>
      </c>
    </row>
    <row r="252">
      <c r="A252" s="17">
        <v>615.392236135617</v>
      </c>
      <c r="E252" s="17">
        <v>1.8139121824104236</v>
      </c>
      <c r="I252" s="11">
        <v>39.0</v>
      </c>
      <c r="M252" s="16">
        <v>19.592</v>
      </c>
    </row>
    <row r="253">
      <c r="A253" s="17">
        <v>2.373060618556699</v>
      </c>
      <c r="E253" s="17">
        <v>550.5548284458746</v>
      </c>
      <c r="I253" s="11">
        <v>2.0</v>
      </c>
      <c r="M253" s="16">
        <v>4.232</v>
      </c>
    </row>
    <row r="254">
      <c r="A254" s="17">
        <v>14.753902834951464</v>
      </c>
      <c r="E254" s="17">
        <v>19.35710649541283</v>
      </c>
      <c r="I254" s="11">
        <v>35.0</v>
      </c>
      <c r="M254" s="16">
        <v>4.5040000000000004</v>
      </c>
    </row>
    <row r="255">
      <c r="A255" s="17">
        <v>239.8950327999506</v>
      </c>
      <c r="E255" s="17">
        <v>155.2480482749355</v>
      </c>
      <c r="I255" s="11">
        <v>49.0</v>
      </c>
      <c r="M255" s="16">
        <v>24.0</v>
      </c>
    </row>
    <row r="256">
      <c r="A256" s="17">
        <v>111.24539311128014</v>
      </c>
      <c r="E256" s="17">
        <v>40.40098192367773</v>
      </c>
      <c r="I256" s="11">
        <v>42.0</v>
      </c>
      <c r="M256" s="16">
        <v>4.5040000000000004</v>
      </c>
    </row>
    <row r="257">
      <c r="A257" s="17">
        <v>223.00395044207127</v>
      </c>
      <c r="E257" s="17">
        <v>9.622022781456945</v>
      </c>
      <c r="I257" s="11">
        <v>47.0</v>
      </c>
      <c r="M257" s="16">
        <v>3.192</v>
      </c>
    </row>
    <row r="258">
      <c r="A258" s="17">
        <v>12.80211768790143</v>
      </c>
      <c r="E258" s="17">
        <v>2.261992137285484</v>
      </c>
      <c r="I258" s="11">
        <v>10.0</v>
      </c>
      <c r="M258" s="16">
        <v>4.0</v>
      </c>
    </row>
    <row r="259">
      <c r="A259" s="17">
        <v>42.67689442431616</v>
      </c>
      <c r="E259" s="17">
        <v>14.465814769833502</v>
      </c>
      <c r="I259" s="11">
        <v>32.0</v>
      </c>
      <c r="M259" s="16">
        <v>12.544</v>
      </c>
    </row>
    <row r="260">
      <c r="A260" s="17">
        <v>46.846980073200534</v>
      </c>
      <c r="E260" s="17">
        <v>2.8385682980277633</v>
      </c>
      <c r="I260" s="11">
        <v>26.0</v>
      </c>
      <c r="M260" s="16">
        <v>0.8800000000000001</v>
      </c>
    </row>
    <row r="261">
      <c r="A261" s="17">
        <v>239.71645751635634</v>
      </c>
      <c r="E261" s="17">
        <v>12.74790082397</v>
      </c>
      <c r="I261" s="11">
        <v>43.0</v>
      </c>
      <c r="M261" s="16">
        <v>7.192</v>
      </c>
    </row>
    <row r="262">
      <c r="A262" s="17">
        <v>25.05445364479564</v>
      </c>
      <c r="E262" s="17">
        <v>5.842549621621618</v>
      </c>
      <c r="I262" s="11">
        <v>15.0</v>
      </c>
      <c r="M262" s="16">
        <v>9.912</v>
      </c>
    </row>
    <row r="263">
      <c r="A263" s="17">
        <v>3.414382248175182</v>
      </c>
      <c r="E263" s="17">
        <v>583.3209791284811</v>
      </c>
      <c r="I263" s="11">
        <v>2.0</v>
      </c>
      <c r="M263" s="16">
        <v>6.296</v>
      </c>
    </row>
    <row r="264">
      <c r="A264" s="17">
        <v>18.73664318432335</v>
      </c>
      <c r="E264" s="17">
        <v>36.41632964974684</v>
      </c>
      <c r="I264" s="11">
        <v>1.0</v>
      </c>
      <c r="M264" s="16">
        <v>5.744</v>
      </c>
    </row>
    <row r="265">
      <c r="A265" s="17">
        <v>16.157200624556395</v>
      </c>
      <c r="E265" s="17">
        <v>239.7363967858081</v>
      </c>
      <c r="I265" s="11">
        <v>41.0</v>
      </c>
      <c r="M265" s="16">
        <v>2.192</v>
      </c>
    </row>
    <row r="266">
      <c r="A266" s="17">
        <v>19.126512383272438</v>
      </c>
      <c r="E266" s="17">
        <v>10.219869543746649</v>
      </c>
      <c r="I266" s="11">
        <v>18.0</v>
      </c>
      <c r="M266" s="16">
        <v>0.4</v>
      </c>
    </row>
    <row r="267">
      <c r="A267" s="17">
        <v>20.879973568726385</v>
      </c>
      <c r="E267" s="17">
        <v>11.368049422776915</v>
      </c>
      <c r="I267" s="11">
        <v>44.0</v>
      </c>
      <c r="M267" s="16">
        <v>4.328</v>
      </c>
    </row>
    <row r="268">
      <c r="A268" s="17">
        <v>111.38748170385371</v>
      </c>
      <c r="E268" s="17">
        <v>35.922367236723694</v>
      </c>
      <c r="I268" s="11">
        <v>22.0</v>
      </c>
      <c r="M268" s="16">
        <v>7.192</v>
      </c>
    </row>
    <row r="269">
      <c r="A269" s="17">
        <v>1.059407149758455</v>
      </c>
      <c r="E269" s="17">
        <v>2.3702003650586576</v>
      </c>
      <c r="I269" s="11">
        <v>4.0</v>
      </c>
      <c r="M269" s="16">
        <v>3.512</v>
      </c>
    </row>
    <row r="270">
      <c r="A270" s="17">
        <v>69.76946556810103</v>
      </c>
      <c r="E270" s="17">
        <v>129.0014254511223</v>
      </c>
      <c r="I270" s="11">
        <v>7.0</v>
      </c>
      <c r="M270" s="16">
        <v>10.120000000000001</v>
      </c>
    </row>
    <row r="271">
      <c r="A271" s="17">
        <v>10.294262463253942</v>
      </c>
      <c r="E271" s="17">
        <v>10.33563655799037</v>
      </c>
      <c r="I271" s="11">
        <v>31.0</v>
      </c>
      <c r="M271" s="16">
        <v>3.504</v>
      </c>
    </row>
    <row r="272">
      <c r="A272" s="17">
        <v>22.13183688739231</v>
      </c>
      <c r="E272" s="17">
        <v>105.85237250802915</v>
      </c>
      <c r="I272" s="11">
        <v>33.0</v>
      </c>
      <c r="M272" s="16">
        <v>4.0</v>
      </c>
    </row>
    <row r="273">
      <c r="A273" s="17">
        <v>28.520951701375225</v>
      </c>
      <c r="E273" s="17">
        <v>89.74816836235298</v>
      </c>
      <c r="I273" s="11">
        <v>34.0</v>
      </c>
      <c r="M273" s="16">
        <v>6.072</v>
      </c>
    </row>
    <row r="274">
      <c r="A274" s="17">
        <v>37.73499400652559</v>
      </c>
      <c r="E274" s="17">
        <v>28.41591109053039</v>
      </c>
      <c r="I274" s="11">
        <v>7.0</v>
      </c>
      <c r="M274" s="16">
        <v>15.991999999999999</v>
      </c>
    </row>
    <row r="275">
      <c r="A275" s="17">
        <v>2.25284089591569</v>
      </c>
      <c r="E275" s="17">
        <v>1.225732063492063</v>
      </c>
      <c r="I275" s="11">
        <v>6.0</v>
      </c>
      <c r="M275" s="16">
        <v>4.576</v>
      </c>
    </row>
    <row r="276">
      <c r="A276" s="17">
        <v>50.69682631578957</v>
      </c>
      <c r="E276" s="17">
        <v>74.05721208754188</v>
      </c>
      <c r="I276" s="11">
        <v>28.0</v>
      </c>
      <c r="M276" s="16">
        <v>6.920000000000001</v>
      </c>
    </row>
    <row r="277">
      <c r="A277" s="17">
        <v>18.230511971979062</v>
      </c>
      <c r="E277" s="17">
        <v>4.70218116965834</v>
      </c>
      <c r="I277" s="11">
        <v>22.0</v>
      </c>
      <c r="M277" s="16">
        <v>4.064</v>
      </c>
    </row>
    <row r="278">
      <c r="A278" s="17">
        <v>4.226237343173444</v>
      </c>
      <c r="E278" s="17">
        <v>48.16243179054239</v>
      </c>
      <c r="I278" s="11">
        <v>40.0</v>
      </c>
      <c r="M278" s="16">
        <v>4.488</v>
      </c>
    </row>
    <row r="279">
      <c r="A279" s="17">
        <v>37.26218345546024</v>
      </c>
      <c r="E279" s="17">
        <v>30.020342175925965</v>
      </c>
      <c r="I279" s="11">
        <v>35.0</v>
      </c>
      <c r="M279" s="16">
        <v>3.9200000000000004</v>
      </c>
    </row>
    <row r="280">
      <c r="A280" s="17">
        <v>9.902789929712432</v>
      </c>
      <c r="E280" s="17">
        <v>8.636379127061089</v>
      </c>
      <c r="I280" s="11">
        <v>29.0</v>
      </c>
      <c r="M280" s="16">
        <v>3.776</v>
      </c>
    </row>
    <row r="281">
      <c r="A281" s="17">
        <v>256.1474616806175</v>
      </c>
      <c r="E281" s="17">
        <v>6.844444444444441</v>
      </c>
      <c r="I281" s="11">
        <v>46.0</v>
      </c>
      <c r="M281" s="16">
        <v>3.2</v>
      </c>
    </row>
    <row r="282">
      <c r="A282" s="17">
        <v>3.295920898876394</v>
      </c>
      <c r="E282" s="17">
        <v>3.6690956962025276</v>
      </c>
      <c r="I282" s="11">
        <v>21.0</v>
      </c>
      <c r="M282" s="16">
        <v>1.056</v>
      </c>
    </row>
    <row r="283">
      <c r="A283" s="17">
        <v>12.82120186203978</v>
      </c>
      <c r="E283" s="17">
        <v>18.715443565062394</v>
      </c>
      <c r="I283" s="11">
        <v>30.0</v>
      </c>
      <c r="M283" s="16">
        <v>5.2</v>
      </c>
    </row>
    <row r="284">
      <c r="A284" s="17">
        <v>18.324344995494556</v>
      </c>
      <c r="E284" s="17">
        <v>105.6277870243341</v>
      </c>
      <c r="I284" s="11">
        <v>29.0</v>
      </c>
      <c r="M284" s="16">
        <v>15.991999999999999</v>
      </c>
    </row>
    <row r="285">
      <c r="A285" s="17">
        <v>13.047790642673526</v>
      </c>
      <c r="E285" s="17">
        <v>294.70979029994743</v>
      </c>
      <c r="I285" s="11">
        <v>25.0</v>
      </c>
      <c r="M285" s="16">
        <v>6.224</v>
      </c>
    </row>
    <row r="286">
      <c r="A286" s="17">
        <v>15.71271481146302</v>
      </c>
      <c r="E286" s="17">
        <v>5.756045949084407</v>
      </c>
      <c r="I286" s="11">
        <v>18.0</v>
      </c>
      <c r="M286" s="16">
        <v>1.192</v>
      </c>
    </row>
    <row r="287">
      <c r="A287" s="17">
        <v>8.99259636363636</v>
      </c>
      <c r="E287" s="17">
        <v>40.337521265764735</v>
      </c>
      <c r="I287" s="11">
        <v>16.0</v>
      </c>
      <c r="M287" s="16">
        <v>5.720000000000001</v>
      </c>
    </row>
    <row r="288">
      <c r="A288" s="17">
        <v>1.600428771929824</v>
      </c>
      <c r="E288" s="17">
        <v>6.521448247422686</v>
      </c>
      <c r="I288" s="11">
        <v>7.0</v>
      </c>
      <c r="M288" s="16">
        <v>0.768</v>
      </c>
    </row>
    <row r="289">
      <c r="A289" s="17">
        <v>140.33348200596566</v>
      </c>
      <c r="E289" s="17">
        <v>5.186474621312828</v>
      </c>
      <c r="I289" s="11">
        <v>30.0</v>
      </c>
      <c r="M289" s="16">
        <v>24.0</v>
      </c>
    </row>
    <row r="290">
      <c r="A290" s="17">
        <v>123.75115531652904</v>
      </c>
      <c r="E290" s="17">
        <v>31.929988539494953</v>
      </c>
      <c r="I290" s="11">
        <v>47.0</v>
      </c>
      <c r="M290" s="16">
        <v>9.712000000000002</v>
      </c>
    </row>
    <row r="291">
      <c r="A291" s="17">
        <v>68.87495029411765</v>
      </c>
      <c r="E291" s="17">
        <v>24.378955880128032</v>
      </c>
      <c r="I291" s="11">
        <v>38.0</v>
      </c>
      <c r="M291" s="16">
        <v>0.792</v>
      </c>
    </row>
    <row r="292">
      <c r="A292" s="17">
        <v>6.811437303370785</v>
      </c>
      <c r="E292" s="17">
        <v>165.36538677920254</v>
      </c>
      <c r="I292" s="11">
        <v>15.0</v>
      </c>
      <c r="M292" s="16">
        <v>5.016</v>
      </c>
    </row>
    <row r="293">
      <c r="A293" s="17">
        <v>5.418331299435022</v>
      </c>
      <c r="E293" s="17">
        <v>8.22251213278011</v>
      </c>
      <c r="I293" s="11">
        <v>5.0</v>
      </c>
      <c r="M293" s="16">
        <v>3.8880000000000003</v>
      </c>
    </row>
    <row r="294">
      <c r="A294" s="17">
        <v>1.2551143859649134</v>
      </c>
      <c r="E294" s="17">
        <v>6.881733634311509</v>
      </c>
      <c r="I294" s="11">
        <v>3.0</v>
      </c>
      <c r="M294" s="16">
        <v>1.2640000000000002</v>
      </c>
    </row>
    <row r="295">
      <c r="A295" s="17">
        <v>251.9491168688528</v>
      </c>
      <c r="E295" s="17">
        <v>50.17022672161959</v>
      </c>
      <c r="I295" s="11">
        <v>42.0</v>
      </c>
      <c r="M295" s="16">
        <v>65.584</v>
      </c>
    </row>
    <row r="296">
      <c r="A296" s="17">
        <v>9.039438831746043</v>
      </c>
      <c r="E296" s="17">
        <v>7.361552026359144</v>
      </c>
      <c r="I296" s="11">
        <v>14.0</v>
      </c>
      <c r="M296" s="16">
        <v>9.272</v>
      </c>
    </row>
    <row r="297">
      <c r="A297" s="17">
        <v>45.625483549352076</v>
      </c>
      <c r="E297" s="17">
        <v>46.5293799111798</v>
      </c>
      <c r="I297" s="11">
        <v>26.0</v>
      </c>
      <c r="M297" s="16">
        <v>4.0</v>
      </c>
    </row>
    <row r="298">
      <c r="A298" s="17">
        <v>1.1381721854304638</v>
      </c>
      <c r="E298" s="17">
        <v>2.8979598589894153</v>
      </c>
      <c r="I298" s="11">
        <v>7.0</v>
      </c>
      <c r="M298" s="16">
        <v>0.5599999999999999</v>
      </c>
    </row>
    <row r="299">
      <c r="A299" s="17">
        <v>16.21505770887163</v>
      </c>
      <c r="E299" s="17">
        <v>69.9689368936893</v>
      </c>
      <c r="I299" s="11">
        <v>43.0</v>
      </c>
      <c r="M299" s="16">
        <v>3.9600000000000004</v>
      </c>
    </row>
    <row r="300">
      <c r="A300" s="17">
        <v>55.429241743964745</v>
      </c>
      <c r="E300" s="17">
        <v>5.941139240506327</v>
      </c>
      <c r="I300" s="11">
        <v>44.0</v>
      </c>
      <c r="M300" s="16">
        <v>2.3920000000000003</v>
      </c>
    </row>
    <row r="301">
      <c r="A301" s="17">
        <v>15.744278566078112</v>
      </c>
      <c r="E301" s="17">
        <v>160.66222412688893</v>
      </c>
      <c r="I301" s="11">
        <v>10.0</v>
      </c>
      <c r="M301" s="16">
        <v>10.544</v>
      </c>
    </row>
    <row r="302">
      <c r="A302" s="17">
        <v>8.420861518578334</v>
      </c>
      <c r="E302" s="17">
        <v>186.5780047347366</v>
      </c>
      <c r="I302" s="11">
        <v>24.0</v>
      </c>
      <c r="M302" s="16">
        <v>1.9120000000000001</v>
      </c>
    </row>
    <row r="303">
      <c r="A303" s="17">
        <v>88.24308897513404</v>
      </c>
      <c r="E303" s="17">
        <v>3.1618649302325585</v>
      </c>
      <c r="I303" s="11">
        <v>34.0</v>
      </c>
      <c r="M303" s="16">
        <v>6.5840000000000005</v>
      </c>
    </row>
    <row r="304">
      <c r="A304" s="17">
        <v>3.9040504138851717</v>
      </c>
      <c r="E304" s="17">
        <v>41.205075422088605</v>
      </c>
      <c r="I304" s="11">
        <v>12.0</v>
      </c>
      <c r="M304" s="16">
        <v>5.968</v>
      </c>
    </row>
    <row r="305">
      <c r="A305" s="17">
        <v>45.82691388116298</v>
      </c>
      <c r="E305" s="17">
        <v>161.0419305488364</v>
      </c>
      <c r="I305" s="11">
        <v>22.0</v>
      </c>
      <c r="M305" s="16">
        <v>4.464</v>
      </c>
    </row>
    <row r="306">
      <c r="A306" s="17">
        <v>3.068789808917201</v>
      </c>
      <c r="E306" s="17">
        <v>95.42392053133463</v>
      </c>
      <c r="I306" s="11">
        <v>2.0</v>
      </c>
      <c r="M306" s="16">
        <v>2.0</v>
      </c>
    </row>
    <row r="307">
      <c r="A307" s="17">
        <v>231.6255473342346</v>
      </c>
      <c r="E307" s="17">
        <v>12.349209599999988</v>
      </c>
      <c r="I307" s="11">
        <v>38.0</v>
      </c>
      <c r="M307" s="16">
        <v>2.0</v>
      </c>
    </row>
    <row r="308">
      <c r="A308" s="17">
        <v>3.486134156079854</v>
      </c>
      <c r="E308" s="17">
        <v>45.797104064711924</v>
      </c>
      <c r="I308" s="11">
        <v>9.0</v>
      </c>
      <c r="M308" s="16">
        <v>4.896000000000001</v>
      </c>
    </row>
    <row r="309">
      <c r="A309" s="17">
        <v>10.333854618834135</v>
      </c>
      <c r="E309" s="17">
        <v>5.953979772209573</v>
      </c>
      <c r="I309" s="11">
        <v>45.0</v>
      </c>
      <c r="M309" s="16">
        <v>1.1119999999999999</v>
      </c>
    </row>
    <row r="310">
      <c r="A310" s="17">
        <v>8.369354495176854</v>
      </c>
      <c r="E310" s="17">
        <v>15.969944194419437</v>
      </c>
      <c r="I310" s="11">
        <v>26.0</v>
      </c>
      <c r="M310" s="16">
        <v>6.224</v>
      </c>
    </row>
    <row r="311">
      <c r="A311" s="17">
        <v>21.406072386994556</v>
      </c>
      <c r="E311" s="17">
        <v>12.15442561205273</v>
      </c>
      <c r="I311" s="11">
        <v>41.0</v>
      </c>
      <c r="M311" s="16">
        <v>3.848</v>
      </c>
    </row>
    <row r="312">
      <c r="A312" s="17">
        <v>21.775255056332327</v>
      </c>
      <c r="E312" s="17">
        <v>3.2912473043478303</v>
      </c>
      <c r="I312" s="11">
        <v>50.0</v>
      </c>
      <c r="M312" s="16">
        <v>4.24</v>
      </c>
    </row>
    <row r="313">
      <c r="A313" s="17">
        <v>3.7992295081967176</v>
      </c>
      <c r="E313" s="17">
        <v>13.506325678577163</v>
      </c>
      <c r="I313" s="11">
        <v>11.0</v>
      </c>
      <c r="M313" s="16">
        <v>4.28</v>
      </c>
    </row>
    <row r="314">
      <c r="A314" s="17">
        <v>4.302371671183387</v>
      </c>
      <c r="E314" s="17">
        <v>337.26404264921206</v>
      </c>
      <c r="I314" s="11">
        <v>18.0</v>
      </c>
      <c r="M314" s="16">
        <v>1.816</v>
      </c>
    </row>
    <row r="315">
      <c r="A315" s="17">
        <v>2.585041751824816</v>
      </c>
      <c r="E315" s="17">
        <v>34.38257692619965</v>
      </c>
      <c r="I315" s="11">
        <v>5.0</v>
      </c>
      <c r="M315" s="16">
        <v>6.328</v>
      </c>
    </row>
    <row r="316">
      <c r="A316" s="17">
        <v>11.28660205967788</v>
      </c>
      <c r="E316" s="17">
        <v>504.30631273237526</v>
      </c>
      <c r="I316" s="11">
        <v>31.0</v>
      </c>
      <c r="M316" s="16">
        <v>5.04</v>
      </c>
    </row>
    <row r="317">
      <c r="A317" s="17">
        <v>2.5766497461929023</v>
      </c>
      <c r="E317" s="17">
        <v>427.26216523835046</v>
      </c>
      <c r="I317" s="11">
        <v>6.0</v>
      </c>
      <c r="M317" s="16">
        <v>1.8</v>
      </c>
    </row>
    <row r="318">
      <c r="A318" s="17">
        <v>153.60592617393527</v>
      </c>
      <c r="E318" s="17">
        <v>32.40626632229079</v>
      </c>
      <c r="I318" s="11">
        <v>34.0</v>
      </c>
      <c r="M318" s="16">
        <v>28.0</v>
      </c>
    </row>
    <row r="319">
      <c r="A319" s="17">
        <v>4.794796648451724</v>
      </c>
      <c r="E319" s="17">
        <v>64.87421605346275</v>
      </c>
      <c r="I319" s="11">
        <v>11.0</v>
      </c>
      <c r="M319" s="16">
        <v>1.192</v>
      </c>
    </row>
    <row r="320">
      <c r="A320" s="17">
        <v>6.616627596899222</v>
      </c>
      <c r="E320" s="17">
        <v>22.724041028523253</v>
      </c>
      <c r="I320" s="11">
        <v>30.0</v>
      </c>
      <c r="M320" s="16">
        <v>1.056</v>
      </c>
    </row>
    <row r="321">
      <c r="A321" s="17">
        <v>1.076604878048781</v>
      </c>
      <c r="E321" s="17">
        <v>531.0140530917328</v>
      </c>
      <c r="I321" s="11">
        <v>4.0</v>
      </c>
      <c r="M321" s="16">
        <v>0.5599999999999999</v>
      </c>
    </row>
    <row r="322">
      <c r="A322" s="17">
        <v>15.926094399608674</v>
      </c>
      <c r="E322" s="17">
        <v>544.5430986852901</v>
      </c>
      <c r="I322" s="11">
        <v>7.0</v>
      </c>
      <c r="M322" s="16">
        <v>1.0</v>
      </c>
    </row>
    <row r="323">
      <c r="A323" s="17">
        <v>12.583855585831069</v>
      </c>
      <c r="E323" s="17">
        <v>17.529007915567295</v>
      </c>
      <c r="I323" s="11">
        <v>17.0</v>
      </c>
      <c r="M323" s="16">
        <v>2.0</v>
      </c>
    </row>
    <row r="324">
      <c r="A324" s="17">
        <v>45.0886360252597</v>
      </c>
      <c r="E324" s="17">
        <v>73.83744657984913</v>
      </c>
      <c r="I324" s="11">
        <v>21.0</v>
      </c>
      <c r="M324" s="16">
        <v>23.368000000000002</v>
      </c>
    </row>
    <row r="325">
      <c r="A325" s="17">
        <v>109.248578442473</v>
      </c>
      <c r="E325" s="17">
        <v>5.096198918918923</v>
      </c>
      <c r="I325" s="11">
        <v>42.0</v>
      </c>
      <c r="M325" s="16">
        <v>3.136</v>
      </c>
    </row>
    <row r="326">
      <c r="A326" s="17">
        <v>3.455120162932786</v>
      </c>
      <c r="E326" s="17">
        <v>6.233374167776286</v>
      </c>
      <c r="I326" s="11">
        <v>28.0</v>
      </c>
      <c r="M326" s="16">
        <v>0.5599999999999999</v>
      </c>
    </row>
    <row r="327">
      <c r="A327" s="17">
        <v>44.4498956860687</v>
      </c>
      <c r="E327" s="17">
        <v>94.14939099374907</v>
      </c>
      <c r="I327" s="11">
        <v>23.0</v>
      </c>
      <c r="M327" s="16">
        <v>36.96</v>
      </c>
    </row>
    <row r="328">
      <c r="A328" s="17">
        <v>391.41052862590044</v>
      </c>
      <c r="E328" s="17">
        <v>3.037557333333332</v>
      </c>
      <c r="I328" s="11">
        <v>50.0</v>
      </c>
      <c r="M328" s="16">
        <v>15.991999999999999</v>
      </c>
    </row>
    <row r="329">
      <c r="A329" s="17">
        <v>87.75484451202772</v>
      </c>
      <c r="E329" s="17">
        <v>73.01427616197745</v>
      </c>
      <c r="I329" s="11">
        <v>13.0</v>
      </c>
      <c r="M329" s="16">
        <v>4.736</v>
      </c>
    </row>
    <row r="330">
      <c r="A330" s="17">
        <v>146.23771227471485</v>
      </c>
      <c r="E330" s="17">
        <v>64.05459089749321</v>
      </c>
      <c r="I330" s="11">
        <v>3.0</v>
      </c>
      <c r="M330" s="16">
        <v>11.192</v>
      </c>
    </row>
    <row r="331">
      <c r="A331" s="17">
        <v>14.038949961977162</v>
      </c>
      <c r="E331" s="17">
        <v>4.144456815742399</v>
      </c>
      <c r="I331" s="11">
        <v>34.0</v>
      </c>
      <c r="M331" s="16">
        <v>4.112</v>
      </c>
    </row>
    <row r="332">
      <c r="A332" s="17">
        <v>152.86565274196033</v>
      </c>
      <c r="E332" s="17">
        <v>12.962962247191005</v>
      </c>
      <c r="I332" s="11">
        <v>11.0</v>
      </c>
      <c r="M332" s="16">
        <v>55.712</v>
      </c>
    </row>
    <row r="333">
      <c r="A333" s="17">
        <v>4.87800274217585</v>
      </c>
      <c r="E333" s="17">
        <v>170.84818322838953</v>
      </c>
      <c r="I333" s="11">
        <v>13.0</v>
      </c>
      <c r="M333" s="16">
        <v>0.7040000000000001</v>
      </c>
    </row>
    <row r="334">
      <c r="A334" s="17">
        <v>7.40119444932362</v>
      </c>
      <c r="E334" s="17">
        <v>114.9020119249996</v>
      </c>
      <c r="I334" s="11">
        <v>14.0</v>
      </c>
      <c r="M334" s="16">
        <v>3.2</v>
      </c>
    </row>
    <row r="335">
      <c r="A335" s="17">
        <v>14.017577149325616</v>
      </c>
      <c r="E335" s="17">
        <v>7.811604395604417</v>
      </c>
      <c r="I335" s="11">
        <v>29.0</v>
      </c>
      <c r="M335" s="16">
        <v>4.792000000000001</v>
      </c>
    </row>
    <row r="336">
      <c r="A336" s="17">
        <v>41.54983207884161</v>
      </c>
      <c r="E336" s="17">
        <v>6.509936565916393</v>
      </c>
      <c r="I336" s="11">
        <v>28.0</v>
      </c>
      <c r="M336" s="16">
        <v>11.440000000000001</v>
      </c>
    </row>
    <row r="337">
      <c r="A337" s="17">
        <v>67.6731351654515</v>
      </c>
      <c r="E337" s="17">
        <v>28.451513990034453</v>
      </c>
      <c r="I337" s="11">
        <v>28.0</v>
      </c>
      <c r="M337" s="16">
        <v>6.0</v>
      </c>
    </row>
    <row r="338">
      <c r="A338" s="17">
        <v>318.0436303196104</v>
      </c>
      <c r="E338" s="17">
        <v>2.3767582758620565</v>
      </c>
      <c r="I338" s="11">
        <v>12.0</v>
      </c>
      <c r="M338" s="16">
        <v>39.2</v>
      </c>
    </row>
    <row r="339">
      <c r="A339" s="17">
        <v>29.688744635193178</v>
      </c>
      <c r="E339" s="17">
        <v>35.470212685934534</v>
      </c>
      <c r="I339" s="11">
        <v>29.0</v>
      </c>
      <c r="M339" s="16">
        <v>5.2</v>
      </c>
    </row>
    <row r="340">
      <c r="A340" s="17">
        <v>105.64828007930025</v>
      </c>
      <c r="E340" s="17">
        <v>470.390946020647</v>
      </c>
      <c r="I340" s="11">
        <v>9.0</v>
      </c>
      <c r="M340" s="16">
        <v>0.792</v>
      </c>
    </row>
    <row r="341">
      <c r="A341" s="17">
        <v>1.3274120325203262</v>
      </c>
      <c r="E341" s="17">
        <v>5.621911264864841</v>
      </c>
      <c r="I341" s="11">
        <v>11.0</v>
      </c>
      <c r="M341" s="16">
        <v>1.192</v>
      </c>
    </row>
    <row r="342">
      <c r="A342" s="17">
        <v>1.212747397260278</v>
      </c>
      <c r="E342" s="17">
        <v>2.1978676319758637</v>
      </c>
      <c r="I342" s="11">
        <v>11.0</v>
      </c>
      <c r="M342" s="16">
        <v>0.664</v>
      </c>
    </row>
    <row r="343">
      <c r="A343" s="17">
        <v>6.756260202020204</v>
      </c>
      <c r="E343" s="17">
        <v>15.716129032258069</v>
      </c>
      <c r="I343" s="11">
        <v>35.0</v>
      </c>
      <c r="M343" s="16">
        <v>4.328</v>
      </c>
    </row>
    <row r="344">
      <c r="A344" s="17">
        <v>7.244005427408426</v>
      </c>
      <c r="E344" s="17">
        <v>596.9181316679119</v>
      </c>
      <c r="I344" s="11">
        <v>48.0</v>
      </c>
      <c r="M344" s="16">
        <v>0.5599999999999999</v>
      </c>
    </row>
    <row r="345">
      <c r="A345" s="17">
        <v>18.090630749879036</v>
      </c>
      <c r="E345" s="17">
        <v>96.32067011854333</v>
      </c>
      <c r="I345" s="11">
        <v>25.0</v>
      </c>
      <c r="M345" s="16">
        <v>4.168</v>
      </c>
    </row>
    <row r="346">
      <c r="A346" s="17">
        <v>14.443159856630801</v>
      </c>
      <c r="E346" s="17">
        <v>8.044793571428565</v>
      </c>
      <c r="I346" s="11">
        <v>44.0</v>
      </c>
      <c r="M346" s="16">
        <v>4.12</v>
      </c>
    </row>
    <row r="347">
      <c r="A347" s="17">
        <v>22.529005485841132</v>
      </c>
      <c r="E347" s="17">
        <v>148.649415206866</v>
      </c>
      <c r="I347" s="11">
        <v>33.0</v>
      </c>
      <c r="M347" s="16">
        <v>8.544</v>
      </c>
    </row>
    <row r="348">
      <c r="A348" s="17">
        <v>18.575503716920696</v>
      </c>
      <c r="E348" s="17">
        <v>168.19308843936417</v>
      </c>
      <c r="I348" s="11">
        <v>33.0</v>
      </c>
      <c r="M348" s="16">
        <v>3.2</v>
      </c>
    </row>
    <row r="349">
      <c r="A349" s="17">
        <v>4.324610591900345</v>
      </c>
      <c r="E349" s="17">
        <v>23.18891933128628</v>
      </c>
      <c r="I349" s="11">
        <v>8.0</v>
      </c>
      <c r="M349" s="16">
        <v>5.2</v>
      </c>
    </row>
    <row r="350">
      <c r="A350" s="17">
        <v>69.52560407931968</v>
      </c>
      <c r="E350" s="17">
        <v>25.639502000389925</v>
      </c>
      <c r="I350" s="11">
        <v>42.0</v>
      </c>
      <c r="M350" s="16">
        <v>15.991999999999999</v>
      </c>
    </row>
    <row r="351">
      <c r="A351" s="17">
        <v>11.849098198614321</v>
      </c>
      <c r="E351" s="17">
        <v>54.10206832132376</v>
      </c>
      <c r="I351" s="11">
        <v>11.0</v>
      </c>
      <c r="M351" s="16">
        <v>2.3120000000000003</v>
      </c>
    </row>
    <row r="352">
      <c r="A352" s="17">
        <v>5.655272727272726</v>
      </c>
      <c r="E352" s="17">
        <v>413.345383949105</v>
      </c>
      <c r="I352" s="11">
        <v>3.0</v>
      </c>
      <c r="M352" s="16">
        <v>5.4</v>
      </c>
    </row>
    <row r="353">
      <c r="A353" s="17">
        <v>677.8346241834562</v>
      </c>
      <c r="E353" s="17">
        <v>6.767218221528854</v>
      </c>
      <c r="I353" s="11">
        <v>36.0</v>
      </c>
      <c r="M353" s="16">
        <v>45.6</v>
      </c>
    </row>
    <row r="354">
      <c r="A354" s="17">
        <v>4.44539928571426</v>
      </c>
      <c r="E354" s="17">
        <v>6.516448132780086</v>
      </c>
      <c r="I354" s="11">
        <v>39.0</v>
      </c>
      <c r="M354" s="16">
        <v>5.952000000000001</v>
      </c>
    </row>
    <row r="355">
      <c r="A355" s="17">
        <v>12.937699727685315</v>
      </c>
      <c r="E355" s="17">
        <v>9.512679101527397</v>
      </c>
      <c r="I355" s="11">
        <v>30.0</v>
      </c>
      <c r="M355" s="16">
        <v>0.664</v>
      </c>
    </row>
    <row r="356">
      <c r="A356" s="17">
        <v>34.13450431293883</v>
      </c>
      <c r="E356" s="17">
        <v>3.3008285538461535</v>
      </c>
      <c r="I356" s="11">
        <v>42.0</v>
      </c>
      <c r="M356" s="16">
        <v>3.84</v>
      </c>
    </row>
    <row r="357">
      <c r="A357" s="17">
        <v>6.178494623655923</v>
      </c>
      <c r="E357" s="17">
        <v>31.297313611926807</v>
      </c>
      <c r="I357" s="11">
        <v>24.0</v>
      </c>
      <c r="M357" s="16">
        <v>0.4</v>
      </c>
    </row>
    <row r="358">
      <c r="A358" s="17">
        <v>49.28248624390244</v>
      </c>
      <c r="E358" s="17">
        <v>10.992673372582003</v>
      </c>
      <c r="I358" s="11">
        <v>4.0</v>
      </c>
      <c r="M358" s="16">
        <v>32.152</v>
      </c>
    </row>
    <row r="359">
      <c r="A359" s="17">
        <v>61.463829787233784</v>
      </c>
      <c r="E359" s="17">
        <v>207.46610686176717</v>
      </c>
      <c r="I359" s="11">
        <v>24.0</v>
      </c>
      <c r="M359" s="16">
        <v>11.200000000000001</v>
      </c>
    </row>
    <row r="360">
      <c r="A360" s="17">
        <v>27.596786666666674</v>
      </c>
      <c r="E360" s="17">
        <v>2.57648812933024</v>
      </c>
      <c r="I360" s="11">
        <v>42.0</v>
      </c>
      <c r="M360" s="16">
        <v>7.744</v>
      </c>
    </row>
    <row r="361">
      <c r="A361" s="17">
        <v>122.21865316740488</v>
      </c>
      <c r="E361" s="17">
        <v>16.054688738214647</v>
      </c>
      <c r="I361" s="11">
        <v>7.0</v>
      </c>
      <c r="M361" s="16">
        <v>20.96</v>
      </c>
    </row>
    <row r="362">
      <c r="A362" s="17">
        <v>3.6912423409669177</v>
      </c>
      <c r="E362" s="17">
        <v>21.438058278054953</v>
      </c>
      <c r="I362" s="11">
        <v>10.0</v>
      </c>
      <c r="M362" s="16">
        <v>3.176</v>
      </c>
    </row>
    <row r="363">
      <c r="A363" s="17">
        <v>43.369248280768495</v>
      </c>
      <c r="E363" s="17">
        <v>469.68449783386643</v>
      </c>
      <c r="I363" s="11">
        <v>8.0</v>
      </c>
      <c r="M363" s="16">
        <v>9.0</v>
      </c>
    </row>
    <row r="364">
      <c r="A364" s="17">
        <v>4.657224506560193</v>
      </c>
      <c r="E364" s="17">
        <v>24.20696236686388</v>
      </c>
      <c r="I364" s="11">
        <v>26.0</v>
      </c>
      <c r="M364" s="16">
        <v>4.112</v>
      </c>
    </row>
    <row r="365">
      <c r="A365" s="17">
        <v>56.141306095132784</v>
      </c>
      <c r="E365" s="17">
        <v>52.66431514620799</v>
      </c>
      <c r="I365" s="11">
        <v>21.0</v>
      </c>
      <c r="M365" s="16">
        <v>3.9920000000000004</v>
      </c>
    </row>
    <row r="366">
      <c r="A366" s="17">
        <v>8.259699649122805</v>
      </c>
      <c r="E366" s="17">
        <v>1.9461338860103639</v>
      </c>
      <c r="I366" s="11">
        <v>16.0</v>
      </c>
      <c r="M366" s="16">
        <v>4.128</v>
      </c>
    </row>
    <row r="367">
      <c r="A367" s="17">
        <v>6.425743019844696</v>
      </c>
      <c r="E367" s="17">
        <v>17.312570897009962</v>
      </c>
      <c r="I367" s="11">
        <v>40.0</v>
      </c>
      <c r="M367" s="16">
        <v>1.072</v>
      </c>
    </row>
    <row r="368">
      <c r="A368" s="17">
        <v>68.42803862152452</v>
      </c>
      <c r="E368" s="17">
        <v>5.226753585397664</v>
      </c>
      <c r="I368" s="11">
        <v>49.0</v>
      </c>
      <c r="M368" s="16">
        <v>3.192</v>
      </c>
    </row>
    <row r="369">
      <c r="A369" s="17">
        <v>31.295684371808026</v>
      </c>
      <c r="E369" s="17">
        <v>18.429068546595833</v>
      </c>
      <c r="I369" s="11">
        <v>17.0</v>
      </c>
      <c r="M369" s="16">
        <v>2.0</v>
      </c>
    </row>
    <row r="370">
      <c r="A370" s="17">
        <v>40.35688680362267</v>
      </c>
      <c r="E370" s="17">
        <v>19.76875348390195</v>
      </c>
      <c r="I370" s="11">
        <v>39.0</v>
      </c>
      <c r="M370" s="16">
        <v>2.3120000000000003</v>
      </c>
    </row>
    <row r="371">
      <c r="A371" s="17">
        <v>4.903653901022928</v>
      </c>
      <c r="E371" s="17">
        <v>4.744186046511611</v>
      </c>
      <c r="I371" s="11">
        <v>42.0</v>
      </c>
      <c r="M371" s="16">
        <v>8.128</v>
      </c>
    </row>
    <row r="372">
      <c r="A372" s="17">
        <v>11.566606929510154</v>
      </c>
      <c r="E372" s="17">
        <v>22.876145122918302</v>
      </c>
      <c r="I372" s="11">
        <v>1.0</v>
      </c>
      <c r="M372" s="16">
        <v>24.0</v>
      </c>
    </row>
    <row r="373">
      <c r="A373" s="17">
        <v>290.44338259016683</v>
      </c>
      <c r="E373" s="17">
        <v>2.5217603911980464</v>
      </c>
      <c r="I373" s="11">
        <v>30.0</v>
      </c>
      <c r="M373" s="16">
        <v>3.3600000000000003</v>
      </c>
    </row>
    <row r="374">
      <c r="A374" s="17">
        <v>276.8983658842111</v>
      </c>
      <c r="E374" s="17">
        <v>4.322197799352753</v>
      </c>
      <c r="I374" s="11">
        <v>40.0</v>
      </c>
      <c r="M374" s="16">
        <v>0.792</v>
      </c>
    </row>
    <row r="375">
      <c r="A375" s="17">
        <v>6.222705882352932</v>
      </c>
      <c r="E375" s="17">
        <v>54.86853873617045</v>
      </c>
      <c r="I375" s="11">
        <v>10.0</v>
      </c>
      <c r="M375" s="16">
        <v>6.720000000000001</v>
      </c>
    </row>
    <row r="376">
      <c r="A376" s="17">
        <v>3.865319865319852</v>
      </c>
      <c r="E376" s="17">
        <v>25.012243603603594</v>
      </c>
      <c r="I376" s="11">
        <v>44.0</v>
      </c>
      <c r="M376" s="16">
        <v>0.4</v>
      </c>
    </row>
    <row r="377">
      <c r="A377" s="17">
        <v>740.5694152613326</v>
      </c>
      <c r="E377" s="17">
        <v>51.46816443656285</v>
      </c>
      <c r="I377" s="11">
        <v>28.0</v>
      </c>
      <c r="M377" s="16">
        <v>48.0</v>
      </c>
    </row>
    <row r="378">
      <c r="A378" s="17">
        <v>322.06913462290805</v>
      </c>
      <c r="E378" s="17">
        <v>2.994484423963135</v>
      </c>
      <c r="I378" s="11">
        <v>35.0</v>
      </c>
      <c r="M378" s="16">
        <v>21.040000000000003</v>
      </c>
    </row>
    <row r="379">
      <c r="A379" s="17">
        <v>81.99972508591073</v>
      </c>
      <c r="E379" s="17">
        <v>0.297788697788702</v>
      </c>
      <c r="I379" s="11">
        <v>20.0</v>
      </c>
      <c r="M379" s="16">
        <v>3.6</v>
      </c>
    </row>
    <row r="380">
      <c r="A380" s="17">
        <v>30.29736882943145</v>
      </c>
      <c r="E380" s="17">
        <v>28.872549378678855</v>
      </c>
      <c r="I380" s="11">
        <v>26.0</v>
      </c>
      <c r="M380" s="16">
        <v>0.392</v>
      </c>
    </row>
    <row r="381">
      <c r="A381" s="17">
        <v>77.64755539922615</v>
      </c>
      <c r="E381" s="17">
        <v>31.05924656443722</v>
      </c>
      <c r="I381" s="11">
        <v>5.0</v>
      </c>
      <c r="M381" s="16">
        <v>35.0</v>
      </c>
    </row>
    <row r="382">
      <c r="A382" s="17">
        <v>3.667464968152868</v>
      </c>
      <c r="E382" s="17">
        <v>165.83037931526874</v>
      </c>
      <c r="I382" s="11">
        <v>19.0</v>
      </c>
      <c r="M382" s="16">
        <v>0.5599999999999999</v>
      </c>
    </row>
    <row r="383">
      <c r="A383" s="17">
        <v>237.89193830132456</v>
      </c>
      <c r="E383" s="17">
        <v>7.603964016597503</v>
      </c>
      <c r="I383" s="11">
        <v>39.0</v>
      </c>
      <c r="M383" s="16">
        <v>8.096</v>
      </c>
    </row>
    <row r="384">
      <c r="A384" s="17">
        <v>22.58006663401771</v>
      </c>
      <c r="E384" s="17">
        <v>147.01128888813622</v>
      </c>
      <c r="I384" s="11">
        <v>21.0</v>
      </c>
      <c r="M384" s="16">
        <v>5.368</v>
      </c>
    </row>
    <row r="385">
      <c r="A385" s="17">
        <v>66.80984509133212</v>
      </c>
      <c r="E385" s="17">
        <v>28.10968230231904</v>
      </c>
      <c r="I385" s="11">
        <v>14.0</v>
      </c>
      <c r="M385" s="16">
        <v>3.8880000000000003</v>
      </c>
    </row>
    <row r="386">
      <c r="A386" s="17">
        <v>74.16585754458511</v>
      </c>
      <c r="E386" s="17">
        <v>39.471253954048485</v>
      </c>
      <c r="I386" s="11">
        <v>9.0</v>
      </c>
      <c r="M386" s="16">
        <v>15.991999999999999</v>
      </c>
    </row>
    <row r="387">
      <c r="A387" s="17">
        <v>283.92767839014647</v>
      </c>
      <c r="E387" s="17">
        <v>1.1814432989690749</v>
      </c>
      <c r="I387" s="11">
        <v>14.0</v>
      </c>
      <c r="M387" s="16">
        <v>55.2</v>
      </c>
    </row>
    <row r="388">
      <c r="A388" s="17">
        <v>1.5240498701298706</v>
      </c>
      <c r="E388" s="17">
        <v>10.95339172254332</v>
      </c>
      <c r="I388" s="11">
        <v>4.0</v>
      </c>
      <c r="M388" s="16">
        <v>2.3920000000000003</v>
      </c>
    </row>
    <row r="389">
      <c r="A389" s="17">
        <v>16.85674226804128</v>
      </c>
      <c r="E389" s="17">
        <v>171.13590489814044</v>
      </c>
      <c r="I389" s="11">
        <v>46.0</v>
      </c>
      <c r="M389" s="16">
        <v>4.84</v>
      </c>
    </row>
    <row r="390">
      <c r="A390" s="17">
        <v>19.539098055440657</v>
      </c>
      <c r="E390" s="17">
        <v>6.252876000000002</v>
      </c>
      <c r="I390" s="11">
        <v>22.0</v>
      </c>
      <c r="M390" s="16">
        <v>3.2</v>
      </c>
    </row>
    <row r="391">
      <c r="A391" s="17">
        <v>61.669449781659424</v>
      </c>
      <c r="E391" s="17">
        <v>529.6874375772369</v>
      </c>
      <c r="I391" s="11">
        <v>31.0</v>
      </c>
      <c r="M391" s="16">
        <v>8.440000000000001</v>
      </c>
    </row>
    <row r="392">
      <c r="A392" s="17">
        <v>3.2908373333333345</v>
      </c>
      <c r="E392" s="17">
        <v>687.7382999906874</v>
      </c>
      <c r="I392" s="11">
        <v>12.0</v>
      </c>
      <c r="M392" s="16">
        <v>5.464</v>
      </c>
    </row>
    <row r="393">
      <c r="A393" s="17">
        <v>4.4277530381679355</v>
      </c>
      <c r="E393" s="17">
        <v>63.531113418124924</v>
      </c>
      <c r="I393" s="11">
        <v>3.0</v>
      </c>
      <c r="M393" s="16">
        <v>14.224000000000002</v>
      </c>
    </row>
    <row r="394">
      <c r="A394" s="17">
        <v>1.0268079581151874</v>
      </c>
      <c r="E394" s="17">
        <v>73.54403320791764</v>
      </c>
      <c r="I394" s="11">
        <v>13.0</v>
      </c>
      <c r="M394" s="16">
        <v>0.7440000000000001</v>
      </c>
    </row>
    <row r="395">
      <c r="A395" s="17">
        <v>1.0365504587155965</v>
      </c>
      <c r="E395" s="17">
        <v>24.149049932246925</v>
      </c>
      <c r="I395" s="11">
        <v>1.0</v>
      </c>
      <c r="M395" s="16">
        <v>4.24</v>
      </c>
    </row>
    <row r="396">
      <c r="A396" s="17">
        <v>7.266792838874693</v>
      </c>
      <c r="E396" s="17">
        <v>1.2008062015503875</v>
      </c>
      <c r="I396" s="11">
        <v>38.0</v>
      </c>
      <c r="M396" s="16">
        <v>0.5599999999999999</v>
      </c>
    </row>
    <row r="397">
      <c r="A397" s="17">
        <v>1.8828699212598412</v>
      </c>
      <c r="E397" s="17">
        <v>89.82316526570672</v>
      </c>
      <c r="I397" s="11">
        <v>5.0</v>
      </c>
      <c r="M397" s="16">
        <v>4.352</v>
      </c>
    </row>
    <row r="398">
      <c r="A398" s="17">
        <v>3.4848303677342845</v>
      </c>
      <c r="E398" s="17">
        <v>26.64619931939717</v>
      </c>
      <c r="I398" s="11">
        <v>41.0</v>
      </c>
      <c r="M398" s="16">
        <v>1.04</v>
      </c>
    </row>
    <row r="399">
      <c r="A399" s="17">
        <v>10.282519964507554</v>
      </c>
      <c r="E399" s="17">
        <v>3.903712849964142</v>
      </c>
      <c r="I399" s="11">
        <v>34.0</v>
      </c>
      <c r="M399" s="16">
        <v>0.4</v>
      </c>
    </row>
    <row r="400">
      <c r="A400" s="17">
        <v>564.4764741592136</v>
      </c>
      <c r="E400" s="17">
        <v>11.64174604026846</v>
      </c>
      <c r="I400" s="11">
        <v>33.0</v>
      </c>
      <c r="M400" s="16">
        <v>2.4000000000000004</v>
      </c>
    </row>
    <row r="401">
      <c r="A401" s="17">
        <v>0.6923842990654224</v>
      </c>
      <c r="E401" s="17">
        <v>60.76375133966901</v>
      </c>
      <c r="I401" s="11">
        <v>1.0</v>
      </c>
      <c r="M401" s="16">
        <v>1.592</v>
      </c>
    </row>
    <row r="402">
      <c r="A402" s="17">
        <v>14.595774647887316</v>
      </c>
      <c r="E402" s="17">
        <v>42.51947848866477</v>
      </c>
      <c r="I402" s="11">
        <v>13.0</v>
      </c>
      <c r="M402" s="16">
        <v>39.2</v>
      </c>
    </row>
    <row r="403">
      <c r="A403" s="17">
        <v>7.425997371879109</v>
      </c>
      <c r="E403" s="17">
        <v>7.543689320388355</v>
      </c>
      <c r="I403" s="11">
        <v>24.0</v>
      </c>
      <c r="M403" s="16">
        <v>0.5599999999999999</v>
      </c>
    </row>
    <row r="404">
      <c r="A404" s="17">
        <v>18.82112672848384</v>
      </c>
      <c r="E404" s="17">
        <v>16.195957511380897</v>
      </c>
      <c r="I404" s="11">
        <v>49.0</v>
      </c>
      <c r="M404" s="16">
        <v>1.592</v>
      </c>
    </row>
    <row r="405">
      <c r="A405" s="17">
        <v>6.938797317668411</v>
      </c>
      <c r="E405" s="17">
        <v>114.77623102348804</v>
      </c>
      <c r="I405" s="11">
        <v>3.0</v>
      </c>
      <c r="M405" s="16">
        <v>2.64</v>
      </c>
    </row>
    <row r="406">
      <c r="A406" s="17">
        <v>16.027515289788415</v>
      </c>
      <c r="E406" s="17">
        <v>20.072505839734557</v>
      </c>
      <c r="I406" s="11">
        <v>40.0</v>
      </c>
      <c r="M406" s="16">
        <v>3.976</v>
      </c>
    </row>
    <row r="407">
      <c r="A407" s="17">
        <v>39.753837215495324</v>
      </c>
      <c r="E407" s="17">
        <v>114.22721330274607</v>
      </c>
      <c r="I407" s="11">
        <v>1.0</v>
      </c>
      <c r="M407" s="16">
        <v>19.592</v>
      </c>
    </row>
    <row r="408">
      <c r="A408" s="17">
        <v>1.863659229208923</v>
      </c>
      <c r="E408" s="17">
        <v>5.431117750281219</v>
      </c>
      <c r="I408" s="11">
        <v>8.0</v>
      </c>
      <c r="M408" s="16">
        <v>0.96</v>
      </c>
    </row>
    <row r="409">
      <c r="A409" s="17">
        <v>11.475390659685916</v>
      </c>
      <c r="E409" s="17">
        <v>1314.8449906347355</v>
      </c>
      <c r="I409" s="11">
        <v>37.0</v>
      </c>
      <c r="M409" s="16">
        <v>4.424</v>
      </c>
    </row>
    <row r="410">
      <c r="A410" s="17">
        <v>64.89841694591729</v>
      </c>
      <c r="E410" s="17">
        <v>35.393215057939294</v>
      </c>
      <c r="I410" s="11">
        <v>27.0</v>
      </c>
      <c r="M410" s="16">
        <v>10.384</v>
      </c>
    </row>
    <row r="411">
      <c r="A411" s="17">
        <v>33.61016290585631</v>
      </c>
      <c r="E411" s="17">
        <v>6.450020028943563</v>
      </c>
      <c r="I411" s="11">
        <v>47.0</v>
      </c>
      <c r="M411" s="16">
        <v>15.991999999999999</v>
      </c>
    </row>
    <row r="412">
      <c r="A412" s="17">
        <v>104.45222792520556</v>
      </c>
      <c r="E412" s="17">
        <v>1.8242216711590291</v>
      </c>
      <c r="I412" s="11">
        <v>43.0</v>
      </c>
      <c r="M412" s="16">
        <v>1.592</v>
      </c>
    </row>
    <row r="413">
      <c r="A413" s="17">
        <v>274.30979689178236</v>
      </c>
      <c r="E413" s="17">
        <v>8.323424576697425</v>
      </c>
      <c r="I413" s="11">
        <v>26.0</v>
      </c>
      <c r="M413" s="16">
        <v>6.152000000000001</v>
      </c>
    </row>
    <row r="414">
      <c r="A414" s="17">
        <v>5.421622202327665</v>
      </c>
      <c r="E414" s="17">
        <v>11.39107611548557</v>
      </c>
      <c r="I414" s="11">
        <v>30.0</v>
      </c>
      <c r="M414" s="16">
        <v>4.84</v>
      </c>
    </row>
    <row r="415">
      <c r="A415" s="17">
        <v>17.780281006676926</v>
      </c>
      <c r="E415" s="17">
        <v>288.87557354753795</v>
      </c>
      <c r="I415" s="11">
        <v>23.0</v>
      </c>
      <c r="M415" s="16">
        <v>14.224000000000002</v>
      </c>
    </row>
    <row r="416">
      <c r="A416" s="17">
        <v>23.858403749174922</v>
      </c>
      <c r="E416" s="17">
        <v>7.561106374957936</v>
      </c>
      <c r="I416" s="11">
        <v>9.0</v>
      </c>
      <c r="M416" s="16">
        <v>2.3920000000000003</v>
      </c>
    </row>
    <row r="417">
      <c r="A417" s="17">
        <v>121.14129538316188</v>
      </c>
      <c r="E417" s="17">
        <v>62.05374029523414</v>
      </c>
      <c r="I417" s="11">
        <v>33.0</v>
      </c>
      <c r="M417" s="16">
        <v>28.0</v>
      </c>
    </row>
    <row r="418">
      <c r="A418" s="17">
        <v>71.64222750264676</v>
      </c>
      <c r="E418" s="17">
        <v>335.4816334912707</v>
      </c>
      <c r="I418" s="11">
        <v>8.0</v>
      </c>
      <c r="M418" s="16">
        <v>3.9200000000000004</v>
      </c>
    </row>
    <row r="419">
      <c r="A419" s="17">
        <v>3.820388710166922</v>
      </c>
      <c r="E419" s="17">
        <v>122.48799099222744</v>
      </c>
      <c r="I419" s="11">
        <v>1.0</v>
      </c>
      <c r="M419" s="16">
        <v>10.928</v>
      </c>
    </row>
    <row r="420">
      <c r="A420" s="17">
        <v>69.88029944954124</v>
      </c>
      <c r="E420" s="17">
        <v>4.038398571428566</v>
      </c>
      <c r="I420" s="11">
        <v>20.0</v>
      </c>
      <c r="M420" s="16">
        <v>15.991999999999999</v>
      </c>
    </row>
    <row r="421">
      <c r="A421" s="17">
        <v>21.223286595918374</v>
      </c>
      <c r="E421" s="17">
        <v>28.85351388873518</v>
      </c>
      <c r="I421" s="11">
        <v>14.0</v>
      </c>
      <c r="M421" s="16">
        <v>8.728</v>
      </c>
    </row>
    <row r="422">
      <c r="A422" s="17">
        <v>174.85775173530106</v>
      </c>
      <c r="E422" s="17">
        <v>10.190289875000001</v>
      </c>
      <c r="I422" s="11">
        <v>31.0</v>
      </c>
      <c r="M422" s="16">
        <v>4.208</v>
      </c>
    </row>
    <row r="423">
      <c r="A423" s="17">
        <v>4.490616113744078</v>
      </c>
      <c r="E423" s="17">
        <v>21.3034645458215</v>
      </c>
      <c r="I423" s="11">
        <v>9.0</v>
      </c>
      <c r="M423" s="16">
        <v>3.6</v>
      </c>
    </row>
    <row r="424">
      <c r="A424" s="17">
        <v>172.21892333421727</v>
      </c>
      <c r="E424" s="17">
        <v>13.732058879999993</v>
      </c>
      <c r="I424" s="11">
        <v>10.0</v>
      </c>
      <c r="M424" s="16">
        <v>0.792</v>
      </c>
    </row>
    <row r="425">
      <c r="A425" s="17">
        <v>6.049483174603173</v>
      </c>
      <c r="E425" s="17">
        <v>9.724751419791005</v>
      </c>
      <c r="I425" s="11">
        <v>26.0</v>
      </c>
      <c r="M425" s="16">
        <v>3.3360000000000003</v>
      </c>
    </row>
    <row r="426">
      <c r="A426" s="17">
        <v>464.26622207749733</v>
      </c>
      <c r="E426" s="17">
        <v>3.521786360893148</v>
      </c>
      <c r="I426" s="11">
        <v>48.0</v>
      </c>
      <c r="M426" s="16">
        <v>3.3600000000000003</v>
      </c>
    </row>
    <row r="427">
      <c r="A427" s="17">
        <v>105.26553623518255</v>
      </c>
      <c r="E427" s="17">
        <v>9.707894503657272</v>
      </c>
      <c r="I427" s="11">
        <v>8.0</v>
      </c>
      <c r="M427" s="16">
        <v>7.192</v>
      </c>
    </row>
    <row r="428">
      <c r="A428" s="17">
        <v>9.72837327272726</v>
      </c>
      <c r="E428" s="17">
        <v>9.152972552505654</v>
      </c>
      <c r="I428" s="11">
        <v>21.0</v>
      </c>
      <c r="M428" s="16">
        <v>3.9840000000000004</v>
      </c>
    </row>
    <row r="429">
      <c r="A429" s="17">
        <v>22.447082717872984</v>
      </c>
      <c r="E429" s="17">
        <v>89.35474334282596</v>
      </c>
      <c r="I429" s="11">
        <v>39.0</v>
      </c>
      <c r="M429" s="16">
        <v>0.4</v>
      </c>
    </row>
    <row r="430">
      <c r="A430" s="17">
        <v>27.780021882724714</v>
      </c>
      <c r="E430" s="17">
        <v>31.802866984126975</v>
      </c>
      <c r="I430" s="11">
        <v>40.0</v>
      </c>
      <c r="M430" s="16">
        <v>3.6</v>
      </c>
    </row>
    <row r="431">
      <c r="A431" s="17">
        <v>151.47655218281255</v>
      </c>
      <c r="E431" s="17">
        <v>106.8533309178745</v>
      </c>
      <c r="I431" s="11">
        <v>46.0</v>
      </c>
      <c r="M431" s="16">
        <v>56.160000000000004</v>
      </c>
    </row>
    <row r="432">
      <c r="A432" s="17">
        <v>918.6750846113944</v>
      </c>
      <c r="E432" s="17">
        <v>253.0916372074827</v>
      </c>
      <c r="I432" s="11">
        <v>4.0</v>
      </c>
      <c r="M432" s="16">
        <v>6.984000000000001</v>
      </c>
    </row>
    <row r="433">
      <c r="A433" s="17">
        <v>19.456590571563524</v>
      </c>
      <c r="E433" s="17">
        <v>24.701461393980797</v>
      </c>
      <c r="I433" s="11">
        <v>25.0</v>
      </c>
      <c r="M433" s="16">
        <v>5.024000000000001</v>
      </c>
    </row>
    <row r="434">
      <c r="A434" s="17">
        <v>6.327945555555529</v>
      </c>
      <c r="E434" s="17">
        <v>62.76050601432627</v>
      </c>
      <c r="I434" s="11">
        <v>34.0</v>
      </c>
      <c r="M434" s="16">
        <v>6.288</v>
      </c>
    </row>
    <row r="435">
      <c r="A435" s="17">
        <v>11.869360267696296</v>
      </c>
      <c r="E435" s="17">
        <v>18.86629758771344</v>
      </c>
      <c r="I435" s="11">
        <v>23.0</v>
      </c>
      <c r="M435" s="16">
        <v>10.544</v>
      </c>
    </row>
    <row r="436">
      <c r="A436" s="17">
        <v>126.73975127325795</v>
      </c>
      <c r="E436" s="17">
        <v>44.335881630966696</v>
      </c>
      <c r="I436" s="11">
        <v>32.0</v>
      </c>
      <c r="M436" s="16">
        <v>5.416</v>
      </c>
    </row>
    <row r="437">
      <c r="A437" s="17">
        <v>5.466907804107422</v>
      </c>
      <c r="E437" s="17">
        <v>0.8913043478260856</v>
      </c>
      <c r="I437" s="11">
        <v>35.0</v>
      </c>
      <c r="M437" s="16">
        <v>1.2560000000000002</v>
      </c>
    </row>
    <row r="438">
      <c r="A438" s="17">
        <v>57.18614029401218</v>
      </c>
      <c r="E438" s="17">
        <v>9.357683183023898</v>
      </c>
      <c r="I438" s="11">
        <v>2.0</v>
      </c>
      <c r="M438" s="16">
        <v>55.712</v>
      </c>
    </row>
    <row r="439">
      <c r="A439" s="17">
        <v>0.6208136170212859</v>
      </c>
      <c r="E439" s="17">
        <v>795.0486226181782</v>
      </c>
      <c r="I439" s="11">
        <v>8.0</v>
      </c>
      <c r="M439" s="16">
        <v>1.576</v>
      </c>
    </row>
    <row r="440">
      <c r="A440" s="17">
        <v>119.67412459527239</v>
      </c>
      <c r="E440" s="17">
        <v>4.7888853796095425</v>
      </c>
      <c r="I440" s="11">
        <v>31.0</v>
      </c>
      <c r="M440" s="16">
        <v>10.120000000000001</v>
      </c>
    </row>
    <row r="441">
      <c r="A441" s="17">
        <v>61.28758085141872</v>
      </c>
      <c r="E441" s="17">
        <v>9.551481932543282</v>
      </c>
      <c r="I441" s="11">
        <v>33.0</v>
      </c>
      <c r="M441" s="16">
        <v>24.0</v>
      </c>
    </row>
    <row r="442">
      <c r="A442" s="17">
        <v>16.713331620858003</v>
      </c>
      <c r="E442" s="17">
        <v>326.59296695172907</v>
      </c>
      <c r="I442" s="11">
        <v>23.0</v>
      </c>
      <c r="M442" s="16">
        <v>22.200000000000003</v>
      </c>
    </row>
    <row r="443">
      <c r="A443" s="17">
        <v>8.551826303810001</v>
      </c>
      <c r="E443" s="17">
        <v>61.70141001433252</v>
      </c>
      <c r="I443" s="11">
        <v>30.0</v>
      </c>
      <c r="M443" s="16">
        <v>4.152</v>
      </c>
    </row>
    <row r="444">
      <c r="A444" s="17">
        <v>92.98092141161486</v>
      </c>
      <c r="E444" s="17">
        <v>128.08484339527496</v>
      </c>
      <c r="I444" s="11">
        <v>50.0</v>
      </c>
      <c r="M444" s="16">
        <v>1.592</v>
      </c>
    </row>
    <row r="445">
      <c r="A445" s="17">
        <v>4.773062079589221</v>
      </c>
      <c r="E445" s="17">
        <v>12.582255843109722</v>
      </c>
      <c r="I445" s="11">
        <v>24.0</v>
      </c>
      <c r="M445" s="16">
        <v>0.792</v>
      </c>
    </row>
    <row r="446">
      <c r="A446" s="17">
        <v>18.20481119069236</v>
      </c>
      <c r="E446" s="17">
        <v>0.993868372739926</v>
      </c>
      <c r="I446" s="11">
        <v>50.0</v>
      </c>
      <c r="M446" s="16">
        <v>1.4320000000000002</v>
      </c>
    </row>
    <row r="447">
      <c r="A447" s="17">
        <v>6.341317339630076</v>
      </c>
      <c r="E447" s="17">
        <v>10.040405837387087</v>
      </c>
      <c r="I447" s="11">
        <v>15.0</v>
      </c>
      <c r="M447" s="16">
        <v>1.592</v>
      </c>
    </row>
    <row r="448">
      <c r="A448" s="17">
        <v>8.688969818913485</v>
      </c>
      <c r="E448" s="17">
        <v>3.6481726430517742</v>
      </c>
      <c r="I448" s="11">
        <v>27.0</v>
      </c>
      <c r="M448" s="16">
        <v>0.68</v>
      </c>
    </row>
    <row r="449">
      <c r="A449" s="17">
        <v>15.868392483076127</v>
      </c>
      <c r="E449" s="17">
        <v>1.519449863013696</v>
      </c>
      <c r="I449" s="11">
        <v>1.0</v>
      </c>
      <c r="M449" s="16">
        <v>51.784000000000006</v>
      </c>
    </row>
    <row r="450">
      <c r="A450" s="17">
        <v>3.334061656050957</v>
      </c>
      <c r="E450" s="17">
        <v>8.223395746509118</v>
      </c>
      <c r="I450" s="11">
        <v>6.0</v>
      </c>
      <c r="M450" s="16">
        <v>4.208</v>
      </c>
    </row>
    <row r="451">
      <c r="A451" s="17">
        <v>173.6227694993452</v>
      </c>
      <c r="E451" s="17">
        <v>23.526130251457136</v>
      </c>
      <c r="I451" s="11">
        <v>24.0</v>
      </c>
      <c r="M451" s="16">
        <v>2.0</v>
      </c>
    </row>
    <row r="452">
      <c r="A452" s="17">
        <v>36.43375068219659</v>
      </c>
      <c r="E452" s="17">
        <v>12.873287444168737</v>
      </c>
      <c r="I452" s="11">
        <v>1.0</v>
      </c>
      <c r="M452" s="16">
        <v>6.984000000000001</v>
      </c>
    </row>
    <row r="453">
      <c r="A453" s="17">
        <v>9.94379166561116</v>
      </c>
      <c r="E453" s="17">
        <v>1.767191397849459</v>
      </c>
      <c r="I453" s="11">
        <v>9.0</v>
      </c>
      <c r="M453" s="16">
        <v>5.936</v>
      </c>
    </row>
    <row r="454">
      <c r="A454" s="17">
        <v>184.1693558804206</v>
      </c>
      <c r="E454" s="17">
        <v>19.54886499402628</v>
      </c>
      <c r="I454" s="11">
        <v>34.0</v>
      </c>
      <c r="M454" s="16">
        <v>5.744</v>
      </c>
    </row>
    <row r="455">
      <c r="A455" s="17">
        <v>16.19128334956183</v>
      </c>
      <c r="E455" s="17">
        <v>211.5264874275952</v>
      </c>
      <c r="I455" s="11">
        <v>16.0</v>
      </c>
      <c r="M455" s="16">
        <v>6.88</v>
      </c>
    </row>
    <row r="456">
      <c r="A456" s="17">
        <v>70.34490441375789</v>
      </c>
      <c r="E456" s="17">
        <v>6.070406732117814</v>
      </c>
      <c r="I456" s="11">
        <v>42.0</v>
      </c>
      <c r="M456" s="16">
        <v>7.192</v>
      </c>
    </row>
    <row r="457">
      <c r="A457" s="17">
        <v>1320.2044214228001</v>
      </c>
      <c r="E457" s="17">
        <v>68.81440017792158</v>
      </c>
      <c r="I457" s="11">
        <v>44.0</v>
      </c>
      <c r="M457" s="16">
        <v>34.016000000000005</v>
      </c>
    </row>
    <row r="458">
      <c r="A458" s="17">
        <v>27.183342989644025</v>
      </c>
      <c r="E458" s="17">
        <v>12.005703088923536</v>
      </c>
      <c r="I458" s="11">
        <v>26.0</v>
      </c>
      <c r="M458" s="16">
        <v>10.32</v>
      </c>
    </row>
    <row r="459">
      <c r="A459" s="17">
        <v>6.5614841102757095</v>
      </c>
      <c r="E459" s="17">
        <v>35.08191653786703</v>
      </c>
      <c r="I459" s="11">
        <v>31.0</v>
      </c>
      <c r="M459" s="16">
        <v>3.944</v>
      </c>
    </row>
    <row r="460">
      <c r="A460" s="17">
        <v>8.942471408987066</v>
      </c>
      <c r="E460" s="17">
        <v>3.990424427480907</v>
      </c>
      <c r="I460" s="11">
        <v>12.0</v>
      </c>
      <c r="M460" s="16">
        <v>1.6480000000000001</v>
      </c>
    </row>
    <row r="461">
      <c r="A461" s="17">
        <v>51.83878131736529</v>
      </c>
      <c r="E461" s="17">
        <v>45.420275815674486</v>
      </c>
      <c r="I461" s="11">
        <v>44.0</v>
      </c>
      <c r="M461" s="16">
        <v>10.656</v>
      </c>
    </row>
    <row r="462">
      <c r="A462" s="17">
        <v>44.18380618279563</v>
      </c>
      <c r="E462" s="17">
        <v>627.0693455300392</v>
      </c>
      <c r="I462" s="11">
        <v>15.0</v>
      </c>
      <c r="M462" s="16">
        <v>3.9200000000000004</v>
      </c>
    </row>
    <row r="463">
      <c r="A463" s="17">
        <v>25.31132862300885</v>
      </c>
      <c r="E463" s="17">
        <v>9.077521655172408</v>
      </c>
      <c r="I463" s="11">
        <v>8.0</v>
      </c>
      <c r="M463" s="16">
        <v>7.192</v>
      </c>
    </row>
    <row r="464">
      <c r="A464" s="17">
        <v>2.5435139999999996</v>
      </c>
      <c r="E464" s="17">
        <v>3.2766091820580363</v>
      </c>
      <c r="I464" s="11">
        <v>3.0</v>
      </c>
      <c r="M464" s="16">
        <v>4.008</v>
      </c>
    </row>
    <row r="465">
      <c r="A465" s="17">
        <v>19.13593124081279</v>
      </c>
      <c r="E465" s="17">
        <v>10.448675497975698</v>
      </c>
      <c r="I465" s="11">
        <v>32.0</v>
      </c>
      <c r="M465" s="16">
        <v>5.448</v>
      </c>
    </row>
    <row r="466">
      <c r="A466" s="17">
        <v>25.19439404958679</v>
      </c>
      <c r="E466" s="17">
        <v>634.4748619828406</v>
      </c>
      <c r="I466" s="11">
        <v>7.0</v>
      </c>
      <c r="M466" s="16">
        <v>42.42400000000001</v>
      </c>
    </row>
    <row r="467">
      <c r="A467" s="17">
        <v>680.4477810060812</v>
      </c>
      <c r="E467" s="17">
        <v>25.3137971367933</v>
      </c>
      <c r="I467" s="11">
        <v>31.0</v>
      </c>
      <c r="M467" s="16">
        <v>33.528</v>
      </c>
    </row>
    <row r="468">
      <c r="A468" s="17">
        <v>4.56585587832702</v>
      </c>
      <c r="E468" s="17">
        <v>19.075935894641162</v>
      </c>
      <c r="I468" s="11">
        <v>24.0</v>
      </c>
      <c r="M468" s="16">
        <v>6.352</v>
      </c>
    </row>
    <row r="469">
      <c r="A469" s="17">
        <v>7.296956977964318</v>
      </c>
      <c r="E469" s="17">
        <v>80.44091174123095</v>
      </c>
      <c r="I469" s="11">
        <v>30.0</v>
      </c>
      <c r="M469" s="16">
        <v>6.0</v>
      </c>
    </row>
    <row r="470">
      <c r="A470" s="17">
        <v>37.344374913140314</v>
      </c>
      <c r="E470" s="17">
        <v>2.3620309050772628</v>
      </c>
      <c r="I470" s="11">
        <v>7.0</v>
      </c>
      <c r="M470" s="16">
        <v>1.192</v>
      </c>
    </row>
    <row r="471">
      <c r="A471" s="17">
        <v>3.4506645187273457</v>
      </c>
      <c r="E471" s="17">
        <v>16.775995263339052</v>
      </c>
      <c r="I471" s="11">
        <v>3.0</v>
      </c>
      <c r="M471" s="16">
        <v>3.6</v>
      </c>
    </row>
    <row r="472">
      <c r="A472" s="17">
        <v>4.833807909895373</v>
      </c>
      <c r="E472" s="17">
        <v>2.7623939840486433</v>
      </c>
      <c r="I472" s="11">
        <v>49.0</v>
      </c>
      <c r="M472" s="16">
        <v>4.128</v>
      </c>
    </row>
    <row r="473">
      <c r="A473" s="17">
        <v>5.8392976504297955</v>
      </c>
      <c r="E473" s="17">
        <v>3.943462641509431</v>
      </c>
      <c r="I473" s="11">
        <v>10.0</v>
      </c>
      <c r="M473" s="16">
        <v>4.368</v>
      </c>
    </row>
    <row r="474">
      <c r="A474" s="17">
        <v>134.93599532655665</v>
      </c>
      <c r="E474" s="17">
        <v>48.09564794101141</v>
      </c>
      <c r="I474" s="11">
        <v>46.0</v>
      </c>
      <c r="M474" s="16">
        <v>21.480000000000004</v>
      </c>
    </row>
    <row r="475">
      <c r="A475" s="17">
        <v>43.395464082001965</v>
      </c>
      <c r="E475" s="17">
        <v>2.1696029747676002</v>
      </c>
      <c r="I475" s="11">
        <v>31.0</v>
      </c>
      <c r="M475" s="16">
        <v>13.984000000000002</v>
      </c>
    </row>
    <row r="476">
      <c r="A476" s="17">
        <v>6.469161019108279</v>
      </c>
      <c r="E476" s="17">
        <v>39.537093651037566</v>
      </c>
      <c r="I476" s="11">
        <v>37.0</v>
      </c>
      <c r="M476" s="16">
        <v>0.392</v>
      </c>
    </row>
    <row r="477">
      <c r="A477" s="17">
        <v>6.3159523335575685</v>
      </c>
      <c r="E477" s="17">
        <v>150.81883133553137</v>
      </c>
      <c r="I477" s="11">
        <v>21.0</v>
      </c>
      <c r="M477" s="16">
        <v>0.792</v>
      </c>
    </row>
    <row r="478">
      <c r="A478" s="17">
        <v>0.8769230769230756</v>
      </c>
      <c r="E478" s="17">
        <v>26.972566267927274</v>
      </c>
      <c r="I478" s="11">
        <v>13.0</v>
      </c>
      <c r="M478" s="16">
        <v>0.4</v>
      </c>
    </row>
    <row r="479">
      <c r="A479" s="17">
        <v>17.610908091603065</v>
      </c>
      <c r="E479" s="17">
        <v>137.557561601684</v>
      </c>
      <c r="I479" s="11">
        <v>26.0</v>
      </c>
      <c r="M479" s="16">
        <v>0.392</v>
      </c>
    </row>
    <row r="480">
      <c r="A480" s="17">
        <v>99.705668855859</v>
      </c>
      <c r="E480" s="17">
        <v>5.938669540412048</v>
      </c>
      <c r="I480" s="11">
        <v>50.0</v>
      </c>
      <c r="M480" s="16">
        <v>2.0</v>
      </c>
    </row>
    <row r="481">
      <c r="A481" s="17">
        <v>122.05466245817</v>
      </c>
      <c r="E481" s="17">
        <v>4.006707751724133</v>
      </c>
      <c r="I481" s="11">
        <v>42.0</v>
      </c>
      <c r="M481" s="16">
        <v>3.696</v>
      </c>
    </row>
    <row r="482">
      <c r="A482" s="17">
        <v>125.43108044379352</v>
      </c>
      <c r="E482" s="17">
        <v>1254.4134827390428</v>
      </c>
      <c r="I482" s="11">
        <v>43.0</v>
      </c>
      <c r="M482" s="16">
        <v>33.6</v>
      </c>
    </row>
    <row r="483">
      <c r="A483" s="17">
        <v>15.278613199665896</v>
      </c>
      <c r="E483" s="17">
        <v>24.574573521126883</v>
      </c>
      <c r="I483" s="11">
        <v>22.0</v>
      </c>
      <c r="M483" s="16">
        <v>3.2</v>
      </c>
    </row>
    <row r="484">
      <c r="A484" s="17">
        <v>10.550343897872317</v>
      </c>
      <c r="E484" s="17">
        <v>2.2596792156862753</v>
      </c>
      <c r="I484" s="11">
        <v>34.0</v>
      </c>
      <c r="M484" s="16">
        <v>6.328</v>
      </c>
    </row>
    <row r="485">
      <c r="A485" s="17">
        <v>3.9056744410876143</v>
      </c>
      <c r="E485" s="17">
        <v>45.687006385293564</v>
      </c>
      <c r="I485" s="11">
        <v>2.0</v>
      </c>
      <c r="M485" s="16">
        <v>5.5760000000000005</v>
      </c>
    </row>
    <row r="486">
      <c r="A486" s="17">
        <v>52.62457760912247</v>
      </c>
      <c r="E486" s="17">
        <v>21.97873841554561</v>
      </c>
      <c r="I486" s="11">
        <v>39.0</v>
      </c>
      <c r="M486" s="16">
        <v>4.296</v>
      </c>
    </row>
    <row r="487">
      <c r="A487" s="17">
        <v>65.42254313000609</v>
      </c>
      <c r="E487" s="17">
        <v>0.47692800000000396</v>
      </c>
      <c r="I487" s="11">
        <v>17.0</v>
      </c>
      <c r="M487" s="16">
        <v>24.0</v>
      </c>
    </row>
    <row r="488">
      <c r="A488" s="17">
        <v>6.539377777777771</v>
      </c>
      <c r="E488" s="17">
        <v>3.858073671134317</v>
      </c>
      <c r="I488" s="11">
        <v>18.0</v>
      </c>
      <c r="M488" s="16">
        <v>3.7600000000000002</v>
      </c>
    </row>
    <row r="489">
      <c r="A489" s="17">
        <v>64.39510875155884</v>
      </c>
      <c r="E489" s="17">
        <v>71.68798297872344</v>
      </c>
      <c r="I489" s="11">
        <v>47.0</v>
      </c>
      <c r="M489" s="16">
        <v>15.991999999999999</v>
      </c>
    </row>
    <row r="490">
      <c r="A490" s="17">
        <v>14.972440623781651</v>
      </c>
      <c r="E490" s="17">
        <v>37.64241567985448</v>
      </c>
      <c r="I490" s="11">
        <v>50.0</v>
      </c>
      <c r="M490" s="16">
        <v>10.544</v>
      </c>
    </row>
    <row r="491">
      <c r="A491" s="17">
        <v>98.45515489849025</v>
      </c>
      <c r="E491" s="17">
        <v>20.286587594161077</v>
      </c>
      <c r="I491" s="11">
        <v>19.0</v>
      </c>
      <c r="M491" s="16">
        <v>15.991999999999999</v>
      </c>
    </row>
    <row r="492">
      <c r="A492" s="17">
        <v>1869.5904215764951</v>
      </c>
      <c r="E492" s="17">
        <v>108.23768777173552</v>
      </c>
      <c r="I492" s="11">
        <v>14.0</v>
      </c>
      <c r="M492" s="16">
        <v>11.76</v>
      </c>
    </row>
    <row r="493">
      <c r="A493" s="17">
        <v>352.45395592831085</v>
      </c>
      <c r="E493" s="17">
        <v>18.484421284403673</v>
      </c>
      <c r="I493" s="11">
        <v>20.0</v>
      </c>
      <c r="M493" s="16">
        <v>16.968</v>
      </c>
    </row>
    <row r="494">
      <c r="A494" s="17">
        <v>67.57496247669455</v>
      </c>
      <c r="E494" s="17">
        <v>10.361980830670932</v>
      </c>
      <c r="I494" s="11">
        <v>12.0</v>
      </c>
      <c r="M494" s="16">
        <v>4.248</v>
      </c>
    </row>
    <row r="495">
      <c r="A495" s="17">
        <v>1.6167619889502756</v>
      </c>
      <c r="E495" s="17">
        <v>9.824556657777782</v>
      </c>
      <c r="I495" s="11">
        <v>10.0</v>
      </c>
      <c r="M495" s="16">
        <v>1.6320000000000001</v>
      </c>
    </row>
    <row r="496">
      <c r="A496" s="17">
        <v>52.244206413312206</v>
      </c>
      <c r="E496" s="17">
        <v>9.327176874666687</v>
      </c>
      <c r="I496" s="11">
        <v>23.0</v>
      </c>
      <c r="M496" s="16">
        <v>5.432</v>
      </c>
    </row>
    <row r="497">
      <c r="A497" s="17">
        <v>45.91392580337249</v>
      </c>
      <c r="E497" s="17">
        <v>53.07797845743266</v>
      </c>
      <c r="I497" s="11">
        <v>10.0</v>
      </c>
      <c r="M497" s="16">
        <v>64.16000000000001</v>
      </c>
    </row>
    <row r="498">
      <c r="A498" s="17">
        <v>119.63986789166289</v>
      </c>
      <c r="E498" s="17">
        <v>5.518074427327551</v>
      </c>
      <c r="I498" s="11">
        <v>31.0</v>
      </c>
      <c r="M498" s="16">
        <v>4.736</v>
      </c>
    </row>
    <row r="499">
      <c r="A499" s="17">
        <v>4.498526753246752</v>
      </c>
      <c r="E499" s="17">
        <v>1.9499846906474911</v>
      </c>
      <c r="I499" s="11">
        <v>36.0</v>
      </c>
      <c r="M499" s="16">
        <v>3.2640000000000002</v>
      </c>
    </row>
    <row r="500">
      <c r="A500" s="17">
        <v>71.47710361506094</v>
      </c>
      <c r="E500" s="17">
        <v>45.45739658434218</v>
      </c>
      <c r="I500" s="11">
        <v>47.0</v>
      </c>
      <c r="M500" s="16">
        <v>44.912000000000006</v>
      </c>
    </row>
    <row r="501">
      <c r="A501" s="17">
        <v>27.530615296729167</v>
      </c>
      <c r="E501" s="17">
        <v>142.55334673244417</v>
      </c>
      <c r="I501" s="11">
        <v>16.0</v>
      </c>
      <c r="M501" s="16">
        <v>1.592</v>
      </c>
    </row>
    <row r="502">
      <c r="A502" s="17">
        <v>8.202376849816877</v>
      </c>
      <c r="E502" s="17">
        <v>1.8737529256820333</v>
      </c>
      <c r="I502" s="11">
        <v>27.0</v>
      </c>
      <c r="M502" s="16">
        <v>4.664000000000001</v>
      </c>
    </row>
    <row r="503">
      <c r="A503" s="17">
        <v>2.602020202020206</v>
      </c>
      <c r="E503" s="17">
        <v>39.66211830228545</v>
      </c>
      <c r="I503" s="11">
        <v>14.0</v>
      </c>
      <c r="M503" s="16">
        <v>0.4</v>
      </c>
    </row>
    <row r="504">
      <c r="A504" s="17">
        <v>9.421081529085855</v>
      </c>
      <c r="E504" s="17">
        <v>18.0636514611006</v>
      </c>
      <c r="I504" s="11">
        <v>26.0</v>
      </c>
      <c r="M504" s="16">
        <v>4.128</v>
      </c>
    </row>
    <row r="505">
      <c r="A505" s="17">
        <v>21.450962641232604</v>
      </c>
      <c r="E505" s="17">
        <v>1.6835160000000007</v>
      </c>
      <c r="I505" s="11">
        <v>1.0</v>
      </c>
      <c r="M505" s="16">
        <v>22.528000000000002</v>
      </c>
    </row>
    <row r="506">
      <c r="A506" s="17">
        <v>85.7751563042067</v>
      </c>
      <c r="E506" s="17">
        <v>15.649748587005895</v>
      </c>
      <c r="I506" s="11">
        <v>45.0</v>
      </c>
      <c r="M506" s="16">
        <v>42.42400000000001</v>
      </c>
    </row>
    <row r="507">
      <c r="A507" s="17">
        <v>64.45243666556834</v>
      </c>
      <c r="E507" s="17">
        <v>48.683542555139546</v>
      </c>
      <c r="I507" s="11">
        <v>2.0</v>
      </c>
      <c r="M507" s="16">
        <v>9.096</v>
      </c>
    </row>
    <row r="508">
      <c r="A508" s="17">
        <v>2.673748919667591</v>
      </c>
      <c r="E508" s="17">
        <v>0.6207179487179485</v>
      </c>
      <c r="I508" s="11">
        <v>16.0</v>
      </c>
      <c r="M508" s="16">
        <v>1.192</v>
      </c>
    </row>
    <row r="509">
      <c r="A509" s="17">
        <v>124.2727372777889</v>
      </c>
      <c r="E509" s="17">
        <v>32.586772813370494</v>
      </c>
      <c r="I509" s="11">
        <v>19.0</v>
      </c>
      <c r="M509" s="16">
        <v>24.0</v>
      </c>
    </row>
    <row r="510">
      <c r="A510" s="17">
        <v>21.514348785872073</v>
      </c>
      <c r="E510" s="17">
        <v>3.190039666666667</v>
      </c>
      <c r="I510" s="11">
        <v>18.0</v>
      </c>
      <c r="M510" s="16">
        <v>4.4</v>
      </c>
    </row>
    <row r="511">
      <c r="A511" s="17">
        <v>5.7271080525686955</v>
      </c>
      <c r="E511" s="17">
        <v>1.4336273929961099</v>
      </c>
      <c r="I511" s="11">
        <v>15.0</v>
      </c>
      <c r="M511" s="16">
        <v>4.016</v>
      </c>
    </row>
    <row r="512">
      <c r="A512" s="17">
        <v>18.05117108829566</v>
      </c>
      <c r="E512" s="17">
        <v>2.8044775849056567</v>
      </c>
      <c r="I512" s="11">
        <v>33.0</v>
      </c>
      <c r="M512" s="16">
        <v>4.976</v>
      </c>
    </row>
    <row r="513">
      <c r="A513" s="17">
        <v>28.07063110791371</v>
      </c>
      <c r="E513" s="17">
        <v>6.281273893992927</v>
      </c>
      <c r="I513" s="11">
        <v>25.0</v>
      </c>
      <c r="M513" s="16">
        <v>3.848</v>
      </c>
    </row>
    <row r="514">
      <c r="A514" s="17">
        <v>56.793833419958375</v>
      </c>
      <c r="E514" s="17">
        <v>19.476160581529776</v>
      </c>
      <c r="I514" s="11">
        <v>5.0</v>
      </c>
      <c r="M514" s="16">
        <v>55.64</v>
      </c>
    </row>
    <row r="515">
      <c r="A515" s="17">
        <v>2.923234221388361</v>
      </c>
      <c r="E515" s="17">
        <v>169.6905578033368</v>
      </c>
      <c r="I515" s="11">
        <v>3.0</v>
      </c>
      <c r="M515" s="16">
        <v>11.496</v>
      </c>
    </row>
    <row r="516">
      <c r="A516" s="17">
        <v>3.5610508474576292</v>
      </c>
      <c r="E516" s="17">
        <v>184.4001516666093</v>
      </c>
      <c r="I516" s="11">
        <v>2.0</v>
      </c>
      <c r="M516" s="16">
        <v>4.920000000000001</v>
      </c>
    </row>
    <row r="517">
      <c r="A517" s="17">
        <v>13.321193956779487</v>
      </c>
      <c r="E517" s="17">
        <v>25.548189991031414</v>
      </c>
      <c r="I517" s="11">
        <v>32.0</v>
      </c>
      <c r="M517" s="16">
        <v>1.592</v>
      </c>
    </row>
    <row r="518">
      <c r="A518" s="17">
        <v>18.30232799999998</v>
      </c>
      <c r="E518" s="17">
        <v>56.36466995643251</v>
      </c>
      <c r="I518" s="11">
        <v>5.0</v>
      </c>
      <c r="M518" s="16">
        <v>15.991999999999999</v>
      </c>
    </row>
    <row r="519">
      <c r="A519" s="17">
        <v>0.8806821978021954</v>
      </c>
      <c r="E519" s="17">
        <v>18.744247741935457</v>
      </c>
      <c r="I519" s="11">
        <v>6.0</v>
      </c>
      <c r="M519" s="16">
        <v>1.072</v>
      </c>
    </row>
    <row r="520">
      <c r="A520" s="17">
        <v>18.466930688259072</v>
      </c>
      <c r="E520" s="17">
        <v>7.739052206185546</v>
      </c>
      <c r="I520" s="11">
        <v>25.0</v>
      </c>
      <c r="M520" s="16">
        <v>4.112</v>
      </c>
    </row>
    <row r="521">
      <c r="A521" s="17">
        <v>13.955679486131356</v>
      </c>
      <c r="E521" s="17">
        <v>153.65466775822546</v>
      </c>
      <c r="I521" s="11">
        <v>41.0</v>
      </c>
      <c r="M521" s="16">
        <v>4.024</v>
      </c>
    </row>
    <row r="522">
      <c r="A522" s="17">
        <v>30.16768275135982</v>
      </c>
      <c r="E522" s="17">
        <v>140.81384552242685</v>
      </c>
      <c r="I522" s="11">
        <v>49.0</v>
      </c>
      <c r="M522" s="16">
        <v>3.84</v>
      </c>
    </row>
    <row r="523">
      <c r="A523" s="17">
        <v>504.0862041936836</v>
      </c>
      <c r="E523" s="17">
        <v>5.211911026252986</v>
      </c>
      <c r="I523" s="11">
        <v>50.0</v>
      </c>
      <c r="M523" s="16">
        <v>7.192</v>
      </c>
    </row>
    <row r="524">
      <c r="A524" s="17">
        <v>1.406836015936257</v>
      </c>
      <c r="E524" s="17">
        <v>21.63262231320367</v>
      </c>
      <c r="I524" s="11">
        <v>5.0</v>
      </c>
      <c r="M524" s="16">
        <v>4.104</v>
      </c>
    </row>
    <row r="525">
      <c r="A525" s="17">
        <v>274.37075604753977</v>
      </c>
      <c r="E525" s="17">
        <v>748.5245456499185</v>
      </c>
      <c r="I525" s="11">
        <v>37.0</v>
      </c>
      <c r="M525" s="16">
        <v>15.991999999999999</v>
      </c>
    </row>
    <row r="526">
      <c r="A526" s="17">
        <v>515.9878770499666</v>
      </c>
      <c r="E526" s="17">
        <v>15.230157473684221</v>
      </c>
      <c r="I526" s="11">
        <v>39.0</v>
      </c>
      <c r="M526" s="16">
        <v>68.504</v>
      </c>
    </row>
    <row r="527">
      <c r="A527" s="17">
        <v>23.671552317880746</v>
      </c>
      <c r="E527" s="17">
        <v>90.71352621054861</v>
      </c>
      <c r="I527" s="11">
        <v>6.0</v>
      </c>
      <c r="M527" s="16">
        <v>3.9200000000000004</v>
      </c>
    </row>
    <row r="528">
      <c r="A528" s="17">
        <v>5.010694981818176</v>
      </c>
      <c r="E528" s="17">
        <v>152.81656961464114</v>
      </c>
      <c r="I528" s="11">
        <v>8.0</v>
      </c>
      <c r="M528" s="16">
        <v>6.224</v>
      </c>
    </row>
    <row r="529">
      <c r="A529" s="17">
        <v>9.662775843137249</v>
      </c>
      <c r="E529" s="17">
        <v>105.32423519355221</v>
      </c>
      <c r="I529" s="11">
        <v>10.0</v>
      </c>
      <c r="M529" s="16">
        <v>7.192</v>
      </c>
    </row>
    <row r="530">
      <c r="A530" s="17">
        <v>61.01826937500001</v>
      </c>
      <c r="E530" s="17">
        <v>178.92534358682053</v>
      </c>
      <c r="I530" s="11">
        <v>22.0</v>
      </c>
      <c r="M530" s="16">
        <v>7.192</v>
      </c>
    </row>
    <row r="531">
      <c r="A531" s="17">
        <v>293.7450179213373</v>
      </c>
      <c r="E531" s="17">
        <v>220.03702843469608</v>
      </c>
      <c r="I531" s="11">
        <v>48.0</v>
      </c>
      <c r="M531" s="16">
        <v>6.464</v>
      </c>
    </row>
    <row r="532">
      <c r="A532" s="17">
        <v>823.5171866055497</v>
      </c>
      <c r="E532" s="17">
        <v>7.497916411824663</v>
      </c>
      <c r="I532" s="11">
        <v>43.0</v>
      </c>
      <c r="M532" s="16">
        <v>49.408</v>
      </c>
    </row>
    <row r="533">
      <c r="A533" s="17">
        <v>6.008861725888312</v>
      </c>
      <c r="E533" s="17">
        <v>13.692249811888638</v>
      </c>
      <c r="I533" s="11">
        <v>25.0</v>
      </c>
      <c r="M533" s="16">
        <v>4.072</v>
      </c>
    </row>
    <row r="534">
      <c r="A534" s="17">
        <v>6.462112955223887</v>
      </c>
      <c r="E534" s="17">
        <v>7.308801952013006</v>
      </c>
      <c r="I534" s="11">
        <v>28.0</v>
      </c>
      <c r="M534" s="16">
        <v>1.192</v>
      </c>
    </row>
    <row r="535">
      <c r="A535" s="17">
        <v>9.638886011560688</v>
      </c>
      <c r="E535" s="17">
        <v>12.098741786237179</v>
      </c>
      <c r="I535" s="11">
        <v>39.0</v>
      </c>
      <c r="M535" s="16">
        <v>3.176</v>
      </c>
    </row>
    <row r="536">
      <c r="A536" s="17">
        <v>10.901930399999982</v>
      </c>
      <c r="E536" s="17">
        <v>346.26912335745044</v>
      </c>
      <c r="I536" s="11">
        <v>32.0</v>
      </c>
      <c r="M536" s="16">
        <v>7.752</v>
      </c>
    </row>
    <row r="537">
      <c r="A537" s="17">
        <v>333.97561813640937</v>
      </c>
      <c r="E537" s="17">
        <v>82.71281216767657</v>
      </c>
      <c r="I537" s="11">
        <v>21.0</v>
      </c>
      <c r="M537" s="16">
        <v>19.592</v>
      </c>
    </row>
    <row r="538">
      <c r="A538" s="17">
        <v>4.937021611001963</v>
      </c>
      <c r="E538" s="17">
        <v>45.38226242217787</v>
      </c>
      <c r="I538" s="11">
        <v>16.0</v>
      </c>
      <c r="M538" s="16">
        <v>0.5599999999999999</v>
      </c>
    </row>
    <row r="539">
      <c r="A539" s="17">
        <v>295.8293131728909</v>
      </c>
      <c r="E539" s="17">
        <v>4.659360902594933</v>
      </c>
      <c r="I539" s="11">
        <v>11.0</v>
      </c>
      <c r="M539" s="16">
        <v>11.76</v>
      </c>
    </row>
    <row r="540">
      <c r="A540" s="17">
        <v>319.0675385373756</v>
      </c>
      <c r="E540" s="17">
        <v>58.46716422540077</v>
      </c>
      <c r="I540" s="11">
        <v>43.0</v>
      </c>
      <c r="M540" s="16">
        <v>56.160000000000004</v>
      </c>
    </row>
    <row r="541">
      <c r="A541" s="17">
        <v>21.677404031397188</v>
      </c>
      <c r="E541" s="17">
        <v>80.00955824683876</v>
      </c>
      <c r="I541" s="11">
        <v>45.0</v>
      </c>
      <c r="M541" s="16">
        <v>7.104000000000001</v>
      </c>
    </row>
    <row r="542">
      <c r="A542" s="17">
        <v>795.1200730455968</v>
      </c>
      <c r="E542" s="17">
        <v>21.231447333994087</v>
      </c>
      <c r="I542" s="11">
        <v>27.0</v>
      </c>
      <c r="M542" s="16">
        <v>48.0</v>
      </c>
    </row>
    <row r="543">
      <c r="A543" s="17">
        <v>11.842925929411756</v>
      </c>
      <c r="E543" s="17">
        <v>226.49883619141573</v>
      </c>
      <c r="I543" s="11">
        <v>17.0</v>
      </c>
      <c r="M543" s="16">
        <v>5.488</v>
      </c>
    </row>
    <row r="544">
      <c r="A544" s="17">
        <v>7.620323961904767</v>
      </c>
      <c r="E544" s="17">
        <v>26.410513278648406</v>
      </c>
      <c r="I544" s="11">
        <v>16.0</v>
      </c>
      <c r="M544" s="16">
        <v>0.7280000000000001</v>
      </c>
    </row>
    <row r="545">
      <c r="A545" s="17">
        <v>42.48914418175838</v>
      </c>
      <c r="E545" s="17">
        <v>1938.541235853385</v>
      </c>
      <c r="I545" s="11">
        <v>28.0</v>
      </c>
      <c r="M545" s="16">
        <v>4.232</v>
      </c>
    </row>
    <row r="546">
      <c r="A546" s="17">
        <v>6.869305756097584</v>
      </c>
      <c r="E546" s="17">
        <v>19.98221523277352</v>
      </c>
      <c r="I546" s="11">
        <v>46.0</v>
      </c>
      <c r="M546" s="16">
        <v>5.016</v>
      </c>
    </row>
    <row r="547">
      <c r="A547" s="17">
        <v>8.981148683351513</v>
      </c>
      <c r="E547" s="17">
        <v>46.959458834840504</v>
      </c>
      <c r="I547" s="11">
        <v>31.0</v>
      </c>
      <c r="M547" s="16">
        <v>1.888</v>
      </c>
    </row>
    <row r="548">
      <c r="A548" s="17">
        <v>1.5542576687116567</v>
      </c>
      <c r="E548" s="17">
        <v>13.942359152997337</v>
      </c>
      <c r="I548" s="11">
        <v>5.0</v>
      </c>
      <c r="M548" s="16">
        <v>0.5599999999999999</v>
      </c>
    </row>
    <row r="549">
      <c r="A549" s="17">
        <v>78.97925996199366</v>
      </c>
      <c r="E549" s="17">
        <v>22.781414710813245</v>
      </c>
      <c r="I549" s="11">
        <v>14.0</v>
      </c>
      <c r="M549" s="16">
        <v>2.0</v>
      </c>
    </row>
    <row r="550">
      <c r="A550" s="17">
        <v>8.444440134680109</v>
      </c>
      <c r="E550" s="17">
        <v>59.69964792448381</v>
      </c>
      <c r="I550" s="11">
        <v>38.0</v>
      </c>
      <c r="M550" s="16">
        <v>4.632000000000001</v>
      </c>
    </row>
    <row r="551">
      <c r="A551" s="17">
        <v>23.137723622091354</v>
      </c>
      <c r="E551" s="17">
        <v>3.3609955555555584</v>
      </c>
      <c r="I551" s="11">
        <v>39.0</v>
      </c>
      <c r="M551" s="16">
        <v>8.128</v>
      </c>
    </row>
    <row r="552">
      <c r="A552" s="17">
        <v>10.570300588235286</v>
      </c>
      <c r="E552" s="17">
        <v>45.165353597519236</v>
      </c>
      <c r="I552" s="11">
        <v>14.0</v>
      </c>
      <c r="M552" s="16">
        <v>7.336</v>
      </c>
    </row>
    <row r="553">
      <c r="A553" s="17">
        <v>0.18750000000000017</v>
      </c>
      <c r="E553" s="17">
        <v>237.03836629945812</v>
      </c>
      <c r="I553" s="11">
        <v>1.0</v>
      </c>
      <c r="M553" s="16">
        <v>0.4</v>
      </c>
    </row>
    <row r="554">
      <c r="A554" s="17">
        <v>5.483025077720265</v>
      </c>
      <c r="E554" s="17">
        <v>79.26968959185669</v>
      </c>
      <c r="I554" s="11">
        <v>48.0</v>
      </c>
      <c r="M554" s="16">
        <v>0.8160000000000001</v>
      </c>
    </row>
    <row r="555">
      <c r="A555" s="17">
        <v>3.56804157099698</v>
      </c>
      <c r="E555" s="17">
        <v>40.80323897917645</v>
      </c>
      <c r="I555" s="11">
        <v>4.0</v>
      </c>
      <c r="M555" s="16">
        <v>4.232</v>
      </c>
    </row>
    <row r="556">
      <c r="A556" s="17">
        <v>18.63713449793679</v>
      </c>
      <c r="E556" s="17">
        <v>26.27532609424691</v>
      </c>
      <c r="I556" s="11">
        <v>37.0</v>
      </c>
      <c r="M556" s="16">
        <v>3.6240000000000006</v>
      </c>
    </row>
    <row r="557">
      <c r="A557" s="17">
        <v>4.35119395061728</v>
      </c>
      <c r="E557" s="17">
        <v>25.160218231461403</v>
      </c>
      <c r="I557" s="11">
        <v>21.0</v>
      </c>
      <c r="M557" s="16">
        <v>1.192</v>
      </c>
    </row>
    <row r="558">
      <c r="A558" s="17">
        <v>5.0034285714285724</v>
      </c>
      <c r="E558" s="17">
        <v>21.72146266901822</v>
      </c>
      <c r="I558" s="11">
        <v>36.0</v>
      </c>
      <c r="M558" s="16">
        <v>1.92</v>
      </c>
    </row>
    <row r="559">
      <c r="A559" s="17">
        <v>565.6011061586413</v>
      </c>
      <c r="E559" s="17">
        <v>71.42371957783101</v>
      </c>
      <c r="I559" s="11">
        <v>48.0</v>
      </c>
      <c r="M559" s="16">
        <v>7.192</v>
      </c>
    </row>
    <row r="560">
      <c r="A560" s="17">
        <v>3.8641514097042933</v>
      </c>
      <c r="E560" s="17">
        <v>4.567199333333339</v>
      </c>
      <c r="I560" s="11">
        <v>4.0</v>
      </c>
      <c r="M560" s="16">
        <v>0.792</v>
      </c>
    </row>
    <row r="561">
      <c r="A561" s="17">
        <v>75.31596205707166</v>
      </c>
      <c r="E561" s="17">
        <v>32.72336089079231</v>
      </c>
      <c r="I561" s="11">
        <v>28.0</v>
      </c>
      <c r="M561" s="16">
        <v>7.192</v>
      </c>
    </row>
    <row r="562">
      <c r="A562" s="17">
        <v>18.219789096841883</v>
      </c>
      <c r="E562" s="17">
        <v>41.58579297709901</v>
      </c>
      <c r="I562" s="11">
        <v>47.0</v>
      </c>
      <c r="M562" s="16">
        <v>7.5760000000000005</v>
      </c>
    </row>
    <row r="563">
      <c r="A563" s="17">
        <v>7.272376851063836</v>
      </c>
      <c r="E563" s="17">
        <v>32.192942003213666</v>
      </c>
      <c r="I563" s="11">
        <v>17.0</v>
      </c>
      <c r="M563" s="16">
        <v>9.208</v>
      </c>
    </row>
    <row r="564">
      <c r="A564" s="17">
        <v>15.023667272727273</v>
      </c>
      <c r="E564" s="17">
        <v>4.243555555555553</v>
      </c>
      <c r="I564" s="11">
        <v>35.0</v>
      </c>
      <c r="M564" s="16">
        <v>6.328</v>
      </c>
    </row>
    <row r="565">
      <c r="A565" s="17">
        <v>57.300293013824856</v>
      </c>
      <c r="E565" s="17">
        <v>6.580072398190054</v>
      </c>
      <c r="I565" s="11">
        <v>17.0</v>
      </c>
      <c r="M565" s="16">
        <v>6.912000000000001</v>
      </c>
    </row>
    <row r="566">
      <c r="A566" s="17">
        <v>13.621376287964008</v>
      </c>
      <c r="E566" s="17">
        <v>352.4269328142345</v>
      </c>
      <c r="I566" s="11">
        <v>10.0</v>
      </c>
      <c r="M566" s="16">
        <v>5.936</v>
      </c>
    </row>
    <row r="567">
      <c r="A567" s="17">
        <v>1173.0638795958716</v>
      </c>
      <c r="E567" s="17">
        <v>95.571682757697</v>
      </c>
      <c r="I567" s="11">
        <v>50.0</v>
      </c>
      <c r="M567" s="16">
        <v>15.991999999999999</v>
      </c>
    </row>
    <row r="568">
      <c r="A568" s="17">
        <v>2.299313468118194</v>
      </c>
      <c r="E568" s="17">
        <v>1.6221740487804879</v>
      </c>
      <c r="I568" s="11">
        <v>8.0</v>
      </c>
      <c r="M568" s="16">
        <v>1.1119999999999999</v>
      </c>
    </row>
    <row r="569">
      <c r="A569" s="17">
        <v>166.68623217539138</v>
      </c>
      <c r="E569" s="17">
        <v>8.248598728297594</v>
      </c>
      <c r="I569" s="11">
        <v>35.0</v>
      </c>
      <c r="M569" s="16">
        <v>5.688000000000001</v>
      </c>
    </row>
    <row r="570">
      <c r="A570" s="17">
        <v>427.3832880931477</v>
      </c>
      <c r="E570" s="17">
        <v>4.274982374245476</v>
      </c>
      <c r="I570" s="11">
        <v>36.0</v>
      </c>
      <c r="M570" s="16">
        <v>3.3600000000000003</v>
      </c>
    </row>
    <row r="571">
      <c r="A571" s="17">
        <v>12.657302740524761</v>
      </c>
      <c r="E571" s="17">
        <v>4.901384982456138</v>
      </c>
      <c r="I571" s="11">
        <v>11.0</v>
      </c>
      <c r="M571" s="16">
        <v>3.192</v>
      </c>
    </row>
    <row r="572">
      <c r="A572" s="17">
        <v>6.135525623826142</v>
      </c>
      <c r="E572" s="17">
        <v>0.4870892307692305</v>
      </c>
      <c r="I572" s="11">
        <v>9.0</v>
      </c>
      <c r="M572" s="16">
        <v>7.359999999999999</v>
      </c>
    </row>
    <row r="573">
      <c r="A573" s="17">
        <v>9.758261699819158</v>
      </c>
      <c r="E573" s="17">
        <v>4.295436481835551</v>
      </c>
      <c r="I573" s="11">
        <v>12.0</v>
      </c>
      <c r="M573" s="16">
        <v>7.384</v>
      </c>
    </row>
    <row r="574">
      <c r="A574" s="17">
        <v>20.442368045649065</v>
      </c>
      <c r="E574" s="17">
        <v>10.271800553600734</v>
      </c>
      <c r="I574" s="11">
        <v>34.0</v>
      </c>
      <c r="M574" s="16">
        <v>3.2</v>
      </c>
    </row>
    <row r="575">
      <c r="A575" s="17">
        <v>24.665284457652316</v>
      </c>
      <c r="E575" s="17">
        <v>60.02452573317235</v>
      </c>
      <c r="I575" s="11">
        <v>27.0</v>
      </c>
      <c r="M575" s="16">
        <v>6.832</v>
      </c>
    </row>
    <row r="576">
      <c r="A576" s="17">
        <v>48.74889184636297</v>
      </c>
      <c r="E576" s="17">
        <v>94.29392939254107</v>
      </c>
      <c r="I576" s="11">
        <v>28.0</v>
      </c>
      <c r="M576" s="16">
        <v>3.8880000000000003</v>
      </c>
    </row>
    <row r="577">
      <c r="A577" s="17">
        <v>21.23141151971891</v>
      </c>
      <c r="E577" s="17">
        <v>16.868829265779297</v>
      </c>
      <c r="I577" s="11">
        <v>35.0</v>
      </c>
      <c r="M577" s="16">
        <v>2.2960000000000003</v>
      </c>
    </row>
    <row r="578">
      <c r="A578" s="17">
        <v>27.438831908571487</v>
      </c>
      <c r="E578" s="17">
        <v>151.94385121868558</v>
      </c>
      <c r="I578" s="11">
        <v>17.0</v>
      </c>
      <c r="M578" s="16">
        <v>1.592</v>
      </c>
    </row>
    <row r="579">
      <c r="A579" s="17">
        <v>8.279392016408284</v>
      </c>
      <c r="E579" s="17">
        <v>301.1729147415854</v>
      </c>
      <c r="I579" s="11">
        <v>37.0</v>
      </c>
      <c r="M579" s="16">
        <v>2.2640000000000002</v>
      </c>
    </row>
    <row r="580">
      <c r="A580" s="17">
        <v>15.74621110266159</v>
      </c>
      <c r="E580" s="17">
        <v>6.501993236745799</v>
      </c>
      <c r="I580" s="11">
        <v>11.0</v>
      </c>
      <c r="M580" s="16">
        <v>7.192</v>
      </c>
    </row>
    <row r="581">
      <c r="A581" s="17">
        <v>7.131933551912576</v>
      </c>
      <c r="E581" s="17">
        <v>48.86516940635064</v>
      </c>
      <c r="I581" s="11">
        <v>23.0</v>
      </c>
      <c r="M581" s="16">
        <v>0.792</v>
      </c>
    </row>
    <row r="582">
      <c r="A582" s="17">
        <v>6.050465161923461</v>
      </c>
      <c r="E582" s="17">
        <v>113.95538727006725</v>
      </c>
      <c r="I582" s="11">
        <v>16.0</v>
      </c>
      <c r="M582" s="16">
        <v>4.24</v>
      </c>
    </row>
    <row r="583">
      <c r="A583" s="17">
        <v>8.329674418604647</v>
      </c>
      <c r="E583" s="17">
        <v>36.784160139251526</v>
      </c>
      <c r="I583" s="11">
        <v>20.0</v>
      </c>
      <c r="M583" s="16">
        <v>0.4</v>
      </c>
    </row>
    <row r="584">
      <c r="A584" s="17">
        <v>68.27180879075621</v>
      </c>
      <c r="E584" s="17">
        <v>25.896694945210143</v>
      </c>
      <c r="I584" s="11">
        <v>19.0</v>
      </c>
      <c r="M584" s="16">
        <v>43.296</v>
      </c>
    </row>
    <row r="585">
      <c r="A585" s="17">
        <v>78.04991886708972</v>
      </c>
      <c r="E585" s="17">
        <v>5.4752888470588115</v>
      </c>
      <c r="I585" s="11">
        <v>32.0</v>
      </c>
      <c r="M585" s="16">
        <v>3.6</v>
      </c>
    </row>
    <row r="586">
      <c r="A586" s="17">
        <v>56.10171418740402</v>
      </c>
      <c r="E586" s="17">
        <v>108.9807479978956</v>
      </c>
      <c r="I586" s="11">
        <v>29.0</v>
      </c>
      <c r="M586" s="16">
        <v>3.192</v>
      </c>
    </row>
    <row r="587">
      <c r="A587" s="17">
        <v>49.597818275584295</v>
      </c>
      <c r="E587" s="17">
        <v>99.35050024370733</v>
      </c>
      <c r="I587" s="11">
        <v>39.0</v>
      </c>
      <c r="M587" s="16">
        <v>0.792</v>
      </c>
    </row>
    <row r="588">
      <c r="A588" s="17">
        <v>214.49307012863818</v>
      </c>
      <c r="E588" s="17">
        <v>94.37701368148078</v>
      </c>
      <c r="I588" s="11">
        <v>44.0</v>
      </c>
      <c r="M588" s="16">
        <v>24.0</v>
      </c>
    </row>
    <row r="589">
      <c r="A589" s="17">
        <v>2.7336369230769226</v>
      </c>
      <c r="E589" s="17">
        <v>11.800615384615393</v>
      </c>
      <c r="I589" s="11">
        <v>2.0</v>
      </c>
      <c r="M589" s="16">
        <v>1.1119999999999999</v>
      </c>
    </row>
    <row r="590">
      <c r="A590" s="17">
        <v>7.153339333933438</v>
      </c>
      <c r="E590" s="17">
        <v>44.591485428571666</v>
      </c>
      <c r="I590" s="11">
        <v>22.0</v>
      </c>
      <c r="M590" s="16">
        <v>28.0</v>
      </c>
    </row>
    <row r="591">
      <c r="A591" s="17">
        <v>132.55895785440632</v>
      </c>
      <c r="E591" s="17">
        <v>54.774046418604684</v>
      </c>
      <c r="I591" s="11">
        <v>37.0</v>
      </c>
      <c r="M591" s="16">
        <v>4.08</v>
      </c>
    </row>
    <row r="592">
      <c r="A592" s="17">
        <v>28.25909309992709</v>
      </c>
      <c r="E592" s="17">
        <v>16.946597426900578</v>
      </c>
      <c r="I592" s="11">
        <v>40.0</v>
      </c>
      <c r="M592" s="16">
        <v>2.5120000000000005</v>
      </c>
    </row>
    <row r="593">
      <c r="A593" s="17">
        <v>20.975229646393235</v>
      </c>
      <c r="E593" s="17">
        <v>66.18468584118315</v>
      </c>
      <c r="I593" s="11">
        <v>6.0</v>
      </c>
      <c r="M593" s="16">
        <v>15.184000000000001</v>
      </c>
    </row>
    <row r="594">
      <c r="A594" s="17">
        <v>3.2042166425580967</v>
      </c>
      <c r="E594" s="17">
        <v>0.5927874897119381</v>
      </c>
      <c r="I594" s="11">
        <v>26.0</v>
      </c>
      <c r="M594" s="16">
        <v>4.776</v>
      </c>
    </row>
    <row r="595">
      <c r="A595" s="17">
        <v>185.6070533052633</v>
      </c>
      <c r="E595" s="17">
        <v>16.122533489736096</v>
      </c>
      <c r="I595" s="11">
        <v>47.0</v>
      </c>
      <c r="M595" s="16">
        <v>41.552</v>
      </c>
    </row>
    <row r="596">
      <c r="A596" s="17">
        <v>9.381188118811856</v>
      </c>
      <c r="E596" s="17">
        <v>18.741214493927096</v>
      </c>
      <c r="I596" s="11">
        <v>42.0</v>
      </c>
      <c r="M596" s="16">
        <v>0.4</v>
      </c>
    </row>
    <row r="597">
      <c r="A597" s="17">
        <v>26.452561665547343</v>
      </c>
      <c r="E597" s="17">
        <v>377.5156897595481</v>
      </c>
      <c r="I597" s="11">
        <v>27.0</v>
      </c>
      <c r="M597" s="16">
        <v>3.8560000000000003</v>
      </c>
    </row>
    <row r="598">
      <c r="A598" s="17">
        <v>95.30398978818823</v>
      </c>
      <c r="E598" s="17">
        <v>309.18754550780886</v>
      </c>
      <c r="I598" s="11">
        <v>19.0</v>
      </c>
      <c r="M598" s="16">
        <v>6.152000000000001</v>
      </c>
    </row>
    <row r="599">
      <c r="A599" s="17">
        <v>38.059491551013345</v>
      </c>
      <c r="E599" s="17">
        <v>14.338765337423313</v>
      </c>
      <c r="I599" s="11">
        <v>42.0</v>
      </c>
      <c r="M599" s="16">
        <v>7.359999999999999</v>
      </c>
    </row>
    <row r="600">
      <c r="A600" s="17">
        <v>2.314646349206351</v>
      </c>
      <c r="E600" s="17">
        <v>73.90678252530222</v>
      </c>
      <c r="I600" s="11">
        <v>6.0</v>
      </c>
      <c r="M600" s="16">
        <v>4.168</v>
      </c>
    </row>
    <row r="601">
      <c r="A601" s="17">
        <v>3.835100410501181</v>
      </c>
      <c r="E601" s="17">
        <v>50.510692129202106</v>
      </c>
      <c r="I601" s="11">
        <v>2.0</v>
      </c>
      <c r="M601" s="16">
        <v>7.192</v>
      </c>
    </row>
    <row r="602">
      <c r="A602" s="17">
        <v>44.091737040971225</v>
      </c>
      <c r="E602" s="17">
        <v>7.062290334672036</v>
      </c>
      <c r="I602" s="11">
        <v>47.0</v>
      </c>
      <c r="M602" s="16">
        <v>7.192</v>
      </c>
    </row>
    <row r="603">
      <c r="A603" s="17">
        <v>17.622831924170605</v>
      </c>
      <c r="E603" s="17">
        <v>17.100720000000024</v>
      </c>
      <c r="I603" s="11">
        <v>29.0</v>
      </c>
      <c r="M603" s="16">
        <v>5.992000000000001</v>
      </c>
    </row>
    <row r="604">
      <c r="A604" s="17">
        <v>22.9476871270553</v>
      </c>
      <c r="E604" s="17">
        <v>151.79476896083077</v>
      </c>
      <c r="I604" s="11">
        <v>47.0</v>
      </c>
      <c r="M604" s="16">
        <v>4.216</v>
      </c>
    </row>
    <row r="605">
      <c r="A605" s="17">
        <v>17.489704482567774</v>
      </c>
      <c r="E605" s="17">
        <v>53.049717604009224</v>
      </c>
      <c r="I605" s="11">
        <v>50.0</v>
      </c>
      <c r="M605" s="16">
        <v>1.08</v>
      </c>
    </row>
    <row r="606">
      <c r="A606" s="17">
        <v>1867.3980091406268</v>
      </c>
      <c r="E606" s="17">
        <v>4.919513424657533</v>
      </c>
      <c r="I606" s="11">
        <v>28.0</v>
      </c>
      <c r="M606" s="16">
        <v>15.991999999999999</v>
      </c>
    </row>
    <row r="607">
      <c r="A607" s="17">
        <v>61.775951148195986</v>
      </c>
      <c r="E607" s="17">
        <v>101.22024475057627</v>
      </c>
      <c r="I607" s="11">
        <v>10.0</v>
      </c>
      <c r="M607" s="16">
        <v>50.352000000000004</v>
      </c>
    </row>
    <row r="608">
      <c r="A608" s="17">
        <v>215.13950954701858</v>
      </c>
      <c r="E608" s="17">
        <v>7.178610801186947</v>
      </c>
      <c r="I608" s="11">
        <v>50.0</v>
      </c>
      <c r="M608" s="16">
        <v>15.991999999999999</v>
      </c>
    </row>
    <row r="609">
      <c r="A609" s="17">
        <v>250.63034284710713</v>
      </c>
      <c r="E609" s="17">
        <v>2.809411914049599</v>
      </c>
      <c r="I609" s="11">
        <v>27.0</v>
      </c>
      <c r="M609" s="16">
        <v>43.93600000000001</v>
      </c>
    </row>
    <row r="610">
      <c r="A610" s="17">
        <v>206.38795783340302</v>
      </c>
      <c r="E610" s="17">
        <v>2.892288389057754</v>
      </c>
      <c r="I610" s="11">
        <v>4.0</v>
      </c>
      <c r="M610" s="16">
        <v>23.76</v>
      </c>
    </row>
    <row r="611">
      <c r="A611" s="17">
        <v>20.374583545999283</v>
      </c>
      <c r="E611" s="17">
        <v>2.01334016655989</v>
      </c>
      <c r="I611" s="11">
        <v>27.0</v>
      </c>
      <c r="M611" s="16">
        <v>8.936</v>
      </c>
    </row>
    <row r="612">
      <c r="A612" s="17">
        <v>2.481592039800994</v>
      </c>
      <c r="E612" s="17">
        <v>121.06717518594705</v>
      </c>
      <c r="I612" s="11">
        <v>6.0</v>
      </c>
      <c r="M612" s="16">
        <v>4.0</v>
      </c>
    </row>
    <row r="613">
      <c r="A613" s="17">
        <v>6.898954442649437</v>
      </c>
      <c r="E613" s="17">
        <v>19.27443633788569</v>
      </c>
      <c r="I613" s="11">
        <v>21.0</v>
      </c>
      <c r="M613" s="16">
        <v>4.24</v>
      </c>
    </row>
    <row r="614">
      <c r="A614" s="17">
        <v>3.7671159611650453</v>
      </c>
      <c r="E614" s="17">
        <v>14.679193713700034</v>
      </c>
      <c r="I614" s="11">
        <v>17.0</v>
      </c>
      <c r="M614" s="16">
        <v>5.5840000000000005</v>
      </c>
    </row>
    <row r="615">
      <c r="A615" s="17">
        <v>22.163845871559626</v>
      </c>
      <c r="E615" s="17">
        <v>52.158251470885276</v>
      </c>
      <c r="I615" s="11">
        <v>4.0</v>
      </c>
      <c r="M615" s="16">
        <v>27.360000000000003</v>
      </c>
    </row>
    <row r="616">
      <c r="A616" s="17">
        <v>10.222620498836053</v>
      </c>
      <c r="E616" s="17">
        <v>5.963966759002772</v>
      </c>
      <c r="I616" s="11">
        <v>15.0</v>
      </c>
      <c r="M616" s="16">
        <v>5.104</v>
      </c>
    </row>
    <row r="617">
      <c r="A617" s="17">
        <v>3.599045152979065</v>
      </c>
      <c r="E617" s="17">
        <v>6.188362780748657</v>
      </c>
      <c r="I617" s="11">
        <v>27.0</v>
      </c>
      <c r="M617" s="16">
        <v>4.264</v>
      </c>
    </row>
    <row r="618">
      <c r="A618" s="17">
        <v>173.7764761992119</v>
      </c>
      <c r="E618" s="17">
        <v>35.647038309630226</v>
      </c>
      <c r="I618" s="11">
        <v>14.0</v>
      </c>
      <c r="M618" s="16">
        <v>79.2</v>
      </c>
    </row>
    <row r="619">
      <c r="A619" s="17">
        <v>649.0432928677789</v>
      </c>
      <c r="E619" s="17">
        <v>41.5608196930787</v>
      </c>
      <c r="I619" s="11">
        <v>49.0</v>
      </c>
      <c r="M619" s="16">
        <v>3.3600000000000003</v>
      </c>
    </row>
    <row r="620">
      <c r="A620" s="17">
        <v>24.853789806731893</v>
      </c>
      <c r="E620" s="17">
        <v>296.70555741454035</v>
      </c>
      <c r="I620" s="11">
        <v>7.0</v>
      </c>
      <c r="M620" s="16">
        <v>14.448</v>
      </c>
    </row>
    <row r="621">
      <c r="A621" s="17">
        <v>13.907925441259135</v>
      </c>
      <c r="E621" s="17">
        <v>20.837889260987907</v>
      </c>
      <c r="I621" s="11">
        <v>31.0</v>
      </c>
      <c r="M621" s="16">
        <v>4.5920000000000005</v>
      </c>
    </row>
    <row r="622">
      <c r="A622" s="17">
        <v>3.7380191693290787</v>
      </c>
      <c r="E622" s="17">
        <v>2.451689761273212</v>
      </c>
      <c r="I622" s="11">
        <v>32.0</v>
      </c>
      <c r="M622" s="16">
        <v>0.4</v>
      </c>
    </row>
    <row r="623">
      <c r="A623" s="17">
        <v>16.35525871355513</v>
      </c>
      <c r="E623" s="17">
        <v>13.190197269363237</v>
      </c>
      <c r="I623" s="11">
        <v>11.0</v>
      </c>
      <c r="M623" s="16">
        <v>4.0</v>
      </c>
    </row>
    <row r="624">
      <c r="A624" s="17">
        <v>126.47398361524037</v>
      </c>
      <c r="E624" s="17">
        <v>19.230354679905975</v>
      </c>
      <c r="I624" s="11">
        <v>43.0</v>
      </c>
      <c r="M624" s="16">
        <v>21.392</v>
      </c>
    </row>
    <row r="625">
      <c r="A625" s="17">
        <v>5.3841597814207685</v>
      </c>
      <c r="E625" s="17">
        <v>64.4611015098517</v>
      </c>
      <c r="I625" s="11">
        <v>23.0</v>
      </c>
      <c r="M625" s="16">
        <v>0.6480000000000001</v>
      </c>
    </row>
    <row r="626">
      <c r="A626" s="17">
        <v>5.427245184404649</v>
      </c>
      <c r="E626" s="17">
        <v>4.748341244088826</v>
      </c>
      <c r="I626" s="11">
        <v>47.0</v>
      </c>
      <c r="M626" s="16">
        <v>5.6080000000000005</v>
      </c>
    </row>
    <row r="627">
      <c r="A627" s="17">
        <v>500.17822210587866</v>
      </c>
      <c r="E627" s="17">
        <v>526.0912459695761</v>
      </c>
      <c r="I627" s="11">
        <v>49.0</v>
      </c>
      <c r="M627" s="16">
        <v>24.0</v>
      </c>
    </row>
    <row r="628">
      <c r="A628" s="17">
        <v>53.29531182184942</v>
      </c>
      <c r="E628" s="17">
        <v>42.50182698328938</v>
      </c>
      <c r="I628" s="11">
        <v>18.0</v>
      </c>
      <c r="M628" s="16">
        <v>4.608</v>
      </c>
    </row>
    <row r="629">
      <c r="A629" s="17">
        <v>5.710177689768986</v>
      </c>
      <c r="E629" s="17">
        <v>18.98582624899596</v>
      </c>
      <c r="I629" s="11">
        <v>30.0</v>
      </c>
      <c r="M629" s="16">
        <v>1.192</v>
      </c>
    </row>
    <row r="630">
      <c r="A630" s="17">
        <v>39.350897967239</v>
      </c>
      <c r="E630" s="17">
        <v>57.12797821800453</v>
      </c>
      <c r="I630" s="11">
        <v>15.0</v>
      </c>
      <c r="M630" s="16">
        <v>3.2</v>
      </c>
    </row>
    <row r="631">
      <c r="A631" s="17">
        <v>299.7223807141898</v>
      </c>
      <c r="E631" s="17">
        <v>259.64969886454253</v>
      </c>
      <c r="I631" s="11">
        <v>49.0</v>
      </c>
      <c r="M631" s="16">
        <v>6.464</v>
      </c>
    </row>
    <row r="632">
      <c r="A632" s="17">
        <v>58.609297160345974</v>
      </c>
      <c r="E632" s="17">
        <v>3.4294730794341786</v>
      </c>
      <c r="I632" s="11">
        <v>19.0</v>
      </c>
      <c r="M632" s="16">
        <v>5.328</v>
      </c>
    </row>
    <row r="633">
      <c r="A633" s="17">
        <v>44.28235212500888</v>
      </c>
      <c r="E633" s="17">
        <v>311.5674512260257</v>
      </c>
      <c r="I633" s="11">
        <v>13.0</v>
      </c>
      <c r="M633" s="16">
        <v>15.144</v>
      </c>
    </row>
    <row r="634">
      <c r="A634" s="17">
        <v>21.040493462956785</v>
      </c>
      <c r="E634" s="17">
        <v>81.52719914558747</v>
      </c>
      <c r="I634" s="11">
        <v>49.0</v>
      </c>
      <c r="M634" s="16">
        <v>6.36</v>
      </c>
    </row>
    <row r="635">
      <c r="A635" s="17">
        <v>2.547915915915911</v>
      </c>
      <c r="E635" s="17">
        <v>42.396559975430044</v>
      </c>
      <c r="I635" s="11">
        <v>3.0</v>
      </c>
      <c r="M635" s="16">
        <v>8.92</v>
      </c>
    </row>
    <row r="636">
      <c r="A636" s="17">
        <v>75.63840296662552</v>
      </c>
      <c r="E636" s="17">
        <v>253.56518797100495</v>
      </c>
      <c r="I636" s="11">
        <v>46.0</v>
      </c>
      <c r="M636" s="16">
        <v>4.920000000000001</v>
      </c>
    </row>
    <row r="637">
      <c r="A637" s="17">
        <v>4.306590257879656</v>
      </c>
      <c r="E637" s="17">
        <v>61.67912760226559</v>
      </c>
      <c r="I637" s="11">
        <v>15.0</v>
      </c>
      <c r="M637" s="16">
        <v>1.2000000000000002</v>
      </c>
    </row>
    <row r="638">
      <c r="A638" s="17">
        <v>8.301758400000018</v>
      </c>
      <c r="E638" s="17">
        <v>26.833051806977036</v>
      </c>
      <c r="I638" s="11">
        <v>12.0</v>
      </c>
      <c r="M638" s="16">
        <v>4.816</v>
      </c>
    </row>
    <row r="639">
      <c r="A639" s="17">
        <v>29.43944708073649</v>
      </c>
      <c r="E639" s="17">
        <v>579.9323137036106</v>
      </c>
      <c r="I639" s="11">
        <v>31.0</v>
      </c>
      <c r="M639" s="16">
        <v>3.696</v>
      </c>
    </row>
    <row r="640">
      <c r="A640" s="17">
        <v>222.64774525216592</v>
      </c>
      <c r="E640" s="17">
        <v>150.92344831679296</v>
      </c>
      <c r="I640" s="11">
        <v>22.0</v>
      </c>
      <c r="M640" s="16">
        <v>36.96</v>
      </c>
    </row>
    <row r="641">
      <c r="A641" s="17">
        <v>5.848663193460492</v>
      </c>
      <c r="E641" s="17">
        <v>23.099634888438143</v>
      </c>
      <c r="I641" s="11">
        <v>35.0</v>
      </c>
      <c r="M641" s="16">
        <v>5.952000000000001</v>
      </c>
    </row>
    <row r="642">
      <c r="A642" s="17">
        <v>13.525044215402408</v>
      </c>
      <c r="E642" s="17">
        <v>12.836773976764967</v>
      </c>
      <c r="I642" s="11">
        <v>27.0</v>
      </c>
      <c r="M642" s="16">
        <v>4.008</v>
      </c>
    </row>
    <row r="643">
      <c r="A643" s="17">
        <v>10.015222958057358</v>
      </c>
      <c r="E643" s="17">
        <v>129.4938343663718</v>
      </c>
      <c r="I643" s="11">
        <v>34.0</v>
      </c>
      <c r="M643" s="16">
        <v>3.9600000000000004</v>
      </c>
    </row>
    <row r="644">
      <c r="A644" s="17">
        <v>16.116610556616365</v>
      </c>
      <c r="E644" s="17">
        <v>72.98944878341824</v>
      </c>
      <c r="I644" s="11">
        <v>24.0</v>
      </c>
      <c r="M644" s="16">
        <v>3.8880000000000003</v>
      </c>
    </row>
    <row r="645">
      <c r="A645" s="17">
        <v>101.5304007091544</v>
      </c>
      <c r="E645" s="17">
        <v>42.27359824709133</v>
      </c>
      <c r="I645" s="11">
        <v>38.0</v>
      </c>
      <c r="M645" s="16">
        <v>7.192</v>
      </c>
    </row>
    <row r="646">
      <c r="A646" s="17">
        <v>14.30207196198259</v>
      </c>
      <c r="E646" s="17">
        <v>431.0711260331137</v>
      </c>
      <c r="I646" s="11">
        <v>9.0</v>
      </c>
      <c r="M646" s="16">
        <v>10.120000000000001</v>
      </c>
    </row>
    <row r="647">
      <c r="A647" s="17">
        <v>16.70557933965727</v>
      </c>
      <c r="E647" s="17">
        <v>3.7941332280355318</v>
      </c>
      <c r="I647" s="11">
        <v>22.0</v>
      </c>
      <c r="M647" s="16">
        <v>9.784</v>
      </c>
    </row>
    <row r="648">
      <c r="A648" s="17">
        <v>18.096461430104128</v>
      </c>
      <c r="E648" s="17">
        <v>8.4881789622037</v>
      </c>
      <c r="I648" s="11">
        <v>10.0</v>
      </c>
      <c r="M648" s="16">
        <v>7.192</v>
      </c>
    </row>
    <row r="649">
      <c r="A649" s="17">
        <v>2.241059799331098</v>
      </c>
      <c r="E649" s="17">
        <v>1.8040754716981116</v>
      </c>
      <c r="I649" s="11">
        <v>9.0</v>
      </c>
      <c r="M649" s="16">
        <v>4.368</v>
      </c>
    </row>
    <row r="650">
      <c r="A650" s="17">
        <v>1.4864664734299502</v>
      </c>
      <c r="E650" s="17">
        <v>2.0655737704917976</v>
      </c>
      <c r="I650" s="11">
        <v>4.0</v>
      </c>
      <c r="M650" s="16">
        <v>1.4880000000000002</v>
      </c>
    </row>
    <row r="651">
      <c r="A651" s="17">
        <v>8.865873370411563</v>
      </c>
      <c r="E651" s="17">
        <v>101.80975963190932</v>
      </c>
      <c r="I651" s="11">
        <v>18.0</v>
      </c>
      <c r="M651" s="16">
        <v>4.328</v>
      </c>
    </row>
    <row r="652">
      <c r="A652" s="17">
        <v>1.371008192771085</v>
      </c>
      <c r="E652" s="17">
        <v>309.1047509971906</v>
      </c>
      <c r="I652" s="11">
        <v>3.0</v>
      </c>
      <c r="M652" s="16">
        <v>0.392</v>
      </c>
    </row>
    <row r="653">
      <c r="A653" s="17">
        <v>83.28162034856328</v>
      </c>
      <c r="E653" s="17">
        <v>22.96514708082407</v>
      </c>
      <c r="I653" s="11">
        <v>8.0</v>
      </c>
      <c r="M653" s="16">
        <v>11.200000000000001</v>
      </c>
    </row>
    <row r="654">
      <c r="A654" s="17">
        <v>411.2122784891879</v>
      </c>
      <c r="E654" s="17">
        <v>1.0622597260273934</v>
      </c>
      <c r="I654" s="11">
        <v>49.0</v>
      </c>
      <c r="M654" s="16">
        <v>15.991999999999999</v>
      </c>
    </row>
    <row r="655">
      <c r="A655" s="17">
        <v>6.994731065715028</v>
      </c>
      <c r="E655" s="17">
        <v>5.859090578105777</v>
      </c>
      <c r="I655" s="11">
        <v>50.0</v>
      </c>
      <c r="M655" s="16">
        <v>10.544</v>
      </c>
    </row>
    <row r="656">
      <c r="A656" s="17">
        <v>2.543120655737705</v>
      </c>
      <c r="E656" s="17">
        <v>10.220689402795445</v>
      </c>
      <c r="I656" s="11">
        <v>5.0</v>
      </c>
      <c r="M656" s="16">
        <v>5.016</v>
      </c>
    </row>
    <row r="657">
      <c r="A657" s="17">
        <v>877.4226441141886</v>
      </c>
      <c r="E657" s="17">
        <v>86.09158772619978</v>
      </c>
      <c r="I657" s="11">
        <v>19.0</v>
      </c>
      <c r="M657" s="16">
        <v>19.592</v>
      </c>
    </row>
    <row r="658">
      <c r="A658" s="17">
        <v>129.8611685123186</v>
      </c>
      <c r="E658" s="17">
        <v>5.16766617283949</v>
      </c>
      <c r="I658" s="11">
        <v>12.0</v>
      </c>
      <c r="M658" s="16">
        <v>20.96</v>
      </c>
    </row>
    <row r="659">
      <c r="A659" s="17">
        <v>5.263064358706983</v>
      </c>
      <c r="E659" s="17">
        <v>52.40138406483961</v>
      </c>
      <c r="I659" s="11">
        <v>25.0</v>
      </c>
      <c r="M659" s="16">
        <v>6.384</v>
      </c>
    </row>
    <row r="660">
      <c r="A660" s="17">
        <v>163.71867637091012</v>
      </c>
      <c r="E660" s="17">
        <v>2.164449523809527</v>
      </c>
      <c r="I660" s="11">
        <v>18.0</v>
      </c>
      <c r="M660" s="16">
        <v>19.592</v>
      </c>
    </row>
    <row r="661">
      <c r="A661" s="17">
        <v>112.21303079981845</v>
      </c>
      <c r="E661" s="17">
        <v>9.208174965495232</v>
      </c>
      <c r="I661" s="11">
        <v>37.0</v>
      </c>
      <c r="M661" s="16">
        <v>15.991999999999999</v>
      </c>
    </row>
    <row r="662">
      <c r="A662" s="17">
        <v>307.48029482114873</v>
      </c>
      <c r="E662" s="17">
        <v>30.3803854641629</v>
      </c>
      <c r="I662" s="11">
        <v>32.0</v>
      </c>
      <c r="M662" s="16">
        <v>3.7200000000000006</v>
      </c>
    </row>
    <row r="663">
      <c r="A663" s="17">
        <v>139.5283580146927</v>
      </c>
      <c r="E663" s="17">
        <v>75.1276402996984</v>
      </c>
      <c r="I663" s="11">
        <v>31.0</v>
      </c>
      <c r="M663" s="16">
        <v>4.776</v>
      </c>
    </row>
    <row r="664">
      <c r="A664" s="17">
        <v>16.022018518902104</v>
      </c>
      <c r="E664" s="17">
        <v>88.93948276791173</v>
      </c>
      <c r="I664" s="11">
        <v>29.0</v>
      </c>
      <c r="M664" s="16">
        <v>4.368</v>
      </c>
    </row>
    <row r="665">
      <c r="A665" s="17">
        <v>73.53143251767995</v>
      </c>
      <c r="E665" s="17">
        <v>9.438399294506656</v>
      </c>
      <c r="I665" s="11">
        <v>30.0</v>
      </c>
      <c r="M665" s="16">
        <v>59.48</v>
      </c>
    </row>
    <row r="666">
      <c r="A666" s="17">
        <v>14.726514110183624</v>
      </c>
      <c r="E666" s="17">
        <v>51.00694244338514</v>
      </c>
      <c r="I666" s="11">
        <v>48.0</v>
      </c>
      <c r="M666" s="16">
        <v>0.768</v>
      </c>
    </row>
    <row r="667">
      <c r="A667" s="17">
        <v>1.5838123105706308</v>
      </c>
      <c r="E667" s="17">
        <v>0.3978497560975588</v>
      </c>
      <c r="I667" s="11">
        <v>5.0</v>
      </c>
      <c r="M667" s="16">
        <v>0.792</v>
      </c>
    </row>
    <row r="668">
      <c r="A668" s="17">
        <v>7.502783930510311</v>
      </c>
      <c r="E668" s="17">
        <v>110.51544802404067</v>
      </c>
      <c r="I668" s="11">
        <v>49.0</v>
      </c>
      <c r="M668" s="16">
        <v>0.5599999999999999</v>
      </c>
    </row>
    <row r="669">
      <c r="A669" s="17">
        <v>30.125281608855097</v>
      </c>
      <c r="E669" s="17">
        <v>1.113413154362416</v>
      </c>
      <c r="I669" s="11">
        <v>50.0</v>
      </c>
      <c r="M669" s="16">
        <v>7.032</v>
      </c>
    </row>
    <row r="670">
      <c r="A670" s="17">
        <v>1.1986141732283464</v>
      </c>
      <c r="E670" s="17">
        <v>7.153027649950868</v>
      </c>
      <c r="I670" s="11">
        <v>9.0</v>
      </c>
      <c r="M670" s="16">
        <v>0.5599999999999999</v>
      </c>
    </row>
    <row r="671">
      <c r="A671" s="17">
        <v>8.492472274459983</v>
      </c>
      <c r="E671" s="17">
        <v>11.04721347193354</v>
      </c>
      <c r="I671" s="11">
        <v>4.0</v>
      </c>
      <c r="M671" s="16">
        <v>4.792000000000001</v>
      </c>
    </row>
    <row r="672">
      <c r="A672" s="17">
        <v>32.90963743873514</v>
      </c>
      <c r="E672" s="17">
        <v>3.1876257740585756</v>
      </c>
      <c r="I672" s="11">
        <v>16.0</v>
      </c>
      <c r="M672" s="16">
        <v>5.016</v>
      </c>
    </row>
    <row r="673">
      <c r="A673" s="17">
        <v>4.128846497764532</v>
      </c>
      <c r="E673" s="17">
        <v>732.4830502582461</v>
      </c>
      <c r="I673" s="11">
        <v>14.0</v>
      </c>
      <c r="M673" s="16">
        <v>5.28</v>
      </c>
    </row>
    <row r="674">
      <c r="A674" s="17">
        <v>25.497021914277706</v>
      </c>
      <c r="E674" s="17">
        <v>2.1760000000000086</v>
      </c>
      <c r="I674" s="11">
        <v>32.0</v>
      </c>
      <c r="M674" s="16">
        <v>7.192</v>
      </c>
    </row>
    <row r="675">
      <c r="A675" s="17">
        <v>592.8503527084362</v>
      </c>
      <c r="E675" s="17">
        <v>181.89729171807784</v>
      </c>
      <c r="I675" s="11">
        <v>20.0</v>
      </c>
      <c r="M675" s="16">
        <v>48.0</v>
      </c>
    </row>
    <row r="676">
      <c r="A676" s="17">
        <v>0.1987421383647792</v>
      </c>
      <c r="E676" s="17">
        <v>298.6508638106487</v>
      </c>
      <c r="I676" s="11">
        <v>12.0</v>
      </c>
      <c r="M676" s="16">
        <v>0.4</v>
      </c>
    </row>
    <row r="677">
      <c r="A677" s="17">
        <v>44.98349055061845</v>
      </c>
      <c r="E677" s="17">
        <v>123.05570789249866</v>
      </c>
      <c r="I677" s="11">
        <v>41.0</v>
      </c>
      <c r="M677" s="16">
        <v>7.192</v>
      </c>
    </row>
    <row r="678">
      <c r="A678" s="17">
        <v>144.17719474183508</v>
      </c>
      <c r="E678" s="17">
        <v>57.04129401900503</v>
      </c>
      <c r="I678" s="11">
        <v>21.0</v>
      </c>
      <c r="M678" s="16">
        <v>28.0</v>
      </c>
    </row>
    <row r="679">
      <c r="A679" s="17">
        <v>5.8413375401068555</v>
      </c>
      <c r="E679" s="17">
        <v>106.00906179812165</v>
      </c>
      <c r="I679" s="11">
        <v>7.0</v>
      </c>
      <c r="M679" s="16">
        <v>21.392</v>
      </c>
    </row>
    <row r="680">
      <c r="A680" s="17">
        <v>0.8734933333333325</v>
      </c>
      <c r="E680" s="17">
        <v>5.450524308865581</v>
      </c>
      <c r="I680" s="11">
        <v>6.0</v>
      </c>
      <c r="M680" s="16">
        <v>1.4880000000000002</v>
      </c>
    </row>
    <row r="681">
      <c r="A681" s="17">
        <v>56.950379159378684</v>
      </c>
      <c r="E681" s="17">
        <v>0.42024489795918324</v>
      </c>
      <c r="I681" s="11">
        <v>31.0</v>
      </c>
      <c r="M681" s="16">
        <v>4.792000000000001</v>
      </c>
    </row>
    <row r="682">
      <c r="A682" s="17">
        <v>13.62840871424448</v>
      </c>
      <c r="E682" s="17">
        <v>116.02369973190343</v>
      </c>
      <c r="I682" s="11">
        <v>36.0</v>
      </c>
      <c r="M682" s="16">
        <v>7.888</v>
      </c>
    </row>
    <row r="683">
      <c r="A683" s="17">
        <v>4.74507257072571</v>
      </c>
      <c r="E683" s="17">
        <v>13.744817733990146</v>
      </c>
      <c r="I683" s="11">
        <v>26.0</v>
      </c>
      <c r="M683" s="16">
        <v>0.8400000000000001</v>
      </c>
    </row>
    <row r="684">
      <c r="A684" s="17">
        <v>2.5566110397946304</v>
      </c>
      <c r="E684" s="17">
        <v>4.307560486061449</v>
      </c>
      <c r="I684" s="11">
        <v>20.0</v>
      </c>
      <c r="M684" s="16">
        <v>3.2</v>
      </c>
    </row>
    <row r="685">
      <c r="A685" s="17">
        <v>6.092644366197177</v>
      </c>
      <c r="E685" s="17">
        <v>77.16671760498966</v>
      </c>
      <c r="I685" s="11">
        <v>5.0</v>
      </c>
      <c r="M685" s="16">
        <v>2.64</v>
      </c>
    </row>
    <row r="686">
      <c r="A686" s="17">
        <v>18.244634780507454</v>
      </c>
      <c r="E686" s="17">
        <v>17.446836630738517</v>
      </c>
      <c r="I686" s="11">
        <v>16.0</v>
      </c>
      <c r="M686" s="16">
        <v>6.072</v>
      </c>
    </row>
    <row r="687">
      <c r="A687" s="17">
        <v>5.115588923076941</v>
      </c>
      <c r="E687" s="17">
        <v>58.630012971403666</v>
      </c>
      <c r="I687" s="11">
        <v>23.0</v>
      </c>
      <c r="M687" s="16">
        <v>4.952000000000001</v>
      </c>
    </row>
    <row r="688">
      <c r="A688" s="17">
        <v>1.7605945945945938</v>
      </c>
      <c r="E688" s="17">
        <v>13.647855516425798</v>
      </c>
      <c r="I688" s="11">
        <v>4.0</v>
      </c>
      <c r="M688" s="16">
        <v>4.12</v>
      </c>
    </row>
    <row r="689">
      <c r="A689" s="17">
        <v>22.029483292427514</v>
      </c>
      <c r="E689" s="17">
        <v>87.2795585567217</v>
      </c>
      <c r="I689" s="11">
        <v>37.0</v>
      </c>
      <c r="M689" s="16">
        <v>1.592</v>
      </c>
    </row>
    <row r="690">
      <c r="A690" s="17">
        <v>36.3129696496536</v>
      </c>
      <c r="E690" s="17">
        <v>520.5736848796438</v>
      </c>
      <c r="I690" s="11">
        <v>10.0</v>
      </c>
      <c r="M690" s="16">
        <v>28.0</v>
      </c>
    </row>
    <row r="691">
      <c r="A691" s="17">
        <v>90.92113931386326</v>
      </c>
      <c r="E691" s="17">
        <v>128.05091165524013</v>
      </c>
      <c r="I691" s="11">
        <v>17.0</v>
      </c>
      <c r="M691" s="16">
        <v>20.8</v>
      </c>
    </row>
    <row r="692">
      <c r="A692" s="17">
        <v>9.999116277551028</v>
      </c>
      <c r="E692" s="17">
        <v>6.3686277517241265</v>
      </c>
      <c r="I692" s="11">
        <v>11.0</v>
      </c>
      <c r="M692" s="16">
        <v>4.816</v>
      </c>
    </row>
    <row r="693">
      <c r="A693" s="17">
        <v>16.6491699432463</v>
      </c>
      <c r="E693" s="17">
        <v>11.947522781509289</v>
      </c>
      <c r="I693" s="11">
        <v>49.0</v>
      </c>
      <c r="M693" s="16">
        <v>0.784</v>
      </c>
    </row>
    <row r="694">
      <c r="A694" s="17">
        <v>8.17574015300546</v>
      </c>
      <c r="E694" s="17">
        <v>16.942083651925792</v>
      </c>
      <c r="I694" s="11">
        <v>12.0</v>
      </c>
      <c r="M694" s="16">
        <v>5.6240000000000006</v>
      </c>
    </row>
    <row r="695">
      <c r="A695" s="17">
        <v>16.46259414225937</v>
      </c>
      <c r="E695" s="17">
        <v>8.129349743589733</v>
      </c>
      <c r="I695" s="11">
        <v>39.0</v>
      </c>
      <c r="M695" s="16">
        <v>28.0</v>
      </c>
    </row>
    <row r="696">
      <c r="A696" s="17">
        <v>17.95339997994988</v>
      </c>
      <c r="E696" s="17">
        <v>4.972726694101517</v>
      </c>
      <c r="I696" s="11">
        <v>22.0</v>
      </c>
      <c r="M696" s="16">
        <v>1.352</v>
      </c>
    </row>
    <row r="697">
      <c r="A697" s="17">
        <v>149.76820999047936</v>
      </c>
      <c r="E697" s="17">
        <v>43.01706973256687</v>
      </c>
      <c r="I697" s="11">
        <v>45.0</v>
      </c>
      <c r="M697" s="16">
        <v>2.0</v>
      </c>
    </row>
    <row r="698">
      <c r="A698" s="17">
        <v>15.960673698399347</v>
      </c>
      <c r="E698" s="17">
        <v>7.621142299651567</v>
      </c>
      <c r="I698" s="11">
        <v>6.0</v>
      </c>
      <c r="M698" s="16">
        <v>4.792000000000001</v>
      </c>
    </row>
    <row r="699">
      <c r="A699" s="17">
        <v>115.55867997812203</v>
      </c>
      <c r="E699" s="17">
        <v>59.30614723744625</v>
      </c>
      <c r="I699" s="11">
        <v>23.0</v>
      </c>
      <c r="M699" s="16">
        <v>4.736</v>
      </c>
    </row>
    <row r="700">
      <c r="A700" s="17">
        <v>23.510131741293485</v>
      </c>
      <c r="E700" s="17">
        <v>44.6688449321063</v>
      </c>
      <c r="I700" s="11">
        <v>43.0</v>
      </c>
      <c r="M700" s="16">
        <v>5.016</v>
      </c>
    </row>
    <row r="701">
      <c r="A701" s="17">
        <v>27.263103184713394</v>
      </c>
      <c r="E701" s="17">
        <v>4.931545272796662</v>
      </c>
      <c r="I701" s="11">
        <v>3.0</v>
      </c>
      <c r="M701" s="16">
        <v>71.44</v>
      </c>
    </row>
    <row r="702">
      <c r="A702" s="17">
        <v>300.99092060985856</v>
      </c>
      <c r="E702" s="17">
        <v>4.910677109243702</v>
      </c>
      <c r="I702" s="11">
        <v>26.0</v>
      </c>
      <c r="M702" s="16">
        <v>15.991999999999999</v>
      </c>
    </row>
    <row r="703">
      <c r="A703" s="17">
        <v>0.9672097959183682</v>
      </c>
      <c r="E703" s="17">
        <v>170.92176444694707</v>
      </c>
      <c r="I703" s="11">
        <v>1.0</v>
      </c>
      <c r="M703" s="16">
        <v>1.1119999999999999</v>
      </c>
    </row>
    <row r="704">
      <c r="A704" s="17">
        <v>115.17390218827161</v>
      </c>
      <c r="E704" s="17">
        <v>20.308394973069994</v>
      </c>
      <c r="I704" s="11">
        <v>47.0</v>
      </c>
      <c r="M704" s="16">
        <v>3.192</v>
      </c>
    </row>
    <row r="705">
      <c r="A705" s="17">
        <v>49.38554540204002</v>
      </c>
      <c r="E705" s="17">
        <v>2.4307099159663874</v>
      </c>
      <c r="I705" s="11">
        <v>20.0</v>
      </c>
      <c r="M705" s="16">
        <v>11.776000000000002</v>
      </c>
    </row>
    <row r="706">
      <c r="A706" s="17">
        <v>4.461774081942346</v>
      </c>
      <c r="E706" s="17">
        <v>209.15830046199966</v>
      </c>
      <c r="I706" s="11">
        <v>10.0</v>
      </c>
      <c r="M706" s="16">
        <v>5.176</v>
      </c>
    </row>
    <row r="707">
      <c r="A707" s="17">
        <v>32.46654878598243</v>
      </c>
      <c r="E707" s="17">
        <v>13.171441262419634</v>
      </c>
      <c r="I707" s="11">
        <v>15.0</v>
      </c>
      <c r="M707" s="16">
        <v>7.192</v>
      </c>
    </row>
    <row r="708">
      <c r="A708" s="17">
        <v>351.2908789581539</v>
      </c>
      <c r="E708" s="17">
        <v>0.46703746031746035</v>
      </c>
      <c r="I708" s="11">
        <v>17.0</v>
      </c>
      <c r="M708" s="16">
        <v>51.784000000000006</v>
      </c>
    </row>
    <row r="709">
      <c r="A709" s="17">
        <v>18.515241036659166</v>
      </c>
      <c r="E709" s="17">
        <v>23.48123700968748</v>
      </c>
      <c r="I709" s="11">
        <v>33.0</v>
      </c>
      <c r="M709" s="16">
        <v>36.0</v>
      </c>
    </row>
    <row r="710">
      <c r="A710" s="17">
        <v>231.43156529813882</v>
      </c>
      <c r="E710" s="17">
        <v>44.497705256959435</v>
      </c>
      <c r="I710" s="11">
        <v>46.0</v>
      </c>
      <c r="M710" s="16">
        <v>29.288</v>
      </c>
    </row>
    <row r="711">
      <c r="A711" s="17">
        <v>416.2231364169274</v>
      </c>
      <c r="E711" s="17">
        <v>5.508181018062399</v>
      </c>
      <c r="I711" s="11">
        <v>20.0</v>
      </c>
      <c r="M711" s="16">
        <v>55.712</v>
      </c>
    </row>
    <row r="712">
      <c r="A712" s="17">
        <v>18.672680704145414</v>
      </c>
      <c r="E712" s="17">
        <v>169.44906220546676</v>
      </c>
      <c r="I712" s="11">
        <v>23.0</v>
      </c>
      <c r="M712" s="16">
        <v>5.816</v>
      </c>
    </row>
    <row r="713">
      <c r="A713" s="17">
        <v>646.6652064187411</v>
      </c>
      <c r="E713" s="17">
        <v>203.91755833483504</v>
      </c>
      <c r="I713" s="11">
        <v>48.0</v>
      </c>
      <c r="M713" s="16">
        <v>48.0</v>
      </c>
    </row>
    <row r="714">
      <c r="A714" s="17">
        <v>127.85067459804318</v>
      </c>
      <c r="E714" s="17">
        <v>94.19460779896684</v>
      </c>
      <c r="I714" s="11">
        <v>39.0</v>
      </c>
      <c r="M714" s="16">
        <v>4.0</v>
      </c>
    </row>
    <row r="715">
      <c r="A715" s="17">
        <v>70.61760940696146</v>
      </c>
      <c r="E715" s="17">
        <v>62.02691856677519</v>
      </c>
      <c r="I715" s="11">
        <v>29.0</v>
      </c>
      <c r="M715" s="16">
        <v>6.992000000000001</v>
      </c>
    </row>
    <row r="716">
      <c r="A716" s="17">
        <v>19.62397027322403</v>
      </c>
      <c r="E716" s="17">
        <v>124.82475832263346</v>
      </c>
      <c r="I716" s="11">
        <v>27.0</v>
      </c>
      <c r="M716" s="16">
        <v>1.6480000000000001</v>
      </c>
    </row>
    <row r="717">
      <c r="A717" s="17">
        <v>6.252645358851673</v>
      </c>
      <c r="E717" s="17">
        <v>98.80430371718107</v>
      </c>
      <c r="I717" s="11">
        <v>34.0</v>
      </c>
      <c r="M717" s="16">
        <v>1.2560000000000002</v>
      </c>
    </row>
    <row r="718">
      <c r="A718" s="17">
        <v>97.51942759687377</v>
      </c>
      <c r="E718" s="17">
        <v>17.32964382152508</v>
      </c>
      <c r="I718" s="11">
        <v>35.0</v>
      </c>
      <c r="M718" s="16">
        <v>15.991999999999999</v>
      </c>
    </row>
    <row r="719">
      <c r="A719" s="17">
        <v>600.5367916202241</v>
      </c>
      <c r="E719" s="17">
        <v>3.0434157303370806</v>
      </c>
      <c r="I719" s="11">
        <v>49.0</v>
      </c>
      <c r="M719" s="16">
        <v>43.792</v>
      </c>
    </row>
    <row r="720">
      <c r="A720" s="17">
        <v>6.149534643226469</v>
      </c>
      <c r="E720" s="17">
        <v>18.851692680867366</v>
      </c>
      <c r="I720" s="11">
        <v>33.0</v>
      </c>
      <c r="M720" s="16">
        <v>1.0</v>
      </c>
    </row>
    <row r="721">
      <c r="A721" s="17">
        <v>3.2815856929955234</v>
      </c>
      <c r="E721" s="17">
        <v>15.35779321663028</v>
      </c>
      <c r="I721" s="11">
        <v>28.0</v>
      </c>
      <c r="M721" s="16">
        <v>4.84</v>
      </c>
    </row>
    <row r="722">
      <c r="A722" s="17">
        <v>6.461917340153445</v>
      </c>
      <c r="E722" s="17">
        <v>49.95197979021881</v>
      </c>
      <c r="I722" s="11">
        <v>3.0</v>
      </c>
      <c r="M722" s="16">
        <v>7.192</v>
      </c>
    </row>
    <row r="723">
      <c r="A723" s="17">
        <v>117.23131855953928</v>
      </c>
      <c r="E723" s="17">
        <v>23.064453073873842</v>
      </c>
      <c r="I723" s="11">
        <v>37.0</v>
      </c>
      <c r="M723" s="16">
        <v>11.584000000000001</v>
      </c>
    </row>
    <row r="724">
      <c r="A724" s="17">
        <v>4.052211660939311</v>
      </c>
      <c r="E724" s="17">
        <v>4.936362831402818</v>
      </c>
      <c r="I724" s="11">
        <v>39.0</v>
      </c>
      <c r="M724" s="16">
        <v>4.024</v>
      </c>
    </row>
    <row r="725">
      <c r="A725" s="17">
        <v>77.24448665370242</v>
      </c>
      <c r="E725" s="17">
        <v>0.8261375245579533</v>
      </c>
      <c r="I725" s="11">
        <v>48.0</v>
      </c>
      <c r="M725" s="16">
        <v>11.488</v>
      </c>
    </row>
    <row r="726">
      <c r="A726" s="17">
        <v>143.88316411926118</v>
      </c>
      <c r="E726" s="17">
        <v>7.073100558804433</v>
      </c>
      <c r="I726" s="11">
        <v>16.0</v>
      </c>
      <c r="M726" s="16">
        <v>41.552</v>
      </c>
    </row>
    <row r="727">
      <c r="A727" s="17">
        <v>36.938446164874605</v>
      </c>
      <c r="E727" s="17">
        <v>6.331124410723319</v>
      </c>
      <c r="I727" s="11">
        <v>49.0</v>
      </c>
      <c r="M727" s="16">
        <v>1.592</v>
      </c>
    </row>
    <row r="728">
      <c r="A728" s="17">
        <v>348.83162006184847</v>
      </c>
      <c r="E728" s="17">
        <v>4.289697499999999</v>
      </c>
      <c r="I728" s="11">
        <v>24.0</v>
      </c>
      <c r="M728" s="16">
        <v>11.192</v>
      </c>
    </row>
    <row r="729">
      <c r="A729" s="17">
        <v>105.11041898139818</v>
      </c>
      <c r="E729" s="17">
        <v>182.26271950230407</v>
      </c>
      <c r="I729" s="11">
        <v>13.0</v>
      </c>
      <c r="M729" s="16">
        <v>4.0</v>
      </c>
    </row>
    <row r="730">
      <c r="A730" s="17">
        <v>599.0104488860674</v>
      </c>
      <c r="E730" s="17">
        <v>226.7633082780338</v>
      </c>
      <c r="I730" s="11">
        <v>29.0</v>
      </c>
      <c r="M730" s="16">
        <v>19.592</v>
      </c>
    </row>
    <row r="731">
      <c r="A731" s="17">
        <v>5.9395780866721095</v>
      </c>
      <c r="E731" s="17">
        <v>28.96694357872114</v>
      </c>
      <c r="I731" s="11">
        <v>46.0</v>
      </c>
      <c r="M731" s="16">
        <v>1.04</v>
      </c>
    </row>
    <row r="732">
      <c r="A732" s="17">
        <v>44.90448123088341</v>
      </c>
      <c r="E732" s="17">
        <v>28.74758698617515</v>
      </c>
      <c r="I732" s="11">
        <v>32.0</v>
      </c>
      <c r="M732" s="16">
        <v>3.12</v>
      </c>
    </row>
    <row r="733">
      <c r="A733" s="17">
        <v>54.34791950690757</v>
      </c>
      <c r="E733" s="17">
        <v>73.11380859767957</v>
      </c>
      <c r="I733" s="11">
        <v>20.0</v>
      </c>
      <c r="M733" s="16">
        <v>13.088000000000001</v>
      </c>
    </row>
    <row r="734">
      <c r="A734" s="17">
        <v>25.458744952259675</v>
      </c>
      <c r="E734" s="17">
        <v>23.30595015576325</v>
      </c>
      <c r="I734" s="11">
        <v>44.0</v>
      </c>
      <c r="M734" s="16">
        <v>4.656000000000001</v>
      </c>
    </row>
    <row r="735">
      <c r="A735" s="17">
        <v>8.583261786743545</v>
      </c>
      <c r="E735" s="17">
        <v>0.7270034285714284</v>
      </c>
      <c r="I735" s="11">
        <v>46.0</v>
      </c>
      <c r="M735" s="16">
        <v>0.808</v>
      </c>
    </row>
    <row r="736">
      <c r="A736" s="17">
        <v>69.37660190476201</v>
      </c>
      <c r="E736" s="17">
        <v>3.5466666666666637</v>
      </c>
      <c r="I736" s="11">
        <v>26.0</v>
      </c>
      <c r="M736" s="16">
        <v>1.592</v>
      </c>
    </row>
    <row r="737">
      <c r="A737" s="17">
        <v>376.44087320001626</v>
      </c>
      <c r="E737" s="17">
        <v>112.82070569473022</v>
      </c>
      <c r="I737" s="11">
        <v>47.0</v>
      </c>
      <c r="M737" s="16">
        <v>15.991999999999999</v>
      </c>
    </row>
    <row r="738">
      <c r="A738" s="17">
        <v>6.786998675496682</v>
      </c>
      <c r="E738" s="17">
        <v>3.409057959183671</v>
      </c>
      <c r="I738" s="11">
        <v>29.0</v>
      </c>
      <c r="M738" s="16">
        <v>4.16</v>
      </c>
    </row>
    <row r="739">
      <c r="A739" s="17">
        <v>2.9371772631578934</v>
      </c>
      <c r="E739" s="17">
        <v>9.856364939097228</v>
      </c>
      <c r="I739" s="11">
        <v>7.0</v>
      </c>
      <c r="M739" s="16">
        <v>3.9920000000000004</v>
      </c>
    </row>
    <row r="740">
      <c r="A740" s="17">
        <v>251.22048705224512</v>
      </c>
      <c r="E740" s="17">
        <v>16.75281059792341</v>
      </c>
      <c r="I740" s="11">
        <v>13.0</v>
      </c>
      <c r="M740" s="16">
        <v>9.648000000000001</v>
      </c>
    </row>
    <row r="741">
      <c r="A741" s="17">
        <v>6.741999223300971</v>
      </c>
      <c r="E741" s="17">
        <v>32.3251927426876</v>
      </c>
      <c r="I741" s="11">
        <v>11.0</v>
      </c>
      <c r="M741" s="16">
        <v>4.5920000000000005</v>
      </c>
    </row>
    <row r="742">
      <c r="A742" s="17">
        <v>2.734579809523809</v>
      </c>
      <c r="E742" s="17">
        <v>14.386234413965083</v>
      </c>
      <c r="I742" s="11">
        <v>2.0</v>
      </c>
      <c r="M742" s="16">
        <v>6.368</v>
      </c>
    </row>
    <row r="743">
      <c r="A743" s="17">
        <v>16.016485543426672</v>
      </c>
      <c r="E743" s="17">
        <v>14.693210900243306</v>
      </c>
      <c r="I743" s="11">
        <v>15.0</v>
      </c>
      <c r="M743" s="16">
        <v>5.736000000000001</v>
      </c>
    </row>
    <row r="744">
      <c r="A744" s="17">
        <v>48.22193076648666</v>
      </c>
      <c r="E744" s="17">
        <v>86.27445489093215</v>
      </c>
      <c r="I744" s="11">
        <v>35.0</v>
      </c>
      <c r="M744" s="16">
        <v>15.991999999999999</v>
      </c>
    </row>
    <row r="745">
      <c r="A745" s="17">
        <v>20.125854296841162</v>
      </c>
      <c r="E745" s="17">
        <v>68.89156741156332</v>
      </c>
      <c r="I745" s="11">
        <v>34.0</v>
      </c>
      <c r="M745" s="16">
        <v>2.5120000000000005</v>
      </c>
    </row>
    <row r="746">
      <c r="A746" s="17">
        <v>164.83533572882465</v>
      </c>
      <c r="E746" s="17">
        <v>28.152128257279415</v>
      </c>
      <c r="I746" s="11">
        <v>27.0</v>
      </c>
      <c r="M746" s="16">
        <v>15.991999999999999</v>
      </c>
    </row>
    <row r="747">
      <c r="A747" s="17">
        <v>434.3203259423256</v>
      </c>
      <c r="E747" s="17">
        <v>11.099321662591686</v>
      </c>
      <c r="I747" s="11">
        <v>17.0</v>
      </c>
      <c r="M747" s="16">
        <v>15.991999999999999</v>
      </c>
    </row>
    <row r="748">
      <c r="A748" s="17">
        <v>2.195017793594308</v>
      </c>
      <c r="E748" s="17">
        <v>7.528921318681323</v>
      </c>
      <c r="I748" s="11">
        <v>3.0</v>
      </c>
      <c r="M748" s="16">
        <v>3.2</v>
      </c>
    </row>
    <row r="749">
      <c r="A749" s="17">
        <v>31.05924656443722</v>
      </c>
      <c r="E749" s="17">
        <v>56.748600500850294</v>
      </c>
      <c r="I749" s="11">
        <v>37.0</v>
      </c>
      <c r="M749" s="16">
        <v>2.984</v>
      </c>
    </row>
    <row r="750">
      <c r="A750" s="17">
        <v>4.8673923398516665</v>
      </c>
      <c r="E750" s="17">
        <v>4.3651044324324335</v>
      </c>
      <c r="I750" s="11">
        <v>39.0</v>
      </c>
      <c r="M750" s="16">
        <v>7.192</v>
      </c>
    </row>
    <row r="751">
      <c r="A751" s="17">
        <v>4.273858767567559</v>
      </c>
      <c r="E751" s="17">
        <v>3.0195415384615423</v>
      </c>
      <c r="I751" s="11">
        <v>2.0</v>
      </c>
      <c r="M751" s="16">
        <v>10.608</v>
      </c>
    </row>
    <row r="752">
      <c r="A752" s="17">
        <v>8.543837675032995</v>
      </c>
      <c r="E752" s="17">
        <v>79.03254472687522</v>
      </c>
      <c r="I752" s="11">
        <v>41.0</v>
      </c>
      <c r="M752" s="16">
        <v>5.008</v>
      </c>
    </row>
    <row r="753">
      <c r="A753" s="17">
        <v>29.412611847213487</v>
      </c>
      <c r="E753" s="17">
        <v>138.2384433255364</v>
      </c>
      <c r="I753" s="11">
        <v>32.0</v>
      </c>
      <c r="M753" s="16">
        <v>5.024000000000001</v>
      </c>
    </row>
    <row r="754">
      <c r="A754" s="17">
        <v>15.432797460317465</v>
      </c>
      <c r="E754" s="17">
        <v>2.0939399078341006</v>
      </c>
      <c r="I754" s="11">
        <v>31.0</v>
      </c>
      <c r="M754" s="16">
        <v>5.5440000000000005</v>
      </c>
    </row>
    <row r="755">
      <c r="A755" s="17">
        <v>4.983928197146558</v>
      </c>
      <c r="E755" s="17">
        <v>22.300842455706608</v>
      </c>
      <c r="I755" s="11">
        <v>16.0</v>
      </c>
      <c r="M755" s="16">
        <v>4.544</v>
      </c>
    </row>
    <row r="756">
      <c r="A756" s="17">
        <v>638.1953015347101</v>
      </c>
      <c r="E756" s="17">
        <v>23.803479304139135</v>
      </c>
      <c r="I756" s="11">
        <v>29.0</v>
      </c>
      <c r="M756" s="16">
        <v>68.504</v>
      </c>
    </row>
    <row r="757">
      <c r="A757" s="17">
        <v>914.4955643864558</v>
      </c>
      <c r="E757" s="17">
        <v>1.5175582117647064</v>
      </c>
      <c r="I757" s="11">
        <v>37.0</v>
      </c>
      <c r="M757" s="16">
        <v>88.16000000000001</v>
      </c>
    </row>
    <row r="758">
      <c r="A758" s="17">
        <v>91.46638249237208</v>
      </c>
      <c r="E758" s="17">
        <v>51.18770968871357</v>
      </c>
      <c r="I758" s="11">
        <v>8.0</v>
      </c>
      <c r="M758" s="16">
        <v>7.192</v>
      </c>
    </row>
    <row r="759">
      <c r="A759" s="17">
        <v>885.3334766359712</v>
      </c>
      <c r="E759" s="17">
        <v>7.125697692919626</v>
      </c>
      <c r="I759" s="11">
        <v>28.0</v>
      </c>
      <c r="M759" s="16">
        <v>39.2</v>
      </c>
    </row>
    <row r="760">
      <c r="A760" s="17">
        <v>27.398828717948696</v>
      </c>
      <c r="E760" s="17">
        <v>89.00545161946259</v>
      </c>
      <c r="I760" s="11">
        <v>3.0</v>
      </c>
      <c r="M760" s="16">
        <v>4.792000000000001</v>
      </c>
    </row>
    <row r="761">
      <c r="A761" s="17">
        <v>42.70422797080286</v>
      </c>
      <c r="E761" s="17">
        <v>5.48267558528427</v>
      </c>
      <c r="I761" s="11">
        <v>36.0</v>
      </c>
      <c r="M761" s="16">
        <v>3.8880000000000003</v>
      </c>
    </row>
    <row r="762">
      <c r="A762" s="17">
        <v>21.694731391954424</v>
      </c>
      <c r="E762" s="17">
        <v>64.38778012260077</v>
      </c>
      <c r="I762" s="11">
        <v>39.0</v>
      </c>
      <c r="M762" s="16">
        <v>9.216</v>
      </c>
    </row>
    <row r="763">
      <c r="A763" s="17">
        <v>36.61830182613711</v>
      </c>
      <c r="E763" s="17">
        <v>5.7652070707070635</v>
      </c>
      <c r="I763" s="11">
        <v>23.0</v>
      </c>
      <c r="M763" s="16">
        <v>15.991999999999999</v>
      </c>
    </row>
    <row r="764">
      <c r="A764" s="17">
        <v>4.8101715237302205</v>
      </c>
      <c r="E764" s="17">
        <v>25.720369787739845</v>
      </c>
      <c r="I764" s="11">
        <v>8.0</v>
      </c>
      <c r="M764" s="16">
        <v>5.48</v>
      </c>
    </row>
    <row r="765">
      <c r="A765" s="17">
        <v>64.16563416422274</v>
      </c>
      <c r="E765" s="17">
        <v>8.7272379766537</v>
      </c>
      <c r="I765" s="11">
        <v>13.0</v>
      </c>
      <c r="M765" s="16">
        <v>11.200000000000001</v>
      </c>
    </row>
    <row r="766">
      <c r="A766" s="17">
        <v>8.687441415929207</v>
      </c>
      <c r="E766" s="17">
        <v>80.47327711099311</v>
      </c>
      <c r="I766" s="11">
        <v>10.0</v>
      </c>
      <c r="M766" s="16">
        <v>4.664000000000001</v>
      </c>
    </row>
    <row r="767">
      <c r="A767" s="17">
        <v>96.51632608987052</v>
      </c>
      <c r="E767" s="17">
        <v>269.1794114887864</v>
      </c>
      <c r="I767" s="11">
        <v>13.0</v>
      </c>
      <c r="M767" s="16">
        <v>0.792</v>
      </c>
    </row>
    <row r="768">
      <c r="A768" s="17">
        <v>5.2899561990950215</v>
      </c>
      <c r="E768" s="17">
        <v>1.3080006651270513</v>
      </c>
      <c r="I768" s="11">
        <v>23.0</v>
      </c>
      <c r="M768" s="16">
        <v>1.2560000000000002</v>
      </c>
    </row>
    <row r="769">
      <c r="A769" s="17">
        <v>291.53838055899246</v>
      </c>
      <c r="E769" s="17">
        <v>5.783264398340239</v>
      </c>
      <c r="I769" s="11">
        <v>30.0</v>
      </c>
      <c r="M769" s="16">
        <v>41.552</v>
      </c>
    </row>
    <row r="770">
      <c r="A770" s="17">
        <v>6.372574762946744</v>
      </c>
      <c r="E770" s="17">
        <v>297.0801028535909</v>
      </c>
      <c r="I770" s="11">
        <v>8.0</v>
      </c>
      <c r="M770" s="16">
        <v>3.2</v>
      </c>
    </row>
    <row r="771">
      <c r="A771" s="17">
        <v>59.66806743604106</v>
      </c>
      <c r="E771" s="17">
        <v>24.478736208625868</v>
      </c>
      <c r="I771" s="11">
        <v>44.0</v>
      </c>
      <c r="M771" s="16">
        <v>4.376</v>
      </c>
    </row>
    <row r="772">
      <c r="A772" s="17">
        <v>1516.2535339117821</v>
      </c>
      <c r="E772" s="17">
        <v>8.703577712609961</v>
      </c>
      <c r="I772" s="11">
        <v>30.0</v>
      </c>
      <c r="M772" s="16">
        <v>36.56</v>
      </c>
    </row>
    <row r="773">
      <c r="A773" s="17">
        <v>13.324133408876309</v>
      </c>
      <c r="E773" s="17">
        <v>4.137664618086051</v>
      </c>
      <c r="I773" s="11">
        <v>48.0</v>
      </c>
      <c r="M773" s="16">
        <v>5.5120000000000005</v>
      </c>
    </row>
    <row r="774">
      <c r="A774" s="17">
        <v>400.52494862499134</v>
      </c>
      <c r="E774" s="17">
        <v>57.620727077922126</v>
      </c>
      <c r="I774" s="11">
        <v>36.0</v>
      </c>
      <c r="M774" s="16">
        <v>7.256</v>
      </c>
    </row>
    <row r="775">
      <c r="A775" s="17">
        <v>64.86524776821477</v>
      </c>
      <c r="E775" s="17">
        <v>506.25050963686124</v>
      </c>
      <c r="I775" s="11">
        <v>23.0</v>
      </c>
      <c r="M775" s="16">
        <v>2.888</v>
      </c>
    </row>
    <row r="776">
      <c r="A776" s="17">
        <v>21.725348889232233</v>
      </c>
      <c r="E776" s="17">
        <v>5.531872561403508</v>
      </c>
      <c r="I776" s="11">
        <v>41.0</v>
      </c>
      <c r="M776" s="16">
        <v>1.592</v>
      </c>
    </row>
    <row r="777">
      <c r="A777" s="17">
        <v>5.524235294117643</v>
      </c>
      <c r="E777" s="17">
        <v>4.44072902887139</v>
      </c>
      <c r="I777" s="11">
        <v>28.0</v>
      </c>
      <c r="M777" s="16">
        <v>0.5599999999999999</v>
      </c>
    </row>
    <row r="778">
      <c r="A778" s="17">
        <v>56.100551071076715</v>
      </c>
      <c r="E778" s="17">
        <v>8.186604810543642</v>
      </c>
      <c r="I778" s="11">
        <v>31.0</v>
      </c>
      <c r="M778" s="16">
        <v>1.192</v>
      </c>
    </row>
    <row r="779">
      <c r="A779" s="17">
        <v>1377.2524958779509</v>
      </c>
      <c r="E779" s="17">
        <v>257.31051171647135</v>
      </c>
      <c r="I779" s="11">
        <v>38.0</v>
      </c>
      <c r="M779" s="16">
        <v>19.592</v>
      </c>
    </row>
    <row r="780">
      <c r="A780" s="17">
        <v>26.806148907944912</v>
      </c>
      <c r="E780" s="17">
        <v>241.1007125655418</v>
      </c>
      <c r="I780" s="11">
        <v>11.0</v>
      </c>
      <c r="M780" s="16">
        <v>28.712000000000003</v>
      </c>
    </row>
    <row r="781">
      <c r="A781" s="17">
        <v>550.7727086130329</v>
      </c>
      <c r="E781" s="17">
        <v>140.41777435483928</v>
      </c>
      <c r="I781" s="11">
        <v>48.0</v>
      </c>
      <c r="M781" s="16">
        <v>39.04</v>
      </c>
    </row>
    <row r="782">
      <c r="A782" s="17">
        <v>13.969701234354757</v>
      </c>
      <c r="E782" s="17">
        <v>10.286353297297303</v>
      </c>
      <c r="I782" s="11">
        <v>36.0</v>
      </c>
      <c r="M782" s="16">
        <v>4.368</v>
      </c>
    </row>
    <row r="783">
      <c r="A783" s="17">
        <v>5.931281479277291</v>
      </c>
      <c r="E783" s="17">
        <v>7.4107981395348865</v>
      </c>
      <c r="I783" s="11">
        <v>7.0</v>
      </c>
      <c r="M783" s="16">
        <v>3.192</v>
      </c>
    </row>
    <row r="784">
      <c r="A784" s="17">
        <v>4.457506524520255</v>
      </c>
      <c r="E784" s="17">
        <v>14.62338807463281</v>
      </c>
      <c r="I784" s="11">
        <v>13.0</v>
      </c>
      <c r="M784" s="16">
        <v>0.31200000000000006</v>
      </c>
    </row>
    <row r="785">
      <c r="A785" s="17">
        <v>120.74150725736453</v>
      </c>
      <c r="E785" s="17">
        <v>49.20061779945803</v>
      </c>
      <c r="I785" s="11">
        <v>15.0</v>
      </c>
      <c r="M785" s="16">
        <v>51.784000000000006</v>
      </c>
    </row>
    <row r="786">
      <c r="A786" s="17">
        <v>4.8354348865979375</v>
      </c>
      <c r="E786" s="17">
        <v>21.069479459237996</v>
      </c>
      <c r="I786" s="11">
        <v>18.0</v>
      </c>
      <c r="M786" s="16">
        <v>3.696</v>
      </c>
    </row>
    <row r="787">
      <c r="A787" s="17">
        <v>82.65184987311356</v>
      </c>
      <c r="E787" s="17">
        <v>1.3406060606060592</v>
      </c>
      <c r="I787" s="11">
        <v>37.0</v>
      </c>
      <c r="M787" s="16">
        <v>3.6</v>
      </c>
    </row>
    <row r="788">
      <c r="A788" s="17">
        <v>2142.9351034708143</v>
      </c>
      <c r="E788" s="17">
        <v>4.6201527272727</v>
      </c>
      <c r="I788" s="11">
        <v>48.0</v>
      </c>
      <c r="M788" s="16">
        <v>19.592</v>
      </c>
    </row>
    <row r="789">
      <c r="A789" s="17">
        <v>5.394362334630352</v>
      </c>
      <c r="E789" s="17">
        <v>22.73194879370878</v>
      </c>
      <c r="I789" s="11">
        <v>11.0</v>
      </c>
      <c r="M789" s="16">
        <v>2.3760000000000003</v>
      </c>
    </row>
    <row r="790">
      <c r="A790" s="17">
        <v>5.700899071837259</v>
      </c>
      <c r="E790" s="17">
        <v>6.263315969773284</v>
      </c>
      <c r="I790" s="11">
        <v>42.0</v>
      </c>
      <c r="M790" s="16">
        <v>4.376</v>
      </c>
    </row>
    <row r="791">
      <c r="A791" s="17">
        <v>39.81106659271003</v>
      </c>
      <c r="E791" s="17">
        <v>12.375159999999958</v>
      </c>
      <c r="I791" s="11">
        <v>11.0</v>
      </c>
      <c r="M791" s="16">
        <v>6.928000000000001</v>
      </c>
    </row>
    <row r="792">
      <c r="A792" s="17">
        <v>87.85690728139635</v>
      </c>
      <c r="E792" s="17">
        <v>27.414478231469445</v>
      </c>
      <c r="I792" s="11">
        <v>29.0</v>
      </c>
      <c r="M792" s="16">
        <v>14.280000000000001</v>
      </c>
    </row>
    <row r="793">
      <c r="A793" s="17">
        <v>1106.3920773431146</v>
      </c>
      <c r="E793" s="17">
        <v>32.254927968565866</v>
      </c>
      <c r="I793" s="11">
        <v>32.0</v>
      </c>
      <c r="M793" s="16">
        <v>79.2</v>
      </c>
    </row>
    <row r="794">
      <c r="A794" s="17">
        <v>3.6209645147969796</v>
      </c>
      <c r="E794" s="17">
        <v>8.399999999999991</v>
      </c>
      <c r="I794" s="11">
        <v>44.0</v>
      </c>
      <c r="M794" s="16">
        <v>0.784</v>
      </c>
    </row>
    <row r="795">
      <c r="A795" s="17">
        <v>8.022609221183842</v>
      </c>
      <c r="E795" s="17">
        <v>7.31212424849694</v>
      </c>
      <c r="I795" s="11">
        <v>24.0</v>
      </c>
      <c r="M795" s="16">
        <v>3.848</v>
      </c>
    </row>
    <row r="796">
      <c r="A796" s="17">
        <v>8.917528780076022</v>
      </c>
      <c r="E796" s="17">
        <v>142.6406243688313</v>
      </c>
      <c r="I796" s="11">
        <v>33.0</v>
      </c>
      <c r="M796" s="16">
        <v>6.008</v>
      </c>
    </row>
    <row r="797">
      <c r="A797" s="17">
        <v>1409.5615766700344</v>
      </c>
      <c r="E797" s="17">
        <v>104.30304299384838</v>
      </c>
      <c r="I797" s="11">
        <v>49.0</v>
      </c>
      <c r="M797" s="16">
        <v>19.592</v>
      </c>
    </row>
    <row r="798">
      <c r="A798" s="17">
        <v>43.884574647887284</v>
      </c>
      <c r="E798" s="17">
        <v>15.318180826032602</v>
      </c>
      <c r="I798" s="11">
        <v>40.0</v>
      </c>
      <c r="M798" s="16">
        <v>5.2</v>
      </c>
    </row>
    <row r="799">
      <c r="A799" s="17">
        <v>1912.2970740513967</v>
      </c>
      <c r="E799" s="17">
        <v>4.303215337278108</v>
      </c>
      <c r="I799" s="11">
        <v>46.0</v>
      </c>
      <c r="M799" s="16">
        <v>20.8</v>
      </c>
    </row>
    <row r="800">
      <c r="A800" s="17">
        <v>20.415519917227122</v>
      </c>
      <c r="E800" s="17">
        <v>1.9612601894451958</v>
      </c>
      <c r="I800" s="11">
        <v>7.0</v>
      </c>
      <c r="M800" s="16">
        <v>28.0</v>
      </c>
    </row>
    <row r="801">
      <c r="A801" s="17">
        <v>48.09386651099134</v>
      </c>
      <c r="E801" s="17">
        <v>4.575645426482522</v>
      </c>
      <c r="I801" s="11">
        <v>11.0</v>
      </c>
      <c r="M801" s="16">
        <v>31.688000000000002</v>
      </c>
    </row>
    <row r="802">
      <c r="A802" s="17">
        <v>12.888888888888888</v>
      </c>
      <c r="E802" s="17">
        <v>13.692767808591631</v>
      </c>
      <c r="I802" s="11">
        <v>35.0</v>
      </c>
      <c r="M802" s="16">
        <v>4.0</v>
      </c>
    </row>
    <row r="803">
      <c r="A803" s="17">
        <v>7.344425739130437</v>
      </c>
      <c r="E803" s="17">
        <v>102.20995903578205</v>
      </c>
      <c r="I803" s="11">
        <v>9.0</v>
      </c>
      <c r="M803" s="16">
        <v>3.7439999999999998</v>
      </c>
    </row>
    <row r="804">
      <c r="A804" s="17">
        <v>393.23307543181033</v>
      </c>
      <c r="E804" s="17">
        <v>92.16418545299872</v>
      </c>
      <c r="I804" s="11">
        <v>34.0</v>
      </c>
      <c r="M804" s="16">
        <v>19.592</v>
      </c>
    </row>
    <row r="805">
      <c r="A805" s="17">
        <v>4.8444306160547335</v>
      </c>
      <c r="E805" s="17">
        <v>21.436383142605617</v>
      </c>
      <c r="I805" s="11">
        <v>31.0</v>
      </c>
      <c r="M805" s="16">
        <v>3.8000000000000003</v>
      </c>
    </row>
    <row r="806">
      <c r="A806" s="17">
        <v>15.449244295082002</v>
      </c>
      <c r="E806" s="17">
        <v>4.871145038167937</v>
      </c>
      <c r="I806" s="11">
        <v>13.0</v>
      </c>
      <c r="M806" s="16">
        <v>5.328</v>
      </c>
    </row>
    <row r="807">
      <c r="A807" s="17">
        <v>13.784946103286398</v>
      </c>
      <c r="E807" s="17">
        <v>7.223530449927453</v>
      </c>
      <c r="I807" s="11">
        <v>26.0</v>
      </c>
      <c r="M807" s="16">
        <v>4.472</v>
      </c>
    </row>
    <row r="808">
      <c r="A808" s="17">
        <v>5.934477899219303</v>
      </c>
      <c r="E808" s="17">
        <v>11.369195263500284</v>
      </c>
      <c r="I808" s="11">
        <v>13.0</v>
      </c>
      <c r="M808" s="16">
        <v>0.792</v>
      </c>
    </row>
    <row r="809">
      <c r="A809" s="17">
        <v>60.766913422958325</v>
      </c>
      <c r="E809" s="17">
        <v>54.77561845013201</v>
      </c>
      <c r="I809" s="11">
        <v>30.0</v>
      </c>
      <c r="M809" s="16">
        <v>53.016</v>
      </c>
    </row>
    <row r="810">
      <c r="A810" s="17">
        <v>65.52149108972915</v>
      </c>
      <c r="E810" s="17">
        <v>8.831384599348523</v>
      </c>
      <c r="I810" s="11">
        <v>4.0</v>
      </c>
      <c r="M810" s="16">
        <v>19.008000000000003</v>
      </c>
    </row>
    <row r="811">
      <c r="A811" s="17">
        <v>4.126447174447177</v>
      </c>
      <c r="E811" s="17">
        <v>3.222308034455762</v>
      </c>
      <c r="I811" s="11">
        <v>14.0</v>
      </c>
      <c r="M811" s="16">
        <v>1.04</v>
      </c>
    </row>
    <row r="812">
      <c r="A812" s="17">
        <v>0.6463702325581394</v>
      </c>
      <c r="E812" s="17">
        <v>25.706004610911663</v>
      </c>
      <c r="I812" s="11">
        <v>1.0</v>
      </c>
      <c r="M812" s="16">
        <v>1.096</v>
      </c>
    </row>
    <row r="813">
      <c r="A813" s="17">
        <v>114.16835737633224</v>
      </c>
      <c r="E813" s="17">
        <v>2.0875928404669244</v>
      </c>
      <c r="I813" s="11">
        <v>5.0</v>
      </c>
      <c r="M813" s="16">
        <v>14.288</v>
      </c>
    </row>
    <row r="814">
      <c r="A814" s="17">
        <v>50.60481364827863</v>
      </c>
      <c r="E814" s="17">
        <v>60.57976689309969</v>
      </c>
      <c r="I814" s="11">
        <v>48.0</v>
      </c>
      <c r="M814" s="16">
        <v>11.896</v>
      </c>
    </row>
    <row r="815">
      <c r="A815" s="17">
        <v>10.385770023790643</v>
      </c>
      <c r="E815" s="17">
        <v>6.541671344262301</v>
      </c>
      <c r="I815" s="11">
        <v>17.0</v>
      </c>
      <c r="M815" s="16">
        <v>2.4800000000000004</v>
      </c>
    </row>
    <row r="816">
      <c r="A816" s="17">
        <v>1.3976085436893197</v>
      </c>
      <c r="E816" s="17">
        <v>14.804054282632116</v>
      </c>
      <c r="I816" s="11">
        <v>3.0</v>
      </c>
      <c r="M816" s="16">
        <v>4.392</v>
      </c>
    </row>
    <row r="817">
      <c r="A817" s="17">
        <v>16.51676998136257</v>
      </c>
      <c r="E817" s="17">
        <v>2.4683349753694586</v>
      </c>
      <c r="I817" s="11">
        <v>8.0</v>
      </c>
      <c r="M817" s="16">
        <v>10.576</v>
      </c>
    </row>
    <row r="818">
      <c r="A818" s="17">
        <v>20.665252430539333</v>
      </c>
      <c r="E818" s="17">
        <v>0.7902107901907355</v>
      </c>
      <c r="I818" s="11">
        <v>48.0</v>
      </c>
      <c r="M818" s="16">
        <v>8.128</v>
      </c>
    </row>
    <row r="819">
      <c r="A819" s="17">
        <v>8.011080000000002</v>
      </c>
      <c r="E819" s="17">
        <v>1.902913015873016</v>
      </c>
      <c r="I819" s="11">
        <v>5.0</v>
      </c>
      <c r="M819" s="16">
        <v>13.984000000000002</v>
      </c>
    </row>
    <row r="820">
      <c r="A820" s="17">
        <v>79.56687390677372</v>
      </c>
      <c r="E820" s="17">
        <v>13.842994857849213</v>
      </c>
      <c r="I820" s="11">
        <v>26.0</v>
      </c>
      <c r="M820" s="16">
        <v>15.991999999999999</v>
      </c>
    </row>
    <row r="821">
      <c r="A821" s="17">
        <v>0.308756756756757</v>
      </c>
      <c r="E821" s="17">
        <v>6.341795511345901</v>
      </c>
      <c r="I821" s="11">
        <v>1.0</v>
      </c>
      <c r="M821" s="16">
        <v>0.5599999999999999</v>
      </c>
    </row>
    <row r="822">
      <c r="A822" s="17">
        <v>256.4542280218665</v>
      </c>
      <c r="E822" s="17">
        <v>91.07797953119827</v>
      </c>
      <c r="I822" s="11">
        <v>42.0</v>
      </c>
      <c r="M822" s="16">
        <v>4.5040000000000004</v>
      </c>
    </row>
    <row r="823">
      <c r="A823" s="17">
        <v>17.117304585768263</v>
      </c>
      <c r="E823" s="17">
        <v>1.670078521939949</v>
      </c>
      <c r="I823" s="11">
        <v>47.0</v>
      </c>
      <c r="M823" s="16">
        <v>4.736</v>
      </c>
    </row>
    <row r="824">
      <c r="A824" s="17">
        <v>190.84735343530184</v>
      </c>
      <c r="E824" s="17">
        <v>46.597523571569575</v>
      </c>
      <c r="I824" s="11">
        <v>45.0</v>
      </c>
      <c r="M824" s="16">
        <v>34.016000000000005</v>
      </c>
    </row>
    <row r="825">
      <c r="A825" s="17">
        <v>0.42178509803921527</v>
      </c>
      <c r="E825" s="17">
        <v>11.333703190013852</v>
      </c>
      <c r="I825" s="11">
        <v>1.0</v>
      </c>
      <c r="M825" s="16">
        <v>1.536</v>
      </c>
    </row>
    <row r="826">
      <c r="A826" s="17">
        <v>312.4984723926033</v>
      </c>
      <c r="E826" s="17">
        <v>57.95966828077317</v>
      </c>
      <c r="I826" s="11">
        <v>28.0</v>
      </c>
      <c r="M826" s="16">
        <v>15.991999999999999</v>
      </c>
    </row>
    <row r="827">
      <c r="A827" s="17">
        <v>56.40220071023804</v>
      </c>
      <c r="E827" s="17">
        <v>17.281983551905274</v>
      </c>
      <c r="I827" s="11">
        <v>17.0</v>
      </c>
      <c r="M827" s="16">
        <v>3.696</v>
      </c>
    </row>
    <row r="828">
      <c r="A828" s="17">
        <v>0.4479851162790698</v>
      </c>
      <c r="E828" s="17">
        <v>17.56348738048202</v>
      </c>
      <c r="I828" s="11">
        <v>1.0</v>
      </c>
      <c r="M828" s="16">
        <v>0.792</v>
      </c>
    </row>
    <row r="829">
      <c r="A829" s="17">
        <v>50.594132514995096</v>
      </c>
      <c r="E829" s="17">
        <v>51.46855265091869</v>
      </c>
      <c r="I829" s="11">
        <v>10.0</v>
      </c>
      <c r="M829" s="16">
        <v>3.12</v>
      </c>
    </row>
    <row r="830">
      <c r="A830" s="17">
        <v>4.384111643002026</v>
      </c>
      <c r="E830" s="17">
        <v>29.864017744171246</v>
      </c>
      <c r="I830" s="11">
        <v>7.0</v>
      </c>
      <c r="M830" s="16">
        <v>4.5360000000000005</v>
      </c>
    </row>
    <row r="831">
      <c r="A831" s="17">
        <v>387.7769714184689</v>
      </c>
      <c r="E831" s="17">
        <v>3.7822306238185206</v>
      </c>
      <c r="I831" s="11">
        <v>50.0</v>
      </c>
      <c r="M831" s="16">
        <v>15.991999999999999</v>
      </c>
    </row>
    <row r="832">
      <c r="A832" s="17">
        <v>37.571534981079026</v>
      </c>
      <c r="E832" s="17">
        <v>145.02976060082597</v>
      </c>
      <c r="I832" s="11">
        <v>22.0</v>
      </c>
      <c r="M832" s="16">
        <v>7.864000000000001</v>
      </c>
    </row>
    <row r="833">
      <c r="A833" s="17">
        <v>8.178210116731515</v>
      </c>
      <c r="E833" s="17">
        <v>6.936986301369853</v>
      </c>
      <c r="I833" s="11">
        <v>3.0</v>
      </c>
      <c r="M833" s="16">
        <v>22.200000000000003</v>
      </c>
    </row>
    <row r="834">
      <c r="A834" s="17">
        <v>6.533973333333322</v>
      </c>
      <c r="E834" s="17">
        <v>0.5766233766233764</v>
      </c>
      <c r="I834" s="11">
        <v>18.0</v>
      </c>
      <c r="M834" s="16">
        <v>1.1119999999999999</v>
      </c>
    </row>
    <row r="835">
      <c r="A835" s="17">
        <v>40.612073595226235</v>
      </c>
      <c r="E835" s="17">
        <v>18.575503716920696</v>
      </c>
      <c r="I835" s="11">
        <v>31.0</v>
      </c>
      <c r="M835" s="16">
        <v>5.2</v>
      </c>
    </row>
    <row r="836">
      <c r="A836" s="17">
        <v>37.63836958860761</v>
      </c>
      <c r="E836" s="17">
        <v>572.8686664243858</v>
      </c>
      <c r="I836" s="11">
        <v>23.0</v>
      </c>
      <c r="M836" s="16">
        <v>6.944</v>
      </c>
    </row>
    <row r="837">
      <c r="A837" s="17">
        <v>9.98621494206953</v>
      </c>
      <c r="E837" s="17">
        <v>70.14831615205533</v>
      </c>
      <c r="I837" s="11">
        <v>34.0</v>
      </c>
      <c r="M837" s="16">
        <v>1.8800000000000001</v>
      </c>
    </row>
    <row r="838">
      <c r="A838" s="17">
        <v>4.438672535885171</v>
      </c>
      <c r="E838" s="17">
        <v>8.896769900990106</v>
      </c>
      <c r="I838" s="11">
        <v>40.0</v>
      </c>
      <c r="M838" s="16">
        <v>0.792</v>
      </c>
    </row>
    <row r="839">
      <c r="A839" s="17">
        <v>6.250681635926218</v>
      </c>
      <c r="E839" s="17">
        <v>17.651219402287452</v>
      </c>
      <c r="I839" s="11">
        <v>19.0</v>
      </c>
      <c r="M839" s="16">
        <v>6.0</v>
      </c>
    </row>
    <row r="840">
      <c r="A840" s="17">
        <v>69.37227657821704</v>
      </c>
      <c r="E840" s="17">
        <v>4.705668790252404</v>
      </c>
      <c r="I840" s="11">
        <v>44.0</v>
      </c>
      <c r="M840" s="16">
        <v>29.288</v>
      </c>
    </row>
    <row r="841">
      <c r="A841" s="17">
        <v>1.3875</v>
      </c>
      <c r="E841" s="17">
        <v>5.5362503225806465</v>
      </c>
      <c r="I841" s="11">
        <v>3.0</v>
      </c>
      <c r="M841" s="16">
        <v>3.8000000000000003</v>
      </c>
    </row>
    <row r="842">
      <c r="A842" s="17">
        <v>16.134896103059607</v>
      </c>
      <c r="E842" s="17">
        <v>27.412890488124162</v>
      </c>
      <c r="I842" s="11">
        <v>25.0</v>
      </c>
      <c r="M842" s="16">
        <v>5.104</v>
      </c>
    </row>
    <row r="843">
      <c r="A843" s="17">
        <v>98.40669083244569</v>
      </c>
      <c r="E843" s="17">
        <v>46.75802367331714</v>
      </c>
      <c r="I843" s="11">
        <v>28.0</v>
      </c>
      <c r="M843" s="16">
        <v>7.768000000000001</v>
      </c>
    </row>
    <row r="844">
      <c r="A844" s="17">
        <v>18.754648346516</v>
      </c>
      <c r="E844" s="17">
        <v>6.391505454545442</v>
      </c>
      <c r="I844" s="11">
        <v>4.0</v>
      </c>
      <c r="M844" s="16">
        <v>1.592</v>
      </c>
    </row>
    <row r="845">
      <c r="A845" s="17">
        <v>19.754403325389926</v>
      </c>
      <c r="E845" s="17">
        <v>3.8143594874423337</v>
      </c>
      <c r="I845" s="11">
        <v>25.0</v>
      </c>
      <c r="M845" s="16">
        <v>5.312</v>
      </c>
    </row>
    <row r="846">
      <c r="A846" s="17">
        <v>4.775600967184803</v>
      </c>
      <c r="E846" s="17">
        <v>53.03175177679035</v>
      </c>
      <c r="I846" s="11">
        <v>4.0</v>
      </c>
      <c r="M846" s="16">
        <v>3.848</v>
      </c>
    </row>
    <row r="847">
      <c r="A847" s="17">
        <v>40.52716919177542</v>
      </c>
      <c r="E847" s="17">
        <v>16.813093318895504</v>
      </c>
      <c r="I847" s="11">
        <v>10.0</v>
      </c>
      <c r="M847" s="16">
        <v>21.392</v>
      </c>
    </row>
    <row r="848">
      <c r="A848" s="17">
        <v>8.114832421410366</v>
      </c>
      <c r="E848" s="17">
        <v>16.07482063532403</v>
      </c>
      <c r="I848" s="11">
        <v>21.0</v>
      </c>
      <c r="M848" s="16">
        <v>6.032</v>
      </c>
    </row>
    <row r="849">
      <c r="A849" s="17">
        <v>75.17630525172964</v>
      </c>
      <c r="E849" s="17">
        <v>190.43831485301646</v>
      </c>
      <c r="I849" s="11">
        <v>37.0</v>
      </c>
      <c r="M849" s="16">
        <v>13.496000000000002</v>
      </c>
    </row>
    <row r="850">
      <c r="A850" s="17">
        <v>13.46991168000002</v>
      </c>
      <c r="E850" s="17">
        <v>5.5133866666666655</v>
      </c>
      <c r="I850" s="11">
        <v>37.0</v>
      </c>
      <c r="M850" s="16">
        <v>4.664000000000001</v>
      </c>
    </row>
    <row r="851">
      <c r="A851" s="17">
        <v>63.435727674446554</v>
      </c>
      <c r="E851" s="17">
        <v>50.325039551870994</v>
      </c>
      <c r="I851" s="11">
        <v>40.0</v>
      </c>
      <c r="M851" s="16">
        <v>41.552</v>
      </c>
    </row>
    <row r="852">
      <c r="A852" s="17">
        <v>20.43176859477127</v>
      </c>
      <c r="E852" s="17">
        <v>283.12553797005876</v>
      </c>
      <c r="I852" s="11">
        <v>37.0</v>
      </c>
      <c r="M852" s="16">
        <v>5.736000000000001</v>
      </c>
    </row>
    <row r="853">
      <c r="A853" s="17">
        <v>147.30787416204961</v>
      </c>
      <c r="E853" s="17">
        <v>11.022270815407703</v>
      </c>
      <c r="I853" s="11">
        <v>24.0</v>
      </c>
      <c r="M853" s="16">
        <v>8.096</v>
      </c>
    </row>
    <row r="854">
      <c r="A854" s="17">
        <v>63.382411391202446</v>
      </c>
      <c r="E854" s="17">
        <v>2.829578753387529</v>
      </c>
      <c r="I854" s="11">
        <v>18.0</v>
      </c>
      <c r="M854" s="16">
        <v>8.624</v>
      </c>
    </row>
    <row r="855">
      <c r="A855" s="17">
        <v>36.3144402157497</v>
      </c>
      <c r="E855" s="17">
        <v>37.714705173393924</v>
      </c>
      <c r="I855" s="11">
        <v>10.0</v>
      </c>
      <c r="M855" s="16">
        <v>29.288</v>
      </c>
    </row>
    <row r="856">
      <c r="A856" s="17">
        <v>2.6220108108108136</v>
      </c>
      <c r="E856" s="17">
        <v>77.1554997011749</v>
      </c>
      <c r="I856" s="11">
        <v>12.0</v>
      </c>
      <c r="M856" s="16">
        <v>0.5599999999999999</v>
      </c>
    </row>
    <row r="857">
      <c r="A857" s="17">
        <v>38.64668197596795</v>
      </c>
      <c r="E857" s="17">
        <v>16.318272652614333</v>
      </c>
      <c r="I857" s="11">
        <v>1.0</v>
      </c>
      <c r="M857" s="16">
        <v>39.04</v>
      </c>
    </row>
    <row r="858">
      <c r="A858" s="17">
        <v>6.453687765237016</v>
      </c>
      <c r="E858" s="17">
        <v>8.234075040783022</v>
      </c>
      <c r="I858" s="11">
        <v>8.0</v>
      </c>
      <c r="M858" s="16">
        <v>1.592</v>
      </c>
    </row>
    <row r="859">
      <c r="A859" s="17">
        <v>163.08356840958217</v>
      </c>
      <c r="E859" s="17">
        <v>1.912280701754386</v>
      </c>
      <c r="I859" s="11">
        <v>41.0</v>
      </c>
      <c r="M859" s="16">
        <v>8.136000000000001</v>
      </c>
    </row>
    <row r="860">
      <c r="A860" s="17">
        <v>109.22299148431433</v>
      </c>
      <c r="E860" s="17">
        <v>84.54412856196144</v>
      </c>
      <c r="I860" s="11">
        <v>34.0</v>
      </c>
      <c r="M860" s="16">
        <v>5.5040000000000004</v>
      </c>
    </row>
    <row r="861">
      <c r="A861" s="17">
        <v>184.8930651081216</v>
      </c>
      <c r="E861" s="17">
        <v>31.163559391916966</v>
      </c>
      <c r="I861" s="11">
        <v>26.0</v>
      </c>
      <c r="M861" s="16">
        <v>41.93600000000001</v>
      </c>
    </row>
    <row r="862">
      <c r="A862" s="17">
        <v>22.221093289975276</v>
      </c>
      <c r="E862" s="17">
        <v>1.981087250308258</v>
      </c>
      <c r="I862" s="11">
        <v>20.0</v>
      </c>
      <c r="M862" s="16">
        <v>3.2</v>
      </c>
    </row>
    <row r="863">
      <c r="A863" s="17">
        <v>409.6566317427786</v>
      </c>
      <c r="E863" s="17">
        <v>33.47953712824256</v>
      </c>
      <c r="I863" s="11">
        <v>17.0</v>
      </c>
      <c r="M863" s="16">
        <v>45.6</v>
      </c>
    </row>
    <row r="864">
      <c r="A864" s="17">
        <v>10.083012439136402</v>
      </c>
      <c r="E864" s="17">
        <v>0.6038087981859591</v>
      </c>
      <c r="I864" s="11">
        <v>42.0</v>
      </c>
      <c r="M864" s="16">
        <v>9.272</v>
      </c>
    </row>
    <row r="865">
      <c r="A865" s="17">
        <v>11.225715228147367</v>
      </c>
      <c r="E865" s="17">
        <v>65.04528605510137</v>
      </c>
      <c r="I865" s="11">
        <v>12.0</v>
      </c>
      <c r="M865" s="16">
        <v>5.48</v>
      </c>
    </row>
    <row r="866">
      <c r="A866" s="17">
        <v>7.24374342797055</v>
      </c>
      <c r="E866" s="17">
        <v>2.1229753469387744</v>
      </c>
      <c r="I866" s="11">
        <v>31.0</v>
      </c>
      <c r="M866" s="16">
        <v>0.4</v>
      </c>
    </row>
    <row r="867">
      <c r="A867" s="17">
        <v>25.363109585522476</v>
      </c>
      <c r="E867" s="17">
        <v>21.887298006340636</v>
      </c>
      <c r="I867" s="11">
        <v>25.0</v>
      </c>
      <c r="M867" s="16">
        <v>5.016</v>
      </c>
    </row>
    <row r="868">
      <c r="A868" s="17">
        <v>23.23911726117512</v>
      </c>
      <c r="E868" s="17">
        <v>49.90775636372606</v>
      </c>
      <c r="I868" s="11">
        <v>8.0</v>
      </c>
      <c r="M868" s="16">
        <v>15.991999999999999</v>
      </c>
    </row>
    <row r="869">
      <c r="A869" s="17">
        <v>15.436876552154898</v>
      </c>
      <c r="E869" s="17">
        <v>5.898769103885799</v>
      </c>
      <c r="I869" s="11">
        <v>27.0</v>
      </c>
      <c r="M869" s="16">
        <v>2.3920000000000003</v>
      </c>
    </row>
    <row r="870">
      <c r="A870" s="17">
        <v>4.485519585492224</v>
      </c>
      <c r="E870" s="17">
        <v>274.40220813070323</v>
      </c>
      <c r="I870" s="11">
        <v>4.0</v>
      </c>
      <c r="M870" s="16">
        <v>11.776000000000002</v>
      </c>
    </row>
    <row r="871">
      <c r="A871" s="17">
        <v>68.5112924102656</v>
      </c>
      <c r="E871" s="17">
        <v>127.91132592503988</v>
      </c>
      <c r="I871" s="11">
        <v>30.0</v>
      </c>
      <c r="M871" s="16">
        <v>2.3920000000000003</v>
      </c>
    </row>
    <row r="872">
      <c r="A872" s="17">
        <v>2.4994838709677425</v>
      </c>
      <c r="E872" s="17">
        <v>9.053183333333337</v>
      </c>
      <c r="I872" s="11">
        <v>16.0</v>
      </c>
      <c r="M872" s="16">
        <v>0.5599999999999999</v>
      </c>
    </row>
    <row r="873">
      <c r="A873" s="17">
        <v>60.11202293384455</v>
      </c>
      <c r="E873" s="17">
        <v>27.078529955357077</v>
      </c>
      <c r="I873" s="11">
        <v>36.0</v>
      </c>
      <c r="M873" s="16">
        <v>2.3920000000000003</v>
      </c>
    </row>
    <row r="874">
      <c r="A874" s="17">
        <v>19.01818870767379</v>
      </c>
      <c r="E874" s="17">
        <v>69.58446020699856</v>
      </c>
      <c r="I874" s="11">
        <v>48.0</v>
      </c>
      <c r="M874" s="16">
        <v>4.096</v>
      </c>
    </row>
    <row r="875">
      <c r="A875" s="17">
        <v>10.154224326018806</v>
      </c>
      <c r="E875" s="17">
        <v>18.14014346927678</v>
      </c>
      <c r="I875" s="11">
        <v>23.0</v>
      </c>
      <c r="M875" s="16">
        <v>3.776</v>
      </c>
    </row>
    <row r="876">
      <c r="A876" s="17">
        <v>9.358591616766462</v>
      </c>
      <c r="E876" s="17">
        <v>54.30688421052636</v>
      </c>
      <c r="I876" s="11">
        <v>38.0</v>
      </c>
      <c r="M876" s="16">
        <v>0.5599999999999999</v>
      </c>
    </row>
    <row r="877">
      <c r="A877" s="17">
        <v>2.314540059347187</v>
      </c>
      <c r="E877" s="17">
        <v>32.37146019880717</v>
      </c>
      <c r="I877" s="11">
        <v>11.0</v>
      </c>
      <c r="M877" s="16">
        <v>0.4</v>
      </c>
    </row>
    <row r="878">
      <c r="A878" s="17">
        <v>160.97745098039175</v>
      </c>
      <c r="E878" s="17">
        <v>10.509431775100397</v>
      </c>
      <c r="I878" s="11">
        <v>49.0</v>
      </c>
      <c r="M878" s="16">
        <v>24.0</v>
      </c>
    </row>
    <row r="879">
      <c r="A879" s="17">
        <v>35.46010029655582</v>
      </c>
      <c r="E879" s="17">
        <v>39.23862516426572</v>
      </c>
      <c r="I879" s="11">
        <v>39.0</v>
      </c>
      <c r="M879" s="16">
        <v>4.336</v>
      </c>
    </row>
    <row r="880">
      <c r="A880" s="17">
        <v>32.45959562033994</v>
      </c>
      <c r="E880" s="17">
        <v>497.30616592017645</v>
      </c>
      <c r="I880" s="11">
        <v>47.0</v>
      </c>
      <c r="M880" s="16">
        <v>3.2</v>
      </c>
    </row>
    <row r="881">
      <c r="A881" s="17">
        <v>3.5379980487804827</v>
      </c>
      <c r="E881" s="17">
        <v>121.12696975413436</v>
      </c>
      <c r="I881" s="11">
        <v>26.0</v>
      </c>
      <c r="M881" s="16">
        <v>6.288</v>
      </c>
    </row>
    <row r="882">
      <c r="A882" s="17">
        <v>8.305236283274734</v>
      </c>
      <c r="E882" s="17">
        <v>13.639273571681409</v>
      </c>
      <c r="I882" s="11">
        <v>5.0</v>
      </c>
      <c r="M882" s="16">
        <v>3.416</v>
      </c>
    </row>
    <row r="883">
      <c r="A883" s="17">
        <v>12.211578112609033</v>
      </c>
      <c r="E883" s="17">
        <v>132.97700116727398</v>
      </c>
      <c r="I883" s="11">
        <v>40.0</v>
      </c>
      <c r="M883" s="16">
        <v>0.4</v>
      </c>
    </row>
    <row r="884">
      <c r="A884" s="17">
        <v>16.8410746338351</v>
      </c>
      <c r="E884" s="17">
        <v>5.002971428571433</v>
      </c>
      <c r="I884" s="11">
        <v>26.0</v>
      </c>
      <c r="M884" s="16">
        <v>15.991999999999999</v>
      </c>
    </row>
    <row r="885">
      <c r="A885" s="17">
        <v>1243.9613068180358</v>
      </c>
      <c r="E885" s="17">
        <v>4.0743361978855015</v>
      </c>
      <c r="I885" s="11">
        <v>43.0</v>
      </c>
      <c r="M885" s="16">
        <v>15.991999999999999</v>
      </c>
    </row>
    <row r="886">
      <c r="A886" s="17">
        <v>240.4448733511253</v>
      </c>
      <c r="E886" s="17">
        <v>72.51403814489223</v>
      </c>
      <c r="I886" s="11">
        <v>48.0</v>
      </c>
      <c r="M886" s="16">
        <v>47.848000000000006</v>
      </c>
    </row>
    <row r="887">
      <c r="A887" s="17">
        <v>163.6316948643502</v>
      </c>
      <c r="E887" s="17">
        <v>1039.5501560973362</v>
      </c>
      <c r="I887" s="11">
        <v>34.0</v>
      </c>
      <c r="M887" s="16">
        <v>4.4</v>
      </c>
    </row>
    <row r="888">
      <c r="A888" s="17">
        <v>2.944574786729855</v>
      </c>
      <c r="E888" s="17">
        <v>99.38557911156823</v>
      </c>
      <c r="I888" s="11">
        <v>31.0</v>
      </c>
      <c r="M888" s="16">
        <v>1.304</v>
      </c>
    </row>
    <row r="889">
      <c r="A889" s="17">
        <v>21.986571663469444</v>
      </c>
      <c r="E889" s="17">
        <v>3.0900134347571644</v>
      </c>
      <c r="I889" s="11">
        <v>21.0</v>
      </c>
      <c r="M889" s="16">
        <v>22.200000000000003</v>
      </c>
    </row>
    <row r="890">
      <c r="A890" s="17">
        <v>11.439950065703005</v>
      </c>
      <c r="E890" s="17">
        <v>8.096275801104976</v>
      </c>
      <c r="I890" s="11">
        <v>19.0</v>
      </c>
      <c r="M890" s="16">
        <v>4.84</v>
      </c>
    </row>
    <row r="891">
      <c r="A891" s="17">
        <v>27.860153550340634</v>
      </c>
      <c r="E891" s="17">
        <v>20.754488563163</v>
      </c>
      <c r="I891" s="11">
        <v>33.0</v>
      </c>
      <c r="M891" s="16">
        <v>7.192</v>
      </c>
    </row>
    <row r="892">
      <c r="A892" s="17">
        <v>155.19379874406846</v>
      </c>
      <c r="E892" s="17">
        <v>1.5656589473684244</v>
      </c>
      <c r="I892" s="11">
        <v>48.0</v>
      </c>
      <c r="M892" s="16">
        <v>41.552</v>
      </c>
    </row>
    <row r="893">
      <c r="A893" s="17">
        <v>38.15775106946424</v>
      </c>
      <c r="E893" s="17">
        <v>45.539257533552785</v>
      </c>
      <c r="I893" s="11">
        <v>8.0</v>
      </c>
      <c r="M893" s="16">
        <v>2.0</v>
      </c>
    </row>
    <row r="894">
      <c r="A894" s="17">
        <v>101.01248834299511</v>
      </c>
      <c r="E894" s="17">
        <v>1.7874127748691118</v>
      </c>
      <c r="I894" s="11">
        <v>31.0</v>
      </c>
      <c r="M894" s="16">
        <v>11.192</v>
      </c>
    </row>
    <row r="895">
      <c r="A895" s="17">
        <v>1.2871180487804874</v>
      </c>
      <c r="E895" s="17">
        <v>5.004878048780481</v>
      </c>
      <c r="I895" s="11">
        <v>2.0</v>
      </c>
      <c r="M895" s="16">
        <v>0.392</v>
      </c>
    </row>
    <row r="896">
      <c r="A896" s="17">
        <v>214.79079670467067</v>
      </c>
      <c r="E896" s="17">
        <v>165.47548554284276</v>
      </c>
      <c r="I896" s="11">
        <v>27.0</v>
      </c>
      <c r="M896" s="16">
        <v>43.792</v>
      </c>
    </row>
    <row r="897">
      <c r="A897" s="17">
        <v>55.875936508890554</v>
      </c>
      <c r="E897" s="17">
        <v>270.8894971220325</v>
      </c>
      <c r="I897" s="11">
        <v>15.0</v>
      </c>
      <c r="M897" s="16">
        <v>4.648</v>
      </c>
    </row>
    <row r="898">
      <c r="A898" s="17">
        <v>269.70084563620856</v>
      </c>
      <c r="E898" s="17">
        <v>76.71293049110027</v>
      </c>
      <c r="I898" s="11">
        <v>40.0</v>
      </c>
      <c r="M898" s="16">
        <v>6.912000000000001</v>
      </c>
    </row>
    <row r="899">
      <c r="A899" s="17">
        <v>5.442098360655734</v>
      </c>
      <c r="E899" s="17">
        <v>5.593414692810452</v>
      </c>
      <c r="I899" s="11">
        <v>35.0</v>
      </c>
      <c r="M899" s="16">
        <v>0.5599999999999999</v>
      </c>
    </row>
    <row r="900">
      <c r="A900" s="17">
        <v>1494.5197882113162</v>
      </c>
      <c r="E900" s="17">
        <v>5.5634821861152135</v>
      </c>
      <c r="I900" s="11">
        <v>30.0</v>
      </c>
      <c r="M900" s="16">
        <v>19.592</v>
      </c>
    </row>
    <row r="901">
      <c r="A901" s="17">
        <v>1.538594232558139</v>
      </c>
      <c r="E901" s="17">
        <v>5.855587203302378</v>
      </c>
      <c r="I901" s="11">
        <v>3.0</v>
      </c>
      <c r="M901" s="16">
        <v>2.4320000000000004</v>
      </c>
    </row>
    <row r="902">
      <c r="A902" s="17">
        <v>66.61140536859489</v>
      </c>
      <c r="E902" s="17">
        <v>1.0121968141592925</v>
      </c>
      <c r="I902" s="11">
        <v>9.0</v>
      </c>
      <c r="M902" s="16">
        <v>6.152000000000001</v>
      </c>
    </row>
    <row r="903">
      <c r="A903" s="17">
        <v>23.66247490533566</v>
      </c>
      <c r="E903" s="17">
        <v>234.1536754829163</v>
      </c>
      <c r="I903" s="11">
        <v>14.0</v>
      </c>
      <c r="M903" s="16">
        <v>7.192</v>
      </c>
    </row>
    <row r="904">
      <c r="A904" s="17">
        <v>23.30624368899356</v>
      </c>
      <c r="E904" s="17">
        <v>107.05029169715326</v>
      </c>
      <c r="I904" s="11">
        <v>7.0</v>
      </c>
      <c r="M904" s="16">
        <v>3.6</v>
      </c>
    </row>
    <row r="905">
      <c r="A905" s="17">
        <v>18.19240384719101</v>
      </c>
      <c r="E905" s="17">
        <v>1.8883731138545932</v>
      </c>
      <c r="I905" s="11">
        <v>31.0</v>
      </c>
      <c r="M905" s="16">
        <v>4.112</v>
      </c>
    </row>
    <row r="906">
      <c r="A906" s="17">
        <v>10.141700374683536</v>
      </c>
      <c r="E906" s="17">
        <v>3.2127918151815216</v>
      </c>
      <c r="I906" s="11">
        <v>8.0</v>
      </c>
      <c r="M906" s="16">
        <v>4.376</v>
      </c>
    </row>
    <row r="907">
      <c r="A907" s="17">
        <v>27.60968446556873</v>
      </c>
      <c r="E907" s="17">
        <v>9.965259687500017</v>
      </c>
      <c r="I907" s="11">
        <v>18.0</v>
      </c>
      <c r="M907" s="16">
        <v>3.192</v>
      </c>
    </row>
    <row r="908">
      <c r="A908" s="17">
        <v>11.997256246937784</v>
      </c>
      <c r="E908" s="17">
        <v>66.8405248190279</v>
      </c>
      <c r="I908" s="11">
        <v>9.0</v>
      </c>
      <c r="M908" s="16">
        <v>3.2</v>
      </c>
    </row>
    <row r="909">
      <c r="A909" s="17">
        <v>30.9238932871573</v>
      </c>
      <c r="E909" s="17">
        <v>4.2844798647221145</v>
      </c>
      <c r="I909" s="11">
        <v>32.0</v>
      </c>
      <c r="M909" s="16">
        <v>4.976</v>
      </c>
    </row>
    <row r="910">
      <c r="A910" s="17">
        <v>11.036946398763517</v>
      </c>
      <c r="E910" s="17">
        <v>10.23349753694579</v>
      </c>
      <c r="I910" s="11">
        <v>36.0</v>
      </c>
      <c r="M910" s="16">
        <v>5.952000000000001</v>
      </c>
    </row>
    <row r="911">
      <c r="A911" s="17">
        <v>1.4319443478260863</v>
      </c>
      <c r="E911" s="17">
        <v>18.97995823728816</v>
      </c>
      <c r="I911" s="11">
        <v>10.0</v>
      </c>
      <c r="M911" s="16">
        <v>0.392</v>
      </c>
    </row>
    <row r="912">
      <c r="A912" s="17">
        <v>109.7936471588594</v>
      </c>
      <c r="E912" s="17">
        <v>6.85718560587515</v>
      </c>
      <c r="I912" s="11">
        <v>35.0</v>
      </c>
      <c r="M912" s="16">
        <v>6.928000000000001</v>
      </c>
    </row>
    <row r="913">
      <c r="A913" s="17">
        <v>7.569827240829345</v>
      </c>
      <c r="E913" s="17">
        <v>5.205806079071447</v>
      </c>
      <c r="I913" s="11">
        <v>13.0</v>
      </c>
      <c r="M913" s="16">
        <v>1.6079999999999999</v>
      </c>
    </row>
    <row r="914">
      <c r="A914" s="17">
        <v>20.637776094674535</v>
      </c>
      <c r="E914" s="17">
        <v>2.7918309783602866</v>
      </c>
      <c r="I914" s="11">
        <v>20.0</v>
      </c>
      <c r="M914" s="16">
        <v>3.8880000000000003</v>
      </c>
    </row>
    <row r="915">
      <c r="A915" s="17">
        <v>4.4261201413427536</v>
      </c>
      <c r="E915" s="17">
        <v>14.685363470899473</v>
      </c>
      <c r="I915" s="11">
        <v>32.0</v>
      </c>
      <c r="M915" s="16">
        <v>0.5599999999999999</v>
      </c>
    </row>
    <row r="916">
      <c r="A916" s="17">
        <v>0.27428571428571447</v>
      </c>
      <c r="E916" s="17">
        <v>9.39056429752065</v>
      </c>
      <c r="I916" s="11">
        <v>1.0</v>
      </c>
      <c r="M916" s="16">
        <v>0.4</v>
      </c>
    </row>
    <row r="917">
      <c r="A917" s="17">
        <v>10.807001182795721</v>
      </c>
      <c r="E917" s="17">
        <v>316.1513055889357</v>
      </c>
      <c r="I917" s="11">
        <v>47.0</v>
      </c>
      <c r="M917" s="16">
        <v>0.768</v>
      </c>
    </row>
    <row r="918">
      <c r="A918" s="17">
        <v>124.52077234792897</v>
      </c>
      <c r="E918" s="17">
        <v>138.03394007631212</v>
      </c>
      <c r="I918" s="11">
        <v>46.0</v>
      </c>
      <c r="M918" s="16">
        <v>15.96</v>
      </c>
    </row>
    <row r="919">
      <c r="A919" s="17">
        <v>30.18302130694504</v>
      </c>
      <c r="E919" s="17">
        <v>20.556852655198178</v>
      </c>
      <c r="I919" s="11">
        <v>36.0</v>
      </c>
      <c r="M919" s="16">
        <v>5.2</v>
      </c>
    </row>
    <row r="920">
      <c r="A920" s="17">
        <v>381.5961090982043</v>
      </c>
      <c r="E920" s="17">
        <v>2486.847083054074</v>
      </c>
      <c r="I920" s="11">
        <v>28.0</v>
      </c>
      <c r="M920" s="16">
        <v>7.192</v>
      </c>
    </row>
    <row r="921">
      <c r="A921" s="17">
        <v>22.321212234706604</v>
      </c>
      <c r="E921" s="17">
        <v>24.239454954886103</v>
      </c>
      <c r="I921" s="11">
        <v>37.0</v>
      </c>
      <c r="M921" s="16">
        <v>3.9600000000000004</v>
      </c>
    </row>
    <row r="922">
      <c r="A922" s="17">
        <v>9.568668980297282</v>
      </c>
      <c r="E922" s="17">
        <v>23.313649737402432</v>
      </c>
      <c r="I922" s="11">
        <v>6.0</v>
      </c>
      <c r="M922" s="16">
        <v>3.9920000000000004</v>
      </c>
    </row>
    <row r="923">
      <c r="A923" s="17">
        <v>211.77045390735228</v>
      </c>
      <c r="E923" s="17">
        <v>37.061387066541755</v>
      </c>
      <c r="I923" s="11">
        <v>42.0</v>
      </c>
      <c r="M923" s="16">
        <v>3.192</v>
      </c>
    </row>
    <row r="924">
      <c r="A924" s="17">
        <v>32.58014712907222</v>
      </c>
      <c r="E924" s="17">
        <v>41.98339056382773</v>
      </c>
      <c r="I924" s="11">
        <v>8.0</v>
      </c>
      <c r="M924" s="16">
        <v>2.0</v>
      </c>
    </row>
    <row r="925">
      <c r="A925" s="17">
        <v>371.3117426547842</v>
      </c>
      <c r="E925" s="17">
        <v>5.743869918699187</v>
      </c>
      <c r="I925" s="11">
        <v>37.0</v>
      </c>
      <c r="M925" s="16">
        <v>11.192</v>
      </c>
    </row>
    <row r="926">
      <c r="A926" s="17">
        <v>37.20527415452186</v>
      </c>
      <c r="E926" s="17">
        <v>3.776659793814429</v>
      </c>
      <c r="I926" s="11">
        <v>20.0</v>
      </c>
      <c r="M926" s="16">
        <v>42.42400000000001</v>
      </c>
    </row>
    <row r="927">
      <c r="A927" s="17">
        <v>276.4271350472566</v>
      </c>
      <c r="E927" s="17">
        <v>72.75573230769234</v>
      </c>
      <c r="I927" s="11">
        <v>35.0</v>
      </c>
      <c r="M927" s="16">
        <v>0.792</v>
      </c>
    </row>
    <row r="928">
      <c r="A928" s="17">
        <v>13.207074072308286</v>
      </c>
      <c r="E928" s="17">
        <v>9.400921658986153</v>
      </c>
      <c r="I928" s="11">
        <v>23.0</v>
      </c>
      <c r="M928" s="16">
        <v>10.016</v>
      </c>
    </row>
    <row r="929">
      <c r="A929" s="17">
        <v>45.92424694237037</v>
      </c>
      <c r="E929" s="17">
        <v>25.548876857764743</v>
      </c>
      <c r="I929" s="11">
        <v>14.0</v>
      </c>
      <c r="M929" s="16">
        <v>7.192</v>
      </c>
    </row>
    <row r="930">
      <c r="A930" s="17">
        <v>271.6564516256826</v>
      </c>
      <c r="E930" s="17">
        <v>4.3097148806941465</v>
      </c>
      <c r="I930" s="11">
        <v>42.0</v>
      </c>
      <c r="M930" s="16">
        <v>15.96</v>
      </c>
    </row>
    <row r="931">
      <c r="A931" s="17">
        <v>4.399422109240827</v>
      </c>
      <c r="E931" s="17">
        <v>25.37927376203786</v>
      </c>
      <c r="I931" s="11">
        <v>49.0</v>
      </c>
      <c r="M931" s="16">
        <v>2.4320000000000004</v>
      </c>
    </row>
    <row r="932">
      <c r="A932" s="17">
        <v>20.63798033483922</v>
      </c>
      <c r="E932" s="17">
        <v>235.89179123434323</v>
      </c>
      <c r="I932" s="11">
        <v>19.0</v>
      </c>
      <c r="M932" s="16">
        <v>8.440000000000001</v>
      </c>
    </row>
    <row r="933">
      <c r="A933" s="17">
        <v>17.20385943757029</v>
      </c>
      <c r="E933" s="17">
        <v>8.956460370898704</v>
      </c>
      <c r="I933" s="11">
        <v>34.0</v>
      </c>
      <c r="M933" s="16">
        <v>0.8720000000000001</v>
      </c>
    </row>
    <row r="934">
      <c r="A934" s="17">
        <v>8.443827127659565</v>
      </c>
      <c r="E934" s="17">
        <v>49.20604827195479</v>
      </c>
      <c r="I934" s="11">
        <v>23.0</v>
      </c>
      <c r="M934" s="16">
        <v>5.720000000000001</v>
      </c>
    </row>
    <row r="935">
      <c r="A935" s="17">
        <v>206.2343194292548</v>
      </c>
      <c r="E935" s="17">
        <v>143.1311430057416</v>
      </c>
      <c r="I935" s="11">
        <v>16.0</v>
      </c>
      <c r="M935" s="16">
        <v>22.904</v>
      </c>
    </row>
    <row r="936">
      <c r="A936" s="17">
        <v>215.06207149602017</v>
      </c>
      <c r="E936" s="17">
        <v>32.02423785871958</v>
      </c>
      <c r="I936" s="11">
        <v>28.0</v>
      </c>
      <c r="M936" s="16">
        <v>46.56</v>
      </c>
    </row>
    <row r="937">
      <c r="A937" s="17">
        <v>100.21003131651256</v>
      </c>
      <c r="E937" s="17">
        <v>4.058553791887124</v>
      </c>
      <c r="I937" s="11">
        <v>31.0</v>
      </c>
      <c r="M937" s="16">
        <v>5.784000000000001</v>
      </c>
    </row>
    <row r="938">
      <c r="A938" s="17">
        <v>38.00098139389199</v>
      </c>
      <c r="E938" s="17">
        <v>1.568359156118139</v>
      </c>
      <c r="I938" s="11">
        <v>9.0</v>
      </c>
      <c r="M938" s="16">
        <v>11.352</v>
      </c>
    </row>
    <row r="939">
      <c r="A939" s="17">
        <v>8.396980510568234</v>
      </c>
      <c r="E939" s="17">
        <v>2.9900553846153883</v>
      </c>
      <c r="I939" s="11">
        <v>47.0</v>
      </c>
      <c r="M939" s="16">
        <v>3.2</v>
      </c>
    </row>
    <row r="940">
      <c r="A940" s="17">
        <v>52.069908995971936</v>
      </c>
      <c r="E940" s="17">
        <v>7.644285731166917</v>
      </c>
      <c r="I940" s="11">
        <v>36.0</v>
      </c>
      <c r="M940" s="16">
        <v>5.0</v>
      </c>
    </row>
    <row r="941">
      <c r="A941" s="17">
        <v>11.41757138823528</v>
      </c>
      <c r="E941" s="17">
        <v>66.60623283070096</v>
      </c>
      <c r="I941" s="11">
        <v>16.0</v>
      </c>
      <c r="M941" s="16">
        <v>13.984000000000002</v>
      </c>
    </row>
    <row r="942">
      <c r="A942" s="17">
        <v>5.627121574239707</v>
      </c>
      <c r="E942" s="17">
        <v>1.1728720661157</v>
      </c>
      <c r="I942" s="11">
        <v>7.0</v>
      </c>
      <c r="M942" s="16">
        <v>4.752000000000001</v>
      </c>
    </row>
    <row r="943">
      <c r="A943" s="17">
        <v>5.982655313781164</v>
      </c>
      <c r="E943" s="17">
        <v>2.267187128987519</v>
      </c>
      <c r="I943" s="11">
        <v>19.0</v>
      </c>
      <c r="M943" s="16">
        <v>22.200000000000003</v>
      </c>
    </row>
    <row r="944">
      <c r="A944" s="17">
        <v>23.459008859466604</v>
      </c>
      <c r="E944" s="17">
        <v>4.604942222222221</v>
      </c>
      <c r="I944" s="11">
        <v>46.0</v>
      </c>
      <c r="M944" s="16">
        <v>2.696</v>
      </c>
    </row>
    <row r="945">
      <c r="A945" s="17">
        <v>281.55496023649556</v>
      </c>
      <c r="E945" s="17">
        <v>23.740776710243917</v>
      </c>
      <c r="I945" s="11">
        <v>46.0</v>
      </c>
      <c r="M945" s="16">
        <v>7.192</v>
      </c>
    </row>
    <row r="946">
      <c r="A946" s="17">
        <v>25.700194767431796</v>
      </c>
      <c r="E946" s="17">
        <v>14.365067488355434</v>
      </c>
      <c r="I946" s="11">
        <v>35.0</v>
      </c>
      <c r="M946" s="16">
        <v>10.096</v>
      </c>
    </row>
    <row r="947">
      <c r="A947" s="17">
        <v>75.99005085239511</v>
      </c>
      <c r="E947" s="17">
        <v>28.11329868613145</v>
      </c>
      <c r="I947" s="11">
        <v>16.0</v>
      </c>
      <c r="M947" s="16">
        <v>5.432</v>
      </c>
    </row>
    <row r="948">
      <c r="A948" s="17">
        <v>3.117357900874633</v>
      </c>
      <c r="E948" s="17">
        <v>6.131905467048715</v>
      </c>
      <c r="I948" s="11">
        <v>15.0</v>
      </c>
      <c r="M948" s="16">
        <v>3.8320000000000003</v>
      </c>
    </row>
    <row r="949">
      <c r="A949" s="17">
        <v>48.861256115702496</v>
      </c>
      <c r="E949" s="17">
        <v>78.38061422506212</v>
      </c>
      <c r="I949" s="11">
        <v>12.0</v>
      </c>
      <c r="M949" s="16">
        <v>3.192</v>
      </c>
    </row>
    <row r="950">
      <c r="A950" s="17">
        <v>31.603449326016086</v>
      </c>
      <c r="E950" s="17">
        <v>279.10927518060794</v>
      </c>
      <c r="I950" s="11">
        <v>42.0</v>
      </c>
      <c r="M950" s="16">
        <v>1.592</v>
      </c>
    </row>
    <row r="951">
      <c r="A951" s="17">
        <v>30.106542590217902</v>
      </c>
      <c r="E951" s="17">
        <v>25.696684237415457</v>
      </c>
      <c r="I951" s="11">
        <v>49.0</v>
      </c>
      <c r="M951" s="16">
        <v>4.32</v>
      </c>
    </row>
    <row r="952">
      <c r="A952" s="17">
        <v>6.066983299511506</v>
      </c>
      <c r="E952" s="17">
        <v>6.473010196078439</v>
      </c>
      <c r="I952" s="11">
        <v>28.0</v>
      </c>
      <c r="M952" s="16">
        <v>7.888</v>
      </c>
    </row>
    <row r="953">
      <c r="A953" s="17">
        <v>9.45687679306601</v>
      </c>
      <c r="E953" s="17">
        <v>422.0832066828149</v>
      </c>
      <c r="I953" s="11">
        <v>41.0</v>
      </c>
      <c r="M953" s="16">
        <v>4.696000000000001</v>
      </c>
    </row>
    <row r="954">
      <c r="A954" s="17">
        <v>3.636622844638939</v>
      </c>
      <c r="E954" s="17">
        <v>62.52940479674802</v>
      </c>
      <c r="I954" s="11">
        <v>27.0</v>
      </c>
      <c r="M954" s="16">
        <v>6.288</v>
      </c>
    </row>
    <row r="955">
      <c r="A955" s="17">
        <v>28.93907569604865</v>
      </c>
      <c r="E955" s="17">
        <v>1.6904484451718513</v>
      </c>
      <c r="I955" s="11">
        <v>14.0</v>
      </c>
      <c r="M955" s="16">
        <v>4.336</v>
      </c>
    </row>
    <row r="956">
      <c r="A956" s="17">
        <v>137.7375430552347</v>
      </c>
      <c r="E956" s="17">
        <v>12.995854591836768</v>
      </c>
      <c r="I956" s="11">
        <v>49.0</v>
      </c>
      <c r="M956" s="16">
        <v>11.56</v>
      </c>
    </row>
    <row r="957">
      <c r="A957" s="17">
        <v>2.162668778877889</v>
      </c>
      <c r="E957" s="17">
        <v>586.4434351528716</v>
      </c>
      <c r="I957" s="11">
        <v>5.0</v>
      </c>
      <c r="M957" s="16">
        <v>3.4560000000000004</v>
      </c>
    </row>
    <row r="958">
      <c r="A958" s="17">
        <v>26.013857820062068</v>
      </c>
      <c r="E958" s="17">
        <v>3.2878310913140276</v>
      </c>
      <c r="I958" s="11">
        <v>22.0</v>
      </c>
      <c r="M958" s="16">
        <v>11.512</v>
      </c>
    </row>
    <row r="959">
      <c r="A959" s="17">
        <v>132.46634385065025</v>
      </c>
      <c r="E959" s="17">
        <v>69.47599982142857</v>
      </c>
      <c r="I959" s="11">
        <v>30.0</v>
      </c>
      <c r="M959" s="16">
        <v>2.232</v>
      </c>
    </row>
    <row r="960">
      <c r="A960" s="17">
        <v>143.0457546747789</v>
      </c>
      <c r="E960" s="17">
        <v>5.387944345073219</v>
      </c>
      <c r="I960" s="11">
        <v>42.0</v>
      </c>
      <c r="M960" s="16">
        <v>28.0</v>
      </c>
    </row>
    <row r="961">
      <c r="A961" s="17">
        <v>5.395211068158663</v>
      </c>
      <c r="E961" s="17">
        <v>576.9029868324923</v>
      </c>
      <c r="I961" s="11">
        <v>29.0</v>
      </c>
      <c r="M961" s="16">
        <v>5.448</v>
      </c>
    </row>
    <row r="962">
      <c r="A962" s="17">
        <v>56.10272592467682</v>
      </c>
      <c r="E962" s="17">
        <v>165.31126835401824</v>
      </c>
      <c r="I962" s="11">
        <v>43.0</v>
      </c>
      <c r="M962" s="16">
        <v>1.592</v>
      </c>
    </row>
    <row r="963">
      <c r="A963" s="17">
        <v>95.49012931845674</v>
      </c>
      <c r="E963" s="17">
        <v>4.722479999999993</v>
      </c>
      <c r="I963" s="11">
        <v>4.0</v>
      </c>
      <c r="M963" s="16">
        <v>72.84</v>
      </c>
    </row>
    <row r="964">
      <c r="A964" s="17">
        <v>25.533417354382145</v>
      </c>
      <c r="E964" s="17">
        <v>178.22512687850482</v>
      </c>
      <c r="I964" s="11">
        <v>5.0</v>
      </c>
      <c r="M964" s="16">
        <v>0.792</v>
      </c>
    </row>
    <row r="965">
      <c r="A965" s="17">
        <v>334.72265796978843</v>
      </c>
      <c r="E965" s="17">
        <v>287.5997885298405</v>
      </c>
      <c r="I965" s="11">
        <v>31.0</v>
      </c>
      <c r="M965" s="16">
        <v>19.592</v>
      </c>
    </row>
    <row r="966">
      <c r="A966" s="17">
        <v>3.9934183931624134</v>
      </c>
      <c r="E966" s="17">
        <v>42.8343542897728</v>
      </c>
      <c r="I966" s="11">
        <v>34.0</v>
      </c>
      <c r="M966" s="16">
        <v>5.5360000000000005</v>
      </c>
    </row>
    <row r="967">
      <c r="A967" s="17">
        <v>171.33608110982448</v>
      </c>
      <c r="E967" s="17">
        <v>13.18213449752883</v>
      </c>
      <c r="I967" s="11">
        <v>47.0</v>
      </c>
      <c r="M967" s="16">
        <v>48.0</v>
      </c>
    </row>
    <row r="968">
      <c r="A968" s="17">
        <v>3.2707131914893632</v>
      </c>
      <c r="E968" s="17">
        <v>401.23443663055133</v>
      </c>
      <c r="I968" s="11">
        <v>40.0</v>
      </c>
      <c r="M968" s="16">
        <v>1.192</v>
      </c>
    </row>
    <row r="969">
      <c r="A969" s="17">
        <v>81.22121549774245</v>
      </c>
      <c r="E969" s="17">
        <v>3.2163253038674076</v>
      </c>
      <c r="I969" s="11">
        <v>32.0</v>
      </c>
      <c r="M969" s="16">
        <v>11.488</v>
      </c>
    </row>
    <row r="970">
      <c r="A970" s="17">
        <v>154.75735171829504</v>
      </c>
      <c r="E970" s="17">
        <v>6.1538690301003305</v>
      </c>
      <c r="I970" s="11">
        <v>48.0</v>
      </c>
      <c r="M970" s="16">
        <v>4.904</v>
      </c>
    </row>
    <row r="971">
      <c r="A971" s="17">
        <v>204.1343165374988</v>
      </c>
      <c r="E971" s="17">
        <v>106.23378149916155</v>
      </c>
      <c r="I971" s="11">
        <v>32.0</v>
      </c>
      <c r="M971" s="16">
        <v>41.552</v>
      </c>
    </row>
    <row r="972">
      <c r="A972" s="17">
        <v>592.5956438749172</v>
      </c>
      <c r="E972" s="17">
        <v>13.30595299760191</v>
      </c>
      <c r="I972" s="11">
        <v>18.0</v>
      </c>
      <c r="M972" s="16">
        <v>88.16000000000001</v>
      </c>
    </row>
    <row r="973">
      <c r="A973" s="17">
        <v>5.505328301886794</v>
      </c>
      <c r="E973" s="17">
        <v>11.257183882783877</v>
      </c>
      <c r="I973" s="11">
        <v>33.0</v>
      </c>
      <c r="M973" s="16">
        <v>0.5599999999999999</v>
      </c>
    </row>
    <row r="974">
      <c r="A974" s="17">
        <v>455.3942814902763</v>
      </c>
      <c r="E974" s="17">
        <v>1.4083208590604095</v>
      </c>
      <c r="I974" s="11">
        <v>44.0</v>
      </c>
      <c r="M974" s="16">
        <v>19.592</v>
      </c>
    </row>
    <row r="975">
      <c r="A975" s="17">
        <v>5.129016798493406</v>
      </c>
      <c r="E975" s="17">
        <v>3.4303664921465917</v>
      </c>
      <c r="I975" s="11">
        <v>9.0</v>
      </c>
      <c r="M975" s="16">
        <v>2.696</v>
      </c>
    </row>
    <row r="976">
      <c r="A976" s="17">
        <v>13.121915212716234</v>
      </c>
      <c r="E976" s="17">
        <v>124.61505313432836</v>
      </c>
      <c r="I976" s="11">
        <v>20.0</v>
      </c>
      <c r="M976" s="16">
        <v>3.8560000000000003</v>
      </c>
    </row>
    <row r="977">
      <c r="A977" s="17">
        <v>174.83473836805317</v>
      </c>
      <c r="E977" s="17">
        <v>14.975109431051125</v>
      </c>
      <c r="I977" s="11">
        <v>50.0</v>
      </c>
      <c r="M977" s="16">
        <v>29.288</v>
      </c>
    </row>
    <row r="978">
      <c r="A978" s="17">
        <v>12.507623013698643</v>
      </c>
      <c r="E978" s="17">
        <v>13.118321448002673</v>
      </c>
      <c r="I978" s="11">
        <v>15.0</v>
      </c>
      <c r="M978" s="16">
        <v>5.016</v>
      </c>
    </row>
    <row r="979">
      <c r="A979" s="17">
        <v>20.744994267100985</v>
      </c>
      <c r="E979" s="17">
        <v>184.6820097331769</v>
      </c>
      <c r="I979" s="11">
        <v>33.0</v>
      </c>
      <c r="M979" s="16">
        <v>7.4959999999999996</v>
      </c>
    </row>
    <row r="980">
      <c r="A980" s="17">
        <v>26.50802164273403</v>
      </c>
      <c r="E980" s="17">
        <v>15.300148934993082</v>
      </c>
      <c r="I980" s="11">
        <v>29.0</v>
      </c>
      <c r="M980" s="16">
        <v>3.192</v>
      </c>
    </row>
    <row r="981">
      <c r="A981" s="17">
        <v>3.8096523364485937</v>
      </c>
      <c r="E981" s="17">
        <v>7.257756097560972</v>
      </c>
      <c r="I981" s="11">
        <v>32.0</v>
      </c>
      <c r="M981" s="16">
        <v>5.32</v>
      </c>
    </row>
    <row r="982">
      <c r="A982" s="17">
        <v>32.93039426294821</v>
      </c>
      <c r="E982" s="17">
        <v>496.97405591445516</v>
      </c>
      <c r="I982" s="11">
        <v>27.0</v>
      </c>
      <c r="M982" s="16">
        <v>3.608</v>
      </c>
    </row>
    <row r="983">
      <c r="A983" s="17">
        <v>117.29976522971879</v>
      </c>
      <c r="E983" s="17">
        <v>4.0614211932324125</v>
      </c>
      <c r="I983" s="11">
        <v>12.0</v>
      </c>
      <c r="M983" s="16">
        <v>4.736</v>
      </c>
    </row>
    <row r="984">
      <c r="A984" s="17">
        <v>9.259669869346752</v>
      </c>
      <c r="E984" s="17">
        <v>15.160210268582128</v>
      </c>
      <c r="I984" s="11">
        <v>8.0</v>
      </c>
      <c r="M984" s="16">
        <v>6.064</v>
      </c>
    </row>
    <row r="985">
      <c r="A985" s="17">
        <v>35.06796658180101</v>
      </c>
      <c r="E985" s="17">
        <v>526.0498659685865</v>
      </c>
      <c r="I985" s="11">
        <v>40.0</v>
      </c>
      <c r="M985" s="16">
        <v>1.6239999999999999</v>
      </c>
    </row>
    <row r="986">
      <c r="A986" s="17">
        <v>2.8764496785110016</v>
      </c>
      <c r="E986" s="17">
        <v>43.81164849171052</v>
      </c>
      <c r="I986" s="11">
        <v>15.0</v>
      </c>
      <c r="M986" s="16">
        <v>0.568</v>
      </c>
    </row>
    <row r="987">
      <c r="A987" s="17">
        <v>747.7286295200328</v>
      </c>
      <c r="E987" s="17">
        <v>99.5987928472592</v>
      </c>
      <c r="I987" s="11">
        <v>46.0</v>
      </c>
      <c r="M987" s="16">
        <v>34.656</v>
      </c>
    </row>
    <row r="988">
      <c r="A988" s="17">
        <v>2.44652964252978</v>
      </c>
      <c r="E988" s="17">
        <v>8.51186991869919</v>
      </c>
      <c r="I988" s="11">
        <v>9.0</v>
      </c>
      <c r="M988" s="16">
        <v>4.896000000000001</v>
      </c>
    </row>
    <row r="989">
      <c r="A989" s="17">
        <v>5.378908294736846</v>
      </c>
      <c r="E989" s="17">
        <v>7.537324631447648</v>
      </c>
      <c r="I989" s="11">
        <v>11.0</v>
      </c>
      <c r="M989" s="16">
        <v>5.016</v>
      </c>
    </row>
    <row r="990">
      <c r="A990" s="17">
        <v>110.90573877283977</v>
      </c>
      <c r="E990" s="17">
        <v>126.65155156950688</v>
      </c>
      <c r="I990" s="11">
        <v>16.0</v>
      </c>
      <c r="M990" s="16">
        <v>56.160000000000004</v>
      </c>
    </row>
    <row r="991">
      <c r="A991" s="17">
        <v>12.539542538699651</v>
      </c>
      <c r="E991" s="17">
        <v>5.172752043596738</v>
      </c>
      <c r="I991" s="11">
        <v>29.0</v>
      </c>
      <c r="M991" s="16">
        <v>7.192</v>
      </c>
    </row>
    <row r="992">
      <c r="A992" s="17">
        <v>293.5192679575994</v>
      </c>
      <c r="E992" s="17">
        <v>13.040784643431639</v>
      </c>
      <c r="I992" s="11">
        <v>31.0</v>
      </c>
      <c r="M992" s="16">
        <v>6.152000000000001</v>
      </c>
    </row>
    <row r="993">
      <c r="A993" s="17">
        <v>59.70119383046523</v>
      </c>
      <c r="E993" s="17">
        <v>4.342558226164082</v>
      </c>
      <c r="I993" s="11">
        <v>18.0</v>
      </c>
      <c r="M993" s="16">
        <v>6.152000000000001</v>
      </c>
    </row>
    <row r="994">
      <c r="A994" s="17">
        <v>137.0592816100628</v>
      </c>
      <c r="E994" s="17">
        <v>382.4872824553811</v>
      </c>
      <c r="I994" s="11">
        <v>15.0</v>
      </c>
      <c r="M994" s="16">
        <v>19.592</v>
      </c>
    </row>
    <row r="995">
      <c r="A995" s="17">
        <v>336.66233909894424</v>
      </c>
      <c r="E995" s="17">
        <v>5.333333333333339</v>
      </c>
      <c r="I995" s="11">
        <v>11.0</v>
      </c>
      <c r="M995" s="16">
        <v>47.160000000000004</v>
      </c>
    </row>
    <row r="996">
      <c r="A996" s="17">
        <v>4.00846911838791</v>
      </c>
      <c r="E996" s="17">
        <v>3.6580621241379347</v>
      </c>
      <c r="I996" s="11">
        <v>10.0</v>
      </c>
      <c r="M996" s="16">
        <v>3.176</v>
      </c>
    </row>
    <row r="997">
      <c r="A997" s="17">
        <v>29.08493742267057</v>
      </c>
      <c r="E997" s="17">
        <v>13.859484340859419</v>
      </c>
      <c r="I997" s="11">
        <v>50.0</v>
      </c>
      <c r="M997" s="16">
        <v>1.0</v>
      </c>
    </row>
    <row r="998">
      <c r="A998" s="17">
        <v>21.050524342857138</v>
      </c>
      <c r="E998" s="17">
        <v>9.868354419817443</v>
      </c>
      <c r="I998" s="11">
        <v>40.0</v>
      </c>
      <c r="M998" s="16">
        <v>1.072</v>
      </c>
    </row>
    <row r="999">
      <c r="A999" s="17">
        <v>28.67179218730745</v>
      </c>
      <c r="E999" s="17">
        <v>10.65737481481485</v>
      </c>
      <c r="I999" s="11">
        <v>8.0</v>
      </c>
      <c r="M999" s="16">
        <v>7.216</v>
      </c>
    </row>
    <row r="1000">
      <c r="A1000" s="17">
        <v>47.48572019740157</v>
      </c>
      <c r="E1000" s="17">
        <v>161.78679042285316</v>
      </c>
      <c r="I1000" s="11">
        <v>50.0</v>
      </c>
      <c r="M1000" s="16">
        <v>2.8960000000000004</v>
      </c>
    </row>
    <row r="1001">
      <c r="A1001" s="17">
        <v>33.06161642280947</v>
      </c>
      <c r="E1001" s="17">
        <v>3.2310671186440705</v>
      </c>
      <c r="I1001" s="11">
        <v>10.0</v>
      </c>
      <c r="M1001" s="16">
        <v>13.664</v>
      </c>
    </row>
    <row r="1002">
      <c r="A1002" s="17">
        <v>11.363881401617256</v>
      </c>
      <c r="E1002" s="17">
        <v>17.019995644970404</v>
      </c>
      <c r="I1002" s="11">
        <v>4.0</v>
      </c>
      <c r="M1002" s="16">
        <v>4.4</v>
      </c>
    </row>
    <row r="1003">
      <c r="A1003" s="17">
        <v>224.65451006811918</v>
      </c>
      <c r="E1003" s="17">
        <v>13.364468063812716</v>
      </c>
      <c r="I1003" s="11">
        <v>44.0</v>
      </c>
      <c r="M1003" s="16">
        <v>8.6</v>
      </c>
    </row>
    <row r="1004">
      <c r="A1004" s="17">
        <v>40.10949117419784</v>
      </c>
      <c r="E1004" s="17">
        <v>15.183844845814969</v>
      </c>
      <c r="I1004" s="11">
        <v>46.0</v>
      </c>
      <c r="M1004" s="16">
        <v>4.648</v>
      </c>
    </row>
    <row r="1005">
      <c r="A1005" s="17">
        <v>222.09516214917429</v>
      </c>
      <c r="E1005" s="17">
        <v>10.49057105280639</v>
      </c>
      <c r="I1005" s="11">
        <v>49.0</v>
      </c>
      <c r="M1005" s="16">
        <v>3.2</v>
      </c>
    </row>
    <row r="1006">
      <c r="A1006" s="17">
        <v>10.896742312316494</v>
      </c>
      <c r="E1006" s="17">
        <v>15.312684910714298</v>
      </c>
      <c r="I1006" s="11">
        <v>28.0</v>
      </c>
      <c r="M1006" s="16">
        <v>7.032</v>
      </c>
    </row>
    <row r="1007">
      <c r="A1007" s="17">
        <v>174.22177177295555</v>
      </c>
      <c r="E1007" s="17">
        <v>7.774947945205488</v>
      </c>
      <c r="I1007" s="11">
        <v>20.0</v>
      </c>
      <c r="M1007" s="16">
        <v>17.008000000000003</v>
      </c>
    </row>
    <row r="1008">
      <c r="A1008" s="17">
        <v>43.387852826052864</v>
      </c>
      <c r="E1008" s="17">
        <v>19.961975861271654</v>
      </c>
      <c r="I1008" s="11">
        <v>26.0</v>
      </c>
      <c r="M1008" s="16">
        <v>12.08</v>
      </c>
    </row>
    <row r="1009">
      <c r="A1009" s="17">
        <v>168.54406215838145</v>
      </c>
      <c r="E1009" s="17">
        <v>66.17857819171243</v>
      </c>
      <c r="I1009" s="11">
        <v>19.0</v>
      </c>
      <c r="M1009" s="16">
        <v>28.672000000000004</v>
      </c>
    </row>
    <row r="1010">
      <c r="A1010" s="17">
        <v>24.26766215585626</v>
      </c>
      <c r="E1010" s="17">
        <v>13.561878467635399</v>
      </c>
      <c r="I1010" s="11">
        <v>46.0</v>
      </c>
      <c r="M1010" s="16">
        <v>39.2</v>
      </c>
    </row>
    <row r="1011">
      <c r="A1011" s="17">
        <v>8.25336003388394</v>
      </c>
      <c r="E1011" s="17">
        <v>10.993502702702708</v>
      </c>
      <c r="I1011" s="11">
        <v>11.0</v>
      </c>
      <c r="M1011" s="16">
        <v>5.336</v>
      </c>
    </row>
    <row r="1012">
      <c r="A1012" s="17">
        <v>42.54384714042667</v>
      </c>
      <c r="E1012" s="17">
        <v>9.298265375901135</v>
      </c>
      <c r="I1012" s="11">
        <v>20.0</v>
      </c>
      <c r="M1012" s="16">
        <v>0.8800000000000001</v>
      </c>
    </row>
    <row r="1013">
      <c r="A1013" s="17">
        <v>184.6361319618747</v>
      </c>
      <c r="E1013" s="17">
        <v>102.77237711583898</v>
      </c>
      <c r="I1013" s="11">
        <v>35.0</v>
      </c>
      <c r="M1013" s="16">
        <v>28.712000000000003</v>
      </c>
    </row>
    <row r="1014">
      <c r="A1014" s="17">
        <v>1.8360246669771534</v>
      </c>
      <c r="E1014" s="17">
        <v>8.086201328990246</v>
      </c>
      <c r="I1014" s="11">
        <v>10.0</v>
      </c>
      <c r="M1014" s="16">
        <v>3.848</v>
      </c>
    </row>
    <row r="1015">
      <c r="A1015" s="17">
        <v>7.450554870530207</v>
      </c>
      <c r="E1015" s="17">
        <v>43.02340162171107</v>
      </c>
      <c r="I1015" s="11">
        <v>40.0</v>
      </c>
      <c r="M1015" s="16">
        <v>0.8</v>
      </c>
    </row>
    <row r="1016">
      <c r="A1016" s="17">
        <v>29.170359442060114</v>
      </c>
      <c r="E1016" s="17">
        <v>4.763305555555558</v>
      </c>
      <c r="I1016" s="11">
        <v>11.0</v>
      </c>
      <c r="M1016" s="16">
        <v>3.2</v>
      </c>
    </row>
    <row r="1017">
      <c r="A1017" s="17">
        <v>20.24812978328174</v>
      </c>
      <c r="E1017" s="17">
        <v>32.86739427436967</v>
      </c>
      <c r="I1017" s="11">
        <v>10.0</v>
      </c>
      <c r="M1017" s="16">
        <v>4.616</v>
      </c>
    </row>
    <row r="1018">
      <c r="A1018" s="17">
        <v>365.26369000654614</v>
      </c>
      <c r="E1018" s="17">
        <v>27.603919161425562</v>
      </c>
      <c r="I1018" s="11">
        <v>18.0</v>
      </c>
      <c r="M1018" s="16">
        <v>15.991999999999999</v>
      </c>
    </row>
    <row r="1019">
      <c r="A1019" s="17">
        <v>28.217691086414163</v>
      </c>
      <c r="E1019" s="17">
        <v>34.06706793214514</v>
      </c>
      <c r="I1019" s="11">
        <v>24.0</v>
      </c>
      <c r="M1019" s="16">
        <v>5.0</v>
      </c>
    </row>
    <row r="1020">
      <c r="A1020" s="17">
        <v>172.9057728220735</v>
      </c>
      <c r="E1020" s="17">
        <v>121.87053947903944</v>
      </c>
      <c r="I1020" s="11">
        <v>30.0</v>
      </c>
      <c r="M1020" s="16">
        <v>28.872000000000003</v>
      </c>
    </row>
    <row r="1021">
      <c r="A1021" s="17">
        <v>170.3247732346343</v>
      </c>
      <c r="E1021" s="17">
        <v>85.62981760507549</v>
      </c>
      <c r="I1021" s="11">
        <v>26.0</v>
      </c>
      <c r="M1021" s="16">
        <v>56.160000000000004</v>
      </c>
    </row>
    <row r="1022">
      <c r="A1022" s="17">
        <v>11.587496421052641</v>
      </c>
      <c r="E1022" s="17">
        <v>372.9780197346038</v>
      </c>
      <c r="I1022" s="11">
        <v>12.0</v>
      </c>
      <c r="M1022" s="16">
        <v>4.976</v>
      </c>
    </row>
    <row r="1023">
      <c r="A1023" s="17">
        <v>13.13594570932251</v>
      </c>
      <c r="E1023" s="17">
        <v>16.048998234843435</v>
      </c>
      <c r="I1023" s="11">
        <v>44.0</v>
      </c>
      <c r="M1023" s="16">
        <v>4.376</v>
      </c>
    </row>
    <row r="1024">
      <c r="A1024" s="17">
        <v>11.970967106764459</v>
      </c>
      <c r="E1024" s="17">
        <v>180.91326995351812</v>
      </c>
      <c r="I1024" s="11">
        <v>48.0</v>
      </c>
      <c r="M1024" s="16">
        <v>3.6560000000000006</v>
      </c>
    </row>
    <row r="1025">
      <c r="A1025" s="17">
        <v>35.709818012615756</v>
      </c>
      <c r="E1025" s="17">
        <v>5.206398483412314</v>
      </c>
      <c r="I1025" s="11">
        <v>19.0</v>
      </c>
      <c r="M1025" s="16">
        <v>41.552</v>
      </c>
    </row>
    <row r="1026">
      <c r="A1026" s="17">
        <v>4.589848272921107</v>
      </c>
      <c r="E1026" s="17">
        <v>8.80941542662114</v>
      </c>
      <c r="I1026" s="11">
        <v>3.0</v>
      </c>
      <c r="M1026" s="16">
        <v>3.192</v>
      </c>
    </row>
    <row r="1027">
      <c r="A1027" s="17">
        <v>471.21383688540595</v>
      </c>
      <c r="E1027" s="17">
        <v>191.83852453347916</v>
      </c>
      <c r="I1027" s="11">
        <v>22.0</v>
      </c>
      <c r="M1027" s="16">
        <v>9.0</v>
      </c>
    </row>
    <row r="1028">
      <c r="A1028" s="17">
        <v>21.41922365988914</v>
      </c>
      <c r="E1028" s="17">
        <v>5.081513444933927</v>
      </c>
      <c r="I1028" s="11">
        <v>46.0</v>
      </c>
      <c r="M1028" s="16">
        <v>4.0</v>
      </c>
    </row>
    <row r="1029">
      <c r="A1029" s="17">
        <v>157.20800538588645</v>
      </c>
      <c r="E1029" s="17">
        <v>8.447640995024875</v>
      </c>
      <c r="I1029" s="11">
        <v>38.0</v>
      </c>
      <c r="M1029" s="16">
        <v>28.0</v>
      </c>
    </row>
    <row r="1030">
      <c r="A1030" s="17">
        <v>2.8444148936170226</v>
      </c>
      <c r="E1030" s="17">
        <v>9.205563743572128</v>
      </c>
      <c r="I1030" s="11">
        <v>11.0</v>
      </c>
      <c r="M1030" s="16">
        <v>0.4</v>
      </c>
    </row>
    <row r="1031">
      <c r="A1031" s="17">
        <v>51.262880263125815</v>
      </c>
      <c r="E1031" s="17">
        <v>60.32728997082117</v>
      </c>
      <c r="I1031" s="11">
        <v>31.0</v>
      </c>
      <c r="M1031" s="16">
        <v>10.928</v>
      </c>
    </row>
    <row r="1032">
      <c r="A1032" s="17">
        <v>49.690189481029165</v>
      </c>
      <c r="E1032" s="17">
        <v>5.926270800000008</v>
      </c>
      <c r="I1032" s="11">
        <v>50.0</v>
      </c>
      <c r="M1032" s="16">
        <v>3.9840000000000004</v>
      </c>
    </row>
    <row r="1033">
      <c r="A1033" s="17">
        <v>415.2670621110365</v>
      </c>
      <c r="E1033" s="17">
        <v>7.530573837837806</v>
      </c>
      <c r="I1033" s="11">
        <v>18.0</v>
      </c>
      <c r="M1033" s="16">
        <v>21.224000000000004</v>
      </c>
    </row>
    <row r="1034">
      <c r="A1034" s="17">
        <v>3.401361663778172</v>
      </c>
      <c r="E1034" s="17">
        <v>5.517168278529981</v>
      </c>
      <c r="I1034" s="11">
        <v>41.0</v>
      </c>
      <c r="M1034" s="16">
        <v>1.192</v>
      </c>
    </row>
    <row r="1035">
      <c r="A1035" s="17">
        <v>12.38651852660299</v>
      </c>
      <c r="E1035" s="17">
        <v>895.878684804554</v>
      </c>
      <c r="I1035" s="11">
        <v>41.0</v>
      </c>
      <c r="M1035" s="16">
        <v>5.824000000000001</v>
      </c>
    </row>
    <row r="1036">
      <c r="A1036" s="17">
        <v>220.33247346035455</v>
      </c>
      <c r="E1036" s="17">
        <v>192.7872997771552</v>
      </c>
      <c r="I1036" s="11">
        <v>44.0</v>
      </c>
      <c r="M1036" s="16">
        <v>2.8000000000000003</v>
      </c>
    </row>
    <row r="1037">
      <c r="A1037" s="17">
        <v>282.17511908139517</v>
      </c>
      <c r="E1037" s="17">
        <v>10.210725552050464</v>
      </c>
      <c r="I1037" s="11">
        <v>21.0</v>
      </c>
      <c r="M1037" s="16">
        <v>19.592</v>
      </c>
    </row>
    <row r="1038">
      <c r="A1038" s="17">
        <v>62.45432093190455</v>
      </c>
      <c r="E1038" s="17">
        <v>20.72064000000001</v>
      </c>
      <c r="I1038" s="11">
        <v>46.0</v>
      </c>
      <c r="M1038" s="16">
        <v>15.608000000000002</v>
      </c>
    </row>
    <row r="1039">
      <c r="A1039" s="17">
        <v>6.778599946879147</v>
      </c>
      <c r="E1039" s="17">
        <v>10.228489574944094</v>
      </c>
      <c r="I1039" s="11">
        <v>14.0</v>
      </c>
      <c r="M1039" s="16">
        <v>0.568</v>
      </c>
    </row>
    <row r="1040">
      <c r="A1040" s="17">
        <v>77.64337718481642</v>
      </c>
      <c r="E1040" s="17">
        <v>0.9863760217983789</v>
      </c>
      <c r="I1040" s="11">
        <v>44.0</v>
      </c>
      <c r="M1040" s="16">
        <v>7.192</v>
      </c>
    </row>
    <row r="1041">
      <c r="A1041" s="17">
        <v>273.00047311181027</v>
      </c>
      <c r="E1041" s="17">
        <v>47.83629704399891</v>
      </c>
      <c r="I1041" s="11">
        <v>20.0</v>
      </c>
      <c r="M1041" s="16">
        <v>15.991999999999999</v>
      </c>
    </row>
    <row r="1042">
      <c r="A1042" s="17">
        <v>35.1389512750266</v>
      </c>
      <c r="E1042" s="17">
        <v>22.376586690234205</v>
      </c>
      <c r="I1042" s="11">
        <v>19.0</v>
      </c>
      <c r="M1042" s="16">
        <v>0.792</v>
      </c>
    </row>
    <row r="1043">
      <c r="A1043" s="17">
        <v>7.641494885977662</v>
      </c>
      <c r="E1043" s="17">
        <v>88.49192845027186</v>
      </c>
      <c r="I1043" s="11">
        <v>47.0</v>
      </c>
      <c r="M1043" s="16">
        <v>0.752</v>
      </c>
    </row>
    <row r="1044">
      <c r="A1044" s="17">
        <v>14.849589966232534</v>
      </c>
      <c r="E1044" s="17">
        <v>192.9781552317443</v>
      </c>
      <c r="I1044" s="11">
        <v>17.0</v>
      </c>
      <c r="M1044" s="16">
        <v>4.2</v>
      </c>
    </row>
    <row r="1045">
      <c r="A1045" s="17">
        <v>4.041046979865765</v>
      </c>
      <c r="E1045" s="17">
        <v>17.931906952858615</v>
      </c>
      <c r="I1045" s="11">
        <v>24.0</v>
      </c>
      <c r="M1045" s="16">
        <v>4.84</v>
      </c>
    </row>
    <row r="1046">
      <c r="A1046" s="17">
        <v>48.1519289224763</v>
      </c>
      <c r="E1046" s="17">
        <v>4.104536312849149</v>
      </c>
      <c r="I1046" s="11">
        <v>39.0</v>
      </c>
      <c r="M1046" s="16">
        <v>1.592</v>
      </c>
    </row>
    <row r="1047">
      <c r="A1047" s="17">
        <v>8.968373642213628</v>
      </c>
      <c r="E1047" s="17">
        <v>0.9566836363636355</v>
      </c>
      <c r="I1047" s="11">
        <v>39.0</v>
      </c>
      <c r="M1047" s="16">
        <v>1.544</v>
      </c>
    </row>
    <row r="1048">
      <c r="A1048" s="17">
        <v>12.691382967430627</v>
      </c>
      <c r="E1048" s="17">
        <v>9.467980800000007</v>
      </c>
      <c r="I1048" s="11">
        <v>23.0</v>
      </c>
      <c r="M1048" s="16">
        <v>4.752000000000001</v>
      </c>
    </row>
    <row r="1049">
      <c r="A1049" s="17">
        <v>1.7807126045694497</v>
      </c>
      <c r="E1049" s="17">
        <v>6.216540511770725</v>
      </c>
      <c r="I1049" s="11">
        <v>9.0</v>
      </c>
      <c r="M1049" s="16">
        <v>4.608</v>
      </c>
    </row>
    <row r="1050">
      <c r="A1050" s="17">
        <v>30.5287659874215</v>
      </c>
      <c r="E1050" s="17">
        <v>0.601204705882357</v>
      </c>
      <c r="I1050" s="11">
        <v>34.0</v>
      </c>
      <c r="M1050" s="16">
        <v>6.944</v>
      </c>
    </row>
    <row r="1051">
      <c r="A1051" s="17">
        <v>140.376345371459</v>
      </c>
      <c r="E1051" s="17">
        <v>8.195493383458652</v>
      </c>
      <c r="I1051" s="11">
        <v>36.0</v>
      </c>
      <c r="M1051" s="16">
        <v>7.192</v>
      </c>
    </row>
    <row r="1052">
      <c r="A1052" s="17">
        <v>61.051787029609585</v>
      </c>
      <c r="E1052" s="17">
        <v>6.10612437832093</v>
      </c>
      <c r="I1052" s="11">
        <v>17.0</v>
      </c>
      <c r="M1052" s="16">
        <v>19.592</v>
      </c>
    </row>
    <row r="1053">
      <c r="A1053" s="17">
        <v>53.39534099590552</v>
      </c>
      <c r="E1053" s="17">
        <v>85.17930882496854</v>
      </c>
      <c r="I1053" s="11">
        <v>49.0</v>
      </c>
      <c r="M1053" s="16">
        <v>3.136</v>
      </c>
    </row>
    <row r="1054">
      <c r="A1054" s="17">
        <v>3.221419354838705</v>
      </c>
      <c r="E1054" s="17">
        <v>4.535739099099094</v>
      </c>
      <c r="I1054" s="11">
        <v>17.0</v>
      </c>
      <c r="M1054" s="16">
        <v>1.08</v>
      </c>
    </row>
    <row r="1055">
      <c r="A1055" s="17">
        <v>2.958524327176784</v>
      </c>
      <c r="E1055" s="17">
        <v>9.80380807311502</v>
      </c>
      <c r="I1055" s="11">
        <v>7.0</v>
      </c>
      <c r="M1055" s="16">
        <v>4.816</v>
      </c>
    </row>
    <row r="1056">
      <c r="A1056" s="17">
        <v>16.633286236297195</v>
      </c>
      <c r="E1056" s="17">
        <v>152.1966704288941</v>
      </c>
      <c r="I1056" s="11">
        <v>38.0</v>
      </c>
      <c r="M1056" s="16">
        <v>4.16</v>
      </c>
    </row>
    <row r="1057">
      <c r="A1057" s="17">
        <v>8.736446854219945</v>
      </c>
      <c r="E1057" s="17">
        <v>66.40172670260124</v>
      </c>
      <c r="I1057" s="11">
        <v>37.0</v>
      </c>
      <c r="M1057" s="16">
        <v>3.608</v>
      </c>
    </row>
    <row r="1058">
      <c r="A1058" s="17">
        <v>0.9315754913294826</v>
      </c>
      <c r="E1058" s="17">
        <v>24.835432645671233</v>
      </c>
      <c r="I1058" s="11">
        <v>2.0</v>
      </c>
      <c r="M1058" s="16">
        <v>1.1119999999999999</v>
      </c>
    </row>
    <row r="1059">
      <c r="A1059" s="17">
        <v>10.625620319654415</v>
      </c>
      <c r="E1059" s="17">
        <v>27.092512947306542</v>
      </c>
      <c r="I1059" s="11">
        <v>48.0</v>
      </c>
      <c r="M1059" s="16">
        <v>4.336</v>
      </c>
    </row>
    <row r="1060">
      <c r="A1060" s="17">
        <v>26.06301092402466</v>
      </c>
      <c r="E1060" s="17">
        <v>17.969123092477005</v>
      </c>
      <c r="I1060" s="11">
        <v>34.0</v>
      </c>
      <c r="M1060" s="16">
        <v>1.1119999999999999</v>
      </c>
    </row>
    <row r="1061">
      <c r="A1061" s="17">
        <v>153.1644884095809</v>
      </c>
      <c r="E1061" s="17">
        <v>15.616678655178152</v>
      </c>
      <c r="I1061" s="11">
        <v>34.0</v>
      </c>
      <c r="M1061" s="16">
        <v>11.76</v>
      </c>
    </row>
    <row r="1062">
      <c r="A1062" s="17">
        <v>7.600748596381784</v>
      </c>
      <c r="E1062" s="17">
        <v>16.624784441142538</v>
      </c>
      <c r="I1062" s="11">
        <v>31.0</v>
      </c>
      <c r="M1062" s="16">
        <v>0.4</v>
      </c>
    </row>
    <row r="1063">
      <c r="A1063" s="17">
        <v>15.168753128515759</v>
      </c>
      <c r="E1063" s="17">
        <v>3.8925985748218555</v>
      </c>
      <c r="I1063" s="11">
        <v>14.0</v>
      </c>
      <c r="M1063" s="16">
        <v>5.784000000000001</v>
      </c>
    </row>
    <row r="1064">
      <c r="A1064" s="17">
        <v>7.557638918918926</v>
      </c>
      <c r="E1064" s="17">
        <v>752.9130064287606</v>
      </c>
      <c r="I1064" s="11">
        <v>10.0</v>
      </c>
      <c r="M1064" s="16">
        <v>4.216</v>
      </c>
    </row>
    <row r="1065">
      <c r="A1065" s="17">
        <v>5.261178695652172</v>
      </c>
      <c r="E1065" s="17">
        <v>2.013160903581296</v>
      </c>
      <c r="I1065" s="11">
        <v>20.0</v>
      </c>
      <c r="M1065" s="16">
        <v>1.736</v>
      </c>
    </row>
    <row r="1066">
      <c r="A1066" s="17">
        <v>19.502789350791108</v>
      </c>
      <c r="E1066" s="17">
        <v>4.0874493623890364</v>
      </c>
      <c r="I1066" s="11">
        <v>39.0</v>
      </c>
      <c r="M1066" s="16">
        <v>6.632</v>
      </c>
    </row>
    <row r="1067">
      <c r="A1067" s="17">
        <v>24.777378324022347</v>
      </c>
      <c r="E1067" s="17">
        <v>0.9193548387096774</v>
      </c>
      <c r="I1067" s="11">
        <v>36.0</v>
      </c>
      <c r="M1067" s="16">
        <v>7.152</v>
      </c>
    </row>
    <row r="1068">
      <c r="A1068" s="17">
        <v>2.930966896551723</v>
      </c>
      <c r="E1068" s="17">
        <v>64.1668221524891</v>
      </c>
      <c r="I1068" s="11">
        <v>18.0</v>
      </c>
      <c r="M1068" s="16">
        <v>3.6560000000000006</v>
      </c>
    </row>
    <row r="1069">
      <c r="A1069" s="17">
        <v>33.44397038366611</v>
      </c>
      <c r="E1069" s="17">
        <v>423.08982175677863</v>
      </c>
      <c r="I1069" s="11">
        <v>46.0</v>
      </c>
      <c r="M1069" s="16">
        <v>4.4799999999999995</v>
      </c>
    </row>
    <row r="1070">
      <c r="A1070" s="17">
        <v>9.954813046937145</v>
      </c>
      <c r="E1070" s="17">
        <v>37.98006121556625</v>
      </c>
      <c r="I1070" s="11">
        <v>44.0</v>
      </c>
      <c r="M1070" s="16">
        <v>0.4</v>
      </c>
    </row>
    <row r="1071">
      <c r="A1071" s="17">
        <v>2.4978193548387084</v>
      </c>
      <c r="E1071" s="17">
        <v>11.716558844336454</v>
      </c>
      <c r="I1071" s="11">
        <v>5.0</v>
      </c>
      <c r="M1071" s="16">
        <v>3.7600000000000002</v>
      </c>
    </row>
    <row r="1072">
      <c r="A1072" s="17">
        <v>102.00336418679059</v>
      </c>
      <c r="E1072" s="17">
        <v>0.8556242201834876</v>
      </c>
      <c r="I1072" s="11">
        <v>5.0</v>
      </c>
      <c r="M1072" s="16">
        <v>19.592</v>
      </c>
    </row>
    <row r="1073">
      <c r="A1073" s="17">
        <v>8.079459164118235</v>
      </c>
      <c r="E1073" s="17">
        <v>1.5225240000000004</v>
      </c>
      <c r="I1073" s="11">
        <v>12.0</v>
      </c>
      <c r="M1073" s="16">
        <v>2.8160000000000003</v>
      </c>
    </row>
    <row r="1074">
      <c r="A1074" s="17">
        <v>56.81862538468491</v>
      </c>
      <c r="E1074" s="17">
        <v>13.836003725551146</v>
      </c>
      <c r="I1074" s="11">
        <v>35.0</v>
      </c>
      <c r="M1074" s="16">
        <v>29.288</v>
      </c>
    </row>
    <row r="1075">
      <c r="A1075" s="17">
        <v>31.434386726770636</v>
      </c>
      <c r="E1075" s="17">
        <v>242.55934365285492</v>
      </c>
      <c r="I1075" s="11">
        <v>20.0</v>
      </c>
      <c r="M1075" s="16">
        <v>4.4</v>
      </c>
    </row>
    <row r="1076">
      <c r="A1076" s="17">
        <v>2.6166198058252426</v>
      </c>
      <c r="E1076" s="17">
        <v>16.948148148148185</v>
      </c>
      <c r="I1076" s="11">
        <v>2.0</v>
      </c>
      <c r="M1076" s="16">
        <v>6.192</v>
      </c>
    </row>
    <row r="1077">
      <c r="A1077" s="17">
        <v>11.206601249092186</v>
      </c>
      <c r="E1077" s="17">
        <v>317.0068090712431</v>
      </c>
      <c r="I1077" s="11">
        <v>45.0</v>
      </c>
      <c r="M1077" s="16">
        <v>2.696</v>
      </c>
    </row>
    <row r="1078">
      <c r="A1078" s="17">
        <v>7.239552776934764</v>
      </c>
      <c r="E1078" s="17">
        <v>89.41149684456413</v>
      </c>
      <c r="I1078" s="11">
        <v>4.0</v>
      </c>
      <c r="M1078" s="16">
        <v>5.312</v>
      </c>
    </row>
    <row r="1079">
      <c r="A1079" s="17">
        <v>56.86733842769853</v>
      </c>
      <c r="E1079" s="17">
        <v>21.742777593984997</v>
      </c>
      <c r="I1079" s="11">
        <v>3.0</v>
      </c>
      <c r="M1079" s="16">
        <v>19.592</v>
      </c>
    </row>
    <row r="1080">
      <c r="A1080" s="17">
        <v>7.255899228362879</v>
      </c>
      <c r="E1080" s="17">
        <v>26.073709730794477</v>
      </c>
      <c r="I1080" s="11">
        <v>6.0</v>
      </c>
      <c r="M1080" s="16">
        <v>1.592</v>
      </c>
    </row>
    <row r="1081">
      <c r="A1081" s="17">
        <v>12.2057464495114</v>
      </c>
      <c r="E1081" s="17">
        <v>6.318357279596963</v>
      </c>
      <c r="I1081" s="11">
        <v>30.0</v>
      </c>
      <c r="M1081" s="16">
        <v>1.056</v>
      </c>
    </row>
    <row r="1082">
      <c r="A1082" s="17">
        <v>755.803477449233</v>
      </c>
      <c r="E1082" s="17">
        <v>27.19237361427781</v>
      </c>
      <c r="I1082" s="11">
        <v>25.0</v>
      </c>
      <c r="M1082" s="16">
        <v>38.608000000000004</v>
      </c>
    </row>
    <row r="1083">
      <c r="A1083" s="17">
        <v>130.41253294841235</v>
      </c>
      <c r="E1083" s="17">
        <v>1.109431652173913</v>
      </c>
      <c r="I1083" s="11">
        <v>5.0</v>
      </c>
      <c r="M1083" s="16">
        <v>45.6</v>
      </c>
    </row>
    <row r="1084">
      <c r="A1084" s="17">
        <v>13.327331801198401</v>
      </c>
      <c r="E1084" s="17">
        <v>218.10758433523978</v>
      </c>
      <c r="I1084" s="11">
        <v>24.0</v>
      </c>
      <c r="M1084" s="16">
        <v>6.5440000000000005</v>
      </c>
    </row>
    <row r="1085">
      <c r="A1085" s="17">
        <v>19.7957626314005</v>
      </c>
      <c r="E1085" s="17">
        <v>572.135485031036</v>
      </c>
      <c r="I1085" s="11">
        <v>47.0</v>
      </c>
      <c r="M1085" s="16">
        <v>0.96</v>
      </c>
    </row>
    <row r="1086">
      <c r="A1086" s="17">
        <v>12.852453480662984</v>
      </c>
      <c r="E1086" s="17">
        <v>42.29553786868105</v>
      </c>
      <c r="I1086" s="11">
        <v>30.0</v>
      </c>
      <c r="M1086" s="16">
        <v>4.544</v>
      </c>
    </row>
    <row r="1087">
      <c r="A1087" s="17">
        <v>1.7695128994082894</v>
      </c>
      <c r="E1087" s="17">
        <v>35.399362194709276</v>
      </c>
      <c r="I1087" s="11">
        <v>2.0</v>
      </c>
      <c r="M1087" s="16">
        <v>7.064</v>
      </c>
    </row>
    <row r="1088">
      <c r="A1088" s="17">
        <v>32.190012877378564</v>
      </c>
      <c r="E1088" s="17">
        <v>14.290357507190784</v>
      </c>
      <c r="I1088" s="11">
        <v>20.0</v>
      </c>
      <c r="M1088" s="16">
        <v>48.0</v>
      </c>
    </row>
    <row r="1089">
      <c r="A1089" s="17">
        <v>22.031532937870804</v>
      </c>
      <c r="E1089" s="17">
        <v>6.576587906976747</v>
      </c>
      <c r="I1089" s="11">
        <v>47.0</v>
      </c>
      <c r="M1089" s="16">
        <v>0.4</v>
      </c>
    </row>
    <row r="1090">
      <c r="A1090" s="17">
        <v>818.460790384079</v>
      </c>
      <c r="E1090" s="17">
        <v>37.38017173584905</v>
      </c>
      <c r="I1090" s="11">
        <v>14.0</v>
      </c>
      <c r="M1090" s="16">
        <v>35.64</v>
      </c>
    </row>
    <row r="1091">
      <c r="A1091" s="17">
        <v>1.971461366459618</v>
      </c>
      <c r="E1091" s="17">
        <v>385.0420133542592</v>
      </c>
      <c r="I1091" s="11">
        <v>14.0</v>
      </c>
      <c r="M1091" s="16">
        <v>3.608</v>
      </c>
    </row>
    <row r="1092">
      <c r="A1092" s="17">
        <v>17.08870984357948</v>
      </c>
      <c r="E1092" s="17">
        <v>7.50541590948651</v>
      </c>
      <c r="I1092" s="11">
        <v>30.0</v>
      </c>
      <c r="M1092" s="16">
        <v>1.592</v>
      </c>
    </row>
    <row r="1093">
      <c r="A1093" s="17">
        <v>45.57125083259451</v>
      </c>
      <c r="E1093" s="17">
        <v>429.12757544224763</v>
      </c>
      <c r="I1093" s="11">
        <v>43.0</v>
      </c>
      <c r="M1093" s="16">
        <v>3.9200000000000004</v>
      </c>
    </row>
    <row r="1094">
      <c r="A1094" s="17">
        <v>8.770728146639515</v>
      </c>
      <c r="E1094" s="17">
        <v>806.838596003792</v>
      </c>
      <c r="I1094" s="11">
        <v>48.0</v>
      </c>
      <c r="M1094" s="16">
        <v>2.064</v>
      </c>
    </row>
    <row r="1095">
      <c r="A1095" s="17">
        <v>0.8980924822695024</v>
      </c>
      <c r="E1095" s="17">
        <v>4.762881438202247</v>
      </c>
      <c r="I1095" s="11">
        <v>2.0</v>
      </c>
      <c r="M1095" s="16">
        <v>1.336</v>
      </c>
    </row>
    <row r="1096">
      <c r="A1096" s="17">
        <v>12.203003231324843</v>
      </c>
      <c r="E1096" s="17">
        <v>1.4331988998035288</v>
      </c>
      <c r="I1096" s="11">
        <v>38.0</v>
      </c>
      <c r="M1096" s="16">
        <v>4.4</v>
      </c>
    </row>
    <row r="1097">
      <c r="A1097" s="17">
        <v>16.01094484822576</v>
      </c>
      <c r="E1097" s="17">
        <v>2.1886315789473723</v>
      </c>
      <c r="I1097" s="11">
        <v>4.0</v>
      </c>
      <c r="M1097" s="16">
        <v>48.0</v>
      </c>
    </row>
    <row r="1098">
      <c r="A1098" s="17">
        <v>9.511020000000006</v>
      </c>
      <c r="E1098" s="17">
        <v>10.453866785317013</v>
      </c>
      <c r="I1098" s="11">
        <v>21.0</v>
      </c>
      <c r="M1098" s="16">
        <v>4.208</v>
      </c>
    </row>
    <row r="1099">
      <c r="A1099" s="17">
        <v>2.898916363636367</v>
      </c>
      <c r="E1099" s="17">
        <v>5.498411511991666</v>
      </c>
      <c r="I1099" s="11">
        <v>5.0</v>
      </c>
      <c r="M1099" s="16">
        <v>1.592</v>
      </c>
    </row>
    <row r="1100">
      <c r="A1100" s="17">
        <v>172.3921983983937</v>
      </c>
      <c r="E1100" s="17">
        <v>17.73294068153135</v>
      </c>
      <c r="I1100" s="11">
        <v>27.0</v>
      </c>
      <c r="M1100" s="16">
        <v>6.912000000000001</v>
      </c>
    </row>
    <row r="1101">
      <c r="A1101" s="17">
        <v>2.7915093899204253</v>
      </c>
      <c r="E1101" s="17">
        <v>345.767618762008</v>
      </c>
      <c r="I1101" s="11">
        <v>4.0</v>
      </c>
      <c r="M1101" s="16">
        <v>2.2640000000000002</v>
      </c>
    </row>
    <row r="1102">
      <c r="A1102" s="17">
        <v>10.693653596615075</v>
      </c>
      <c r="E1102" s="17">
        <v>6.571166942148752</v>
      </c>
      <c r="I1102" s="11">
        <v>29.0</v>
      </c>
      <c r="M1102" s="16">
        <v>5.04</v>
      </c>
    </row>
    <row r="1103">
      <c r="A1103" s="17">
        <v>5.4711013861385975</v>
      </c>
      <c r="E1103" s="17">
        <v>8.111385515727868</v>
      </c>
      <c r="I1103" s="11">
        <v>43.0</v>
      </c>
      <c r="M1103" s="16">
        <v>1.144</v>
      </c>
    </row>
    <row r="1104">
      <c r="A1104" s="17">
        <v>2.550588631578945</v>
      </c>
      <c r="E1104" s="17">
        <v>50.86656708339133</v>
      </c>
      <c r="I1104" s="11">
        <v>3.0</v>
      </c>
      <c r="M1104" s="16">
        <v>0.768</v>
      </c>
    </row>
    <row r="1105">
      <c r="A1105" s="17">
        <v>80.13471791031783</v>
      </c>
      <c r="E1105" s="17">
        <v>66.64423195283578</v>
      </c>
      <c r="I1105" s="11">
        <v>14.0</v>
      </c>
      <c r="M1105" s="16">
        <v>11.192</v>
      </c>
    </row>
    <row r="1106">
      <c r="A1106" s="17">
        <v>40.74559235044296</v>
      </c>
      <c r="E1106" s="17">
        <v>291.3374757543102</v>
      </c>
      <c r="I1106" s="11">
        <v>50.0</v>
      </c>
      <c r="M1106" s="16">
        <v>1.1119999999999999</v>
      </c>
    </row>
    <row r="1107">
      <c r="A1107" s="17">
        <v>1.159357866666665</v>
      </c>
      <c r="E1107" s="17">
        <v>8.941728176795571</v>
      </c>
      <c r="I1107" s="11">
        <v>10.0</v>
      </c>
      <c r="M1107" s="16">
        <v>0.792</v>
      </c>
    </row>
    <row r="1108">
      <c r="A1108" s="17">
        <v>4.150515463917518</v>
      </c>
      <c r="E1108" s="17">
        <v>4.57441728254689</v>
      </c>
      <c r="I1108" s="11">
        <v>26.0</v>
      </c>
      <c r="M1108" s="16">
        <v>0.4</v>
      </c>
    </row>
    <row r="1109">
      <c r="A1109" s="17">
        <v>6.505393684210522</v>
      </c>
      <c r="E1109" s="17">
        <v>5.8234447679083425</v>
      </c>
      <c r="I1109" s="11">
        <v>10.0</v>
      </c>
      <c r="M1109" s="16">
        <v>4.392</v>
      </c>
    </row>
    <row r="1110">
      <c r="A1110" s="17">
        <v>179.38418721234464</v>
      </c>
      <c r="E1110" s="17">
        <v>91.19821236553356</v>
      </c>
      <c r="I1110" s="11">
        <v>32.0</v>
      </c>
      <c r="M1110" s="16">
        <v>29.288</v>
      </c>
    </row>
    <row r="1111">
      <c r="A1111" s="17">
        <v>1.7641600000000106</v>
      </c>
      <c r="E1111" s="17">
        <v>788.5649710857209</v>
      </c>
      <c r="I1111" s="11">
        <v>14.0</v>
      </c>
      <c r="M1111" s="16">
        <v>3.512</v>
      </c>
    </row>
    <row r="1112">
      <c r="A1112" s="17">
        <v>2.5355295852534567</v>
      </c>
      <c r="E1112" s="17">
        <v>12.974871029288678</v>
      </c>
      <c r="I1112" s="11">
        <v>5.0</v>
      </c>
      <c r="M1112" s="16">
        <v>6.696</v>
      </c>
    </row>
    <row r="1113">
      <c r="A1113" s="17">
        <v>23.93818901694914</v>
      </c>
      <c r="E1113" s="17">
        <v>43.8525432544594</v>
      </c>
      <c r="I1113" s="11">
        <v>48.0</v>
      </c>
      <c r="M1113" s="16">
        <v>3.696</v>
      </c>
    </row>
    <row r="1114">
      <c r="A1114" s="17">
        <v>18.657993799822904</v>
      </c>
      <c r="E1114" s="17">
        <v>3.1598455598455573</v>
      </c>
      <c r="I1114" s="11">
        <v>13.0</v>
      </c>
      <c r="M1114" s="16">
        <v>4.4</v>
      </c>
    </row>
    <row r="1115">
      <c r="A1115" s="17">
        <v>1.2623608017817345</v>
      </c>
      <c r="E1115" s="17">
        <v>15.776753596287692</v>
      </c>
      <c r="I1115" s="11">
        <v>18.0</v>
      </c>
      <c r="M1115" s="16">
        <v>4.0</v>
      </c>
    </row>
    <row r="1116">
      <c r="A1116" s="17">
        <v>41.7927753635406</v>
      </c>
      <c r="E1116" s="17">
        <v>5.331998823529416</v>
      </c>
      <c r="I1116" s="11">
        <v>27.0</v>
      </c>
      <c r="M1116" s="16">
        <v>4.712</v>
      </c>
    </row>
    <row r="1117">
      <c r="A1117" s="17">
        <v>116.90117644027647</v>
      </c>
      <c r="E1117" s="17">
        <v>83.1982226180169</v>
      </c>
      <c r="I1117" s="11">
        <v>14.0</v>
      </c>
      <c r="M1117" s="16">
        <v>15.991999999999999</v>
      </c>
    </row>
    <row r="1118">
      <c r="A1118" s="17">
        <v>0.4866723966942141</v>
      </c>
      <c r="E1118" s="17">
        <v>219.1451253685762</v>
      </c>
      <c r="I1118" s="11">
        <v>1.0</v>
      </c>
      <c r="M1118" s="16">
        <v>1.592</v>
      </c>
    </row>
    <row r="1119">
      <c r="A1119" s="17">
        <v>10.435986159169545</v>
      </c>
      <c r="E1119" s="17">
        <v>27.496529997575777</v>
      </c>
      <c r="I1119" s="11">
        <v>37.0</v>
      </c>
      <c r="M1119" s="16">
        <v>0.4</v>
      </c>
    </row>
    <row r="1120">
      <c r="A1120" s="17">
        <v>57.070284026659614</v>
      </c>
      <c r="E1120" s="17">
        <v>17.432712662192387</v>
      </c>
      <c r="I1120" s="11">
        <v>43.0</v>
      </c>
      <c r="M1120" s="16">
        <v>7.192</v>
      </c>
    </row>
    <row r="1121">
      <c r="A1121" s="17">
        <v>20.73553113553115</v>
      </c>
      <c r="E1121" s="17">
        <v>95.74337891665608</v>
      </c>
      <c r="I1121" s="11">
        <v>1.0</v>
      </c>
      <c r="M1121" s="16">
        <v>28.0</v>
      </c>
    </row>
    <row r="1122">
      <c r="A1122" s="17">
        <v>246.64744995296883</v>
      </c>
      <c r="E1122" s="17">
        <v>60.96735992705718</v>
      </c>
      <c r="I1122" s="11">
        <v>13.0</v>
      </c>
      <c r="M1122" s="16">
        <v>7.192</v>
      </c>
    </row>
    <row r="1123">
      <c r="A1123" s="17">
        <v>667.3775560358578</v>
      </c>
      <c r="E1123" s="17">
        <v>134.97561094620178</v>
      </c>
      <c r="I1123" s="11">
        <v>24.0</v>
      </c>
      <c r="M1123" s="16">
        <v>15.991999999999999</v>
      </c>
    </row>
    <row r="1124">
      <c r="A1124" s="17">
        <v>13.836478474446878</v>
      </c>
      <c r="E1124" s="17">
        <v>12.778825553772062</v>
      </c>
      <c r="I1124" s="11">
        <v>18.0</v>
      </c>
      <c r="M1124" s="16">
        <v>10.576</v>
      </c>
    </row>
    <row r="1125">
      <c r="A1125" s="17">
        <v>21.225681405208974</v>
      </c>
      <c r="E1125" s="17">
        <v>99.22200296003942</v>
      </c>
      <c r="I1125" s="11">
        <v>1.0</v>
      </c>
      <c r="M1125" s="16">
        <v>28.0</v>
      </c>
    </row>
    <row r="1126">
      <c r="A1126" s="17">
        <v>21.360258016085787</v>
      </c>
      <c r="E1126" s="17">
        <v>12.07067156771053</v>
      </c>
      <c r="I1126" s="11">
        <v>25.0</v>
      </c>
      <c r="M1126" s="16">
        <v>7.384</v>
      </c>
    </row>
    <row r="1127">
      <c r="A1127" s="17">
        <v>65.0058488126029</v>
      </c>
      <c r="E1127" s="17">
        <v>12.185430743801687</v>
      </c>
      <c r="I1127" s="11">
        <v>23.0</v>
      </c>
      <c r="M1127" s="16">
        <v>2.8000000000000003</v>
      </c>
    </row>
    <row r="1128">
      <c r="A1128" s="17">
        <v>4.2211731645569595</v>
      </c>
      <c r="E1128" s="17">
        <v>37.098272922837175</v>
      </c>
      <c r="I1128" s="11">
        <v>21.0</v>
      </c>
      <c r="M1128" s="16">
        <v>4.272</v>
      </c>
    </row>
    <row r="1129">
      <c r="A1129" s="17">
        <v>18.49403341288783</v>
      </c>
      <c r="E1129" s="17">
        <v>4.6956284702093445</v>
      </c>
      <c r="I1129" s="11">
        <v>46.0</v>
      </c>
      <c r="M1129" s="16">
        <v>0.4</v>
      </c>
    </row>
    <row r="1130">
      <c r="A1130" s="17">
        <v>15.829287265774362</v>
      </c>
      <c r="E1130" s="17">
        <v>5.368620344827584</v>
      </c>
      <c r="I1130" s="11">
        <v>9.0</v>
      </c>
      <c r="M1130" s="16">
        <v>3.848</v>
      </c>
    </row>
    <row r="1131">
      <c r="A1131" s="17">
        <v>21.83036567049806</v>
      </c>
      <c r="E1131" s="17">
        <v>124.77141561733032</v>
      </c>
      <c r="I1131" s="11">
        <v>31.0</v>
      </c>
      <c r="M1131" s="16">
        <v>2.8960000000000004</v>
      </c>
    </row>
    <row r="1132">
      <c r="A1132" s="17">
        <v>4.318477029449419</v>
      </c>
      <c r="E1132" s="17">
        <v>6.615362517796884</v>
      </c>
      <c r="I1132" s="11">
        <v>17.0</v>
      </c>
      <c r="M1132" s="16">
        <v>5.5120000000000005</v>
      </c>
    </row>
    <row r="1133">
      <c r="A1133" s="17">
        <v>4.078110737564315</v>
      </c>
      <c r="E1133" s="17">
        <v>4.624261292952824</v>
      </c>
      <c r="I1133" s="11">
        <v>8.0</v>
      </c>
      <c r="M1133" s="16">
        <v>4.288</v>
      </c>
    </row>
    <row r="1134">
      <c r="A1134" s="17">
        <v>3.5410302237521547</v>
      </c>
      <c r="E1134" s="17">
        <v>11.723817161186856</v>
      </c>
      <c r="I1134" s="11">
        <v>7.0</v>
      </c>
      <c r="M1134" s="16">
        <v>1.1119999999999999</v>
      </c>
    </row>
    <row r="1135">
      <c r="A1135" s="17">
        <v>10.289794303797466</v>
      </c>
      <c r="E1135" s="17">
        <v>17.286230311098286</v>
      </c>
      <c r="I1135" s="11">
        <v>37.0</v>
      </c>
      <c r="M1135" s="16">
        <v>0.4</v>
      </c>
    </row>
    <row r="1136">
      <c r="A1136" s="17">
        <v>21.771541430192983</v>
      </c>
      <c r="E1136" s="17">
        <v>0.9158993814432983</v>
      </c>
      <c r="I1136" s="11">
        <v>24.0</v>
      </c>
      <c r="M1136" s="16">
        <v>7.56</v>
      </c>
    </row>
    <row r="1137">
      <c r="A1137" s="17">
        <v>70.70028874510244</v>
      </c>
      <c r="E1137" s="17">
        <v>2.5345871186440694</v>
      </c>
      <c r="I1137" s="11">
        <v>39.0</v>
      </c>
      <c r="M1137" s="16">
        <v>0.792</v>
      </c>
    </row>
    <row r="1138">
      <c r="A1138" s="17">
        <v>11.76270103119866</v>
      </c>
      <c r="E1138" s="17">
        <v>0.8877207968127455</v>
      </c>
      <c r="I1138" s="11">
        <v>31.0</v>
      </c>
      <c r="M1138" s="16">
        <v>3.944</v>
      </c>
    </row>
    <row r="1139">
      <c r="A1139" s="17">
        <v>329.53425529957684</v>
      </c>
      <c r="E1139" s="17">
        <v>855.8497427186428</v>
      </c>
      <c r="I1139" s="11">
        <v>39.0</v>
      </c>
      <c r="M1139" s="16">
        <v>54.416</v>
      </c>
    </row>
    <row r="1140">
      <c r="A1140" s="17">
        <v>7.278848560700883</v>
      </c>
      <c r="E1140" s="17">
        <v>107.72856711403868</v>
      </c>
      <c r="I1140" s="11">
        <v>4.0</v>
      </c>
      <c r="M1140" s="16">
        <v>9.0</v>
      </c>
    </row>
    <row r="1141">
      <c r="A1141" s="17">
        <v>230.6791275432466</v>
      </c>
      <c r="E1141" s="17">
        <v>25.387551945299194</v>
      </c>
      <c r="I1141" s="11">
        <v>26.0</v>
      </c>
      <c r="M1141" s="16">
        <v>23.368000000000002</v>
      </c>
    </row>
    <row r="1142">
      <c r="A1142" s="17">
        <v>2.801124434968015</v>
      </c>
      <c r="E1142" s="17">
        <v>102.39532302227477</v>
      </c>
      <c r="I1142" s="11">
        <v>7.0</v>
      </c>
      <c r="M1142" s="16">
        <v>4.008</v>
      </c>
    </row>
    <row r="1143">
      <c r="A1143" s="17">
        <v>6.99922093906093</v>
      </c>
      <c r="E1143" s="17">
        <v>5.094301723237554</v>
      </c>
      <c r="I1143" s="11">
        <v>21.0</v>
      </c>
      <c r="M1143" s="16">
        <v>4.328</v>
      </c>
    </row>
    <row r="1144">
      <c r="A1144" s="17">
        <v>12.303131822886701</v>
      </c>
      <c r="E1144" s="17">
        <v>48.157501815540954</v>
      </c>
      <c r="I1144" s="11">
        <v>32.0</v>
      </c>
      <c r="M1144" s="16">
        <v>3.776</v>
      </c>
    </row>
    <row r="1145">
      <c r="A1145" s="17">
        <v>482.59140475182625</v>
      </c>
      <c r="E1145" s="17">
        <v>20.411811316014855</v>
      </c>
      <c r="I1145" s="11">
        <v>24.0</v>
      </c>
      <c r="M1145" s="16">
        <v>32.152</v>
      </c>
    </row>
    <row r="1146">
      <c r="A1146" s="17">
        <v>40.7633585316319</v>
      </c>
      <c r="E1146" s="17">
        <v>428.5767957167467</v>
      </c>
      <c r="I1146" s="11">
        <v>50.0</v>
      </c>
      <c r="M1146" s="16">
        <v>4.792000000000001</v>
      </c>
    </row>
    <row r="1147">
      <c r="A1147" s="17">
        <v>3.505322264150939</v>
      </c>
      <c r="E1147" s="17">
        <v>3.2393335172413775</v>
      </c>
      <c r="I1147" s="11">
        <v>8.0</v>
      </c>
      <c r="M1147" s="16">
        <v>4.944</v>
      </c>
    </row>
    <row r="1148">
      <c r="A1148" s="17">
        <v>3.7379196491228104</v>
      </c>
      <c r="E1148" s="17">
        <v>2.272902781456952</v>
      </c>
      <c r="I1148" s="11">
        <v>19.0</v>
      </c>
      <c r="M1148" s="16">
        <v>1.592</v>
      </c>
    </row>
    <row r="1149">
      <c r="A1149" s="17">
        <v>41.04760781845679</v>
      </c>
      <c r="E1149" s="17">
        <v>75.6214160415952</v>
      </c>
      <c r="I1149" s="11">
        <v>45.0</v>
      </c>
      <c r="M1149" s="16">
        <v>1.592</v>
      </c>
    </row>
    <row r="1150">
      <c r="A1150" s="17">
        <v>19.80359800094293</v>
      </c>
      <c r="E1150" s="17">
        <v>9.159629893238408</v>
      </c>
      <c r="I1150" s="11">
        <v>32.0</v>
      </c>
      <c r="M1150" s="16">
        <v>1.192</v>
      </c>
    </row>
    <row r="1151">
      <c r="A1151" s="17">
        <v>36.86023192920347</v>
      </c>
      <c r="E1151" s="17">
        <v>3.919562499999997</v>
      </c>
      <c r="I1151" s="11">
        <v>7.0</v>
      </c>
      <c r="M1151" s="16">
        <v>7.192</v>
      </c>
    </row>
    <row r="1152">
      <c r="A1152" s="17">
        <v>37.68057294410496</v>
      </c>
      <c r="E1152" s="17">
        <v>34.348626378148225</v>
      </c>
      <c r="I1152" s="11">
        <v>48.0</v>
      </c>
      <c r="M1152" s="16">
        <v>1.904</v>
      </c>
    </row>
    <row r="1153">
      <c r="A1153" s="17">
        <v>19.648908764114317</v>
      </c>
      <c r="E1153" s="17">
        <v>178.7684809262581</v>
      </c>
      <c r="I1153" s="11">
        <v>33.0</v>
      </c>
      <c r="M1153" s="16">
        <v>2.3920000000000003</v>
      </c>
    </row>
    <row r="1154">
      <c r="A1154" s="17">
        <v>43.08553921265772</v>
      </c>
      <c r="E1154" s="17">
        <v>13.791272537136132</v>
      </c>
      <c r="I1154" s="11">
        <v>26.0</v>
      </c>
      <c r="M1154" s="16">
        <v>10.608</v>
      </c>
    </row>
    <row r="1155">
      <c r="A1155" s="17">
        <v>3.668199716312053</v>
      </c>
      <c r="E1155" s="17">
        <v>32.788598457933944</v>
      </c>
      <c r="I1155" s="11">
        <v>32.0</v>
      </c>
      <c r="M1155" s="16">
        <v>1.2560000000000002</v>
      </c>
    </row>
    <row r="1156">
      <c r="A1156" s="17">
        <v>33.85999348887685</v>
      </c>
      <c r="E1156" s="17">
        <v>165.9308467741935</v>
      </c>
      <c r="I1156" s="11">
        <v>47.0</v>
      </c>
      <c r="M1156" s="16">
        <v>1.8800000000000001</v>
      </c>
    </row>
    <row r="1157">
      <c r="A1157" s="17">
        <v>0.38305882352941173</v>
      </c>
      <c r="E1157" s="17">
        <v>119.60524118699941</v>
      </c>
      <c r="I1157" s="11">
        <v>2.0</v>
      </c>
      <c r="M1157" s="16">
        <v>0.5599999999999999</v>
      </c>
    </row>
    <row r="1158">
      <c r="A1158" s="17">
        <v>122.47673554527059</v>
      </c>
      <c r="E1158" s="17">
        <v>9.277029386845047</v>
      </c>
      <c r="I1158" s="11">
        <v>36.0</v>
      </c>
      <c r="M1158" s="16">
        <v>28.0</v>
      </c>
    </row>
    <row r="1159">
      <c r="A1159" s="17">
        <v>31.93917634253694</v>
      </c>
      <c r="E1159" s="17">
        <v>25.171176234527675</v>
      </c>
      <c r="I1159" s="11">
        <v>7.0</v>
      </c>
      <c r="M1159" s="16">
        <v>4.208</v>
      </c>
    </row>
    <row r="1160">
      <c r="A1160" s="17">
        <v>2.550846792452833</v>
      </c>
      <c r="E1160" s="17">
        <v>119.93822357762947</v>
      </c>
      <c r="I1160" s="11">
        <v>20.0</v>
      </c>
      <c r="M1160" s="16">
        <v>4.816</v>
      </c>
    </row>
    <row r="1161">
      <c r="A1161" s="17">
        <v>3.387940246913581</v>
      </c>
      <c r="E1161" s="17">
        <v>33.365050244735386</v>
      </c>
      <c r="I1161" s="11">
        <v>1.0</v>
      </c>
      <c r="M1161" s="16">
        <v>6.656000000000001</v>
      </c>
    </row>
    <row r="1162">
      <c r="A1162" s="17">
        <v>18.678514840552157</v>
      </c>
      <c r="E1162" s="17">
        <v>161.5796995807716</v>
      </c>
      <c r="I1162" s="11">
        <v>22.0</v>
      </c>
      <c r="M1162" s="16">
        <v>6.808</v>
      </c>
    </row>
    <row r="1163">
      <c r="A1163" s="17">
        <v>9.587792737752125</v>
      </c>
      <c r="E1163" s="17">
        <v>48.92272675543426</v>
      </c>
      <c r="I1163" s="11">
        <v>41.0</v>
      </c>
      <c r="M1163" s="16">
        <v>5.256</v>
      </c>
    </row>
    <row r="1164">
      <c r="A1164" s="17">
        <v>2.7727753846153793</v>
      </c>
      <c r="E1164" s="17">
        <v>8.56975000000001</v>
      </c>
      <c r="I1164" s="11">
        <v>6.0</v>
      </c>
      <c r="M1164" s="16">
        <v>3.976</v>
      </c>
    </row>
    <row r="1165">
      <c r="A1165" s="17">
        <v>2.0792384207119783</v>
      </c>
      <c r="E1165" s="17">
        <v>4.965294784394252</v>
      </c>
      <c r="I1165" s="11">
        <v>8.0</v>
      </c>
      <c r="M1165" s="16">
        <v>1.192</v>
      </c>
    </row>
    <row r="1166">
      <c r="A1166" s="17">
        <v>10.743003875685563</v>
      </c>
      <c r="E1166" s="17">
        <v>2.5265335922330103</v>
      </c>
      <c r="I1166" s="11">
        <v>33.0</v>
      </c>
      <c r="M1166" s="16">
        <v>1.6239999999999999</v>
      </c>
    </row>
    <row r="1167">
      <c r="A1167" s="17">
        <v>39.3644360784314</v>
      </c>
      <c r="E1167" s="17">
        <v>11.461821260404308</v>
      </c>
      <c r="I1167" s="11">
        <v>39.0</v>
      </c>
      <c r="M1167" s="16">
        <v>5.5680000000000005</v>
      </c>
    </row>
    <row r="1168">
      <c r="A1168" s="17">
        <v>3.4121739130434734</v>
      </c>
      <c r="E1168" s="17">
        <v>8.205326833514693</v>
      </c>
      <c r="I1168" s="11">
        <v>25.0</v>
      </c>
      <c r="M1168" s="16">
        <v>0.4</v>
      </c>
    </row>
    <row r="1169">
      <c r="A1169" s="17">
        <v>12.199295346660959</v>
      </c>
      <c r="E1169" s="17">
        <v>98.72118578785542</v>
      </c>
      <c r="I1169" s="11">
        <v>34.0</v>
      </c>
      <c r="M1169" s="16">
        <v>4.5920000000000005</v>
      </c>
    </row>
    <row r="1170">
      <c r="A1170" s="17">
        <v>4.766147888138871</v>
      </c>
      <c r="E1170" s="17">
        <v>187.96097267955554</v>
      </c>
      <c r="I1170" s="11">
        <v>1.0</v>
      </c>
      <c r="M1170" s="16">
        <v>0.392</v>
      </c>
    </row>
    <row r="1171">
      <c r="A1171" s="17">
        <v>19.275469012109625</v>
      </c>
      <c r="E1171" s="17">
        <v>91.30966868640965</v>
      </c>
      <c r="I1171" s="11">
        <v>20.0</v>
      </c>
      <c r="M1171" s="16">
        <v>5.168</v>
      </c>
    </row>
    <row r="1172">
      <c r="A1172" s="17">
        <v>10.376078776583071</v>
      </c>
      <c r="E1172" s="17">
        <v>163.37044673439098</v>
      </c>
      <c r="I1172" s="11">
        <v>23.0</v>
      </c>
      <c r="M1172" s="16">
        <v>0.792</v>
      </c>
    </row>
    <row r="1173">
      <c r="A1173" s="17">
        <v>22.00871431516135</v>
      </c>
      <c r="E1173" s="17">
        <v>27.45705342160508</v>
      </c>
      <c r="I1173" s="11">
        <v>17.0</v>
      </c>
      <c r="M1173" s="16">
        <v>2.3920000000000003</v>
      </c>
    </row>
    <row r="1174">
      <c r="A1174" s="17">
        <v>3.7644145957318833</v>
      </c>
      <c r="E1174" s="17">
        <v>473.16491992029034</v>
      </c>
      <c r="I1174" s="11">
        <v>45.0</v>
      </c>
      <c r="M1174" s="16">
        <v>0.392</v>
      </c>
    </row>
    <row r="1175">
      <c r="A1175" s="17">
        <v>20.165879369786815</v>
      </c>
      <c r="E1175" s="17">
        <v>270.7395717211484</v>
      </c>
      <c r="I1175" s="11">
        <v>48.0</v>
      </c>
      <c r="M1175" s="16">
        <v>7.192</v>
      </c>
    </row>
    <row r="1176">
      <c r="A1176" s="17">
        <v>4.7771939445627805</v>
      </c>
      <c r="E1176" s="17">
        <v>97.49490025017661</v>
      </c>
      <c r="I1176" s="11">
        <v>34.0</v>
      </c>
      <c r="M1176" s="16">
        <v>11.192</v>
      </c>
    </row>
    <row r="1177">
      <c r="A1177" s="17">
        <v>23.930579196761105</v>
      </c>
      <c r="E1177" s="17">
        <v>20.8884629388054</v>
      </c>
      <c r="I1177" s="11">
        <v>25.0</v>
      </c>
      <c r="M1177" s="16">
        <v>2.0</v>
      </c>
    </row>
    <row r="1178">
      <c r="A1178" s="17">
        <v>9.94135507109005</v>
      </c>
      <c r="E1178" s="17">
        <v>525.1526073682942</v>
      </c>
      <c r="I1178" s="11">
        <v>9.0</v>
      </c>
      <c r="M1178" s="16">
        <v>1.592</v>
      </c>
    </row>
    <row r="1179">
      <c r="A1179" s="17">
        <v>65.88891097680181</v>
      </c>
      <c r="E1179" s="17">
        <v>2.3584024427481154</v>
      </c>
      <c r="I1179" s="11">
        <v>49.0</v>
      </c>
      <c r="M1179" s="16">
        <v>2.0</v>
      </c>
    </row>
    <row r="1180">
      <c r="A1180" s="17">
        <v>38.62546803791089</v>
      </c>
      <c r="E1180" s="17">
        <v>62.80509707241957</v>
      </c>
      <c r="I1180" s="11">
        <v>37.0</v>
      </c>
      <c r="M1180" s="16">
        <v>2.2800000000000002</v>
      </c>
    </row>
    <row r="1181">
      <c r="A1181" s="17">
        <v>2.132827023878827</v>
      </c>
      <c r="E1181" s="17">
        <v>10.089386666666657</v>
      </c>
      <c r="I1181" s="11">
        <v>29.0</v>
      </c>
      <c r="M1181" s="16">
        <v>4.24</v>
      </c>
    </row>
    <row r="1182">
      <c r="A1182" s="17">
        <v>18.710957813743633</v>
      </c>
      <c r="E1182" s="17">
        <v>11.097586845849804</v>
      </c>
      <c r="I1182" s="11">
        <v>46.0</v>
      </c>
      <c r="M1182" s="16">
        <v>3.2</v>
      </c>
    </row>
    <row r="1183">
      <c r="A1183" s="17">
        <v>31.17575318696915</v>
      </c>
      <c r="E1183" s="17">
        <v>26.61708981721901</v>
      </c>
      <c r="I1183" s="11">
        <v>40.0</v>
      </c>
      <c r="M1183" s="16">
        <v>6.152000000000001</v>
      </c>
    </row>
    <row r="1184">
      <c r="A1184" s="17">
        <v>124.82181465072094</v>
      </c>
      <c r="E1184" s="17">
        <v>663.3447236838911</v>
      </c>
      <c r="I1184" s="11">
        <v>8.0</v>
      </c>
      <c r="M1184" s="16">
        <v>7.192</v>
      </c>
    </row>
    <row r="1185">
      <c r="A1185" s="17">
        <v>1.3943661971830987</v>
      </c>
      <c r="E1185" s="17">
        <v>435.79525485115585</v>
      </c>
      <c r="I1185" s="11">
        <v>1.0</v>
      </c>
      <c r="M1185" s="16">
        <v>5.4</v>
      </c>
    </row>
    <row r="1186">
      <c r="A1186" s="17">
        <v>409.0420200368219</v>
      </c>
      <c r="E1186" s="17">
        <v>79.65724508050094</v>
      </c>
      <c r="I1186" s="11">
        <v>44.0</v>
      </c>
      <c r="M1186" s="16">
        <v>15.991999999999999</v>
      </c>
    </row>
    <row r="1187">
      <c r="A1187" s="17">
        <v>271.7652698421681</v>
      </c>
      <c r="E1187" s="17">
        <v>56.2851605421428</v>
      </c>
      <c r="I1187" s="11">
        <v>15.0</v>
      </c>
      <c r="M1187" s="16">
        <v>39.2</v>
      </c>
    </row>
    <row r="1188">
      <c r="A1188" s="17">
        <v>3.439314662273479</v>
      </c>
      <c r="E1188" s="17">
        <v>24.843215102645548</v>
      </c>
      <c r="I1188" s="11">
        <v>14.0</v>
      </c>
      <c r="M1188" s="16">
        <v>1.04</v>
      </c>
    </row>
    <row r="1189">
      <c r="A1189" s="17">
        <v>8.715518530665756</v>
      </c>
      <c r="E1189" s="17">
        <v>0.5053155555555556</v>
      </c>
      <c r="I1189" s="11">
        <v>20.0</v>
      </c>
      <c r="M1189" s="16">
        <v>5.920000000000001</v>
      </c>
    </row>
    <row r="1190">
      <c r="A1190" s="17">
        <v>38.93619767918091</v>
      </c>
      <c r="E1190" s="17">
        <v>669.5771466392271</v>
      </c>
      <c r="I1190" s="11">
        <v>49.0</v>
      </c>
      <c r="M1190" s="16">
        <v>5.176</v>
      </c>
    </row>
    <row r="1191">
      <c r="A1191" s="17">
        <v>2.0407453035143788</v>
      </c>
      <c r="E1191" s="17">
        <v>9.230627149758439</v>
      </c>
      <c r="I1191" s="11">
        <v>16.0</v>
      </c>
      <c r="M1191" s="16">
        <v>1.2880000000000003</v>
      </c>
    </row>
    <row r="1192">
      <c r="A1192" s="17">
        <v>9.716529888861459</v>
      </c>
      <c r="E1192" s="17">
        <v>28.081655738498743</v>
      </c>
      <c r="I1192" s="11">
        <v>21.0</v>
      </c>
      <c r="M1192" s="16">
        <v>4.064</v>
      </c>
    </row>
    <row r="1193">
      <c r="A1193" s="17">
        <v>98.35013090846348</v>
      </c>
      <c r="E1193" s="17">
        <v>145.59349743216066</v>
      </c>
      <c r="I1193" s="11">
        <v>47.0</v>
      </c>
      <c r="M1193" s="16">
        <v>7.192</v>
      </c>
    </row>
    <row r="1194">
      <c r="A1194" s="17">
        <v>80.54808713438553</v>
      </c>
      <c r="E1194" s="17">
        <v>17.650693684724263</v>
      </c>
      <c r="I1194" s="11">
        <v>37.0</v>
      </c>
      <c r="M1194" s="16">
        <v>7.192</v>
      </c>
    </row>
    <row r="1195">
      <c r="A1195" s="17">
        <v>16.145347698334934</v>
      </c>
      <c r="E1195" s="17">
        <v>29.70079299730336</v>
      </c>
      <c r="I1195" s="11">
        <v>48.0</v>
      </c>
      <c r="M1195" s="16">
        <v>6.0</v>
      </c>
    </row>
    <row r="1196">
      <c r="A1196" s="17">
        <v>15.033062133645952</v>
      </c>
      <c r="E1196" s="17">
        <v>913.7976377689063</v>
      </c>
      <c r="I1196" s="11">
        <v>21.0</v>
      </c>
      <c r="M1196" s="16">
        <v>4.84</v>
      </c>
    </row>
    <row r="1197">
      <c r="A1197" s="17">
        <v>259.77650069334425</v>
      </c>
      <c r="E1197" s="17">
        <v>272.5232632239053</v>
      </c>
      <c r="I1197" s="11">
        <v>13.0</v>
      </c>
      <c r="M1197" s="16">
        <v>55.64</v>
      </c>
    </row>
    <row r="1198">
      <c r="A1198" s="17">
        <v>143.37703186356393</v>
      </c>
      <c r="E1198" s="17">
        <v>12.796247204237808</v>
      </c>
      <c r="I1198" s="11">
        <v>45.0</v>
      </c>
      <c r="M1198" s="16">
        <v>4.648</v>
      </c>
    </row>
    <row r="1199">
      <c r="A1199" s="17">
        <v>4.631301818181829</v>
      </c>
      <c r="E1199" s="17">
        <v>429.78032078412434</v>
      </c>
      <c r="I1199" s="11">
        <v>15.0</v>
      </c>
      <c r="M1199" s="16">
        <v>3.512</v>
      </c>
    </row>
    <row r="1200">
      <c r="A1200" s="17">
        <v>14.194717311827977</v>
      </c>
      <c r="E1200" s="17">
        <v>4.783893687707643</v>
      </c>
      <c r="I1200" s="11">
        <v>33.0</v>
      </c>
      <c r="M1200" s="16">
        <v>4.208</v>
      </c>
    </row>
    <row r="1201">
      <c r="A1201" s="17">
        <v>12.57023279887483</v>
      </c>
      <c r="E1201" s="17">
        <v>1227.0223376570539</v>
      </c>
      <c r="I1201" s="11">
        <v>22.0</v>
      </c>
      <c r="M1201" s="16">
        <v>0.664</v>
      </c>
    </row>
    <row r="1202">
      <c r="A1202" s="17">
        <v>64.27603135843717</v>
      </c>
      <c r="E1202" s="17">
        <v>9.305920392758535</v>
      </c>
      <c r="I1202" s="11">
        <v>6.0</v>
      </c>
      <c r="M1202" s="16">
        <v>24.0</v>
      </c>
    </row>
    <row r="1203">
      <c r="A1203" s="17">
        <v>7.4120462006079295</v>
      </c>
      <c r="E1203" s="17">
        <v>4.433351351351358</v>
      </c>
      <c r="I1203" s="11">
        <v>23.0</v>
      </c>
      <c r="M1203" s="16">
        <v>4.920000000000001</v>
      </c>
    </row>
    <row r="1204">
      <c r="A1204" s="17">
        <v>3.712307011070131</v>
      </c>
      <c r="E1204" s="17">
        <v>9.000634054054045</v>
      </c>
      <c r="I1204" s="11">
        <v>23.0</v>
      </c>
      <c r="M1204" s="16">
        <v>2.8800000000000003</v>
      </c>
    </row>
    <row r="1205">
      <c r="A1205" s="17">
        <v>324.12253682206665</v>
      </c>
      <c r="E1205" s="17">
        <v>300.4150130366752</v>
      </c>
      <c r="I1205" s="11">
        <v>26.0</v>
      </c>
      <c r="M1205" s="16">
        <v>2.0</v>
      </c>
    </row>
    <row r="1206">
      <c r="A1206" s="17">
        <v>40.778399644180965</v>
      </c>
      <c r="E1206" s="17">
        <v>53.491825247922804</v>
      </c>
      <c r="I1206" s="11">
        <v>8.0</v>
      </c>
      <c r="M1206" s="16">
        <v>41.552</v>
      </c>
    </row>
    <row r="1207">
      <c r="A1207" s="17">
        <v>2.2657138823529412</v>
      </c>
      <c r="E1207" s="17">
        <v>83.67659417182271</v>
      </c>
      <c r="I1207" s="11">
        <v>1.0</v>
      </c>
      <c r="M1207" s="16">
        <v>4.608</v>
      </c>
    </row>
    <row r="1208">
      <c r="A1208" s="17">
        <v>55.60808988764051</v>
      </c>
      <c r="E1208" s="17">
        <v>14.41239193670448</v>
      </c>
      <c r="I1208" s="11">
        <v>12.0</v>
      </c>
      <c r="M1208" s="16">
        <v>4.4</v>
      </c>
    </row>
    <row r="1209">
      <c r="A1209" s="17">
        <v>1.1824266666666665</v>
      </c>
      <c r="E1209" s="17">
        <v>117.28163343011693</v>
      </c>
      <c r="I1209" s="11">
        <v>5.0</v>
      </c>
      <c r="M1209" s="16">
        <v>1.6239999999999999</v>
      </c>
    </row>
    <row r="1210">
      <c r="A1210" s="17">
        <v>17.454297123966924</v>
      </c>
      <c r="E1210" s="17">
        <v>13.177657098525982</v>
      </c>
      <c r="I1210" s="11">
        <v>32.0</v>
      </c>
      <c r="M1210" s="16">
        <v>2.2640000000000002</v>
      </c>
    </row>
    <row r="1211">
      <c r="A1211" s="17">
        <v>19.83272467449984</v>
      </c>
      <c r="E1211" s="17">
        <v>1.139456488549615</v>
      </c>
      <c r="I1211" s="11">
        <v>29.0</v>
      </c>
      <c r="M1211" s="16">
        <v>3.2</v>
      </c>
    </row>
    <row r="1212">
      <c r="A1212" s="17">
        <v>21.750094834437014</v>
      </c>
      <c r="E1212" s="17">
        <v>65.56438974860963</v>
      </c>
      <c r="I1212" s="11">
        <v>26.0</v>
      </c>
      <c r="M1212" s="16">
        <v>5.368</v>
      </c>
    </row>
    <row r="1213">
      <c r="A1213" s="17">
        <v>392.2635082077553</v>
      </c>
      <c r="E1213" s="17">
        <v>14.719782544852347</v>
      </c>
      <c r="I1213" s="11">
        <v>46.0</v>
      </c>
      <c r="M1213" s="16">
        <v>45.6</v>
      </c>
    </row>
    <row r="1214">
      <c r="A1214" s="17">
        <v>3.3324218181818157</v>
      </c>
      <c r="E1214" s="17">
        <v>27.5474642739079</v>
      </c>
      <c r="I1214" s="11">
        <v>48.0</v>
      </c>
      <c r="M1214" s="16">
        <v>0.96</v>
      </c>
    </row>
    <row r="1215">
      <c r="A1215" s="17">
        <v>46.485619707724425</v>
      </c>
      <c r="E1215" s="17">
        <v>168.17497234532883</v>
      </c>
      <c r="I1215" s="11">
        <v>49.0</v>
      </c>
      <c r="M1215" s="16">
        <v>4.976</v>
      </c>
    </row>
    <row r="1216">
      <c r="A1216" s="17">
        <v>22.38495626927411</v>
      </c>
      <c r="E1216" s="17">
        <v>102.19292194034013</v>
      </c>
      <c r="I1216" s="11">
        <v>20.0</v>
      </c>
      <c r="M1216" s="16">
        <v>10.384</v>
      </c>
    </row>
    <row r="1217">
      <c r="A1217" s="17">
        <v>2.3420866076696027</v>
      </c>
      <c r="E1217" s="17">
        <v>4.511847619047606</v>
      </c>
      <c r="I1217" s="11">
        <v>7.0</v>
      </c>
      <c r="M1217" s="16">
        <v>3.016</v>
      </c>
    </row>
    <row r="1218">
      <c r="A1218" s="17">
        <v>51.74348380192021</v>
      </c>
      <c r="E1218" s="17">
        <v>3.514051383812004</v>
      </c>
      <c r="I1218" s="11">
        <v>25.0</v>
      </c>
      <c r="M1218" s="16">
        <v>4.392</v>
      </c>
    </row>
    <row r="1219">
      <c r="A1219" s="17">
        <v>7.616061388210699</v>
      </c>
      <c r="E1219" s="17">
        <v>263.71001354159694</v>
      </c>
      <c r="I1219" s="11">
        <v>12.0</v>
      </c>
      <c r="M1219" s="16">
        <v>4.08</v>
      </c>
    </row>
    <row r="1220">
      <c r="A1220" s="17">
        <v>2.9496148453608257</v>
      </c>
      <c r="E1220" s="17">
        <v>4.943074968233797</v>
      </c>
      <c r="I1220" s="11">
        <v>22.0</v>
      </c>
      <c r="M1220" s="16">
        <v>4.664000000000001</v>
      </c>
    </row>
    <row r="1221">
      <c r="A1221" s="17">
        <v>39.642449606299145</v>
      </c>
      <c r="E1221" s="17">
        <v>205.48586144810324</v>
      </c>
      <c r="I1221" s="11">
        <v>7.0</v>
      </c>
      <c r="M1221" s="16">
        <v>3.3600000000000003</v>
      </c>
    </row>
    <row r="1222">
      <c r="A1222" s="17">
        <v>2.552065263157899</v>
      </c>
      <c r="E1222" s="17">
        <v>22.627236070381237</v>
      </c>
      <c r="I1222" s="11">
        <v>22.0</v>
      </c>
      <c r="M1222" s="16">
        <v>2.3920000000000003</v>
      </c>
    </row>
    <row r="1223">
      <c r="A1223" s="17">
        <v>6.243310344827591</v>
      </c>
      <c r="E1223" s="17">
        <v>12.884536965088161</v>
      </c>
      <c r="I1223" s="11">
        <v>36.0</v>
      </c>
      <c r="M1223" s="16">
        <v>0.8</v>
      </c>
    </row>
    <row r="1224">
      <c r="A1224" s="17">
        <v>41.13600513471739</v>
      </c>
      <c r="E1224" s="17">
        <v>111.03655160146347</v>
      </c>
      <c r="I1224" s="11">
        <v>44.0</v>
      </c>
      <c r="M1224" s="16">
        <v>1.0</v>
      </c>
    </row>
    <row r="1225">
      <c r="A1225" s="17">
        <v>2.574367520798674</v>
      </c>
      <c r="E1225" s="17">
        <v>18.567801597309803</v>
      </c>
      <c r="I1225" s="11">
        <v>6.0</v>
      </c>
      <c r="M1225" s="16">
        <v>4.168</v>
      </c>
    </row>
    <row r="1226">
      <c r="A1226" s="17">
        <v>17.62914461538463</v>
      </c>
      <c r="E1226" s="17">
        <v>5.522665830065363</v>
      </c>
      <c r="I1226" s="11">
        <v>40.0</v>
      </c>
      <c r="M1226" s="16">
        <v>4.064</v>
      </c>
    </row>
    <row r="1227">
      <c r="A1227" s="17">
        <v>20.953583340817588</v>
      </c>
      <c r="E1227" s="17">
        <v>28.289843290780105</v>
      </c>
      <c r="I1227" s="11">
        <v>17.0</v>
      </c>
      <c r="M1227" s="16">
        <v>6.912000000000001</v>
      </c>
    </row>
    <row r="1228">
      <c r="A1228" s="17">
        <v>7.885962467532458</v>
      </c>
      <c r="E1228" s="17">
        <v>20.187466215731533</v>
      </c>
      <c r="I1228" s="11">
        <v>11.0</v>
      </c>
      <c r="M1228" s="16">
        <v>1.4320000000000002</v>
      </c>
    </row>
    <row r="1229">
      <c r="A1229" s="17">
        <v>21.59309016010383</v>
      </c>
      <c r="E1229" s="17">
        <v>4.69353423071677</v>
      </c>
      <c r="I1229" s="11">
        <v>32.0</v>
      </c>
      <c r="M1229" s="16">
        <v>2.192</v>
      </c>
    </row>
    <row r="1230">
      <c r="A1230" s="17">
        <v>2.437207411444142</v>
      </c>
      <c r="E1230" s="17">
        <v>24.27318181947915</v>
      </c>
      <c r="I1230" s="11">
        <v>19.0</v>
      </c>
      <c r="M1230" s="16">
        <v>4.376</v>
      </c>
    </row>
    <row r="1231">
      <c r="A1231" s="17">
        <v>54.498657761624855</v>
      </c>
      <c r="E1231" s="17">
        <v>82.29695481188307</v>
      </c>
      <c r="I1231" s="11">
        <v>38.0</v>
      </c>
      <c r="M1231" s="16">
        <v>7.192</v>
      </c>
    </row>
    <row r="1232">
      <c r="A1232" s="17">
        <v>29.79936727909008</v>
      </c>
      <c r="E1232" s="17">
        <v>9.166435308343418</v>
      </c>
      <c r="I1232" s="11">
        <v>46.0</v>
      </c>
      <c r="M1232" s="16">
        <v>6.36</v>
      </c>
    </row>
    <row r="1233">
      <c r="A1233" s="17">
        <v>0.3288051014492761</v>
      </c>
      <c r="E1233" s="17">
        <v>28.41250259864282</v>
      </c>
      <c r="I1233" s="11">
        <v>7.0</v>
      </c>
      <c r="M1233" s="16">
        <v>0.568</v>
      </c>
    </row>
    <row r="1234">
      <c r="A1234" s="17">
        <v>3.3925870933333324</v>
      </c>
      <c r="E1234" s="17">
        <v>16.450939191804203</v>
      </c>
      <c r="I1234" s="11">
        <v>7.0</v>
      </c>
      <c r="M1234" s="16">
        <v>4.328</v>
      </c>
    </row>
    <row r="1235">
      <c r="A1235" s="17">
        <v>20.80312900534386</v>
      </c>
      <c r="E1235" s="17">
        <v>346.04489602050074</v>
      </c>
      <c r="I1235" s="11">
        <v>37.0</v>
      </c>
      <c r="M1235" s="16">
        <v>7.192</v>
      </c>
    </row>
    <row r="1236">
      <c r="A1236" s="17">
        <v>0.42413114754098313</v>
      </c>
      <c r="E1236" s="17">
        <v>695.9033806536229</v>
      </c>
      <c r="I1236" s="11">
        <v>4.0</v>
      </c>
      <c r="M1236" s="16">
        <v>0.5599999999999999</v>
      </c>
    </row>
    <row r="1237">
      <c r="A1237" s="17">
        <v>4.448981891348092</v>
      </c>
      <c r="E1237" s="17">
        <v>33.19560181132071</v>
      </c>
      <c r="I1237" s="11">
        <v>26.0</v>
      </c>
      <c r="M1237" s="16">
        <v>0.5599999999999999</v>
      </c>
    </row>
    <row r="1238">
      <c r="A1238" s="17">
        <v>5.1188387755102225</v>
      </c>
      <c r="E1238" s="17">
        <v>1.775538255033564</v>
      </c>
      <c r="I1238" s="11">
        <v>9.0</v>
      </c>
      <c r="M1238" s="16">
        <v>2.64</v>
      </c>
    </row>
    <row r="1239">
      <c r="A1239" s="17">
        <v>17.805298805970168</v>
      </c>
      <c r="E1239" s="17">
        <v>29.16450067754076</v>
      </c>
      <c r="I1239" s="11">
        <v>11.0</v>
      </c>
      <c r="M1239" s="16">
        <v>13.984000000000002</v>
      </c>
    </row>
    <row r="1240">
      <c r="A1240" s="17">
        <v>12.505980823463073</v>
      </c>
      <c r="E1240" s="17">
        <v>300.8357902302943</v>
      </c>
      <c r="I1240" s="11">
        <v>45.0</v>
      </c>
      <c r="M1240" s="16">
        <v>1.7600000000000002</v>
      </c>
    </row>
    <row r="1241">
      <c r="A1241" s="17">
        <v>6.294489611562772</v>
      </c>
      <c r="E1241" s="17">
        <v>42.218440384172105</v>
      </c>
      <c r="I1241" s="11">
        <v>28.0</v>
      </c>
      <c r="M1241" s="16">
        <v>0.4</v>
      </c>
    </row>
    <row r="1242">
      <c r="A1242" s="17">
        <v>211.53215432396564</v>
      </c>
      <c r="E1242" s="17">
        <v>1.3182748339483432</v>
      </c>
      <c r="I1242" s="11">
        <v>23.0</v>
      </c>
      <c r="M1242" s="16">
        <v>35.64</v>
      </c>
    </row>
    <row r="1243">
      <c r="A1243" s="17">
        <v>4.063590997876862</v>
      </c>
      <c r="E1243" s="17">
        <v>11.983213114754099</v>
      </c>
      <c r="I1243" s="11">
        <v>2.0</v>
      </c>
      <c r="M1243" s="16">
        <v>6.808</v>
      </c>
    </row>
    <row r="1244">
      <c r="A1244" s="17">
        <v>7.057245557729939</v>
      </c>
      <c r="E1244" s="17">
        <v>1.8598676452599425</v>
      </c>
      <c r="I1244" s="11">
        <v>11.0</v>
      </c>
      <c r="M1244" s="16">
        <v>3.9840000000000004</v>
      </c>
    </row>
    <row r="1245">
      <c r="A1245" s="17">
        <v>6.155580823970031</v>
      </c>
      <c r="E1245" s="17">
        <v>25.78914764369748</v>
      </c>
      <c r="I1245" s="11">
        <v>39.0</v>
      </c>
      <c r="M1245" s="16">
        <v>4.456</v>
      </c>
    </row>
    <row r="1246">
      <c r="A1246" s="17">
        <v>25.70032195750162</v>
      </c>
      <c r="E1246" s="17">
        <v>3.6658560000000273</v>
      </c>
      <c r="I1246" s="11">
        <v>48.0</v>
      </c>
      <c r="M1246" s="16">
        <v>1.8</v>
      </c>
    </row>
    <row r="1247">
      <c r="A1247" s="17">
        <v>411.1979639943368</v>
      </c>
      <c r="E1247" s="17">
        <v>236.4887838742781</v>
      </c>
      <c r="I1247" s="11">
        <v>7.0</v>
      </c>
      <c r="M1247" s="16">
        <v>19.592</v>
      </c>
    </row>
    <row r="1248">
      <c r="A1248" s="17">
        <v>56.02538970660145</v>
      </c>
      <c r="E1248" s="17">
        <v>19.032946578947364</v>
      </c>
      <c r="I1248" s="11">
        <v>39.0</v>
      </c>
      <c r="M1248" s="16">
        <v>3.6240000000000006</v>
      </c>
    </row>
    <row r="1249">
      <c r="A1249" s="17">
        <v>6.871257376093292</v>
      </c>
      <c r="E1249" s="17">
        <v>0.6833071921182283</v>
      </c>
      <c r="I1249" s="11">
        <v>14.0</v>
      </c>
      <c r="M1249" s="16">
        <v>5.896000000000001</v>
      </c>
    </row>
    <row r="1250">
      <c r="A1250" s="17">
        <v>3.9315510997442464</v>
      </c>
      <c r="E1250" s="17">
        <v>37.195028551040615</v>
      </c>
      <c r="I1250" s="11">
        <v>36.0</v>
      </c>
      <c r="M1250" s="16">
        <v>2.048</v>
      </c>
    </row>
    <row r="1251">
      <c r="A1251" s="17">
        <v>6.8619104534606254</v>
      </c>
      <c r="E1251" s="17">
        <v>182.73037569066867</v>
      </c>
      <c r="I1251" s="11">
        <v>49.0</v>
      </c>
      <c r="M1251" s="16">
        <v>0.8160000000000001</v>
      </c>
    </row>
    <row r="1252">
      <c r="A1252" s="17">
        <v>31.187739792236147</v>
      </c>
      <c r="E1252" s="17">
        <v>12.669479519359118</v>
      </c>
      <c r="I1252" s="11">
        <v>3.0</v>
      </c>
      <c r="M1252" s="16">
        <v>28.672000000000004</v>
      </c>
    </row>
    <row r="1253">
      <c r="A1253" s="17">
        <v>41.33716315019845</v>
      </c>
      <c r="E1253" s="17">
        <v>128.82271126404365</v>
      </c>
      <c r="I1253" s="11">
        <v>30.0</v>
      </c>
      <c r="M1253" s="16">
        <v>4.0</v>
      </c>
    </row>
    <row r="1254">
      <c r="A1254" s="17">
        <v>58.907594992583896</v>
      </c>
      <c r="E1254" s="17">
        <v>18.71966766201806</v>
      </c>
      <c r="I1254" s="11">
        <v>32.0</v>
      </c>
      <c r="M1254" s="16">
        <v>4.184</v>
      </c>
    </row>
    <row r="1255">
      <c r="A1255" s="17">
        <v>143.1567021358034</v>
      </c>
      <c r="E1255" s="17">
        <v>3.1912087912087754</v>
      </c>
      <c r="I1255" s="11">
        <v>44.0</v>
      </c>
      <c r="M1255" s="16">
        <v>1.0</v>
      </c>
    </row>
    <row r="1256">
      <c r="A1256" s="17">
        <v>85.46801828119393</v>
      </c>
      <c r="E1256" s="17">
        <v>11.079696940634934</v>
      </c>
      <c r="I1256" s="11">
        <v>31.0</v>
      </c>
      <c r="M1256" s="16">
        <v>36.408</v>
      </c>
    </row>
    <row r="1257">
      <c r="A1257" s="17">
        <v>635.648792555149</v>
      </c>
      <c r="E1257" s="17">
        <v>478.57392946664856</v>
      </c>
      <c r="I1257" s="11">
        <v>21.0</v>
      </c>
      <c r="M1257" s="16">
        <v>15.991999999999999</v>
      </c>
    </row>
    <row r="1258">
      <c r="A1258" s="17">
        <v>83.55003014501379</v>
      </c>
      <c r="E1258" s="17">
        <v>2.218703577712616</v>
      </c>
      <c r="I1258" s="11">
        <v>44.0</v>
      </c>
      <c r="M1258" s="16">
        <v>1.192</v>
      </c>
    </row>
    <row r="1259">
      <c r="A1259" s="17">
        <v>15.645063371056125</v>
      </c>
      <c r="E1259" s="17">
        <v>1.8648148148148067</v>
      </c>
      <c r="I1259" s="11">
        <v>15.0</v>
      </c>
      <c r="M1259" s="16">
        <v>3.28</v>
      </c>
    </row>
    <row r="1260">
      <c r="A1260" s="17">
        <v>27.326062438751258</v>
      </c>
      <c r="E1260" s="17">
        <v>39.342701783524085</v>
      </c>
      <c r="I1260" s="11">
        <v>48.0</v>
      </c>
      <c r="M1260" s="16">
        <v>4.24</v>
      </c>
    </row>
    <row r="1261">
      <c r="A1261" s="17">
        <v>32.03614357277179</v>
      </c>
      <c r="E1261" s="17">
        <v>10.13794796269022</v>
      </c>
      <c r="I1261" s="11">
        <v>29.0</v>
      </c>
      <c r="M1261" s="16">
        <v>3.936</v>
      </c>
    </row>
    <row r="1262">
      <c r="A1262" s="17">
        <v>16.456174383523475</v>
      </c>
      <c r="E1262" s="17">
        <v>13.381482714468607</v>
      </c>
      <c r="I1262" s="11">
        <v>31.0</v>
      </c>
      <c r="M1262" s="16">
        <v>4.112</v>
      </c>
    </row>
    <row r="1263">
      <c r="A1263" s="17">
        <v>44.6018379992917</v>
      </c>
      <c r="E1263" s="17">
        <v>1.4059950000000005</v>
      </c>
      <c r="I1263" s="11">
        <v>26.0</v>
      </c>
      <c r="M1263" s="16">
        <v>15.991999999999999</v>
      </c>
    </row>
    <row r="1264">
      <c r="A1264" s="17">
        <v>14.426759513340508</v>
      </c>
      <c r="E1264" s="17">
        <v>244.90517793836906</v>
      </c>
      <c r="I1264" s="11">
        <v>46.0</v>
      </c>
      <c r="M1264" s="16">
        <v>6.944</v>
      </c>
    </row>
    <row r="1265">
      <c r="A1265" s="17">
        <v>0.22892307692307712</v>
      </c>
      <c r="E1265" s="17">
        <v>14.061377245509005</v>
      </c>
      <c r="I1265" s="11">
        <v>4.0</v>
      </c>
      <c r="M1265" s="16">
        <v>0.5599999999999999</v>
      </c>
    </row>
    <row r="1266">
      <c r="A1266" s="17">
        <v>51.400855855803805</v>
      </c>
      <c r="E1266" s="17">
        <v>18.674775519603998</v>
      </c>
      <c r="I1266" s="11">
        <v>29.0</v>
      </c>
      <c r="M1266" s="16">
        <v>11.192</v>
      </c>
    </row>
    <row r="1267">
      <c r="A1267" s="17">
        <v>20.594509090908996</v>
      </c>
      <c r="E1267" s="17">
        <v>6.393951855855854</v>
      </c>
      <c r="I1267" s="11">
        <v>45.0</v>
      </c>
      <c r="M1267" s="16">
        <v>2.64</v>
      </c>
    </row>
    <row r="1268">
      <c r="A1268" s="17">
        <v>91.17252864461815</v>
      </c>
      <c r="E1268" s="17">
        <v>261.13438096652555</v>
      </c>
      <c r="I1268" s="11">
        <v>10.0</v>
      </c>
      <c r="M1268" s="16">
        <v>7.192</v>
      </c>
    </row>
    <row r="1269">
      <c r="A1269" s="17">
        <v>141.3213689096248</v>
      </c>
      <c r="E1269" s="17">
        <v>4.108543724137928</v>
      </c>
      <c r="I1269" s="11">
        <v>12.0</v>
      </c>
      <c r="M1269" s="16">
        <v>55.712</v>
      </c>
    </row>
    <row r="1270">
      <c r="A1270" s="17">
        <v>49.333090697335855</v>
      </c>
      <c r="E1270" s="17">
        <v>61.217123365548545</v>
      </c>
      <c r="I1270" s="11">
        <v>23.0</v>
      </c>
      <c r="M1270" s="16">
        <v>3.2</v>
      </c>
    </row>
    <row r="1271">
      <c r="A1271" s="17">
        <v>31.582319234345043</v>
      </c>
      <c r="E1271" s="17">
        <v>188.12524700222716</v>
      </c>
      <c r="I1271" s="11">
        <v>42.0</v>
      </c>
      <c r="M1271" s="16">
        <v>7.384</v>
      </c>
    </row>
    <row r="1272">
      <c r="A1272" s="17">
        <v>30.77085508638856</v>
      </c>
      <c r="E1272" s="17">
        <v>36.62424999939364</v>
      </c>
      <c r="I1272" s="11">
        <v>29.0</v>
      </c>
      <c r="M1272" s="16">
        <v>3.6240000000000006</v>
      </c>
    </row>
    <row r="1273">
      <c r="A1273" s="17">
        <v>5.590443148688041</v>
      </c>
      <c r="E1273" s="17">
        <v>6.831935481548166</v>
      </c>
      <c r="I1273" s="11">
        <v>1.0</v>
      </c>
      <c r="M1273" s="16">
        <v>6.96</v>
      </c>
    </row>
    <row r="1274">
      <c r="A1274" s="17">
        <v>34.19612735606488</v>
      </c>
      <c r="E1274" s="17">
        <v>83.27786041540388</v>
      </c>
      <c r="I1274" s="11">
        <v>20.0</v>
      </c>
      <c r="M1274" s="16">
        <v>1.592</v>
      </c>
    </row>
    <row r="1275">
      <c r="A1275" s="17">
        <v>92.33884358028043</v>
      </c>
      <c r="E1275" s="17">
        <v>249.41800592011612</v>
      </c>
      <c r="I1275" s="11">
        <v>38.0</v>
      </c>
      <c r="M1275" s="16">
        <v>33.6</v>
      </c>
    </row>
    <row r="1276">
      <c r="A1276" s="17">
        <v>112.88851296558279</v>
      </c>
      <c r="E1276" s="17">
        <v>9.406677498069447</v>
      </c>
      <c r="I1276" s="11">
        <v>19.0</v>
      </c>
      <c r="M1276" s="16">
        <v>40.0</v>
      </c>
    </row>
    <row r="1277">
      <c r="A1277" s="17">
        <v>1.7873592951541832</v>
      </c>
      <c r="E1277" s="17">
        <v>88.71609739197233</v>
      </c>
      <c r="I1277" s="11">
        <v>20.0</v>
      </c>
      <c r="M1277" s="16">
        <v>0.976</v>
      </c>
    </row>
    <row r="1278">
      <c r="A1278" s="17">
        <v>13.473024851784688</v>
      </c>
      <c r="E1278" s="17">
        <v>302.95647200632993</v>
      </c>
      <c r="I1278" s="11">
        <v>41.0</v>
      </c>
      <c r="M1278" s="16">
        <v>4.928000000000001</v>
      </c>
    </row>
    <row r="1279">
      <c r="A1279" s="17">
        <v>21.12003428948239</v>
      </c>
      <c r="E1279" s="17">
        <v>28.83325191022448</v>
      </c>
      <c r="I1279" s="11">
        <v>35.0</v>
      </c>
      <c r="M1279" s="16">
        <v>3.9600000000000004</v>
      </c>
    </row>
    <row r="1280">
      <c r="A1280" s="17">
        <v>1.77270303030303</v>
      </c>
      <c r="E1280" s="17">
        <v>116.71104635761577</v>
      </c>
      <c r="I1280" s="11">
        <v>1.0</v>
      </c>
      <c r="M1280" s="16">
        <v>2.2800000000000002</v>
      </c>
    </row>
    <row r="1281">
      <c r="A1281" s="17">
        <v>27.187485745466212</v>
      </c>
      <c r="E1281" s="17">
        <v>67.11737770022128</v>
      </c>
      <c r="I1281" s="11">
        <v>8.0</v>
      </c>
      <c r="M1281" s="16">
        <v>11.192</v>
      </c>
    </row>
    <row r="1282">
      <c r="A1282" s="17">
        <v>1.0000885608856114</v>
      </c>
      <c r="E1282" s="17">
        <v>35.3155008427644</v>
      </c>
      <c r="I1282" s="11">
        <v>15.0</v>
      </c>
      <c r="M1282" s="16">
        <v>0.5599999999999999</v>
      </c>
    </row>
    <row r="1283">
      <c r="A1283" s="17">
        <v>7.225139809523805</v>
      </c>
      <c r="E1283" s="17">
        <v>85.6765182161998</v>
      </c>
      <c r="I1283" s="11">
        <v>38.0</v>
      </c>
      <c r="M1283" s="16">
        <v>3.816</v>
      </c>
    </row>
    <row r="1284">
      <c r="A1284" s="17">
        <v>196.69688509647884</v>
      </c>
      <c r="E1284" s="17">
        <v>19.824489498615836</v>
      </c>
      <c r="I1284" s="11">
        <v>5.0</v>
      </c>
      <c r="M1284" s="16">
        <v>15.991999999999999</v>
      </c>
    </row>
    <row r="1285">
      <c r="A1285" s="17">
        <v>117.10890098948636</v>
      </c>
      <c r="E1285" s="17">
        <v>156.8269166050384</v>
      </c>
      <c r="I1285" s="11">
        <v>15.0</v>
      </c>
      <c r="M1285" s="16">
        <v>34.656</v>
      </c>
    </row>
    <row r="1286">
      <c r="A1286" s="17">
        <v>18.515961236551746</v>
      </c>
      <c r="E1286" s="17">
        <v>4.274619340515846</v>
      </c>
      <c r="I1286" s="11">
        <v>7.0</v>
      </c>
      <c r="M1286" s="16">
        <v>15.991999999999999</v>
      </c>
    </row>
    <row r="1287">
      <c r="A1287" s="17">
        <v>16.634267522184306</v>
      </c>
      <c r="E1287" s="17">
        <v>40.23539927500557</v>
      </c>
      <c r="I1287" s="11">
        <v>47.0</v>
      </c>
      <c r="M1287" s="16">
        <v>2.696</v>
      </c>
    </row>
    <row r="1288">
      <c r="A1288" s="17">
        <v>3.6407580411475</v>
      </c>
      <c r="E1288" s="17">
        <v>181.41387236916495</v>
      </c>
      <c r="I1288" s="11">
        <v>21.0</v>
      </c>
      <c r="M1288" s="16">
        <v>7.5200000000000005</v>
      </c>
    </row>
    <row r="1289">
      <c r="A1289" s="17">
        <v>26.423098233719905</v>
      </c>
      <c r="E1289" s="17">
        <v>1.5019163451776651</v>
      </c>
      <c r="I1289" s="11">
        <v>10.0</v>
      </c>
      <c r="M1289" s="16">
        <v>2.3920000000000003</v>
      </c>
    </row>
    <row r="1290">
      <c r="A1290" s="17">
        <v>117.65403212598433</v>
      </c>
      <c r="E1290" s="17">
        <v>199.86833995503702</v>
      </c>
      <c r="I1290" s="11">
        <v>47.0</v>
      </c>
      <c r="M1290" s="16">
        <v>11.488</v>
      </c>
    </row>
    <row r="1291">
      <c r="A1291" s="17">
        <v>4.1875314059405975</v>
      </c>
      <c r="E1291" s="17">
        <v>22.7649748694196</v>
      </c>
      <c r="I1291" s="11">
        <v>11.0</v>
      </c>
      <c r="M1291" s="16">
        <v>0.792</v>
      </c>
    </row>
    <row r="1292">
      <c r="A1292" s="17">
        <v>141.14541134499123</v>
      </c>
      <c r="E1292" s="17">
        <v>33.53555644837284</v>
      </c>
      <c r="I1292" s="11">
        <v>23.0</v>
      </c>
      <c r="M1292" s="16">
        <v>4.5040000000000004</v>
      </c>
    </row>
    <row r="1293">
      <c r="A1293" s="17">
        <v>4.916203868225287</v>
      </c>
      <c r="E1293" s="17">
        <v>9.947787993421061</v>
      </c>
      <c r="I1293" s="11">
        <v>6.0</v>
      </c>
      <c r="M1293" s="16">
        <v>11.496</v>
      </c>
    </row>
    <row r="1294">
      <c r="A1294" s="17">
        <v>20.09124639910561</v>
      </c>
      <c r="E1294" s="17">
        <v>161.04412044192537</v>
      </c>
      <c r="I1294" s="11">
        <v>43.0</v>
      </c>
      <c r="M1294" s="16">
        <v>5.336</v>
      </c>
    </row>
    <row r="1295">
      <c r="A1295" s="17">
        <v>10.833642498205316</v>
      </c>
      <c r="E1295" s="17">
        <v>14.147791612121202</v>
      </c>
      <c r="I1295" s="11">
        <v>27.0</v>
      </c>
      <c r="M1295" s="16">
        <v>0.5599999999999999</v>
      </c>
    </row>
    <row r="1296">
      <c r="A1296" s="17">
        <v>25.57895227020945</v>
      </c>
      <c r="E1296" s="17">
        <v>1.0820273754152845</v>
      </c>
      <c r="I1296" s="11">
        <v>20.0</v>
      </c>
      <c r="M1296" s="16">
        <v>15.991999999999999</v>
      </c>
    </row>
    <row r="1297">
      <c r="A1297" s="17">
        <v>177.56389927929746</v>
      </c>
      <c r="E1297" s="17">
        <v>0.5834862385321115</v>
      </c>
      <c r="I1297" s="11">
        <v>50.0</v>
      </c>
      <c r="M1297" s="16">
        <v>15.991999999999999</v>
      </c>
    </row>
    <row r="1298">
      <c r="A1298" s="17">
        <v>32.13508124759108</v>
      </c>
      <c r="E1298" s="17">
        <v>6.186666666666672</v>
      </c>
      <c r="I1298" s="11">
        <v>41.0</v>
      </c>
      <c r="M1298" s="16">
        <v>6.992000000000001</v>
      </c>
    </row>
    <row r="1299">
      <c r="A1299" s="17">
        <v>8.507304251207739</v>
      </c>
      <c r="E1299" s="17">
        <v>43.89079280801255</v>
      </c>
      <c r="I1299" s="11">
        <v>13.0</v>
      </c>
      <c r="M1299" s="16">
        <v>4.5040000000000004</v>
      </c>
    </row>
    <row r="1300">
      <c r="A1300" s="17">
        <v>21.166729491102103</v>
      </c>
      <c r="E1300" s="17">
        <v>18.587156914846187</v>
      </c>
      <c r="I1300" s="11">
        <v>39.0</v>
      </c>
      <c r="M1300" s="16">
        <v>1.1119999999999999</v>
      </c>
    </row>
    <row r="1301">
      <c r="A1301" s="17">
        <v>27.37230381930197</v>
      </c>
      <c r="E1301" s="17">
        <v>3.254090202898544</v>
      </c>
      <c r="I1301" s="11">
        <v>44.0</v>
      </c>
      <c r="M1301" s="16">
        <v>7.192</v>
      </c>
    </row>
    <row r="1302">
      <c r="A1302" s="17">
        <v>30.83358571200764</v>
      </c>
      <c r="E1302" s="17">
        <v>3.1014586588921285</v>
      </c>
      <c r="I1302" s="11">
        <v>43.0</v>
      </c>
      <c r="M1302" s="16">
        <v>5.48</v>
      </c>
    </row>
    <row r="1303">
      <c r="A1303" s="17">
        <v>31.298193568627486</v>
      </c>
      <c r="E1303" s="17">
        <v>4.151834274952918</v>
      </c>
      <c r="I1303" s="11">
        <v>48.0</v>
      </c>
      <c r="M1303" s="16">
        <v>5.5360000000000005</v>
      </c>
    </row>
    <row r="1304">
      <c r="A1304" s="17">
        <v>25.64217146058168</v>
      </c>
      <c r="E1304" s="17">
        <v>300.32965709096146</v>
      </c>
      <c r="I1304" s="11">
        <v>29.0</v>
      </c>
      <c r="M1304" s="16">
        <v>1.592</v>
      </c>
    </row>
    <row r="1305">
      <c r="A1305" s="17">
        <v>115.19829825949616</v>
      </c>
      <c r="E1305" s="17">
        <v>12.592279453053782</v>
      </c>
      <c r="I1305" s="11">
        <v>29.0</v>
      </c>
      <c r="M1305" s="16">
        <v>15.991999999999999</v>
      </c>
    </row>
    <row r="1306">
      <c r="A1306" s="17">
        <v>3.3428571428571376</v>
      </c>
      <c r="E1306" s="17">
        <v>1.0336998165137623</v>
      </c>
      <c r="I1306" s="11">
        <v>4.0</v>
      </c>
      <c r="M1306" s="16">
        <v>3.6</v>
      </c>
    </row>
    <row r="1307">
      <c r="A1307" s="17">
        <v>351.2747941416446</v>
      </c>
      <c r="E1307" s="17">
        <v>148.22511999494768</v>
      </c>
      <c r="I1307" s="11">
        <v>22.0</v>
      </c>
      <c r="M1307" s="16">
        <v>47.160000000000004</v>
      </c>
    </row>
    <row r="1308">
      <c r="A1308" s="17">
        <v>1145.064451193978</v>
      </c>
      <c r="E1308" s="17">
        <v>70.23427107179599</v>
      </c>
      <c r="I1308" s="11">
        <v>19.0</v>
      </c>
      <c r="M1308" s="16">
        <v>11.192</v>
      </c>
    </row>
    <row r="1309">
      <c r="A1309" s="17">
        <v>125.99597042237166</v>
      </c>
      <c r="E1309" s="17">
        <v>23.08055382618773</v>
      </c>
      <c r="I1309" s="11">
        <v>21.0</v>
      </c>
      <c r="M1309" s="16">
        <v>11.192</v>
      </c>
    </row>
    <row r="1310">
      <c r="A1310" s="17">
        <v>4.536115640535368</v>
      </c>
      <c r="E1310" s="17">
        <v>68.96837159900339</v>
      </c>
      <c r="I1310" s="11">
        <v>8.0</v>
      </c>
      <c r="M1310" s="16">
        <v>4.648</v>
      </c>
    </row>
    <row r="1311">
      <c r="A1311" s="17">
        <v>196.79425997952913</v>
      </c>
      <c r="E1311" s="17">
        <v>47.51424885725576</v>
      </c>
      <c r="I1311" s="11">
        <v>16.0</v>
      </c>
      <c r="M1311" s="16">
        <v>20.96</v>
      </c>
    </row>
    <row r="1312">
      <c r="A1312" s="17">
        <v>322.5071982860208</v>
      </c>
      <c r="E1312" s="17">
        <v>141.0212194632266</v>
      </c>
      <c r="I1312" s="11">
        <v>37.0</v>
      </c>
      <c r="M1312" s="16">
        <v>51.36000000000001</v>
      </c>
    </row>
    <row r="1313">
      <c r="A1313" s="17">
        <v>1.9135230967741959</v>
      </c>
      <c r="E1313" s="17">
        <v>6.34991978666667</v>
      </c>
      <c r="I1313" s="11">
        <v>18.0</v>
      </c>
      <c r="M1313" s="16">
        <v>3.2560000000000002</v>
      </c>
    </row>
    <row r="1314">
      <c r="A1314" s="17">
        <v>86.03407166765109</v>
      </c>
      <c r="E1314" s="17">
        <v>72.55175434227793</v>
      </c>
      <c r="I1314" s="11">
        <v>23.0</v>
      </c>
      <c r="M1314" s="16">
        <v>3.2</v>
      </c>
    </row>
    <row r="1315">
      <c r="A1315" s="17">
        <v>53.61672241730279</v>
      </c>
      <c r="E1315" s="17">
        <v>114.13251416987292</v>
      </c>
      <c r="I1315" s="11">
        <v>19.0</v>
      </c>
      <c r="M1315" s="16">
        <v>5.312</v>
      </c>
    </row>
    <row r="1316">
      <c r="A1316" s="17">
        <v>30.739377586291344</v>
      </c>
      <c r="E1316" s="17">
        <v>159.41943162263382</v>
      </c>
      <c r="I1316" s="11">
        <v>26.0</v>
      </c>
      <c r="M1316" s="16">
        <v>5.816</v>
      </c>
    </row>
    <row r="1317">
      <c r="A1317" s="17">
        <v>1124.7987806943981</v>
      </c>
      <c r="E1317" s="17">
        <v>36.75272536425623</v>
      </c>
      <c r="I1317" s="11">
        <v>45.0</v>
      </c>
      <c r="M1317" s="16">
        <v>11.192</v>
      </c>
    </row>
    <row r="1318">
      <c r="A1318" s="17">
        <v>1.0312633279483099</v>
      </c>
      <c r="E1318" s="17">
        <v>8.762063979057611</v>
      </c>
      <c r="I1318" s="11">
        <v>21.0</v>
      </c>
      <c r="M1318" s="16">
        <v>0.96</v>
      </c>
    </row>
    <row r="1319">
      <c r="A1319" s="17">
        <v>706.7260672910157</v>
      </c>
      <c r="E1319" s="17">
        <v>196.42482041451052</v>
      </c>
      <c r="I1319" s="11">
        <v>45.0</v>
      </c>
      <c r="M1319" s="16">
        <v>34.016000000000005</v>
      </c>
    </row>
    <row r="1320">
      <c r="A1320" s="17">
        <v>3.155477299199988</v>
      </c>
      <c r="E1320" s="17">
        <v>84.95121840318377</v>
      </c>
      <c r="I1320" s="11">
        <v>28.0</v>
      </c>
      <c r="M1320" s="16">
        <v>4.112</v>
      </c>
    </row>
    <row r="1321">
      <c r="A1321" s="17">
        <v>347.0166727870743</v>
      </c>
      <c r="E1321" s="17">
        <v>11.776245941731625</v>
      </c>
      <c r="I1321" s="11">
        <v>47.0</v>
      </c>
      <c r="M1321" s="16">
        <v>41.552</v>
      </c>
    </row>
    <row r="1322">
      <c r="A1322" s="17">
        <v>45.23212888599652</v>
      </c>
      <c r="E1322" s="17">
        <v>5.625599291251377</v>
      </c>
      <c r="I1322" s="11">
        <v>33.0</v>
      </c>
      <c r="M1322" s="16">
        <v>43.288000000000004</v>
      </c>
    </row>
    <row r="1323">
      <c r="A1323" s="17">
        <v>87.93739698875419</v>
      </c>
      <c r="E1323" s="17">
        <v>93.33501675412684</v>
      </c>
      <c r="I1323" s="11">
        <v>33.0</v>
      </c>
      <c r="M1323" s="16">
        <v>1.592</v>
      </c>
    </row>
    <row r="1324">
      <c r="A1324" s="17">
        <v>3.141251337868484</v>
      </c>
      <c r="E1324" s="17">
        <v>3.053335813953493</v>
      </c>
      <c r="I1324" s="11">
        <v>9.0</v>
      </c>
      <c r="M1324" s="16">
        <v>1.096</v>
      </c>
    </row>
    <row r="1325">
      <c r="A1325" s="17">
        <v>32.12699747687131</v>
      </c>
      <c r="E1325" s="17">
        <v>230.35599388503752</v>
      </c>
      <c r="I1325" s="11">
        <v>37.0</v>
      </c>
      <c r="M1325" s="16">
        <v>2.8000000000000003</v>
      </c>
    </row>
    <row r="1326">
      <c r="A1326" s="17">
        <v>5.443424078900987</v>
      </c>
      <c r="E1326" s="17">
        <v>6.725123223021575</v>
      </c>
      <c r="I1326" s="11">
        <v>23.0</v>
      </c>
      <c r="M1326" s="16">
        <v>4.648</v>
      </c>
    </row>
    <row r="1327">
      <c r="A1327" s="17">
        <v>4.762159590942252</v>
      </c>
      <c r="E1327" s="17">
        <v>33.70931844536791</v>
      </c>
      <c r="I1327" s="11">
        <v>41.0</v>
      </c>
      <c r="M1327" s="16">
        <v>6.552</v>
      </c>
    </row>
    <row r="1328">
      <c r="A1328" s="17">
        <v>27.953993092887735</v>
      </c>
      <c r="E1328" s="17">
        <v>76.70790622475934</v>
      </c>
      <c r="I1328" s="11">
        <v>21.0</v>
      </c>
      <c r="M1328" s="16">
        <v>20.976</v>
      </c>
    </row>
    <row r="1329">
      <c r="A1329" s="17">
        <v>83.74647917760129</v>
      </c>
      <c r="E1329" s="17">
        <v>12.418287839195974</v>
      </c>
      <c r="I1329" s="11">
        <v>27.0</v>
      </c>
      <c r="M1329" s="16">
        <v>1.592</v>
      </c>
    </row>
    <row r="1330">
      <c r="A1330" s="17">
        <v>153.33633442455366</v>
      </c>
      <c r="E1330" s="17">
        <v>109.51900246721537</v>
      </c>
      <c r="I1330" s="11">
        <v>43.0</v>
      </c>
      <c r="M1330" s="16">
        <v>15.991999999999999</v>
      </c>
    </row>
    <row r="1331">
      <c r="A1331" s="17">
        <v>859.5800065189386</v>
      </c>
      <c r="E1331" s="17">
        <v>71.75862535365232</v>
      </c>
      <c r="I1331" s="11">
        <v>23.0</v>
      </c>
      <c r="M1331" s="16">
        <v>19.592</v>
      </c>
    </row>
    <row r="1332">
      <c r="A1332" s="17">
        <v>29.929696726604515</v>
      </c>
      <c r="E1332" s="17">
        <v>11.165900690960722</v>
      </c>
      <c r="I1332" s="11">
        <v>15.0</v>
      </c>
      <c r="M1332" s="16">
        <v>3.192</v>
      </c>
    </row>
    <row r="1333">
      <c r="A1333" s="17">
        <v>2.743560907715571</v>
      </c>
      <c r="E1333" s="17">
        <v>4.325082734177214</v>
      </c>
      <c r="I1333" s="11">
        <v>6.0</v>
      </c>
      <c r="M1333" s="16">
        <v>1.4320000000000002</v>
      </c>
    </row>
    <row r="1334">
      <c r="A1334" s="17">
        <v>4.102611367127489</v>
      </c>
      <c r="E1334" s="17">
        <v>2.609618134263282</v>
      </c>
      <c r="I1334" s="11">
        <v>27.0</v>
      </c>
      <c r="M1334" s="16">
        <v>4.0</v>
      </c>
    </row>
    <row r="1335">
      <c r="A1335" s="17">
        <v>157.17094172251942</v>
      </c>
      <c r="E1335" s="17">
        <v>50.69509511995579</v>
      </c>
      <c r="I1335" s="11">
        <v>46.0</v>
      </c>
      <c r="M1335" s="16">
        <v>11.776000000000002</v>
      </c>
    </row>
    <row r="1336">
      <c r="A1336" s="17">
        <v>6.248375240040869</v>
      </c>
      <c r="E1336" s="17">
        <v>426.0385281169065</v>
      </c>
      <c r="I1336" s="11">
        <v>45.0</v>
      </c>
      <c r="M1336" s="16">
        <v>1.192</v>
      </c>
    </row>
    <row r="1337">
      <c r="A1337" s="17">
        <v>129.46414322768865</v>
      </c>
      <c r="E1337" s="17">
        <v>6.157213580901865</v>
      </c>
      <c r="I1337" s="11">
        <v>47.0</v>
      </c>
      <c r="M1337" s="16">
        <v>6.872</v>
      </c>
    </row>
    <row r="1338">
      <c r="A1338" s="17">
        <v>59.56332825423972</v>
      </c>
      <c r="E1338" s="17">
        <v>9.85364653594773</v>
      </c>
      <c r="I1338" s="11">
        <v>37.0</v>
      </c>
      <c r="M1338" s="16">
        <v>11.616</v>
      </c>
    </row>
    <row r="1339">
      <c r="A1339" s="17">
        <v>1.7527562189054737</v>
      </c>
      <c r="E1339" s="17">
        <v>12.12758587136351</v>
      </c>
      <c r="I1339" s="11">
        <v>11.0</v>
      </c>
      <c r="M1339" s="16">
        <v>0.5599999999999999</v>
      </c>
    </row>
    <row r="1340">
      <c r="A1340" s="17">
        <v>60.04367459922332</v>
      </c>
      <c r="E1340" s="17">
        <v>246.52430585068714</v>
      </c>
      <c r="I1340" s="11">
        <v>6.0</v>
      </c>
      <c r="M1340" s="16">
        <v>64.16000000000001</v>
      </c>
    </row>
    <row r="1341">
      <c r="A1341" s="17">
        <v>386.5427593971932</v>
      </c>
      <c r="E1341" s="17">
        <v>30.950702140391297</v>
      </c>
      <c r="I1341" s="11">
        <v>46.0</v>
      </c>
      <c r="M1341" s="16">
        <v>11.200000000000001</v>
      </c>
    </row>
    <row r="1342">
      <c r="A1342" s="17">
        <v>100.78626492077488</v>
      </c>
      <c r="E1342" s="17">
        <v>18.058590461969214</v>
      </c>
      <c r="I1342" s="11">
        <v>31.0</v>
      </c>
      <c r="M1342" s="16">
        <v>3.192</v>
      </c>
    </row>
    <row r="1343">
      <c r="A1343" s="17">
        <v>34.800334399608715</v>
      </c>
      <c r="E1343" s="17">
        <v>1.5481466666666706</v>
      </c>
      <c r="I1343" s="11">
        <v>9.0</v>
      </c>
      <c r="M1343" s="16">
        <v>2.3920000000000003</v>
      </c>
    </row>
    <row r="1344">
      <c r="A1344" s="17">
        <v>5.742839986352793</v>
      </c>
      <c r="E1344" s="17">
        <v>57.84251808306708</v>
      </c>
      <c r="I1344" s="11">
        <v>26.0</v>
      </c>
      <c r="M1344" s="16">
        <v>3.84</v>
      </c>
    </row>
    <row r="1345">
      <c r="A1345" s="17">
        <v>105.52139445578095</v>
      </c>
      <c r="E1345" s="17">
        <v>79.83663558620694</v>
      </c>
      <c r="I1345" s="11">
        <v>8.0</v>
      </c>
      <c r="M1345" s="16">
        <v>14.288</v>
      </c>
    </row>
    <row r="1346">
      <c r="A1346" s="17">
        <v>820.8283285928137</v>
      </c>
      <c r="E1346" s="17">
        <v>7.501802264150954</v>
      </c>
      <c r="I1346" s="11">
        <v>38.0</v>
      </c>
      <c r="M1346" s="16">
        <v>15.991999999999999</v>
      </c>
    </row>
    <row r="1347">
      <c r="A1347" s="17">
        <v>28.61164351982007</v>
      </c>
      <c r="E1347" s="17">
        <v>13.268088855534693</v>
      </c>
      <c r="I1347" s="11">
        <v>50.0</v>
      </c>
      <c r="M1347" s="16">
        <v>4.32</v>
      </c>
    </row>
    <row r="1348">
      <c r="A1348" s="17">
        <v>169.48210859507557</v>
      </c>
      <c r="E1348" s="17">
        <v>153.96653892887204</v>
      </c>
      <c r="I1348" s="11">
        <v>13.0</v>
      </c>
      <c r="M1348" s="16">
        <v>43.792</v>
      </c>
    </row>
    <row r="1349">
      <c r="A1349" s="17">
        <v>2.737716110671965</v>
      </c>
      <c r="E1349" s="17">
        <v>47.24927576470592</v>
      </c>
      <c r="I1349" s="11">
        <v>28.0</v>
      </c>
      <c r="M1349" s="16">
        <v>6.632</v>
      </c>
    </row>
    <row r="1350">
      <c r="A1350" s="17">
        <v>430.3497203829197</v>
      </c>
      <c r="E1350" s="17">
        <v>266.9530427710455</v>
      </c>
      <c r="I1350" s="11">
        <v>10.0</v>
      </c>
      <c r="M1350" s="16">
        <v>35.64</v>
      </c>
    </row>
    <row r="1351">
      <c r="A1351" s="17">
        <v>1618.3254009395907</v>
      </c>
      <c r="E1351" s="17">
        <v>1.698229471585239</v>
      </c>
      <c r="I1351" s="11">
        <v>41.0</v>
      </c>
      <c r="M1351" s="16">
        <v>19.592</v>
      </c>
    </row>
    <row r="1352">
      <c r="A1352" s="17">
        <v>174.58666809272967</v>
      </c>
      <c r="E1352" s="17">
        <v>223.028161834102</v>
      </c>
      <c r="I1352" s="11">
        <v>39.0</v>
      </c>
      <c r="M1352" s="16">
        <v>11.200000000000001</v>
      </c>
    </row>
    <row r="1353">
      <c r="A1353" s="17">
        <v>5.594809312638581</v>
      </c>
      <c r="E1353" s="17">
        <v>3.2707808588957077</v>
      </c>
      <c r="I1353" s="11">
        <v>19.0</v>
      </c>
      <c r="M1353" s="16">
        <v>1.72</v>
      </c>
    </row>
    <row r="1354">
      <c r="A1354" s="17">
        <v>51.376789968334336</v>
      </c>
      <c r="E1354" s="17">
        <v>19.83564447937131</v>
      </c>
      <c r="I1354" s="11">
        <v>48.0</v>
      </c>
      <c r="M1354" s="16">
        <v>3.9840000000000004</v>
      </c>
    </row>
    <row r="1355">
      <c r="A1355" s="17">
        <v>132.94580315863496</v>
      </c>
      <c r="E1355" s="17">
        <v>71.39265379798546</v>
      </c>
      <c r="I1355" s="11">
        <v>15.0</v>
      </c>
      <c r="M1355" s="16">
        <v>12.808000000000002</v>
      </c>
    </row>
    <row r="1356">
      <c r="A1356" s="17">
        <v>11.308369283865416</v>
      </c>
      <c r="E1356" s="17">
        <v>13.827126464646444</v>
      </c>
      <c r="I1356" s="11">
        <v>6.0</v>
      </c>
      <c r="M1356" s="16">
        <v>9.0</v>
      </c>
    </row>
    <row r="1357">
      <c r="A1357" s="17">
        <v>3.975329685534582</v>
      </c>
      <c r="E1357" s="17">
        <v>0.3296090238611651</v>
      </c>
      <c r="I1357" s="11">
        <v>11.0</v>
      </c>
      <c r="M1357" s="16">
        <v>3.192</v>
      </c>
    </row>
    <row r="1358">
      <c r="A1358" s="17">
        <v>23.720286315789497</v>
      </c>
      <c r="E1358" s="17">
        <v>0.7158766519823774</v>
      </c>
      <c r="I1358" s="11">
        <v>33.0</v>
      </c>
      <c r="M1358" s="16">
        <v>1.6079999999999999</v>
      </c>
    </row>
    <row r="1359">
      <c r="A1359" s="17">
        <v>14.160559182004086</v>
      </c>
      <c r="E1359" s="17">
        <v>5.064955711892798</v>
      </c>
      <c r="I1359" s="11">
        <v>42.0</v>
      </c>
      <c r="M1359" s="16">
        <v>3.8320000000000003</v>
      </c>
    </row>
    <row r="1360">
      <c r="A1360" s="17">
        <v>99.281532105092</v>
      </c>
      <c r="E1360" s="17">
        <v>14.569416554978769</v>
      </c>
      <c r="I1360" s="11">
        <v>33.0</v>
      </c>
      <c r="M1360" s="16">
        <v>2.232</v>
      </c>
    </row>
    <row r="1361">
      <c r="A1361" s="17">
        <v>17.38178073512694</v>
      </c>
      <c r="E1361" s="17">
        <v>20.67729732283462</v>
      </c>
      <c r="I1361" s="11">
        <v>14.0</v>
      </c>
      <c r="M1361" s="16">
        <v>1.592</v>
      </c>
    </row>
    <row r="1362">
      <c r="A1362" s="17">
        <v>50.078181491008706</v>
      </c>
      <c r="E1362" s="17">
        <v>10.71075168612797</v>
      </c>
      <c r="I1362" s="11">
        <v>24.0</v>
      </c>
      <c r="M1362" s="16">
        <v>7.192</v>
      </c>
    </row>
    <row r="1363">
      <c r="A1363" s="17">
        <v>170.64226708649747</v>
      </c>
      <c r="E1363" s="17">
        <v>5.267929362688293</v>
      </c>
      <c r="I1363" s="11">
        <v>32.0</v>
      </c>
      <c r="M1363" s="16">
        <v>24.0</v>
      </c>
    </row>
    <row r="1364">
      <c r="A1364" s="17">
        <v>179.11630058057466</v>
      </c>
      <c r="E1364" s="17">
        <v>102.4625987405405</v>
      </c>
      <c r="I1364" s="11">
        <v>19.0</v>
      </c>
      <c r="M1364" s="16">
        <v>15.991999999999999</v>
      </c>
    </row>
    <row r="1365">
      <c r="A1365" s="17">
        <v>9.99607075826974</v>
      </c>
      <c r="E1365" s="17">
        <v>434.38351393999176</v>
      </c>
      <c r="I1365" s="11">
        <v>44.0</v>
      </c>
      <c r="M1365" s="16">
        <v>5.5360000000000005</v>
      </c>
    </row>
    <row r="1366">
      <c r="A1366" s="17">
        <v>6.774815359246178</v>
      </c>
      <c r="E1366" s="17">
        <v>53.153787447945454</v>
      </c>
      <c r="I1366" s="11">
        <v>15.0</v>
      </c>
      <c r="M1366" s="16">
        <v>3.976</v>
      </c>
    </row>
    <row r="1367">
      <c r="A1367" s="17">
        <v>3.6673607305936065</v>
      </c>
      <c r="E1367" s="17">
        <v>10.208995101654871</v>
      </c>
      <c r="I1367" s="11">
        <v>28.0</v>
      </c>
      <c r="M1367" s="16">
        <v>0.5599999999999999</v>
      </c>
    </row>
    <row r="1368">
      <c r="A1368" s="17">
        <v>3.7073678961039005</v>
      </c>
      <c r="E1368" s="17">
        <v>2.416802168021681</v>
      </c>
      <c r="I1368" s="11">
        <v>12.0</v>
      </c>
      <c r="M1368" s="16">
        <v>0.7440000000000001</v>
      </c>
    </row>
    <row r="1369">
      <c r="A1369" s="17">
        <v>54.914366414173834</v>
      </c>
      <c r="E1369" s="17">
        <v>3.5692426652394817</v>
      </c>
      <c r="I1369" s="11">
        <v>24.0</v>
      </c>
      <c r="M1369" s="16">
        <v>39.2</v>
      </c>
    </row>
    <row r="1370">
      <c r="A1370" s="17">
        <v>147.50267809242118</v>
      </c>
      <c r="E1370" s="17">
        <v>56.77051724393327</v>
      </c>
      <c r="I1370" s="11">
        <v>23.0</v>
      </c>
      <c r="M1370" s="16">
        <v>55.2</v>
      </c>
    </row>
    <row r="1371">
      <c r="A1371" s="17">
        <v>36.37811173890869</v>
      </c>
      <c r="E1371" s="17">
        <v>637.0403935201414</v>
      </c>
      <c r="I1371" s="11">
        <v>44.0</v>
      </c>
      <c r="M1371" s="16">
        <v>4.024</v>
      </c>
    </row>
    <row r="1372">
      <c r="A1372" s="17">
        <v>153.16418080627935</v>
      </c>
      <c r="E1372" s="17">
        <v>13.575848840736706</v>
      </c>
      <c r="I1372" s="11">
        <v>46.0</v>
      </c>
      <c r="M1372" s="16">
        <v>15.991999999999999</v>
      </c>
    </row>
    <row r="1373">
      <c r="A1373" s="17">
        <v>3.1130799113082017</v>
      </c>
      <c r="E1373" s="17">
        <v>2.835955009310985</v>
      </c>
      <c r="I1373" s="11">
        <v>9.0</v>
      </c>
      <c r="M1373" s="16">
        <v>2.136</v>
      </c>
    </row>
    <row r="1374">
      <c r="A1374" s="17">
        <v>34.4931313658138</v>
      </c>
      <c r="E1374" s="17">
        <v>9.18022555465587</v>
      </c>
      <c r="I1374" s="11">
        <v>39.0</v>
      </c>
      <c r="M1374" s="16">
        <v>4.792000000000001</v>
      </c>
    </row>
    <row r="1375">
      <c r="A1375" s="17">
        <v>538.9329452274785</v>
      </c>
      <c r="E1375" s="17">
        <v>0.5489777777777775</v>
      </c>
      <c r="I1375" s="11">
        <v>45.0</v>
      </c>
      <c r="M1375" s="16">
        <v>38.608000000000004</v>
      </c>
    </row>
    <row r="1376">
      <c r="A1376" s="17">
        <v>2.6889832950191574</v>
      </c>
      <c r="E1376" s="17">
        <v>1.984221058495819</v>
      </c>
      <c r="I1376" s="11">
        <v>4.0</v>
      </c>
      <c r="M1376" s="16">
        <v>3.4560000000000004</v>
      </c>
    </row>
    <row r="1377">
      <c r="A1377" s="17">
        <v>33.32097820641807</v>
      </c>
      <c r="E1377" s="17">
        <v>6.387126822488951</v>
      </c>
      <c r="I1377" s="11">
        <v>31.0</v>
      </c>
      <c r="M1377" s="16">
        <v>1.592</v>
      </c>
    </row>
    <row r="1378">
      <c r="A1378" s="17">
        <v>103.72525058647904</v>
      </c>
      <c r="E1378" s="17">
        <v>194.246670736963</v>
      </c>
      <c r="I1378" s="11">
        <v>32.0</v>
      </c>
      <c r="M1378" s="16">
        <v>8.6</v>
      </c>
    </row>
    <row r="1379">
      <c r="A1379" s="17">
        <v>60.76954252385225</v>
      </c>
      <c r="E1379" s="17">
        <v>103.66981127902719</v>
      </c>
      <c r="I1379" s="11">
        <v>9.0</v>
      </c>
      <c r="M1379" s="16">
        <v>3.3840000000000003</v>
      </c>
    </row>
    <row r="1380">
      <c r="A1380" s="17">
        <v>300.1914419169944</v>
      </c>
      <c r="E1380" s="17">
        <v>3.249656907216505</v>
      </c>
      <c r="I1380" s="11">
        <v>33.0</v>
      </c>
      <c r="M1380" s="16">
        <v>15.991999999999999</v>
      </c>
    </row>
    <row r="1381">
      <c r="A1381" s="17">
        <v>62.65709533138618</v>
      </c>
      <c r="E1381" s="17">
        <v>1.4780671356783923</v>
      </c>
      <c r="I1381" s="11">
        <v>48.0</v>
      </c>
      <c r="M1381" s="16">
        <v>24.0</v>
      </c>
    </row>
    <row r="1382">
      <c r="A1382" s="17">
        <v>7.807288317256159</v>
      </c>
      <c r="E1382" s="17">
        <v>18.986079715107557</v>
      </c>
      <c r="I1382" s="11">
        <v>5.0</v>
      </c>
      <c r="M1382" s="16">
        <v>5.2</v>
      </c>
    </row>
    <row r="1383">
      <c r="A1383" s="17">
        <v>7.523282962962984</v>
      </c>
      <c r="E1383" s="17">
        <v>3.3685798787878785</v>
      </c>
      <c r="I1383" s="11">
        <v>3.0</v>
      </c>
      <c r="M1383" s="16">
        <v>1.592</v>
      </c>
    </row>
    <row r="1384">
      <c r="A1384" s="17">
        <v>78.45486200376294</v>
      </c>
      <c r="E1384" s="17">
        <v>86.42990654205607</v>
      </c>
      <c r="I1384" s="11">
        <v>33.0</v>
      </c>
      <c r="M1384" s="16">
        <v>4.648</v>
      </c>
    </row>
    <row r="1385">
      <c r="A1385" s="17">
        <v>75.2573025798735</v>
      </c>
      <c r="E1385" s="17">
        <v>47.066172327398476</v>
      </c>
      <c r="I1385" s="11">
        <v>14.0</v>
      </c>
      <c r="M1385" s="16">
        <v>15.96</v>
      </c>
    </row>
    <row r="1386">
      <c r="A1386" s="17">
        <v>5.132022556610691</v>
      </c>
      <c r="E1386" s="17">
        <v>6.613682330097096</v>
      </c>
      <c r="I1386" s="11">
        <v>46.0</v>
      </c>
      <c r="M1386" s="16">
        <v>6.368</v>
      </c>
    </row>
    <row r="1387">
      <c r="A1387" s="17">
        <v>1357.7655932132116</v>
      </c>
      <c r="E1387" s="17">
        <v>166.92166911073465</v>
      </c>
      <c r="I1387" s="11">
        <v>35.0</v>
      </c>
      <c r="M1387" s="16">
        <v>12.847999999999999</v>
      </c>
    </row>
    <row r="1388">
      <c r="A1388" s="17">
        <v>33.8481403121748</v>
      </c>
      <c r="E1388" s="17">
        <v>5.788071706539074</v>
      </c>
      <c r="I1388" s="11">
        <v>11.0</v>
      </c>
      <c r="M1388" s="16">
        <v>6.992000000000001</v>
      </c>
    </row>
    <row r="1389">
      <c r="A1389" s="17">
        <v>226.01295824412094</v>
      </c>
      <c r="E1389" s="17">
        <v>28.764143553352476</v>
      </c>
      <c r="I1389" s="11">
        <v>12.0</v>
      </c>
      <c r="M1389" s="16">
        <v>19.008000000000003</v>
      </c>
    </row>
    <row r="1390">
      <c r="A1390" s="17">
        <v>0.7041355294117654</v>
      </c>
      <c r="E1390" s="17">
        <v>33.14179696616102</v>
      </c>
      <c r="I1390" s="11">
        <v>4.0</v>
      </c>
      <c r="M1390" s="16">
        <v>0.664</v>
      </c>
    </row>
    <row r="1391">
      <c r="A1391" s="17">
        <v>17.434759178174442</v>
      </c>
      <c r="E1391" s="17">
        <v>321.66120249610015</v>
      </c>
      <c r="I1391" s="11">
        <v>19.0</v>
      </c>
      <c r="M1391" s="16">
        <v>2.8000000000000003</v>
      </c>
    </row>
    <row r="1392">
      <c r="A1392" s="17">
        <v>2.536492001911144</v>
      </c>
      <c r="E1392" s="17">
        <v>24.32983150344827</v>
      </c>
      <c r="I1392" s="11">
        <v>23.0</v>
      </c>
      <c r="M1392" s="16">
        <v>6.632</v>
      </c>
    </row>
    <row r="1393">
      <c r="A1393" s="17">
        <v>83.25125048993836</v>
      </c>
      <c r="E1393" s="17">
        <v>31.846334954954948</v>
      </c>
      <c r="I1393" s="11">
        <v>15.0</v>
      </c>
      <c r="M1393" s="16">
        <v>15.991999999999999</v>
      </c>
    </row>
    <row r="1394">
      <c r="A1394" s="17">
        <v>8.314730610079595</v>
      </c>
      <c r="E1394" s="17">
        <v>97.9923689336288</v>
      </c>
      <c r="I1394" s="11">
        <v>19.0</v>
      </c>
      <c r="M1394" s="16">
        <v>1.368</v>
      </c>
    </row>
    <row r="1395">
      <c r="A1395" s="17">
        <v>559.6395841376449</v>
      </c>
      <c r="E1395" s="17">
        <v>34.47045390887329</v>
      </c>
      <c r="I1395" s="11">
        <v>50.0</v>
      </c>
      <c r="M1395" s="16">
        <v>3.3600000000000003</v>
      </c>
    </row>
    <row r="1396">
      <c r="A1396" s="17">
        <v>73.69594783168556</v>
      </c>
      <c r="E1396" s="17">
        <v>121.6307041320638</v>
      </c>
      <c r="I1396" s="11">
        <v>7.0</v>
      </c>
      <c r="M1396" s="16">
        <v>15.991999999999999</v>
      </c>
    </row>
    <row r="1397">
      <c r="A1397" s="17">
        <v>2.542836396396395</v>
      </c>
      <c r="E1397" s="17">
        <v>69.20302937752292</v>
      </c>
      <c r="I1397" s="11">
        <v>15.0</v>
      </c>
      <c r="M1397" s="16">
        <v>1.192</v>
      </c>
    </row>
    <row r="1398">
      <c r="A1398" s="17">
        <v>1.5554782608695665</v>
      </c>
      <c r="E1398" s="17">
        <v>89.79149078630367</v>
      </c>
      <c r="I1398" s="11">
        <v>7.0</v>
      </c>
      <c r="M1398" s="16">
        <v>2.0</v>
      </c>
    </row>
    <row r="1399">
      <c r="A1399" s="17">
        <v>122.41551083159153</v>
      </c>
      <c r="E1399" s="17">
        <v>7.9990396930455585</v>
      </c>
      <c r="I1399" s="11">
        <v>47.0</v>
      </c>
      <c r="M1399" s="16">
        <v>7.192</v>
      </c>
    </row>
    <row r="1400">
      <c r="A1400" s="17">
        <v>81.20307654574975</v>
      </c>
      <c r="E1400" s="17">
        <v>95.02586800270822</v>
      </c>
      <c r="I1400" s="11">
        <v>11.0</v>
      </c>
      <c r="M1400" s="16">
        <v>6.464</v>
      </c>
    </row>
    <row r="1401">
      <c r="A1401" s="17">
        <v>17.612568027210887</v>
      </c>
      <c r="E1401" s="17">
        <v>171.23378180283612</v>
      </c>
      <c r="I1401" s="11">
        <v>14.0</v>
      </c>
      <c r="M1401" s="16">
        <v>4.08</v>
      </c>
    </row>
    <row r="1402">
      <c r="A1402" s="17">
        <v>14.779759036144583</v>
      </c>
      <c r="E1402" s="17">
        <v>16.2940915224258</v>
      </c>
      <c r="I1402" s="11">
        <v>41.0</v>
      </c>
      <c r="M1402" s="16">
        <v>2.0</v>
      </c>
    </row>
    <row r="1403">
      <c r="A1403" s="17">
        <v>185.05934889952925</v>
      </c>
      <c r="E1403" s="17">
        <v>144.43869811569346</v>
      </c>
      <c r="I1403" s="11">
        <v>39.0</v>
      </c>
      <c r="M1403" s="16">
        <v>15.991999999999999</v>
      </c>
    </row>
    <row r="1404">
      <c r="A1404" s="17">
        <v>62.21349846855062</v>
      </c>
      <c r="E1404" s="17">
        <v>33.825379554982376</v>
      </c>
      <c r="I1404" s="11">
        <v>31.0</v>
      </c>
      <c r="M1404" s="16">
        <v>1.1119999999999999</v>
      </c>
    </row>
    <row r="1405">
      <c r="A1405" s="17">
        <v>1.7309403428571393</v>
      </c>
      <c r="E1405" s="17">
        <v>22.913559062290723</v>
      </c>
      <c r="I1405" s="11">
        <v>4.0</v>
      </c>
      <c r="M1405" s="16">
        <v>7.024</v>
      </c>
    </row>
    <row r="1406">
      <c r="A1406" s="17">
        <v>28.7132403178808</v>
      </c>
      <c r="E1406" s="17">
        <v>6.566054104723571</v>
      </c>
      <c r="I1406" s="11">
        <v>45.0</v>
      </c>
      <c r="M1406" s="16">
        <v>4.368</v>
      </c>
    </row>
    <row r="1407">
      <c r="A1407" s="17">
        <v>11.190179937714747</v>
      </c>
      <c r="E1407" s="17">
        <v>32.17843456031963</v>
      </c>
      <c r="I1407" s="11">
        <v>38.0</v>
      </c>
      <c r="M1407" s="16">
        <v>36.408</v>
      </c>
    </row>
    <row r="1408">
      <c r="A1408" s="17">
        <v>16.492543307436165</v>
      </c>
      <c r="E1408" s="17">
        <v>120.91083986617683</v>
      </c>
      <c r="I1408" s="11">
        <v>35.0</v>
      </c>
      <c r="M1408" s="16">
        <v>4.336</v>
      </c>
    </row>
    <row r="1409">
      <c r="A1409" s="17">
        <v>176.97625833022332</v>
      </c>
      <c r="E1409" s="17">
        <v>97.58255465844864</v>
      </c>
      <c r="I1409" s="11">
        <v>43.0</v>
      </c>
      <c r="M1409" s="16">
        <v>7.192</v>
      </c>
    </row>
    <row r="1410">
      <c r="A1410" s="17">
        <v>4.4763461354581695</v>
      </c>
      <c r="E1410" s="17">
        <v>27.64789936279546</v>
      </c>
      <c r="I1410" s="11">
        <v>8.0</v>
      </c>
      <c r="M1410" s="16">
        <v>6.032</v>
      </c>
    </row>
    <row r="1411">
      <c r="A1411" s="17">
        <v>14.032573397656796</v>
      </c>
      <c r="E1411" s="17">
        <v>47.30156533460164</v>
      </c>
      <c r="I1411" s="11">
        <v>46.0</v>
      </c>
      <c r="M1411" s="16">
        <v>0.5599999999999999</v>
      </c>
    </row>
    <row r="1412">
      <c r="A1412" s="17">
        <v>6.538800319573905</v>
      </c>
      <c r="E1412" s="17">
        <v>3.7460396182397084</v>
      </c>
      <c r="I1412" s="11">
        <v>38.0</v>
      </c>
      <c r="M1412" s="16">
        <v>3.2640000000000002</v>
      </c>
    </row>
    <row r="1413">
      <c r="A1413" s="17">
        <v>4.880572780656276</v>
      </c>
      <c r="E1413" s="17">
        <v>16.871474037108136</v>
      </c>
      <c r="I1413" s="11">
        <v>37.0</v>
      </c>
      <c r="M1413" s="16">
        <v>8.312000000000001</v>
      </c>
    </row>
    <row r="1414">
      <c r="A1414" s="17">
        <v>5.837560491803282</v>
      </c>
      <c r="E1414" s="17">
        <v>48.892958713699706</v>
      </c>
      <c r="I1414" s="11">
        <v>11.0</v>
      </c>
      <c r="M1414" s="16">
        <v>2.2640000000000002</v>
      </c>
    </row>
    <row r="1415">
      <c r="A1415" s="17">
        <v>47.268616231535965</v>
      </c>
      <c r="E1415" s="17">
        <v>3.7211417142857104</v>
      </c>
      <c r="I1415" s="11">
        <v>8.0</v>
      </c>
      <c r="M1415" s="16">
        <v>11.192</v>
      </c>
    </row>
    <row r="1416">
      <c r="A1416" s="17">
        <v>6.952276800000039</v>
      </c>
      <c r="E1416" s="17">
        <v>10.409399409697816</v>
      </c>
      <c r="I1416" s="11">
        <v>46.0</v>
      </c>
      <c r="M1416" s="16">
        <v>3.7439999999999998</v>
      </c>
    </row>
    <row r="1417">
      <c r="A1417" s="17">
        <v>49.44083494499085</v>
      </c>
      <c r="E1417" s="17">
        <v>161.64644756212837</v>
      </c>
      <c r="I1417" s="11">
        <v>43.0</v>
      </c>
      <c r="M1417" s="16">
        <v>0.792</v>
      </c>
    </row>
    <row r="1418">
      <c r="A1418" s="17">
        <v>54.287294253537524</v>
      </c>
      <c r="E1418" s="17">
        <v>162.90582639383015</v>
      </c>
      <c r="I1418" s="11">
        <v>26.0</v>
      </c>
      <c r="M1418" s="16">
        <v>5.2</v>
      </c>
    </row>
    <row r="1419">
      <c r="A1419" s="17">
        <v>24.490666666666662</v>
      </c>
      <c r="E1419" s="17">
        <v>3.4414892837256756</v>
      </c>
      <c r="I1419" s="11">
        <v>41.0</v>
      </c>
      <c r="M1419" s="16">
        <v>4.920000000000001</v>
      </c>
    </row>
    <row r="1420">
      <c r="A1420" s="17">
        <v>32.08449055599889</v>
      </c>
      <c r="E1420" s="17">
        <v>5.381743424460435</v>
      </c>
      <c r="I1420" s="11">
        <v>32.0</v>
      </c>
      <c r="M1420" s="16">
        <v>2.0</v>
      </c>
    </row>
    <row r="1421">
      <c r="A1421" s="17">
        <v>10.082319170697993</v>
      </c>
      <c r="E1421" s="17">
        <v>2.125246134020605</v>
      </c>
      <c r="I1421" s="11">
        <v>5.0</v>
      </c>
      <c r="M1421" s="16">
        <v>4.296</v>
      </c>
    </row>
    <row r="1422">
      <c r="A1422" s="17">
        <v>0.41522823529411723</v>
      </c>
      <c r="E1422" s="17">
        <v>62.51042205502834</v>
      </c>
      <c r="I1422" s="11">
        <v>1.0</v>
      </c>
      <c r="M1422" s="16">
        <v>1.144</v>
      </c>
    </row>
    <row r="1423">
      <c r="A1423" s="17">
        <v>362.06557584404163</v>
      </c>
      <c r="E1423" s="17">
        <v>88.80522202031833</v>
      </c>
      <c r="I1423" s="11">
        <v>14.0</v>
      </c>
      <c r="M1423" s="16">
        <v>18.552000000000003</v>
      </c>
    </row>
    <row r="1424">
      <c r="A1424" s="17">
        <v>20.614296292286916</v>
      </c>
      <c r="E1424" s="17">
        <v>2.417903536977495</v>
      </c>
      <c r="I1424" s="11">
        <v>22.0</v>
      </c>
      <c r="M1424" s="16">
        <v>4.904</v>
      </c>
    </row>
    <row r="1425">
      <c r="A1425" s="17">
        <v>17.463324965132504</v>
      </c>
      <c r="E1425" s="17">
        <v>42.110688422488494</v>
      </c>
      <c r="I1425" s="11">
        <v>36.0</v>
      </c>
      <c r="M1425" s="16">
        <v>8.92</v>
      </c>
    </row>
    <row r="1426">
      <c r="A1426" s="17">
        <v>88.646360277709</v>
      </c>
      <c r="E1426" s="17">
        <v>360.500413423078</v>
      </c>
      <c r="I1426" s="11">
        <v>23.0</v>
      </c>
      <c r="M1426" s="16">
        <v>3.3600000000000003</v>
      </c>
    </row>
    <row r="1427">
      <c r="A1427" s="17">
        <v>111.26273026808447</v>
      </c>
      <c r="E1427" s="17">
        <v>40.26887773821985</v>
      </c>
      <c r="I1427" s="11">
        <v>29.0</v>
      </c>
      <c r="M1427" s="16">
        <v>3.6</v>
      </c>
    </row>
    <row r="1428">
      <c r="A1428" s="17">
        <v>246.2248992657332</v>
      </c>
      <c r="E1428" s="17">
        <v>37.24884571242575</v>
      </c>
      <c r="I1428" s="11">
        <v>43.0</v>
      </c>
      <c r="M1428" s="16">
        <v>15.991999999999999</v>
      </c>
    </row>
    <row r="1429">
      <c r="A1429" s="17">
        <v>4.312886330935243</v>
      </c>
      <c r="E1429" s="17">
        <v>73.38531797895212</v>
      </c>
      <c r="I1429" s="11">
        <v>23.0</v>
      </c>
      <c r="M1429" s="16">
        <v>5.08</v>
      </c>
    </row>
    <row r="1430">
      <c r="A1430" s="17">
        <v>8.389402705035987</v>
      </c>
      <c r="E1430" s="17">
        <v>4.653809885931562</v>
      </c>
      <c r="I1430" s="11">
        <v>22.0</v>
      </c>
      <c r="M1430" s="16">
        <v>2.4320000000000004</v>
      </c>
    </row>
    <row r="1431">
      <c r="A1431" s="17">
        <v>7.265285452609165</v>
      </c>
      <c r="E1431" s="17">
        <v>52.66790163568771</v>
      </c>
      <c r="I1431" s="11">
        <v>23.0</v>
      </c>
      <c r="M1431" s="16">
        <v>5.464</v>
      </c>
    </row>
    <row r="1432">
      <c r="A1432" s="17">
        <v>79.16215359936476</v>
      </c>
      <c r="E1432" s="17">
        <v>189.17025413610796</v>
      </c>
      <c r="I1432" s="11">
        <v>24.0</v>
      </c>
      <c r="M1432" s="16">
        <v>11.192</v>
      </c>
    </row>
    <row r="1433">
      <c r="A1433" s="17">
        <v>5.377126396761144</v>
      </c>
      <c r="E1433" s="17">
        <v>227.94700885368482</v>
      </c>
      <c r="I1433" s="11">
        <v>33.0</v>
      </c>
      <c r="M1433" s="16">
        <v>3.968</v>
      </c>
    </row>
    <row r="1434">
      <c r="A1434" s="17">
        <v>203.37567429947646</v>
      </c>
      <c r="E1434" s="17">
        <v>54.684354078849495</v>
      </c>
      <c r="I1434" s="11">
        <v>43.0</v>
      </c>
      <c r="M1434" s="16">
        <v>11.440000000000001</v>
      </c>
    </row>
    <row r="1435">
      <c r="A1435" s="17">
        <v>101.02549471648247</v>
      </c>
      <c r="E1435" s="17">
        <v>66.42456823052494</v>
      </c>
      <c r="I1435" s="11">
        <v>29.0</v>
      </c>
      <c r="M1435" s="16">
        <v>56.160000000000004</v>
      </c>
    </row>
    <row r="1436">
      <c r="A1436" s="17">
        <v>31.292032622333753</v>
      </c>
      <c r="E1436" s="17">
        <v>91.647922632233</v>
      </c>
      <c r="I1436" s="11">
        <v>42.0</v>
      </c>
      <c r="M1436" s="16">
        <v>4.0</v>
      </c>
    </row>
    <row r="1437">
      <c r="A1437" s="17">
        <v>37.096128881761224</v>
      </c>
      <c r="E1437" s="17">
        <v>9.606218530661753</v>
      </c>
      <c r="I1437" s="11">
        <v>44.0</v>
      </c>
      <c r="M1437" s="16">
        <v>6.992000000000001</v>
      </c>
    </row>
    <row r="1438">
      <c r="A1438" s="17">
        <v>29.585565412708437</v>
      </c>
      <c r="E1438" s="17">
        <v>1.6470967849686833</v>
      </c>
      <c r="I1438" s="11">
        <v>3.0</v>
      </c>
      <c r="M1438" s="16">
        <v>19.592</v>
      </c>
    </row>
    <row r="1439">
      <c r="A1439" s="17">
        <v>205.3432940462954</v>
      </c>
      <c r="E1439" s="17">
        <v>0.5694915254237285</v>
      </c>
      <c r="I1439" s="11">
        <v>14.0</v>
      </c>
      <c r="M1439" s="16">
        <v>3.3600000000000003</v>
      </c>
    </row>
    <row r="1440">
      <c r="A1440" s="17">
        <v>54.45419204908045</v>
      </c>
      <c r="E1440" s="17">
        <v>30.718508751357227</v>
      </c>
      <c r="I1440" s="11">
        <v>18.0</v>
      </c>
      <c r="M1440" s="16">
        <v>2.232</v>
      </c>
    </row>
    <row r="1441">
      <c r="A1441" s="17">
        <v>200.09360492657558</v>
      </c>
      <c r="E1441" s="17">
        <v>20.747447786391028</v>
      </c>
      <c r="I1441" s="11">
        <v>39.0</v>
      </c>
      <c r="M1441" s="16">
        <v>28.0</v>
      </c>
    </row>
    <row r="1442">
      <c r="A1442" s="17">
        <v>5.401997609841826</v>
      </c>
      <c r="E1442" s="17">
        <v>2.9088316701030967</v>
      </c>
      <c r="I1442" s="11">
        <v>8.0</v>
      </c>
      <c r="M1442" s="16">
        <v>4.456</v>
      </c>
    </row>
    <row r="1443">
      <c r="A1443" s="17">
        <v>51.88952380700593</v>
      </c>
      <c r="E1443" s="17">
        <v>4.250860640394082</v>
      </c>
      <c r="I1443" s="11">
        <v>8.0</v>
      </c>
      <c r="M1443" s="16">
        <v>28.872000000000003</v>
      </c>
    </row>
    <row r="1444">
      <c r="A1444" s="17">
        <v>8.613309629629624</v>
      </c>
      <c r="E1444" s="17">
        <v>54.53270122953143</v>
      </c>
      <c r="I1444" s="11">
        <v>48.0</v>
      </c>
      <c r="M1444" s="16">
        <v>1.2480000000000002</v>
      </c>
    </row>
    <row r="1445">
      <c r="A1445" s="17">
        <v>43.93640992445364</v>
      </c>
      <c r="E1445" s="17">
        <v>288.87557354753795</v>
      </c>
      <c r="I1445" s="11">
        <v>12.0</v>
      </c>
      <c r="M1445" s="16">
        <v>34.016000000000005</v>
      </c>
    </row>
    <row r="1446">
      <c r="A1446" s="17">
        <v>51.49804437140506</v>
      </c>
      <c r="E1446" s="17">
        <v>7.639630987581297</v>
      </c>
      <c r="I1446" s="11">
        <v>9.0</v>
      </c>
      <c r="M1446" s="16">
        <v>3.6</v>
      </c>
    </row>
    <row r="1447">
      <c r="A1447" s="17">
        <v>88.37527724772248</v>
      </c>
      <c r="E1447" s="17">
        <v>28.612148684381072</v>
      </c>
      <c r="I1447" s="11">
        <v>29.0</v>
      </c>
      <c r="M1447" s="16">
        <v>50.19200000000001</v>
      </c>
    </row>
    <row r="1448">
      <c r="A1448" s="17">
        <v>165.29008991434665</v>
      </c>
      <c r="E1448" s="17">
        <v>2.615071562974205</v>
      </c>
      <c r="I1448" s="11">
        <v>28.0</v>
      </c>
      <c r="M1448" s="16">
        <v>15.991999999999999</v>
      </c>
    </row>
    <row r="1449">
      <c r="A1449" s="17">
        <v>2.788903566710692</v>
      </c>
      <c r="E1449" s="17">
        <v>5.995620130378095</v>
      </c>
      <c r="I1449" s="11">
        <v>12.0</v>
      </c>
      <c r="M1449" s="16">
        <v>2.0</v>
      </c>
    </row>
    <row r="1450">
      <c r="A1450" s="17">
        <v>21.723555747381816</v>
      </c>
      <c r="E1450" s="17">
        <v>2.470123318385641</v>
      </c>
      <c r="I1450" s="11">
        <v>23.0</v>
      </c>
      <c r="M1450" s="16">
        <v>4.128</v>
      </c>
    </row>
    <row r="1451">
      <c r="A1451" s="17">
        <v>9.165980984528819</v>
      </c>
      <c r="E1451" s="17">
        <v>9.174762985074633</v>
      </c>
      <c r="I1451" s="11">
        <v>12.0</v>
      </c>
      <c r="M1451" s="16">
        <v>6.352</v>
      </c>
    </row>
    <row r="1452">
      <c r="A1452" s="17">
        <v>14.801612499172464</v>
      </c>
      <c r="E1452" s="17">
        <v>420.39975573838313</v>
      </c>
      <c r="I1452" s="11">
        <v>5.0</v>
      </c>
      <c r="M1452" s="16">
        <v>15.991999999999999</v>
      </c>
    </row>
    <row r="1453">
      <c r="A1453" s="17">
        <v>48.35932412290623</v>
      </c>
      <c r="E1453" s="17">
        <v>114.33325212165452</v>
      </c>
      <c r="I1453" s="11">
        <v>40.0</v>
      </c>
      <c r="M1453" s="16">
        <v>6.064</v>
      </c>
    </row>
    <row r="1454">
      <c r="A1454" s="17">
        <v>144.73186709211186</v>
      </c>
      <c r="E1454" s="17">
        <v>37.2484281541285</v>
      </c>
      <c r="I1454" s="11">
        <v>19.0</v>
      </c>
      <c r="M1454" s="16">
        <v>7.192</v>
      </c>
    </row>
    <row r="1455">
      <c r="A1455" s="17">
        <v>11.56435831080359</v>
      </c>
      <c r="E1455" s="17">
        <v>1.4731823599523244</v>
      </c>
      <c r="I1455" s="11">
        <v>6.0</v>
      </c>
      <c r="M1455" s="16">
        <v>7.192</v>
      </c>
    </row>
    <row r="1456">
      <c r="A1456" s="17">
        <v>54.02263400881062</v>
      </c>
      <c r="E1456" s="17">
        <v>93.8812445207627</v>
      </c>
      <c r="I1456" s="11">
        <v>33.0</v>
      </c>
      <c r="M1456" s="16">
        <v>0.792</v>
      </c>
    </row>
    <row r="1457">
      <c r="A1457" s="17">
        <v>2.5363995069337655</v>
      </c>
      <c r="E1457" s="17">
        <v>105.33629368498895</v>
      </c>
      <c r="I1457" s="11">
        <v>13.0</v>
      </c>
      <c r="M1457" s="16">
        <v>1.1119999999999999</v>
      </c>
    </row>
    <row r="1458">
      <c r="A1458" s="17">
        <v>28.868929078540493</v>
      </c>
      <c r="E1458" s="17">
        <v>21.719635717745806</v>
      </c>
      <c r="I1458" s="11">
        <v>13.0</v>
      </c>
      <c r="M1458" s="16">
        <v>6.656000000000001</v>
      </c>
    </row>
    <row r="1459">
      <c r="A1459" s="17">
        <v>700.0782835497909</v>
      </c>
      <c r="E1459" s="17">
        <v>4.892800874078156</v>
      </c>
      <c r="I1459" s="11">
        <v>43.0</v>
      </c>
      <c r="M1459" s="16">
        <v>3.192</v>
      </c>
    </row>
    <row r="1460">
      <c r="A1460" s="17">
        <v>78.96292428494264</v>
      </c>
      <c r="E1460" s="17">
        <v>1.760010094637225</v>
      </c>
      <c r="I1460" s="11">
        <v>20.0</v>
      </c>
      <c r="M1460" s="16">
        <v>11.192</v>
      </c>
    </row>
    <row r="1461">
      <c r="A1461" s="17">
        <v>82.95654920349803</v>
      </c>
      <c r="E1461" s="17">
        <v>29.30612728535057</v>
      </c>
      <c r="I1461" s="11">
        <v>50.0</v>
      </c>
      <c r="M1461" s="16">
        <v>3.9920000000000004</v>
      </c>
    </row>
    <row r="1462">
      <c r="A1462" s="17">
        <v>477.42851505039243</v>
      </c>
      <c r="E1462" s="17">
        <v>77.68163265306127</v>
      </c>
      <c r="I1462" s="11">
        <v>41.0</v>
      </c>
      <c r="M1462" s="16">
        <v>53.016</v>
      </c>
    </row>
    <row r="1463">
      <c r="A1463" s="17">
        <v>22.830820791311215</v>
      </c>
      <c r="E1463" s="17">
        <v>33.38743198762571</v>
      </c>
      <c r="I1463" s="11">
        <v>28.0</v>
      </c>
      <c r="M1463" s="16">
        <v>2.64</v>
      </c>
    </row>
    <row r="1464">
      <c r="A1464" s="17">
        <v>17.04009477652126</v>
      </c>
      <c r="E1464" s="17">
        <v>113.76112819198916</v>
      </c>
      <c r="I1464" s="11">
        <v>25.0</v>
      </c>
      <c r="M1464" s="16">
        <v>6.720000000000001</v>
      </c>
    </row>
    <row r="1465">
      <c r="A1465" s="17">
        <v>39.153668050836856</v>
      </c>
      <c r="E1465" s="17">
        <v>0.2977995698924746</v>
      </c>
      <c r="I1465" s="11">
        <v>36.0</v>
      </c>
      <c r="M1465" s="16">
        <v>1.0</v>
      </c>
    </row>
    <row r="1466">
      <c r="A1466" s="17">
        <v>46.361414276364314</v>
      </c>
      <c r="E1466" s="17">
        <v>55.303444815579766</v>
      </c>
      <c r="I1466" s="11">
        <v>12.0</v>
      </c>
      <c r="M1466" s="16">
        <v>11.616</v>
      </c>
    </row>
    <row r="1467">
      <c r="A1467" s="17">
        <v>62.385973062974934</v>
      </c>
      <c r="E1467" s="17">
        <v>4.908158003120107</v>
      </c>
      <c r="I1467" s="11">
        <v>14.0</v>
      </c>
      <c r="M1467" s="16">
        <v>15.991999999999999</v>
      </c>
    </row>
    <row r="1468">
      <c r="A1468" s="17">
        <v>2.2676579925650526</v>
      </c>
      <c r="E1468" s="17">
        <v>21.783623564283047</v>
      </c>
      <c r="I1468" s="11">
        <v>8.0</v>
      </c>
      <c r="M1468" s="16">
        <v>2.8000000000000003</v>
      </c>
    </row>
    <row r="1469">
      <c r="A1469" s="17">
        <v>12.396994998990147</v>
      </c>
      <c r="E1469" s="17">
        <v>488.0793434765534</v>
      </c>
      <c r="I1469" s="11">
        <v>24.0</v>
      </c>
      <c r="M1469" s="16">
        <v>4.776</v>
      </c>
    </row>
    <row r="1470">
      <c r="A1470" s="17">
        <v>3.3207460298507443</v>
      </c>
      <c r="E1470" s="17">
        <v>1191.6040543443378</v>
      </c>
      <c r="I1470" s="11">
        <v>9.0</v>
      </c>
      <c r="M1470" s="16">
        <v>5.896000000000001</v>
      </c>
    </row>
    <row r="1471">
      <c r="A1471" s="17">
        <v>49.73942388871916</v>
      </c>
      <c r="E1471" s="17">
        <v>3.9886848822269836</v>
      </c>
      <c r="I1471" s="11">
        <v>24.0</v>
      </c>
      <c r="M1471" s="16">
        <v>6.152000000000001</v>
      </c>
    </row>
    <row r="1472">
      <c r="A1472" s="17">
        <v>123.67733328954563</v>
      </c>
      <c r="E1472" s="17">
        <v>152.68406097662668</v>
      </c>
      <c r="I1472" s="11">
        <v>20.0</v>
      </c>
      <c r="M1472" s="16">
        <v>7.192</v>
      </c>
    </row>
    <row r="1473">
      <c r="A1473" s="17">
        <v>268.9170597032095</v>
      </c>
      <c r="E1473" s="17">
        <v>186.38766836110446</v>
      </c>
      <c r="I1473" s="11">
        <v>35.0</v>
      </c>
      <c r="M1473" s="16">
        <v>2.0</v>
      </c>
    </row>
    <row r="1474">
      <c r="A1474" s="17">
        <v>108.07887258861913</v>
      </c>
      <c r="E1474" s="17">
        <v>128.6796359499798</v>
      </c>
      <c r="I1474" s="11">
        <v>35.0</v>
      </c>
      <c r="M1474" s="16">
        <v>4.792000000000001</v>
      </c>
    </row>
    <row r="1475">
      <c r="A1475" s="17">
        <v>38.915409374821046</v>
      </c>
      <c r="E1475" s="17">
        <v>43.75339271597265</v>
      </c>
      <c r="I1475" s="11">
        <v>47.0</v>
      </c>
      <c r="M1475" s="16">
        <v>15.991999999999999</v>
      </c>
    </row>
    <row r="1476">
      <c r="A1476" s="17">
        <v>45.13482719970384</v>
      </c>
      <c r="E1476" s="17">
        <v>155.4322120285423</v>
      </c>
      <c r="I1476" s="11">
        <v>14.0</v>
      </c>
      <c r="M1476" s="16">
        <v>15.991999999999999</v>
      </c>
    </row>
    <row r="1477">
      <c r="A1477" s="17">
        <v>9.334650353381756</v>
      </c>
      <c r="E1477" s="17">
        <v>3.2694025775656335</v>
      </c>
      <c r="I1477" s="11">
        <v>48.0</v>
      </c>
      <c r="M1477" s="16">
        <v>4.952000000000001</v>
      </c>
    </row>
    <row r="1478">
      <c r="A1478" s="17">
        <v>56.419625875926634</v>
      </c>
      <c r="E1478" s="17">
        <v>4.091813711048156</v>
      </c>
      <c r="I1478" s="11">
        <v>4.0</v>
      </c>
      <c r="M1478" s="16">
        <v>15.991999999999999</v>
      </c>
    </row>
    <row r="1479">
      <c r="A1479" s="17">
        <v>7.236000000000005</v>
      </c>
      <c r="E1479" s="17">
        <v>101.81098013534186</v>
      </c>
      <c r="I1479" s="11">
        <v>31.0</v>
      </c>
      <c r="M1479" s="16">
        <v>4.16</v>
      </c>
    </row>
    <row r="1480">
      <c r="A1480" s="17">
        <v>2.980873563218389</v>
      </c>
      <c r="E1480" s="17">
        <v>10.691055346557794</v>
      </c>
      <c r="I1480" s="11">
        <v>15.0</v>
      </c>
      <c r="M1480" s="16">
        <v>4.12</v>
      </c>
    </row>
    <row r="1481">
      <c r="A1481" s="17">
        <v>0.40354909090909213</v>
      </c>
      <c r="E1481" s="17">
        <v>86.08176744528646</v>
      </c>
      <c r="I1481" s="11">
        <v>1.0</v>
      </c>
      <c r="M1481" s="16">
        <v>1.592</v>
      </c>
    </row>
    <row r="1482">
      <c r="A1482" s="17">
        <v>17.2839262395543</v>
      </c>
      <c r="E1482" s="17">
        <v>40.42079344207442</v>
      </c>
      <c r="I1482" s="11">
        <v>41.0</v>
      </c>
      <c r="M1482" s="16">
        <v>6.328</v>
      </c>
    </row>
    <row r="1483">
      <c r="A1483" s="17">
        <v>7.321328378870678</v>
      </c>
      <c r="E1483" s="17">
        <v>691.2615678851223</v>
      </c>
      <c r="I1483" s="11">
        <v>18.0</v>
      </c>
      <c r="M1483" s="16">
        <v>1.1119999999999999</v>
      </c>
    </row>
    <row r="1484">
      <c r="A1484" s="17">
        <v>1.607220473118289</v>
      </c>
      <c r="E1484" s="17">
        <v>520.6870387415095</v>
      </c>
      <c r="I1484" s="11">
        <v>11.0</v>
      </c>
      <c r="M1484" s="16">
        <v>2.2640000000000002</v>
      </c>
    </row>
    <row r="1485">
      <c r="A1485" s="17">
        <v>17.123408972627114</v>
      </c>
      <c r="E1485" s="17">
        <v>307.1332543335895</v>
      </c>
      <c r="I1485" s="11">
        <v>40.0</v>
      </c>
      <c r="M1485" s="16">
        <v>6.984000000000001</v>
      </c>
    </row>
    <row r="1486">
      <c r="A1486" s="17">
        <v>1.0026494786729956</v>
      </c>
      <c r="E1486" s="17">
        <v>2.565976574585637</v>
      </c>
      <c r="I1486" s="11">
        <v>9.0</v>
      </c>
      <c r="M1486" s="16">
        <v>0.792</v>
      </c>
    </row>
    <row r="1487">
      <c r="A1487" s="17">
        <v>139.57673653906213</v>
      </c>
      <c r="E1487" s="17">
        <v>73.57679888924471</v>
      </c>
      <c r="I1487" s="11">
        <v>28.0</v>
      </c>
      <c r="M1487" s="16">
        <v>53.016</v>
      </c>
    </row>
    <row r="1488">
      <c r="A1488" s="17">
        <v>61.54384932494116</v>
      </c>
      <c r="E1488" s="17">
        <v>121.21734360831785</v>
      </c>
      <c r="I1488" s="11">
        <v>21.0</v>
      </c>
      <c r="M1488" s="16">
        <v>3.9200000000000004</v>
      </c>
    </row>
    <row r="1489">
      <c r="A1489" s="17">
        <v>29.838446335923525</v>
      </c>
      <c r="E1489" s="17">
        <v>1.7057039999999992</v>
      </c>
      <c r="I1489" s="11">
        <v>25.0</v>
      </c>
      <c r="M1489" s="16">
        <v>3.9840000000000004</v>
      </c>
    </row>
    <row r="1490">
      <c r="A1490" s="17">
        <v>35.37704026702275</v>
      </c>
      <c r="E1490" s="17">
        <v>127.20598235365793</v>
      </c>
      <c r="I1490" s="11">
        <v>44.0</v>
      </c>
      <c r="M1490" s="16">
        <v>4.712</v>
      </c>
    </row>
    <row r="1491">
      <c r="A1491" s="17">
        <v>768.6404595060214</v>
      </c>
      <c r="E1491" s="17">
        <v>12.59492400170285</v>
      </c>
      <c r="I1491" s="11">
        <v>13.0</v>
      </c>
      <c r="M1491" s="16">
        <v>15.991999999999999</v>
      </c>
    </row>
    <row r="1492">
      <c r="A1492" s="17">
        <v>9.971273991953517</v>
      </c>
      <c r="E1492" s="17">
        <v>92.02143583628504</v>
      </c>
      <c r="I1492" s="11">
        <v>33.0</v>
      </c>
      <c r="M1492" s="16">
        <v>11.496</v>
      </c>
    </row>
    <row r="1493">
      <c r="A1493" s="17">
        <v>974.2094103053362</v>
      </c>
      <c r="E1493" s="17">
        <v>13.13356121212122</v>
      </c>
      <c r="I1493" s="11">
        <v>48.0</v>
      </c>
      <c r="M1493" s="16">
        <v>55.712</v>
      </c>
    </row>
    <row r="1494">
      <c r="A1494" s="17">
        <v>63.32108589473677</v>
      </c>
      <c r="E1494" s="17">
        <v>2.1461984937238494</v>
      </c>
      <c r="I1494" s="11">
        <v>39.0</v>
      </c>
      <c r="M1494" s="16">
        <v>12.08</v>
      </c>
    </row>
    <row r="1495">
      <c r="A1495" s="17">
        <v>72.03317643160635</v>
      </c>
      <c r="E1495" s="17">
        <v>1.3233171584699452</v>
      </c>
      <c r="I1495" s="11">
        <v>27.0</v>
      </c>
      <c r="M1495" s="16">
        <v>4.736</v>
      </c>
    </row>
    <row r="1496">
      <c r="A1496" s="17">
        <v>33.64972205174764</v>
      </c>
      <c r="E1496" s="17">
        <v>5.963115867961169</v>
      </c>
      <c r="I1496" s="11">
        <v>1.0</v>
      </c>
      <c r="M1496" s="16">
        <v>15.991999999999999</v>
      </c>
    </row>
    <row r="1497">
      <c r="A1497" s="17">
        <v>5.198862398676608</v>
      </c>
      <c r="E1497" s="17">
        <v>7.558791366906467</v>
      </c>
      <c r="I1497" s="11">
        <v>17.0</v>
      </c>
      <c r="M1497" s="16">
        <v>3.2560000000000002</v>
      </c>
    </row>
    <row r="1498">
      <c r="A1498" s="17">
        <v>65.87587925146882</v>
      </c>
      <c r="E1498" s="17">
        <v>7.593139188326497</v>
      </c>
      <c r="I1498" s="11">
        <v>38.0</v>
      </c>
      <c r="M1498" s="16">
        <v>4.12</v>
      </c>
    </row>
    <row r="1499">
      <c r="A1499" s="17">
        <v>4.551453783303713</v>
      </c>
      <c r="E1499" s="17">
        <v>14.442547956989246</v>
      </c>
      <c r="I1499" s="11">
        <v>16.0</v>
      </c>
      <c r="M1499" s="16">
        <v>5.448</v>
      </c>
    </row>
    <row r="1500">
      <c r="A1500" s="17">
        <v>6.41912633093526</v>
      </c>
      <c r="E1500" s="17">
        <v>75.46673463091454</v>
      </c>
      <c r="I1500" s="11">
        <v>27.0</v>
      </c>
      <c r="M1500" s="16">
        <v>0.792</v>
      </c>
    </row>
    <row r="1501">
      <c r="A1501" s="17">
        <v>900.7453468391042</v>
      </c>
      <c r="E1501" s="17">
        <v>15.483582089552225</v>
      </c>
      <c r="I1501" s="11">
        <v>37.0</v>
      </c>
      <c r="M1501" s="16">
        <v>55.44</v>
      </c>
    </row>
    <row r="1502">
      <c r="A1502" s="17">
        <v>11.127725893909629</v>
      </c>
      <c r="E1502" s="17">
        <v>55.681326749367585</v>
      </c>
      <c r="I1502" s="11">
        <v>14.0</v>
      </c>
      <c r="M1502" s="16">
        <v>4.816</v>
      </c>
    </row>
    <row r="1503">
      <c r="A1503" s="17">
        <v>44.6330944569159</v>
      </c>
      <c r="E1503" s="17">
        <v>35.58826055833925</v>
      </c>
      <c r="I1503" s="11">
        <v>15.0</v>
      </c>
      <c r="M1503" s="16">
        <v>3.2</v>
      </c>
    </row>
    <row r="1504">
      <c r="A1504" s="17">
        <v>0.8603431213872844</v>
      </c>
      <c r="E1504" s="17">
        <v>1.9258826229508201</v>
      </c>
      <c r="I1504" s="11">
        <v>4.0</v>
      </c>
      <c r="M1504" s="16">
        <v>1.192</v>
      </c>
    </row>
    <row r="1505">
      <c r="A1505" s="17">
        <v>308.41301752118545</v>
      </c>
      <c r="E1505" s="17">
        <v>10.631828281192494</v>
      </c>
      <c r="I1505" s="11">
        <v>48.0</v>
      </c>
      <c r="M1505" s="16">
        <v>54.416</v>
      </c>
    </row>
    <row r="1506">
      <c r="A1506" s="17">
        <v>5.8875800630914865</v>
      </c>
      <c r="E1506" s="17">
        <v>1.9677747073371892</v>
      </c>
      <c r="I1506" s="11">
        <v>2.0</v>
      </c>
      <c r="M1506" s="16">
        <v>7.032</v>
      </c>
    </row>
    <row r="1507">
      <c r="A1507" s="17">
        <v>1.96598217391304</v>
      </c>
      <c r="E1507" s="17">
        <v>33.46051032027014</v>
      </c>
      <c r="I1507" s="11">
        <v>9.0</v>
      </c>
      <c r="M1507" s="16">
        <v>5.016</v>
      </c>
    </row>
    <row r="1508">
      <c r="A1508" s="17">
        <v>2.3394942713567826</v>
      </c>
      <c r="E1508" s="17">
        <v>26.71326315789478</v>
      </c>
      <c r="I1508" s="11">
        <v>8.0</v>
      </c>
      <c r="M1508" s="16">
        <v>1.192</v>
      </c>
    </row>
    <row r="1509">
      <c r="A1509" s="17">
        <v>18.81574196307095</v>
      </c>
      <c r="E1509" s="17">
        <v>0.8329721115538022</v>
      </c>
      <c r="I1509" s="11">
        <v>5.0</v>
      </c>
      <c r="M1509" s="16">
        <v>15.352000000000002</v>
      </c>
    </row>
    <row r="1510">
      <c r="A1510" s="17">
        <v>26.149115995550655</v>
      </c>
      <c r="E1510" s="17">
        <v>58.56569170546716</v>
      </c>
      <c r="I1510" s="11">
        <v>50.0</v>
      </c>
      <c r="M1510" s="16">
        <v>7.024</v>
      </c>
    </row>
    <row r="1511">
      <c r="A1511" s="17">
        <v>6.481337014446227</v>
      </c>
      <c r="E1511" s="17">
        <v>73.47286207780596</v>
      </c>
      <c r="I1511" s="11">
        <v>10.0</v>
      </c>
      <c r="M1511" s="16">
        <v>5.952000000000001</v>
      </c>
    </row>
    <row r="1512">
      <c r="A1512" s="17">
        <v>18.07291216035626</v>
      </c>
      <c r="E1512" s="17">
        <v>7.015320987284964</v>
      </c>
      <c r="I1512" s="11">
        <v>8.0</v>
      </c>
      <c r="M1512" s="16">
        <v>44.648</v>
      </c>
    </row>
    <row r="1513">
      <c r="A1513" s="17">
        <v>19.767937314697097</v>
      </c>
      <c r="E1513" s="17">
        <v>8.799680659793829</v>
      </c>
      <c r="I1513" s="11">
        <v>30.0</v>
      </c>
      <c r="M1513" s="16">
        <v>3.2</v>
      </c>
    </row>
    <row r="1514">
      <c r="A1514" s="17">
        <v>16.884558938388608</v>
      </c>
      <c r="E1514" s="17">
        <v>9.717132752705163</v>
      </c>
      <c r="I1514" s="11">
        <v>23.0</v>
      </c>
      <c r="M1514" s="16">
        <v>1.592</v>
      </c>
    </row>
    <row r="1515">
      <c r="A1515" s="17">
        <v>278.81934607218716</v>
      </c>
      <c r="E1515" s="17">
        <v>18.20156848649585</v>
      </c>
      <c r="I1515" s="11">
        <v>26.0</v>
      </c>
      <c r="M1515" s="16">
        <v>48.0</v>
      </c>
    </row>
    <row r="1516">
      <c r="A1516" s="17">
        <v>6.095253127889066</v>
      </c>
      <c r="E1516" s="17">
        <v>1.7387404622496185</v>
      </c>
      <c r="I1516" s="11">
        <v>33.0</v>
      </c>
      <c r="M1516" s="16">
        <v>1.2880000000000003</v>
      </c>
    </row>
    <row r="1517">
      <c r="A1517" s="17">
        <v>67.97372502201775</v>
      </c>
      <c r="E1517" s="17">
        <v>3.196029776674938</v>
      </c>
      <c r="I1517" s="11">
        <v>42.0</v>
      </c>
      <c r="M1517" s="16">
        <v>12.08</v>
      </c>
    </row>
    <row r="1518">
      <c r="A1518" s="17">
        <v>54.924728374425506</v>
      </c>
      <c r="E1518" s="17">
        <v>93.74597546781276</v>
      </c>
      <c r="I1518" s="11">
        <v>45.0</v>
      </c>
      <c r="M1518" s="16">
        <v>3.2</v>
      </c>
    </row>
    <row r="1519">
      <c r="A1519" s="17">
        <v>1.8018552046783662</v>
      </c>
      <c r="E1519" s="17">
        <v>10.94126216027875</v>
      </c>
      <c r="I1519" s="11">
        <v>3.0</v>
      </c>
      <c r="M1519" s="16">
        <v>3.848</v>
      </c>
    </row>
    <row r="1520">
      <c r="A1520" s="17">
        <v>12.713398839699375</v>
      </c>
      <c r="E1520" s="17">
        <v>3.4237710018668053</v>
      </c>
      <c r="I1520" s="11">
        <v>7.0</v>
      </c>
      <c r="M1520" s="16">
        <v>4.016</v>
      </c>
    </row>
    <row r="1521">
      <c r="A1521" s="17">
        <v>124.24409882780148</v>
      </c>
      <c r="E1521" s="17">
        <v>101.7785976584188</v>
      </c>
      <c r="I1521" s="11">
        <v>28.0</v>
      </c>
      <c r="M1521" s="16">
        <v>4.208</v>
      </c>
    </row>
    <row r="1522">
      <c r="A1522" s="17">
        <v>25.122265368731576</v>
      </c>
      <c r="E1522" s="17">
        <v>23.49503438185804</v>
      </c>
      <c r="I1522" s="11">
        <v>12.0</v>
      </c>
      <c r="M1522" s="16">
        <v>2.3920000000000003</v>
      </c>
    </row>
    <row r="1523">
      <c r="A1523" s="17">
        <v>75.39337803307221</v>
      </c>
      <c r="E1523" s="17">
        <v>9.096492147505423</v>
      </c>
      <c r="I1523" s="11">
        <v>50.0</v>
      </c>
      <c r="M1523" s="16">
        <v>7.224</v>
      </c>
    </row>
    <row r="1524">
      <c r="A1524" s="17">
        <v>62.64227590029878</v>
      </c>
      <c r="E1524" s="17">
        <v>5.95231897435897</v>
      </c>
      <c r="I1524" s="11">
        <v>29.0</v>
      </c>
      <c r="M1524" s="16">
        <v>3.6</v>
      </c>
    </row>
    <row r="1525">
      <c r="A1525" s="17">
        <v>13.935875980861216</v>
      </c>
      <c r="E1525" s="17">
        <v>11.697895277207417</v>
      </c>
      <c r="I1525" s="11">
        <v>23.0</v>
      </c>
      <c r="M1525" s="16">
        <v>4.656000000000001</v>
      </c>
    </row>
    <row r="1526">
      <c r="A1526" s="17">
        <v>71.64177888792351</v>
      </c>
      <c r="E1526" s="17">
        <v>199.66936665895278</v>
      </c>
      <c r="I1526" s="11">
        <v>15.0</v>
      </c>
      <c r="M1526" s="16">
        <v>4.0</v>
      </c>
    </row>
    <row r="1527">
      <c r="A1527" s="17">
        <v>2.3393655764075025</v>
      </c>
      <c r="E1527" s="17">
        <v>37.86219739292357</v>
      </c>
      <c r="I1527" s="11">
        <v>7.0</v>
      </c>
      <c r="M1527" s="16">
        <v>3.9920000000000004</v>
      </c>
    </row>
    <row r="1528">
      <c r="A1528" s="17">
        <v>9.514138037803777</v>
      </c>
      <c r="E1528" s="17">
        <v>59.93504048517215</v>
      </c>
      <c r="I1528" s="11">
        <v>15.0</v>
      </c>
      <c r="M1528" s="16">
        <v>4.5920000000000005</v>
      </c>
    </row>
    <row r="1529">
      <c r="A1529" s="17">
        <v>1.0647723943661977</v>
      </c>
      <c r="E1529" s="17">
        <v>2.022314666666665</v>
      </c>
      <c r="I1529" s="11">
        <v>1.0</v>
      </c>
      <c r="M1529" s="16">
        <v>2.3920000000000003</v>
      </c>
    </row>
    <row r="1530">
      <c r="A1530" s="17">
        <v>16.935200240891326</v>
      </c>
      <c r="E1530" s="17">
        <v>360.67525178137055</v>
      </c>
      <c r="I1530" s="11">
        <v>10.0</v>
      </c>
      <c r="M1530" s="16">
        <v>5.2</v>
      </c>
    </row>
    <row r="1531">
      <c r="A1531" s="17">
        <v>95.6559142389921</v>
      </c>
      <c r="E1531" s="17">
        <v>1.9570909090909074</v>
      </c>
      <c r="I1531" s="11">
        <v>21.0</v>
      </c>
      <c r="M1531" s="16">
        <v>3.2</v>
      </c>
    </row>
    <row r="1532">
      <c r="A1532" s="17">
        <v>2.0510567832167834</v>
      </c>
      <c r="E1532" s="17">
        <v>145.62092114901657</v>
      </c>
      <c r="I1532" s="11">
        <v>5.0</v>
      </c>
      <c r="M1532" s="16">
        <v>5.376</v>
      </c>
    </row>
    <row r="1533">
      <c r="A1533" s="17">
        <v>123.63079120551714</v>
      </c>
      <c r="E1533" s="17">
        <v>6.06486486486486</v>
      </c>
      <c r="I1533" s="11">
        <v>25.0</v>
      </c>
      <c r="M1533" s="16">
        <v>39.2</v>
      </c>
    </row>
    <row r="1534">
      <c r="A1534" s="17">
        <v>34.230909872174024</v>
      </c>
      <c r="E1534" s="17">
        <v>412.85333219263583</v>
      </c>
      <c r="I1534" s="11">
        <v>16.0</v>
      </c>
      <c r="M1534" s="16">
        <v>7.192</v>
      </c>
    </row>
    <row r="1535">
      <c r="A1535" s="17">
        <v>32.00548159497651</v>
      </c>
      <c r="E1535" s="17">
        <v>8.000648298217175</v>
      </c>
      <c r="I1535" s="11">
        <v>46.0</v>
      </c>
      <c r="M1535" s="16">
        <v>6.944</v>
      </c>
    </row>
    <row r="1536">
      <c r="A1536" s="17">
        <v>607.8660659140387</v>
      </c>
      <c r="E1536" s="17">
        <v>6.016286581517658</v>
      </c>
      <c r="I1536" s="11">
        <v>16.0</v>
      </c>
      <c r="M1536" s="16">
        <v>39.2</v>
      </c>
    </row>
    <row r="1537">
      <c r="A1537" s="17">
        <v>8.212618542923426</v>
      </c>
      <c r="E1537" s="17">
        <v>7.890673070669205</v>
      </c>
      <c r="I1537" s="11">
        <v>17.0</v>
      </c>
      <c r="M1537" s="16">
        <v>4.648</v>
      </c>
    </row>
    <row r="1538">
      <c r="A1538" s="17">
        <v>103.16887121517982</v>
      </c>
      <c r="E1538" s="17">
        <v>36.844892176686756</v>
      </c>
      <c r="I1538" s="11">
        <v>7.0</v>
      </c>
      <c r="M1538" s="16">
        <v>3.3600000000000003</v>
      </c>
    </row>
    <row r="1539">
      <c r="A1539" s="17">
        <v>311.8929237022488</v>
      </c>
      <c r="E1539" s="17">
        <v>57.012561050837135</v>
      </c>
      <c r="I1539" s="11">
        <v>43.0</v>
      </c>
      <c r="M1539" s="16">
        <v>6.464</v>
      </c>
    </row>
    <row r="1540">
      <c r="A1540" s="17">
        <v>185.35496046902728</v>
      </c>
      <c r="E1540" s="17">
        <v>485.4754867200003</v>
      </c>
      <c r="I1540" s="11">
        <v>24.0</v>
      </c>
      <c r="M1540" s="16">
        <v>4.736</v>
      </c>
    </row>
    <row r="1541">
      <c r="A1541" s="17">
        <v>65.35841235210192</v>
      </c>
      <c r="E1541" s="17">
        <v>40.82044420638052</v>
      </c>
      <c r="I1541" s="22">
        <v>17.0</v>
      </c>
      <c r="M1541" s="27">
        <v>2.0</v>
      </c>
    </row>
    <row r="1542">
      <c r="A1542" s="17">
        <v>10.904942298521691</v>
      </c>
      <c r="E1542" s="17">
        <v>3.1532759999999977</v>
      </c>
      <c r="I1542" s="11">
        <v>34.0</v>
      </c>
      <c r="M1542" s="16">
        <v>0.96</v>
      </c>
    </row>
    <row r="1543">
      <c r="A1543" s="17">
        <v>25.452886247877757</v>
      </c>
      <c r="E1543" s="17">
        <v>19.374348426618</v>
      </c>
      <c r="I1543" s="11">
        <v>40.0</v>
      </c>
      <c r="M1543" s="16">
        <v>4.2</v>
      </c>
    </row>
    <row r="1544">
      <c r="A1544" s="17">
        <v>12.997729793131146</v>
      </c>
      <c r="E1544" s="17">
        <v>218.63993283517712</v>
      </c>
      <c r="I1544" s="11">
        <v>24.0</v>
      </c>
      <c r="M1544" s="16">
        <v>6.944</v>
      </c>
    </row>
    <row r="1545">
      <c r="A1545" s="17">
        <v>58.90331591111122</v>
      </c>
      <c r="E1545" s="17">
        <v>13.507400198609735</v>
      </c>
      <c r="I1545" s="11">
        <v>14.0</v>
      </c>
      <c r="M1545" s="16">
        <v>71.44</v>
      </c>
    </row>
    <row r="1546">
      <c r="A1546" s="17">
        <v>608.6283072561729</v>
      </c>
      <c r="E1546" s="17">
        <v>164.8905002475423</v>
      </c>
      <c r="I1546" s="11">
        <v>50.0</v>
      </c>
      <c r="M1546" s="16">
        <v>44.19200000000001</v>
      </c>
    </row>
    <row r="1547">
      <c r="A1547" s="17">
        <v>9.281256140829715</v>
      </c>
      <c r="E1547" s="17">
        <v>100.87850947773151</v>
      </c>
      <c r="I1547" s="11">
        <v>41.0</v>
      </c>
      <c r="M1547" s="16">
        <v>1.904</v>
      </c>
    </row>
    <row r="1548">
      <c r="A1548" s="17">
        <v>1.1856774522292977</v>
      </c>
      <c r="E1548" s="17">
        <v>4.938332511100148</v>
      </c>
      <c r="I1548" s="11">
        <v>3.0</v>
      </c>
      <c r="M1548" s="16">
        <v>1.8079999999999998</v>
      </c>
    </row>
    <row r="1549">
      <c r="A1549" s="17">
        <v>8.592136108597295</v>
      </c>
      <c r="E1549" s="17">
        <v>220.50166195590714</v>
      </c>
      <c r="I1549" s="11">
        <v>25.0</v>
      </c>
      <c r="M1549" s="16">
        <v>7.744</v>
      </c>
    </row>
    <row r="1550">
      <c r="A1550" s="17">
        <v>3.789576000000001</v>
      </c>
      <c r="E1550" s="17">
        <v>62.89617798060447</v>
      </c>
      <c r="I1550" s="11">
        <v>2.0</v>
      </c>
      <c r="M1550" s="16">
        <v>11.512</v>
      </c>
    </row>
    <row r="1551">
      <c r="A1551" s="17">
        <v>59.160584699496454</v>
      </c>
      <c r="E1551" s="17">
        <v>107.76762879357914</v>
      </c>
      <c r="I1551" s="11">
        <v>25.0</v>
      </c>
      <c r="M1551" s="16">
        <v>4.792000000000001</v>
      </c>
    </row>
    <row r="1552">
      <c r="A1552" s="17">
        <v>437.3097631665832</v>
      </c>
      <c r="E1552" s="17">
        <v>6.3785873037542595</v>
      </c>
      <c r="I1552" s="11">
        <v>16.0</v>
      </c>
      <c r="M1552" s="16">
        <v>47.136</v>
      </c>
    </row>
    <row r="1553">
      <c r="A1553" s="17">
        <v>9.306728299948624</v>
      </c>
      <c r="E1553" s="17">
        <v>8.188610573343277</v>
      </c>
      <c r="I1553" s="11">
        <v>1.0</v>
      </c>
      <c r="M1553" s="16">
        <v>24.0</v>
      </c>
    </row>
    <row r="1554">
      <c r="A1554" s="17">
        <v>623.6794071561337</v>
      </c>
      <c r="E1554" s="17">
        <v>18.511204845790466</v>
      </c>
      <c r="I1554" s="11">
        <v>24.0</v>
      </c>
      <c r="M1554" s="16">
        <v>28.536</v>
      </c>
    </row>
    <row r="1555">
      <c r="A1555" s="17">
        <v>12.561768530559178</v>
      </c>
      <c r="E1555" s="17">
        <v>5.038450921106965</v>
      </c>
      <c r="I1555" s="11">
        <v>24.0</v>
      </c>
      <c r="M1555" s="16">
        <v>0.8</v>
      </c>
    </row>
    <row r="1556">
      <c r="A1556" s="17">
        <v>84.13195664058405</v>
      </c>
      <c r="E1556" s="17">
        <v>3.7919368218298533</v>
      </c>
      <c r="I1556" s="11">
        <v>38.0</v>
      </c>
      <c r="M1556" s="16">
        <v>4.064</v>
      </c>
    </row>
    <row r="1557">
      <c r="A1557" s="17">
        <v>29.914910600472826</v>
      </c>
      <c r="E1557" s="17">
        <v>105.9081449090496</v>
      </c>
      <c r="I1557" s="11">
        <v>33.0</v>
      </c>
      <c r="M1557" s="16">
        <v>4.5040000000000004</v>
      </c>
    </row>
    <row r="1558">
      <c r="A1558" s="17">
        <v>5.039237250554324</v>
      </c>
      <c r="E1558" s="17">
        <v>9.193527918486172</v>
      </c>
      <c r="I1558" s="11">
        <v>2.0</v>
      </c>
      <c r="M1558" s="16">
        <v>7.5200000000000005</v>
      </c>
    </row>
    <row r="1559">
      <c r="A1559" s="17">
        <v>16.3195020746888</v>
      </c>
      <c r="E1559" s="17">
        <v>2.7489046840148674</v>
      </c>
      <c r="I1559" s="11">
        <v>20.0</v>
      </c>
      <c r="M1559" s="16">
        <v>2.8000000000000003</v>
      </c>
    </row>
    <row r="1560">
      <c r="A1560" s="17">
        <v>410.52958008922445</v>
      </c>
      <c r="E1560" s="17">
        <v>641.4729246601584</v>
      </c>
      <c r="I1560" s="11">
        <v>37.0</v>
      </c>
      <c r="M1560" s="16">
        <v>28.536</v>
      </c>
    </row>
    <row r="1561">
      <c r="A1561" s="17">
        <v>52.20916009654977</v>
      </c>
      <c r="E1561" s="17">
        <v>3.432476903225806</v>
      </c>
      <c r="I1561" s="11">
        <v>50.0</v>
      </c>
      <c r="M1561" s="16">
        <v>2.5120000000000005</v>
      </c>
    </row>
    <row r="1562">
      <c r="A1562" s="17">
        <v>288.5394462136049</v>
      </c>
      <c r="E1562" s="17">
        <v>83.20774202904524</v>
      </c>
      <c r="I1562" s="11">
        <v>15.0</v>
      </c>
      <c r="M1562" s="16">
        <v>68.504</v>
      </c>
    </row>
    <row r="1563">
      <c r="A1563" s="17">
        <v>59.11348856122674</v>
      </c>
      <c r="E1563" s="17">
        <v>206.03912851190614</v>
      </c>
      <c r="I1563" s="11">
        <v>36.0</v>
      </c>
      <c r="M1563" s="16">
        <v>10.928</v>
      </c>
    </row>
    <row r="1564">
      <c r="A1564" s="17">
        <v>34.06523971811946</v>
      </c>
      <c r="E1564" s="17">
        <v>38.23841368108288</v>
      </c>
      <c r="I1564" s="11">
        <v>3.0</v>
      </c>
      <c r="M1564" s="16">
        <v>15.991999999999999</v>
      </c>
    </row>
    <row r="1565">
      <c r="A1565" s="17">
        <v>29.779753605683837</v>
      </c>
      <c r="E1565" s="17">
        <v>1.1085643956043953</v>
      </c>
      <c r="I1565" s="11">
        <v>30.0</v>
      </c>
      <c r="M1565" s="16">
        <v>4.648</v>
      </c>
    </row>
    <row r="1566">
      <c r="A1566" s="17">
        <v>9.225336420734017</v>
      </c>
      <c r="E1566" s="17">
        <v>10.04784187850944</v>
      </c>
      <c r="I1566" s="11">
        <v>39.0</v>
      </c>
      <c r="M1566" s="16">
        <v>5.128</v>
      </c>
    </row>
    <row r="1567">
      <c r="A1567" s="17">
        <v>50.79025217686307</v>
      </c>
      <c r="E1567" s="17">
        <v>203.46787056038895</v>
      </c>
      <c r="I1567" s="11">
        <v>38.0</v>
      </c>
      <c r="M1567" s="16">
        <v>36.0</v>
      </c>
    </row>
    <row r="1568">
      <c r="A1568" s="17">
        <v>20.73992774635819</v>
      </c>
      <c r="E1568" s="17">
        <v>67.48374838357469</v>
      </c>
      <c r="I1568" s="11">
        <v>40.0</v>
      </c>
      <c r="M1568" s="16">
        <v>2.3920000000000003</v>
      </c>
    </row>
    <row r="1569">
      <c r="A1569" s="17">
        <v>6.193275953307389</v>
      </c>
      <c r="E1569" s="17">
        <v>0.44802765432098685</v>
      </c>
      <c r="I1569" s="11">
        <v>47.0</v>
      </c>
      <c r="M1569" s="16">
        <v>1.8079999999999998</v>
      </c>
    </row>
    <row r="1570">
      <c r="A1570" s="17">
        <v>0.6900406504065069</v>
      </c>
      <c r="E1570" s="17">
        <v>7.950309320843103</v>
      </c>
      <c r="I1570" s="11">
        <v>13.0</v>
      </c>
      <c r="M1570" s="16">
        <v>0.4</v>
      </c>
    </row>
    <row r="1571">
      <c r="A1571" s="17">
        <v>16.45495467537771</v>
      </c>
      <c r="E1571" s="17">
        <v>7.6309935385453445</v>
      </c>
      <c r="I1571" s="11">
        <v>39.0</v>
      </c>
      <c r="M1571" s="16">
        <v>0.96</v>
      </c>
    </row>
    <row r="1572">
      <c r="A1572" s="17">
        <v>418.487523770556</v>
      </c>
      <c r="E1572" s="17">
        <v>682.3462115241729</v>
      </c>
      <c r="I1572" s="11">
        <v>28.0</v>
      </c>
      <c r="M1572" s="16">
        <v>55.712</v>
      </c>
    </row>
    <row r="1573">
      <c r="A1573" s="17">
        <v>7.4927676858345045</v>
      </c>
      <c r="E1573" s="17">
        <v>22.84800998726114</v>
      </c>
      <c r="I1573" s="11">
        <v>22.0</v>
      </c>
      <c r="M1573" s="16">
        <v>1.192</v>
      </c>
    </row>
    <row r="1574">
      <c r="A1574" s="17">
        <v>81.7718084936096</v>
      </c>
      <c r="E1574" s="17">
        <v>2.5804649739130423</v>
      </c>
      <c r="I1574" s="11">
        <v>50.0</v>
      </c>
      <c r="M1574" s="16">
        <v>0.792</v>
      </c>
    </row>
    <row r="1575">
      <c r="A1575" s="17">
        <v>137.23949512547344</v>
      </c>
      <c r="E1575" s="17">
        <v>3.266773922651928</v>
      </c>
      <c r="I1575" s="11">
        <v>17.0</v>
      </c>
      <c r="M1575" s="16">
        <v>4.648</v>
      </c>
    </row>
    <row r="1576">
      <c r="A1576" s="17">
        <v>1.8001616494845325</v>
      </c>
      <c r="E1576" s="17">
        <v>84.884306786467</v>
      </c>
      <c r="I1576" s="11">
        <v>6.0</v>
      </c>
      <c r="M1576" s="16">
        <v>1.192</v>
      </c>
    </row>
    <row r="1577">
      <c r="A1577" s="17">
        <v>4.321058823529428</v>
      </c>
      <c r="E1577" s="17">
        <v>25.625646761609925</v>
      </c>
      <c r="I1577" s="11">
        <v>15.0</v>
      </c>
      <c r="M1577" s="16">
        <v>5.28</v>
      </c>
    </row>
    <row r="1578">
      <c r="A1578" s="17">
        <v>8.940068770909086</v>
      </c>
      <c r="E1578" s="17">
        <v>27.50556801188648</v>
      </c>
      <c r="I1578" s="11">
        <v>19.0</v>
      </c>
      <c r="M1578" s="16">
        <v>6.288</v>
      </c>
    </row>
    <row r="1579">
      <c r="A1579" s="17">
        <v>2.9912193741496553</v>
      </c>
      <c r="E1579" s="17">
        <v>27.87737919636778</v>
      </c>
      <c r="I1579" s="11">
        <v>21.0</v>
      </c>
      <c r="M1579" s="16">
        <v>3.176</v>
      </c>
    </row>
    <row r="1580">
      <c r="A1580" s="17">
        <v>117.90205869787104</v>
      </c>
      <c r="E1580" s="17">
        <v>3.108278449612415</v>
      </c>
      <c r="I1580" s="11">
        <v>28.0</v>
      </c>
      <c r="M1580" s="16">
        <v>8.096</v>
      </c>
    </row>
    <row r="1581">
      <c r="A1581" s="17">
        <v>268.03640938592093</v>
      </c>
      <c r="E1581" s="17">
        <v>3.347431754874648</v>
      </c>
      <c r="I1581" s="11">
        <v>35.0</v>
      </c>
      <c r="M1581" s="16">
        <v>48.160000000000004</v>
      </c>
    </row>
    <row r="1582">
      <c r="A1582" s="17">
        <v>12.44744820925552</v>
      </c>
      <c r="E1582" s="17">
        <v>3.3083905317324196</v>
      </c>
      <c r="I1582" s="11">
        <v>37.0</v>
      </c>
      <c r="M1582" s="16">
        <v>10.384</v>
      </c>
    </row>
    <row r="1583">
      <c r="A1583" s="17">
        <v>21.91208641571199</v>
      </c>
      <c r="E1583" s="17">
        <v>5.759872029250452</v>
      </c>
      <c r="I1583" s="11">
        <v>39.0</v>
      </c>
      <c r="M1583" s="16">
        <v>4.84</v>
      </c>
    </row>
    <row r="1584">
      <c r="A1584" s="17">
        <v>562.7999900533181</v>
      </c>
      <c r="E1584" s="17">
        <v>63.77232197381454</v>
      </c>
      <c r="I1584" s="11">
        <v>12.0</v>
      </c>
      <c r="M1584" s="16">
        <v>51.672000000000004</v>
      </c>
    </row>
    <row r="1585">
      <c r="A1585" s="17">
        <v>35.315041748388865</v>
      </c>
      <c r="E1585" s="17">
        <v>24.24660725387141</v>
      </c>
      <c r="I1585" s="11">
        <v>7.0</v>
      </c>
      <c r="M1585" s="16">
        <v>27.360000000000003</v>
      </c>
    </row>
    <row r="1586">
      <c r="A1586" s="17">
        <v>20.77571128491618</v>
      </c>
      <c r="E1586" s="17">
        <v>38.79855483525661</v>
      </c>
      <c r="I1586" s="11">
        <v>29.0</v>
      </c>
      <c r="M1586" s="16">
        <v>5.896000000000001</v>
      </c>
    </row>
    <row r="1587">
      <c r="A1587" s="17">
        <v>2.177675276752784</v>
      </c>
      <c r="E1587" s="17">
        <v>21.646515478982828</v>
      </c>
      <c r="I1587" s="11">
        <v>34.0</v>
      </c>
      <c r="M1587" s="16">
        <v>0.4</v>
      </c>
    </row>
    <row r="1588">
      <c r="A1588" s="17">
        <v>3.7419067274384616</v>
      </c>
      <c r="E1588" s="17">
        <v>465.333471007596</v>
      </c>
      <c r="I1588" s="11">
        <v>41.0</v>
      </c>
      <c r="M1588" s="16">
        <v>2.3920000000000003</v>
      </c>
    </row>
    <row r="1589">
      <c r="A1589" s="17">
        <v>48.312711957803685</v>
      </c>
      <c r="E1589" s="17">
        <v>56.7362836842875</v>
      </c>
      <c r="I1589" s="11">
        <v>27.0</v>
      </c>
      <c r="M1589" s="16">
        <v>15.991999999999999</v>
      </c>
    </row>
    <row r="1590">
      <c r="A1590" s="17">
        <v>8.736628634317139</v>
      </c>
      <c r="E1590" s="17">
        <v>30.55512093385214</v>
      </c>
      <c r="I1590" s="11">
        <v>38.0</v>
      </c>
      <c r="M1590" s="16">
        <v>4.544</v>
      </c>
    </row>
    <row r="1591">
      <c r="A1591" s="17">
        <v>4.013103542857142</v>
      </c>
      <c r="E1591" s="17">
        <v>2.177052494854779</v>
      </c>
      <c r="I1591" s="11">
        <v>4.0</v>
      </c>
      <c r="M1591" s="16">
        <v>5.5760000000000005</v>
      </c>
    </row>
    <row r="1592">
      <c r="A1592" s="17">
        <v>0.668387096774193</v>
      </c>
      <c r="E1592" s="17">
        <v>1.1747999999999987</v>
      </c>
      <c r="I1592" s="11">
        <v>4.0</v>
      </c>
      <c r="M1592" s="16">
        <v>0.4</v>
      </c>
    </row>
    <row r="1593">
      <c r="A1593" s="17">
        <v>1.5669942857142858</v>
      </c>
      <c r="E1593" s="17">
        <v>16.98347097998553</v>
      </c>
      <c r="I1593" s="11">
        <v>4.0</v>
      </c>
      <c r="M1593" s="16">
        <v>0.5599999999999999</v>
      </c>
    </row>
    <row r="1594">
      <c r="A1594" s="17">
        <v>75.57641625064554</v>
      </c>
      <c r="E1594" s="17">
        <v>22.05654156457173</v>
      </c>
      <c r="I1594" s="11">
        <v>45.0</v>
      </c>
      <c r="M1594" s="16">
        <v>5.04</v>
      </c>
    </row>
    <row r="1595">
      <c r="A1595" s="17">
        <v>290.97067949291755</v>
      </c>
      <c r="E1595" s="17">
        <v>3.6571943661971806</v>
      </c>
      <c r="I1595" s="11">
        <v>15.0</v>
      </c>
      <c r="M1595" s="16">
        <v>39.2</v>
      </c>
    </row>
    <row r="1596">
      <c r="A1596" s="17">
        <v>5.828676535433069</v>
      </c>
      <c r="E1596" s="17">
        <v>14.647886378308606</v>
      </c>
      <c r="I1596" s="11">
        <v>19.0</v>
      </c>
      <c r="M1596" s="16">
        <v>4.192</v>
      </c>
    </row>
    <row r="1597">
      <c r="A1597" s="17">
        <v>24.674564094689728</v>
      </c>
      <c r="E1597" s="17">
        <v>3.528911392405066</v>
      </c>
      <c r="I1597" s="11">
        <v>10.0</v>
      </c>
      <c r="M1597" s="16">
        <v>1.592</v>
      </c>
    </row>
    <row r="1598">
      <c r="A1598" s="17">
        <v>8.432608264462814</v>
      </c>
      <c r="E1598" s="17">
        <v>12.765589881180485</v>
      </c>
      <c r="I1598" s="11">
        <v>26.0</v>
      </c>
      <c r="M1598" s="16">
        <v>5.28</v>
      </c>
    </row>
    <row r="1599">
      <c r="A1599" s="17">
        <v>7.420952523364472</v>
      </c>
      <c r="E1599" s="17">
        <v>33.30383579617832</v>
      </c>
      <c r="I1599" s="11">
        <v>11.0</v>
      </c>
      <c r="M1599" s="16">
        <v>6.992000000000001</v>
      </c>
    </row>
    <row r="1600">
      <c r="A1600" s="17">
        <v>33.28726551510824</v>
      </c>
      <c r="E1600" s="17">
        <v>27.158180894901157</v>
      </c>
      <c r="I1600" s="11">
        <v>3.0</v>
      </c>
      <c r="M1600" s="16">
        <v>6.152000000000001</v>
      </c>
    </row>
    <row r="1601">
      <c r="A1601" s="17">
        <v>51.38355666158201</v>
      </c>
      <c r="E1601" s="17">
        <v>95.73967979399823</v>
      </c>
      <c r="I1601" s="11">
        <v>21.0</v>
      </c>
      <c r="M1601" s="16">
        <v>4.264</v>
      </c>
    </row>
    <row r="1602">
      <c r="A1602" s="17">
        <v>24.158300502545128</v>
      </c>
      <c r="E1602" s="17">
        <v>9.92368008363829</v>
      </c>
      <c r="I1602" s="11">
        <v>30.0</v>
      </c>
      <c r="M1602" s="16">
        <v>2.904</v>
      </c>
    </row>
    <row r="1603">
      <c r="A1603" s="17">
        <v>89.22282342930103</v>
      </c>
      <c r="E1603" s="17">
        <v>8.063268408454336</v>
      </c>
      <c r="I1603" s="11">
        <v>28.0</v>
      </c>
      <c r="M1603" s="16">
        <v>4.08</v>
      </c>
    </row>
    <row r="1604">
      <c r="A1604" s="17">
        <v>30.659051873432098</v>
      </c>
      <c r="E1604" s="17">
        <v>111.80125029873892</v>
      </c>
      <c r="I1604" s="11">
        <v>16.0</v>
      </c>
      <c r="M1604" s="16">
        <v>71.44</v>
      </c>
    </row>
    <row r="1605">
      <c r="A1605" s="17">
        <v>44.99746734045315</v>
      </c>
      <c r="E1605" s="17">
        <v>272.6093879937474</v>
      </c>
      <c r="I1605" s="11">
        <v>28.0</v>
      </c>
      <c r="M1605" s="16">
        <v>1.592</v>
      </c>
    </row>
    <row r="1606">
      <c r="A1606" s="17">
        <v>26.161350844277674</v>
      </c>
      <c r="E1606" s="17">
        <v>38.97205464012251</v>
      </c>
      <c r="I1606" s="11">
        <v>46.0</v>
      </c>
      <c r="M1606" s="16">
        <v>2.8000000000000003</v>
      </c>
    </row>
    <row r="1607">
      <c r="A1607" s="17">
        <v>263.25687572322926</v>
      </c>
      <c r="E1607" s="17">
        <v>329.085043441171</v>
      </c>
      <c r="I1607" s="11">
        <v>9.0</v>
      </c>
      <c r="M1607" s="16">
        <v>51.784000000000006</v>
      </c>
    </row>
    <row r="1608">
      <c r="A1608" s="17">
        <v>7.92693</v>
      </c>
      <c r="E1608" s="17">
        <v>15.787224030418257</v>
      </c>
      <c r="I1608" s="11">
        <v>32.0</v>
      </c>
      <c r="M1608" s="16">
        <v>0.6240000000000001</v>
      </c>
    </row>
    <row r="1609">
      <c r="A1609" s="17">
        <v>434.89687496410664</v>
      </c>
      <c r="E1609" s="17">
        <v>116.4030402221338</v>
      </c>
      <c r="I1609" s="11">
        <v>46.0</v>
      </c>
      <c r="M1609" s="16">
        <v>7.040000000000001</v>
      </c>
    </row>
    <row r="1610">
      <c r="A1610" s="17">
        <v>9.780052653618553</v>
      </c>
      <c r="E1610" s="17">
        <v>4.343850311850314</v>
      </c>
      <c r="I1610" s="11">
        <v>14.0</v>
      </c>
      <c r="M1610" s="16">
        <v>2.3920000000000003</v>
      </c>
    </row>
    <row r="1611">
      <c r="A1611" s="17">
        <v>1283.2996776502548</v>
      </c>
      <c r="E1611" s="17">
        <v>163.1447369316358</v>
      </c>
      <c r="I1611" s="11">
        <v>43.0</v>
      </c>
      <c r="M1611" s="16">
        <v>11.76</v>
      </c>
    </row>
    <row r="1612">
      <c r="A1612" s="17">
        <v>25.21762073675727</v>
      </c>
      <c r="E1612" s="17">
        <v>487.7976487373548</v>
      </c>
      <c r="I1612" s="11">
        <v>34.0</v>
      </c>
      <c r="M1612" s="16">
        <v>7.064</v>
      </c>
    </row>
    <row r="1613">
      <c r="A1613" s="17">
        <v>13.818533399307263</v>
      </c>
      <c r="E1613" s="17">
        <v>1306.3785643724523</v>
      </c>
      <c r="I1613" s="11">
        <v>31.0</v>
      </c>
      <c r="M1613" s="16">
        <v>4.28</v>
      </c>
    </row>
    <row r="1614">
      <c r="A1614" s="17">
        <v>1.1135549748743696</v>
      </c>
      <c r="E1614" s="17">
        <v>98.85684533280856</v>
      </c>
      <c r="I1614" s="11">
        <v>3.0</v>
      </c>
      <c r="M1614" s="16">
        <v>4.016</v>
      </c>
    </row>
    <row r="1615">
      <c r="A1615" s="17">
        <v>172.3349923895476</v>
      </c>
      <c r="E1615" s="17">
        <v>317.67360181459156</v>
      </c>
      <c r="I1615" s="11">
        <v>1.0</v>
      </c>
      <c r="M1615" s="16">
        <v>19.592</v>
      </c>
    </row>
    <row r="1616">
      <c r="A1616" s="17">
        <v>31.890667084148756</v>
      </c>
      <c r="E1616" s="17">
        <v>81.60051050034473</v>
      </c>
      <c r="I1616" s="11">
        <v>12.0</v>
      </c>
      <c r="M1616" s="16">
        <v>3.136</v>
      </c>
    </row>
    <row r="1617">
      <c r="A1617" s="17">
        <v>127.30768271562187</v>
      </c>
      <c r="E1617" s="17">
        <v>4.263801705167834</v>
      </c>
      <c r="I1617" s="11">
        <v>36.0</v>
      </c>
      <c r="M1617" s="16">
        <v>28.0</v>
      </c>
    </row>
    <row r="1618">
      <c r="A1618" s="17">
        <v>70.8857316129033</v>
      </c>
      <c r="E1618" s="17">
        <v>1497.960663798405</v>
      </c>
      <c r="I1618" s="11">
        <v>10.0</v>
      </c>
      <c r="M1618" s="16">
        <v>15.991999999999999</v>
      </c>
    </row>
    <row r="1619">
      <c r="A1619" s="17">
        <v>113.19134391101005</v>
      </c>
      <c r="E1619" s="17">
        <v>245.69691706627887</v>
      </c>
      <c r="I1619" s="11">
        <v>47.0</v>
      </c>
      <c r="M1619" s="16">
        <v>7.192</v>
      </c>
    </row>
    <row r="1620">
      <c r="A1620" s="17">
        <v>349.1242198046531</v>
      </c>
      <c r="E1620" s="17">
        <v>346.9489970135246</v>
      </c>
      <c r="I1620" s="11">
        <v>42.0</v>
      </c>
      <c r="M1620" s="16">
        <v>2.0</v>
      </c>
    </row>
    <row r="1621">
      <c r="A1621" s="17">
        <v>6.863275559131127</v>
      </c>
      <c r="E1621" s="17">
        <v>220.64066295535042</v>
      </c>
      <c r="I1621" s="11">
        <v>35.0</v>
      </c>
      <c r="M1621" s="16">
        <v>3.536</v>
      </c>
    </row>
    <row r="1622">
      <c r="A1622" s="17">
        <v>5.661530088958637</v>
      </c>
      <c r="E1622" s="17">
        <v>162.3898206499019</v>
      </c>
      <c r="I1622" s="11">
        <v>37.0</v>
      </c>
      <c r="M1622" s="16">
        <v>3.9600000000000004</v>
      </c>
    </row>
    <row r="1623">
      <c r="A1623" s="17">
        <v>16.753325237441654</v>
      </c>
      <c r="E1623" s="17">
        <v>5.074183701244819</v>
      </c>
      <c r="I1623" s="11">
        <v>50.0</v>
      </c>
      <c r="M1623" s="16">
        <v>6.696</v>
      </c>
    </row>
    <row r="1624">
      <c r="A1624" s="17">
        <v>13.748429164196772</v>
      </c>
      <c r="E1624" s="17">
        <v>973.9425604445515</v>
      </c>
      <c r="I1624" s="11">
        <v>26.0</v>
      </c>
      <c r="M1624" s="16">
        <v>39.2</v>
      </c>
    </row>
    <row r="1625">
      <c r="A1625" s="17">
        <v>62.15058512666385</v>
      </c>
      <c r="E1625" s="17">
        <v>56.123590468237616</v>
      </c>
      <c r="I1625" s="11">
        <v>43.0</v>
      </c>
      <c r="M1625" s="16">
        <v>8.936</v>
      </c>
    </row>
    <row r="1626">
      <c r="A1626" s="17">
        <v>169.543093935204</v>
      </c>
      <c r="E1626" s="17">
        <v>39.81718044212112</v>
      </c>
      <c r="I1626" s="11">
        <v>27.0</v>
      </c>
      <c r="M1626" s="16">
        <v>45.904</v>
      </c>
    </row>
    <row r="1627">
      <c r="A1627" s="17">
        <v>111.83387290969897</v>
      </c>
      <c r="E1627" s="17">
        <v>97.70054717431046</v>
      </c>
      <c r="I1627" s="11">
        <v>20.0</v>
      </c>
      <c r="M1627" s="16">
        <v>56.160000000000004</v>
      </c>
    </row>
    <row r="1628">
      <c r="A1628" s="17">
        <v>13.804792840677964</v>
      </c>
      <c r="E1628" s="17">
        <v>257.6239961837441</v>
      </c>
      <c r="I1628" s="11">
        <v>23.0</v>
      </c>
      <c r="M1628" s="16">
        <v>5.5840000000000005</v>
      </c>
    </row>
    <row r="1629">
      <c r="A1629" s="17">
        <v>323.7389455269916</v>
      </c>
      <c r="E1629" s="17">
        <v>0.5038174392220448</v>
      </c>
      <c r="I1629" s="11">
        <v>19.0</v>
      </c>
      <c r="M1629" s="16">
        <v>49.408</v>
      </c>
    </row>
    <row r="1630">
      <c r="A1630" s="17">
        <v>1.7209781132075508</v>
      </c>
      <c r="E1630" s="17">
        <v>40.453483721100646</v>
      </c>
      <c r="I1630" s="11">
        <v>8.0</v>
      </c>
      <c r="M1630" s="16">
        <v>1.1119999999999999</v>
      </c>
    </row>
    <row r="1631">
      <c r="A1631" s="17">
        <v>16.894633188906</v>
      </c>
      <c r="E1631" s="17">
        <v>209.282767847933</v>
      </c>
      <c r="I1631" s="11">
        <v>6.0</v>
      </c>
      <c r="M1631" s="16">
        <v>67.872</v>
      </c>
    </row>
    <row r="1632">
      <c r="A1632" s="17">
        <v>24.727953870967735</v>
      </c>
      <c r="E1632" s="17">
        <v>63.58118151352299</v>
      </c>
      <c r="I1632" s="11">
        <v>27.0</v>
      </c>
      <c r="M1632" s="16">
        <v>4.5040000000000004</v>
      </c>
    </row>
    <row r="1633">
      <c r="A1633" s="17">
        <v>2.8385095615866227</v>
      </c>
      <c r="E1633" s="17">
        <v>8.274913349331506</v>
      </c>
      <c r="I1633" s="11">
        <v>34.0</v>
      </c>
      <c r="M1633" s="16">
        <v>1.072</v>
      </c>
    </row>
    <row r="1634">
      <c r="A1634" s="17">
        <v>5.865199880059945</v>
      </c>
      <c r="E1634" s="17">
        <v>184.45942585885015</v>
      </c>
      <c r="I1634" s="11">
        <v>27.0</v>
      </c>
      <c r="M1634" s="16">
        <v>7.752</v>
      </c>
    </row>
    <row r="1635">
      <c r="A1635" s="17">
        <v>247.8668391771256</v>
      </c>
      <c r="E1635" s="17">
        <v>6.981924170616091</v>
      </c>
      <c r="I1635" s="11">
        <v>25.0</v>
      </c>
      <c r="M1635" s="16">
        <v>2.4000000000000004</v>
      </c>
    </row>
    <row r="1636">
      <c r="A1636" s="17">
        <v>106.91082739648796</v>
      </c>
      <c r="E1636" s="17">
        <v>74.32665985525001</v>
      </c>
      <c r="I1636" s="11">
        <v>39.0</v>
      </c>
      <c r="M1636" s="16">
        <v>44.912000000000006</v>
      </c>
    </row>
    <row r="1637">
      <c r="A1637" s="17">
        <v>7.601659480789224</v>
      </c>
      <c r="E1637" s="17">
        <v>6.601726043503818</v>
      </c>
      <c r="I1637" s="11">
        <v>44.0</v>
      </c>
      <c r="M1637" s="16">
        <v>4.272</v>
      </c>
    </row>
    <row r="1638">
      <c r="A1638" s="17">
        <v>6.902087768313462</v>
      </c>
      <c r="E1638" s="17">
        <v>3.6195391846522824</v>
      </c>
      <c r="I1638" s="11">
        <v>35.0</v>
      </c>
      <c r="M1638" s="16">
        <v>1.536</v>
      </c>
    </row>
    <row r="1639">
      <c r="A1639" s="17">
        <v>13.965870264817148</v>
      </c>
      <c r="E1639" s="17">
        <v>44.2068662937991</v>
      </c>
      <c r="I1639" s="11">
        <v>19.0</v>
      </c>
      <c r="M1639" s="16">
        <v>4.424</v>
      </c>
    </row>
    <row r="1640">
      <c r="A1640" s="17">
        <v>20.215066587159683</v>
      </c>
      <c r="E1640" s="17">
        <v>46.04063255062282</v>
      </c>
      <c r="I1640" s="11">
        <v>12.0</v>
      </c>
      <c r="M1640" s="16">
        <v>3.2</v>
      </c>
    </row>
    <row r="1641">
      <c r="A1641" s="17">
        <v>101.98850764822129</v>
      </c>
      <c r="E1641" s="17">
        <v>18.346461998060132</v>
      </c>
      <c r="I1641" s="11">
        <v>50.0</v>
      </c>
      <c r="M1641" s="16">
        <v>10.576</v>
      </c>
    </row>
    <row r="1642">
      <c r="A1642" s="17">
        <v>1544.493945936802</v>
      </c>
      <c r="E1642" s="17">
        <v>48.51554639786541</v>
      </c>
      <c r="I1642" s="11">
        <v>47.0</v>
      </c>
      <c r="M1642" s="16">
        <v>11.76</v>
      </c>
    </row>
    <row r="1643">
      <c r="A1643" s="17">
        <v>3.298738814675448</v>
      </c>
      <c r="I1643" s="11">
        <v>15.0</v>
      </c>
      <c r="M1643" s="16">
        <v>2.3920000000000003</v>
      </c>
    </row>
    <row r="1644">
      <c r="A1644" s="17">
        <v>102.74175064593065</v>
      </c>
      <c r="I1644" s="11">
        <v>13.0</v>
      </c>
      <c r="M1644" s="16">
        <v>34.656</v>
      </c>
    </row>
    <row r="1645">
      <c r="A1645" s="17">
        <v>247.89357201731175</v>
      </c>
      <c r="I1645" s="11">
        <v>31.0</v>
      </c>
      <c r="M1645" s="16">
        <v>45.904</v>
      </c>
    </row>
    <row r="1646">
      <c r="A1646" s="17">
        <v>70.80653744297332</v>
      </c>
      <c r="I1646" s="11">
        <v>42.0</v>
      </c>
      <c r="M1646" s="16">
        <v>5.760000000000001</v>
      </c>
    </row>
    <row r="1647">
      <c r="A1647" s="17">
        <v>46.729809398295465</v>
      </c>
      <c r="I1647" s="11">
        <v>28.0</v>
      </c>
      <c r="M1647" s="16">
        <v>0.792</v>
      </c>
    </row>
    <row r="1648">
      <c r="A1648" s="17">
        <v>184.39282984190683</v>
      </c>
      <c r="I1648" s="11">
        <v>30.0</v>
      </c>
      <c r="M1648" s="16">
        <v>7.192</v>
      </c>
    </row>
    <row r="1649">
      <c r="A1649" s="17">
        <v>6.974147404744767</v>
      </c>
      <c r="I1649" s="11">
        <v>42.0</v>
      </c>
      <c r="M1649" s="16">
        <v>1.536</v>
      </c>
    </row>
    <row r="1650">
      <c r="A1650" s="17">
        <v>24.0036665072532</v>
      </c>
      <c r="I1650" s="11">
        <v>7.0</v>
      </c>
      <c r="M1650" s="16">
        <v>1.0</v>
      </c>
    </row>
    <row r="1651">
      <c r="A1651" s="17">
        <v>19.03918839951861</v>
      </c>
      <c r="I1651" s="11">
        <v>39.0</v>
      </c>
      <c r="M1651" s="16">
        <v>4.024</v>
      </c>
    </row>
    <row r="1652">
      <c r="A1652" s="17">
        <v>3.144232236286927</v>
      </c>
      <c r="I1652" s="11">
        <v>1.0</v>
      </c>
      <c r="M1652" s="16">
        <v>4.208</v>
      </c>
    </row>
    <row r="1653">
      <c r="A1653" s="17">
        <v>3.7726435691523217</v>
      </c>
      <c r="I1653" s="11">
        <v>30.0</v>
      </c>
      <c r="M1653" s="16">
        <v>6.032</v>
      </c>
    </row>
    <row r="1654">
      <c r="A1654" s="17">
        <v>170.5516656349632</v>
      </c>
      <c r="I1654" s="11">
        <v>19.0</v>
      </c>
      <c r="M1654" s="16">
        <v>4.648</v>
      </c>
    </row>
    <row r="1655">
      <c r="A1655" s="17">
        <v>6.362892601969057</v>
      </c>
      <c r="I1655" s="11">
        <v>30.0</v>
      </c>
      <c r="M1655" s="16">
        <v>7.888</v>
      </c>
    </row>
    <row r="1656">
      <c r="A1656" s="17">
        <v>9.040067583274272</v>
      </c>
      <c r="I1656" s="11">
        <v>38.0</v>
      </c>
      <c r="M1656" s="16">
        <v>5.992000000000001</v>
      </c>
    </row>
    <row r="1657">
      <c r="A1657" s="17">
        <v>3.085376000000001</v>
      </c>
      <c r="I1657" s="11">
        <v>4.0</v>
      </c>
      <c r="M1657" s="16">
        <v>6.992000000000001</v>
      </c>
    </row>
    <row r="1658">
      <c r="A1658" s="17">
        <v>763.6780824147052</v>
      </c>
      <c r="I1658" s="11">
        <v>30.0</v>
      </c>
      <c r="M1658" s="16">
        <v>51.784000000000006</v>
      </c>
    </row>
    <row r="1659">
      <c r="A1659" s="17">
        <v>0.6567804878048771</v>
      </c>
      <c r="I1659" s="11">
        <v>2.0</v>
      </c>
      <c r="M1659" s="16">
        <v>1.08</v>
      </c>
    </row>
    <row r="1660">
      <c r="A1660" s="17">
        <v>6.247899919463088</v>
      </c>
      <c r="I1660" s="11">
        <v>9.0</v>
      </c>
      <c r="M1660" s="16">
        <v>2.8160000000000003</v>
      </c>
    </row>
    <row r="1661">
      <c r="A1661" s="17">
        <v>2.48337494736844</v>
      </c>
      <c r="I1661" s="11">
        <v>21.0</v>
      </c>
      <c r="M1661" s="16">
        <v>7.4959999999999996</v>
      </c>
    </row>
    <row r="1662">
      <c r="A1662" s="17">
        <v>16.50532168492818</v>
      </c>
      <c r="I1662" s="11">
        <v>11.0</v>
      </c>
      <c r="M1662" s="16">
        <v>4.072</v>
      </c>
    </row>
    <row r="1663">
      <c r="A1663" s="17">
        <v>20.67128319295345</v>
      </c>
      <c r="I1663" s="11">
        <v>18.0</v>
      </c>
      <c r="M1663" s="16">
        <v>2.8960000000000004</v>
      </c>
    </row>
    <row r="1664">
      <c r="A1664" s="17">
        <v>11.65798505213188</v>
      </c>
      <c r="I1664" s="11">
        <v>9.0</v>
      </c>
      <c r="M1664" s="16">
        <v>5.416</v>
      </c>
    </row>
    <row r="1665">
      <c r="A1665" s="17">
        <v>2.1538174891774893</v>
      </c>
      <c r="I1665" s="11">
        <v>9.0</v>
      </c>
      <c r="M1665" s="16">
        <v>0.8960000000000001</v>
      </c>
    </row>
    <row r="1666">
      <c r="A1666" s="17">
        <v>226.02383266055082</v>
      </c>
      <c r="I1666" s="11">
        <v>19.0</v>
      </c>
      <c r="M1666" s="16">
        <v>3.192</v>
      </c>
    </row>
    <row r="1667">
      <c r="A1667" s="17">
        <v>624.0870226297889</v>
      </c>
      <c r="I1667" s="11">
        <v>46.0</v>
      </c>
      <c r="M1667" s="16">
        <v>2.0</v>
      </c>
    </row>
    <row r="1668">
      <c r="A1668" s="17">
        <v>4.5875682229965085</v>
      </c>
      <c r="I1668" s="11">
        <v>19.0</v>
      </c>
      <c r="M1668" s="16">
        <v>1.072</v>
      </c>
    </row>
    <row r="1669">
      <c r="A1669" s="17">
        <v>8.5126352732644</v>
      </c>
      <c r="I1669" s="11">
        <v>19.0</v>
      </c>
      <c r="M1669" s="16">
        <v>4.672</v>
      </c>
    </row>
    <row r="1670">
      <c r="A1670" s="17">
        <v>917.6094493797317</v>
      </c>
      <c r="I1670" s="11">
        <v>50.0</v>
      </c>
      <c r="M1670" s="16">
        <v>34.656</v>
      </c>
    </row>
    <row r="1671">
      <c r="A1671" s="17">
        <v>8.958040232288031</v>
      </c>
      <c r="I1671" s="11">
        <v>15.0</v>
      </c>
      <c r="M1671" s="16">
        <v>3.944</v>
      </c>
    </row>
    <row r="1672">
      <c r="A1672" s="17">
        <v>0.962295652173912</v>
      </c>
      <c r="I1672" s="11">
        <v>2.0</v>
      </c>
      <c r="M1672" s="16">
        <v>0.6400000000000001</v>
      </c>
    </row>
    <row r="1673">
      <c r="A1673" s="17">
        <v>23.6729788125183</v>
      </c>
      <c r="I1673" s="11">
        <v>34.0</v>
      </c>
      <c r="M1673" s="16">
        <v>3.512</v>
      </c>
    </row>
    <row r="1674">
      <c r="A1674" s="17">
        <v>3.750087804878052</v>
      </c>
      <c r="I1674" s="11">
        <v>42.0</v>
      </c>
      <c r="M1674" s="16">
        <v>0.5599999999999999</v>
      </c>
    </row>
    <row r="1675">
      <c r="A1675" s="17">
        <v>36.825363653428056</v>
      </c>
      <c r="I1675" s="11">
        <v>23.0</v>
      </c>
      <c r="M1675" s="16">
        <v>11.776000000000002</v>
      </c>
    </row>
    <row r="1676">
      <c r="A1676" s="17">
        <v>267.59000044182477</v>
      </c>
      <c r="I1676" s="11">
        <v>50.0</v>
      </c>
      <c r="M1676" s="16">
        <v>31.400000000000002</v>
      </c>
    </row>
    <row r="1677">
      <c r="A1677" s="17">
        <v>0.3310046017699101</v>
      </c>
      <c r="I1677" s="11">
        <v>12.0</v>
      </c>
      <c r="M1677" s="16">
        <v>0.664</v>
      </c>
    </row>
    <row r="1678">
      <c r="A1678" s="17">
        <v>4.0466585902683265</v>
      </c>
      <c r="I1678" s="11">
        <v>44.0</v>
      </c>
      <c r="M1678" s="16">
        <v>4.576</v>
      </c>
    </row>
    <row r="1679">
      <c r="A1679" s="17">
        <v>23.884994303488156</v>
      </c>
      <c r="I1679" s="11">
        <v>36.0</v>
      </c>
      <c r="M1679" s="16">
        <v>7.192</v>
      </c>
    </row>
    <row r="1680">
      <c r="A1680" s="17">
        <v>3.477362148087896</v>
      </c>
      <c r="I1680" s="11">
        <v>41.0</v>
      </c>
      <c r="M1680" s="16">
        <v>4.472</v>
      </c>
    </row>
    <row r="1681">
      <c r="A1681" s="17">
        <v>53.67375367960998</v>
      </c>
      <c r="I1681" s="11">
        <v>33.0</v>
      </c>
      <c r="M1681" s="16">
        <v>10.544</v>
      </c>
    </row>
    <row r="1682">
      <c r="A1682" s="17">
        <v>12.8970153046953</v>
      </c>
      <c r="I1682" s="11">
        <v>38.0</v>
      </c>
      <c r="M1682" s="16">
        <v>3.944</v>
      </c>
    </row>
    <row r="1683">
      <c r="A1683" s="17">
        <v>3.923627399770896</v>
      </c>
      <c r="I1683" s="11">
        <v>30.0</v>
      </c>
      <c r="M1683" s="16">
        <v>5.5840000000000005</v>
      </c>
    </row>
    <row r="1684">
      <c r="A1684" s="17">
        <v>185.18226446073794</v>
      </c>
      <c r="I1684" s="11">
        <v>29.0</v>
      </c>
      <c r="M1684" s="16">
        <v>33.312000000000005</v>
      </c>
    </row>
    <row r="1685">
      <c r="A1685" s="17">
        <v>7.980128886153843</v>
      </c>
      <c r="I1685" s="11">
        <v>27.0</v>
      </c>
      <c r="M1685" s="16">
        <v>5.5840000000000005</v>
      </c>
    </row>
    <row r="1686">
      <c r="A1686" s="17">
        <v>163.23899193597006</v>
      </c>
      <c r="I1686" s="11">
        <v>31.0</v>
      </c>
      <c r="M1686" s="16">
        <v>11.104000000000001</v>
      </c>
    </row>
    <row r="1687">
      <c r="A1687" s="17">
        <v>10.178459237097975</v>
      </c>
      <c r="I1687" s="11">
        <v>6.0</v>
      </c>
      <c r="M1687" s="16">
        <v>3.2</v>
      </c>
    </row>
    <row r="1688">
      <c r="A1688" s="17">
        <v>19.85416127632423</v>
      </c>
      <c r="I1688" s="11">
        <v>42.0</v>
      </c>
      <c r="M1688" s="16">
        <v>4.128</v>
      </c>
    </row>
    <row r="1689">
      <c r="A1689" s="17">
        <v>21.571381981247455</v>
      </c>
      <c r="I1689" s="11">
        <v>15.0</v>
      </c>
      <c r="M1689" s="16">
        <v>5.4</v>
      </c>
    </row>
    <row r="1690">
      <c r="A1690" s="17">
        <v>109.3139318333334</v>
      </c>
      <c r="I1690" s="11">
        <v>5.0</v>
      </c>
      <c r="M1690" s="16">
        <v>18.552000000000003</v>
      </c>
    </row>
    <row r="1691">
      <c r="A1691" s="17">
        <v>1.9786653388658382</v>
      </c>
      <c r="I1691" s="11">
        <v>12.0</v>
      </c>
      <c r="M1691" s="16">
        <v>0.664</v>
      </c>
    </row>
    <row r="1692">
      <c r="A1692" s="17">
        <v>13.746685622889661</v>
      </c>
      <c r="I1692" s="11">
        <v>26.0</v>
      </c>
      <c r="M1692" s="16">
        <v>5.2</v>
      </c>
    </row>
    <row r="1693">
      <c r="A1693" s="17">
        <v>32.54141994753716</v>
      </c>
      <c r="I1693" s="11">
        <v>47.0</v>
      </c>
      <c r="M1693" s="16">
        <v>5.896000000000001</v>
      </c>
    </row>
    <row r="1694">
      <c r="A1694" s="17">
        <v>2.4112255489021948</v>
      </c>
      <c r="I1694" s="11">
        <v>10.0</v>
      </c>
      <c r="M1694" s="16">
        <v>0.5599999999999999</v>
      </c>
    </row>
    <row r="1695">
      <c r="A1695" s="17">
        <v>17.501271001606856</v>
      </c>
      <c r="I1695" s="11">
        <v>20.0</v>
      </c>
      <c r="M1695" s="16">
        <v>7.152</v>
      </c>
    </row>
    <row r="1696">
      <c r="A1696" s="17">
        <v>29.955344764684384</v>
      </c>
      <c r="I1696" s="11">
        <v>6.0</v>
      </c>
      <c r="M1696" s="16">
        <v>1.0</v>
      </c>
    </row>
    <row r="1697">
      <c r="A1697" s="17">
        <v>12.590749629629638</v>
      </c>
      <c r="I1697" s="11">
        <v>32.0</v>
      </c>
      <c r="M1697" s="16">
        <v>3.9600000000000004</v>
      </c>
    </row>
    <row r="1698">
      <c r="A1698" s="17">
        <v>17.61711367683842</v>
      </c>
      <c r="I1698" s="11">
        <v>36.0</v>
      </c>
      <c r="M1698" s="16">
        <v>3.976</v>
      </c>
    </row>
    <row r="1699">
      <c r="A1699" s="17">
        <v>44.60199173311636</v>
      </c>
      <c r="I1699" s="11">
        <v>3.0</v>
      </c>
      <c r="M1699" s="16">
        <v>19.592</v>
      </c>
    </row>
    <row r="1700">
      <c r="A1700" s="17">
        <v>3.8821839851024187</v>
      </c>
      <c r="I1700" s="11">
        <v>48.0</v>
      </c>
      <c r="M1700" s="16">
        <v>0.5599999999999999</v>
      </c>
    </row>
    <row r="1701">
      <c r="A1701" s="17">
        <v>107.51979592384272</v>
      </c>
      <c r="I1701" s="11">
        <v>44.0</v>
      </c>
      <c r="M1701" s="16">
        <v>51.36000000000001</v>
      </c>
    </row>
    <row r="1702">
      <c r="A1702" s="17">
        <v>10.696306245802548</v>
      </c>
      <c r="I1702" s="11">
        <v>37.0</v>
      </c>
      <c r="M1702" s="16">
        <v>0.4</v>
      </c>
    </row>
    <row r="1703">
      <c r="A1703" s="17">
        <v>0.6786863157894755</v>
      </c>
      <c r="I1703" s="11">
        <v>4.0</v>
      </c>
      <c r="M1703" s="16">
        <v>1.192</v>
      </c>
    </row>
    <row r="1704">
      <c r="A1704" s="17">
        <v>6.396389799635695</v>
      </c>
      <c r="I1704" s="11">
        <v>31.0</v>
      </c>
      <c r="M1704" s="16">
        <v>0.68</v>
      </c>
    </row>
    <row r="1705">
      <c r="A1705" s="17">
        <v>75.82340210927161</v>
      </c>
      <c r="I1705" s="11">
        <v>32.0</v>
      </c>
      <c r="M1705" s="16">
        <v>1.592</v>
      </c>
    </row>
    <row r="1706">
      <c r="A1706" s="17">
        <v>96.58855355557579</v>
      </c>
      <c r="I1706" s="11">
        <v>18.0</v>
      </c>
      <c r="M1706" s="16">
        <v>34.656</v>
      </c>
    </row>
    <row r="1707">
      <c r="A1707" s="17">
        <v>38.059491551013345</v>
      </c>
      <c r="I1707" s="11">
        <v>42.0</v>
      </c>
      <c r="M1707" s="16">
        <v>7.359999999999999</v>
      </c>
    </row>
    <row r="1708">
      <c r="A1708" s="17">
        <v>3.3669845142003028</v>
      </c>
      <c r="I1708" s="11">
        <v>14.0</v>
      </c>
      <c r="M1708" s="16">
        <v>4.544</v>
      </c>
    </row>
    <row r="1709">
      <c r="A1709" s="17">
        <v>847.9885790334956</v>
      </c>
      <c r="I1709" s="11">
        <v>50.0</v>
      </c>
      <c r="M1709" s="16">
        <v>48.0</v>
      </c>
    </row>
    <row r="1710">
      <c r="A1710" s="17">
        <v>178.6317537757712</v>
      </c>
      <c r="I1710" s="11">
        <v>43.0</v>
      </c>
      <c r="M1710" s="16">
        <v>4.792000000000001</v>
      </c>
    </row>
    <row r="1711">
      <c r="A1711" s="17">
        <v>16.18138022883296</v>
      </c>
      <c r="I1711" s="11">
        <v>31.0</v>
      </c>
      <c r="M1711" s="16">
        <v>4.856000000000001</v>
      </c>
    </row>
    <row r="1712">
      <c r="A1712" s="17">
        <v>4.019979880952377</v>
      </c>
      <c r="I1712" s="11">
        <v>35.0</v>
      </c>
      <c r="M1712" s="16">
        <v>0.752</v>
      </c>
    </row>
    <row r="1713">
      <c r="A1713" s="17">
        <v>1839.841568268196</v>
      </c>
      <c r="I1713" s="11">
        <v>44.0</v>
      </c>
      <c r="M1713" s="16">
        <v>55.44</v>
      </c>
    </row>
    <row r="1714">
      <c r="A1714" s="17">
        <v>1.1640395294117643</v>
      </c>
      <c r="I1714" s="11">
        <v>1.0</v>
      </c>
      <c r="M1714" s="16">
        <v>2.408</v>
      </c>
    </row>
    <row r="1715">
      <c r="A1715" s="17">
        <v>10.466709461279377</v>
      </c>
      <c r="I1715" s="11">
        <v>7.0</v>
      </c>
      <c r="M1715" s="16">
        <v>3.192</v>
      </c>
    </row>
    <row r="1716">
      <c r="A1716" s="17">
        <v>4.719723402298859</v>
      </c>
      <c r="I1716" s="11">
        <v>29.0</v>
      </c>
      <c r="M1716" s="16">
        <v>0.792</v>
      </c>
    </row>
    <row r="1717">
      <c r="A1717" s="17">
        <v>375.20715720284835</v>
      </c>
      <c r="I1717" s="11">
        <v>46.0</v>
      </c>
      <c r="M1717" s="16">
        <v>48.0</v>
      </c>
    </row>
    <row r="1718">
      <c r="A1718" s="17">
        <v>7.3147950761085365</v>
      </c>
      <c r="I1718" s="11">
        <v>6.0</v>
      </c>
      <c r="M1718" s="16">
        <v>7.192</v>
      </c>
    </row>
    <row r="1719">
      <c r="A1719" s="17">
        <v>3.9539682461538654</v>
      </c>
      <c r="I1719" s="11">
        <v>37.0</v>
      </c>
      <c r="M1719" s="16">
        <v>4.384</v>
      </c>
    </row>
    <row r="1720">
      <c r="A1720" s="17">
        <v>198.81700197364248</v>
      </c>
      <c r="I1720" s="11">
        <v>21.0</v>
      </c>
      <c r="M1720" s="16">
        <v>28.0</v>
      </c>
    </row>
    <row r="1721">
      <c r="A1721" s="17">
        <v>9.640478223740388</v>
      </c>
      <c r="I1721" s="11">
        <v>5.0</v>
      </c>
      <c r="M1721" s="16">
        <v>2.0</v>
      </c>
    </row>
    <row r="1722">
      <c r="A1722" s="17">
        <v>14.851018518518497</v>
      </c>
      <c r="I1722" s="11">
        <v>26.0</v>
      </c>
      <c r="M1722" s="16">
        <v>3.2</v>
      </c>
    </row>
    <row r="1723">
      <c r="A1723" s="17">
        <v>64.67312222428174</v>
      </c>
      <c r="I1723" s="11">
        <v>22.0</v>
      </c>
      <c r="M1723" s="16">
        <v>4.072</v>
      </c>
    </row>
    <row r="1724">
      <c r="A1724" s="17">
        <v>4.953153329376859</v>
      </c>
      <c r="I1724" s="11">
        <v>2.0</v>
      </c>
      <c r="M1724" s="16">
        <v>0.792</v>
      </c>
    </row>
    <row r="1725">
      <c r="A1725" s="17">
        <v>8.290800637087601</v>
      </c>
      <c r="I1725" s="11">
        <v>12.0</v>
      </c>
      <c r="M1725" s="16">
        <v>4.232</v>
      </c>
    </row>
    <row r="1726">
      <c r="A1726" s="17">
        <v>1304.8757391702416</v>
      </c>
      <c r="I1726" s="11">
        <v>35.0</v>
      </c>
      <c r="M1726" s="16">
        <v>19.592</v>
      </c>
    </row>
    <row r="1727">
      <c r="A1727" s="17">
        <v>299.000336511498</v>
      </c>
      <c r="I1727" s="11">
        <v>44.0</v>
      </c>
      <c r="M1727" s="16">
        <v>28.0</v>
      </c>
    </row>
    <row r="1728">
      <c r="A1728" s="17">
        <v>1.2811988732394348</v>
      </c>
      <c r="I1728" s="11">
        <v>3.0</v>
      </c>
      <c r="M1728" s="16">
        <v>3.176</v>
      </c>
    </row>
    <row r="1729">
      <c r="A1729" s="17">
        <v>183.49050918241514</v>
      </c>
      <c r="I1729" s="11">
        <v>18.0</v>
      </c>
      <c r="M1729" s="16">
        <v>7.992000000000001</v>
      </c>
    </row>
    <row r="1730">
      <c r="A1730" s="17">
        <v>85.88874225966907</v>
      </c>
      <c r="I1730" s="11">
        <v>10.0</v>
      </c>
      <c r="M1730" s="16">
        <v>55.2</v>
      </c>
    </row>
    <row r="1731">
      <c r="A1731" s="17">
        <v>1.5886710447761205</v>
      </c>
      <c r="I1731" s="11">
        <v>1.0</v>
      </c>
      <c r="M1731" s="16">
        <v>2.904</v>
      </c>
    </row>
    <row r="1732">
      <c r="A1732" s="17">
        <v>170.36656032892822</v>
      </c>
      <c r="I1732" s="11">
        <v>6.0</v>
      </c>
      <c r="M1732" s="16">
        <v>15.991999999999999</v>
      </c>
    </row>
    <row r="1733">
      <c r="A1733" s="17">
        <v>106.04593145491036</v>
      </c>
      <c r="I1733" s="11">
        <v>42.0</v>
      </c>
      <c r="M1733" s="16">
        <v>6.840000000000001</v>
      </c>
    </row>
    <row r="1734">
      <c r="A1734" s="17">
        <v>60.342070456469436</v>
      </c>
      <c r="I1734" s="11">
        <v>41.0</v>
      </c>
      <c r="M1734" s="16">
        <v>0.8800000000000001</v>
      </c>
    </row>
    <row r="1735">
      <c r="A1735" s="17">
        <v>0.8647826086956542</v>
      </c>
      <c r="I1735" s="11">
        <v>7.0</v>
      </c>
      <c r="M1735" s="16">
        <v>0.4</v>
      </c>
    </row>
    <row r="1736">
      <c r="A1736" s="17">
        <v>13.13517984152143</v>
      </c>
      <c r="I1736" s="11">
        <v>32.0</v>
      </c>
      <c r="M1736" s="16">
        <v>8.104000000000001</v>
      </c>
    </row>
    <row r="1737">
      <c r="A1737" s="17">
        <v>1.2808696253602314</v>
      </c>
      <c r="I1737" s="11">
        <v>4.0</v>
      </c>
      <c r="M1737" s="16">
        <v>4.168</v>
      </c>
    </row>
    <row r="1738">
      <c r="A1738" s="17">
        <v>4.3431490772128045</v>
      </c>
      <c r="I1738" s="11">
        <v>14.0</v>
      </c>
      <c r="M1738" s="16">
        <v>0.7280000000000001</v>
      </c>
    </row>
    <row r="1739">
      <c r="A1739" s="17">
        <v>2.1114367527675273</v>
      </c>
      <c r="I1739" s="11">
        <v>4.0</v>
      </c>
      <c r="M1739" s="16">
        <v>1.192</v>
      </c>
    </row>
    <row r="1740">
      <c r="A1740" s="17">
        <v>24.695448625250535</v>
      </c>
      <c r="I1740" s="11">
        <v>46.0</v>
      </c>
      <c r="M1740" s="16">
        <v>3.7439999999999998</v>
      </c>
    </row>
    <row r="1741">
      <c r="A1741" s="17">
        <v>5.5886705851755725</v>
      </c>
      <c r="I1741" s="11">
        <v>28.0</v>
      </c>
      <c r="M1741" s="16">
        <v>2.3920000000000003</v>
      </c>
    </row>
    <row r="1742">
      <c r="A1742" s="17">
        <v>10.960513540621879</v>
      </c>
      <c r="I1742" s="11">
        <v>48.0</v>
      </c>
      <c r="M1742" s="16">
        <v>0.5599999999999999</v>
      </c>
    </row>
    <row r="1743">
      <c r="A1743" s="17">
        <v>2.683804627249356</v>
      </c>
      <c r="I1743" s="11">
        <v>16.0</v>
      </c>
      <c r="M1743" s="16">
        <v>0.8</v>
      </c>
    </row>
    <row r="1744">
      <c r="A1744" s="17">
        <v>2.157719519291576</v>
      </c>
      <c r="I1744" s="11">
        <v>50.0</v>
      </c>
      <c r="M1744" s="16">
        <v>0.9119999999999999</v>
      </c>
    </row>
    <row r="1745">
      <c r="A1745" s="17">
        <v>4.345789029535862</v>
      </c>
      <c r="I1745" s="11">
        <v>35.0</v>
      </c>
      <c r="M1745" s="16">
        <v>0.5599999999999999</v>
      </c>
    </row>
    <row r="1746">
      <c r="A1746" s="17">
        <v>36.197077809368594</v>
      </c>
      <c r="I1746" s="11">
        <v>43.0</v>
      </c>
      <c r="M1746" s="16">
        <v>7.632</v>
      </c>
    </row>
    <row r="1747">
      <c r="A1747" s="17">
        <v>4.366041822700919</v>
      </c>
      <c r="I1747" s="11">
        <v>36.0</v>
      </c>
      <c r="M1747" s="16">
        <v>6.552</v>
      </c>
    </row>
    <row r="1748">
      <c r="A1748" s="17">
        <v>3.6973999026764024</v>
      </c>
      <c r="I1748" s="11">
        <v>1.0</v>
      </c>
      <c r="M1748" s="16">
        <v>1.592</v>
      </c>
    </row>
    <row r="1749">
      <c r="A1749" s="17">
        <v>29.0398811924341</v>
      </c>
      <c r="I1749" s="11">
        <v>33.0</v>
      </c>
      <c r="M1749" s="16">
        <v>5.632000000000001</v>
      </c>
    </row>
    <row r="1750">
      <c r="A1750" s="17">
        <v>12.921682222625865</v>
      </c>
      <c r="I1750" s="11">
        <v>13.0</v>
      </c>
      <c r="M1750" s="16">
        <v>5.760000000000001</v>
      </c>
    </row>
    <row r="1751">
      <c r="A1751" s="17">
        <v>3.60193859719439</v>
      </c>
      <c r="I1751" s="11">
        <v>16.0</v>
      </c>
      <c r="M1751" s="16">
        <v>1.192</v>
      </c>
    </row>
    <row r="1752">
      <c r="A1752" s="17">
        <v>181.22370519668956</v>
      </c>
      <c r="I1752" s="11">
        <v>45.0</v>
      </c>
      <c r="M1752" s="16">
        <v>15.991999999999999</v>
      </c>
    </row>
    <row r="1753">
      <c r="A1753" s="17">
        <v>35.341182245349394</v>
      </c>
      <c r="I1753" s="11">
        <v>45.0</v>
      </c>
      <c r="M1753" s="16">
        <v>41.760000000000005</v>
      </c>
    </row>
    <row r="1754">
      <c r="A1754" s="17">
        <v>35.99961145425932</v>
      </c>
      <c r="I1754" s="11">
        <v>12.0</v>
      </c>
      <c r="M1754" s="16">
        <v>6.992000000000001</v>
      </c>
    </row>
    <row r="1755">
      <c r="A1755" s="17">
        <v>214.26357738897727</v>
      </c>
      <c r="I1755" s="11">
        <v>38.0</v>
      </c>
      <c r="M1755" s="16">
        <v>4.792000000000001</v>
      </c>
    </row>
    <row r="1756">
      <c r="A1756" s="17">
        <v>7.550057475728168</v>
      </c>
      <c r="I1756" s="11">
        <v>26.0</v>
      </c>
      <c r="M1756" s="16">
        <v>1.192</v>
      </c>
    </row>
    <row r="1757">
      <c r="A1757" s="17">
        <v>3.635424042838026</v>
      </c>
      <c r="I1757" s="11">
        <v>19.0</v>
      </c>
      <c r="M1757" s="16">
        <v>0.568</v>
      </c>
    </row>
    <row r="1758">
      <c r="A1758" s="17">
        <v>3.0582929292929264</v>
      </c>
      <c r="I1758" s="11">
        <v>17.0</v>
      </c>
      <c r="M1758" s="16">
        <v>0.5599999999999999</v>
      </c>
    </row>
    <row r="1759">
      <c r="A1759" s="17">
        <v>9.906772154696135</v>
      </c>
      <c r="I1759" s="11">
        <v>38.0</v>
      </c>
      <c r="M1759" s="16">
        <v>4.104</v>
      </c>
    </row>
    <row r="1760">
      <c r="A1760" s="17">
        <v>574.7637538662842</v>
      </c>
      <c r="I1760" s="11">
        <v>32.0</v>
      </c>
      <c r="M1760" s="16">
        <v>7.192</v>
      </c>
    </row>
    <row r="1761">
      <c r="A1761" s="17">
        <v>1.7854254545454555</v>
      </c>
      <c r="I1761" s="11">
        <v>7.0</v>
      </c>
      <c r="M1761" s="16">
        <v>1.192</v>
      </c>
    </row>
    <row r="1762">
      <c r="A1762" s="17">
        <v>2.163934426229507</v>
      </c>
      <c r="I1762" s="11">
        <v>6.0</v>
      </c>
      <c r="M1762" s="16">
        <v>0.4</v>
      </c>
    </row>
    <row r="1763">
      <c r="A1763" s="17">
        <v>1.3009792531120354</v>
      </c>
      <c r="I1763" s="11">
        <v>8.0</v>
      </c>
      <c r="M1763" s="16">
        <v>1.92</v>
      </c>
    </row>
    <row r="1764">
      <c r="A1764" s="17">
        <v>51.910661060502285</v>
      </c>
      <c r="I1764" s="11">
        <v>38.0</v>
      </c>
      <c r="M1764" s="16">
        <v>15.991999999999999</v>
      </c>
    </row>
    <row r="1765">
      <c r="A1765" s="17">
        <v>16.672628607329834</v>
      </c>
      <c r="I1765" s="11">
        <v>40.0</v>
      </c>
      <c r="M1765" s="16">
        <v>4.544</v>
      </c>
    </row>
    <row r="1766">
      <c r="A1766" s="17">
        <v>65.2495211204976</v>
      </c>
      <c r="I1766" s="11">
        <v>31.0</v>
      </c>
      <c r="M1766" s="16">
        <v>3.3600000000000003</v>
      </c>
    </row>
    <row r="1767">
      <c r="A1767" s="17">
        <v>4.591449631449648</v>
      </c>
      <c r="I1767" s="11">
        <v>29.0</v>
      </c>
      <c r="M1767" s="16">
        <v>1.6</v>
      </c>
    </row>
    <row r="1768">
      <c r="A1768" s="17">
        <v>1.5272650176678455</v>
      </c>
      <c r="I1768" s="11">
        <v>4.0</v>
      </c>
      <c r="M1768" s="16">
        <v>3.08</v>
      </c>
    </row>
    <row r="1769">
      <c r="A1769" s="17">
        <v>2.1137355371900797</v>
      </c>
      <c r="I1769" s="11">
        <v>3.0</v>
      </c>
      <c r="M1769" s="16">
        <v>4.16</v>
      </c>
    </row>
    <row r="1770">
      <c r="A1770" s="17">
        <v>2.9435811981566777</v>
      </c>
      <c r="I1770" s="11">
        <v>4.0</v>
      </c>
      <c r="M1770" s="16">
        <v>5.024000000000001</v>
      </c>
    </row>
    <row r="1771">
      <c r="A1771" s="17">
        <v>5.674616567036712</v>
      </c>
      <c r="I1771" s="11">
        <v>42.0</v>
      </c>
      <c r="M1771" s="16">
        <v>1.92</v>
      </c>
    </row>
    <row r="1772">
      <c r="A1772" s="17">
        <v>22.526115992079262</v>
      </c>
      <c r="I1772" s="11">
        <v>17.0</v>
      </c>
      <c r="M1772" s="16">
        <v>15.568000000000001</v>
      </c>
    </row>
    <row r="1773">
      <c r="A1773" s="17">
        <v>325.29301143005847</v>
      </c>
      <c r="I1773" s="11">
        <v>12.0</v>
      </c>
      <c r="M1773" s="16">
        <v>23.36</v>
      </c>
    </row>
    <row r="1774">
      <c r="A1774" s="17">
        <v>20.860233339924868</v>
      </c>
      <c r="I1774" s="11">
        <v>23.0</v>
      </c>
      <c r="M1774" s="16">
        <v>3.2</v>
      </c>
    </row>
    <row r="1775">
      <c r="A1775" s="17">
        <v>2.4700527072352383</v>
      </c>
      <c r="I1775" s="11">
        <v>42.0</v>
      </c>
      <c r="M1775" s="16">
        <v>0.4</v>
      </c>
    </row>
    <row r="1776">
      <c r="A1776" s="17">
        <v>6.3531724800000084</v>
      </c>
      <c r="I1776" s="11">
        <v>24.0</v>
      </c>
      <c r="M1776" s="16">
        <v>0.792</v>
      </c>
    </row>
    <row r="1777">
      <c r="A1777" s="17">
        <v>126.15268623644252</v>
      </c>
      <c r="I1777" s="11">
        <v>43.0</v>
      </c>
      <c r="M1777" s="16">
        <v>7.192</v>
      </c>
    </row>
    <row r="1778">
      <c r="A1778" s="17">
        <v>2.534977773131228</v>
      </c>
      <c r="I1778" s="11">
        <v>18.0</v>
      </c>
      <c r="M1778" s="16">
        <v>3.848</v>
      </c>
    </row>
    <row r="1779">
      <c r="A1779" s="17">
        <v>7.384034482758677</v>
      </c>
      <c r="I1779" s="11">
        <v>44.0</v>
      </c>
      <c r="M1779" s="16">
        <v>4.84</v>
      </c>
    </row>
    <row r="1780">
      <c r="A1780" s="17">
        <v>16.93909562600751</v>
      </c>
      <c r="I1780" s="11">
        <v>45.0</v>
      </c>
      <c r="M1780" s="16">
        <v>0.752</v>
      </c>
    </row>
    <row r="1781">
      <c r="A1781" s="17">
        <v>5.4717271744471585</v>
      </c>
      <c r="I1781" s="11">
        <v>35.0</v>
      </c>
      <c r="M1781" s="16">
        <v>3.7439999999999998</v>
      </c>
    </row>
    <row r="1782">
      <c r="A1782" s="17">
        <v>23.227272452830196</v>
      </c>
      <c r="I1782" s="11">
        <v>24.0</v>
      </c>
      <c r="M1782" s="16">
        <v>1.1119999999999999</v>
      </c>
    </row>
    <row r="1783">
      <c r="A1783" s="17">
        <v>118.56614654002709</v>
      </c>
      <c r="I1783" s="11">
        <v>10.0</v>
      </c>
      <c r="M1783" s="16">
        <v>48.0</v>
      </c>
    </row>
    <row r="1784">
      <c r="A1784" s="17">
        <v>21.578500855784448</v>
      </c>
      <c r="I1784" s="11">
        <v>23.0</v>
      </c>
      <c r="M1784" s="16">
        <v>0.8720000000000001</v>
      </c>
    </row>
    <row r="1785">
      <c r="A1785" s="17">
        <v>2.9781443478260874</v>
      </c>
      <c r="I1785" s="11">
        <v>11.0</v>
      </c>
      <c r="M1785" s="16">
        <v>1.1039999999999999</v>
      </c>
    </row>
    <row r="1786">
      <c r="A1786" s="17">
        <v>457.7385349622732</v>
      </c>
      <c r="I1786" s="11">
        <v>30.0</v>
      </c>
      <c r="M1786" s="16">
        <v>24.0</v>
      </c>
    </row>
    <row r="1787">
      <c r="A1787" s="17">
        <v>14.772778348980257</v>
      </c>
      <c r="I1787" s="11">
        <v>40.0</v>
      </c>
      <c r="M1787" s="16">
        <v>10.656</v>
      </c>
    </row>
    <row r="1788">
      <c r="A1788" s="17">
        <v>5.4213773195876165</v>
      </c>
      <c r="I1788" s="11">
        <v>23.0</v>
      </c>
      <c r="M1788" s="16">
        <v>4.16</v>
      </c>
    </row>
    <row r="1789">
      <c r="A1789" s="17">
        <v>10.367198515769903</v>
      </c>
      <c r="I1789" s="11">
        <v>3.0</v>
      </c>
      <c r="M1789" s="16">
        <v>1.0</v>
      </c>
    </row>
    <row r="1790">
      <c r="A1790" s="17">
        <v>182.21918655028546</v>
      </c>
      <c r="I1790" s="11">
        <v>28.0</v>
      </c>
      <c r="M1790" s="16">
        <v>56.160000000000004</v>
      </c>
    </row>
    <row r="1791">
      <c r="A1791" s="17">
        <v>26.860860260270464</v>
      </c>
      <c r="I1791" s="11">
        <v>33.0</v>
      </c>
      <c r="M1791" s="16">
        <v>3.192</v>
      </c>
    </row>
    <row r="1792">
      <c r="A1792" s="17">
        <v>6.94552822429906</v>
      </c>
      <c r="I1792" s="11">
        <v>22.0</v>
      </c>
      <c r="M1792" s="16">
        <v>6.368</v>
      </c>
    </row>
    <row r="1793">
      <c r="A1793" s="17">
        <v>283.07422619466627</v>
      </c>
      <c r="I1793" s="11">
        <v>50.0</v>
      </c>
      <c r="M1793" s="16">
        <v>44.648</v>
      </c>
    </row>
    <row r="1794">
      <c r="A1794" s="17">
        <v>23.119107702127653</v>
      </c>
      <c r="I1794" s="11">
        <v>41.0</v>
      </c>
      <c r="M1794" s="16">
        <v>2.7520000000000002</v>
      </c>
    </row>
    <row r="1795">
      <c r="A1795" s="17">
        <v>8.220177331240206</v>
      </c>
      <c r="I1795" s="11">
        <v>42.0</v>
      </c>
      <c r="M1795" s="16">
        <v>2.696</v>
      </c>
    </row>
    <row r="1796">
      <c r="A1796" s="17">
        <v>383.85499574037254</v>
      </c>
      <c r="I1796" s="11">
        <v>13.0</v>
      </c>
      <c r="M1796" s="16">
        <v>32.152</v>
      </c>
    </row>
    <row r="1797">
      <c r="A1797" s="17">
        <v>60.205812543630294</v>
      </c>
      <c r="I1797" s="11">
        <v>29.0</v>
      </c>
      <c r="M1797" s="16">
        <v>24.0</v>
      </c>
    </row>
    <row r="1798">
      <c r="A1798" s="17">
        <v>49.62194001186922</v>
      </c>
      <c r="I1798" s="11">
        <v>22.0</v>
      </c>
      <c r="M1798" s="16">
        <v>24.048000000000002</v>
      </c>
    </row>
    <row r="1799">
      <c r="A1799" s="17">
        <v>21.50764363938511</v>
      </c>
      <c r="I1799" s="11">
        <v>33.0</v>
      </c>
      <c r="M1799" s="16">
        <v>5.6240000000000006</v>
      </c>
    </row>
    <row r="1800">
      <c r="A1800" s="17">
        <v>76.36767813245334</v>
      </c>
      <c r="I1800" s="11">
        <v>34.0</v>
      </c>
      <c r="M1800" s="16">
        <v>15.991999999999999</v>
      </c>
    </row>
    <row r="1801">
      <c r="A1801" s="17">
        <v>490.13930344593194</v>
      </c>
      <c r="I1801" s="11">
        <v>36.0</v>
      </c>
      <c r="M1801" s="16">
        <v>15.991999999999999</v>
      </c>
    </row>
    <row r="1802">
      <c r="A1802" s="17">
        <v>371.3144060669429</v>
      </c>
      <c r="I1802" s="11">
        <v>28.0</v>
      </c>
      <c r="M1802" s="16">
        <v>3.3600000000000003</v>
      </c>
    </row>
    <row r="1803">
      <c r="A1803" s="17">
        <v>733.8172064662831</v>
      </c>
      <c r="I1803" s="11">
        <v>39.0</v>
      </c>
      <c r="M1803" s="16">
        <v>2.0</v>
      </c>
    </row>
    <row r="1804">
      <c r="A1804" s="17">
        <v>2.9810072505091667</v>
      </c>
      <c r="I1804" s="11">
        <v>8.0</v>
      </c>
      <c r="M1804" s="16">
        <v>1.1119999999999999</v>
      </c>
    </row>
    <row r="1805">
      <c r="A1805" s="17">
        <v>14.359600987654305</v>
      </c>
      <c r="I1805" s="11">
        <v>13.0</v>
      </c>
      <c r="M1805" s="16">
        <v>3.848</v>
      </c>
    </row>
    <row r="1806">
      <c r="A1806" s="17">
        <v>11.116844978831496</v>
      </c>
      <c r="I1806" s="11">
        <v>18.0</v>
      </c>
      <c r="M1806" s="16">
        <v>4.904</v>
      </c>
    </row>
    <row r="1807">
      <c r="A1807" s="17">
        <v>13.195142686567163</v>
      </c>
      <c r="I1807" s="11">
        <v>15.0</v>
      </c>
      <c r="M1807" s="16">
        <v>7.56</v>
      </c>
    </row>
    <row r="1808">
      <c r="A1808" s="17">
        <v>7.0193817011494275</v>
      </c>
      <c r="I1808" s="11">
        <v>10.0</v>
      </c>
      <c r="M1808" s="16">
        <v>6.672000000000001</v>
      </c>
    </row>
    <row r="1809">
      <c r="A1809" s="17">
        <v>57.47616904374755</v>
      </c>
      <c r="I1809" s="11">
        <v>8.0</v>
      </c>
      <c r="M1809" s="16">
        <v>44.912000000000006</v>
      </c>
    </row>
    <row r="1810">
      <c r="A1810" s="17">
        <v>9.6809547920434</v>
      </c>
      <c r="I1810" s="11">
        <v>8.0</v>
      </c>
      <c r="M1810" s="16">
        <v>2.2800000000000002</v>
      </c>
    </row>
    <row r="1811">
      <c r="A1811" s="17">
        <v>14.94841549768105</v>
      </c>
      <c r="I1811" s="11">
        <v>50.0</v>
      </c>
      <c r="M1811" s="16">
        <v>4.456</v>
      </c>
    </row>
    <row r="1812">
      <c r="A1812" s="17">
        <v>70.6207299206869</v>
      </c>
      <c r="I1812" s="11">
        <v>38.0</v>
      </c>
      <c r="M1812" s="16">
        <v>11.488</v>
      </c>
    </row>
    <row r="1813">
      <c r="A1813" s="17">
        <v>176.94746054378254</v>
      </c>
      <c r="I1813" s="11">
        <v>47.0</v>
      </c>
      <c r="M1813" s="16">
        <v>2.0</v>
      </c>
    </row>
    <row r="1814">
      <c r="A1814" s="17">
        <v>36.70788982846093</v>
      </c>
      <c r="I1814" s="11">
        <v>29.0</v>
      </c>
      <c r="M1814" s="16">
        <v>11.440000000000001</v>
      </c>
    </row>
    <row r="1815">
      <c r="A1815" s="17">
        <v>3.7382732307692326</v>
      </c>
      <c r="I1815" s="11">
        <v>7.0</v>
      </c>
      <c r="M1815" s="16">
        <v>1.9120000000000001</v>
      </c>
    </row>
    <row r="1816">
      <c r="A1816" s="17">
        <v>65.93804636143464</v>
      </c>
      <c r="I1816" s="11">
        <v>8.0</v>
      </c>
      <c r="M1816" s="16">
        <v>28.0</v>
      </c>
    </row>
    <row r="1817">
      <c r="A1817" s="17">
        <v>64.69941817041007</v>
      </c>
      <c r="I1817" s="11">
        <v>16.0</v>
      </c>
      <c r="M1817" s="16">
        <v>4.904</v>
      </c>
    </row>
    <row r="1818">
      <c r="A1818" s="17">
        <v>33.14807086968257</v>
      </c>
      <c r="I1818" s="11">
        <v>35.0</v>
      </c>
      <c r="M1818" s="16">
        <v>3.2</v>
      </c>
    </row>
    <row r="1819">
      <c r="A1819" s="17">
        <v>197.45634292797067</v>
      </c>
      <c r="I1819" s="11">
        <v>46.0</v>
      </c>
      <c r="M1819" s="16">
        <v>11.584000000000001</v>
      </c>
    </row>
    <row r="1820">
      <c r="A1820" s="17">
        <v>29.59032278718843</v>
      </c>
      <c r="I1820" s="11">
        <v>22.0</v>
      </c>
      <c r="M1820" s="16">
        <v>8.232</v>
      </c>
    </row>
    <row r="1821">
      <c r="A1821" s="17">
        <v>260.1833653075592</v>
      </c>
      <c r="I1821" s="11">
        <v>26.0</v>
      </c>
      <c r="M1821" s="16">
        <v>35.0</v>
      </c>
    </row>
    <row r="1822">
      <c r="A1822" s="17">
        <v>18.573761969230734</v>
      </c>
      <c r="I1822" s="11">
        <v>6.0</v>
      </c>
      <c r="M1822" s="16">
        <v>13.368000000000002</v>
      </c>
    </row>
    <row r="1823">
      <c r="A1823" s="17">
        <v>2.4733821463951386</v>
      </c>
      <c r="I1823" s="11">
        <v>8.0</v>
      </c>
      <c r="M1823" s="16">
        <v>1.592</v>
      </c>
    </row>
    <row r="1824">
      <c r="A1824" s="17">
        <v>168.39096790892754</v>
      </c>
      <c r="I1824" s="11">
        <v>35.0</v>
      </c>
      <c r="M1824" s="16">
        <v>25.927999999999997</v>
      </c>
    </row>
    <row r="1825">
      <c r="A1825" s="17">
        <v>22.47307214953274</v>
      </c>
      <c r="I1825" s="11">
        <v>42.0</v>
      </c>
      <c r="M1825" s="16">
        <v>6.328</v>
      </c>
    </row>
    <row r="1826">
      <c r="A1826" s="17">
        <v>12.575434391851397</v>
      </c>
      <c r="I1826" s="11">
        <v>42.0</v>
      </c>
      <c r="M1826" s="16">
        <v>2.0</v>
      </c>
    </row>
    <row r="1827">
      <c r="A1827" s="17">
        <v>16.462796417910415</v>
      </c>
      <c r="I1827" s="11">
        <v>36.0</v>
      </c>
      <c r="M1827" s="16">
        <v>4.5920000000000005</v>
      </c>
    </row>
    <row r="1828">
      <c r="A1828" s="17">
        <v>783.4772521597425</v>
      </c>
      <c r="I1828" s="11">
        <v>42.0</v>
      </c>
      <c r="M1828" s="16">
        <v>28.536</v>
      </c>
    </row>
    <row r="1829">
      <c r="A1829" s="17">
        <v>37.35701763989909</v>
      </c>
      <c r="I1829" s="11">
        <v>5.0</v>
      </c>
      <c r="M1829" s="16">
        <v>4.5040000000000004</v>
      </c>
    </row>
    <row r="1830">
      <c r="A1830" s="17">
        <v>9.867911018276734</v>
      </c>
      <c r="I1830" s="11">
        <v>50.0</v>
      </c>
      <c r="M1830" s="16">
        <v>1.192</v>
      </c>
    </row>
    <row r="1831">
      <c r="A1831" s="17">
        <v>1.0974138461538463</v>
      </c>
      <c r="I1831" s="11">
        <v>4.0</v>
      </c>
      <c r="M1831" s="16">
        <v>0.8720000000000001</v>
      </c>
    </row>
    <row r="1832">
      <c r="A1832" s="17">
        <v>11.260538291761145</v>
      </c>
      <c r="I1832" s="11">
        <v>44.0</v>
      </c>
      <c r="M1832" s="16">
        <v>1.072</v>
      </c>
    </row>
    <row r="1833">
      <c r="A1833" s="17">
        <v>0.48376436363636327</v>
      </c>
      <c r="I1833" s="11">
        <v>1.0</v>
      </c>
      <c r="M1833" s="16">
        <v>1.4640000000000002</v>
      </c>
    </row>
    <row r="1834">
      <c r="A1834" s="17">
        <v>3.6295419454452316</v>
      </c>
      <c r="I1834" s="11">
        <v>6.0</v>
      </c>
      <c r="M1834" s="16">
        <v>5.2</v>
      </c>
    </row>
    <row r="1835">
      <c r="A1835" s="17">
        <v>8.30802919708027</v>
      </c>
      <c r="I1835" s="11">
        <v>36.0</v>
      </c>
      <c r="M1835" s="16">
        <v>28.0</v>
      </c>
    </row>
    <row r="1836">
      <c r="A1836" s="17">
        <v>4.852983455497393</v>
      </c>
      <c r="I1836" s="11">
        <v>25.0</v>
      </c>
      <c r="M1836" s="16">
        <v>1.192</v>
      </c>
    </row>
    <row r="1837">
      <c r="A1837" s="17">
        <v>111.51054613863326</v>
      </c>
      <c r="I1837" s="11">
        <v>29.0</v>
      </c>
      <c r="M1837" s="16">
        <v>3.192</v>
      </c>
    </row>
    <row r="1838">
      <c r="A1838" s="17">
        <v>9.090679861630079</v>
      </c>
      <c r="I1838" s="11">
        <v>21.0</v>
      </c>
      <c r="M1838" s="16">
        <v>1.592</v>
      </c>
    </row>
    <row r="1839">
      <c r="A1839" s="17">
        <v>18.034953689865652</v>
      </c>
      <c r="I1839" s="11">
        <v>18.0</v>
      </c>
      <c r="M1839" s="16">
        <v>7.192</v>
      </c>
    </row>
    <row r="1840">
      <c r="A1840" s="17">
        <v>732.7058680270965</v>
      </c>
      <c r="I1840" s="11">
        <v>43.0</v>
      </c>
      <c r="M1840" s="16">
        <v>67.872</v>
      </c>
    </row>
    <row r="1841">
      <c r="A1841" s="17">
        <v>2.4729187730061444</v>
      </c>
      <c r="I1841" s="11">
        <v>16.0</v>
      </c>
      <c r="M1841" s="16">
        <v>2.3920000000000003</v>
      </c>
    </row>
    <row r="1842">
      <c r="A1842" s="17">
        <v>7.186967200397811</v>
      </c>
      <c r="I1842" s="11">
        <v>47.0</v>
      </c>
      <c r="M1842" s="16">
        <v>0.9359999999999999</v>
      </c>
    </row>
    <row r="1843">
      <c r="A1843" s="17">
        <v>96.47018643065209</v>
      </c>
      <c r="I1843" s="11">
        <v>39.0</v>
      </c>
      <c r="M1843" s="16">
        <v>24.0</v>
      </c>
    </row>
    <row r="1844">
      <c r="A1844" s="17">
        <v>119.826739975463</v>
      </c>
      <c r="I1844" s="11">
        <v>45.0</v>
      </c>
      <c r="M1844" s="16">
        <v>7.040000000000001</v>
      </c>
    </row>
    <row r="1845">
      <c r="A1845" s="17">
        <v>72.89021909677429</v>
      </c>
      <c r="I1845" s="11">
        <v>22.0</v>
      </c>
      <c r="M1845" s="16">
        <v>15.184000000000001</v>
      </c>
    </row>
    <row r="1846">
      <c r="A1846" s="17">
        <v>47.40905977186317</v>
      </c>
      <c r="I1846" s="11">
        <v>46.0</v>
      </c>
      <c r="M1846" s="16">
        <v>5.816</v>
      </c>
    </row>
    <row r="1847">
      <c r="A1847" s="17">
        <v>44.45714272559093</v>
      </c>
      <c r="I1847" s="11">
        <v>46.0</v>
      </c>
      <c r="M1847" s="16">
        <v>4.608</v>
      </c>
    </row>
    <row r="1848">
      <c r="A1848" s="17">
        <v>10.016164450331116</v>
      </c>
      <c r="I1848" s="11">
        <v>38.0</v>
      </c>
      <c r="M1848" s="16">
        <v>5.752000000000001</v>
      </c>
    </row>
    <row r="1849">
      <c r="A1849" s="17">
        <v>2014.3427893259202</v>
      </c>
      <c r="I1849" s="11">
        <v>49.0</v>
      </c>
      <c r="M1849" s="16">
        <v>36.56</v>
      </c>
    </row>
    <row r="1850">
      <c r="A1850" s="17">
        <v>3.1675841929761845</v>
      </c>
      <c r="I1850" s="11">
        <v>40.0</v>
      </c>
      <c r="M1850" s="16">
        <v>6.696</v>
      </c>
    </row>
    <row r="1851">
      <c r="A1851" s="17">
        <v>81.51624186550988</v>
      </c>
      <c r="I1851" s="11">
        <v>28.0</v>
      </c>
      <c r="M1851" s="16">
        <v>8.200000000000001</v>
      </c>
    </row>
    <row r="1852">
      <c r="A1852" s="17">
        <v>29.792638994413323</v>
      </c>
      <c r="I1852" s="11">
        <v>42.0</v>
      </c>
      <c r="M1852" s="16">
        <v>3.672</v>
      </c>
    </row>
    <row r="1853">
      <c r="A1853" s="17">
        <v>969.9431827706827</v>
      </c>
      <c r="I1853" s="11">
        <v>45.0</v>
      </c>
      <c r="M1853" s="16">
        <v>55.64</v>
      </c>
    </row>
    <row r="1854">
      <c r="A1854" s="17">
        <v>26.781392702861826</v>
      </c>
      <c r="I1854" s="11">
        <v>44.0</v>
      </c>
      <c r="M1854" s="16">
        <v>3.016</v>
      </c>
    </row>
    <row r="1855">
      <c r="A1855" s="17">
        <v>17.603160544959124</v>
      </c>
      <c r="I1855" s="11">
        <v>42.0</v>
      </c>
      <c r="M1855" s="16">
        <v>5.992000000000001</v>
      </c>
    </row>
    <row r="1856">
      <c r="A1856" s="17">
        <v>4.660630692520784</v>
      </c>
      <c r="I1856" s="11">
        <v>15.0</v>
      </c>
      <c r="M1856" s="16">
        <v>1.192</v>
      </c>
    </row>
    <row r="1857">
      <c r="A1857" s="17">
        <v>76.72568780837825</v>
      </c>
      <c r="I1857" s="11">
        <v>25.0</v>
      </c>
      <c r="M1857" s="16">
        <v>15.991999999999999</v>
      </c>
    </row>
    <row r="1858">
      <c r="A1858" s="17">
        <v>9.06182471910112</v>
      </c>
      <c r="I1858" s="11">
        <v>46.0</v>
      </c>
      <c r="M1858" s="16">
        <v>0.5599999999999999</v>
      </c>
    </row>
    <row r="1859">
      <c r="A1859" s="17">
        <v>0.5759999999999996</v>
      </c>
      <c r="I1859" s="11">
        <v>5.0</v>
      </c>
      <c r="M1859" s="16">
        <v>0.4</v>
      </c>
    </row>
    <row r="1860">
      <c r="A1860" s="17">
        <v>6.501291989664094</v>
      </c>
      <c r="I1860" s="11">
        <v>41.0</v>
      </c>
      <c r="M1860" s="16">
        <v>0.4</v>
      </c>
    </row>
    <row r="1861">
      <c r="A1861" s="17">
        <v>9.875983207632872</v>
      </c>
      <c r="I1861" s="11">
        <v>36.0</v>
      </c>
      <c r="M1861" s="16">
        <v>4.5360000000000005</v>
      </c>
    </row>
    <row r="1862">
      <c r="A1862" s="17">
        <v>2.3656328847926225</v>
      </c>
      <c r="I1862" s="11">
        <v>14.0</v>
      </c>
      <c r="M1862" s="16">
        <v>6.008</v>
      </c>
    </row>
    <row r="1863">
      <c r="A1863" s="17">
        <v>16.274395868354418</v>
      </c>
      <c r="I1863" s="11">
        <v>45.0</v>
      </c>
      <c r="M1863" s="16">
        <v>4.104</v>
      </c>
    </row>
    <row r="1864">
      <c r="A1864" s="17">
        <v>27.92924705719237</v>
      </c>
      <c r="I1864" s="11">
        <v>44.0</v>
      </c>
      <c r="M1864" s="16">
        <v>6.368</v>
      </c>
    </row>
    <row r="1865">
      <c r="A1865" s="17">
        <v>6.848197460009707</v>
      </c>
      <c r="I1865" s="11">
        <v>50.0</v>
      </c>
      <c r="M1865" s="16">
        <v>4.208</v>
      </c>
    </row>
    <row r="1866">
      <c r="A1866" s="17">
        <v>71.84472970338506</v>
      </c>
      <c r="I1866" s="11">
        <v>25.0</v>
      </c>
      <c r="M1866" s="16">
        <v>0.392</v>
      </c>
    </row>
    <row r="1867">
      <c r="A1867" s="17">
        <v>19.74610285714283</v>
      </c>
      <c r="I1867" s="11">
        <v>13.0</v>
      </c>
      <c r="M1867" s="16">
        <v>7.192</v>
      </c>
    </row>
    <row r="1868">
      <c r="A1868" s="17">
        <v>4.393198933333331</v>
      </c>
      <c r="I1868" s="11">
        <v>18.0</v>
      </c>
      <c r="M1868" s="16">
        <v>7.744</v>
      </c>
    </row>
    <row r="1869">
      <c r="A1869" s="17">
        <v>23.656691300280652</v>
      </c>
      <c r="I1869" s="11">
        <v>42.0</v>
      </c>
      <c r="M1869" s="16">
        <v>7.192</v>
      </c>
    </row>
    <row r="1870">
      <c r="A1870" s="17">
        <v>21.30331287145968</v>
      </c>
      <c r="I1870" s="11">
        <v>48.0</v>
      </c>
      <c r="M1870" s="16">
        <v>4.136</v>
      </c>
    </row>
    <row r="1871">
      <c r="A1871" s="17">
        <v>22.619153307868608</v>
      </c>
      <c r="I1871" s="11">
        <v>8.0</v>
      </c>
      <c r="M1871" s="16">
        <v>11.192</v>
      </c>
    </row>
    <row r="1872">
      <c r="A1872" s="17">
        <v>193.82757616844776</v>
      </c>
      <c r="I1872" s="11">
        <v>41.0</v>
      </c>
      <c r="M1872" s="16">
        <v>4.0</v>
      </c>
    </row>
    <row r="1873">
      <c r="A1873" s="17">
        <v>31.700127828615162</v>
      </c>
      <c r="I1873" s="11">
        <v>27.0</v>
      </c>
      <c r="M1873" s="16">
        <v>7.192</v>
      </c>
    </row>
    <row r="1874">
      <c r="A1874" s="17">
        <v>2.4797970731707246</v>
      </c>
      <c r="I1874" s="11">
        <v>48.0</v>
      </c>
      <c r="M1874" s="16">
        <v>1.2480000000000002</v>
      </c>
    </row>
    <row r="1875">
      <c r="A1875" s="17">
        <v>101.81263163577536</v>
      </c>
      <c r="I1875" s="11">
        <v>32.0</v>
      </c>
      <c r="M1875" s="16">
        <v>11.584000000000001</v>
      </c>
    </row>
    <row r="1876">
      <c r="A1876" s="17">
        <v>93.18003709448391</v>
      </c>
      <c r="I1876" s="11">
        <v>48.0</v>
      </c>
      <c r="M1876" s="16">
        <v>1.592</v>
      </c>
    </row>
    <row r="1877">
      <c r="A1877" s="17">
        <v>10.012493150684945</v>
      </c>
      <c r="I1877" s="11">
        <v>21.0</v>
      </c>
      <c r="M1877" s="16">
        <v>2.8800000000000003</v>
      </c>
    </row>
    <row r="1878">
      <c r="A1878" s="17">
        <v>597.7992864201804</v>
      </c>
      <c r="I1878" s="11">
        <v>44.0</v>
      </c>
      <c r="M1878" s="16">
        <v>4.792000000000001</v>
      </c>
    </row>
    <row r="1879">
      <c r="A1879" s="17">
        <v>15.500198861127243</v>
      </c>
      <c r="I1879" s="11">
        <v>43.0</v>
      </c>
      <c r="M1879" s="16">
        <v>4.376</v>
      </c>
    </row>
    <row r="1880">
      <c r="A1880" s="17">
        <v>6.288288255093013</v>
      </c>
      <c r="I1880" s="11">
        <v>18.0</v>
      </c>
      <c r="M1880" s="16">
        <v>1.816</v>
      </c>
    </row>
    <row r="1881">
      <c r="A1881" s="17">
        <v>6.304489560835111</v>
      </c>
      <c r="I1881" s="11">
        <v>41.0</v>
      </c>
      <c r="M1881" s="16">
        <v>1.08</v>
      </c>
    </row>
    <row r="1882">
      <c r="A1882" s="17">
        <v>307.47127789800425</v>
      </c>
      <c r="I1882" s="11">
        <v>12.0</v>
      </c>
      <c r="M1882" s="16">
        <v>19.592</v>
      </c>
    </row>
    <row r="1883">
      <c r="A1883" s="17">
        <v>16.511702748091636</v>
      </c>
      <c r="I1883" s="11">
        <v>47.0</v>
      </c>
      <c r="M1883" s="16">
        <v>0.8160000000000001</v>
      </c>
    </row>
    <row r="1884">
      <c r="A1884" s="17">
        <v>22.161645852319474</v>
      </c>
      <c r="I1884" s="11">
        <v>31.0</v>
      </c>
      <c r="M1884" s="16">
        <v>2.696</v>
      </c>
    </row>
    <row r="1885">
      <c r="A1885" s="17">
        <v>0.4375800000000007</v>
      </c>
      <c r="I1885" s="11">
        <v>1.0</v>
      </c>
      <c r="M1885" s="16">
        <v>1.6320000000000001</v>
      </c>
    </row>
    <row r="1886">
      <c r="A1886" s="17">
        <v>9.809823858407082</v>
      </c>
      <c r="I1886" s="11">
        <v>35.0</v>
      </c>
      <c r="M1886" s="16">
        <v>0.6480000000000001</v>
      </c>
    </row>
    <row r="1887">
      <c r="A1887" s="17">
        <v>25.95398825406205</v>
      </c>
      <c r="I1887" s="11">
        <v>25.0</v>
      </c>
      <c r="M1887" s="16">
        <v>5.176</v>
      </c>
    </row>
    <row r="1888">
      <c r="A1888" s="17">
        <v>4.133409011213046</v>
      </c>
      <c r="I1888" s="11">
        <v>12.0</v>
      </c>
      <c r="M1888" s="16">
        <v>6.176</v>
      </c>
    </row>
    <row r="1889">
      <c r="A1889" s="17">
        <v>80.26784248037966</v>
      </c>
      <c r="I1889" s="11">
        <v>22.0</v>
      </c>
      <c r="M1889" s="16">
        <v>4.976</v>
      </c>
    </row>
    <row r="1890">
      <c r="A1890" s="17">
        <v>50.97690989788088</v>
      </c>
      <c r="I1890" s="11">
        <v>15.0</v>
      </c>
      <c r="M1890" s="16">
        <v>3.9200000000000004</v>
      </c>
    </row>
    <row r="1891">
      <c r="A1891" s="17">
        <v>162.0489386792451</v>
      </c>
      <c r="I1891" s="11">
        <v>40.0</v>
      </c>
      <c r="M1891" s="16">
        <v>24.0</v>
      </c>
    </row>
    <row r="1892">
      <c r="A1892" s="17">
        <v>59.35464826407025</v>
      </c>
      <c r="I1892" s="11">
        <v>6.0</v>
      </c>
      <c r="M1892" s="16">
        <v>50.19200000000001</v>
      </c>
    </row>
    <row r="1893">
      <c r="A1893" s="17">
        <v>19.945842162162144</v>
      </c>
      <c r="I1893" s="11">
        <v>34.0</v>
      </c>
      <c r="M1893" s="16">
        <v>4.688000000000001</v>
      </c>
    </row>
    <row r="1894">
      <c r="A1894" s="17">
        <v>12.278432108843525</v>
      </c>
      <c r="I1894" s="11">
        <v>38.0</v>
      </c>
      <c r="M1894" s="16">
        <v>1.072</v>
      </c>
    </row>
    <row r="1895">
      <c r="A1895" s="17">
        <v>25.59691617362578</v>
      </c>
      <c r="I1895" s="11">
        <v>15.0</v>
      </c>
      <c r="M1895" s="16">
        <v>4.208</v>
      </c>
    </row>
    <row r="1896">
      <c r="A1896" s="17">
        <v>324.8463338213017</v>
      </c>
      <c r="I1896" s="11">
        <v>26.0</v>
      </c>
      <c r="M1896" s="16">
        <v>4.208</v>
      </c>
    </row>
    <row r="1897">
      <c r="A1897" s="17">
        <v>25.13668518786239</v>
      </c>
      <c r="I1897" s="11">
        <v>12.0</v>
      </c>
      <c r="M1897" s="16">
        <v>3.192</v>
      </c>
    </row>
    <row r="1898">
      <c r="A1898" s="17">
        <v>31.55958203844764</v>
      </c>
      <c r="I1898" s="11">
        <v>23.0</v>
      </c>
      <c r="M1898" s="16">
        <v>7.192</v>
      </c>
    </row>
    <row r="1899">
      <c r="A1899" s="17">
        <v>32.328927771545125</v>
      </c>
      <c r="I1899" s="11">
        <v>10.0</v>
      </c>
      <c r="M1899" s="16">
        <v>11.616</v>
      </c>
    </row>
    <row r="1900">
      <c r="A1900" s="17">
        <v>13.174410410410397</v>
      </c>
      <c r="I1900" s="11">
        <v>24.0</v>
      </c>
      <c r="M1900" s="16">
        <v>4.36</v>
      </c>
    </row>
    <row r="1901">
      <c r="A1901" s="17">
        <v>269.16940531526575</v>
      </c>
      <c r="I1901" s="11">
        <v>47.0</v>
      </c>
      <c r="M1901" s="16">
        <v>15.991999999999999</v>
      </c>
    </row>
    <row r="1902">
      <c r="A1902" s="17">
        <v>5.319254460887946</v>
      </c>
      <c r="I1902" s="11">
        <v>20.0</v>
      </c>
      <c r="M1902" s="16">
        <v>1.192</v>
      </c>
    </row>
    <row r="1903">
      <c r="A1903" s="17">
        <v>6.604767130628943</v>
      </c>
      <c r="I1903" s="11">
        <v>20.0</v>
      </c>
      <c r="M1903" s="16">
        <v>4.712</v>
      </c>
    </row>
    <row r="1904">
      <c r="A1904" s="17">
        <v>2.600244705882352</v>
      </c>
      <c r="I1904" s="11">
        <v>12.0</v>
      </c>
      <c r="M1904" s="16">
        <v>3.8880000000000003</v>
      </c>
    </row>
    <row r="1905">
      <c r="A1905" s="17">
        <v>22.316502633002827</v>
      </c>
      <c r="I1905" s="11">
        <v>17.0</v>
      </c>
      <c r="M1905" s="16">
        <v>15.991999999999999</v>
      </c>
    </row>
    <row r="1906">
      <c r="A1906" s="17">
        <v>118.21865652117275</v>
      </c>
      <c r="I1906" s="11">
        <v>26.0</v>
      </c>
      <c r="M1906" s="16">
        <v>3.192</v>
      </c>
    </row>
    <row r="1907">
      <c r="A1907" s="17">
        <v>8.714062052505968</v>
      </c>
      <c r="I1907" s="11">
        <v>36.0</v>
      </c>
      <c r="M1907" s="16">
        <v>1.08</v>
      </c>
    </row>
    <row r="1908">
      <c r="A1908" s="17">
        <v>139.9069650212085</v>
      </c>
      <c r="I1908" s="11">
        <v>9.0</v>
      </c>
      <c r="M1908" s="16">
        <v>24.0</v>
      </c>
    </row>
    <row r="1909">
      <c r="A1909" s="17">
        <v>6.980818512396693</v>
      </c>
      <c r="I1909" s="11">
        <v>16.0</v>
      </c>
      <c r="M1909" s="16">
        <v>2.3760000000000003</v>
      </c>
    </row>
    <row r="1910">
      <c r="A1910" s="17">
        <v>12.364023416711026</v>
      </c>
      <c r="I1910" s="11">
        <v>10.0</v>
      </c>
      <c r="M1910" s="16">
        <v>4.0</v>
      </c>
    </row>
    <row r="1911">
      <c r="A1911" s="17">
        <v>6.242830576512457</v>
      </c>
      <c r="I1911" s="11">
        <v>15.0</v>
      </c>
      <c r="M1911" s="16">
        <v>4.952000000000001</v>
      </c>
    </row>
    <row r="1912">
      <c r="A1912" s="17">
        <v>120.06619722922765</v>
      </c>
      <c r="I1912" s="11">
        <v>21.0</v>
      </c>
      <c r="M1912" s="16">
        <v>28.0</v>
      </c>
    </row>
    <row r="1913">
      <c r="A1913" s="17">
        <v>393.96782340316406</v>
      </c>
      <c r="I1913" s="11">
        <v>34.0</v>
      </c>
      <c r="M1913" s="16">
        <v>6.464</v>
      </c>
    </row>
    <row r="1914">
      <c r="A1914" s="17">
        <v>23.697240990285202</v>
      </c>
      <c r="I1914" s="11">
        <v>45.0</v>
      </c>
      <c r="M1914" s="16">
        <v>5.32</v>
      </c>
    </row>
    <row r="1915">
      <c r="A1915" s="17">
        <v>44.5537980697808</v>
      </c>
      <c r="I1915" s="11">
        <v>40.0</v>
      </c>
      <c r="M1915" s="16">
        <v>2.3920000000000003</v>
      </c>
    </row>
    <row r="1916">
      <c r="A1916" s="17">
        <v>1.3804270866141721</v>
      </c>
      <c r="I1916" s="11">
        <v>5.0</v>
      </c>
      <c r="M1916" s="16">
        <v>0.6240000000000001</v>
      </c>
    </row>
    <row r="1917">
      <c r="A1917" s="17">
        <v>64.81013366638636</v>
      </c>
      <c r="I1917" s="11">
        <v>6.0</v>
      </c>
      <c r="M1917" s="16">
        <v>6.464</v>
      </c>
    </row>
    <row r="1918">
      <c r="A1918" s="17">
        <v>8.814060974286622</v>
      </c>
      <c r="I1918" s="11">
        <v>6.0</v>
      </c>
      <c r="M1918" s="16">
        <v>35.0</v>
      </c>
    </row>
    <row r="1919">
      <c r="A1919" s="17">
        <v>1.2392177021276598</v>
      </c>
      <c r="I1919" s="11">
        <v>18.0</v>
      </c>
      <c r="M1919" s="16">
        <v>4.544</v>
      </c>
    </row>
    <row r="1920">
      <c r="A1920" s="17">
        <v>25.139287085889553</v>
      </c>
      <c r="I1920" s="11">
        <v>49.0</v>
      </c>
      <c r="M1920" s="16">
        <v>10.016</v>
      </c>
    </row>
    <row r="1921">
      <c r="A1921" s="17">
        <v>74.85011270909085</v>
      </c>
      <c r="I1921" s="11">
        <v>27.0</v>
      </c>
      <c r="M1921" s="16">
        <v>6.296</v>
      </c>
    </row>
    <row r="1922">
      <c r="A1922" s="17">
        <v>30.007400231086628</v>
      </c>
      <c r="I1922" s="11">
        <v>39.0</v>
      </c>
      <c r="M1922" s="16">
        <v>2.8960000000000004</v>
      </c>
    </row>
    <row r="1923">
      <c r="A1923" s="17">
        <v>16.10267062314544</v>
      </c>
      <c r="I1923" s="11">
        <v>8.0</v>
      </c>
      <c r="M1923" s="16">
        <v>5.2</v>
      </c>
    </row>
    <row r="1924">
      <c r="A1924" s="17">
        <v>12.81806748482316</v>
      </c>
      <c r="I1924" s="11">
        <v>12.0</v>
      </c>
      <c r="M1924" s="16">
        <v>3.192</v>
      </c>
    </row>
    <row r="1925">
      <c r="A1925" s="17">
        <v>1.2232300990099008</v>
      </c>
      <c r="I1925" s="11">
        <v>1.0</v>
      </c>
      <c r="M1925" s="16">
        <v>3.776</v>
      </c>
    </row>
    <row r="1926">
      <c r="A1926" s="17">
        <v>13.921729852440393</v>
      </c>
      <c r="I1926" s="11">
        <v>48.0</v>
      </c>
      <c r="M1926" s="16">
        <v>1.8800000000000001</v>
      </c>
    </row>
    <row r="1927">
      <c r="A1927" s="17">
        <v>1478.6952036835303</v>
      </c>
      <c r="I1927" s="11">
        <v>38.0</v>
      </c>
      <c r="M1927" s="16">
        <v>44.24</v>
      </c>
    </row>
    <row r="1928">
      <c r="A1928" s="17">
        <v>5.458357306002931</v>
      </c>
      <c r="I1928" s="11">
        <v>31.0</v>
      </c>
      <c r="M1928" s="16">
        <v>4.128</v>
      </c>
    </row>
    <row r="1929">
      <c r="A1929" s="17">
        <v>9.069369973190339</v>
      </c>
      <c r="I1929" s="11">
        <v>17.0</v>
      </c>
      <c r="M1929" s="16">
        <v>5.2</v>
      </c>
    </row>
    <row r="1930">
      <c r="A1930" s="17">
        <v>438.7337816495917</v>
      </c>
      <c r="I1930" s="11">
        <v>30.0</v>
      </c>
      <c r="M1930" s="16">
        <v>3.192</v>
      </c>
    </row>
    <row r="1931">
      <c r="A1931" s="17">
        <v>33.21321744136987</v>
      </c>
      <c r="I1931" s="11">
        <v>37.0</v>
      </c>
      <c r="M1931" s="16">
        <v>1.592</v>
      </c>
    </row>
    <row r="1932">
      <c r="A1932" s="17">
        <v>5.438592395332969</v>
      </c>
      <c r="I1932" s="11">
        <v>12.0</v>
      </c>
      <c r="M1932" s="16">
        <v>0.792</v>
      </c>
    </row>
    <row r="1933">
      <c r="A1933" s="17">
        <v>188.66246934840802</v>
      </c>
      <c r="I1933" s="11">
        <v>33.0</v>
      </c>
      <c r="M1933" s="16">
        <v>24.0</v>
      </c>
    </row>
    <row r="1934">
      <c r="A1934" s="17">
        <v>8.522553034971848</v>
      </c>
      <c r="I1934" s="11">
        <v>14.0</v>
      </c>
      <c r="M1934" s="16">
        <v>1.192</v>
      </c>
    </row>
    <row r="1935">
      <c r="A1935" s="17">
        <v>40.834161348713415</v>
      </c>
      <c r="I1935" s="11">
        <v>11.0</v>
      </c>
      <c r="M1935" s="16">
        <v>15.991999999999999</v>
      </c>
    </row>
    <row r="1936">
      <c r="A1936" s="17">
        <v>86.74746350624959</v>
      </c>
      <c r="I1936" s="11">
        <v>26.0</v>
      </c>
      <c r="M1936" s="16">
        <v>11.440000000000001</v>
      </c>
    </row>
    <row r="1937">
      <c r="A1937" s="17">
        <v>20.18050984188447</v>
      </c>
      <c r="I1937" s="11">
        <v>38.0</v>
      </c>
      <c r="M1937" s="16">
        <v>3.2</v>
      </c>
    </row>
    <row r="1938">
      <c r="A1938" s="17">
        <v>3.916711639501445</v>
      </c>
      <c r="I1938" s="11">
        <v>34.0</v>
      </c>
      <c r="M1938" s="16">
        <v>1.6239999999999999</v>
      </c>
    </row>
    <row r="1939">
      <c r="A1939" s="17">
        <v>35.144699769053055</v>
      </c>
      <c r="I1939" s="11">
        <v>9.0</v>
      </c>
      <c r="M1939" s="16">
        <v>11.200000000000001</v>
      </c>
    </row>
    <row r="1940">
      <c r="A1940" s="17">
        <v>15.869868977241556</v>
      </c>
      <c r="I1940" s="11">
        <v>7.0</v>
      </c>
      <c r="M1940" s="16">
        <v>37.272000000000006</v>
      </c>
    </row>
    <row r="1941">
      <c r="A1941" s="17">
        <v>23.088986874487244</v>
      </c>
      <c r="I1941" s="11">
        <v>7.0</v>
      </c>
      <c r="M1941" s="16">
        <v>2.0</v>
      </c>
    </row>
    <row r="1942">
      <c r="A1942" s="17">
        <v>184.96710334456387</v>
      </c>
      <c r="I1942" s="11">
        <v>26.0</v>
      </c>
      <c r="M1942" s="16">
        <v>4.648</v>
      </c>
    </row>
    <row r="1943">
      <c r="A1943" s="17">
        <v>164.34529275540532</v>
      </c>
      <c r="I1943" s="11">
        <v>24.0</v>
      </c>
      <c r="M1943" s="16">
        <v>71.44</v>
      </c>
    </row>
    <row r="1944">
      <c r="A1944" s="17">
        <v>10.006199816607229</v>
      </c>
      <c r="I1944" s="11">
        <v>23.0</v>
      </c>
      <c r="M1944" s="16">
        <v>4.024</v>
      </c>
    </row>
    <row r="1945">
      <c r="A1945" s="17">
        <v>7.642751139419678</v>
      </c>
      <c r="I1945" s="11">
        <v>15.0</v>
      </c>
      <c r="M1945" s="16">
        <v>7.192</v>
      </c>
    </row>
    <row r="1946">
      <c r="A1946" s="17">
        <v>2.9773998791540786</v>
      </c>
      <c r="I1946" s="11">
        <v>6.0</v>
      </c>
      <c r="M1946" s="16">
        <v>0.392</v>
      </c>
    </row>
    <row r="1947">
      <c r="A1947" s="17">
        <v>365.93017204121</v>
      </c>
      <c r="I1947" s="11">
        <v>30.0</v>
      </c>
      <c r="M1947" s="16">
        <v>14.280000000000001</v>
      </c>
    </row>
    <row r="1948">
      <c r="A1948" s="17">
        <v>6.579904306220086</v>
      </c>
      <c r="I1948" s="11">
        <v>42.0</v>
      </c>
      <c r="M1948" s="16">
        <v>0.8</v>
      </c>
    </row>
    <row r="1949">
      <c r="A1949" s="17">
        <v>7.480295897780746</v>
      </c>
      <c r="I1949" s="11">
        <v>39.0</v>
      </c>
      <c r="M1949" s="16">
        <v>0.4</v>
      </c>
    </row>
    <row r="1950">
      <c r="A1950" s="17">
        <v>13.516531094890492</v>
      </c>
      <c r="I1950" s="11">
        <v>31.0</v>
      </c>
      <c r="M1950" s="16">
        <v>6.328</v>
      </c>
    </row>
    <row r="1951">
      <c r="A1951" s="17">
        <v>3.9488757305851863</v>
      </c>
      <c r="I1951" s="11">
        <v>3.0</v>
      </c>
      <c r="M1951" s="16">
        <v>15.991999999999999</v>
      </c>
    </row>
    <row r="1952">
      <c r="A1952" s="17">
        <v>506.14502699199727</v>
      </c>
      <c r="I1952" s="11">
        <v>39.0</v>
      </c>
      <c r="M1952" s="16">
        <v>3.12</v>
      </c>
    </row>
    <row r="1953">
      <c r="A1953" s="17">
        <v>10.958702837209296</v>
      </c>
      <c r="I1953" s="11">
        <v>45.0</v>
      </c>
      <c r="M1953" s="16">
        <v>4.168</v>
      </c>
    </row>
    <row r="1954">
      <c r="A1954" s="17">
        <v>264.179442537039</v>
      </c>
      <c r="I1954" s="11">
        <v>39.0</v>
      </c>
      <c r="M1954" s="16">
        <v>59.48</v>
      </c>
    </row>
    <row r="1955">
      <c r="A1955" s="17">
        <v>29.676680660065937</v>
      </c>
      <c r="I1955" s="11">
        <v>42.0</v>
      </c>
      <c r="M1955" s="16">
        <v>2.5120000000000005</v>
      </c>
    </row>
    <row r="1956">
      <c r="A1956" s="17">
        <v>362.2702423637981</v>
      </c>
      <c r="I1956" s="11">
        <v>36.0</v>
      </c>
      <c r="M1956" s="16">
        <v>22.512</v>
      </c>
    </row>
    <row r="1957">
      <c r="A1957" s="17">
        <v>10.396319886765756</v>
      </c>
      <c r="I1957" s="11">
        <v>36.0</v>
      </c>
      <c r="M1957" s="16">
        <v>0.4</v>
      </c>
    </row>
    <row r="1958">
      <c r="A1958" s="17">
        <v>1.2503062365591389</v>
      </c>
      <c r="I1958" s="11">
        <v>1.0</v>
      </c>
      <c r="M1958" s="16">
        <v>5.752000000000001</v>
      </c>
    </row>
    <row r="1959">
      <c r="A1959" s="17">
        <v>10.986732031574567</v>
      </c>
      <c r="I1959" s="11">
        <v>46.0</v>
      </c>
      <c r="M1959" s="16">
        <v>3.7600000000000002</v>
      </c>
    </row>
    <row r="1960">
      <c r="A1960" s="17">
        <v>86.04693693693696</v>
      </c>
      <c r="I1960" s="11">
        <v>43.0</v>
      </c>
      <c r="M1960" s="16">
        <v>5.2</v>
      </c>
    </row>
    <row r="1961">
      <c r="A1961" s="17">
        <v>22.867208281226702</v>
      </c>
      <c r="I1961" s="11">
        <v>6.0</v>
      </c>
      <c r="M1961" s="16">
        <v>15.991999999999999</v>
      </c>
    </row>
    <row r="1962">
      <c r="A1962" s="17">
        <v>53.0578092750901</v>
      </c>
      <c r="I1962" s="11">
        <v>26.0</v>
      </c>
      <c r="M1962" s="16">
        <v>7.192</v>
      </c>
    </row>
    <row r="1963">
      <c r="A1963" s="17">
        <v>19.108105780730863</v>
      </c>
      <c r="I1963" s="11">
        <v>41.0</v>
      </c>
      <c r="M1963" s="16">
        <v>8.312000000000001</v>
      </c>
    </row>
    <row r="1964">
      <c r="A1964" s="17">
        <v>46.190814283744686</v>
      </c>
      <c r="I1964" s="11">
        <v>22.0</v>
      </c>
      <c r="M1964" s="16">
        <v>6.920000000000001</v>
      </c>
    </row>
    <row r="1965">
      <c r="A1965" s="17">
        <v>5.311151473812423</v>
      </c>
      <c r="I1965" s="11">
        <v>44.0</v>
      </c>
      <c r="M1965" s="16">
        <v>1.592</v>
      </c>
    </row>
    <row r="1966">
      <c r="A1966" s="17">
        <v>7.375343212267962</v>
      </c>
      <c r="I1966" s="11">
        <v>15.0</v>
      </c>
      <c r="M1966" s="16">
        <v>5.024000000000001</v>
      </c>
    </row>
    <row r="1967">
      <c r="A1967" s="17">
        <v>19.68904269995378</v>
      </c>
      <c r="I1967" s="11">
        <v>1.0</v>
      </c>
      <c r="M1967" s="16">
        <v>15.991999999999999</v>
      </c>
    </row>
    <row r="1968">
      <c r="A1968" s="17">
        <v>289.5364781466205</v>
      </c>
      <c r="I1968" s="11">
        <v>20.0</v>
      </c>
      <c r="M1968" s="16">
        <v>5.744</v>
      </c>
    </row>
    <row r="1969">
      <c r="A1969" s="17">
        <v>3.6807980049875266</v>
      </c>
      <c r="I1969" s="11">
        <v>3.0</v>
      </c>
      <c r="M1969" s="16">
        <v>3.6</v>
      </c>
    </row>
    <row r="1970">
      <c r="A1970" s="17">
        <v>75.21363918621549</v>
      </c>
      <c r="I1970" s="11">
        <v>43.0</v>
      </c>
      <c r="M1970" s="16">
        <v>3.696</v>
      </c>
    </row>
    <row r="1971">
      <c r="A1971" s="17">
        <v>70.88090899346122</v>
      </c>
      <c r="I1971" s="11">
        <v>32.0</v>
      </c>
      <c r="M1971" s="16">
        <v>3.2</v>
      </c>
    </row>
    <row r="1972">
      <c r="A1972" s="17">
        <v>7.483943661971826</v>
      </c>
      <c r="I1972" s="11">
        <v>20.0</v>
      </c>
      <c r="M1972" s="16">
        <v>0.4</v>
      </c>
    </row>
    <row r="1973">
      <c r="A1973" s="17">
        <v>4.989016453382092</v>
      </c>
      <c r="I1973" s="11">
        <v>37.0</v>
      </c>
      <c r="M1973" s="16">
        <v>0.5599999999999999</v>
      </c>
    </row>
    <row r="1974">
      <c r="A1974" s="17">
        <v>38.32765922920884</v>
      </c>
      <c r="I1974" s="11">
        <v>13.0</v>
      </c>
      <c r="M1974" s="16">
        <v>11.200000000000001</v>
      </c>
    </row>
    <row r="1975">
      <c r="A1975" s="17">
        <v>48.9386906068163</v>
      </c>
      <c r="I1975" s="11">
        <v>4.0</v>
      </c>
      <c r="M1975" s="16">
        <v>56.160000000000004</v>
      </c>
    </row>
    <row r="1976">
      <c r="A1976" s="17">
        <v>10.568848888888876</v>
      </c>
      <c r="I1976" s="11">
        <v>44.0</v>
      </c>
      <c r="M1976" s="16">
        <v>3.696</v>
      </c>
    </row>
    <row r="1977">
      <c r="A1977" s="17">
        <v>371.56580293229996</v>
      </c>
      <c r="I1977" s="11">
        <v>44.0</v>
      </c>
      <c r="M1977" s="16">
        <v>5.744</v>
      </c>
    </row>
    <row r="1978">
      <c r="A1978" s="17">
        <v>35.771969268582744</v>
      </c>
      <c r="I1978" s="11">
        <v>40.0</v>
      </c>
      <c r="M1978" s="16">
        <v>5.752000000000001</v>
      </c>
    </row>
    <row r="1979">
      <c r="A1979" s="17">
        <v>994.8423052460281</v>
      </c>
      <c r="I1979" s="11">
        <v>41.0</v>
      </c>
      <c r="M1979" s="16">
        <v>14.288</v>
      </c>
    </row>
    <row r="1980">
      <c r="A1980" s="17">
        <v>7.657098981233244</v>
      </c>
      <c r="I1980" s="11">
        <v>20.0</v>
      </c>
      <c r="M1980" s="16">
        <v>1.6320000000000001</v>
      </c>
    </row>
    <row r="1981">
      <c r="A1981" s="17">
        <v>13.973027720930219</v>
      </c>
      <c r="I1981" s="11">
        <v>19.0</v>
      </c>
      <c r="M1981" s="16">
        <v>2.608</v>
      </c>
    </row>
    <row r="1982">
      <c r="A1982" s="17">
        <v>6.668918918918944</v>
      </c>
      <c r="I1982" s="11">
        <v>6.0</v>
      </c>
      <c r="M1982" s="16">
        <v>3.6</v>
      </c>
    </row>
    <row r="1983">
      <c r="A1983" s="17">
        <v>4.092480359147023</v>
      </c>
      <c r="I1983" s="11">
        <v>23.0</v>
      </c>
      <c r="M1983" s="16">
        <v>2.0</v>
      </c>
    </row>
    <row r="1984">
      <c r="A1984" s="17">
        <v>66.79632050434624</v>
      </c>
      <c r="I1984" s="11">
        <v>10.0</v>
      </c>
      <c r="M1984" s="16">
        <v>11.192</v>
      </c>
    </row>
    <row r="1985">
      <c r="A1985" s="17">
        <v>583.3417947240921</v>
      </c>
      <c r="I1985" s="11">
        <v>42.0</v>
      </c>
      <c r="M1985" s="16">
        <v>15.991999999999999</v>
      </c>
    </row>
    <row r="1986">
      <c r="A1986" s="17">
        <v>88.26466465647334</v>
      </c>
      <c r="I1986" s="11">
        <v>13.0</v>
      </c>
      <c r="M1986" s="16">
        <v>33.312000000000005</v>
      </c>
    </row>
    <row r="1987">
      <c r="A1987" s="17">
        <v>60.05102631307393</v>
      </c>
      <c r="I1987" s="11">
        <v>29.0</v>
      </c>
      <c r="M1987" s="16">
        <v>2.8800000000000003</v>
      </c>
    </row>
    <row r="1988">
      <c r="A1988" s="17">
        <v>0.213818181818182</v>
      </c>
      <c r="I1988" s="11">
        <v>1.0</v>
      </c>
      <c r="M1988" s="16">
        <v>0.5599999999999999</v>
      </c>
    </row>
    <row r="1989">
      <c r="A1989" s="17">
        <v>124.31987541757093</v>
      </c>
      <c r="I1989" s="11">
        <v>22.0</v>
      </c>
      <c r="M1989" s="16">
        <v>19.592</v>
      </c>
    </row>
    <row r="1990">
      <c r="A1990" s="17">
        <v>73.0584536179947</v>
      </c>
      <c r="I1990" s="11">
        <v>34.0</v>
      </c>
      <c r="M1990" s="16">
        <v>1.192</v>
      </c>
    </row>
    <row r="1991">
      <c r="A1991" s="17">
        <v>117.293270914031</v>
      </c>
      <c r="I1991" s="11">
        <v>17.0</v>
      </c>
      <c r="M1991" s="16">
        <v>15.991999999999999</v>
      </c>
    </row>
    <row r="1992">
      <c r="A1992" s="17">
        <v>8.704415189402775</v>
      </c>
      <c r="I1992" s="11">
        <v>49.0</v>
      </c>
      <c r="M1992" s="16">
        <v>4.912</v>
      </c>
    </row>
    <row r="1993">
      <c r="A1993" s="17">
        <v>39.45022924584913</v>
      </c>
      <c r="I1993" s="11">
        <v>30.0</v>
      </c>
      <c r="M1993" s="16">
        <v>6.720000000000001</v>
      </c>
    </row>
    <row r="1994">
      <c r="A1994" s="17">
        <v>81.10053152433905</v>
      </c>
      <c r="I1994" s="11">
        <v>22.0</v>
      </c>
      <c r="M1994" s="16">
        <v>7.256</v>
      </c>
    </row>
    <row r="1995">
      <c r="A1995" s="17">
        <v>4.259832229580566</v>
      </c>
      <c r="I1995" s="11">
        <v>17.0</v>
      </c>
      <c r="M1995" s="16">
        <v>4.84</v>
      </c>
    </row>
    <row r="1996">
      <c r="A1996" s="17">
        <v>26.290076658031158</v>
      </c>
      <c r="I1996" s="11">
        <v>31.0</v>
      </c>
      <c r="M1996" s="16">
        <v>4.184</v>
      </c>
    </row>
    <row r="1997">
      <c r="A1997" s="17">
        <v>820.0584804870529</v>
      </c>
      <c r="I1997" s="11">
        <v>41.0</v>
      </c>
      <c r="M1997" s="16">
        <v>14.448</v>
      </c>
    </row>
    <row r="1998">
      <c r="A1998" s="17">
        <v>11.841449169054448</v>
      </c>
      <c r="I1998" s="11">
        <v>6.0</v>
      </c>
      <c r="M1998" s="16">
        <v>5.336</v>
      </c>
    </row>
    <row r="1999">
      <c r="A1999" s="17">
        <v>2.383253010590008</v>
      </c>
      <c r="I1999" s="11">
        <v>30.0</v>
      </c>
      <c r="M1999" s="16">
        <v>0.6240000000000001</v>
      </c>
    </row>
    <row r="2000">
      <c r="A2000" s="17">
        <v>5.521071921182273</v>
      </c>
      <c r="I2000" s="11">
        <v>30.0</v>
      </c>
      <c r="M2000" s="16">
        <v>5.32</v>
      </c>
    </row>
    <row r="2001">
      <c r="A2001" s="17">
        <v>28.681827645300302</v>
      </c>
      <c r="I2001" s="11">
        <v>13.0</v>
      </c>
      <c r="M2001" s="16">
        <v>4.208</v>
      </c>
    </row>
    <row r="2002">
      <c r="A2002" s="17">
        <v>164.2412626916484</v>
      </c>
      <c r="I2002" s="11">
        <v>23.0</v>
      </c>
      <c r="M2002" s="16">
        <v>28.872000000000003</v>
      </c>
    </row>
    <row r="2003">
      <c r="A2003" s="17">
        <v>7.489164530744345</v>
      </c>
      <c r="I2003" s="11">
        <v>28.0</v>
      </c>
      <c r="M2003" s="16">
        <v>0.792</v>
      </c>
    </row>
    <row r="2004">
      <c r="A2004" s="17">
        <v>543.7478268413317</v>
      </c>
      <c r="I2004" s="11">
        <v>48.0</v>
      </c>
      <c r="M2004" s="16">
        <v>79.2</v>
      </c>
    </row>
    <row r="2005">
      <c r="A2005" s="17">
        <v>101.77545986939258</v>
      </c>
      <c r="I2005" s="11">
        <v>16.0</v>
      </c>
      <c r="M2005" s="16">
        <v>11.192</v>
      </c>
    </row>
    <row r="2006">
      <c r="A2006" s="17">
        <v>13.079938429964104</v>
      </c>
      <c r="I2006" s="11">
        <v>44.0</v>
      </c>
      <c r="M2006" s="16">
        <v>0.4</v>
      </c>
    </row>
    <row r="2007">
      <c r="A2007" s="17">
        <v>29.567833651601944</v>
      </c>
      <c r="I2007" s="11">
        <v>13.0</v>
      </c>
      <c r="M2007" s="16">
        <v>2.8000000000000003</v>
      </c>
    </row>
    <row r="2008">
      <c r="A2008" s="17">
        <v>18.149065209471786</v>
      </c>
      <c r="I2008" s="11">
        <v>38.0</v>
      </c>
      <c r="M2008" s="16">
        <v>4.16</v>
      </c>
    </row>
    <row r="2009">
      <c r="A2009" s="17">
        <v>119.54663385033311</v>
      </c>
      <c r="I2009" s="11">
        <v>32.0</v>
      </c>
      <c r="M2009" s="16">
        <v>42.784</v>
      </c>
    </row>
    <row r="2010">
      <c r="A2010" s="17">
        <v>102.1540283320807</v>
      </c>
      <c r="I2010" s="11">
        <v>44.0</v>
      </c>
      <c r="M2010" s="16">
        <v>14.448</v>
      </c>
    </row>
    <row r="2011">
      <c r="A2011" s="17">
        <v>146.99930394431567</v>
      </c>
      <c r="I2011" s="11">
        <v>34.0</v>
      </c>
      <c r="M2011" s="16">
        <v>5.2</v>
      </c>
    </row>
    <row r="2012">
      <c r="A2012" s="17">
        <v>5.155723174603178</v>
      </c>
      <c r="I2012" s="11">
        <v>13.0</v>
      </c>
      <c r="M2012" s="16">
        <v>5.464</v>
      </c>
    </row>
    <row r="2013">
      <c r="A2013" s="17">
        <v>12.457031615956726</v>
      </c>
      <c r="I2013" s="11">
        <v>22.0</v>
      </c>
      <c r="M2013" s="16">
        <v>4.368</v>
      </c>
    </row>
    <row r="2014">
      <c r="A2014" s="17">
        <v>7.169203222918534</v>
      </c>
      <c r="I2014" s="11">
        <v>37.0</v>
      </c>
      <c r="M2014" s="16">
        <v>0.4</v>
      </c>
    </row>
    <row r="2015">
      <c r="A2015" s="17">
        <v>4.496423864915566</v>
      </c>
      <c r="I2015" s="11">
        <v>15.0</v>
      </c>
      <c r="M2015" s="16">
        <v>5.896000000000001</v>
      </c>
    </row>
    <row r="2016">
      <c r="A2016" s="17">
        <v>3.7297604984423667</v>
      </c>
      <c r="I2016" s="11">
        <v>10.0</v>
      </c>
      <c r="M2016" s="16">
        <v>6.224</v>
      </c>
    </row>
    <row r="2017">
      <c r="A2017" s="17">
        <v>32.221431987700434</v>
      </c>
      <c r="I2017" s="11">
        <v>5.0</v>
      </c>
      <c r="M2017" s="16">
        <v>4.904</v>
      </c>
    </row>
    <row r="2018">
      <c r="A2018" s="17">
        <v>42.10948759674987</v>
      </c>
      <c r="I2018" s="11">
        <v>34.0</v>
      </c>
      <c r="M2018" s="16">
        <v>4.616</v>
      </c>
    </row>
    <row r="2019">
      <c r="A2019" s="17">
        <v>126.4663627577608</v>
      </c>
      <c r="I2019" s="11">
        <v>22.0</v>
      </c>
      <c r="M2019" s="16">
        <v>15.991999999999999</v>
      </c>
    </row>
    <row r="2020">
      <c r="A2020" s="17">
        <v>238.3147891831833</v>
      </c>
      <c r="I2020" s="11">
        <v>39.0</v>
      </c>
      <c r="M2020" s="16">
        <v>4.0</v>
      </c>
    </row>
    <row r="2021">
      <c r="A2021" s="17">
        <v>1.131331764705882</v>
      </c>
      <c r="I2021" s="11">
        <v>4.0</v>
      </c>
      <c r="M2021" s="16">
        <v>1.304</v>
      </c>
    </row>
    <row r="2022">
      <c r="A2022" s="17">
        <v>62.62205992552751</v>
      </c>
      <c r="I2022" s="11">
        <v>43.0</v>
      </c>
      <c r="M2022" s="16">
        <v>0.792</v>
      </c>
    </row>
    <row r="2023">
      <c r="A2023" s="17">
        <v>3.3866547781217546</v>
      </c>
      <c r="I2023" s="11">
        <v>29.0</v>
      </c>
      <c r="M2023" s="16">
        <v>4.752000000000001</v>
      </c>
    </row>
    <row r="2024">
      <c r="A2024" s="17">
        <v>244.62249614791978</v>
      </c>
      <c r="I2024" s="11">
        <v>32.0</v>
      </c>
      <c r="M2024" s="16">
        <v>11.200000000000001</v>
      </c>
    </row>
    <row r="2025">
      <c r="A2025" s="17">
        <v>15.53160982456143</v>
      </c>
      <c r="I2025" s="11">
        <v>15.0</v>
      </c>
      <c r="M2025" s="16">
        <v>6.5440000000000005</v>
      </c>
    </row>
    <row r="2026">
      <c r="A2026" s="17">
        <v>9.964788260869572</v>
      </c>
      <c r="I2026" s="11">
        <v>13.0</v>
      </c>
      <c r="M2026" s="16">
        <v>4.424</v>
      </c>
    </row>
    <row r="2027">
      <c r="A2027" s="17">
        <v>6.898382608695637</v>
      </c>
      <c r="I2027" s="11">
        <v>40.0</v>
      </c>
      <c r="M2027" s="16">
        <v>4.920000000000001</v>
      </c>
    </row>
    <row r="2028">
      <c r="A2028" s="17">
        <v>1.1087796466431086</v>
      </c>
      <c r="I2028" s="11">
        <v>2.0</v>
      </c>
      <c r="M2028" s="16">
        <v>4.344</v>
      </c>
    </row>
    <row r="2029">
      <c r="A2029" s="17">
        <v>6.1407877804295925</v>
      </c>
      <c r="I2029" s="11">
        <v>11.0</v>
      </c>
      <c r="M2029" s="16">
        <v>4.5280000000000005</v>
      </c>
    </row>
    <row r="2030">
      <c r="A2030" s="17">
        <v>41.055476460936504</v>
      </c>
      <c r="I2030" s="11">
        <v>44.0</v>
      </c>
      <c r="M2030" s="16">
        <v>0.8800000000000001</v>
      </c>
    </row>
    <row r="2031">
      <c r="A2031" s="17">
        <v>931.3976859350239</v>
      </c>
      <c r="I2031" s="11">
        <v>34.0</v>
      </c>
      <c r="M2031" s="16">
        <v>43.296</v>
      </c>
    </row>
    <row r="2032">
      <c r="A2032" s="17">
        <v>60.8194677056014</v>
      </c>
      <c r="I2032" s="11">
        <v>4.0</v>
      </c>
      <c r="M2032" s="16">
        <v>51.784000000000006</v>
      </c>
    </row>
    <row r="2033">
      <c r="A2033" s="17">
        <v>1.523709978947369</v>
      </c>
      <c r="I2033" s="11">
        <v>17.0</v>
      </c>
      <c r="M2033" s="16">
        <v>3.4240000000000004</v>
      </c>
    </row>
    <row r="2034">
      <c r="A2034" s="17">
        <v>8.208695224719134</v>
      </c>
      <c r="I2034" s="11">
        <v>25.0</v>
      </c>
      <c r="M2034" s="16">
        <v>3.84</v>
      </c>
    </row>
    <row r="2035">
      <c r="A2035" s="17">
        <v>172.24896437154163</v>
      </c>
      <c r="I2035" s="11">
        <v>28.0</v>
      </c>
      <c r="M2035" s="16">
        <v>7.192</v>
      </c>
    </row>
    <row r="2036">
      <c r="A2036" s="17">
        <v>41.721305491791334</v>
      </c>
      <c r="I2036" s="11">
        <v>48.0</v>
      </c>
      <c r="M2036" s="16">
        <v>30.064</v>
      </c>
    </row>
    <row r="2037">
      <c r="A2037" s="17">
        <v>44.4567999676113</v>
      </c>
      <c r="I2037" s="11">
        <v>1.0</v>
      </c>
      <c r="M2037" s="16">
        <v>68.504</v>
      </c>
    </row>
    <row r="2038">
      <c r="A2038" s="17">
        <v>38.13001788408466</v>
      </c>
      <c r="I2038" s="11">
        <v>40.0</v>
      </c>
      <c r="M2038" s="16">
        <v>4.5680000000000005</v>
      </c>
    </row>
    <row r="2039">
      <c r="A2039" s="17">
        <v>123.61581485744097</v>
      </c>
      <c r="I2039" s="11">
        <v>10.0</v>
      </c>
      <c r="M2039" s="16">
        <v>19.592</v>
      </c>
    </row>
    <row r="2040">
      <c r="A2040" s="17">
        <v>7.542860631924472</v>
      </c>
      <c r="I2040" s="11">
        <v>1.0</v>
      </c>
      <c r="M2040" s="16">
        <v>12.008000000000001</v>
      </c>
    </row>
    <row r="2041">
      <c r="A2041" s="17">
        <v>324.50153926849003</v>
      </c>
      <c r="I2041" s="11">
        <v>34.0</v>
      </c>
      <c r="M2041" s="16">
        <v>28.872000000000003</v>
      </c>
    </row>
    <row r="2042">
      <c r="A2042" s="17">
        <v>4.875504177997538</v>
      </c>
      <c r="I2042" s="11">
        <v>21.0</v>
      </c>
      <c r="M2042" s="16">
        <v>1.368</v>
      </c>
    </row>
    <row r="2043">
      <c r="A2043" s="17">
        <v>1.9015808</v>
      </c>
      <c r="I2043" s="11">
        <v>2.0</v>
      </c>
      <c r="M2043" s="16">
        <v>6.472</v>
      </c>
    </row>
    <row r="2044">
      <c r="A2044" s="17">
        <v>114.74231320967962</v>
      </c>
      <c r="I2044" s="11">
        <v>49.0</v>
      </c>
      <c r="M2044" s="16">
        <v>15.96</v>
      </c>
    </row>
    <row r="2045">
      <c r="A2045" s="17">
        <v>7.1143106493506485</v>
      </c>
      <c r="I2045" s="11">
        <v>29.0</v>
      </c>
      <c r="M2045" s="16">
        <v>1.192</v>
      </c>
    </row>
    <row r="2046">
      <c r="A2046" s="17">
        <v>297.23704369808564</v>
      </c>
      <c r="I2046" s="11">
        <v>37.0</v>
      </c>
      <c r="M2046" s="16">
        <v>3.9200000000000004</v>
      </c>
    </row>
    <row r="2047">
      <c r="A2047" s="17">
        <v>1.2513656737588652</v>
      </c>
      <c r="I2047" s="11">
        <v>1.0</v>
      </c>
      <c r="M2047" s="16">
        <v>2.3120000000000003</v>
      </c>
    </row>
    <row r="2048">
      <c r="A2048" s="17">
        <v>3.5534844576522997</v>
      </c>
      <c r="I2048" s="11">
        <v>20.0</v>
      </c>
      <c r="M2048" s="16">
        <v>1.536</v>
      </c>
    </row>
    <row r="2049">
      <c r="A2049" s="17">
        <v>11.352790014684278</v>
      </c>
      <c r="I2049" s="11">
        <v>15.0</v>
      </c>
      <c r="M2049" s="16">
        <v>5.2</v>
      </c>
    </row>
    <row r="2050">
      <c r="A2050" s="17">
        <v>41.41594454072795</v>
      </c>
      <c r="I2050" s="11">
        <v>48.0</v>
      </c>
      <c r="M2050" s="16">
        <v>2.8000000000000003</v>
      </c>
    </row>
    <row r="2051">
      <c r="A2051" s="17">
        <v>2.1186686631016043</v>
      </c>
      <c r="I2051" s="11">
        <v>6.0</v>
      </c>
      <c r="M2051" s="16">
        <v>4.264</v>
      </c>
    </row>
    <row r="2052">
      <c r="A2052" s="17">
        <v>52.41316776250687</v>
      </c>
      <c r="I2052" s="11">
        <v>43.0</v>
      </c>
      <c r="M2052" s="16">
        <v>8.544</v>
      </c>
    </row>
    <row r="2053">
      <c r="A2053" s="17">
        <v>31.525323726985345</v>
      </c>
      <c r="I2053" s="11">
        <v>9.0</v>
      </c>
      <c r="M2053" s="16">
        <v>1.592</v>
      </c>
    </row>
    <row r="2054">
      <c r="A2054" s="17">
        <v>161.2817135083361</v>
      </c>
      <c r="I2054" s="11">
        <v>29.0</v>
      </c>
      <c r="M2054" s="16">
        <v>30.064</v>
      </c>
    </row>
    <row r="2055">
      <c r="A2055" s="17">
        <v>491.0829865003722</v>
      </c>
      <c r="I2055" s="11">
        <v>26.0</v>
      </c>
      <c r="M2055" s="16">
        <v>7.192</v>
      </c>
    </row>
    <row r="2056">
      <c r="A2056" s="17">
        <v>22.623347582638697</v>
      </c>
      <c r="I2056" s="11">
        <v>14.0</v>
      </c>
      <c r="M2056" s="16">
        <v>4.376</v>
      </c>
    </row>
    <row r="2057">
      <c r="A2057" s="17">
        <v>14.949181695290866</v>
      </c>
      <c r="I2057" s="11">
        <v>3.0</v>
      </c>
      <c r="M2057" s="16">
        <v>11.352</v>
      </c>
    </row>
    <row r="2058">
      <c r="A2058" s="17">
        <v>2.7141742702702762</v>
      </c>
      <c r="I2058" s="11">
        <v>16.0</v>
      </c>
      <c r="M2058" s="16">
        <v>4.216</v>
      </c>
    </row>
    <row r="2059">
      <c r="A2059" s="17">
        <v>1.4178776470588226</v>
      </c>
      <c r="I2059" s="11">
        <v>6.0</v>
      </c>
      <c r="M2059" s="16">
        <v>1.192</v>
      </c>
    </row>
    <row r="2060">
      <c r="A2060" s="17">
        <v>11.011986885245909</v>
      </c>
      <c r="I2060" s="11">
        <v>39.0</v>
      </c>
      <c r="M2060" s="16">
        <v>0.5599999999999999</v>
      </c>
    </row>
    <row r="2061">
      <c r="A2061" s="17">
        <v>290.2498408975862</v>
      </c>
      <c r="I2061" s="11">
        <v>45.0</v>
      </c>
      <c r="M2061" s="16">
        <v>0.792</v>
      </c>
    </row>
    <row r="2062">
      <c r="A2062" s="17">
        <v>10.889124411566854</v>
      </c>
      <c r="I2062" s="11">
        <v>32.0</v>
      </c>
      <c r="M2062" s="16">
        <v>4.4799999999999995</v>
      </c>
    </row>
    <row r="2063">
      <c r="A2063" s="17">
        <v>103.23990605918267</v>
      </c>
      <c r="I2063" s="11">
        <v>18.0</v>
      </c>
      <c r="M2063" s="16">
        <v>24.0</v>
      </c>
    </row>
    <row r="2064">
      <c r="A2064" s="17">
        <v>4.0888121637427135</v>
      </c>
      <c r="I2064" s="11">
        <v>8.0</v>
      </c>
      <c r="M2064" s="16">
        <v>15.352000000000002</v>
      </c>
    </row>
    <row r="2065">
      <c r="A2065" s="17">
        <v>56.92765200123097</v>
      </c>
      <c r="I2065" s="11">
        <v>18.0</v>
      </c>
      <c r="M2065" s="16">
        <v>15.991999999999999</v>
      </c>
    </row>
    <row r="2066">
      <c r="A2066" s="17">
        <v>31.826151843794772</v>
      </c>
      <c r="I2066" s="11">
        <v>38.0</v>
      </c>
      <c r="M2066" s="16">
        <v>5.2</v>
      </c>
    </row>
    <row r="2067">
      <c r="A2067" s="17">
        <v>9.948388839390367</v>
      </c>
      <c r="I2067" s="11">
        <v>37.0</v>
      </c>
      <c r="M2067" s="16">
        <v>4.5920000000000005</v>
      </c>
    </row>
    <row r="2068">
      <c r="A2068" s="17">
        <v>140.90765679761193</v>
      </c>
      <c r="I2068" s="11">
        <v>23.0</v>
      </c>
      <c r="M2068" s="16">
        <v>3.9920000000000004</v>
      </c>
    </row>
    <row r="2069">
      <c r="A2069" s="17">
        <v>17.415227069606136</v>
      </c>
      <c r="I2069" s="11">
        <v>20.0</v>
      </c>
      <c r="M2069" s="16">
        <v>1.592</v>
      </c>
    </row>
    <row r="2070">
      <c r="A2070" s="17">
        <v>20.521027386387814</v>
      </c>
      <c r="I2070" s="11">
        <v>25.0</v>
      </c>
      <c r="M2070" s="16">
        <v>7.192</v>
      </c>
    </row>
    <row r="2071">
      <c r="A2071" s="17">
        <v>7.141404540540549</v>
      </c>
      <c r="I2071" s="11">
        <v>36.0</v>
      </c>
      <c r="M2071" s="16">
        <v>1.192</v>
      </c>
    </row>
    <row r="2072">
      <c r="A2072" s="17">
        <v>5.265295909604508</v>
      </c>
      <c r="I2072" s="11">
        <v>23.0</v>
      </c>
      <c r="M2072" s="16">
        <v>1.368</v>
      </c>
    </row>
    <row r="2073">
      <c r="A2073" s="17">
        <v>16.362949331341035</v>
      </c>
      <c r="I2073" s="11">
        <v>38.0</v>
      </c>
      <c r="M2073" s="16">
        <v>6.992000000000001</v>
      </c>
    </row>
    <row r="2074">
      <c r="A2074" s="17">
        <v>5.146694346218383</v>
      </c>
      <c r="I2074" s="11">
        <v>42.0</v>
      </c>
      <c r="M2074" s="16">
        <v>6.008</v>
      </c>
    </row>
    <row r="2075">
      <c r="A2075" s="17">
        <v>100.42311647443968</v>
      </c>
      <c r="I2075" s="11">
        <v>37.0</v>
      </c>
      <c r="M2075" s="16">
        <v>3.8880000000000003</v>
      </c>
    </row>
    <row r="2076">
      <c r="A2076" s="17">
        <v>11.811206681892335</v>
      </c>
      <c r="I2076" s="11">
        <v>46.0</v>
      </c>
      <c r="M2076" s="16">
        <v>7.552</v>
      </c>
    </row>
    <row r="2077">
      <c r="A2077" s="17">
        <v>209.79664329149898</v>
      </c>
      <c r="I2077" s="11">
        <v>25.0</v>
      </c>
      <c r="M2077" s="16">
        <v>6.152000000000001</v>
      </c>
    </row>
    <row r="2078">
      <c r="A2078" s="17">
        <v>39.19490509803909</v>
      </c>
      <c r="I2078" s="11">
        <v>10.0</v>
      </c>
      <c r="M2078" s="16">
        <v>6.152000000000001</v>
      </c>
    </row>
    <row r="2079">
      <c r="A2079" s="17">
        <v>71.58978933795213</v>
      </c>
      <c r="I2079" s="11">
        <v>48.0</v>
      </c>
      <c r="M2079" s="16">
        <v>15.991999999999999</v>
      </c>
    </row>
    <row r="2080">
      <c r="A2080" s="17">
        <v>394.88236993737434</v>
      </c>
      <c r="I2080" s="11">
        <v>23.0</v>
      </c>
      <c r="M2080" s="16">
        <v>5.744</v>
      </c>
    </row>
    <row r="2081">
      <c r="A2081" s="17">
        <v>134.62333358885908</v>
      </c>
      <c r="I2081" s="11">
        <v>19.0</v>
      </c>
      <c r="M2081" s="16">
        <v>71.44</v>
      </c>
    </row>
    <row r="2082">
      <c r="A2082" s="17">
        <v>33.885333447080825</v>
      </c>
      <c r="I2082" s="11">
        <v>38.0</v>
      </c>
      <c r="M2082" s="16">
        <v>6.832</v>
      </c>
    </row>
    <row r="2083">
      <c r="A2083" s="17">
        <v>13.134892244372997</v>
      </c>
      <c r="I2083" s="11">
        <v>24.0</v>
      </c>
      <c r="M2083" s="16">
        <v>1.816</v>
      </c>
    </row>
    <row r="2084">
      <c r="A2084" s="17">
        <v>87.77915720474863</v>
      </c>
      <c r="I2084" s="11">
        <v>23.0</v>
      </c>
      <c r="M2084" s="16">
        <v>32.152</v>
      </c>
    </row>
    <row r="2085">
      <c r="A2085" s="17">
        <v>537.521156514467</v>
      </c>
      <c r="I2085" s="11">
        <v>33.0</v>
      </c>
      <c r="M2085" s="16">
        <v>3.3600000000000003</v>
      </c>
    </row>
    <row r="2086">
      <c r="A2086" s="17">
        <v>4.898343094179985</v>
      </c>
      <c r="I2086" s="11">
        <v>47.0</v>
      </c>
      <c r="M2086" s="16">
        <v>4.776</v>
      </c>
    </row>
    <row r="2087">
      <c r="A2087" s="17">
        <v>34.14186094866794</v>
      </c>
      <c r="I2087" s="11">
        <v>6.0</v>
      </c>
      <c r="M2087" s="16">
        <v>3.9200000000000004</v>
      </c>
    </row>
    <row r="2088">
      <c r="A2088" s="17">
        <v>8.607446971527182</v>
      </c>
      <c r="I2088" s="11">
        <v>7.0</v>
      </c>
      <c r="M2088" s="16">
        <v>5.736000000000001</v>
      </c>
    </row>
    <row r="2089">
      <c r="A2089" s="17">
        <v>25.933343923749025</v>
      </c>
      <c r="I2089" s="11">
        <v>20.0</v>
      </c>
      <c r="M2089" s="16">
        <v>4.4</v>
      </c>
    </row>
    <row r="2090">
      <c r="A2090" s="17">
        <v>78.61799929963827</v>
      </c>
      <c r="I2090" s="11">
        <v>37.0</v>
      </c>
      <c r="M2090" s="16">
        <v>2.8000000000000003</v>
      </c>
    </row>
    <row r="2091">
      <c r="A2091" s="17">
        <v>5.669826589595384</v>
      </c>
      <c r="I2091" s="11">
        <v>12.0</v>
      </c>
      <c r="M2091" s="16">
        <v>1.2000000000000002</v>
      </c>
    </row>
    <row r="2092">
      <c r="A2092" s="17">
        <v>603.9401328834734</v>
      </c>
      <c r="I2092" s="11">
        <v>40.0</v>
      </c>
      <c r="M2092" s="16">
        <v>19.008000000000003</v>
      </c>
    </row>
    <row r="2093">
      <c r="A2093" s="17">
        <v>923.1769308294747</v>
      </c>
      <c r="I2093" s="11">
        <v>20.0</v>
      </c>
      <c r="M2093" s="16">
        <v>12.847999999999999</v>
      </c>
    </row>
    <row r="2094">
      <c r="A2094" s="17">
        <v>8.690947909967829</v>
      </c>
      <c r="I2094" s="11">
        <v>31.0</v>
      </c>
      <c r="M2094" s="16">
        <v>0.5599999999999999</v>
      </c>
    </row>
    <row r="2095">
      <c r="A2095" s="17">
        <v>1.546611111111115</v>
      </c>
      <c r="I2095" s="11">
        <v>19.0</v>
      </c>
      <c r="M2095" s="16">
        <v>0.5599999999999999</v>
      </c>
    </row>
    <row r="2096">
      <c r="A2096" s="17">
        <v>6.830242197253427</v>
      </c>
      <c r="I2096" s="11">
        <v>45.0</v>
      </c>
      <c r="M2096" s="16">
        <v>0.5599999999999999</v>
      </c>
    </row>
    <row r="2097">
      <c r="A2097" s="17">
        <v>14.056817311475385</v>
      </c>
      <c r="I2097" s="11">
        <v>24.0</v>
      </c>
      <c r="M2097" s="16">
        <v>5.824000000000001</v>
      </c>
    </row>
    <row r="2098">
      <c r="A2098" s="17">
        <v>89.29883899935848</v>
      </c>
      <c r="I2098" s="11">
        <v>11.0</v>
      </c>
      <c r="M2098" s="16">
        <v>24.0</v>
      </c>
    </row>
    <row r="2099">
      <c r="A2099" s="17">
        <v>1.8835535802469128</v>
      </c>
      <c r="I2099" s="11">
        <v>2.0</v>
      </c>
      <c r="M2099" s="16">
        <v>1.592</v>
      </c>
    </row>
    <row r="2100">
      <c r="A2100" s="17">
        <v>13.2736556219446</v>
      </c>
      <c r="I2100" s="11">
        <v>3.0</v>
      </c>
      <c r="M2100" s="16">
        <v>2.0</v>
      </c>
    </row>
    <row r="2101">
      <c r="A2101" s="17">
        <v>6.2597793272171245</v>
      </c>
      <c r="I2101" s="11">
        <v>9.0</v>
      </c>
      <c r="M2101" s="16">
        <v>3.608</v>
      </c>
    </row>
    <row r="2102">
      <c r="A2102" s="17">
        <v>21.35853372664703</v>
      </c>
      <c r="I2102" s="11">
        <v>12.0</v>
      </c>
      <c r="M2102" s="16">
        <v>7.359999999999999</v>
      </c>
    </row>
    <row r="2103">
      <c r="A2103" s="17">
        <v>24.401317595388427</v>
      </c>
      <c r="I2103" s="11">
        <v>6.0</v>
      </c>
      <c r="M2103" s="16">
        <v>8.6</v>
      </c>
    </row>
    <row r="2104">
      <c r="A2104" s="17">
        <v>27.704116395690498</v>
      </c>
      <c r="I2104" s="11">
        <v>25.0</v>
      </c>
      <c r="M2104" s="16">
        <v>6.008</v>
      </c>
    </row>
    <row r="2105">
      <c r="A2105" s="17">
        <v>54.21410830829437</v>
      </c>
      <c r="I2105" s="11">
        <v>7.0</v>
      </c>
      <c r="M2105" s="16">
        <v>3.3600000000000003</v>
      </c>
    </row>
    <row r="2106">
      <c r="A2106" s="17">
        <v>10.663765135344192</v>
      </c>
      <c r="I2106" s="11">
        <v>41.0</v>
      </c>
      <c r="M2106" s="16">
        <v>1.4560000000000002</v>
      </c>
    </row>
    <row r="2107">
      <c r="A2107" s="17">
        <v>7.998400806045341</v>
      </c>
      <c r="I2107" s="11">
        <v>21.0</v>
      </c>
      <c r="M2107" s="16">
        <v>3.176</v>
      </c>
    </row>
    <row r="2108">
      <c r="A2108" s="17">
        <v>101.5659268544111</v>
      </c>
      <c r="I2108" s="11">
        <v>39.0</v>
      </c>
      <c r="M2108" s="16">
        <v>7.192</v>
      </c>
    </row>
    <row r="2109">
      <c r="A2109" s="17">
        <v>52.99628142198423</v>
      </c>
      <c r="I2109" s="11">
        <v>17.0</v>
      </c>
      <c r="M2109" s="16">
        <v>4.0</v>
      </c>
    </row>
    <row r="2110">
      <c r="A2110" s="17">
        <v>8.732093628017717</v>
      </c>
      <c r="I2110" s="11">
        <v>39.0</v>
      </c>
      <c r="M2110" s="16">
        <v>0.392</v>
      </c>
    </row>
    <row r="2111">
      <c r="A2111" s="17">
        <v>7.5840406806180765</v>
      </c>
      <c r="I2111" s="11">
        <v>24.0</v>
      </c>
      <c r="M2111" s="16">
        <v>2.0</v>
      </c>
    </row>
    <row r="2112">
      <c r="A2112" s="17">
        <v>7.042671247974068</v>
      </c>
      <c r="I2112" s="11">
        <v>15.0</v>
      </c>
      <c r="M2112" s="16">
        <v>8.544</v>
      </c>
    </row>
    <row r="2113">
      <c r="A2113" s="17">
        <v>3.6593505882352924</v>
      </c>
      <c r="I2113" s="11">
        <v>43.0</v>
      </c>
      <c r="M2113" s="16">
        <v>2.064</v>
      </c>
    </row>
    <row r="2114">
      <c r="A2114" s="17">
        <v>83.52842105263183</v>
      </c>
      <c r="I2114" s="11">
        <v>7.0</v>
      </c>
      <c r="M2114" s="16">
        <v>28.0</v>
      </c>
    </row>
    <row r="2115">
      <c r="A2115" s="17">
        <v>6.658802350380896</v>
      </c>
      <c r="I2115" s="11">
        <v>25.0</v>
      </c>
      <c r="M2115" s="16">
        <v>5.816</v>
      </c>
    </row>
    <row r="2116">
      <c r="A2116" s="17">
        <v>15.856110456852825</v>
      </c>
      <c r="I2116" s="11">
        <v>6.0</v>
      </c>
      <c r="M2116" s="16">
        <v>4.296</v>
      </c>
    </row>
    <row r="2117">
      <c r="A2117" s="17">
        <v>5.045238799368081</v>
      </c>
      <c r="I2117" s="11">
        <v>21.0</v>
      </c>
      <c r="M2117" s="16">
        <v>1.072</v>
      </c>
    </row>
    <row r="2118">
      <c r="A2118" s="17">
        <v>1319.8375597548104</v>
      </c>
      <c r="I2118" s="11">
        <v>12.0</v>
      </c>
      <c r="M2118" s="16">
        <v>11.192</v>
      </c>
    </row>
    <row r="2119">
      <c r="A2119" s="17">
        <v>501.93510576724503</v>
      </c>
      <c r="I2119" s="11">
        <v>19.0</v>
      </c>
      <c r="M2119" s="16">
        <v>15.991999999999999</v>
      </c>
    </row>
    <row r="2120">
      <c r="A2120" s="17">
        <v>19.55724691161869</v>
      </c>
      <c r="I2120" s="11">
        <v>13.0</v>
      </c>
      <c r="M2120" s="16">
        <v>3.8880000000000003</v>
      </c>
    </row>
    <row r="2121">
      <c r="A2121" s="17">
        <v>4.297567338501298</v>
      </c>
      <c r="I2121" s="11">
        <v>46.0</v>
      </c>
      <c r="M2121" s="16">
        <v>3.176</v>
      </c>
    </row>
    <row r="2122">
      <c r="A2122" s="17">
        <v>129.65695808558183</v>
      </c>
      <c r="I2122" s="11">
        <v>14.0</v>
      </c>
      <c r="M2122" s="16">
        <v>15.991999999999999</v>
      </c>
    </row>
    <row r="2123">
      <c r="A2123" s="17">
        <v>33.33030385453568</v>
      </c>
      <c r="I2123" s="11">
        <v>49.0</v>
      </c>
      <c r="M2123" s="16">
        <v>1.592</v>
      </c>
    </row>
    <row r="2124">
      <c r="A2124" s="17">
        <v>4.277676480000003</v>
      </c>
      <c r="I2124" s="11">
        <v>11.0</v>
      </c>
      <c r="M2124" s="16">
        <v>2.3760000000000003</v>
      </c>
    </row>
    <row r="2125">
      <c r="A2125" s="17">
        <v>389.23346525558077</v>
      </c>
      <c r="I2125" s="11">
        <v>25.0</v>
      </c>
      <c r="M2125" s="16">
        <v>23.36</v>
      </c>
    </row>
    <row r="2126">
      <c r="A2126" s="17">
        <v>53.36991858855955</v>
      </c>
      <c r="I2126" s="11">
        <v>31.0</v>
      </c>
      <c r="M2126" s="16">
        <v>7.192</v>
      </c>
    </row>
    <row r="2127">
      <c r="A2127" s="17">
        <v>8.714587737843551</v>
      </c>
      <c r="I2127" s="11">
        <v>30.0</v>
      </c>
      <c r="M2127" s="16">
        <v>1.8</v>
      </c>
    </row>
    <row r="2128">
      <c r="A2128" s="17">
        <v>24.62786794419099</v>
      </c>
      <c r="I2128" s="11">
        <v>14.0</v>
      </c>
      <c r="M2128" s="16">
        <v>7.192</v>
      </c>
    </row>
    <row r="2129">
      <c r="A2129" s="17">
        <v>49.00232524342394</v>
      </c>
      <c r="I2129" s="11">
        <v>4.0</v>
      </c>
      <c r="M2129" s="16">
        <v>31.400000000000002</v>
      </c>
    </row>
    <row r="2130">
      <c r="A2130" s="17">
        <v>102.97878551038616</v>
      </c>
      <c r="I2130" s="11">
        <v>27.0</v>
      </c>
      <c r="M2130" s="16">
        <v>1.192</v>
      </c>
    </row>
    <row r="2131">
      <c r="A2131" s="17">
        <v>35.87179944794814</v>
      </c>
      <c r="I2131" s="11">
        <v>44.0</v>
      </c>
      <c r="M2131" s="16">
        <v>5.368</v>
      </c>
    </row>
    <row r="2132">
      <c r="A2132" s="17">
        <v>34.140791183814066</v>
      </c>
      <c r="I2132" s="11">
        <v>30.0</v>
      </c>
      <c r="M2132" s="16">
        <v>7.4959999999999996</v>
      </c>
    </row>
    <row r="2133">
      <c r="A2133" s="17">
        <v>286.1439817521801</v>
      </c>
      <c r="I2133" s="11">
        <v>32.0</v>
      </c>
      <c r="M2133" s="16">
        <v>88.16000000000001</v>
      </c>
    </row>
    <row r="2134">
      <c r="A2134" s="17">
        <v>5.819491525423727</v>
      </c>
      <c r="I2134" s="11">
        <v>19.0</v>
      </c>
      <c r="M2134" s="16">
        <v>6.0</v>
      </c>
    </row>
    <row r="2135">
      <c r="A2135" s="17">
        <v>5.647341860345298</v>
      </c>
      <c r="I2135" s="11">
        <v>47.0</v>
      </c>
      <c r="M2135" s="16">
        <v>6.368</v>
      </c>
    </row>
    <row r="2136">
      <c r="A2136" s="17">
        <v>19.7112177373508</v>
      </c>
      <c r="I2136" s="11">
        <v>23.0</v>
      </c>
      <c r="M2136" s="16">
        <v>4.24</v>
      </c>
    </row>
    <row r="2137">
      <c r="A2137" s="17">
        <v>8.16106342311033</v>
      </c>
      <c r="I2137" s="11">
        <v>39.0</v>
      </c>
      <c r="M2137" s="16">
        <v>0.96</v>
      </c>
    </row>
    <row r="2138">
      <c r="A2138" s="17">
        <v>252.71862404362085</v>
      </c>
      <c r="I2138" s="11">
        <v>19.0</v>
      </c>
      <c r="M2138" s="16">
        <v>15.991999999999999</v>
      </c>
    </row>
    <row r="2139">
      <c r="A2139" s="17">
        <v>4.1000176076555</v>
      </c>
      <c r="I2139" s="11">
        <v>20.0</v>
      </c>
      <c r="M2139" s="16">
        <v>1.192</v>
      </c>
    </row>
    <row r="2140">
      <c r="A2140" s="17">
        <v>19.20514491973068</v>
      </c>
      <c r="I2140" s="11">
        <v>35.0</v>
      </c>
      <c r="M2140" s="16">
        <v>7.192</v>
      </c>
    </row>
    <row r="2141">
      <c r="A2141" s="17">
        <v>14.243981844701871</v>
      </c>
      <c r="I2141" s="11">
        <v>11.0</v>
      </c>
      <c r="M2141" s="16">
        <v>1.592</v>
      </c>
    </row>
    <row r="2142">
      <c r="A2142" s="17">
        <v>560.840851923824</v>
      </c>
      <c r="I2142" s="11">
        <v>36.0</v>
      </c>
      <c r="M2142" s="16">
        <v>9.0</v>
      </c>
    </row>
    <row r="2143">
      <c r="A2143" s="17">
        <v>2.2363636363636417</v>
      </c>
      <c r="I2143" s="11">
        <v>8.0</v>
      </c>
      <c r="M2143" s="16">
        <v>1.6</v>
      </c>
    </row>
    <row r="2144">
      <c r="A2144" s="17">
        <v>5.649978494623653</v>
      </c>
      <c r="I2144" s="11">
        <v>26.0</v>
      </c>
      <c r="M2144" s="16">
        <v>0.6400000000000001</v>
      </c>
    </row>
    <row r="2145">
      <c r="A2145" s="17">
        <v>16.398678132678178</v>
      </c>
      <c r="I2145" s="11">
        <v>9.0</v>
      </c>
      <c r="M2145" s="16">
        <v>4.08</v>
      </c>
    </row>
    <row r="2146">
      <c r="A2146" s="17">
        <v>439.29506421529305</v>
      </c>
      <c r="I2146" s="11">
        <v>45.0</v>
      </c>
      <c r="M2146" s="16">
        <v>19.008000000000003</v>
      </c>
    </row>
    <row r="2147">
      <c r="A2147" s="17">
        <v>6.399253049040513</v>
      </c>
      <c r="I2147" s="11">
        <v>21.0</v>
      </c>
      <c r="M2147" s="16">
        <v>0.792</v>
      </c>
    </row>
    <row r="2148">
      <c r="A2148" s="17">
        <v>69.09789414607101</v>
      </c>
      <c r="I2148" s="11">
        <v>36.0</v>
      </c>
      <c r="M2148" s="16">
        <v>4.632000000000001</v>
      </c>
    </row>
    <row r="2149">
      <c r="A2149" s="17">
        <v>3.274119331742242</v>
      </c>
      <c r="I2149" s="11">
        <v>14.0</v>
      </c>
      <c r="M2149" s="16">
        <v>1.92</v>
      </c>
    </row>
    <row r="2150">
      <c r="A2150" s="17">
        <v>7.347421052631579</v>
      </c>
      <c r="I2150" s="11">
        <v>7.0</v>
      </c>
      <c r="M2150" s="16">
        <v>7.56</v>
      </c>
    </row>
    <row r="2151">
      <c r="A2151" s="17">
        <v>208.6842219654518</v>
      </c>
      <c r="I2151" s="11">
        <v>42.0</v>
      </c>
      <c r="M2151" s="16">
        <v>6.152000000000001</v>
      </c>
    </row>
    <row r="2152">
      <c r="A2152" s="17">
        <v>116.72269256349577</v>
      </c>
      <c r="I2152" s="11">
        <v>8.0</v>
      </c>
      <c r="M2152" s="16">
        <v>5.744</v>
      </c>
    </row>
    <row r="2153">
      <c r="A2153" s="17">
        <v>21.73440664630418</v>
      </c>
      <c r="I2153" s="11">
        <v>21.0</v>
      </c>
      <c r="M2153" s="16">
        <v>1.592</v>
      </c>
    </row>
    <row r="2154">
      <c r="A2154" s="17">
        <v>37.94906645506302</v>
      </c>
      <c r="I2154" s="11">
        <v>13.0</v>
      </c>
      <c r="M2154" s="16">
        <v>7.176000000000001</v>
      </c>
    </row>
    <row r="2155">
      <c r="A2155" s="17">
        <v>5.752585762711865</v>
      </c>
      <c r="I2155" s="11">
        <v>10.0</v>
      </c>
      <c r="M2155" s="16">
        <v>5.5360000000000005</v>
      </c>
    </row>
    <row r="2156">
      <c r="A2156" s="17">
        <v>12.223558542890716</v>
      </c>
      <c r="I2156" s="11">
        <v>20.0</v>
      </c>
      <c r="M2156" s="16">
        <v>2.9440000000000004</v>
      </c>
    </row>
    <row r="2157">
      <c r="A2157" s="17">
        <v>58.07163209633274</v>
      </c>
      <c r="I2157" s="11">
        <v>32.0</v>
      </c>
      <c r="M2157" s="16">
        <v>1.592</v>
      </c>
    </row>
    <row r="2158">
      <c r="A2158" s="17">
        <v>6.201255149863786</v>
      </c>
      <c r="I2158" s="11">
        <v>16.0</v>
      </c>
      <c r="M2158" s="16">
        <v>1.1119999999999999</v>
      </c>
    </row>
    <row r="2159">
      <c r="A2159" s="17">
        <v>24.968931526479746</v>
      </c>
      <c r="I2159" s="11">
        <v>39.0</v>
      </c>
      <c r="M2159" s="16">
        <v>6.472</v>
      </c>
    </row>
    <row r="2160">
      <c r="A2160" s="17">
        <v>113.49406783816922</v>
      </c>
      <c r="I2160" s="11">
        <v>24.0</v>
      </c>
      <c r="M2160" s="16">
        <v>2.64</v>
      </c>
    </row>
    <row r="2161">
      <c r="A2161" s="17">
        <v>47.56659082954139</v>
      </c>
      <c r="I2161" s="11">
        <v>40.0</v>
      </c>
      <c r="M2161" s="16">
        <v>1.0</v>
      </c>
    </row>
    <row r="2162">
      <c r="A2162" s="17">
        <v>27.483221476510067</v>
      </c>
      <c r="I2162" s="11">
        <v>30.0</v>
      </c>
      <c r="M2162" s="16">
        <v>3.6</v>
      </c>
    </row>
    <row r="2163">
      <c r="A2163" s="17">
        <v>35.61859897060103</v>
      </c>
      <c r="I2163" s="11">
        <v>27.0</v>
      </c>
      <c r="M2163" s="16">
        <v>5.2</v>
      </c>
    </row>
    <row r="2164">
      <c r="A2164" s="17">
        <v>196.68291053174514</v>
      </c>
      <c r="I2164" s="11">
        <v>35.0</v>
      </c>
      <c r="M2164" s="16">
        <v>2.0</v>
      </c>
    </row>
    <row r="2165">
      <c r="A2165" s="17">
        <v>73.70652953102805</v>
      </c>
      <c r="I2165" s="11">
        <v>38.0</v>
      </c>
      <c r="M2165" s="16">
        <v>2.888</v>
      </c>
    </row>
    <row r="2166">
      <c r="A2166" s="17">
        <v>198.96448816631448</v>
      </c>
      <c r="I2166" s="11">
        <v>47.0</v>
      </c>
      <c r="M2166" s="16">
        <v>34.016000000000005</v>
      </c>
    </row>
    <row r="2167">
      <c r="A2167" s="17">
        <v>13.637634221946676</v>
      </c>
      <c r="I2167" s="11">
        <v>31.0</v>
      </c>
      <c r="M2167" s="16">
        <v>0.5599999999999999</v>
      </c>
    </row>
    <row r="2168">
      <c r="A2168" s="17">
        <v>7.681779200000004</v>
      </c>
      <c r="I2168" s="11">
        <v>39.0</v>
      </c>
      <c r="M2168" s="16">
        <v>1.192</v>
      </c>
    </row>
    <row r="2169">
      <c r="A2169" s="17">
        <v>45.49278901759361</v>
      </c>
      <c r="I2169" s="11">
        <v>32.0</v>
      </c>
      <c r="M2169" s="16">
        <v>1.592</v>
      </c>
    </row>
    <row r="2170">
      <c r="A2170" s="17">
        <v>56.042767597911194</v>
      </c>
      <c r="I2170" s="11">
        <v>5.0</v>
      </c>
      <c r="M2170" s="16">
        <v>45.904</v>
      </c>
    </row>
    <row r="2171">
      <c r="A2171" s="17">
        <v>36.789332795549306</v>
      </c>
      <c r="I2171" s="11">
        <v>41.0</v>
      </c>
      <c r="M2171" s="16">
        <v>8.392000000000001</v>
      </c>
    </row>
    <row r="2172">
      <c r="A2172" s="17">
        <v>9.229283990345905</v>
      </c>
      <c r="I2172" s="11">
        <v>48.0</v>
      </c>
      <c r="M2172" s="16">
        <v>3.8000000000000003</v>
      </c>
    </row>
    <row r="2173">
      <c r="A2173" s="17">
        <v>3.7117782909930668</v>
      </c>
      <c r="I2173" s="11">
        <v>24.0</v>
      </c>
      <c r="M2173" s="16">
        <v>0.8</v>
      </c>
    </row>
    <row r="2174">
      <c r="A2174" s="17">
        <v>65.88270562955626</v>
      </c>
      <c r="I2174" s="11">
        <v>48.0</v>
      </c>
      <c r="M2174" s="16">
        <v>7.192</v>
      </c>
    </row>
    <row r="2175">
      <c r="A2175" s="17">
        <v>762.7728277640333</v>
      </c>
      <c r="I2175" s="11">
        <v>17.0</v>
      </c>
      <c r="M2175" s="16">
        <v>19.592</v>
      </c>
    </row>
    <row r="2176">
      <c r="A2176" s="17">
        <v>145.77702589107244</v>
      </c>
      <c r="I2176" s="11">
        <v>46.0</v>
      </c>
      <c r="M2176" s="16">
        <v>11.56</v>
      </c>
    </row>
    <row r="2177">
      <c r="A2177" s="17">
        <v>4.370607028753967</v>
      </c>
      <c r="I2177" s="11">
        <v>23.0</v>
      </c>
      <c r="M2177" s="16">
        <v>4.800000000000001</v>
      </c>
    </row>
    <row r="2178">
      <c r="A2178" s="17">
        <v>252.42525355355838</v>
      </c>
      <c r="I2178" s="11">
        <v>26.0</v>
      </c>
      <c r="M2178" s="16">
        <v>4.736</v>
      </c>
    </row>
    <row r="2179">
      <c r="A2179" s="17">
        <v>21.64310490693741</v>
      </c>
      <c r="I2179" s="11">
        <v>19.0</v>
      </c>
      <c r="M2179" s="16">
        <v>5.2</v>
      </c>
    </row>
    <row r="2180">
      <c r="A2180" s="17">
        <v>29.548817881928837</v>
      </c>
      <c r="I2180" s="11">
        <v>42.0</v>
      </c>
      <c r="M2180" s="16">
        <v>4.5680000000000005</v>
      </c>
    </row>
    <row r="2181">
      <c r="A2181" s="17">
        <v>11.717001573407206</v>
      </c>
      <c r="I2181" s="11">
        <v>20.0</v>
      </c>
      <c r="M2181" s="16">
        <v>1.904</v>
      </c>
    </row>
    <row r="2182">
      <c r="A2182" s="17">
        <v>10.845194456246805</v>
      </c>
      <c r="I2182" s="11">
        <v>28.0</v>
      </c>
      <c r="M2182" s="16">
        <v>6.984000000000001</v>
      </c>
    </row>
    <row r="2183">
      <c r="A2183" s="17">
        <v>222.88077350213766</v>
      </c>
      <c r="I2183" s="11">
        <v>29.0</v>
      </c>
      <c r="M2183" s="16">
        <v>2.0</v>
      </c>
    </row>
    <row r="2184">
      <c r="A2184" s="17">
        <v>21.961425742574267</v>
      </c>
      <c r="I2184" s="11">
        <v>30.0</v>
      </c>
      <c r="M2184" s="16">
        <v>3.2</v>
      </c>
    </row>
    <row r="2185">
      <c r="A2185" s="17">
        <v>23.71774844277676</v>
      </c>
      <c r="I2185" s="11">
        <v>18.0</v>
      </c>
      <c r="M2185" s="16">
        <v>1.592</v>
      </c>
    </row>
    <row r="2186">
      <c r="A2186" s="17">
        <v>45.47038216560497</v>
      </c>
      <c r="I2186" s="11">
        <v>21.0</v>
      </c>
      <c r="M2186" s="16">
        <v>2.8000000000000003</v>
      </c>
    </row>
    <row r="2187">
      <c r="A2187" s="17">
        <v>0.6515581651376144</v>
      </c>
      <c r="I2187" s="11">
        <v>1.0</v>
      </c>
      <c r="M2187" s="16">
        <v>1.904</v>
      </c>
    </row>
    <row r="2188">
      <c r="A2188" s="17">
        <v>235.93938252724246</v>
      </c>
      <c r="I2188" s="11">
        <v>50.0</v>
      </c>
      <c r="M2188" s="16">
        <v>15.991999999999999</v>
      </c>
    </row>
    <row r="2189">
      <c r="A2189" s="17">
        <v>884.6667702684346</v>
      </c>
      <c r="I2189" s="11">
        <v>34.0</v>
      </c>
      <c r="M2189" s="16">
        <v>35.64</v>
      </c>
    </row>
    <row r="2190">
      <c r="A2190" s="17">
        <v>26.80480204889409</v>
      </c>
      <c r="I2190" s="11">
        <v>39.0</v>
      </c>
      <c r="M2190" s="16">
        <v>2.2960000000000003</v>
      </c>
    </row>
    <row r="2191">
      <c r="A2191" s="17">
        <v>10.62938990415335</v>
      </c>
      <c r="I2191" s="11">
        <v>17.0</v>
      </c>
      <c r="M2191" s="16">
        <v>4.672</v>
      </c>
    </row>
    <row r="2192">
      <c r="A2192" s="17">
        <v>187.52593478021728</v>
      </c>
      <c r="I2192" s="11">
        <v>49.0</v>
      </c>
      <c r="M2192" s="16">
        <v>7.192</v>
      </c>
    </row>
    <row r="2193">
      <c r="A2193" s="17">
        <v>51.24040066468851</v>
      </c>
      <c r="I2193" s="11">
        <v>12.0</v>
      </c>
      <c r="M2193" s="16">
        <v>4.648</v>
      </c>
    </row>
    <row r="2194">
      <c r="A2194" s="17">
        <v>890.0139419851646</v>
      </c>
      <c r="I2194" s="11">
        <v>48.0</v>
      </c>
      <c r="M2194" s="16">
        <v>21.224000000000004</v>
      </c>
    </row>
    <row r="2195">
      <c r="A2195" s="17">
        <v>4.901410543933056</v>
      </c>
      <c r="I2195" s="11">
        <v>2.0</v>
      </c>
      <c r="M2195" s="16">
        <v>4.608</v>
      </c>
    </row>
    <row r="2196">
      <c r="A2196" s="17">
        <v>68.20146874739225</v>
      </c>
      <c r="I2196" s="11">
        <v>49.0</v>
      </c>
      <c r="M2196" s="16">
        <v>3.6</v>
      </c>
    </row>
    <row r="2197">
      <c r="A2197" s="17">
        <v>18.457834049287875</v>
      </c>
      <c r="I2197" s="11">
        <v>14.0</v>
      </c>
      <c r="M2197" s="16">
        <v>4.4</v>
      </c>
    </row>
    <row r="2198">
      <c r="A2198" s="17">
        <v>131.0801948787674</v>
      </c>
      <c r="I2198" s="11">
        <v>26.0</v>
      </c>
      <c r="M2198" s="16">
        <v>39.2</v>
      </c>
    </row>
    <row r="2199">
      <c r="A2199" s="17">
        <v>2.563041735357921</v>
      </c>
      <c r="I2199" s="11">
        <v>4.0</v>
      </c>
      <c r="M2199" s="16">
        <v>4.976</v>
      </c>
    </row>
    <row r="2200">
      <c r="A2200" s="17">
        <v>23.208297931034483</v>
      </c>
      <c r="I2200" s="11">
        <v>48.0</v>
      </c>
      <c r="M2200" s="16">
        <v>0.5599999999999999</v>
      </c>
    </row>
    <row r="2201">
      <c r="A2201" s="17">
        <v>2.1611128315412143</v>
      </c>
      <c r="I2201" s="11">
        <v>1.0</v>
      </c>
      <c r="M2201" s="16">
        <v>4.648</v>
      </c>
    </row>
    <row r="2202">
      <c r="A2202" s="17">
        <v>34.768943572337676</v>
      </c>
      <c r="I2202" s="11">
        <v>4.0</v>
      </c>
      <c r="M2202" s="16">
        <v>28.0</v>
      </c>
    </row>
    <row r="2203">
      <c r="A2203" s="17">
        <v>2.1696029747676002</v>
      </c>
      <c r="I2203" s="11">
        <v>9.0</v>
      </c>
      <c r="M2203" s="16">
        <v>4.664000000000001</v>
      </c>
    </row>
    <row r="2204">
      <c r="A2204" s="17">
        <v>20.14473598824393</v>
      </c>
      <c r="I2204" s="11">
        <v>13.0</v>
      </c>
      <c r="M2204" s="16">
        <v>7.192</v>
      </c>
    </row>
    <row r="2205">
      <c r="A2205" s="17">
        <v>4.011852603938733</v>
      </c>
      <c r="I2205" s="11">
        <v>25.0</v>
      </c>
      <c r="M2205" s="16">
        <v>1.2560000000000002</v>
      </c>
    </row>
    <row r="2206">
      <c r="A2206" s="17">
        <v>6.55984670658683</v>
      </c>
      <c r="I2206" s="11">
        <v>44.0</v>
      </c>
      <c r="M2206" s="16">
        <v>1.7600000000000002</v>
      </c>
    </row>
    <row r="2207">
      <c r="A2207" s="17">
        <v>25.79845322611672</v>
      </c>
      <c r="I2207" s="11">
        <v>31.0</v>
      </c>
      <c r="M2207" s="16">
        <v>4.792000000000001</v>
      </c>
    </row>
    <row r="2208">
      <c r="A2208" s="17">
        <v>40.8549574038462</v>
      </c>
      <c r="I2208" s="11">
        <v>25.0</v>
      </c>
      <c r="M2208" s="16">
        <v>6.808</v>
      </c>
    </row>
    <row r="2209">
      <c r="A2209" s="17">
        <v>10.30625871413003</v>
      </c>
      <c r="I2209" s="11">
        <v>42.0</v>
      </c>
      <c r="M2209" s="16">
        <v>4.176</v>
      </c>
    </row>
    <row r="2210">
      <c r="A2210" s="17">
        <v>30.386084093473023</v>
      </c>
      <c r="I2210" s="11">
        <v>11.0</v>
      </c>
      <c r="M2210" s="16">
        <v>13.984000000000002</v>
      </c>
    </row>
    <row r="2211">
      <c r="A2211" s="17">
        <v>69.4474575330166</v>
      </c>
      <c r="I2211" s="11">
        <v>34.0</v>
      </c>
      <c r="M2211" s="16">
        <v>4.736</v>
      </c>
    </row>
    <row r="2212">
      <c r="A2212" s="17">
        <v>117.2781792959582</v>
      </c>
      <c r="I2212" s="11">
        <v>44.0</v>
      </c>
      <c r="M2212" s="16">
        <v>1.592</v>
      </c>
    </row>
    <row r="2213">
      <c r="A2213" s="17">
        <v>0.6981325984251953</v>
      </c>
      <c r="I2213" s="11">
        <v>5.0</v>
      </c>
      <c r="M2213" s="16">
        <v>1.592</v>
      </c>
    </row>
    <row r="2214">
      <c r="A2214" s="17">
        <v>71.71973618561323</v>
      </c>
      <c r="I2214" s="11">
        <v>40.0</v>
      </c>
      <c r="M2214" s="16">
        <v>3.2640000000000002</v>
      </c>
    </row>
    <row r="2215">
      <c r="A2215" s="17">
        <v>138.3345173339941</v>
      </c>
      <c r="I2215" s="11">
        <v>47.0</v>
      </c>
      <c r="M2215" s="16">
        <v>9.304</v>
      </c>
    </row>
    <row r="2216">
      <c r="A2216" s="17">
        <v>2.1032682477876126</v>
      </c>
      <c r="I2216" s="11">
        <v>7.0</v>
      </c>
      <c r="M2216" s="16">
        <v>1.1119999999999999</v>
      </c>
    </row>
    <row r="2217">
      <c r="A2217" s="17">
        <v>16.07400316500479</v>
      </c>
      <c r="I2217" s="11">
        <v>45.0</v>
      </c>
      <c r="M2217" s="16">
        <v>5.896000000000001</v>
      </c>
    </row>
    <row r="2218">
      <c r="A2218" s="17">
        <v>15.545555797891694</v>
      </c>
      <c r="I2218" s="11">
        <v>19.0</v>
      </c>
      <c r="M2218" s="16">
        <v>3.9600000000000004</v>
      </c>
    </row>
    <row r="2219">
      <c r="A2219" s="17">
        <v>141.1206886298763</v>
      </c>
      <c r="I2219" s="11">
        <v>25.0</v>
      </c>
      <c r="M2219" s="16">
        <v>3.6</v>
      </c>
    </row>
    <row r="2220">
      <c r="A2220" s="17">
        <v>1148.9717926775106</v>
      </c>
      <c r="I2220" s="11">
        <v>39.0</v>
      </c>
      <c r="M2220" s="16">
        <v>13.304</v>
      </c>
    </row>
    <row r="2221">
      <c r="A2221" s="17">
        <v>11.97688497523388</v>
      </c>
      <c r="I2221" s="11">
        <v>24.0</v>
      </c>
      <c r="M2221" s="16">
        <v>5.4</v>
      </c>
    </row>
    <row r="2222">
      <c r="A2222" s="17">
        <v>203.08298212965514</v>
      </c>
      <c r="I2222" s="11">
        <v>17.0</v>
      </c>
      <c r="M2222" s="16">
        <v>114.96800000000002</v>
      </c>
    </row>
    <row r="2223">
      <c r="A2223" s="17">
        <v>11.893038965845678</v>
      </c>
      <c r="I2223" s="11">
        <v>40.0</v>
      </c>
      <c r="M2223" s="16">
        <v>6.808</v>
      </c>
    </row>
    <row r="2224">
      <c r="A2224" s="17">
        <v>64.74556970290212</v>
      </c>
      <c r="I2224" s="11">
        <v>16.0</v>
      </c>
      <c r="M2224" s="16">
        <v>7.192</v>
      </c>
    </row>
    <row r="2225">
      <c r="A2225" s="17">
        <v>209.79664329149898</v>
      </c>
      <c r="I2225" s="11">
        <v>25.0</v>
      </c>
      <c r="M2225" s="16">
        <v>6.152000000000001</v>
      </c>
    </row>
    <row r="2226">
      <c r="A2226" s="17">
        <v>1.8576455142232058</v>
      </c>
      <c r="I2226" s="11">
        <v>6.0</v>
      </c>
      <c r="M2226" s="16">
        <v>4.16</v>
      </c>
    </row>
    <row r="2227">
      <c r="A2227" s="17">
        <v>10.943999999999978</v>
      </c>
      <c r="I2227" s="11">
        <v>25.0</v>
      </c>
      <c r="M2227" s="16">
        <v>3.6</v>
      </c>
    </row>
    <row r="2228">
      <c r="A2228" s="17">
        <v>81.97185238781958</v>
      </c>
      <c r="I2228" s="11">
        <v>26.0</v>
      </c>
      <c r="M2228" s="16">
        <v>17.791999999999998</v>
      </c>
    </row>
    <row r="2229">
      <c r="A2229" s="17">
        <v>962.9619288129967</v>
      </c>
      <c r="I2229" s="11">
        <v>43.0</v>
      </c>
      <c r="M2229" s="16">
        <v>5.744</v>
      </c>
    </row>
    <row r="2230">
      <c r="A2230" s="17">
        <v>2.4024910632383487</v>
      </c>
      <c r="I2230" s="11">
        <v>28.0</v>
      </c>
      <c r="M2230" s="16">
        <v>4.256</v>
      </c>
    </row>
    <row r="2231">
      <c r="A2231" s="17">
        <v>451.304483394805</v>
      </c>
      <c r="I2231" s="11">
        <v>13.0</v>
      </c>
      <c r="M2231" s="16">
        <v>35.64</v>
      </c>
    </row>
    <row r="2232">
      <c r="A2232" s="17">
        <v>3.2299368135593225</v>
      </c>
      <c r="I2232" s="11">
        <v>4.0</v>
      </c>
      <c r="M2232" s="16">
        <v>4.208</v>
      </c>
    </row>
    <row r="2233">
      <c r="A2233" s="17">
        <v>5.826247411883164</v>
      </c>
      <c r="I2233" s="11">
        <v>29.0</v>
      </c>
      <c r="M2233" s="16">
        <v>6.992000000000001</v>
      </c>
    </row>
    <row r="2234">
      <c r="A2234" s="17">
        <v>1.1948834594594586</v>
      </c>
      <c r="I2234" s="11">
        <v>2.0</v>
      </c>
      <c r="M2234" s="16">
        <v>4.216</v>
      </c>
    </row>
    <row r="2235">
      <c r="A2235" s="17">
        <v>81.08725569868368</v>
      </c>
      <c r="I2235" s="11">
        <v>50.0</v>
      </c>
      <c r="M2235" s="16">
        <v>5.656000000000001</v>
      </c>
    </row>
    <row r="2236">
      <c r="A2236" s="17">
        <v>372.4810614516127</v>
      </c>
      <c r="I2236" s="11">
        <v>34.0</v>
      </c>
      <c r="M2236" s="16">
        <v>46.976</v>
      </c>
    </row>
    <row r="2237">
      <c r="A2237" s="17">
        <v>31.189964696356288</v>
      </c>
      <c r="I2237" s="11">
        <v>49.0</v>
      </c>
      <c r="M2237" s="16">
        <v>3.7680000000000002</v>
      </c>
    </row>
    <row r="2238">
      <c r="A2238" s="17">
        <v>7.656769374416419</v>
      </c>
      <c r="I2238" s="11">
        <v>22.0</v>
      </c>
      <c r="M2238" s="16">
        <v>2.0</v>
      </c>
    </row>
    <row r="2239">
      <c r="A2239" s="17">
        <v>17.469104205803188</v>
      </c>
      <c r="I2239" s="11">
        <v>42.0</v>
      </c>
      <c r="M2239" s="16">
        <v>9.208</v>
      </c>
    </row>
    <row r="2240">
      <c r="A2240" s="17">
        <v>143.6894875128431</v>
      </c>
      <c r="I2240" s="11">
        <v>34.0</v>
      </c>
      <c r="M2240" s="16">
        <v>15.991999999999999</v>
      </c>
    </row>
    <row r="2241">
      <c r="A2241" s="17">
        <v>11.734261569416478</v>
      </c>
      <c r="I2241" s="11">
        <v>27.0</v>
      </c>
      <c r="M2241" s="16">
        <v>3.9600000000000004</v>
      </c>
    </row>
    <row r="2242">
      <c r="A2242" s="17">
        <v>504.12439339186494</v>
      </c>
      <c r="I2242" s="11">
        <v>12.0</v>
      </c>
      <c r="M2242" s="16">
        <v>22.512</v>
      </c>
    </row>
    <row r="2243">
      <c r="A2243" s="17">
        <v>29.836848870836665</v>
      </c>
      <c r="I2243" s="11">
        <v>42.0</v>
      </c>
      <c r="M2243" s="16">
        <v>2.696</v>
      </c>
    </row>
    <row r="2244">
      <c r="A2244" s="17">
        <v>1.8960324637681143</v>
      </c>
      <c r="I2244" s="11">
        <v>4.0</v>
      </c>
      <c r="M2244" s="16">
        <v>5.952000000000001</v>
      </c>
    </row>
    <row r="2245">
      <c r="A2245" s="17">
        <v>5.9039787414965055</v>
      </c>
      <c r="I2245" s="11">
        <v>7.0</v>
      </c>
      <c r="M2245" s="16">
        <v>3.12</v>
      </c>
    </row>
    <row r="2246">
      <c r="A2246" s="17">
        <v>385.88994654527323</v>
      </c>
      <c r="I2246" s="22">
        <v>48.0</v>
      </c>
      <c r="M2246" s="27">
        <v>6.152000000000001</v>
      </c>
    </row>
    <row r="2247">
      <c r="A2247" s="17">
        <v>109.70719409100195</v>
      </c>
      <c r="I2247" s="11">
        <v>36.0</v>
      </c>
      <c r="M2247" s="16">
        <v>11.352</v>
      </c>
    </row>
    <row r="2248">
      <c r="A2248" s="17">
        <v>4.244615800656836</v>
      </c>
      <c r="I2248" s="11">
        <v>35.0</v>
      </c>
      <c r="M2248" s="16">
        <v>5.920000000000001</v>
      </c>
    </row>
    <row r="2249">
      <c r="A2249" s="17">
        <v>49.1645589935396</v>
      </c>
      <c r="I2249" s="11">
        <v>18.0</v>
      </c>
      <c r="M2249" s="16">
        <v>3.84</v>
      </c>
    </row>
    <row r="2250">
      <c r="A2250" s="17">
        <v>8.259148647077781</v>
      </c>
      <c r="I2250" s="11">
        <v>40.0</v>
      </c>
      <c r="M2250" s="16">
        <v>9.208</v>
      </c>
    </row>
    <row r="2251">
      <c r="A2251" s="17">
        <v>5.998695311572705</v>
      </c>
      <c r="I2251" s="11">
        <v>16.0</v>
      </c>
      <c r="M2251" s="16">
        <v>1.544</v>
      </c>
    </row>
    <row r="2252">
      <c r="A2252" s="17">
        <v>80.311651064489</v>
      </c>
      <c r="I2252" s="11">
        <v>49.0</v>
      </c>
      <c r="M2252" s="16">
        <v>12.808000000000002</v>
      </c>
    </row>
    <row r="2253">
      <c r="A2253" s="17">
        <v>5.645108886107647</v>
      </c>
      <c r="I2253" s="11">
        <v>21.0</v>
      </c>
      <c r="M2253" s="16">
        <v>4.84</v>
      </c>
    </row>
    <row r="2254">
      <c r="A2254" s="17">
        <v>1.3019186991869922</v>
      </c>
      <c r="I2254" s="11">
        <v>1.0</v>
      </c>
      <c r="M2254" s="16">
        <v>1.72</v>
      </c>
    </row>
    <row r="2255">
      <c r="A2255" s="17">
        <v>14.836147124099945</v>
      </c>
      <c r="I2255" s="11">
        <v>10.0</v>
      </c>
      <c r="M2255" s="16">
        <v>7.192</v>
      </c>
    </row>
    <row r="2256">
      <c r="A2256" s="17">
        <v>276.6091696080865</v>
      </c>
      <c r="I2256" s="11">
        <v>31.0</v>
      </c>
      <c r="M2256" s="16">
        <v>11.192</v>
      </c>
    </row>
    <row r="2257">
      <c r="A2257" s="17">
        <v>129.2199207492791</v>
      </c>
      <c r="I2257" s="11">
        <v>25.0</v>
      </c>
      <c r="M2257" s="16">
        <v>48.0</v>
      </c>
    </row>
    <row r="2258">
      <c r="A2258" s="17">
        <v>32.56677989130427</v>
      </c>
      <c r="I2258" s="11">
        <v>35.0</v>
      </c>
      <c r="M2258" s="16">
        <v>22.200000000000003</v>
      </c>
    </row>
    <row r="2259">
      <c r="A2259" s="17">
        <v>180.47370525514117</v>
      </c>
      <c r="I2259" s="11">
        <v>29.0</v>
      </c>
      <c r="M2259" s="16">
        <v>28.0</v>
      </c>
    </row>
    <row r="2260">
      <c r="A2260" s="17">
        <v>1.3434647240617867</v>
      </c>
      <c r="I2260" s="11">
        <v>3.0</v>
      </c>
      <c r="M2260" s="16">
        <v>4.936</v>
      </c>
    </row>
    <row r="2261">
      <c r="A2261" s="17">
        <v>9.701119999999996</v>
      </c>
      <c r="I2261" s="11">
        <v>42.0</v>
      </c>
      <c r="M2261" s="16">
        <v>1.0</v>
      </c>
    </row>
    <row r="2262">
      <c r="A2262" s="17">
        <v>119.50229190382524</v>
      </c>
      <c r="I2262" s="11">
        <v>25.0</v>
      </c>
      <c r="M2262" s="16">
        <v>5.688000000000001</v>
      </c>
    </row>
    <row r="2263">
      <c r="A2263" s="17">
        <v>3.609756097560965</v>
      </c>
      <c r="I2263" s="11">
        <v>41.0</v>
      </c>
      <c r="M2263" s="16">
        <v>0.4</v>
      </c>
    </row>
    <row r="2264">
      <c r="A2264" s="17">
        <v>69.25322539725703</v>
      </c>
      <c r="I2264" s="11">
        <v>4.0</v>
      </c>
      <c r="M2264" s="16">
        <v>15.991999999999999</v>
      </c>
    </row>
    <row r="2265">
      <c r="A2265" s="17">
        <v>85.36654392344502</v>
      </c>
      <c r="I2265" s="11">
        <v>32.0</v>
      </c>
      <c r="M2265" s="16">
        <v>4.608</v>
      </c>
    </row>
    <row r="2266">
      <c r="A2266" s="17">
        <v>211.3754408455337</v>
      </c>
      <c r="I2266" s="11">
        <v>20.0</v>
      </c>
      <c r="M2266" s="16">
        <v>23.368000000000002</v>
      </c>
    </row>
    <row r="2267">
      <c r="A2267" s="17">
        <v>4.287802396313357</v>
      </c>
      <c r="I2267" s="11">
        <v>14.0</v>
      </c>
      <c r="M2267" s="16">
        <v>0.776</v>
      </c>
    </row>
    <row r="2268">
      <c r="A2268" s="17">
        <v>6.0832332058984</v>
      </c>
      <c r="I2268" s="11">
        <v>49.0</v>
      </c>
      <c r="M2268" s="16">
        <v>0.4</v>
      </c>
    </row>
    <row r="2269">
      <c r="A2269" s="17">
        <v>4.753146507747332</v>
      </c>
      <c r="I2269" s="11">
        <v>32.0</v>
      </c>
      <c r="M2269" s="16">
        <v>2.904</v>
      </c>
    </row>
    <row r="2270">
      <c r="A2270" s="17">
        <v>66.66286054665414</v>
      </c>
      <c r="I2270" s="11">
        <v>29.0</v>
      </c>
      <c r="M2270" s="16">
        <v>1.192</v>
      </c>
    </row>
    <row r="2271">
      <c r="A2271" s="17">
        <v>9.543827366096057</v>
      </c>
      <c r="I2271" s="11">
        <v>26.0</v>
      </c>
      <c r="M2271" s="16">
        <v>4.5920000000000005</v>
      </c>
    </row>
    <row r="2272">
      <c r="A2272" s="17">
        <v>28.59876607228916</v>
      </c>
      <c r="I2272" s="11">
        <v>36.0</v>
      </c>
      <c r="M2272" s="16">
        <v>1.592</v>
      </c>
    </row>
    <row r="2273">
      <c r="A2273" s="17">
        <v>6.337409115913531</v>
      </c>
      <c r="I2273" s="11">
        <v>39.0</v>
      </c>
      <c r="M2273" s="16">
        <v>5.952000000000001</v>
      </c>
    </row>
    <row r="2274">
      <c r="A2274" s="17">
        <v>73.63006208761097</v>
      </c>
      <c r="I2274" s="11">
        <v>45.0</v>
      </c>
      <c r="M2274" s="16">
        <v>15.991999999999999</v>
      </c>
    </row>
    <row r="2275">
      <c r="A2275" s="17">
        <v>18.754792407152674</v>
      </c>
      <c r="I2275" s="11">
        <v>50.0</v>
      </c>
      <c r="M2275" s="16">
        <v>2.3760000000000003</v>
      </c>
    </row>
    <row r="2276">
      <c r="A2276" s="17">
        <v>10.717260583254932</v>
      </c>
      <c r="I2276" s="11">
        <v>10.0</v>
      </c>
      <c r="M2276" s="16">
        <v>3.28</v>
      </c>
    </row>
    <row r="2277">
      <c r="A2277" s="17">
        <v>72.45853914119193</v>
      </c>
      <c r="I2277" s="11">
        <v>49.0</v>
      </c>
      <c r="M2277" s="16">
        <v>1.1119999999999999</v>
      </c>
    </row>
    <row r="2278">
      <c r="A2278" s="17">
        <v>1.3471869918699193</v>
      </c>
      <c r="I2278" s="11">
        <v>6.0</v>
      </c>
      <c r="M2278" s="16">
        <v>0.5599999999999999</v>
      </c>
    </row>
    <row r="2279">
      <c r="A2279" s="17">
        <v>118.74016933204786</v>
      </c>
      <c r="I2279" s="11">
        <v>25.0</v>
      </c>
      <c r="M2279" s="16">
        <v>22.528000000000002</v>
      </c>
    </row>
    <row r="2280">
      <c r="A2280" s="17">
        <v>5.4416578204404065</v>
      </c>
      <c r="I2280" s="11">
        <v>3.0</v>
      </c>
      <c r="M2280" s="16">
        <v>8.88</v>
      </c>
    </row>
    <row r="2281">
      <c r="A2281" s="17">
        <v>7.697653206349223</v>
      </c>
      <c r="I2281" s="11">
        <v>3.0</v>
      </c>
      <c r="M2281" s="16">
        <v>4.064</v>
      </c>
    </row>
    <row r="2282">
      <c r="A2282" s="17">
        <v>164.40631936465635</v>
      </c>
      <c r="I2282" s="11">
        <v>32.0</v>
      </c>
      <c r="M2282" s="16">
        <v>4.064</v>
      </c>
    </row>
    <row r="2283">
      <c r="A2283" s="17">
        <v>3.586359535962877</v>
      </c>
      <c r="I2283" s="11">
        <v>4.0</v>
      </c>
      <c r="M2283" s="16">
        <v>7.152</v>
      </c>
    </row>
    <row r="2284">
      <c r="A2284" s="17">
        <v>1.0857311320754524</v>
      </c>
      <c r="I2284" s="11">
        <v>17.0</v>
      </c>
      <c r="M2284" s="16">
        <v>0.4</v>
      </c>
    </row>
    <row r="2285">
      <c r="A2285" s="17">
        <v>6.120780404494377</v>
      </c>
      <c r="I2285" s="11">
        <v>7.0</v>
      </c>
      <c r="M2285" s="16">
        <v>1.888</v>
      </c>
    </row>
    <row r="2286">
      <c r="A2286" s="17">
        <v>179.15467956368155</v>
      </c>
      <c r="I2286" s="11">
        <v>13.0</v>
      </c>
      <c r="M2286" s="16">
        <v>15.991999999999999</v>
      </c>
    </row>
    <row r="2287">
      <c r="A2287" s="17">
        <v>197.7400701306978</v>
      </c>
      <c r="I2287" s="11">
        <v>28.0</v>
      </c>
      <c r="M2287" s="16">
        <v>28.0</v>
      </c>
    </row>
    <row r="2288">
      <c r="A2288" s="17">
        <v>9.893542214802432</v>
      </c>
      <c r="I2288" s="11">
        <v>28.0</v>
      </c>
      <c r="M2288" s="16">
        <v>6.792000000000001</v>
      </c>
    </row>
    <row r="2289">
      <c r="A2289" s="17">
        <v>104.72755409429584</v>
      </c>
      <c r="I2289" s="11">
        <v>10.0</v>
      </c>
      <c r="M2289" s="16">
        <v>6.464</v>
      </c>
    </row>
    <row r="2290">
      <c r="A2290" s="17">
        <v>55.48287857864905</v>
      </c>
      <c r="I2290" s="11">
        <v>33.0</v>
      </c>
      <c r="M2290" s="16">
        <v>7.5760000000000005</v>
      </c>
    </row>
    <row r="2291">
      <c r="A2291" s="17">
        <v>461.84824346422</v>
      </c>
      <c r="I2291" s="11">
        <v>50.0</v>
      </c>
      <c r="M2291" s="16">
        <v>44.912000000000006</v>
      </c>
    </row>
    <row r="2292">
      <c r="A2292" s="17">
        <v>15.95427484411356</v>
      </c>
      <c r="I2292" s="11">
        <v>19.0</v>
      </c>
      <c r="M2292" s="16">
        <v>3.7439999999999998</v>
      </c>
    </row>
    <row r="2293">
      <c r="A2293" s="17">
        <v>3.6513915391539165</v>
      </c>
      <c r="I2293" s="11">
        <v>24.0</v>
      </c>
      <c r="M2293" s="16">
        <v>4.12</v>
      </c>
    </row>
    <row r="2294">
      <c r="A2294" s="17">
        <v>9.548524622135512</v>
      </c>
      <c r="I2294" s="11">
        <v>39.0</v>
      </c>
      <c r="M2294" s="16">
        <v>3.9600000000000004</v>
      </c>
    </row>
    <row r="2295">
      <c r="A2295" s="17">
        <v>1.8455725423728873</v>
      </c>
      <c r="I2295" s="11">
        <v>11.0</v>
      </c>
      <c r="M2295" s="16">
        <v>2.3760000000000003</v>
      </c>
    </row>
    <row r="2296">
      <c r="A2296" s="17">
        <v>5.1256362507759</v>
      </c>
      <c r="I2296" s="11">
        <v>42.0</v>
      </c>
      <c r="M2296" s="16">
        <v>0.4</v>
      </c>
    </row>
    <row r="2297">
      <c r="A2297" s="17">
        <v>6.183321471571883</v>
      </c>
      <c r="I2297" s="11">
        <v>15.0</v>
      </c>
      <c r="M2297" s="16">
        <v>10.848</v>
      </c>
    </row>
    <row r="2298">
      <c r="A2298" s="17">
        <v>160.21101986482964</v>
      </c>
      <c r="I2298" s="11">
        <v>14.0</v>
      </c>
      <c r="M2298" s="16">
        <v>28.536</v>
      </c>
    </row>
    <row r="2299">
      <c r="A2299" s="17">
        <v>16.597301404921684</v>
      </c>
      <c r="I2299" s="11">
        <v>41.0</v>
      </c>
      <c r="M2299" s="16">
        <v>4.544</v>
      </c>
    </row>
    <row r="2300">
      <c r="A2300" s="17">
        <v>23.057108605993957</v>
      </c>
      <c r="I2300" s="11">
        <v>25.0</v>
      </c>
      <c r="M2300" s="16">
        <v>3.9600000000000004</v>
      </c>
    </row>
    <row r="2301">
      <c r="A2301" s="17">
        <v>178.23138033106733</v>
      </c>
      <c r="I2301" s="11">
        <v>45.0</v>
      </c>
      <c r="M2301" s="16">
        <v>41.552</v>
      </c>
    </row>
    <row r="2302">
      <c r="A2302" s="17">
        <v>659.3381410862088</v>
      </c>
      <c r="I2302" s="11">
        <v>35.0</v>
      </c>
      <c r="M2302" s="16">
        <v>45.6</v>
      </c>
    </row>
    <row r="2303">
      <c r="A2303" s="17">
        <v>564.482100888267</v>
      </c>
      <c r="I2303" s="11">
        <v>15.0</v>
      </c>
      <c r="M2303" s="16">
        <v>22.512</v>
      </c>
    </row>
    <row r="2304">
      <c r="A2304" s="17">
        <v>13.456446088794912</v>
      </c>
      <c r="I2304" s="11">
        <v>19.0</v>
      </c>
      <c r="M2304" s="16">
        <v>1.72</v>
      </c>
    </row>
    <row r="2305">
      <c r="A2305" s="17">
        <v>2.071105740181268</v>
      </c>
      <c r="I2305" s="11">
        <v>3.0</v>
      </c>
      <c r="M2305" s="16">
        <v>4.4799999999999995</v>
      </c>
    </row>
    <row r="2306">
      <c r="A2306" s="17">
        <v>259.0369405249451</v>
      </c>
      <c r="I2306" s="11">
        <v>21.0</v>
      </c>
      <c r="M2306" s="16">
        <v>51.784000000000006</v>
      </c>
    </row>
    <row r="2307">
      <c r="A2307" s="17">
        <v>26.594064053009415</v>
      </c>
      <c r="I2307" s="11">
        <v>11.0</v>
      </c>
      <c r="M2307" s="16">
        <v>4.4</v>
      </c>
    </row>
    <row r="2308">
      <c r="A2308" s="17">
        <v>3.5542163213530618</v>
      </c>
      <c r="I2308" s="11">
        <v>27.0</v>
      </c>
      <c r="M2308" s="16">
        <v>5.952000000000001</v>
      </c>
    </row>
    <row r="2309">
      <c r="A2309" s="17">
        <v>16.783152872727275</v>
      </c>
      <c r="I2309" s="11">
        <v>35.0</v>
      </c>
      <c r="M2309" s="16">
        <v>5.392</v>
      </c>
    </row>
    <row r="2310">
      <c r="A2310" s="17">
        <v>483.88364292087533</v>
      </c>
      <c r="I2310" s="11">
        <v>46.0</v>
      </c>
      <c r="M2310" s="16">
        <v>6.152000000000001</v>
      </c>
    </row>
    <row r="2311">
      <c r="A2311" s="17">
        <v>24.607846934725863</v>
      </c>
      <c r="I2311" s="11">
        <v>30.0</v>
      </c>
      <c r="M2311" s="16">
        <v>5.5680000000000005</v>
      </c>
    </row>
    <row r="2312">
      <c r="A2312" s="17">
        <v>9.164172740911713</v>
      </c>
      <c r="I2312" s="11">
        <v>31.0</v>
      </c>
      <c r="M2312" s="16">
        <v>2.3920000000000003</v>
      </c>
    </row>
    <row r="2313">
      <c r="A2313" s="17">
        <v>247.84537628639487</v>
      </c>
      <c r="I2313" s="11">
        <v>47.0</v>
      </c>
      <c r="M2313" s="16">
        <v>13.304</v>
      </c>
    </row>
    <row r="2314">
      <c r="A2314" s="17">
        <v>89.24651018654761</v>
      </c>
      <c r="I2314" s="11">
        <v>21.0</v>
      </c>
      <c r="M2314" s="16">
        <v>29.288</v>
      </c>
    </row>
    <row r="2315">
      <c r="A2315" s="17">
        <v>33.43916428776391</v>
      </c>
      <c r="I2315" s="11">
        <v>17.0</v>
      </c>
      <c r="M2315" s="16">
        <v>11.488</v>
      </c>
    </row>
    <row r="2316">
      <c r="A2316" s="17">
        <v>464.6352374969765</v>
      </c>
      <c r="I2316" s="11">
        <v>32.0</v>
      </c>
      <c r="M2316" s="16">
        <v>15.991999999999999</v>
      </c>
    </row>
    <row r="2317">
      <c r="A2317" s="17">
        <v>6.578623162737176</v>
      </c>
      <c r="I2317" s="11">
        <v>31.0</v>
      </c>
      <c r="M2317" s="16">
        <v>3.192</v>
      </c>
    </row>
    <row r="2318">
      <c r="A2318" s="17">
        <v>7.267513378839599</v>
      </c>
      <c r="I2318" s="11">
        <v>13.0</v>
      </c>
      <c r="M2318" s="16">
        <v>7.192</v>
      </c>
    </row>
    <row r="2319">
      <c r="A2319" s="17">
        <v>130.68078011813037</v>
      </c>
      <c r="I2319" s="11">
        <v>36.0</v>
      </c>
      <c r="M2319" s="16">
        <v>37.272000000000006</v>
      </c>
    </row>
    <row r="2320">
      <c r="A2320" s="17">
        <v>31.06600211550674</v>
      </c>
      <c r="I2320" s="11">
        <v>38.0</v>
      </c>
      <c r="M2320" s="16">
        <v>5.04</v>
      </c>
    </row>
    <row r="2321">
      <c r="A2321" s="17">
        <v>15.27713250225834</v>
      </c>
      <c r="I2321" s="11">
        <v>3.0</v>
      </c>
      <c r="M2321" s="16">
        <v>7.192</v>
      </c>
    </row>
    <row r="2322">
      <c r="A2322" s="17">
        <v>16.82918640636308</v>
      </c>
      <c r="I2322" s="11">
        <v>28.0</v>
      </c>
      <c r="M2322" s="16">
        <v>5.04</v>
      </c>
    </row>
    <row r="2323">
      <c r="A2323" s="17">
        <v>70.67886979253599</v>
      </c>
      <c r="I2323" s="11">
        <v>48.0</v>
      </c>
      <c r="M2323" s="16">
        <v>1.0</v>
      </c>
    </row>
    <row r="2324">
      <c r="A2324" s="17">
        <v>1.4457538134364316</v>
      </c>
      <c r="I2324" s="11">
        <v>41.0</v>
      </c>
      <c r="M2324" s="16">
        <v>4.544</v>
      </c>
    </row>
    <row r="2325">
      <c r="A2325" s="17">
        <v>64.57010044110173</v>
      </c>
      <c r="I2325" s="11">
        <v>48.0</v>
      </c>
      <c r="M2325" s="16">
        <v>7.224</v>
      </c>
    </row>
    <row r="2326">
      <c r="A2326" s="17">
        <v>1342.1356471346305</v>
      </c>
      <c r="I2326" s="11">
        <v>47.0</v>
      </c>
      <c r="M2326" s="16">
        <v>20.8</v>
      </c>
    </row>
    <row r="2327">
      <c r="A2327" s="17">
        <v>17.059061380620697</v>
      </c>
      <c r="I2327" s="11">
        <v>24.0</v>
      </c>
      <c r="M2327" s="16">
        <v>4.904</v>
      </c>
    </row>
    <row r="2328">
      <c r="A2328" s="17">
        <v>15.462129103448254</v>
      </c>
      <c r="I2328" s="11">
        <v>31.0</v>
      </c>
      <c r="M2328" s="16">
        <v>7.224</v>
      </c>
    </row>
    <row r="2329">
      <c r="A2329" s="17">
        <v>0.22400000000000017</v>
      </c>
      <c r="I2329" s="11">
        <v>1.0</v>
      </c>
      <c r="M2329" s="16">
        <v>0.5599999999999999</v>
      </c>
    </row>
    <row r="2330">
      <c r="A2330" s="17">
        <v>9.923076923076923</v>
      </c>
      <c r="I2330" s="11">
        <v>31.0</v>
      </c>
      <c r="M2330" s="16">
        <v>0.8</v>
      </c>
    </row>
    <row r="2331">
      <c r="A2331" s="17">
        <v>11.736855441458202</v>
      </c>
      <c r="I2331" s="11">
        <v>13.0</v>
      </c>
      <c r="M2331" s="16">
        <v>1.592</v>
      </c>
    </row>
    <row r="2332">
      <c r="A2332" s="17">
        <v>28.055450734177235</v>
      </c>
      <c r="I2332" s="11">
        <v>32.0</v>
      </c>
      <c r="M2332" s="16">
        <v>1.592</v>
      </c>
    </row>
    <row r="2333">
      <c r="A2333" s="17">
        <v>17.696910779956436</v>
      </c>
      <c r="I2333" s="11">
        <v>33.0</v>
      </c>
      <c r="M2333" s="16">
        <v>5.5760000000000005</v>
      </c>
    </row>
    <row r="2334">
      <c r="A2334" s="17">
        <v>1.981087250308258</v>
      </c>
      <c r="I2334" s="11">
        <v>27.0</v>
      </c>
      <c r="M2334" s="16">
        <v>0.768</v>
      </c>
    </row>
    <row r="2335">
      <c r="A2335" s="17">
        <v>31.117862086606998</v>
      </c>
      <c r="I2335" s="11">
        <v>41.0</v>
      </c>
      <c r="M2335" s="16">
        <v>3.12</v>
      </c>
    </row>
    <row r="2336">
      <c r="A2336" s="17">
        <v>166.07089055661794</v>
      </c>
      <c r="I2336" s="11">
        <v>43.0</v>
      </c>
      <c r="M2336" s="16">
        <v>2.3920000000000003</v>
      </c>
    </row>
    <row r="2337">
      <c r="A2337" s="17">
        <v>7.695354193548388</v>
      </c>
      <c r="I2337" s="11">
        <v>17.0</v>
      </c>
      <c r="M2337" s="16">
        <v>2.3920000000000003</v>
      </c>
    </row>
    <row r="2338">
      <c r="A2338" s="17">
        <v>17.250362428488003</v>
      </c>
      <c r="I2338" s="11">
        <v>31.0</v>
      </c>
      <c r="M2338" s="16">
        <v>7.192</v>
      </c>
    </row>
    <row r="2339">
      <c r="A2339" s="17">
        <v>40.75142891888605</v>
      </c>
      <c r="I2339" s="11">
        <v>39.0</v>
      </c>
      <c r="M2339" s="16">
        <v>3.2</v>
      </c>
    </row>
    <row r="2340">
      <c r="A2340" s="17">
        <v>15.4583019066937</v>
      </c>
      <c r="I2340" s="11">
        <v>5.0</v>
      </c>
      <c r="M2340" s="16">
        <v>0.792</v>
      </c>
    </row>
    <row r="2341">
      <c r="A2341" s="17">
        <v>34.99067830344436</v>
      </c>
      <c r="I2341" s="11">
        <v>35.0</v>
      </c>
      <c r="M2341" s="16">
        <v>4.168</v>
      </c>
    </row>
    <row r="2342">
      <c r="A2342" s="17">
        <v>27.439033931211856</v>
      </c>
      <c r="I2342" s="11">
        <v>43.0</v>
      </c>
      <c r="M2342" s="16">
        <v>5.488</v>
      </c>
    </row>
    <row r="2343">
      <c r="A2343" s="17">
        <v>13.68167894736838</v>
      </c>
      <c r="I2343" s="11">
        <v>44.0</v>
      </c>
      <c r="M2343" s="16">
        <v>8.040000000000001</v>
      </c>
    </row>
    <row r="2344">
      <c r="A2344" s="17">
        <v>7.916555808656018</v>
      </c>
      <c r="I2344" s="11">
        <v>18.0</v>
      </c>
      <c r="M2344" s="16">
        <v>8.040000000000001</v>
      </c>
    </row>
    <row r="2345">
      <c r="A2345" s="17">
        <v>117.20948649901278</v>
      </c>
      <c r="I2345" s="11">
        <v>23.0</v>
      </c>
      <c r="M2345" s="16">
        <v>15.991999999999999</v>
      </c>
    </row>
    <row r="2346">
      <c r="A2346" s="17">
        <v>0.856567162367232</v>
      </c>
      <c r="I2346" s="11">
        <v>40.0</v>
      </c>
      <c r="M2346" s="16">
        <v>1.032</v>
      </c>
    </row>
    <row r="2347">
      <c r="A2347" s="17">
        <v>19.360319315751973</v>
      </c>
      <c r="I2347" s="11">
        <v>29.0</v>
      </c>
      <c r="M2347" s="16">
        <v>4.4799999999999995</v>
      </c>
    </row>
    <row r="2348">
      <c r="A2348" s="17">
        <v>13.84634620406647</v>
      </c>
      <c r="I2348" s="11">
        <v>46.0</v>
      </c>
      <c r="M2348" s="16">
        <v>5.752000000000001</v>
      </c>
    </row>
    <row r="2349">
      <c r="A2349" s="17">
        <v>4.3365979917695245</v>
      </c>
      <c r="I2349" s="11">
        <v>50.0</v>
      </c>
      <c r="M2349" s="16">
        <v>1.6239999999999999</v>
      </c>
    </row>
    <row r="2350">
      <c r="A2350" s="17">
        <v>23.82563092506455</v>
      </c>
      <c r="I2350" s="11">
        <v>30.0</v>
      </c>
      <c r="M2350" s="16">
        <v>2.3920000000000003</v>
      </c>
    </row>
    <row r="2351">
      <c r="A2351" s="17">
        <v>5.0327624499697015</v>
      </c>
      <c r="I2351" s="11">
        <v>50.0</v>
      </c>
      <c r="M2351" s="16">
        <v>4.688000000000001</v>
      </c>
    </row>
    <row r="2352">
      <c r="A2352" s="17">
        <v>535.4633773906393</v>
      </c>
      <c r="I2352" s="11">
        <v>46.0</v>
      </c>
      <c r="M2352" s="16">
        <v>47.392</v>
      </c>
    </row>
    <row r="2353">
      <c r="A2353" s="17">
        <v>3.184517497348884</v>
      </c>
      <c r="I2353" s="11">
        <v>41.0</v>
      </c>
      <c r="M2353" s="16">
        <v>0.8</v>
      </c>
    </row>
    <row r="2354">
      <c r="A2354" s="17">
        <v>57.465733795631685</v>
      </c>
      <c r="I2354" s="11">
        <v>28.0</v>
      </c>
      <c r="M2354" s="16">
        <v>4.792000000000001</v>
      </c>
    </row>
    <row r="2355">
      <c r="A2355" s="17">
        <v>7.183659217877091</v>
      </c>
      <c r="I2355" s="11">
        <v>1.0</v>
      </c>
      <c r="M2355" s="16">
        <v>8.6</v>
      </c>
    </row>
    <row r="2356">
      <c r="A2356" s="17">
        <v>6.344686427457093</v>
      </c>
      <c r="I2356" s="11">
        <v>47.0</v>
      </c>
      <c r="M2356" s="16">
        <v>0.5599999999999999</v>
      </c>
    </row>
    <row r="2357">
      <c r="A2357" s="17">
        <v>3.409233344768435</v>
      </c>
      <c r="I2357" s="11">
        <v>18.0</v>
      </c>
      <c r="M2357" s="16">
        <v>4.264</v>
      </c>
    </row>
    <row r="2358">
      <c r="A2358" s="17">
        <v>149.13226839564953</v>
      </c>
      <c r="I2358" s="11">
        <v>50.0</v>
      </c>
      <c r="M2358" s="16">
        <v>11.616</v>
      </c>
    </row>
    <row r="2359">
      <c r="A2359" s="17">
        <v>136.59283216211648</v>
      </c>
      <c r="I2359" s="11">
        <v>14.0</v>
      </c>
      <c r="M2359" s="16">
        <v>4.792000000000001</v>
      </c>
    </row>
    <row r="2360">
      <c r="A2360" s="17">
        <v>6.573340103626938</v>
      </c>
      <c r="I2360" s="11">
        <v>23.0</v>
      </c>
      <c r="M2360" s="16">
        <v>0.7040000000000001</v>
      </c>
    </row>
    <row r="2361">
      <c r="A2361" s="17">
        <v>11.32842230179032</v>
      </c>
      <c r="I2361" s="11">
        <v>36.0</v>
      </c>
      <c r="M2361" s="16">
        <v>3.9840000000000004</v>
      </c>
    </row>
    <row r="2362">
      <c r="A2362" s="17">
        <v>28.058869452074664</v>
      </c>
      <c r="I2362" s="11">
        <v>20.0</v>
      </c>
      <c r="M2362" s="16">
        <v>4.4</v>
      </c>
    </row>
    <row r="2363">
      <c r="A2363" s="17">
        <v>87.61896673966802</v>
      </c>
      <c r="I2363" s="11">
        <v>5.0</v>
      </c>
      <c r="M2363" s="16">
        <v>7.192</v>
      </c>
    </row>
    <row r="2364">
      <c r="A2364" s="17">
        <v>296.5603844062141</v>
      </c>
      <c r="I2364" s="11">
        <v>35.0</v>
      </c>
      <c r="M2364" s="16">
        <v>15.991999999999999</v>
      </c>
    </row>
    <row r="2365">
      <c r="A2365" s="17">
        <v>3.9732019200000033</v>
      </c>
      <c r="I2365" s="11">
        <v>2.0</v>
      </c>
      <c r="M2365" s="16">
        <v>3.848</v>
      </c>
    </row>
    <row r="2366">
      <c r="A2366" s="17">
        <v>454.29779527971635</v>
      </c>
      <c r="I2366" s="11">
        <v>50.0</v>
      </c>
      <c r="M2366" s="16">
        <v>46.56</v>
      </c>
    </row>
    <row r="2367">
      <c r="A2367" s="17">
        <v>4.397846003752348</v>
      </c>
      <c r="I2367" s="11">
        <v>3.0</v>
      </c>
      <c r="M2367" s="16">
        <v>9.304</v>
      </c>
    </row>
    <row r="2368">
      <c r="A2368" s="17">
        <v>7.534098036677449</v>
      </c>
      <c r="I2368" s="11">
        <v>35.0</v>
      </c>
      <c r="M2368" s="16">
        <v>6.032</v>
      </c>
    </row>
    <row r="2369">
      <c r="A2369" s="17">
        <v>7.077579421221834</v>
      </c>
      <c r="I2369" s="11">
        <v>43.0</v>
      </c>
      <c r="M2369" s="16">
        <v>4.24</v>
      </c>
    </row>
    <row r="2370">
      <c r="A2370" s="17">
        <v>16.858594005449586</v>
      </c>
      <c r="I2370" s="11">
        <v>48.0</v>
      </c>
      <c r="M2370" s="16">
        <v>5.28</v>
      </c>
    </row>
    <row r="2371">
      <c r="A2371" s="17">
        <v>18.480575025380734</v>
      </c>
      <c r="I2371" s="11">
        <v>6.0</v>
      </c>
      <c r="M2371" s="16">
        <v>0.792</v>
      </c>
    </row>
    <row r="2372">
      <c r="A2372" s="17">
        <v>2.2669111111111113</v>
      </c>
      <c r="I2372" s="11">
        <v>5.0</v>
      </c>
      <c r="M2372" s="16">
        <v>4.84</v>
      </c>
    </row>
    <row r="2373">
      <c r="A2373" s="17">
        <v>223.9244036396816</v>
      </c>
      <c r="I2373" s="11">
        <v>49.0</v>
      </c>
      <c r="M2373" s="16">
        <v>4.792000000000001</v>
      </c>
    </row>
    <row r="2374">
      <c r="A2374" s="17">
        <v>1.2772875675675683</v>
      </c>
      <c r="I2374" s="11">
        <v>1.0</v>
      </c>
      <c r="M2374" s="16">
        <v>1.888</v>
      </c>
    </row>
    <row r="2375">
      <c r="A2375" s="17">
        <v>2.2809368638497594</v>
      </c>
      <c r="I2375" s="11">
        <v>28.0</v>
      </c>
      <c r="M2375" s="16">
        <v>0.568</v>
      </c>
    </row>
    <row r="2376">
      <c r="A2376" s="17">
        <v>6.916538612626668</v>
      </c>
      <c r="I2376" s="11">
        <v>7.0</v>
      </c>
      <c r="M2376" s="16">
        <v>4.064</v>
      </c>
    </row>
    <row r="2377">
      <c r="A2377" s="17">
        <v>2.6530766752577266</v>
      </c>
      <c r="I2377" s="11">
        <v>37.0</v>
      </c>
      <c r="M2377" s="16">
        <v>0.4</v>
      </c>
    </row>
    <row r="2378">
      <c r="A2378" s="17">
        <v>7.3937458651333055</v>
      </c>
      <c r="I2378" s="11">
        <v>7.0</v>
      </c>
      <c r="M2378" s="16">
        <v>7.896</v>
      </c>
    </row>
    <row r="2379">
      <c r="A2379" s="17">
        <v>6.642268246083322</v>
      </c>
      <c r="I2379" s="11">
        <v>45.0</v>
      </c>
      <c r="M2379" s="16">
        <v>2.8800000000000003</v>
      </c>
    </row>
    <row r="2380">
      <c r="A2380" s="17">
        <v>262.76342623648657</v>
      </c>
      <c r="I2380" s="11">
        <v>43.0</v>
      </c>
      <c r="M2380" s="16">
        <v>4.5040000000000004</v>
      </c>
    </row>
    <row r="2381">
      <c r="A2381" s="17">
        <v>3.029333333333336</v>
      </c>
      <c r="I2381" s="11">
        <v>20.0</v>
      </c>
      <c r="M2381" s="16">
        <v>2.8000000000000003</v>
      </c>
    </row>
    <row r="2382">
      <c r="A2382" s="17">
        <v>2.1365151906158344</v>
      </c>
      <c r="I2382" s="11">
        <v>24.0</v>
      </c>
      <c r="M2382" s="16">
        <v>1.192</v>
      </c>
    </row>
    <row r="2383">
      <c r="A2383" s="17">
        <v>89.12057253864691</v>
      </c>
      <c r="I2383" s="11">
        <v>38.0</v>
      </c>
      <c r="M2383" s="16">
        <v>4.248</v>
      </c>
    </row>
    <row r="2384">
      <c r="A2384" s="17">
        <v>107.55061454421264</v>
      </c>
      <c r="I2384" s="11">
        <v>37.0</v>
      </c>
      <c r="M2384" s="16">
        <v>2.8000000000000003</v>
      </c>
    </row>
    <row r="2385">
      <c r="A2385" s="17">
        <v>31.551205193717237</v>
      </c>
      <c r="I2385" s="11">
        <v>41.0</v>
      </c>
      <c r="M2385" s="16">
        <v>2.8960000000000004</v>
      </c>
    </row>
    <row r="2386">
      <c r="A2386" s="17">
        <v>37.28779710336786</v>
      </c>
      <c r="I2386" s="11">
        <v>32.0</v>
      </c>
      <c r="M2386" s="16">
        <v>7.192</v>
      </c>
    </row>
    <row r="2387">
      <c r="A2387" s="17">
        <v>31.75836369769712</v>
      </c>
      <c r="I2387" s="11">
        <v>45.0</v>
      </c>
      <c r="M2387" s="16">
        <v>2.5120000000000005</v>
      </c>
    </row>
    <row r="2388">
      <c r="A2388" s="17">
        <v>13.57924461971831</v>
      </c>
      <c r="I2388" s="11">
        <v>42.0</v>
      </c>
      <c r="M2388" s="16">
        <v>0.792</v>
      </c>
    </row>
    <row r="2389">
      <c r="A2389" s="17">
        <v>4.37971968668407</v>
      </c>
      <c r="I2389" s="11">
        <v>20.0</v>
      </c>
      <c r="M2389" s="16">
        <v>1.2560000000000002</v>
      </c>
    </row>
    <row r="2390">
      <c r="A2390" s="17">
        <v>7.691565958747128</v>
      </c>
      <c r="I2390" s="11">
        <v>50.0</v>
      </c>
      <c r="M2390" s="16">
        <v>0.792</v>
      </c>
    </row>
    <row r="2391">
      <c r="A2391" s="17">
        <v>0.5885516417910449</v>
      </c>
      <c r="I2391" s="11">
        <v>2.0</v>
      </c>
      <c r="M2391" s="16">
        <v>2.048</v>
      </c>
    </row>
    <row r="2392">
      <c r="A2392" s="17">
        <v>55.99596963537189</v>
      </c>
      <c r="I2392" s="11">
        <v>26.0</v>
      </c>
      <c r="M2392" s="16">
        <v>11.352</v>
      </c>
    </row>
    <row r="2393">
      <c r="A2393" s="17">
        <v>186.88744246876868</v>
      </c>
      <c r="I2393" s="11">
        <v>36.0</v>
      </c>
      <c r="M2393" s="16">
        <v>41.552</v>
      </c>
    </row>
    <row r="2394">
      <c r="A2394" s="17">
        <v>34.30302827637078</v>
      </c>
      <c r="I2394" s="11">
        <v>16.0</v>
      </c>
      <c r="M2394" s="16">
        <v>12.08</v>
      </c>
    </row>
    <row r="2395">
      <c r="A2395" s="17">
        <v>536.2594002820867</v>
      </c>
      <c r="I2395" s="11">
        <v>43.0</v>
      </c>
      <c r="M2395" s="16">
        <v>4.0</v>
      </c>
    </row>
    <row r="2396">
      <c r="A2396" s="17">
        <v>44.08969723125746</v>
      </c>
      <c r="I2396" s="11">
        <v>29.0</v>
      </c>
      <c r="M2396" s="16">
        <v>2.984</v>
      </c>
    </row>
    <row r="2397">
      <c r="A2397" s="17">
        <v>4.121029155206258</v>
      </c>
      <c r="I2397" s="11">
        <v>18.0</v>
      </c>
      <c r="M2397" s="16">
        <v>3.192</v>
      </c>
    </row>
    <row r="2398">
      <c r="A2398" s="17">
        <v>8.296875</v>
      </c>
      <c r="I2398" s="11">
        <v>7.0</v>
      </c>
      <c r="M2398" s="16">
        <v>5.4</v>
      </c>
    </row>
    <row r="2399">
      <c r="A2399" s="17">
        <v>162.47447543922584</v>
      </c>
      <c r="I2399" s="11">
        <v>50.0</v>
      </c>
      <c r="M2399" s="16">
        <v>64.16000000000001</v>
      </c>
    </row>
    <row r="2400">
      <c r="A2400" s="17">
        <v>271.8350305951657</v>
      </c>
      <c r="I2400" s="11">
        <v>37.0</v>
      </c>
      <c r="M2400" s="16">
        <v>11.192</v>
      </c>
    </row>
    <row r="2401">
      <c r="A2401" s="17">
        <v>21.801600583409332</v>
      </c>
      <c r="I2401" s="11">
        <v>18.0</v>
      </c>
      <c r="M2401" s="16">
        <v>7.192</v>
      </c>
    </row>
    <row r="2402">
      <c r="A2402" s="17">
        <v>204.28412227897823</v>
      </c>
      <c r="I2402" s="11">
        <v>46.0</v>
      </c>
      <c r="M2402" s="16">
        <v>7.192</v>
      </c>
    </row>
    <row r="2403">
      <c r="A2403" s="17">
        <v>21.4162126946108</v>
      </c>
      <c r="I2403" s="11">
        <v>7.0</v>
      </c>
      <c r="M2403" s="16">
        <v>1.592</v>
      </c>
    </row>
    <row r="2404">
      <c r="A2404" s="17">
        <v>26.08751542043987</v>
      </c>
      <c r="I2404" s="11">
        <v>15.0</v>
      </c>
      <c r="M2404" s="16">
        <v>10.608</v>
      </c>
    </row>
    <row r="2405">
      <c r="A2405" s="17">
        <v>8.28552852005531</v>
      </c>
      <c r="I2405" s="11">
        <v>21.0</v>
      </c>
      <c r="M2405" s="16">
        <v>5.5760000000000005</v>
      </c>
    </row>
    <row r="2406">
      <c r="A2406" s="17">
        <v>99.74020069539951</v>
      </c>
      <c r="I2406" s="11">
        <v>41.0</v>
      </c>
      <c r="M2406" s="16">
        <v>5.976</v>
      </c>
    </row>
    <row r="2407">
      <c r="A2407" s="17">
        <v>185.4383305847269</v>
      </c>
      <c r="I2407" s="11">
        <v>42.0</v>
      </c>
      <c r="M2407" s="16">
        <v>11.192</v>
      </c>
    </row>
    <row r="2408">
      <c r="A2408" s="17">
        <v>1.7603017283950604</v>
      </c>
      <c r="I2408" s="11">
        <v>5.0</v>
      </c>
      <c r="M2408" s="16">
        <v>6.032</v>
      </c>
    </row>
    <row r="2409">
      <c r="A2409" s="17">
        <v>3.8511240798226183</v>
      </c>
      <c r="I2409" s="11">
        <v>22.0</v>
      </c>
      <c r="M2409" s="16">
        <v>1.2480000000000002</v>
      </c>
    </row>
    <row r="2410">
      <c r="A2410" s="17">
        <v>21.49251249042149</v>
      </c>
      <c r="I2410" s="11">
        <v>40.0</v>
      </c>
      <c r="M2410" s="16">
        <v>1.592</v>
      </c>
    </row>
    <row r="2411">
      <c r="A2411" s="17">
        <v>149.17182877086785</v>
      </c>
      <c r="I2411" s="11">
        <v>7.0</v>
      </c>
      <c r="M2411" s="16">
        <v>19.592</v>
      </c>
    </row>
    <row r="2412">
      <c r="A2412" s="17">
        <v>1110.0707966968837</v>
      </c>
      <c r="I2412" s="11">
        <v>43.0</v>
      </c>
      <c r="M2412" s="16">
        <v>39.2</v>
      </c>
    </row>
    <row r="2413">
      <c r="A2413" s="17">
        <v>11.646256176377957</v>
      </c>
      <c r="I2413" s="11">
        <v>14.0</v>
      </c>
      <c r="M2413" s="16">
        <v>7.192</v>
      </c>
    </row>
    <row r="2414">
      <c r="A2414" s="17">
        <v>2.371347256637128</v>
      </c>
      <c r="I2414" s="11">
        <v>24.0</v>
      </c>
      <c r="M2414" s="16">
        <v>2.192</v>
      </c>
    </row>
    <row r="2415">
      <c r="A2415" s="17">
        <v>171.26875458582745</v>
      </c>
      <c r="I2415" s="11">
        <v>21.0</v>
      </c>
      <c r="M2415" s="16">
        <v>55.2</v>
      </c>
    </row>
    <row r="2416">
      <c r="A2416" s="17">
        <v>115.5823239865051</v>
      </c>
      <c r="I2416" s="11">
        <v>42.0</v>
      </c>
      <c r="M2416" s="16">
        <v>8.200000000000001</v>
      </c>
    </row>
    <row r="2417">
      <c r="A2417" s="17">
        <v>6.312150743801649</v>
      </c>
      <c r="I2417" s="11">
        <v>11.0</v>
      </c>
      <c r="M2417" s="16">
        <v>1.816</v>
      </c>
    </row>
    <row r="2418">
      <c r="A2418" s="17">
        <v>47.85131699646186</v>
      </c>
      <c r="I2418" s="11">
        <v>10.0</v>
      </c>
      <c r="M2418" s="16">
        <v>2.8000000000000003</v>
      </c>
    </row>
    <row r="2419">
      <c r="A2419" s="17">
        <v>59.54919423900343</v>
      </c>
      <c r="I2419" s="11">
        <v>11.0</v>
      </c>
      <c r="M2419" s="16">
        <v>2.0</v>
      </c>
    </row>
    <row r="2420">
      <c r="A2420" s="17">
        <v>11.643423909348545</v>
      </c>
      <c r="I2420" s="11">
        <v>41.0</v>
      </c>
      <c r="M2420" s="16">
        <v>7.192</v>
      </c>
    </row>
    <row r="2421">
      <c r="A2421" s="17">
        <v>3.7949487533156585</v>
      </c>
      <c r="I2421" s="11">
        <v>2.0</v>
      </c>
      <c r="M2421" s="16">
        <v>15.991999999999999</v>
      </c>
    </row>
    <row r="2422">
      <c r="A2422" s="17">
        <v>6.522541682242966</v>
      </c>
      <c r="I2422" s="11">
        <v>12.0</v>
      </c>
      <c r="M2422" s="16">
        <v>3.608</v>
      </c>
    </row>
    <row r="2423">
      <c r="A2423" s="17">
        <v>51.22853794665835</v>
      </c>
      <c r="I2423" s="11">
        <v>14.0</v>
      </c>
      <c r="M2423" s="16">
        <v>19.592</v>
      </c>
    </row>
    <row r="2424">
      <c r="A2424" s="17">
        <v>0.7140000000000005</v>
      </c>
      <c r="I2424" s="11">
        <v>3.0</v>
      </c>
      <c r="M2424" s="16">
        <v>0.5599999999999999</v>
      </c>
    </row>
    <row r="2425">
      <c r="A2425" s="17">
        <v>14.099790781025394</v>
      </c>
      <c r="I2425" s="11">
        <v>47.0</v>
      </c>
      <c r="M2425" s="16">
        <v>0.792</v>
      </c>
    </row>
    <row r="2426">
      <c r="A2426" s="17">
        <v>1329.7618579159132</v>
      </c>
      <c r="I2426" s="11">
        <v>7.0</v>
      </c>
      <c r="M2426" s="16">
        <v>23.76</v>
      </c>
    </row>
    <row r="2427">
      <c r="A2427" s="17">
        <v>25.735739853960006</v>
      </c>
      <c r="I2427" s="11">
        <v>9.0</v>
      </c>
      <c r="M2427" s="16">
        <v>3.8880000000000003</v>
      </c>
    </row>
    <row r="2428">
      <c r="A2428" s="17">
        <v>47.612930014690356</v>
      </c>
      <c r="I2428" s="11">
        <v>39.0</v>
      </c>
      <c r="M2428" s="16">
        <v>13.536000000000001</v>
      </c>
    </row>
    <row r="2429">
      <c r="A2429" s="17">
        <v>163.75224769615522</v>
      </c>
      <c r="I2429" s="11">
        <v>14.0</v>
      </c>
      <c r="M2429" s="16">
        <v>12.472000000000001</v>
      </c>
    </row>
    <row r="2430">
      <c r="A2430" s="17">
        <v>1144.9996398305384</v>
      </c>
      <c r="I2430" s="11">
        <v>34.0</v>
      </c>
      <c r="M2430" s="16">
        <v>15.991999999999999</v>
      </c>
    </row>
    <row r="2431">
      <c r="A2431" s="17">
        <v>9.233604402116402</v>
      </c>
      <c r="I2431" s="11">
        <v>19.0</v>
      </c>
      <c r="M2431" s="16">
        <v>4.328</v>
      </c>
    </row>
    <row r="2432">
      <c r="A2432" s="17">
        <v>593.8776251675795</v>
      </c>
      <c r="I2432" s="11">
        <v>29.0</v>
      </c>
      <c r="M2432" s="16">
        <v>48.160000000000004</v>
      </c>
    </row>
    <row r="2433">
      <c r="A2433" s="17">
        <v>34.879552242077644</v>
      </c>
      <c r="I2433" s="11">
        <v>13.0</v>
      </c>
      <c r="M2433" s="16">
        <v>6.464</v>
      </c>
    </row>
    <row r="2434">
      <c r="A2434" s="17">
        <v>3.1401224507658623</v>
      </c>
      <c r="I2434" s="11">
        <v>45.0</v>
      </c>
      <c r="M2434" s="16">
        <v>4.104</v>
      </c>
    </row>
    <row r="2435">
      <c r="A2435" s="17">
        <v>14.531049670920076</v>
      </c>
      <c r="I2435" s="11">
        <v>18.0</v>
      </c>
      <c r="M2435" s="16">
        <v>10.096</v>
      </c>
    </row>
    <row r="2436">
      <c r="A2436" s="17">
        <v>8.134743493670884</v>
      </c>
      <c r="I2436" s="11">
        <v>23.0</v>
      </c>
      <c r="M2436" s="16">
        <v>0.792</v>
      </c>
    </row>
    <row r="2437">
      <c r="A2437" s="17">
        <v>0.7022344827586209</v>
      </c>
      <c r="I2437" s="11">
        <v>11.0</v>
      </c>
      <c r="M2437" s="16">
        <v>0.5599999999999999</v>
      </c>
    </row>
    <row r="2438">
      <c r="A2438" s="17">
        <v>17.21624132716889</v>
      </c>
      <c r="I2438" s="11">
        <v>8.0</v>
      </c>
      <c r="M2438" s="16">
        <v>2.3920000000000003</v>
      </c>
    </row>
    <row r="2439">
      <c r="A2439" s="17">
        <v>234.59238953968205</v>
      </c>
      <c r="I2439" s="11">
        <v>20.0</v>
      </c>
      <c r="M2439" s="16">
        <v>6.464</v>
      </c>
    </row>
    <row r="2440">
      <c r="A2440" s="17">
        <v>32.537510770138624</v>
      </c>
      <c r="I2440" s="11">
        <v>46.0</v>
      </c>
      <c r="M2440" s="16">
        <v>8.040000000000001</v>
      </c>
    </row>
    <row r="2441">
      <c r="A2441" s="17">
        <v>6.098693007896649</v>
      </c>
      <c r="I2441" s="11">
        <v>33.0</v>
      </c>
      <c r="M2441" s="16">
        <v>4.208</v>
      </c>
    </row>
    <row r="2442">
      <c r="A2442" s="17">
        <v>2.934081447963804</v>
      </c>
      <c r="I2442" s="11">
        <v>16.0</v>
      </c>
      <c r="M2442" s="16">
        <v>1.04</v>
      </c>
    </row>
    <row r="2443">
      <c r="A2443" s="17">
        <v>30.452519526591754</v>
      </c>
      <c r="I2443" s="11">
        <v>40.0</v>
      </c>
      <c r="M2443" s="16">
        <v>3.192</v>
      </c>
    </row>
    <row r="2444">
      <c r="A2444" s="17">
        <v>1.8893230121457734</v>
      </c>
      <c r="I2444" s="11">
        <v>6.0</v>
      </c>
      <c r="M2444" s="16">
        <v>5.696000000000001</v>
      </c>
    </row>
    <row r="2445">
      <c r="A2445" s="17">
        <v>13.141997264021883</v>
      </c>
      <c r="I2445" s="11">
        <v>16.0</v>
      </c>
      <c r="M2445" s="16">
        <v>5.2</v>
      </c>
    </row>
    <row r="2446">
      <c r="A2446" s="17">
        <v>0.9576998019801973</v>
      </c>
      <c r="I2446" s="11">
        <v>9.0</v>
      </c>
      <c r="M2446" s="16">
        <v>1.192</v>
      </c>
    </row>
    <row r="2447">
      <c r="A2447" s="17">
        <v>20.904824437517735</v>
      </c>
      <c r="I2447" s="11">
        <v>21.0</v>
      </c>
      <c r="M2447" s="16">
        <v>2.984</v>
      </c>
    </row>
    <row r="2448">
      <c r="A2448" s="17">
        <v>32.74346657514654</v>
      </c>
      <c r="I2448" s="11">
        <v>50.0</v>
      </c>
      <c r="M2448" s="16">
        <v>4.064</v>
      </c>
    </row>
    <row r="2449">
      <c r="A2449" s="17">
        <v>3.8451854364089773</v>
      </c>
      <c r="I2449" s="11">
        <v>5.0</v>
      </c>
      <c r="M2449" s="16">
        <v>6.792000000000001</v>
      </c>
    </row>
    <row r="2450">
      <c r="A2450" s="17">
        <v>5.90575916230372</v>
      </c>
      <c r="I2450" s="11">
        <v>12.0</v>
      </c>
      <c r="M2450" s="16">
        <v>5.2</v>
      </c>
    </row>
    <row r="2451">
      <c r="A2451" s="17">
        <v>12.700271574854202</v>
      </c>
      <c r="I2451" s="11">
        <v>34.0</v>
      </c>
      <c r="M2451" s="16">
        <v>0.9359999999999999</v>
      </c>
    </row>
    <row r="2452">
      <c r="A2452" s="17">
        <v>10.713767458646615</v>
      </c>
      <c r="I2452" s="11">
        <v>35.0</v>
      </c>
      <c r="M2452" s="16">
        <v>2.8160000000000003</v>
      </c>
    </row>
    <row r="2453">
      <c r="A2453" s="17">
        <v>135.68397123975473</v>
      </c>
      <c r="I2453" s="11">
        <v>31.0</v>
      </c>
      <c r="M2453" s="16">
        <v>15.991999999999999</v>
      </c>
    </row>
    <row r="2454">
      <c r="A2454" s="17">
        <v>238.87123507454402</v>
      </c>
      <c r="I2454" s="11">
        <v>34.0</v>
      </c>
      <c r="M2454" s="16">
        <v>28.872000000000003</v>
      </c>
    </row>
    <row r="2455">
      <c r="A2455" s="17">
        <v>168.7870927039933</v>
      </c>
      <c r="I2455" s="11">
        <v>1.0</v>
      </c>
      <c r="M2455" s="16">
        <v>6.984000000000001</v>
      </c>
    </row>
    <row r="2456">
      <c r="A2456" s="17">
        <v>25.746995494252896</v>
      </c>
      <c r="I2456" s="11">
        <v>10.0</v>
      </c>
      <c r="M2456" s="16">
        <v>4.792000000000001</v>
      </c>
    </row>
    <row r="2457">
      <c r="A2457" s="17">
        <v>13.621566421350602</v>
      </c>
      <c r="I2457" s="11">
        <v>26.0</v>
      </c>
      <c r="M2457" s="16">
        <v>6.632</v>
      </c>
    </row>
    <row r="2458">
      <c r="A2458" s="17">
        <v>376.349627187168</v>
      </c>
      <c r="I2458" s="11">
        <v>31.0</v>
      </c>
      <c r="M2458" s="16">
        <v>24.0</v>
      </c>
    </row>
    <row r="2459">
      <c r="A2459" s="17">
        <v>8.77759984848481</v>
      </c>
      <c r="I2459" s="11">
        <v>40.0</v>
      </c>
      <c r="M2459" s="16">
        <v>1.4320000000000002</v>
      </c>
    </row>
    <row r="2460">
      <c r="A2460" s="17">
        <v>19.69200774336286</v>
      </c>
      <c r="I2460" s="11">
        <v>43.0</v>
      </c>
      <c r="M2460" s="16">
        <v>1.0</v>
      </c>
    </row>
    <row r="2461">
      <c r="A2461" s="17">
        <v>649.7119209306486</v>
      </c>
      <c r="I2461" s="11">
        <v>50.0</v>
      </c>
      <c r="M2461" s="16">
        <v>6.464</v>
      </c>
    </row>
    <row r="2462">
      <c r="A2462" s="17">
        <v>32.16345791405972</v>
      </c>
      <c r="I2462" s="11">
        <v>50.0</v>
      </c>
      <c r="M2462" s="16">
        <v>1.592</v>
      </c>
    </row>
    <row r="2463">
      <c r="A2463" s="17">
        <v>20.52607969465646</v>
      </c>
      <c r="I2463" s="11">
        <v>28.0</v>
      </c>
      <c r="M2463" s="16">
        <v>7.336</v>
      </c>
    </row>
    <row r="2464">
      <c r="A2464" s="17">
        <v>52.67160328354469</v>
      </c>
      <c r="I2464" s="11">
        <v>32.0</v>
      </c>
      <c r="M2464" s="16">
        <v>7.192</v>
      </c>
    </row>
    <row r="2465">
      <c r="A2465" s="17">
        <v>19.779406005758926</v>
      </c>
      <c r="I2465" s="11">
        <v>37.0</v>
      </c>
      <c r="M2465" s="16">
        <v>3.08</v>
      </c>
    </row>
    <row r="2466">
      <c r="A2466" s="17">
        <v>2108.5686170949607</v>
      </c>
      <c r="I2466" s="11">
        <v>33.0</v>
      </c>
      <c r="M2466" s="16">
        <v>19.592</v>
      </c>
    </row>
    <row r="2467">
      <c r="A2467" s="17">
        <v>8.070632118570186</v>
      </c>
      <c r="I2467" s="11">
        <v>27.0</v>
      </c>
      <c r="M2467" s="16">
        <v>0.664</v>
      </c>
    </row>
    <row r="2468">
      <c r="A2468" s="17">
        <v>2.679000000000002</v>
      </c>
      <c r="I2468" s="11">
        <v>20.0</v>
      </c>
      <c r="M2468" s="16">
        <v>0.5599999999999999</v>
      </c>
    </row>
    <row r="2469">
      <c r="A2469" s="17">
        <v>7.002851895941731</v>
      </c>
      <c r="I2469" s="11">
        <v>21.0</v>
      </c>
      <c r="M2469" s="16">
        <v>7.192</v>
      </c>
    </row>
    <row r="2470">
      <c r="A2470" s="17">
        <v>120.47642801980528</v>
      </c>
      <c r="I2470" s="11">
        <v>23.0</v>
      </c>
      <c r="M2470" s="16">
        <v>44.912000000000006</v>
      </c>
    </row>
    <row r="2471">
      <c r="A2471" s="17">
        <v>42.47394918520182</v>
      </c>
      <c r="I2471" s="11">
        <v>4.0</v>
      </c>
      <c r="M2471" s="16">
        <v>7.992000000000001</v>
      </c>
    </row>
    <row r="2472">
      <c r="A2472" s="17">
        <v>13.555444230955867</v>
      </c>
      <c r="I2472" s="11">
        <v>34.0</v>
      </c>
      <c r="M2472" s="16">
        <v>1.1119999999999999</v>
      </c>
    </row>
    <row r="2473">
      <c r="A2473" s="17">
        <v>9.59259447983015</v>
      </c>
      <c r="I2473" s="11">
        <v>36.0</v>
      </c>
      <c r="M2473" s="16">
        <v>4.16</v>
      </c>
    </row>
    <row r="2474">
      <c r="A2474" s="17">
        <v>239.7503648206311</v>
      </c>
      <c r="I2474" s="11">
        <v>18.0</v>
      </c>
      <c r="M2474" s="16">
        <v>45.760000000000005</v>
      </c>
    </row>
    <row r="2475">
      <c r="A2475" s="17">
        <v>38.61043730674589</v>
      </c>
      <c r="I2475" s="11">
        <v>39.0</v>
      </c>
      <c r="M2475" s="16">
        <v>28.0</v>
      </c>
    </row>
    <row r="2476">
      <c r="A2476" s="17">
        <v>7.903855124378121</v>
      </c>
      <c r="I2476" s="11">
        <v>42.0</v>
      </c>
      <c r="M2476" s="16">
        <v>5.464</v>
      </c>
    </row>
    <row r="2477">
      <c r="A2477" s="17">
        <v>37.53566827225131</v>
      </c>
      <c r="I2477" s="11">
        <v>49.0</v>
      </c>
      <c r="M2477" s="16">
        <v>6.384</v>
      </c>
    </row>
    <row r="2478">
      <c r="A2478" s="17">
        <v>1.2774653023255789</v>
      </c>
      <c r="I2478" s="11">
        <v>6.0</v>
      </c>
      <c r="M2478" s="16">
        <v>1.536</v>
      </c>
    </row>
    <row r="2479">
      <c r="A2479" s="17">
        <v>13.273448057553951</v>
      </c>
      <c r="I2479" s="11">
        <v>16.0</v>
      </c>
      <c r="M2479" s="16">
        <v>5.736000000000001</v>
      </c>
    </row>
    <row r="2480">
      <c r="A2480" s="17">
        <v>9.421464548624586</v>
      </c>
      <c r="I2480" s="11">
        <v>46.0</v>
      </c>
      <c r="M2480" s="16">
        <v>5.2</v>
      </c>
    </row>
    <row r="2481">
      <c r="A2481" s="17">
        <v>21.17023907050439</v>
      </c>
      <c r="I2481" s="11">
        <v>9.0</v>
      </c>
      <c r="M2481" s="16">
        <v>1.592</v>
      </c>
    </row>
    <row r="2482">
      <c r="A2482" s="17">
        <v>25.00751215774648</v>
      </c>
      <c r="I2482" s="11">
        <v>21.0</v>
      </c>
      <c r="M2482" s="16">
        <v>8.728</v>
      </c>
    </row>
    <row r="2483">
      <c r="A2483" s="17">
        <v>12.074479737130316</v>
      </c>
      <c r="I2483" s="11">
        <v>47.0</v>
      </c>
      <c r="M2483" s="16">
        <v>0.4</v>
      </c>
    </row>
    <row r="2484">
      <c r="A2484" s="17">
        <v>7.343067671840349</v>
      </c>
      <c r="I2484" s="11">
        <v>26.0</v>
      </c>
      <c r="M2484" s="16">
        <v>1.536</v>
      </c>
    </row>
    <row r="2485">
      <c r="A2485" s="17">
        <v>5.847978436657675</v>
      </c>
      <c r="I2485" s="11">
        <v>29.0</v>
      </c>
      <c r="M2485" s="16">
        <v>4.0</v>
      </c>
    </row>
    <row r="2486">
      <c r="A2486" s="17">
        <v>12.573891558245116</v>
      </c>
      <c r="I2486" s="11">
        <v>33.0</v>
      </c>
      <c r="M2486" s="16">
        <v>1.1119999999999999</v>
      </c>
    </row>
    <row r="2487">
      <c r="A2487" s="17">
        <v>311.5061934946252</v>
      </c>
      <c r="I2487" s="11">
        <v>38.0</v>
      </c>
      <c r="M2487" s="16">
        <v>38.608000000000004</v>
      </c>
    </row>
    <row r="2488">
      <c r="A2488" s="17">
        <v>46.56312114771527</v>
      </c>
      <c r="I2488" s="11">
        <v>45.0</v>
      </c>
      <c r="M2488" s="16">
        <v>5.04</v>
      </c>
    </row>
    <row r="2489">
      <c r="A2489" s="17">
        <v>22.58006663401771</v>
      </c>
      <c r="I2489" s="11">
        <v>21.0</v>
      </c>
      <c r="M2489" s="16">
        <v>5.368</v>
      </c>
    </row>
    <row r="2490">
      <c r="A2490" s="17">
        <v>203.60711174555962</v>
      </c>
      <c r="I2490" s="11">
        <v>50.0</v>
      </c>
      <c r="M2490" s="16">
        <v>1.592</v>
      </c>
    </row>
    <row r="2491">
      <c r="A2491" s="17">
        <v>174.18536207353793</v>
      </c>
      <c r="I2491" s="11">
        <v>49.0</v>
      </c>
      <c r="M2491" s="16">
        <v>15.991999999999999</v>
      </c>
    </row>
    <row r="2492">
      <c r="A2492" s="17">
        <v>2.1082424869018186</v>
      </c>
      <c r="I2492" s="11">
        <v>8.0</v>
      </c>
      <c r="M2492" s="16">
        <v>6.5760000000000005</v>
      </c>
    </row>
    <row r="2493">
      <c r="A2493" s="17">
        <v>109.66417627818913</v>
      </c>
      <c r="I2493" s="11">
        <v>29.0</v>
      </c>
      <c r="M2493" s="16">
        <v>4.0</v>
      </c>
    </row>
    <row r="2494">
      <c r="A2494" s="17">
        <v>12.440530862068943</v>
      </c>
      <c r="I2494" s="11">
        <v>47.0</v>
      </c>
      <c r="M2494" s="16">
        <v>1.1119999999999999</v>
      </c>
    </row>
    <row r="2495">
      <c r="A2495" s="17">
        <v>26.977278544006744</v>
      </c>
      <c r="I2495" s="11">
        <v>8.0</v>
      </c>
      <c r="M2495" s="16">
        <v>28.0</v>
      </c>
    </row>
    <row r="2496">
      <c r="A2496" s="17">
        <v>1.7188699830795315</v>
      </c>
      <c r="I2496" s="11">
        <v>8.0</v>
      </c>
      <c r="M2496" s="16">
        <v>4.5280000000000005</v>
      </c>
    </row>
    <row r="2497">
      <c r="A2497" s="17">
        <v>363.40682541917437</v>
      </c>
      <c r="I2497" s="11">
        <v>32.0</v>
      </c>
      <c r="M2497" s="16">
        <v>11.192</v>
      </c>
    </row>
    <row r="2498">
      <c r="A2498" s="17">
        <v>20.908491971740542</v>
      </c>
      <c r="I2498" s="11">
        <v>29.0</v>
      </c>
      <c r="M2498" s="16">
        <v>7.56</v>
      </c>
    </row>
    <row r="2499">
      <c r="A2499" s="17">
        <v>92.76466002495017</v>
      </c>
      <c r="I2499" s="11">
        <v>1.0</v>
      </c>
      <c r="M2499" s="16">
        <v>23.76</v>
      </c>
    </row>
    <row r="2500">
      <c r="A2500" s="17">
        <v>42.1328032499212</v>
      </c>
      <c r="I2500" s="11">
        <v>34.0</v>
      </c>
      <c r="M2500" s="16">
        <v>7.192</v>
      </c>
    </row>
    <row r="2501">
      <c r="A2501" s="17">
        <v>602.1471256550951</v>
      </c>
      <c r="I2501" s="11">
        <v>35.0</v>
      </c>
      <c r="M2501" s="16">
        <v>0.792</v>
      </c>
    </row>
    <row r="2502">
      <c r="A2502" s="17">
        <v>1.9876927949326963</v>
      </c>
      <c r="I2502" s="11">
        <v>10.0</v>
      </c>
      <c r="M2502" s="16">
        <v>2.2800000000000002</v>
      </c>
    </row>
    <row r="2503">
      <c r="A2503" s="17">
        <v>106.83837521977453</v>
      </c>
      <c r="I2503" s="11">
        <v>33.0</v>
      </c>
      <c r="M2503" s="16">
        <v>8.6</v>
      </c>
    </row>
    <row r="2504">
      <c r="A2504" s="17">
        <v>139.2764969682069</v>
      </c>
      <c r="I2504" s="11">
        <v>47.0</v>
      </c>
      <c r="M2504" s="16">
        <v>6.5760000000000005</v>
      </c>
    </row>
    <row r="2505">
      <c r="A2505" s="17">
        <v>0.8470588235294121</v>
      </c>
      <c r="I2505" s="11">
        <v>1.0</v>
      </c>
      <c r="M2505" s="16">
        <v>3.6</v>
      </c>
    </row>
    <row r="2506">
      <c r="A2506" s="17">
        <v>26.54036344868038</v>
      </c>
      <c r="I2506" s="11">
        <v>36.0</v>
      </c>
      <c r="M2506" s="16">
        <v>2.3920000000000003</v>
      </c>
    </row>
    <row r="2507">
      <c r="A2507" s="17">
        <v>9.958699029448375</v>
      </c>
      <c r="I2507" s="11">
        <v>11.0</v>
      </c>
      <c r="M2507" s="16">
        <v>0.792</v>
      </c>
    </row>
    <row r="2508">
      <c r="A2508" s="17">
        <v>4.09432703003338</v>
      </c>
      <c r="I2508" s="11">
        <v>4.0</v>
      </c>
      <c r="M2508" s="16">
        <v>2.0</v>
      </c>
    </row>
    <row r="2509">
      <c r="A2509" s="17">
        <v>1.4379746835443048</v>
      </c>
      <c r="I2509" s="11">
        <v>4.0</v>
      </c>
      <c r="M2509" s="16">
        <v>0.6000000000000001</v>
      </c>
    </row>
    <row r="2510">
      <c r="A2510" s="17">
        <v>61.76718230603671</v>
      </c>
      <c r="I2510" s="11">
        <v>4.0</v>
      </c>
      <c r="M2510" s="16">
        <v>9.432</v>
      </c>
    </row>
    <row r="2511">
      <c r="A2511" s="17">
        <v>58.436883898369246</v>
      </c>
      <c r="I2511" s="11">
        <v>15.0</v>
      </c>
      <c r="M2511" s="16">
        <v>4.208</v>
      </c>
    </row>
    <row r="2512">
      <c r="A2512" s="17">
        <v>31.159040787373712</v>
      </c>
      <c r="I2512" s="11">
        <v>18.0</v>
      </c>
      <c r="M2512" s="16">
        <v>7.192</v>
      </c>
    </row>
    <row r="2513">
      <c r="A2513" s="17">
        <v>3.5046439628482946</v>
      </c>
      <c r="I2513" s="11">
        <v>5.0</v>
      </c>
      <c r="M2513" s="16">
        <v>3.8000000000000003</v>
      </c>
    </row>
    <row r="2514">
      <c r="A2514" s="17">
        <v>11.009843244929787</v>
      </c>
      <c r="I2514" s="11">
        <v>19.0</v>
      </c>
      <c r="M2514" s="16">
        <v>3.936</v>
      </c>
    </row>
    <row r="2515">
      <c r="A2515" s="17">
        <v>34.47592408933543</v>
      </c>
      <c r="I2515" s="11">
        <v>20.0</v>
      </c>
      <c r="M2515" s="16">
        <v>7.192</v>
      </c>
    </row>
    <row r="2516">
      <c r="A2516" s="17">
        <v>55.9946360153255</v>
      </c>
      <c r="I2516" s="11">
        <v>32.0</v>
      </c>
      <c r="M2516" s="16">
        <v>4.4</v>
      </c>
    </row>
    <row r="2517">
      <c r="A2517" s="17">
        <v>4.42526623063685</v>
      </c>
      <c r="I2517" s="11">
        <v>9.0</v>
      </c>
      <c r="M2517" s="16">
        <v>7.192</v>
      </c>
    </row>
    <row r="2518">
      <c r="A2518" s="17">
        <v>5.194957473684209</v>
      </c>
      <c r="I2518" s="11">
        <v>10.0</v>
      </c>
      <c r="M2518" s="16">
        <v>2.9440000000000004</v>
      </c>
    </row>
    <row r="2519">
      <c r="A2519" s="17">
        <v>244.2908598082276</v>
      </c>
      <c r="I2519" s="11">
        <v>40.0</v>
      </c>
      <c r="M2519" s="16">
        <v>4.5040000000000004</v>
      </c>
    </row>
    <row r="2520">
      <c r="A2520" s="17">
        <v>63.80468510134707</v>
      </c>
      <c r="I2520" s="11">
        <v>37.0</v>
      </c>
      <c r="M2520" s="16">
        <v>10.232</v>
      </c>
    </row>
    <row r="2521">
      <c r="A2521" s="17">
        <v>2.542406130268199</v>
      </c>
      <c r="I2521" s="11">
        <v>7.0</v>
      </c>
      <c r="M2521" s="16">
        <v>4.720000000000001</v>
      </c>
    </row>
    <row r="2522">
      <c r="A2522" s="17">
        <v>1.779134358974359</v>
      </c>
      <c r="I2522" s="11">
        <v>1.0</v>
      </c>
      <c r="M2522" s="16">
        <v>4.952000000000001</v>
      </c>
    </row>
    <row r="2523">
      <c r="A2523" s="17">
        <v>292.5810135255414</v>
      </c>
      <c r="I2523" s="11">
        <v>11.0</v>
      </c>
      <c r="M2523" s="16">
        <v>15.991999999999999</v>
      </c>
    </row>
    <row r="2524">
      <c r="A2524" s="17">
        <v>6.84715570164348</v>
      </c>
      <c r="I2524" s="11">
        <v>16.0</v>
      </c>
      <c r="M2524" s="16">
        <v>4.328</v>
      </c>
    </row>
    <row r="2525">
      <c r="A2525" s="17">
        <v>11.11906224988883</v>
      </c>
      <c r="I2525" s="11">
        <v>7.0</v>
      </c>
      <c r="M2525" s="16">
        <v>7.040000000000001</v>
      </c>
    </row>
    <row r="2526">
      <c r="A2526" s="17">
        <v>11.14151044456345</v>
      </c>
      <c r="I2526" s="11">
        <v>30.0</v>
      </c>
      <c r="M2526" s="16">
        <v>0.8</v>
      </c>
    </row>
    <row r="2527">
      <c r="A2527" s="17">
        <v>4.491525551425027</v>
      </c>
      <c r="I2527" s="11">
        <v>48.0</v>
      </c>
      <c r="M2527" s="16">
        <v>3.176</v>
      </c>
    </row>
    <row r="2528">
      <c r="A2528" s="17">
        <v>48.726213294933885</v>
      </c>
      <c r="I2528" s="11">
        <v>25.0</v>
      </c>
      <c r="M2528" s="16">
        <v>1.592</v>
      </c>
    </row>
    <row r="2529">
      <c r="A2529" s="17">
        <v>6.865722687747037</v>
      </c>
      <c r="I2529" s="11">
        <v>31.0</v>
      </c>
      <c r="M2529" s="16">
        <v>0.792</v>
      </c>
    </row>
    <row r="2530">
      <c r="A2530" s="17">
        <v>1.2025974857142894</v>
      </c>
      <c r="I2530" s="11">
        <v>7.0</v>
      </c>
      <c r="M2530" s="16">
        <v>2.9760000000000004</v>
      </c>
    </row>
    <row r="2531">
      <c r="A2531" s="17">
        <v>27.263103184713394</v>
      </c>
      <c r="I2531" s="11">
        <v>3.0</v>
      </c>
      <c r="M2531" s="16">
        <v>71.44</v>
      </c>
    </row>
    <row r="2532">
      <c r="A2532" s="17">
        <v>204.12716380166785</v>
      </c>
      <c r="I2532" s="11">
        <v>40.0</v>
      </c>
      <c r="M2532" s="16">
        <v>3.2</v>
      </c>
    </row>
    <row r="2533">
      <c r="A2533" s="17">
        <v>1.4420757088122607</v>
      </c>
      <c r="I2533" s="11">
        <v>5.0</v>
      </c>
      <c r="M2533" s="16">
        <v>0.568</v>
      </c>
    </row>
    <row r="2534">
      <c r="A2534" s="17">
        <v>0.9922470697674445</v>
      </c>
      <c r="I2534" s="11">
        <v>3.0</v>
      </c>
      <c r="M2534" s="16">
        <v>0.792</v>
      </c>
    </row>
    <row r="2535">
      <c r="A2535" s="17">
        <v>229.99467324639005</v>
      </c>
      <c r="I2535" s="11">
        <v>30.0</v>
      </c>
      <c r="M2535" s="16">
        <v>1.592</v>
      </c>
    </row>
    <row r="2536">
      <c r="A2536" s="17">
        <v>1.6172739764705926</v>
      </c>
      <c r="I2536" s="11">
        <v>1.0</v>
      </c>
      <c r="M2536" s="16">
        <v>3.416</v>
      </c>
    </row>
    <row r="2537">
      <c r="A2537" s="17">
        <v>5.225996879875191</v>
      </c>
      <c r="I2537" s="11">
        <v>34.0</v>
      </c>
      <c r="M2537" s="16">
        <v>0.5599999999999999</v>
      </c>
    </row>
    <row r="2538">
      <c r="A2538" s="17">
        <v>138.03327005892987</v>
      </c>
      <c r="I2538" s="11">
        <v>37.0</v>
      </c>
      <c r="M2538" s="16">
        <v>22.400000000000002</v>
      </c>
    </row>
    <row r="2539">
      <c r="A2539" s="17">
        <v>343.64205072839593</v>
      </c>
      <c r="I2539" s="11">
        <v>14.0</v>
      </c>
      <c r="M2539" s="16">
        <v>33.528</v>
      </c>
    </row>
    <row r="2540">
      <c r="A2540" s="17">
        <v>125.52070613979267</v>
      </c>
      <c r="I2540" s="11">
        <v>30.0</v>
      </c>
      <c r="M2540" s="16">
        <v>1.0</v>
      </c>
    </row>
    <row r="2541">
      <c r="A2541" s="17">
        <v>50.69197729713144</v>
      </c>
      <c r="I2541" s="11">
        <v>35.0</v>
      </c>
      <c r="M2541" s="16">
        <v>5.0</v>
      </c>
    </row>
    <row r="2542">
      <c r="A2542" s="17">
        <v>120.38090661573254</v>
      </c>
      <c r="I2542" s="11">
        <v>7.0</v>
      </c>
      <c r="M2542" s="16">
        <v>68.504</v>
      </c>
    </row>
    <row r="2543">
      <c r="A2543" s="17">
        <v>1.23801652892562</v>
      </c>
      <c r="I2543" s="11">
        <v>1.0</v>
      </c>
      <c r="M2543" s="16">
        <v>3.2</v>
      </c>
    </row>
    <row r="2544">
      <c r="A2544" s="17">
        <v>12.079352727272745</v>
      </c>
      <c r="I2544" s="11">
        <v>6.0</v>
      </c>
      <c r="M2544" s="16">
        <v>5.056000000000001</v>
      </c>
    </row>
    <row r="2545">
      <c r="A2545" s="17">
        <v>28.24845774815521</v>
      </c>
      <c r="I2545" s="11">
        <v>5.0</v>
      </c>
      <c r="M2545" s="16">
        <v>47.160000000000004</v>
      </c>
    </row>
    <row r="2546">
      <c r="A2546" s="17">
        <v>25.77030980232841</v>
      </c>
      <c r="I2546" s="11">
        <v>16.0</v>
      </c>
      <c r="M2546" s="16">
        <v>19.592</v>
      </c>
    </row>
    <row r="2547">
      <c r="A2547" s="17">
        <v>60.89199807386256</v>
      </c>
      <c r="I2547" s="11">
        <v>48.0</v>
      </c>
      <c r="M2547" s="16">
        <v>3.192</v>
      </c>
    </row>
    <row r="2548">
      <c r="A2548" s="17">
        <v>157.60545679345734</v>
      </c>
      <c r="I2548" s="11">
        <v>41.0</v>
      </c>
      <c r="M2548" s="16">
        <v>4.248</v>
      </c>
    </row>
    <row r="2549">
      <c r="A2549" s="17">
        <v>2.409344895104897</v>
      </c>
      <c r="I2549" s="11">
        <v>9.0</v>
      </c>
      <c r="M2549" s="16">
        <v>0.7440000000000001</v>
      </c>
    </row>
    <row r="2550">
      <c r="A2550" s="17">
        <v>148.0043177716894</v>
      </c>
      <c r="I2550" s="11">
        <v>24.0</v>
      </c>
      <c r="M2550" s="16">
        <v>7.192</v>
      </c>
    </row>
    <row r="2551">
      <c r="A2551" s="17">
        <v>4.306049523809514</v>
      </c>
      <c r="I2551" s="11">
        <v>20.0</v>
      </c>
      <c r="M2551" s="16">
        <v>5.016</v>
      </c>
    </row>
    <row r="2552">
      <c r="A2552" s="17">
        <v>5.504082386455276</v>
      </c>
      <c r="I2552" s="11">
        <v>42.0</v>
      </c>
      <c r="M2552" s="16">
        <v>1.1119999999999999</v>
      </c>
    </row>
    <row r="2553">
      <c r="A2553" s="17">
        <v>35.567583791895906</v>
      </c>
      <c r="I2553" s="11">
        <v>40.0</v>
      </c>
      <c r="M2553" s="16">
        <v>2.8000000000000003</v>
      </c>
    </row>
    <row r="2554">
      <c r="A2554" s="17">
        <v>7.16306719889884</v>
      </c>
      <c r="I2554" s="11">
        <v>8.0</v>
      </c>
      <c r="M2554" s="16">
        <v>10.544</v>
      </c>
    </row>
    <row r="2555">
      <c r="A2555" s="17">
        <v>293.353882336283</v>
      </c>
      <c r="I2555" s="11">
        <v>20.0</v>
      </c>
      <c r="M2555" s="16">
        <v>3.9920000000000004</v>
      </c>
    </row>
    <row r="2556">
      <c r="A2556" s="17">
        <v>26.999020621118014</v>
      </c>
      <c r="I2556" s="11">
        <v>35.0</v>
      </c>
      <c r="M2556" s="16">
        <v>4.168</v>
      </c>
    </row>
    <row r="2557">
      <c r="A2557" s="17">
        <v>47.100012468121</v>
      </c>
      <c r="I2557" s="11">
        <v>32.0</v>
      </c>
      <c r="M2557" s="16">
        <v>59.48</v>
      </c>
    </row>
    <row r="2558">
      <c r="A2558" s="17">
        <v>476.96742488932017</v>
      </c>
      <c r="I2558" s="11">
        <v>27.0</v>
      </c>
      <c r="M2558" s="16">
        <v>51.784000000000006</v>
      </c>
    </row>
    <row r="2559">
      <c r="A2559" s="17">
        <v>79.7063650843025</v>
      </c>
      <c r="I2559" s="11">
        <v>36.0</v>
      </c>
      <c r="M2559" s="16">
        <v>4.064</v>
      </c>
    </row>
    <row r="2560">
      <c r="A2560" s="17">
        <v>301.8930589410453</v>
      </c>
      <c r="I2560" s="11">
        <v>28.0</v>
      </c>
      <c r="M2560" s="16">
        <v>15.991999999999999</v>
      </c>
    </row>
    <row r="2561">
      <c r="A2561" s="17">
        <v>294.8545592461338</v>
      </c>
      <c r="I2561" s="11">
        <v>49.0</v>
      </c>
      <c r="M2561" s="16">
        <v>9.312000000000001</v>
      </c>
    </row>
    <row r="2562">
      <c r="A2562" s="17">
        <v>284.81129646034515</v>
      </c>
      <c r="I2562" s="11">
        <v>36.0</v>
      </c>
      <c r="M2562" s="16">
        <v>15.991999999999999</v>
      </c>
    </row>
    <row r="2563">
      <c r="A2563" s="17">
        <v>13.938322294382516</v>
      </c>
      <c r="I2563" s="11">
        <v>49.0</v>
      </c>
      <c r="M2563" s="16">
        <v>0.768</v>
      </c>
    </row>
    <row r="2564">
      <c r="A2564" s="17">
        <v>24.89610513259888</v>
      </c>
      <c r="I2564" s="11">
        <v>3.0</v>
      </c>
      <c r="M2564" s="16">
        <v>11.192</v>
      </c>
    </row>
    <row r="2565">
      <c r="A2565" s="17">
        <v>14.582732288269332</v>
      </c>
      <c r="I2565" s="11">
        <v>29.0</v>
      </c>
      <c r="M2565" s="16">
        <v>7.224</v>
      </c>
    </row>
    <row r="2566">
      <c r="A2566" s="17">
        <v>12.967546644844525</v>
      </c>
      <c r="I2566" s="11">
        <v>23.0</v>
      </c>
      <c r="M2566" s="16">
        <v>7.56</v>
      </c>
    </row>
    <row r="2567">
      <c r="A2567" s="17">
        <v>1.2383211678832122</v>
      </c>
      <c r="I2567" s="11">
        <v>1.0</v>
      </c>
      <c r="M2567" s="16">
        <v>5.2</v>
      </c>
    </row>
    <row r="2568">
      <c r="A2568" s="17">
        <v>4.938371830985907</v>
      </c>
      <c r="I2568" s="11">
        <v>31.0</v>
      </c>
      <c r="M2568" s="16">
        <v>0.5599999999999999</v>
      </c>
    </row>
    <row r="2569">
      <c r="A2569" s="17">
        <v>14.678236861058899</v>
      </c>
      <c r="I2569" s="11">
        <v>16.0</v>
      </c>
      <c r="M2569" s="16">
        <v>1.592</v>
      </c>
    </row>
    <row r="2570">
      <c r="A2570" s="17">
        <v>164.38645811859874</v>
      </c>
      <c r="I2570" s="11">
        <v>14.0</v>
      </c>
      <c r="M2570" s="16">
        <v>7.192</v>
      </c>
    </row>
    <row r="2571">
      <c r="A2571" s="17">
        <v>2.4432612274368246</v>
      </c>
      <c r="I2571" s="11">
        <v>4.0</v>
      </c>
      <c r="M2571" s="16">
        <v>4.5920000000000005</v>
      </c>
    </row>
    <row r="2572">
      <c r="A2572" s="17">
        <v>66.85400829279816</v>
      </c>
      <c r="I2572" s="11">
        <v>22.0</v>
      </c>
      <c r="M2572" s="16">
        <v>6.024000000000001</v>
      </c>
    </row>
    <row r="2573">
      <c r="A2573" s="17">
        <v>0.29323308270676757</v>
      </c>
      <c r="I2573" s="11">
        <v>2.0</v>
      </c>
      <c r="M2573" s="16">
        <v>0.4</v>
      </c>
    </row>
    <row r="2574">
      <c r="A2574" s="17">
        <v>2.06093544344132</v>
      </c>
      <c r="I2574" s="11">
        <v>28.0</v>
      </c>
      <c r="M2574" s="16">
        <v>4.216</v>
      </c>
    </row>
    <row r="2575">
      <c r="A2575" s="17">
        <v>66.92972439501429</v>
      </c>
      <c r="I2575" s="11">
        <v>27.0</v>
      </c>
      <c r="M2575" s="16">
        <v>7.216</v>
      </c>
    </row>
    <row r="2576">
      <c r="A2576" s="17">
        <v>168.59393074299257</v>
      </c>
      <c r="I2576" s="11">
        <v>45.0</v>
      </c>
      <c r="M2576" s="16">
        <v>1.0</v>
      </c>
    </row>
    <row r="2577">
      <c r="A2577" s="17">
        <v>6.994873093525166</v>
      </c>
      <c r="I2577" s="11">
        <v>22.0</v>
      </c>
      <c r="M2577" s="16">
        <v>4.752000000000001</v>
      </c>
    </row>
    <row r="2578">
      <c r="A2578" s="17">
        <v>5.318135723431482</v>
      </c>
      <c r="I2578" s="11">
        <v>14.0</v>
      </c>
      <c r="M2578" s="16">
        <v>3.7600000000000002</v>
      </c>
    </row>
    <row r="2579">
      <c r="A2579" s="17">
        <v>192.24252254618693</v>
      </c>
      <c r="I2579" s="11">
        <v>37.0</v>
      </c>
      <c r="M2579" s="16">
        <v>4.0</v>
      </c>
    </row>
    <row r="2580">
      <c r="A2580" s="17">
        <v>273.02896802391274</v>
      </c>
      <c r="I2580" s="11">
        <v>6.0</v>
      </c>
      <c r="M2580" s="16">
        <v>19.592</v>
      </c>
    </row>
    <row r="2581">
      <c r="A2581" s="17">
        <v>131.2663810253932</v>
      </c>
      <c r="I2581" s="11">
        <v>26.0</v>
      </c>
      <c r="M2581" s="16">
        <v>7.192</v>
      </c>
    </row>
    <row r="2582">
      <c r="A2582" s="17">
        <v>6.419597398373993</v>
      </c>
      <c r="I2582" s="11">
        <v>4.0</v>
      </c>
      <c r="M2582" s="16">
        <v>11.896</v>
      </c>
    </row>
    <row r="2583">
      <c r="A2583" s="17">
        <v>11.690412601431978</v>
      </c>
      <c r="I2583" s="11">
        <v>31.0</v>
      </c>
      <c r="M2583" s="16">
        <v>1.056</v>
      </c>
    </row>
    <row r="2584">
      <c r="A2584" s="17">
        <v>36.23894407436093</v>
      </c>
      <c r="I2584" s="11">
        <v>14.0</v>
      </c>
      <c r="M2584" s="16">
        <v>27.360000000000003</v>
      </c>
    </row>
    <row r="2585">
      <c r="A2585" s="17">
        <v>13.178588656716407</v>
      </c>
      <c r="I2585" s="11">
        <v>22.0</v>
      </c>
      <c r="M2585" s="16">
        <v>1.2800000000000002</v>
      </c>
    </row>
    <row r="2586">
      <c r="A2586" s="17">
        <v>14.187204419889536</v>
      </c>
      <c r="I2586" s="11">
        <v>38.0</v>
      </c>
      <c r="M2586" s="16">
        <v>4.84</v>
      </c>
    </row>
    <row r="2587">
      <c r="A2587" s="17">
        <v>19.17626214352284</v>
      </c>
      <c r="I2587" s="11">
        <v>9.0</v>
      </c>
      <c r="M2587" s="16">
        <v>11.512</v>
      </c>
    </row>
    <row r="2588">
      <c r="A2588" s="17">
        <v>79.93923774408368</v>
      </c>
      <c r="I2588" s="11">
        <v>46.0</v>
      </c>
      <c r="M2588" s="16">
        <v>4.0</v>
      </c>
    </row>
    <row r="2589">
      <c r="A2589" s="17">
        <v>141.39746044149243</v>
      </c>
      <c r="I2589" s="11">
        <v>43.0</v>
      </c>
      <c r="M2589" s="16">
        <v>2.8000000000000003</v>
      </c>
    </row>
    <row r="2590">
      <c r="A2590" s="17">
        <v>135.84083740104535</v>
      </c>
      <c r="I2590" s="11">
        <v>22.0</v>
      </c>
      <c r="M2590" s="16">
        <v>7.192</v>
      </c>
    </row>
    <row r="2591">
      <c r="A2591" s="17">
        <v>28.764750681712805</v>
      </c>
      <c r="I2591" s="11">
        <v>40.0</v>
      </c>
      <c r="M2591" s="16">
        <v>8.728</v>
      </c>
    </row>
    <row r="2592">
      <c r="A2592" s="17">
        <v>142.38207272642168</v>
      </c>
      <c r="I2592" s="11">
        <v>24.0</v>
      </c>
      <c r="M2592" s="16">
        <v>15.991999999999999</v>
      </c>
    </row>
    <row r="2593">
      <c r="A2593" s="17">
        <v>1.527768953068584</v>
      </c>
      <c r="I2593" s="11">
        <v>33.0</v>
      </c>
      <c r="M2593" s="16">
        <v>0.96</v>
      </c>
    </row>
    <row r="2594">
      <c r="A2594" s="17">
        <v>2.4257986617100356</v>
      </c>
      <c r="I2594" s="11">
        <v>5.0</v>
      </c>
      <c r="M2594" s="16">
        <v>0.7040000000000001</v>
      </c>
    </row>
    <row r="2595">
      <c r="A2595" s="17">
        <v>548.392054668251</v>
      </c>
      <c r="I2595" s="11">
        <v>49.0</v>
      </c>
      <c r="M2595" s="16">
        <v>3.192</v>
      </c>
    </row>
    <row r="2596">
      <c r="A2596" s="17">
        <v>26.024813251055527</v>
      </c>
      <c r="I2596" s="11">
        <v>25.0</v>
      </c>
      <c r="M2596" s="16">
        <v>4.2</v>
      </c>
    </row>
    <row r="2597">
      <c r="A2597" s="17">
        <v>218.20569058793532</v>
      </c>
      <c r="I2597" s="11">
        <v>24.0</v>
      </c>
      <c r="M2597" s="16">
        <v>5.688000000000001</v>
      </c>
    </row>
    <row r="2598">
      <c r="A2598" s="17">
        <v>52.16358456211252</v>
      </c>
      <c r="I2598" s="11">
        <v>48.0</v>
      </c>
      <c r="M2598" s="16">
        <v>6.920000000000001</v>
      </c>
    </row>
    <row r="2599">
      <c r="A2599" s="17">
        <v>10.527785234899309</v>
      </c>
      <c r="I2599" s="11">
        <v>28.0</v>
      </c>
      <c r="M2599" s="16">
        <v>0.4</v>
      </c>
    </row>
    <row r="2600">
      <c r="A2600" s="17">
        <v>4486.7474007553255</v>
      </c>
      <c r="I2600" s="11">
        <v>8.0</v>
      </c>
      <c r="M2600" s="16">
        <v>19.592</v>
      </c>
    </row>
    <row r="2601">
      <c r="A2601" s="17">
        <v>26.971332930056708</v>
      </c>
      <c r="I2601" s="11">
        <v>32.0</v>
      </c>
      <c r="M2601" s="16">
        <v>3.848</v>
      </c>
    </row>
    <row r="2602">
      <c r="A2602" s="17">
        <v>2.7956994991652735</v>
      </c>
      <c r="I2602" s="11">
        <v>47.0</v>
      </c>
      <c r="M2602" s="16">
        <v>0.5599999999999999</v>
      </c>
    </row>
    <row r="2603">
      <c r="A2603" s="17">
        <v>69.61349397590365</v>
      </c>
      <c r="I2603" s="11">
        <v>20.0</v>
      </c>
      <c r="M2603" s="16">
        <v>2.8000000000000003</v>
      </c>
    </row>
    <row r="2604">
      <c r="A2604" s="17">
        <v>49.535544499920476</v>
      </c>
      <c r="I2604" s="11">
        <v>25.0</v>
      </c>
      <c r="M2604" s="16">
        <v>7.192</v>
      </c>
    </row>
    <row r="2605">
      <c r="A2605" s="17">
        <v>168.3581058219899</v>
      </c>
      <c r="I2605" s="11">
        <v>18.0</v>
      </c>
      <c r="M2605" s="16">
        <v>43.296</v>
      </c>
    </row>
    <row r="2606">
      <c r="A2606" s="17">
        <v>90.45157773490968</v>
      </c>
      <c r="I2606" s="11">
        <v>29.0</v>
      </c>
      <c r="M2606" s="16">
        <v>1.592</v>
      </c>
    </row>
    <row r="2607">
      <c r="A2607" s="17">
        <v>3.869729032258063</v>
      </c>
      <c r="I2607" s="11">
        <v>16.0</v>
      </c>
      <c r="M2607" s="16">
        <v>0.6400000000000001</v>
      </c>
    </row>
    <row r="2608">
      <c r="A2608" s="17">
        <v>5.565515294117647</v>
      </c>
      <c r="I2608" s="11">
        <v>6.0</v>
      </c>
      <c r="M2608" s="16">
        <v>1.6079999999999999</v>
      </c>
    </row>
    <row r="2609">
      <c r="A2609" s="17">
        <v>74.00904892999766</v>
      </c>
      <c r="I2609" s="11">
        <v>33.0</v>
      </c>
      <c r="M2609" s="16">
        <v>4.064</v>
      </c>
    </row>
    <row r="2610">
      <c r="A2610" s="17">
        <v>864.1701888636703</v>
      </c>
      <c r="I2610" s="11">
        <v>17.0</v>
      </c>
      <c r="M2610" s="16">
        <v>36.56</v>
      </c>
    </row>
    <row r="2611">
      <c r="A2611" s="17">
        <v>329.9444381538475</v>
      </c>
      <c r="I2611" s="11">
        <v>45.0</v>
      </c>
      <c r="M2611" s="16">
        <v>47.136</v>
      </c>
    </row>
    <row r="2612">
      <c r="A2612" s="17">
        <v>12.305912000000001</v>
      </c>
      <c r="I2612" s="11">
        <v>6.0</v>
      </c>
      <c r="M2612" s="16">
        <v>6.808</v>
      </c>
    </row>
    <row r="2613">
      <c r="A2613" s="17">
        <v>20.37509388809183</v>
      </c>
      <c r="I2613" s="11">
        <v>23.0</v>
      </c>
      <c r="M2613" s="16">
        <v>5.968</v>
      </c>
    </row>
    <row r="2614">
      <c r="A2614" s="17">
        <v>5.869842922684793</v>
      </c>
      <c r="I2614" s="11">
        <v>46.0</v>
      </c>
      <c r="M2614" s="16">
        <v>3.976</v>
      </c>
    </row>
    <row r="2615">
      <c r="A2615" s="17">
        <v>25.114944304520176</v>
      </c>
      <c r="I2615" s="11">
        <v>14.0</v>
      </c>
      <c r="M2615" s="16">
        <v>3.696</v>
      </c>
    </row>
    <row r="2616">
      <c r="A2616" s="17">
        <v>11.493393667462216</v>
      </c>
      <c r="I2616" s="11">
        <v>22.0</v>
      </c>
      <c r="M2616" s="16">
        <v>2.904</v>
      </c>
    </row>
    <row r="2617">
      <c r="A2617" s="17">
        <v>36.52174462770218</v>
      </c>
      <c r="I2617" s="11">
        <v>43.0</v>
      </c>
      <c r="M2617" s="16">
        <v>4.128</v>
      </c>
    </row>
    <row r="2618">
      <c r="A2618" s="17">
        <v>96.61558922069885</v>
      </c>
      <c r="I2618" s="11">
        <v>27.0</v>
      </c>
      <c r="M2618" s="16">
        <v>43.792</v>
      </c>
    </row>
    <row r="2619">
      <c r="A2619" s="17">
        <v>99.48586300429186</v>
      </c>
      <c r="I2619" s="11">
        <v>8.0</v>
      </c>
      <c r="M2619" s="16">
        <v>55.712</v>
      </c>
    </row>
    <row r="2620">
      <c r="A2620" s="17">
        <v>25.361177815126062</v>
      </c>
      <c r="I2620" s="11">
        <v>43.0</v>
      </c>
      <c r="M2620" s="16">
        <v>6.328</v>
      </c>
    </row>
    <row r="2621">
      <c r="A2621" s="17">
        <v>95.09460979911766</v>
      </c>
      <c r="I2621" s="11">
        <v>46.0</v>
      </c>
      <c r="M2621" s="16">
        <v>7.192</v>
      </c>
    </row>
    <row r="2622">
      <c r="A2622" s="17">
        <v>71.58452993979336</v>
      </c>
      <c r="I2622" s="11">
        <v>35.0</v>
      </c>
      <c r="M2622" s="16">
        <v>24.0</v>
      </c>
    </row>
    <row r="2623">
      <c r="A2623" s="17">
        <v>4.128484591611477</v>
      </c>
      <c r="I2623" s="11">
        <v>41.0</v>
      </c>
      <c r="M2623" s="16">
        <v>4.264</v>
      </c>
    </row>
    <row r="2624">
      <c r="A2624" s="17">
        <v>234.87696883466725</v>
      </c>
      <c r="I2624" s="11">
        <v>39.0</v>
      </c>
      <c r="M2624" s="16">
        <v>11.192</v>
      </c>
    </row>
    <row r="2625">
      <c r="A2625" s="17">
        <v>1201.7664525722491</v>
      </c>
      <c r="I2625" s="11">
        <v>47.0</v>
      </c>
      <c r="M2625" s="16">
        <v>18.552000000000003</v>
      </c>
    </row>
    <row r="2626">
      <c r="A2626" s="17">
        <v>35.98508097244231</v>
      </c>
      <c r="I2626" s="11">
        <v>28.0</v>
      </c>
      <c r="M2626" s="16">
        <v>33.6</v>
      </c>
    </row>
    <row r="2627">
      <c r="A2627" s="17">
        <v>110.48583929491491</v>
      </c>
      <c r="I2627" s="11">
        <v>34.0</v>
      </c>
      <c r="M2627" s="16">
        <v>3.192</v>
      </c>
    </row>
    <row r="2628">
      <c r="A2628" s="17">
        <v>20.74085489668429</v>
      </c>
      <c r="I2628" s="11">
        <v>43.0</v>
      </c>
      <c r="M2628" s="16">
        <v>4.136</v>
      </c>
    </row>
    <row r="2629">
      <c r="A2629" s="17">
        <v>263.4444356586489</v>
      </c>
      <c r="I2629" s="11">
        <v>31.0</v>
      </c>
      <c r="M2629" s="16">
        <v>3.9920000000000004</v>
      </c>
    </row>
    <row r="2630">
      <c r="A2630" s="17">
        <v>6.278257283950617</v>
      </c>
      <c r="I2630" s="11">
        <v>10.0</v>
      </c>
      <c r="M2630" s="16">
        <v>3.9840000000000004</v>
      </c>
    </row>
    <row r="2631">
      <c r="A2631" s="17">
        <v>161.48092438271604</v>
      </c>
      <c r="I2631" s="11">
        <v>11.0</v>
      </c>
      <c r="M2631" s="16">
        <v>3.3600000000000003</v>
      </c>
    </row>
    <row r="2632">
      <c r="A2632" s="17">
        <v>114.24688721319887</v>
      </c>
      <c r="I2632" s="11">
        <v>13.0</v>
      </c>
      <c r="M2632" s="16">
        <v>15.991999999999999</v>
      </c>
    </row>
    <row r="2633">
      <c r="A2633" s="17">
        <v>5.951733942857142</v>
      </c>
      <c r="I2633" s="11">
        <v>39.0</v>
      </c>
      <c r="M2633" s="16">
        <v>1.032</v>
      </c>
    </row>
    <row r="2634">
      <c r="A2634" s="17">
        <v>0.32167304347826076</v>
      </c>
      <c r="I2634" s="11">
        <v>1.0</v>
      </c>
      <c r="M2634" s="16">
        <v>0.5519999999999999</v>
      </c>
    </row>
    <row r="2635">
      <c r="A2635" s="17">
        <v>18.245925679999996</v>
      </c>
      <c r="I2635" s="11">
        <v>5.0</v>
      </c>
      <c r="M2635" s="16">
        <v>7.192</v>
      </c>
    </row>
    <row r="2636">
      <c r="A2636" s="17">
        <v>3.076527940074905</v>
      </c>
      <c r="I2636" s="11">
        <v>2.0</v>
      </c>
      <c r="M2636" s="16">
        <v>7.152</v>
      </c>
    </row>
    <row r="2637">
      <c r="A2637" s="17">
        <v>22.831661883250174</v>
      </c>
      <c r="I2637" s="11">
        <v>11.0</v>
      </c>
      <c r="M2637" s="16">
        <v>7.192</v>
      </c>
    </row>
    <row r="2638">
      <c r="A2638" s="17">
        <v>17.305601357904916</v>
      </c>
      <c r="I2638" s="11">
        <v>27.0</v>
      </c>
      <c r="M2638" s="16">
        <v>2.8000000000000003</v>
      </c>
    </row>
    <row r="2639">
      <c r="A2639" s="17">
        <v>550.3018024218696</v>
      </c>
      <c r="I2639" s="11">
        <v>22.0</v>
      </c>
      <c r="M2639" s="16">
        <v>22.448</v>
      </c>
    </row>
    <row r="2640">
      <c r="A2640" s="17">
        <v>21.918637528259257</v>
      </c>
      <c r="I2640" s="11">
        <v>41.0</v>
      </c>
      <c r="M2640" s="16">
        <v>1.72</v>
      </c>
    </row>
    <row r="2641">
      <c r="A2641" s="17">
        <v>385.3079225713083</v>
      </c>
      <c r="I2641" s="11">
        <v>47.0</v>
      </c>
      <c r="M2641" s="16">
        <v>28.0</v>
      </c>
    </row>
    <row r="2642">
      <c r="A2642" s="17">
        <v>555.5918260123931</v>
      </c>
      <c r="I2642" s="11">
        <v>43.0</v>
      </c>
      <c r="M2642" s="16">
        <v>3.192</v>
      </c>
    </row>
    <row r="2643">
      <c r="A2643" s="17">
        <v>55.182214880099124</v>
      </c>
      <c r="I2643" s="11">
        <v>47.0</v>
      </c>
      <c r="M2643" s="16">
        <v>8.096</v>
      </c>
    </row>
    <row r="2644">
      <c r="A2644" s="17">
        <v>28.93367791024781</v>
      </c>
      <c r="I2644" s="11">
        <v>12.0</v>
      </c>
      <c r="M2644" s="16">
        <v>36.408</v>
      </c>
    </row>
    <row r="2645">
      <c r="A2645" s="17">
        <v>5.833104435797652</v>
      </c>
      <c r="I2645" s="11">
        <v>6.0</v>
      </c>
      <c r="M2645" s="16">
        <v>7.192</v>
      </c>
    </row>
    <row r="2646">
      <c r="A2646" s="17">
        <v>409.9028423178582</v>
      </c>
      <c r="I2646" s="11">
        <v>48.0</v>
      </c>
      <c r="M2646" s="16">
        <v>20.976</v>
      </c>
    </row>
    <row r="2647">
      <c r="A2647" s="17">
        <v>15.483454398708636</v>
      </c>
      <c r="I2647" s="11">
        <v>4.0</v>
      </c>
      <c r="M2647" s="16">
        <v>24.0</v>
      </c>
    </row>
    <row r="2648">
      <c r="A2648" s="17">
        <v>83.76237689969605</v>
      </c>
      <c r="I2648" s="11">
        <v>40.0</v>
      </c>
      <c r="M2648" s="16">
        <v>5.04</v>
      </c>
    </row>
    <row r="2649">
      <c r="A2649" s="17">
        <v>20.868991351693523</v>
      </c>
      <c r="I2649" s="11">
        <v>30.0</v>
      </c>
      <c r="M2649" s="16">
        <v>7.192</v>
      </c>
    </row>
    <row r="2650">
      <c r="A2650" s="17">
        <v>125.19440416085237</v>
      </c>
      <c r="I2650" s="11">
        <v>20.0</v>
      </c>
      <c r="M2650" s="16">
        <v>21.480000000000004</v>
      </c>
    </row>
    <row r="2651">
      <c r="A2651" s="17">
        <v>85.27472920892147</v>
      </c>
      <c r="I2651" s="11">
        <v>25.0</v>
      </c>
      <c r="M2651" s="16">
        <v>7.192</v>
      </c>
    </row>
    <row r="2652">
      <c r="A2652" s="17">
        <v>1.5691319667590014</v>
      </c>
      <c r="I2652" s="11">
        <v>14.0</v>
      </c>
      <c r="M2652" s="16">
        <v>3.6560000000000006</v>
      </c>
    </row>
    <row r="2653">
      <c r="A2653" s="17">
        <v>49.97880952673787</v>
      </c>
      <c r="I2653" s="11">
        <v>17.0</v>
      </c>
      <c r="M2653" s="16">
        <v>54.416</v>
      </c>
    </row>
    <row r="2654">
      <c r="A2654" s="17">
        <v>124.78074742209627</v>
      </c>
      <c r="I2654" s="11">
        <v>41.0</v>
      </c>
      <c r="M2654" s="16">
        <v>5.744</v>
      </c>
    </row>
    <row r="2655">
      <c r="A2655" s="17">
        <v>7.096979332273494</v>
      </c>
      <c r="I2655" s="11">
        <v>12.0</v>
      </c>
      <c r="M2655" s="16">
        <v>5.2</v>
      </c>
    </row>
    <row r="2656">
      <c r="A2656" s="17">
        <v>0.6021229888712282</v>
      </c>
      <c r="I2656" s="11">
        <v>15.0</v>
      </c>
      <c r="M2656" s="16">
        <v>0.792</v>
      </c>
    </row>
    <row r="2657">
      <c r="A2657" s="17">
        <v>14.101118614496448</v>
      </c>
      <c r="I2657" s="11">
        <v>27.0</v>
      </c>
      <c r="M2657" s="16">
        <v>2.696</v>
      </c>
    </row>
    <row r="2658">
      <c r="A2658" s="17">
        <v>3.2523101340482583</v>
      </c>
      <c r="I2658" s="11">
        <v>8.0</v>
      </c>
      <c r="M2658" s="16">
        <v>2.3920000000000003</v>
      </c>
    </row>
    <row r="2659">
      <c r="A2659" s="17">
        <v>23.536712368919826</v>
      </c>
      <c r="I2659" s="11">
        <v>49.0</v>
      </c>
      <c r="M2659" s="16">
        <v>6.792000000000001</v>
      </c>
    </row>
    <row r="2660">
      <c r="A2660" s="17">
        <v>67.17263739168766</v>
      </c>
      <c r="I2660" s="11">
        <v>47.0</v>
      </c>
      <c r="M2660" s="16">
        <v>27.360000000000003</v>
      </c>
    </row>
    <row r="2661">
      <c r="A2661" s="17">
        <v>0.8007999999999966</v>
      </c>
      <c r="I2661" s="11">
        <v>6.0</v>
      </c>
      <c r="M2661" s="16">
        <v>0.96</v>
      </c>
    </row>
    <row r="2662">
      <c r="A2662" s="17">
        <v>504.78045945714695</v>
      </c>
      <c r="I2662" s="11">
        <v>49.0</v>
      </c>
      <c r="M2662" s="16">
        <v>3.12</v>
      </c>
    </row>
    <row r="2663">
      <c r="A2663" s="17">
        <v>3.76655195530726</v>
      </c>
      <c r="I2663" s="11">
        <v>50.0</v>
      </c>
      <c r="M2663" s="16">
        <v>0.5599999999999999</v>
      </c>
    </row>
    <row r="2664">
      <c r="A2664" s="17">
        <v>50.70652609690634</v>
      </c>
      <c r="I2664" s="11">
        <v>43.0</v>
      </c>
      <c r="M2664" s="16">
        <v>3.6240000000000006</v>
      </c>
    </row>
    <row r="2665">
      <c r="A2665" s="17">
        <v>591.1861134911138</v>
      </c>
      <c r="I2665" s="11">
        <v>47.0</v>
      </c>
      <c r="M2665" s="16">
        <v>51.36000000000001</v>
      </c>
    </row>
    <row r="2666">
      <c r="A2666" s="17">
        <v>129.38612604324123</v>
      </c>
      <c r="I2666" s="11">
        <v>26.0</v>
      </c>
      <c r="M2666" s="16">
        <v>19.592</v>
      </c>
    </row>
    <row r="2667">
      <c r="A2667" s="17">
        <v>702.1269442831181</v>
      </c>
      <c r="I2667" s="11">
        <v>46.0</v>
      </c>
      <c r="M2667" s="16">
        <v>15.991999999999999</v>
      </c>
    </row>
    <row r="2668">
      <c r="A2668" s="17">
        <v>262.87198605975266</v>
      </c>
      <c r="I2668" s="11">
        <v>39.0</v>
      </c>
      <c r="M2668" s="16">
        <v>15.991999999999999</v>
      </c>
    </row>
    <row r="2669">
      <c r="A2669" s="17">
        <v>35.23427369253585</v>
      </c>
      <c r="I2669" s="11">
        <v>32.0</v>
      </c>
      <c r="M2669" s="16">
        <v>4.008</v>
      </c>
    </row>
    <row r="2670">
      <c r="A2670" s="17">
        <v>706.566906601295</v>
      </c>
      <c r="I2670" s="11">
        <v>46.0</v>
      </c>
      <c r="M2670" s="16">
        <v>4.0</v>
      </c>
    </row>
    <row r="2671">
      <c r="A2671" s="17">
        <v>11.278707666896088</v>
      </c>
      <c r="I2671" s="11">
        <v>20.0</v>
      </c>
      <c r="M2671" s="16">
        <v>4.976</v>
      </c>
    </row>
    <row r="2672">
      <c r="A2672" s="17">
        <v>5.1888486603910255</v>
      </c>
      <c r="I2672" s="11">
        <v>21.0</v>
      </c>
      <c r="M2672" s="16">
        <v>0.4</v>
      </c>
    </row>
    <row r="2673">
      <c r="A2673" s="17">
        <v>32.01362829618973</v>
      </c>
      <c r="I2673" s="11">
        <v>20.0</v>
      </c>
      <c r="M2673" s="16">
        <v>4.296</v>
      </c>
    </row>
    <row r="2674">
      <c r="A2674" s="17">
        <v>254.44975241998924</v>
      </c>
      <c r="I2674" s="11">
        <v>34.0</v>
      </c>
      <c r="M2674" s="16">
        <v>5.656000000000001</v>
      </c>
    </row>
    <row r="2675">
      <c r="A2675" s="17">
        <v>81.3444674796748</v>
      </c>
      <c r="I2675" s="11">
        <v>44.0</v>
      </c>
      <c r="M2675" s="16">
        <v>30.064</v>
      </c>
    </row>
    <row r="2676">
      <c r="A2676" s="17">
        <v>76.79507458137027</v>
      </c>
      <c r="I2676" s="11">
        <v>17.0</v>
      </c>
      <c r="M2676" s="16">
        <v>7.192</v>
      </c>
    </row>
    <row r="2677">
      <c r="A2677" s="17">
        <v>11.944207450462361</v>
      </c>
      <c r="I2677" s="11">
        <v>23.0</v>
      </c>
      <c r="M2677" s="16">
        <v>7.224</v>
      </c>
    </row>
    <row r="2678">
      <c r="A2678" s="17">
        <v>101.81098013534186</v>
      </c>
      <c r="I2678" s="11">
        <v>48.0</v>
      </c>
      <c r="M2678" s="16">
        <v>1.0</v>
      </c>
    </row>
    <row r="2679">
      <c r="A2679" s="17">
        <v>25.685347982832702</v>
      </c>
      <c r="I2679" s="11">
        <v>42.0</v>
      </c>
      <c r="M2679" s="16">
        <v>4.296</v>
      </c>
    </row>
    <row r="2680">
      <c r="A2680" s="17">
        <v>5.193075541601262</v>
      </c>
      <c r="I2680" s="11">
        <v>19.0</v>
      </c>
      <c r="M2680" s="16">
        <v>4.176</v>
      </c>
    </row>
    <row r="2681">
      <c r="A2681" s="17">
        <v>2.0347218390804604</v>
      </c>
      <c r="I2681" s="11">
        <v>34.0</v>
      </c>
      <c r="M2681" s="16">
        <v>0.5599999999999999</v>
      </c>
    </row>
    <row r="2682">
      <c r="A2682" s="17">
        <v>285.74760063186795</v>
      </c>
      <c r="I2682" s="11">
        <v>49.0</v>
      </c>
      <c r="M2682" s="16">
        <v>7.192</v>
      </c>
    </row>
    <row r="2683">
      <c r="A2683" s="17">
        <v>13.479857091988137</v>
      </c>
      <c r="I2683" s="11">
        <v>30.0</v>
      </c>
      <c r="M2683" s="16">
        <v>5.6080000000000005</v>
      </c>
    </row>
    <row r="2684">
      <c r="A2684" s="17">
        <v>35.130560570253635</v>
      </c>
      <c r="I2684" s="11">
        <v>15.0</v>
      </c>
      <c r="M2684" s="16">
        <v>3.9920000000000004</v>
      </c>
    </row>
    <row r="2685">
      <c r="A2685" s="17">
        <v>5.0876200102722215</v>
      </c>
      <c r="I2685" s="11">
        <v>6.0</v>
      </c>
      <c r="M2685" s="16">
        <v>4.072</v>
      </c>
    </row>
    <row r="2686">
      <c r="A2686" s="17">
        <v>1.6822744615384615</v>
      </c>
      <c r="I2686" s="11">
        <v>2.0</v>
      </c>
      <c r="M2686" s="16">
        <v>2.3920000000000003</v>
      </c>
    </row>
    <row r="2687">
      <c r="A2687" s="17">
        <v>20.275240625693787</v>
      </c>
      <c r="I2687" s="11">
        <v>34.0</v>
      </c>
      <c r="M2687" s="16">
        <v>1.192</v>
      </c>
    </row>
    <row r="2688">
      <c r="A2688" s="17">
        <v>1.2047576470588237</v>
      </c>
      <c r="I2688" s="11">
        <v>4.0</v>
      </c>
      <c r="M2688" s="16">
        <v>4.264</v>
      </c>
    </row>
    <row r="2689">
      <c r="A2689" s="17">
        <v>9.873862340186891</v>
      </c>
      <c r="I2689" s="11">
        <v>39.0</v>
      </c>
      <c r="M2689" s="16">
        <v>7.632</v>
      </c>
    </row>
    <row r="2690">
      <c r="A2690" s="17">
        <v>28.8351946460177</v>
      </c>
      <c r="I2690" s="11">
        <v>5.0</v>
      </c>
      <c r="M2690" s="16">
        <v>5.5040000000000004</v>
      </c>
    </row>
    <row r="2691">
      <c r="A2691" s="17">
        <v>41.251043924700596</v>
      </c>
      <c r="I2691" s="11">
        <v>49.0</v>
      </c>
      <c r="M2691" s="16">
        <v>5.0</v>
      </c>
    </row>
    <row r="2692">
      <c r="A2692" s="17">
        <v>65.79578332602165</v>
      </c>
      <c r="I2692" s="11">
        <v>9.0</v>
      </c>
      <c r="M2692" s="16">
        <v>41.552</v>
      </c>
    </row>
    <row r="2693">
      <c r="A2693" s="17">
        <v>2.9250149433962256</v>
      </c>
      <c r="I2693" s="11">
        <v>2.0</v>
      </c>
      <c r="M2693" s="16">
        <v>7.152</v>
      </c>
    </row>
    <row r="2694">
      <c r="A2694" s="17">
        <v>7.325169363538283</v>
      </c>
      <c r="I2694" s="11">
        <v>22.0</v>
      </c>
      <c r="M2694" s="16">
        <v>3.9600000000000004</v>
      </c>
    </row>
    <row r="2695">
      <c r="A2695" s="17">
        <v>4.847831140065157</v>
      </c>
      <c r="I2695" s="11">
        <v>17.0</v>
      </c>
      <c r="M2695" s="16">
        <v>5.5440000000000005</v>
      </c>
    </row>
    <row r="2696">
      <c r="A2696" s="17">
        <v>1370.1882252550256</v>
      </c>
      <c r="I2696" s="11">
        <v>50.0</v>
      </c>
      <c r="M2696" s="16">
        <v>9.312000000000001</v>
      </c>
    </row>
    <row r="2697">
      <c r="A2697" s="17">
        <v>80.42282749550334</v>
      </c>
      <c r="I2697" s="11">
        <v>38.0</v>
      </c>
      <c r="M2697" s="16">
        <v>15.991999999999999</v>
      </c>
    </row>
    <row r="2698">
      <c r="A2698" s="17">
        <v>110.64911488944881</v>
      </c>
      <c r="I2698" s="11">
        <v>49.0</v>
      </c>
      <c r="M2698" s="16">
        <v>4.0</v>
      </c>
    </row>
    <row r="2699">
      <c r="A2699" s="17">
        <v>342.19541411960506</v>
      </c>
      <c r="I2699" s="11">
        <v>23.0</v>
      </c>
      <c r="M2699" s="16">
        <v>12.008000000000001</v>
      </c>
    </row>
    <row r="2700">
      <c r="A2700" s="17">
        <v>1.927867733333332</v>
      </c>
      <c r="I2700" s="11">
        <v>2.0</v>
      </c>
      <c r="M2700" s="16">
        <v>4.328</v>
      </c>
    </row>
    <row r="2701">
      <c r="A2701" s="17">
        <v>3.6570363302752193</v>
      </c>
      <c r="I2701" s="11">
        <v>31.0</v>
      </c>
      <c r="M2701" s="16">
        <v>4.976</v>
      </c>
    </row>
    <row r="2702">
      <c r="A2702" s="17">
        <v>26.42677858672377</v>
      </c>
      <c r="I2702" s="11">
        <v>22.0</v>
      </c>
      <c r="M2702" s="16">
        <v>3.28</v>
      </c>
    </row>
    <row r="2703">
      <c r="A2703" s="17">
        <v>32.1390454958766</v>
      </c>
      <c r="I2703" s="11">
        <v>50.0</v>
      </c>
      <c r="M2703" s="16">
        <v>6.5840000000000005</v>
      </c>
    </row>
    <row r="2704">
      <c r="A2704" s="17">
        <v>19.393483674725264</v>
      </c>
      <c r="I2704" s="11">
        <v>5.0</v>
      </c>
      <c r="M2704" s="16">
        <v>1.592</v>
      </c>
    </row>
    <row r="2705">
      <c r="A2705" s="17">
        <v>10.079585909417682</v>
      </c>
      <c r="I2705" s="11">
        <v>44.0</v>
      </c>
      <c r="M2705" s="16">
        <v>0.5599999999999999</v>
      </c>
    </row>
    <row r="2706">
      <c r="A2706" s="17">
        <v>16.170025037101688</v>
      </c>
      <c r="I2706" s="11">
        <v>21.0</v>
      </c>
      <c r="M2706" s="16">
        <v>1.592</v>
      </c>
    </row>
    <row r="2707">
      <c r="A2707" s="17">
        <v>21.250955335154085</v>
      </c>
      <c r="I2707" s="11">
        <v>47.0</v>
      </c>
      <c r="M2707" s="16">
        <v>4.064</v>
      </c>
    </row>
    <row r="2708">
      <c r="A2708" s="17">
        <v>18.37309648753363</v>
      </c>
      <c r="I2708" s="11">
        <v>11.0</v>
      </c>
      <c r="M2708" s="16">
        <v>8.232</v>
      </c>
    </row>
    <row r="2709">
      <c r="A2709" s="17">
        <v>11.494584845585356</v>
      </c>
      <c r="I2709" s="11">
        <v>42.0</v>
      </c>
      <c r="M2709" s="16">
        <v>36.408</v>
      </c>
    </row>
    <row r="2710">
      <c r="A2710" s="17">
        <v>9.854600791578877</v>
      </c>
      <c r="I2710" s="11">
        <v>45.0</v>
      </c>
      <c r="M2710" s="16">
        <v>1.4320000000000002</v>
      </c>
    </row>
    <row r="2711">
      <c r="A2711" s="17">
        <v>10.620775877502956</v>
      </c>
      <c r="I2711" s="11">
        <v>27.0</v>
      </c>
      <c r="M2711" s="16">
        <v>1.816</v>
      </c>
    </row>
    <row r="2712">
      <c r="A2712" s="17">
        <v>14.257256150506498</v>
      </c>
      <c r="I2712" s="11">
        <v>40.0</v>
      </c>
      <c r="M2712" s="16">
        <v>5.32</v>
      </c>
    </row>
    <row r="2713">
      <c r="A2713" s="17">
        <v>7.428230726429681</v>
      </c>
      <c r="I2713" s="11">
        <v>18.0</v>
      </c>
      <c r="M2713" s="16">
        <v>6.288</v>
      </c>
    </row>
    <row r="2714">
      <c r="A2714" s="17">
        <v>846.0387662764074</v>
      </c>
      <c r="I2714" s="11">
        <v>42.0</v>
      </c>
      <c r="M2714" s="16">
        <v>15.991999999999999</v>
      </c>
    </row>
    <row r="2715">
      <c r="A2715" s="17">
        <v>43.82725390551472</v>
      </c>
      <c r="I2715" s="11">
        <v>5.0</v>
      </c>
      <c r="M2715" s="16">
        <v>33.6</v>
      </c>
    </row>
    <row r="2716">
      <c r="A2716" s="17">
        <v>110.73684423875426</v>
      </c>
      <c r="I2716" s="11">
        <v>43.0</v>
      </c>
      <c r="M2716" s="16">
        <v>24.048000000000002</v>
      </c>
    </row>
    <row r="2717">
      <c r="A2717" s="17">
        <v>13.505061939058178</v>
      </c>
      <c r="I2717" s="11">
        <v>38.0</v>
      </c>
      <c r="M2717" s="16">
        <v>4.5280000000000005</v>
      </c>
    </row>
    <row r="2718">
      <c r="A2718" s="17">
        <v>156.05089659125724</v>
      </c>
      <c r="I2718" s="11">
        <v>31.0</v>
      </c>
      <c r="M2718" s="16">
        <v>7.192</v>
      </c>
    </row>
    <row r="2719">
      <c r="A2719" s="17">
        <v>104.4835315876568</v>
      </c>
      <c r="I2719" s="11">
        <v>10.0</v>
      </c>
      <c r="M2719" s="16">
        <v>20.8</v>
      </c>
    </row>
    <row r="2720">
      <c r="A2720" s="17">
        <v>53.75793919265709</v>
      </c>
      <c r="I2720" s="11">
        <v>45.0</v>
      </c>
      <c r="M2720" s="16">
        <v>71.44</v>
      </c>
    </row>
    <row r="2721">
      <c r="A2721" s="17">
        <v>38.45279693486591</v>
      </c>
      <c r="I2721" s="11">
        <v>30.0</v>
      </c>
      <c r="M2721" s="16">
        <v>3.2</v>
      </c>
    </row>
    <row r="2722">
      <c r="A2722" s="17">
        <v>8.937358490566021</v>
      </c>
      <c r="I2722" s="11">
        <v>46.0</v>
      </c>
      <c r="M2722" s="16">
        <v>3.8000000000000003</v>
      </c>
    </row>
    <row r="2723">
      <c r="A2723" s="17">
        <v>123.76428115469395</v>
      </c>
      <c r="I2723" s="11">
        <v>27.0</v>
      </c>
      <c r="M2723" s="16">
        <v>11.192</v>
      </c>
    </row>
    <row r="2724">
      <c r="A2724" s="17">
        <v>213.69298221279993</v>
      </c>
      <c r="I2724" s="11">
        <v>39.0</v>
      </c>
      <c r="M2724" s="16">
        <v>30.064</v>
      </c>
    </row>
    <row r="2725">
      <c r="A2725" s="17">
        <v>4.336509629629637</v>
      </c>
      <c r="I2725" s="11">
        <v>5.0</v>
      </c>
      <c r="M2725" s="16">
        <v>1.1119999999999999</v>
      </c>
    </row>
    <row r="2726">
      <c r="A2726" s="17">
        <v>11.843924698608967</v>
      </c>
      <c r="I2726" s="11">
        <v>19.0</v>
      </c>
      <c r="M2726" s="16">
        <v>4.112</v>
      </c>
    </row>
    <row r="2727">
      <c r="A2727" s="17">
        <v>22.00629672834935</v>
      </c>
      <c r="I2727" s="11">
        <v>39.0</v>
      </c>
      <c r="M2727" s="16">
        <v>4.232</v>
      </c>
    </row>
    <row r="2728">
      <c r="A2728" s="17">
        <v>15.20491638730676</v>
      </c>
      <c r="I2728" s="11">
        <v>3.0</v>
      </c>
      <c r="M2728" s="16">
        <v>42.42400000000001</v>
      </c>
    </row>
    <row r="2729">
      <c r="A2729" s="17">
        <v>221.6312521413855</v>
      </c>
      <c r="I2729" s="11">
        <v>32.0</v>
      </c>
      <c r="M2729" s="16">
        <v>0.792</v>
      </c>
    </row>
    <row r="2730">
      <c r="A2730" s="17">
        <v>35.64033661181928</v>
      </c>
      <c r="I2730" s="11">
        <v>16.0</v>
      </c>
      <c r="M2730" s="16">
        <v>11.352</v>
      </c>
    </row>
    <row r="2731">
      <c r="A2731" s="17">
        <v>5.57564788732394</v>
      </c>
      <c r="I2731" s="11">
        <v>16.0</v>
      </c>
      <c r="M2731" s="16">
        <v>5.32</v>
      </c>
    </row>
    <row r="2732">
      <c r="A2732" s="17">
        <v>17.452331349206336</v>
      </c>
      <c r="I2732" s="11">
        <v>1.0</v>
      </c>
      <c r="M2732" s="16">
        <v>31.400000000000002</v>
      </c>
    </row>
    <row r="2733">
      <c r="A2733" s="17">
        <v>70.49925311703366</v>
      </c>
      <c r="I2733" s="11">
        <v>48.0</v>
      </c>
      <c r="M2733" s="16">
        <v>1.592</v>
      </c>
    </row>
    <row r="2734">
      <c r="A2734" s="17">
        <v>22.543864829362555</v>
      </c>
      <c r="I2734" s="11">
        <v>37.0</v>
      </c>
      <c r="M2734" s="16">
        <v>4.928000000000001</v>
      </c>
    </row>
    <row r="2735">
      <c r="A2735" s="17">
        <v>8.886799500000004</v>
      </c>
      <c r="I2735" s="11">
        <v>42.0</v>
      </c>
      <c r="M2735" s="16">
        <v>0.792</v>
      </c>
    </row>
    <row r="2736">
      <c r="A2736" s="17">
        <v>0.39555404255319143</v>
      </c>
      <c r="I2736" s="11">
        <v>2.0</v>
      </c>
      <c r="M2736" s="16">
        <v>0.264</v>
      </c>
    </row>
    <row r="2737">
      <c r="A2737" s="17">
        <v>11.599044368600673</v>
      </c>
      <c r="I2737" s="11">
        <v>2.0</v>
      </c>
      <c r="M2737" s="16">
        <v>2.0</v>
      </c>
    </row>
    <row r="2738">
      <c r="A2738" s="17">
        <v>2.338527214514413</v>
      </c>
      <c r="I2738" s="11">
        <v>23.0</v>
      </c>
      <c r="M2738" s="16">
        <v>1.6</v>
      </c>
    </row>
    <row r="2739">
      <c r="A2739" s="17">
        <v>24.037961436385206</v>
      </c>
      <c r="I2739" s="11">
        <v>6.0</v>
      </c>
      <c r="M2739" s="16">
        <v>5.5040000000000004</v>
      </c>
    </row>
    <row r="2740">
      <c r="A2740" s="17">
        <v>8.616141542983089</v>
      </c>
      <c r="I2740" s="11">
        <v>19.0</v>
      </c>
      <c r="M2740" s="16">
        <v>5.256</v>
      </c>
    </row>
    <row r="2741">
      <c r="A2741" s="17">
        <v>65.30236377358497</v>
      </c>
      <c r="I2741" s="11">
        <v>6.0</v>
      </c>
      <c r="M2741" s="16">
        <v>0.792</v>
      </c>
    </row>
    <row r="2742">
      <c r="A2742" s="17">
        <v>27.338601343342553</v>
      </c>
      <c r="I2742" s="11">
        <v>43.0</v>
      </c>
      <c r="M2742" s="16">
        <v>4.2</v>
      </c>
    </row>
    <row r="2743">
      <c r="A2743" s="17">
        <v>35.48648407388227</v>
      </c>
      <c r="I2743" s="11">
        <v>39.0</v>
      </c>
      <c r="M2743" s="16">
        <v>7.024</v>
      </c>
    </row>
    <row r="2744">
      <c r="A2744" s="17">
        <v>79.38379203145485</v>
      </c>
      <c r="I2744" s="11">
        <v>41.0</v>
      </c>
      <c r="M2744" s="16">
        <v>11.896</v>
      </c>
    </row>
    <row r="2745">
      <c r="A2745" s="17">
        <v>13.84344784487535</v>
      </c>
      <c r="I2745" s="11">
        <v>25.0</v>
      </c>
      <c r="M2745" s="16">
        <v>5.392</v>
      </c>
    </row>
    <row r="2746">
      <c r="A2746" s="17">
        <v>126.35867429735735</v>
      </c>
      <c r="I2746" s="11">
        <v>38.0</v>
      </c>
      <c r="M2746" s="16">
        <v>15.991999999999999</v>
      </c>
    </row>
    <row r="2747">
      <c r="A2747" s="17">
        <v>1813.7349433063964</v>
      </c>
      <c r="I2747" s="11">
        <v>27.0</v>
      </c>
      <c r="M2747" s="16">
        <v>12.847999999999999</v>
      </c>
    </row>
    <row r="2748">
      <c r="A2748" s="17">
        <v>2.5265570909090904</v>
      </c>
      <c r="I2748" s="11">
        <v>2.0</v>
      </c>
      <c r="M2748" s="16">
        <v>6.288</v>
      </c>
    </row>
    <row r="2749">
      <c r="A2749" s="17">
        <v>19.188318740157484</v>
      </c>
      <c r="I2749" s="11">
        <v>35.0</v>
      </c>
      <c r="M2749" s="16">
        <v>4.456</v>
      </c>
    </row>
    <row r="2750">
      <c r="A2750" s="17">
        <v>411.7838017476648</v>
      </c>
      <c r="I2750" s="11">
        <v>35.0</v>
      </c>
      <c r="M2750" s="16">
        <v>41.552</v>
      </c>
    </row>
    <row r="2751">
      <c r="A2751" s="17">
        <v>3.8121783439490455</v>
      </c>
      <c r="I2751" s="11">
        <v>2.0</v>
      </c>
      <c r="M2751" s="16">
        <v>7.56</v>
      </c>
    </row>
    <row r="2752">
      <c r="A2752" s="17">
        <v>3.6841240993789013</v>
      </c>
      <c r="I2752" s="11">
        <v>31.0</v>
      </c>
      <c r="M2752" s="16">
        <v>4.104</v>
      </c>
    </row>
    <row r="2753">
      <c r="A2753" s="17">
        <v>1006.9952055738619</v>
      </c>
      <c r="I2753" s="11">
        <v>30.0</v>
      </c>
      <c r="M2753" s="16">
        <v>38.608000000000004</v>
      </c>
    </row>
    <row r="2754">
      <c r="A2754" s="17">
        <v>19.726015752041004</v>
      </c>
      <c r="I2754" s="11">
        <v>5.0</v>
      </c>
      <c r="M2754" s="16">
        <v>22.904</v>
      </c>
    </row>
    <row r="2755">
      <c r="A2755" s="17">
        <v>5.232453856209131</v>
      </c>
      <c r="I2755" s="11">
        <v>11.0</v>
      </c>
      <c r="M2755" s="16">
        <v>5.752000000000001</v>
      </c>
    </row>
    <row r="2756">
      <c r="A2756" s="17">
        <v>88.07995790856499</v>
      </c>
      <c r="I2756" s="11">
        <v>41.0</v>
      </c>
      <c r="M2756" s="16">
        <v>15.991999999999999</v>
      </c>
    </row>
    <row r="2757">
      <c r="A2757" s="17">
        <v>3.467489955290604</v>
      </c>
      <c r="I2757" s="11">
        <v>5.0</v>
      </c>
      <c r="M2757" s="16">
        <v>10.432</v>
      </c>
    </row>
    <row r="2758">
      <c r="A2758" s="17">
        <v>161.99793400412744</v>
      </c>
      <c r="I2758" s="11">
        <v>25.0</v>
      </c>
      <c r="M2758" s="16">
        <v>11.192</v>
      </c>
    </row>
    <row r="2759">
      <c r="A2759" s="17">
        <v>161.06590295415108</v>
      </c>
      <c r="I2759" s="11">
        <v>50.0</v>
      </c>
      <c r="M2759" s="16">
        <v>11.192</v>
      </c>
    </row>
    <row r="2760">
      <c r="A2760" s="17">
        <v>22.44055416909619</v>
      </c>
      <c r="I2760" s="11">
        <v>37.0</v>
      </c>
      <c r="M2760" s="16">
        <v>5.5440000000000005</v>
      </c>
    </row>
    <row r="2761">
      <c r="A2761" s="17">
        <v>4.9609770281124455</v>
      </c>
      <c r="I2761" s="11">
        <v>9.0</v>
      </c>
      <c r="M2761" s="16">
        <v>1.9120000000000001</v>
      </c>
    </row>
    <row r="2762">
      <c r="A2762" s="17">
        <v>6.962095916230377</v>
      </c>
      <c r="I2762" s="11">
        <v>22.0</v>
      </c>
      <c r="M2762" s="16">
        <v>4.688000000000001</v>
      </c>
    </row>
    <row r="2763">
      <c r="A2763" s="17">
        <v>142.6936555733189</v>
      </c>
      <c r="I2763" s="11">
        <v>50.0</v>
      </c>
      <c r="M2763" s="16">
        <v>15.991999999999999</v>
      </c>
    </row>
    <row r="2764">
      <c r="A2764" s="17">
        <v>1.1982455614973246</v>
      </c>
      <c r="I2764" s="11">
        <v>36.0</v>
      </c>
      <c r="M2764" s="16">
        <v>0.792</v>
      </c>
    </row>
    <row r="2765">
      <c r="A2765" s="17">
        <v>19.769352647058813</v>
      </c>
      <c r="I2765" s="11">
        <v>50.0</v>
      </c>
      <c r="M2765" s="16">
        <v>5.6080000000000005</v>
      </c>
    </row>
    <row r="2766">
      <c r="A2766" s="17">
        <v>3.131093632958798</v>
      </c>
      <c r="I2766" s="11">
        <v>9.0</v>
      </c>
      <c r="M2766" s="16">
        <v>0.5599999999999999</v>
      </c>
    </row>
    <row r="2767">
      <c r="A2767" s="17">
        <v>5.304406850507963</v>
      </c>
      <c r="I2767" s="11">
        <v>17.0</v>
      </c>
      <c r="M2767" s="16">
        <v>5.752000000000001</v>
      </c>
    </row>
    <row r="2768">
      <c r="A2768" s="17">
        <v>28.13752790277344</v>
      </c>
      <c r="I2768" s="11">
        <v>50.0</v>
      </c>
      <c r="M2768" s="16">
        <v>4.736</v>
      </c>
    </row>
    <row r="2769">
      <c r="A2769" s="17">
        <v>16.061538461538444</v>
      </c>
      <c r="I2769" s="11">
        <v>19.0</v>
      </c>
      <c r="M2769" s="16">
        <v>3.6</v>
      </c>
    </row>
    <row r="2770">
      <c r="A2770" s="17">
        <v>56.97149882659725</v>
      </c>
      <c r="I2770" s="11">
        <v>39.0</v>
      </c>
      <c r="M2770" s="16">
        <v>6.920000000000001</v>
      </c>
    </row>
    <row r="2771">
      <c r="A2771" s="17">
        <v>18.15054566997937</v>
      </c>
      <c r="I2771" s="11">
        <v>44.0</v>
      </c>
      <c r="M2771" s="16">
        <v>3.936</v>
      </c>
    </row>
    <row r="2772">
      <c r="A2772" s="17">
        <v>30.13966537780818</v>
      </c>
      <c r="I2772" s="11">
        <v>29.0</v>
      </c>
      <c r="M2772" s="16">
        <v>7.632</v>
      </c>
    </row>
    <row r="2773">
      <c r="A2773" s="17">
        <v>6.0878334082396925</v>
      </c>
      <c r="I2773" s="11">
        <v>39.0</v>
      </c>
      <c r="M2773" s="16">
        <v>4.5280000000000005</v>
      </c>
    </row>
    <row r="2774">
      <c r="A2774" s="17">
        <v>48.15858733436056</v>
      </c>
      <c r="I2774" s="11">
        <v>3.0</v>
      </c>
      <c r="M2774" s="16">
        <v>42.784</v>
      </c>
    </row>
    <row r="2775">
      <c r="A2775" s="17">
        <v>26.121564501360684</v>
      </c>
      <c r="I2775" s="11">
        <v>46.0</v>
      </c>
      <c r="M2775" s="16">
        <v>3.9840000000000004</v>
      </c>
    </row>
    <row r="2776">
      <c r="A2776" s="17">
        <v>21.340530060687794</v>
      </c>
      <c r="I2776" s="11">
        <v>19.0</v>
      </c>
      <c r="M2776" s="16">
        <v>4.424</v>
      </c>
    </row>
    <row r="2777">
      <c r="A2777" s="17">
        <v>16.776248578901473</v>
      </c>
      <c r="I2777" s="11">
        <v>49.0</v>
      </c>
      <c r="M2777" s="16">
        <v>5.376</v>
      </c>
    </row>
    <row r="2778">
      <c r="A2778" s="17">
        <v>10.24425252221463</v>
      </c>
      <c r="I2778" s="11">
        <v>23.0</v>
      </c>
      <c r="M2778" s="16">
        <v>1.816</v>
      </c>
    </row>
    <row r="2779">
      <c r="A2779" s="17">
        <v>10.995102295573904</v>
      </c>
      <c r="I2779" s="11">
        <v>30.0</v>
      </c>
      <c r="M2779" s="16">
        <v>4.208</v>
      </c>
    </row>
    <row r="2780">
      <c r="A2780" s="17">
        <v>10.39644787644787</v>
      </c>
      <c r="I2780" s="11">
        <v>19.0</v>
      </c>
      <c r="M2780" s="16">
        <v>6.0</v>
      </c>
    </row>
    <row r="2781">
      <c r="A2781" s="17">
        <v>93.58746024324051</v>
      </c>
      <c r="I2781" s="11">
        <v>46.0</v>
      </c>
      <c r="M2781" s="16">
        <v>4.736</v>
      </c>
    </row>
    <row r="2782">
      <c r="A2782" s="17">
        <v>12.88884131659313</v>
      </c>
      <c r="I2782" s="11">
        <v>43.0</v>
      </c>
      <c r="M2782" s="16">
        <v>5.992000000000001</v>
      </c>
    </row>
    <row r="2783">
      <c r="A2783" s="17">
        <v>137.3552128569959</v>
      </c>
      <c r="I2783" s="11">
        <v>42.0</v>
      </c>
      <c r="M2783" s="16">
        <v>7.192</v>
      </c>
    </row>
    <row r="2784">
      <c r="A2784" s="17">
        <v>247.74927738264782</v>
      </c>
      <c r="I2784" s="11">
        <v>21.0</v>
      </c>
      <c r="M2784" s="16">
        <v>4.208</v>
      </c>
    </row>
    <row r="2785">
      <c r="A2785" s="17">
        <v>124.70607763986855</v>
      </c>
      <c r="I2785" s="11">
        <v>45.0</v>
      </c>
      <c r="M2785" s="16">
        <v>4.0</v>
      </c>
    </row>
    <row r="2786">
      <c r="A2786" s="17">
        <v>83.08055530676228</v>
      </c>
      <c r="I2786" s="11">
        <v>9.0</v>
      </c>
      <c r="M2786" s="16">
        <v>28.0</v>
      </c>
    </row>
    <row r="2787">
      <c r="A2787" s="17">
        <v>23.66325010676157</v>
      </c>
      <c r="I2787" s="11">
        <v>31.0</v>
      </c>
      <c r="M2787" s="16">
        <v>1.592</v>
      </c>
    </row>
    <row r="2788">
      <c r="A2788" s="17">
        <v>126.81273512992617</v>
      </c>
      <c r="I2788" s="11">
        <v>14.0</v>
      </c>
      <c r="M2788" s="16">
        <v>7.192</v>
      </c>
    </row>
    <row r="2789">
      <c r="A2789" s="17">
        <v>43.45409327181782</v>
      </c>
      <c r="I2789" s="11">
        <v>42.0</v>
      </c>
      <c r="M2789" s="16">
        <v>2.888</v>
      </c>
    </row>
    <row r="2790">
      <c r="A2790" s="17">
        <v>18.864880264190788</v>
      </c>
      <c r="I2790" s="11">
        <v>24.0</v>
      </c>
      <c r="M2790" s="16">
        <v>4.208</v>
      </c>
    </row>
    <row r="2791">
      <c r="A2791" s="17">
        <v>15.707629386056206</v>
      </c>
      <c r="I2791" s="11">
        <v>16.0</v>
      </c>
      <c r="M2791" s="16">
        <v>1.592</v>
      </c>
    </row>
    <row r="2792">
      <c r="A2792" s="17">
        <v>4.524721069836569</v>
      </c>
      <c r="I2792" s="11">
        <v>23.0</v>
      </c>
      <c r="M2792" s="16">
        <v>1.1119999999999999</v>
      </c>
    </row>
    <row r="2793">
      <c r="A2793" s="17">
        <v>126.47620158369656</v>
      </c>
      <c r="I2793" s="11">
        <v>27.0</v>
      </c>
      <c r="M2793" s="16">
        <v>8.6</v>
      </c>
    </row>
    <row r="2794">
      <c r="A2794" s="17">
        <v>66.15946256765105</v>
      </c>
      <c r="I2794" s="11">
        <v>43.0</v>
      </c>
      <c r="M2794" s="16">
        <v>9.912</v>
      </c>
    </row>
    <row r="2795">
      <c r="A2795" s="17">
        <v>23.379864361403822</v>
      </c>
      <c r="I2795" s="11">
        <v>28.0</v>
      </c>
      <c r="M2795" s="16">
        <v>1.592</v>
      </c>
    </row>
    <row r="2796">
      <c r="A2796" s="17">
        <v>12.529729126273475</v>
      </c>
      <c r="I2796" s="11">
        <v>33.0</v>
      </c>
      <c r="M2796" s="16">
        <v>3.944</v>
      </c>
    </row>
    <row r="2797">
      <c r="A2797" s="17">
        <v>4.319022281879181</v>
      </c>
      <c r="I2797" s="11">
        <v>24.0</v>
      </c>
      <c r="M2797" s="16">
        <v>1.9120000000000001</v>
      </c>
    </row>
    <row r="2798">
      <c r="A2798" s="17">
        <v>48.674263128654985</v>
      </c>
      <c r="I2798" s="11">
        <v>45.0</v>
      </c>
      <c r="M2798" s="16">
        <v>2.696</v>
      </c>
    </row>
    <row r="2799">
      <c r="A2799" s="17">
        <v>1.258679706601471</v>
      </c>
      <c r="I2799" s="11">
        <v>14.0</v>
      </c>
      <c r="M2799" s="16">
        <v>0.4</v>
      </c>
    </row>
    <row r="2800">
      <c r="A2800" s="17">
        <v>64.02194949444173</v>
      </c>
      <c r="I2800" s="11">
        <v>50.0</v>
      </c>
      <c r="M2800" s="16">
        <v>7.864000000000001</v>
      </c>
    </row>
    <row r="2801">
      <c r="A2801" s="17">
        <v>116.89284294728475</v>
      </c>
      <c r="I2801" s="11">
        <v>31.0</v>
      </c>
      <c r="M2801" s="16">
        <v>2.0</v>
      </c>
    </row>
    <row r="2802">
      <c r="A2802" s="17">
        <v>261.17168841626585</v>
      </c>
      <c r="I2802" s="11">
        <v>34.0</v>
      </c>
      <c r="M2802" s="16">
        <v>2.0</v>
      </c>
    </row>
    <row r="2803">
      <c r="A2803" s="17">
        <v>14.801542841925126</v>
      </c>
      <c r="I2803" s="11">
        <v>38.0</v>
      </c>
      <c r="M2803" s="16">
        <v>6.5840000000000005</v>
      </c>
    </row>
    <row r="2804">
      <c r="A2804" s="17">
        <v>107.63529343188203</v>
      </c>
      <c r="I2804" s="11">
        <v>40.0</v>
      </c>
      <c r="M2804" s="16">
        <v>43.288000000000004</v>
      </c>
    </row>
    <row r="2805">
      <c r="A2805" s="17">
        <v>537.720135718921</v>
      </c>
      <c r="I2805" s="11">
        <v>30.0</v>
      </c>
      <c r="M2805" s="16">
        <v>3.3600000000000003</v>
      </c>
    </row>
    <row r="2806">
      <c r="A2806" s="17">
        <v>57.700217595934916</v>
      </c>
      <c r="I2806" s="11">
        <v>42.0</v>
      </c>
      <c r="M2806" s="16">
        <v>6.464</v>
      </c>
    </row>
    <row r="2807">
      <c r="A2807" s="17">
        <v>4.155797850953209</v>
      </c>
      <c r="I2807" s="11">
        <v>26.0</v>
      </c>
      <c r="M2807" s="16">
        <v>1.192</v>
      </c>
    </row>
    <row r="2808">
      <c r="A2808" s="17">
        <v>313.26672753474594</v>
      </c>
      <c r="I2808" s="11">
        <v>27.0</v>
      </c>
      <c r="M2808" s="16">
        <v>19.592</v>
      </c>
    </row>
    <row r="2809">
      <c r="A2809" s="17">
        <v>151.8779050293472</v>
      </c>
      <c r="I2809" s="11">
        <v>37.0</v>
      </c>
      <c r="M2809" s="16">
        <v>9.648000000000001</v>
      </c>
    </row>
    <row r="2810">
      <c r="A2810" s="17">
        <v>68.84065994962214</v>
      </c>
      <c r="I2810" s="11">
        <v>12.0</v>
      </c>
      <c r="M2810" s="16">
        <v>46.56</v>
      </c>
    </row>
    <row r="2811">
      <c r="A2811" s="17">
        <v>135.50820406372335</v>
      </c>
      <c r="I2811" s="11">
        <v>11.0</v>
      </c>
      <c r="M2811" s="16">
        <v>49.408</v>
      </c>
    </row>
    <row r="2812">
      <c r="A2812" s="17">
        <v>1.607630769230769</v>
      </c>
      <c r="I2812" s="11">
        <v>1.0</v>
      </c>
      <c r="M2812" s="16">
        <v>6.920000000000001</v>
      </c>
    </row>
    <row r="2813">
      <c r="A2813" s="17">
        <v>55.960089496535765</v>
      </c>
      <c r="I2813" s="11">
        <v>20.0</v>
      </c>
      <c r="M2813" s="16">
        <v>7.864000000000001</v>
      </c>
    </row>
    <row r="2814">
      <c r="A2814" s="17">
        <v>14.196752917300843</v>
      </c>
      <c r="I2814" s="11">
        <v>49.0</v>
      </c>
      <c r="M2814" s="16">
        <v>0.4</v>
      </c>
    </row>
    <row r="2815">
      <c r="A2815" s="17">
        <v>4.079037410404626</v>
      </c>
      <c r="I2815" s="11">
        <v>20.0</v>
      </c>
      <c r="M2815" s="16">
        <v>4.208</v>
      </c>
    </row>
    <row r="2816">
      <c r="A2816" s="17">
        <v>29.492907732703927</v>
      </c>
      <c r="I2816" s="11">
        <v>47.0</v>
      </c>
      <c r="M2816" s="16">
        <v>4.936</v>
      </c>
    </row>
    <row r="2817">
      <c r="A2817" s="17">
        <v>56.47190447315528</v>
      </c>
      <c r="I2817" s="11">
        <v>49.0</v>
      </c>
      <c r="M2817" s="16">
        <v>2.5120000000000005</v>
      </c>
    </row>
    <row r="2818">
      <c r="A2818" s="17">
        <v>298.8260692542841</v>
      </c>
      <c r="I2818" s="11">
        <v>32.0</v>
      </c>
      <c r="M2818" s="16">
        <v>11.192</v>
      </c>
    </row>
    <row r="2819">
      <c r="A2819" s="17">
        <v>6.754319180087843</v>
      </c>
      <c r="I2819" s="11">
        <v>27.0</v>
      </c>
      <c r="M2819" s="16">
        <v>4.0</v>
      </c>
    </row>
    <row r="2820">
      <c r="A2820" s="17">
        <v>129.40251794134164</v>
      </c>
      <c r="I2820" s="11">
        <v>9.0</v>
      </c>
      <c r="M2820" s="16">
        <v>19.592</v>
      </c>
    </row>
    <row r="2821">
      <c r="A2821" s="17">
        <v>110.71527638549222</v>
      </c>
      <c r="I2821" s="11">
        <v>25.0</v>
      </c>
      <c r="M2821" s="16">
        <v>7.192</v>
      </c>
    </row>
    <row r="2822">
      <c r="A2822" s="17">
        <v>275.0704476429596</v>
      </c>
      <c r="I2822" s="11">
        <v>37.0</v>
      </c>
      <c r="M2822" s="16">
        <v>7.192</v>
      </c>
    </row>
    <row r="2823">
      <c r="A2823" s="17">
        <v>31.777741528729557</v>
      </c>
      <c r="I2823" s="11">
        <v>4.0</v>
      </c>
      <c r="M2823" s="16">
        <v>0.792</v>
      </c>
    </row>
    <row r="2824">
      <c r="A2824" s="17">
        <v>3.1834768966861495</v>
      </c>
      <c r="I2824" s="11">
        <v>7.0</v>
      </c>
      <c r="M2824" s="16">
        <v>11.776000000000002</v>
      </c>
    </row>
    <row r="2825">
      <c r="A2825" s="17">
        <v>56.154217215180374</v>
      </c>
      <c r="I2825" s="11">
        <v>10.0</v>
      </c>
      <c r="M2825" s="16">
        <v>22.512</v>
      </c>
    </row>
    <row r="2826">
      <c r="A2826" s="17">
        <v>28.615421519532475</v>
      </c>
      <c r="I2826" s="11">
        <v>45.0</v>
      </c>
      <c r="M2826" s="16">
        <v>5.392</v>
      </c>
    </row>
    <row r="2827">
      <c r="A2827" s="17">
        <v>10.197707497949077</v>
      </c>
      <c r="I2827" s="11">
        <v>48.0</v>
      </c>
      <c r="M2827" s="16">
        <v>10.656</v>
      </c>
    </row>
    <row r="2828">
      <c r="A2828" s="17">
        <v>21.891019897559474</v>
      </c>
      <c r="I2828" s="11">
        <v>15.0</v>
      </c>
      <c r="M2828" s="16">
        <v>5.336</v>
      </c>
    </row>
    <row r="2829">
      <c r="A2829" s="17">
        <v>11.644133433962274</v>
      </c>
      <c r="I2829" s="11">
        <v>16.0</v>
      </c>
      <c r="M2829" s="16">
        <v>7.024</v>
      </c>
    </row>
    <row r="2830">
      <c r="A2830" s="17">
        <v>12.269571924711599</v>
      </c>
      <c r="I2830" s="11">
        <v>3.0</v>
      </c>
      <c r="M2830" s="16">
        <v>4.648</v>
      </c>
    </row>
    <row r="2831">
      <c r="A2831" s="17">
        <v>401.5921191596513</v>
      </c>
      <c r="I2831" s="11">
        <v>41.0</v>
      </c>
      <c r="M2831" s="16">
        <v>11.192</v>
      </c>
    </row>
    <row r="2832">
      <c r="A2832" s="17">
        <v>150.91802221501848</v>
      </c>
      <c r="I2832" s="11">
        <v>30.0</v>
      </c>
      <c r="M2832" s="16">
        <v>15.991999999999999</v>
      </c>
    </row>
    <row r="2833">
      <c r="A2833" s="17">
        <v>18.179277375280908</v>
      </c>
      <c r="I2833" s="11">
        <v>30.0</v>
      </c>
      <c r="M2833" s="16">
        <v>4.5280000000000005</v>
      </c>
    </row>
    <row r="2834">
      <c r="A2834" s="17">
        <v>18.69736401107632</v>
      </c>
      <c r="I2834" s="11">
        <v>40.0</v>
      </c>
      <c r="M2834" s="16">
        <v>2.3920000000000003</v>
      </c>
    </row>
    <row r="2835">
      <c r="A2835" s="17">
        <v>7.587644042232276</v>
      </c>
      <c r="I2835" s="11">
        <v>28.0</v>
      </c>
      <c r="M2835" s="16">
        <v>4.12</v>
      </c>
    </row>
    <row r="2836">
      <c r="A2836" s="17">
        <v>7.810423991262303</v>
      </c>
      <c r="I2836" s="11">
        <v>14.0</v>
      </c>
      <c r="M2836" s="16">
        <v>1.592</v>
      </c>
    </row>
    <row r="2837">
      <c r="A2837" s="17">
        <v>43.67432352474417</v>
      </c>
      <c r="I2837" s="11">
        <v>3.0</v>
      </c>
      <c r="M2837" s="16">
        <v>19.592</v>
      </c>
    </row>
    <row r="2838">
      <c r="A2838" s="17">
        <v>12.124637248038557</v>
      </c>
      <c r="I2838" s="11">
        <v>29.0</v>
      </c>
      <c r="M2838" s="16">
        <v>2.696</v>
      </c>
    </row>
    <row r="2839">
      <c r="A2839" s="17">
        <v>666.3258367471897</v>
      </c>
      <c r="I2839" s="11">
        <v>39.0</v>
      </c>
      <c r="M2839" s="16">
        <v>67.872</v>
      </c>
    </row>
    <row r="2840">
      <c r="A2840" s="17">
        <v>28.98753518295135</v>
      </c>
      <c r="I2840" s="11">
        <v>40.0</v>
      </c>
      <c r="M2840" s="16">
        <v>39.2</v>
      </c>
    </row>
    <row r="2841">
      <c r="A2841" s="17">
        <v>2.7768667642752485</v>
      </c>
      <c r="I2841" s="11">
        <v>25.0</v>
      </c>
      <c r="M2841" s="16">
        <v>0.4</v>
      </c>
    </row>
    <row r="2842">
      <c r="A2842" s="17">
        <v>3.4597333333333338</v>
      </c>
      <c r="I2842" s="11">
        <v>33.0</v>
      </c>
      <c r="M2842" s="16">
        <v>0.5599999999999999</v>
      </c>
    </row>
    <row r="2843">
      <c r="A2843" s="17">
        <v>3.0209079954699805</v>
      </c>
      <c r="I2843" s="11">
        <v>15.0</v>
      </c>
      <c r="M2843" s="16">
        <v>1.168</v>
      </c>
    </row>
    <row r="2844">
      <c r="A2844" s="17">
        <v>20.858005156349744</v>
      </c>
      <c r="I2844" s="11">
        <v>28.0</v>
      </c>
      <c r="M2844" s="16">
        <v>14.224000000000002</v>
      </c>
    </row>
    <row r="2845">
      <c r="A2845" s="17">
        <v>649.8038660497149</v>
      </c>
      <c r="I2845" s="11">
        <v>22.0</v>
      </c>
      <c r="M2845" s="16">
        <v>13.304</v>
      </c>
    </row>
    <row r="2846">
      <c r="A2846" s="17">
        <v>15.737618890585221</v>
      </c>
      <c r="I2846" s="11">
        <v>25.0</v>
      </c>
      <c r="M2846" s="16">
        <v>1.576</v>
      </c>
    </row>
    <row r="2847">
      <c r="A2847" s="17">
        <v>71.8042936481098</v>
      </c>
      <c r="I2847" s="11">
        <v>47.0</v>
      </c>
      <c r="M2847" s="16">
        <v>7.032</v>
      </c>
    </row>
    <row r="2848">
      <c r="A2848" s="17">
        <v>296.2823346786534</v>
      </c>
      <c r="I2848" s="11">
        <v>32.0</v>
      </c>
      <c r="M2848" s="16">
        <v>6.912000000000001</v>
      </c>
    </row>
    <row r="2849">
      <c r="A2849" s="17">
        <v>325.79511800455185</v>
      </c>
      <c r="I2849" s="11">
        <v>31.0</v>
      </c>
      <c r="M2849" s="16">
        <v>3.3600000000000003</v>
      </c>
    </row>
    <row r="2850">
      <c r="A2850" s="17">
        <v>2.7063909278350446</v>
      </c>
      <c r="I2850" s="11">
        <v>24.0</v>
      </c>
      <c r="M2850" s="16">
        <v>0.392</v>
      </c>
    </row>
    <row r="2851">
      <c r="A2851" s="17">
        <v>5.404254936998852</v>
      </c>
      <c r="I2851" s="11">
        <v>19.0</v>
      </c>
      <c r="M2851" s="16">
        <v>5.5120000000000005</v>
      </c>
    </row>
    <row r="2852">
      <c r="A2852" s="17">
        <v>7.983333099824841</v>
      </c>
      <c r="I2852" s="11">
        <v>31.0</v>
      </c>
      <c r="M2852" s="16">
        <v>4.4799999999999995</v>
      </c>
    </row>
    <row r="2853">
      <c r="A2853" s="17">
        <v>3.18365384615383</v>
      </c>
      <c r="I2853" s="11">
        <v>29.0</v>
      </c>
      <c r="M2853" s="16">
        <v>0.4</v>
      </c>
    </row>
    <row r="2854">
      <c r="A2854" s="17">
        <v>10.370503442954163</v>
      </c>
      <c r="I2854" s="11">
        <v>33.0</v>
      </c>
      <c r="M2854" s="16">
        <v>9.024</v>
      </c>
    </row>
    <row r="2855">
      <c r="A2855" s="17">
        <v>3.4203499715099537</v>
      </c>
      <c r="I2855" s="11">
        <v>23.0</v>
      </c>
      <c r="M2855" s="16">
        <v>1.192</v>
      </c>
    </row>
    <row r="2856">
      <c r="A2856" s="17">
        <v>60.98140094139366</v>
      </c>
      <c r="I2856" s="11">
        <v>36.0</v>
      </c>
      <c r="M2856" s="16">
        <v>1.592</v>
      </c>
    </row>
    <row r="2857">
      <c r="A2857" s="17">
        <v>6.265437788018428</v>
      </c>
      <c r="I2857" s="11">
        <v>44.0</v>
      </c>
      <c r="M2857" s="16">
        <v>0.4</v>
      </c>
    </row>
    <row r="2858">
      <c r="A2858" s="17">
        <v>35.50902448216669</v>
      </c>
      <c r="I2858" s="11">
        <v>24.0</v>
      </c>
      <c r="M2858" s="16">
        <v>8.392000000000001</v>
      </c>
    </row>
    <row r="2859">
      <c r="A2859" s="17">
        <v>272.0522054698452</v>
      </c>
      <c r="I2859" s="11">
        <v>4.0</v>
      </c>
      <c r="M2859" s="16">
        <v>12.847999999999999</v>
      </c>
    </row>
    <row r="2860">
      <c r="A2860" s="17">
        <v>316.3142243029182</v>
      </c>
      <c r="I2860" s="11">
        <v>40.0</v>
      </c>
      <c r="M2860" s="16">
        <v>24.0</v>
      </c>
    </row>
    <row r="2861">
      <c r="A2861" s="17">
        <v>200.05305190111304</v>
      </c>
      <c r="I2861" s="11">
        <v>44.0</v>
      </c>
      <c r="M2861" s="16">
        <v>5.2</v>
      </c>
    </row>
    <row r="2862">
      <c r="A2862" s="17">
        <v>1.0799999999999994</v>
      </c>
      <c r="I2862" s="11">
        <v>4.0</v>
      </c>
      <c r="M2862" s="16">
        <v>0.4</v>
      </c>
    </row>
    <row r="2863">
      <c r="A2863" s="17">
        <v>6.502768014059743</v>
      </c>
      <c r="I2863" s="11">
        <v>35.0</v>
      </c>
      <c r="M2863" s="16">
        <v>0.4</v>
      </c>
    </row>
    <row r="2864">
      <c r="A2864" s="17">
        <v>4.44279346210995</v>
      </c>
      <c r="I2864" s="11">
        <v>36.0</v>
      </c>
      <c r="M2864" s="16">
        <v>0.4</v>
      </c>
    </row>
    <row r="2865">
      <c r="A2865" s="17">
        <v>6.188137846153849</v>
      </c>
      <c r="I2865" s="11">
        <v>19.0</v>
      </c>
      <c r="M2865" s="16">
        <v>2.3920000000000003</v>
      </c>
    </row>
    <row r="2866">
      <c r="A2866" s="17">
        <v>21.341381876132488</v>
      </c>
      <c r="I2866" s="11">
        <v>36.0</v>
      </c>
      <c r="M2866" s="16">
        <v>2.3920000000000003</v>
      </c>
    </row>
    <row r="2867">
      <c r="A2867" s="17">
        <v>166.6157399131254</v>
      </c>
      <c r="I2867" s="11">
        <v>27.0</v>
      </c>
      <c r="M2867" s="16">
        <v>21.392</v>
      </c>
    </row>
    <row r="2868">
      <c r="A2868" s="17">
        <v>67.82445134149391</v>
      </c>
      <c r="I2868" s="11">
        <v>15.0</v>
      </c>
      <c r="M2868" s="16">
        <v>5.784000000000001</v>
      </c>
    </row>
    <row r="2869">
      <c r="A2869" s="17">
        <v>3.5651997125748496</v>
      </c>
      <c r="I2869" s="11">
        <v>4.0</v>
      </c>
      <c r="M2869" s="16">
        <v>4.168</v>
      </c>
    </row>
    <row r="2870">
      <c r="A2870" s="17">
        <v>93.39994831039347</v>
      </c>
      <c r="I2870" s="11">
        <v>36.0</v>
      </c>
      <c r="M2870" s="16">
        <v>0.792</v>
      </c>
    </row>
    <row r="2871">
      <c r="A2871" s="17">
        <v>39.01716890919052</v>
      </c>
      <c r="I2871" s="11">
        <v>50.0</v>
      </c>
      <c r="M2871" s="16">
        <v>10.016</v>
      </c>
    </row>
    <row r="2872">
      <c r="A2872" s="17">
        <v>29.14240296002639</v>
      </c>
      <c r="I2872" s="11">
        <v>41.0</v>
      </c>
      <c r="M2872" s="16">
        <v>7.632</v>
      </c>
    </row>
    <row r="2873">
      <c r="A2873" s="17">
        <v>2.61802574870912</v>
      </c>
      <c r="I2873" s="11">
        <v>8.0</v>
      </c>
      <c r="M2873" s="16">
        <v>4.152</v>
      </c>
    </row>
    <row r="2874">
      <c r="A2874" s="17">
        <v>15.344877311703339</v>
      </c>
      <c r="I2874" s="11">
        <v>21.0</v>
      </c>
      <c r="M2874" s="16">
        <v>4.376</v>
      </c>
    </row>
    <row r="2875">
      <c r="A2875" s="17">
        <v>1.6802579467680596</v>
      </c>
      <c r="I2875" s="11">
        <v>2.0</v>
      </c>
      <c r="M2875" s="16">
        <v>2.696</v>
      </c>
    </row>
    <row r="2876">
      <c r="A2876" s="17">
        <v>27.84512627450969</v>
      </c>
      <c r="I2876" s="11">
        <v>39.0</v>
      </c>
      <c r="M2876" s="16">
        <v>2.3920000000000003</v>
      </c>
    </row>
    <row r="2877">
      <c r="A2877" s="17">
        <v>11.595696305318732</v>
      </c>
      <c r="I2877" s="11">
        <v>21.0</v>
      </c>
      <c r="M2877" s="16">
        <v>5.2</v>
      </c>
    </row>
    <row r="2878">
      <c r="A2878" s="17">
        <v>6.396479264367814</v>
      </c>
      <c r="I2878" s="11">
        <v>39.0</v>
      </c>
      <c r="M2878" s="16">
        <v>2.048</v>
      </c>
    </row>
    <row r="2879">
      <c r="A2879" s="17">
        <v>71.65403555935737</v>
      </c>
      <c r="I2879" s="11">
        <v>22.0</v>
      </c>
      <c r="M2879" s="16">
        <v>48.0</v>
      </c>
    </row>
    <row r="2880">
      <c r="A2880" s="17">
        <v>18.107270899954308</v>
      </c>
      <c r="I2880" s="11">
        <v>33.0</v>
      </c>
      <c r="M2880" s="16">
        <v>4.28</v>
      </c>
    </row>
    <row r="2881">
      <c r="A2881" s="17">
        <v>376.96515954740676</v>
      </c>
      <c r="I2881" s="11">
        <v>32.0</v>
      </c>
      <c r="M2881" s="16">
        <v>19.592</v>
      </c>
    </row>
    <row r="2882">
      <c r="A2882" s="17">
        <v>15.311209738184298</v>
      </c>
      <c r="I2882" s="11">
        <v>48.0</v>
      </c>
      <c r="M2882" s="16">
        <v>4.296</v>
      </c>
    </row>
    <row r="2883">
      <c r="A2883" s="17">
        <v>250.00247492516726</v>
      </c>
      <c r="I2883" s="11">
        <v>16.0</v>
      </c>
      <c r="M2883" s="16">
        <v>9.648000000000001</v>
      </c>
    </row>
    <row r="2884">
      <c r="A2884" s="17">
        <v>231.01202613606998</v>
      </c>
      <c r="I2884" s="11">
        <v>30.0</v>
      </c>
      <c r="M2884" s="16">
        <v>26.880000000000003</v>
      </c>
    </row>
    <row r="2885">
      <c r="A2885" s="17">
        <v>18.42844862000791</v>
      </c>
      <c r="I2885" s="11">
        <v>25.0</v>
      </c>
      <c r="M2885" s="16">
        <v>7.888</v>
      </c>
    </row>
    <row r="2886">
      <c r="A2886" s="17">
        <v>7.477706001917549</v>
      </c>
      <c r="I2886" s="11">
        <v>14.0</v>
      </c>
      <c r="M2886" s="16">
        <v>2.3920000000000003</v>
      </c>
    </row>
    <row r="2887">
      <c r="A2887" s="17">
        <v>3.3666378066377844</v>
      </c>
      <c r="I2887" s="11">
        <v>31.0</v>
      </c>
      <c r="M2887" s="16">
        <v>5.2</v>
      </c>
    </row>
    <row r="2888">
      <c r="A2888" s="17">
        <v>893.0459695830734</v>
      </c>
      <c r="I2888" s="11">
        <v>47.0</v>
      </c>
      <c r="M2888" s="16">
        <v>25.983999999999998</v>
      </c>
    </row>
    <row r="2889">
      <c r="A2889" s="17">
        <v>5.674456591639879</v>
      </c>
      <c r="I2889" s="11">
        <v>16.0</v>
      </c>
      <c r="M2889" s="16">
        <v>4.84</v>
      </c>
    </row>
    <row r="2890">
      <c r="A2890" s="17">
        <v>2.8799287833827893</v>
      </c>
      <c r="I2890" s="11">
        <v>11.0</v>
      </c>
      <c r="M2890" s="16">
        <v>1.92</v>
      </c>
    </row>
    <row r="2891">
      <c r="A2891" s="17">
        <v>10.020319882439379</v>
      </c>
      <c r="I2891" s="11">
        <v>8.0</v>
      </c>
      <c r="M2891" s="16">
        <v>6.008</v>
      </c>
    </row>
    <row r="2892">
      <c r="A2892" s="17">
        <v>156.81808713353638</v>
      </c>
      <c r="I2892" s="11">
        <v>38.0</v>
      </c>
      <c r="M2892" s="16">
        <v>13.088000000000001</v>
      </c>
    </row>
    <row r="2893">
      <c r="A2893" s="17">
        <v>14.943333974923764</v>
      </c>
      <c r="I2893" s="11">
        <v>43.0</v>
      </c>
      <c r="M2893" s="16">
        <v>4.112</v>
      </c>
    </row>
    <row r="2894">
      <c r="A2894" s="17">
        <v>3.00056103896104</v>
      </c>
      <c r="I2894" s="11">
        <v>5.0</v>
      </c>
      <c r="M2894" s="16">
        <v>5.720000000000001</v>
      </c>
    </row>
    <row r="2895">
      <c r="A2895" s="17">
        <v>167.55634463077098</v>
      </c>
      <c r="I2895" s="11">
        <v>27.0</v>
      </c>
      <c r="M2895" s="16">
        <v>55.64</v>
      </c>
    </row>
    <row r="2896">
      <c r="A2896" s="17">
        <v>11.899604928909946</v>
      </c>
      <c r="I2896" s="11">
        <v>32.0</v>
      </c>
      <c r="M2896" s="16">
        <v>1.304</v>
      </c>
    </row>
    <row r="2897">
      <c r="A2897" s="17">
        <v>8.517533722033917</v>
      </c>
      <c r="I2897" s="11">
        <v>12.0</v>
      </c>
      <c r="M2897" s="16">
        <v>4.024</v>
      </c>
    </row>
    <row r="2898">
      <c r="A2898" s="17">
        <v>22.133487097497184</v>
      </c>
      <c r="I2898" s="11">
        <v>37.0</v>
      </c>
      <c r="M2898" s="16">
        <v>6.552</v>
      </c>
    </row>
    <row r="2899">
      <c r="A2899" s="17">
        <v>70.54490316373723</v>
      </c>
      <c r="I2899" s="11">
        <v>46.0</v>
      </c>
      <c r="M2899" s="16">
        <v>9.912</v>
      </c>
    </row>
    <row r="2900">
      <c r="A2900" s="17">
        <v>37.45351541447816</v>
      </c>
      <c r="I2900" s="11">
        <v>7.0</v>
      </c>
      <c r="M2900" s="16">
        <v>5.24</v>
      </c>
    </row>
    <row r="2901">
      <c r="A2901" s="17">
        <v>4.417919999999998</v>
      </c>
      <c r="I2901" s="11">
        <v>3.0</v>
      </c>
      <c r="M2901" s="16">
        <v>7.152</v>
      </c>
    </row>
    <row r="2902">
      <c r="A2902" s="17">
        <v>17.262361899518233</v>
      </c>
      <c r="I2902" s="11">
        <v>34.0</v>
      </c>
      <c r="M2902" s="16">
        <v>2.3920000000000003</v>
      </c>
    </row>
    <row r="2903">
      <c r="A2903" s="17">
        <v>22.685743151398274</v>
      </c>
      <c r="I2903" s="11">
        <v>31.0</v>
      </c>
      <c r="M2903" s="16">
        <v>14.224000000000002</v>
      </c>
    </row>
    <row r="2904">
      <c r="A2904" s="17">
        <v>20.28000968742305</v>
      </c>
      <c r="I2904" s="11">
        <v>3.0</v>
      </c>
      <c r="M2904" s="16">
        <v>7.192</v>
      </c>
    </row>
    <row r="2905">
      <c r="A2905" s="17">
        <v>867.7742925819765</v>
      </c>
      <c r="I2905" s="11">
        <v>36.0</v>
      </c>
      <c r="M2905" s="16">
        <v>22.512</v>
      </c>
    </row>
    <row r="2906">
      <c r="A2906" s="17">
        <v>66.44830407431985</v>
      </c>
      <c r="I2906" s="11">
        <v>20.0</v>
      </c>
      <c r="M2906" s="16">
        <v>13.984000000000002</v>
      </c>
    </row>
    <row r="2907">
      <c r="A2907" s="17">
        <v>5.664357350157726</v>
      </c>
      <c r="I2907" s="11">
        <v>10.0</v>
      </c>
      <c r="M2907" s="16">
        <v>1.1119999999999999</v>
      </c>
    </row>
    <row r="2908">
      <c r="A2908" s="17">
        <v>15.969944194419437</v>
      </c>
      <c r="I2908" s="11">
        <v>29.0</v>
      </c>
      <c r="M2908" s="16">
        <v>1.8800000000000001</v>
      </c>
    </row>
    <row r="2909">
      <c r="A2909" s="17">
        <v>29.14418591219514</v>
      </c>
      <c r="I2909" s="11">
        <v>17.0</v>
      </c>
      <c r="M2909" s="16">
        <v>4.424</v>
      </c>
    </row>
    <row r="2910">
      <c r="A2910" s="17">
        <v>10.357059275053318</v>
      </c>
      <c r="I2910" s="11">
        <v>33.0</v>
      </c>
      <c r="M2910" s="16">
        <v>5.84</v>
      </c>
    </row>
    <row r="2911">
      <c r="A2911" s="17">
        <v>55.419822685172534</v>
      </c>
      <c r="I2911" s="11">
        <v>49.0</v>
      </c>
      <c r="M2911" s="16">
        <v>1.192</v>
      </c>
    </row>
    <row r="2912">
      <c r="A2912" s="17">
        <v>6.592808243064723</v>
      </c>
      <c r="I2912" s="11">
        <v>11.0</v>
      </c>
      <c r="M2912" s="16">
        <v>3.504</v>
      </c>
    </row>
    <row r="2913">
      <c r="A2913" s="17">
        <v>6.325693606755132</v>
      </c>
      <c r="I2913" s="11">
        <v>27.0</v>
      </c>
      <c r="M2913" s="16">
        <v>0.4</v>
      </c>
    </row>
    <row r="2914">
      <c r="A2914" s="17">
        <v>8.398977230769235</v>
      </c>
      <c r="I2914" s="11">
        <v>5.0</v>
      </c>
      <c r="M2914" s="16">
        <v>8.392000000000001</v>
      </c>
    </row>
    <row r="2915">
      <c r="A2915" s="17">
        <v>19.086633725490174</v>
      </c>
      <c r="I2915" s="11">
        <v>39.0</v>
      </c>
      <c r="M2915" s="16">
        <v>4.12</v>
      </c>
    </row>
    <row r="2916">
      <c r="A2916" s="17">
        <v>51.967359643343855</v>
      </c>
      <c r="I2916" s="11">
        <v>19.0</v>
      </c>
      <c r="M2916" s="16">
        <v>20.976</v>
      </c>
    </row>
    <row r="2917">
      <c r="A2917" s="17">
        <v>17.450893548956188</v>
      </c>
      <c r="I2917" s="11">
        <v>32.0</v>
      </c>
      <c r="M2917" s="16">
        <v>1.6480000000000001</v>
      </c>
    </row>
    <row r="2918">
      <c r="A2918" s="17">
        <v>20.80927723599884</v>
      </c>
      <c r="I2918" s="11">
        <v>22.0</v>
      </c>
      <c r="M2918" s="16">
        <v>6.720000000000001</v>
      </c>
    </row>
    <row r="2919">
      <c r="A2919" s="17">
        <v>8.11675844460749</v>
      </c>
      <c r="I2919" s="11">
        <v>2.0</v>
      </c>
      <c r="M2919" s="16">
        <v>8.232</v>
      </c>
    </row>
    <row r="2920">
      <c r="A2920" s="17">
        <v>147.77087406237968</v>
      </c>
      <c r="I2920" s="11">
        <v>24.0</v>
      </c>
      <c r="M2920" s="16">
        <v>6.464</v>
      </c>
    </row>
    <row r="2921">
      <c r="A2921" s="17">
        <v>28.705038815612387</v>
      </c>
      <c r="I2921" s="11">
        <v>50.0</v>
      </c>
      <c r="M2921" s="16">
        <v>5.008</v>
      </c>
    </row>
    <row r="2922">
      <c r="A2922" s="17">
        <v>32.32721726397974</v>
      </c>
      <c r="I2922" s="11">
        <v>43.0</v>
      </c>
      <c r="M2922" s="16">
        <v>2.0</v>
      </c>
    </row>
    <row r="2923">
      <c r="A2923" s="17">
        <v>145.88927757275692</v>
      </c>
      <c r="I2923" s="11">
        <v>36.0</v>
      </c>
      <c r="M2923" s="16">
        <v>12.528</v>
      </c>
    </row>
    <row r="2924">
      <c r="A2924" s="17">
        <v>6.277958546069316</v>
      </c>
      <c r="I2924" s="11">
        <v>11.0</v>
      </c>
      <c r="M2924" s="16">
        <v>1.6480000000000001</v>
      </c>
    </row>
    <row r="2925">
      <c r="A2925" s="17">
        <v>6.758135999999976</v>
      </c>
      <c r="I2925" s="11">
        <v>31.0</v>
      </c>
      <c r="M2925" s="16">
        <v>1.2160000000000002</v>
      </c>
    </row>
    <row r="2926">
      <c r="A2926" s="17">
        <v>10.033047756232698</v>
      </c>
      <c r="I2926" s="11">
        <v>34.0</v>
      </c>
      <c r="M2926" s="16">
        <v>4.352</v>
      </c>
    </row>
    <row r="2927">
      <c r="A2927" s="17">
        <v>497.2858810346116</v>
      </c>
      <c r="I2927" s="11">
        <v>34.0</v>
      </c>
      <c r="M2927" s="16">
        <v>48.392</v>
      </c>
    </row>
    <row r="2928">
      <c r="A2928" s="17">
        <v>2.8792528136418998</v>
      </c>
      <c r="I2928" s="11">
        <v>5.0</v>
      </c>
      <c r="M2928" s="16">
        <v>1.1119999999999999</v>
      </c>
    </row>
    <row r="2929">
      <c r="A2929" s="17">
        <v>2.3899875422138797</v>
      </c>
      <c r="I2929" s="11">
        <v>7.0</v>
      </c>
      <c r="M2929" s="16">
        <v>5.992000000000001</v>
      </c>
    </row>
    <row r="2930">
      <c r="A2930" s="17">
        <v>1.5626656744186003</v>
      </c>
      <c r="I2930" s="11">
        <v>6.0</v>
      </c>
      <c r="M2930" s="16">
        <v>4.176</v>
      </c>
    </row>
    <row r="2931">
      <c r="A2931" s="17">
        <v>16.413884102161074</v>
      </c>
      <c r="I2931" s="11">
        <v>34.0</v>
      </c>
      <c r="M2931" s="16">
        <v>2.2640000000000002</v>
      </c>
    </row>
    <row r="2932">
      <c r="A2932" s="17">
        <v>3.9504929032257894</v>
      </c>
      <c r="I2932" s="11">
        <v>38.0</v>
      </c>
      <c r="M2932" s="16">
        <v>4.28</v>
      </c>
    </row>
    <row r="2933">
      <c r="A2933" s="17">
        <v>189.87786047814424</v>
      </c>
      <c r="I2933" s="11">
        <v>24.0</v>
      </c>
      <c r="M2933" s="16">
        <v>28.672000000000004</v>
      </c>
    </row>
    <row r="2934">
      <c r="A2934" s="17">
        <v>640.4223874037302</v>
      </c>
      <c r="I2934" s="11">
        <v>7.0</v>
      </c>
      <c r="M2934" s="16">
        <v>11.192</v>
      </c>
    </row>
    <row r="2935">
      <c r="A2935" s="17">
        <v>14.923643595832273</v>
      </c>
      <c r="I2935" s="11">
        <v>31.0</v>
      </c>
      <c r="M2935" s="16">
        <v>1.592</v>
      </c>
    </row>
    <row r="2936">
      <c r="A2936" s="17">
        <v>1.7775697512437851</v>
      </c>
      <c r="I2936" s="11">
        <v>10.0</v>
      </c>
      <c r="M2936" s="16">
        <v>3.3360000000000003</v>
      </c>
    </row>
    <row r="2937">
      <c r="A2937" s="17">
        <v>70.94583662650597</v>
      </c>
      <c r="I2937" s="11">
        <v>47.0</v>
      </c>
      <c r="M2937" s="16">
        <v>4.36</v>
      </c>
    </row>
    <row r="2938">
      <c r="A2938" s="17">
        <v>73.81486978358345</v>
      </c>
      <c r="I2938" s="11">
        <v>46.0</v>
      </c>
      <c r="M2938" s="16">
        <v>3.2</v>
      </c>
    </row>
    <row r="2939">
      <c r="A2939" s="17">
        <v>36.89785057033773</v>
      </c>
      <c r="I2939" s="11">
        <v>26.0</v>
      </c>
      <c r="M2939" s="16">
        <v>3.9920000000000004</v>
      </c>
    </row>
    <row r="2940">
      <c r="A2940" s="17">
        <v>21.832163265306153</v>
      </c>
      <c r="I2940" s="11">
        <v>20.0</v>
      </c>
      <c r="M2940" s="16">
        <v>4.64</v>
      </c>
    </row>
    <row r="2941">
      <c r="A2941" s="17">
        <v>54.9431955726582</v>
      </c>
      <c r="I2941" s="11">
        <v>48.0</v>
      </c>
      <c r="M2941" s="16">
        <v>12.528</v>
      </c>
    </row>
    <row r="2942">
      <c r="A2942" s="17">
        <v>2.300924434285708</v>
      </c>
      <c r="I2942" s="11">
        <v>23.0</v>
      </c>
      <c r="M2942" s="16">
        <v>4.768</v>
      </c>
    </row>
    <row r="2943">
      <c r="A2943" s="17">
        <v>76.60301466377435</v>
      </c>
      <c r="I2943" s="11">
        <v>19.0</v>
      </c>
      <c r="M2943" s="16">
        <v>13.984000000000002</v>
      </c>
    </row>
    <row r="2944">
      <c r="A2944" s="17">
        <v>388.7571398725982</v>
      </c>
      <c r="I2944" s="11">
        <v>39.0</v>
      </c>
      <c r="M2944" s="16">
        <v>44.768</v>
      </c>
    </row>
    <row r="2945">
      <c r="A2945" s="17">
        <v>89.26225840765736</v>
      </c>
      <c r="I2945" s="11">
        <v>15.0</v>
      </c>
      <c r="M2945" s="16">
        <v>55.2</v>
      </c>
    </row>
    <row r="2946">
      <c r="A2946" s="17">
        <v>180.97606368999425</v>
      </c>
      <c r="I2946" s="11">
        <v>13.0</v>
      </c>
      <c r="M2946" s="16">
        <v>42.784</v>
      </c>
    </row>
    <row r="2947">
      <c r="A2947" s="17">
        <v>36.59087884720494</v>
      </c>
      <c r="I2947" s="11">
        <v>2.0</v>
      </c>
      <c r="M2947" s="16">
        <v>15.991999999999999</v>
      </c>
    </row>
    <row r="2948">
      <c r="A2948" s="17">
        <v>0.8471864406779684</v>
      </c>
      <c r="I2948" s="11">
        <v>8.0</v>
      </c>
      <c r="M2948" s="16">
        <v>1.92</v>
      </c>
    </row>
    <row r="2949">
      <c r="A2949" s="17">
        <v>54.13319199765926</v>
      </c>
      <c r="I2949" s="11">
        <v>45.0</v>
      </c>
      <c r="M2949" s="16">
        <v>6.064</v>
      </c>
    </row>
    <row r="2950">
      <c r="A2950" s="17">
        <v>3.4527802874743343</v>
      </c>
      <c r="I2950" s="11">
        <v>37.0</v>
      </c>
      <c r="M2950" s="16">
        <v>0.5599999999999999</v>
      </c>
    </row>
    <row r="2951">
      <c r="A2951" s="17">
        <v>11.624176991150446</v>
      </c>
      <c r="I2951" s="11">
        <v>18.0</v>
      </c>
      <c r="M2951" s="16">
        <v>3.9600000000000004</v>
      </c>
    </row>
    <row r="2952">
      <c r="A2952" s="17">
        <v>96.25033831628622</v>
      </c>
      <c r="I2952" s="11">
        <v>22.0</v>
      </c>
      <c r="M2952" s="16">
        <v>2.0</v>
      </c>
    </row>
    <row r="2953">
      <c r="A2953" s="17">
        <v>9.841586404494379</v>
      </c>
      <c r="I2953" s="11">
        <v>45.0</v>
      </c>
      <c r="M2953" s="16">
        <v>1.2640000000000002</v>
      </c>
    </row>
    <row r="2954">
      <c r="A2954" s="17">
        <v>192.03617829381056</v>
      </c>
      <c r="I2954" s="11">
        <v>44.0</v>
      </c>
      <c r="M2954" s="16">
        <v>2.0</v>
      </c>
    </row>
    <row r="2955">
      <c r="A2955" s="17">
        <v>8.906522528276788</v>
      </c>
      <c r="I2955" s="11">
        <v>8.0</v>
      </c>
      <c r="M2955" s="16">
        <v>1.592</v>
      </c>
    </row>
    <row r="2956">
      <c r="A2956" s="17">
        <v>71.37720856825196</v>
      </c>
      <c r="I2956" s="11">
        <v>14.0</v>
      </c>
      <c r="M2956" s="16">
        <v>17.791999999999998</v>
      </c>
    </row>
    <row r="2957">
      <c r="A2957" s="17">
        <v>14.773654766412248</v>
      </c>
      <c r="I2957" s="11">
        <v>32.0</v>
      </c>
      <c r="M2957" s="16">
        <v>1.592</v>
      </c>
    </row>
    <row r="2958">
      <c r="A2958" s="17">
        <v>2.879894637817513</v>
      </c>
      <c r="I2958" s="11">
        <v>17.0</v>
      </c>
      <c r="M2958" s="16">
        <v>2.2800000000000002</v>
      </c>
    </row>
    <row r="2959">
      <c r="A2959" s="17">
        <v>2.03346154398564</v>
      </c>
      <c r="I2959" s="11">
        <v>25.0</v>
      </c>
      <c r="M2959" s="16">
        <v>4.328</v>
      </c>
    </row>
    <row r="2960">
      <c r="A2960" s="17">
        <v>9.073017191489358</v>
      </c>
      <c r="I2960" s="11">
        <v>19.0</v>
      </c>
      <c r="M2960" s="16">
        <v>3.9840000000000004</v>
      </c>
    </row>
    <row r="2961">
      <c r="A2961" s="17">
        <v>7.9467814448669385</v>
      </c>
      <c r="I2961" s="11">
        <v>38.0</v>
      </c>
      <c r="M2961" s="16">
        <v>4.5280000000000005</v>
      </c>
    </row>
    <row r="2962">
      <c r="A2962" s="17">
        <v>36.10065089674455</v>
      </c>
      <c r="I2962" s="11">
        <v>26.0</v>
      </c>
      <c r="M2962" s="16">
        <v>6.5360000000000005</v>
      </c>
    </row>
    <row r="2963">
      <c r="A2963" s="17">
        <v>0.9908003679852806</v>
      </c>
      <c r="I2963" s="11">
        <v>5.0</v>
      </c>
      <c r="M2963" s="16">
        <v>3.2</v>
      </c>
    </row>
    <row r="2964">
      <c r="A2964" s="17">
        <v>41.05120258481434</v>
      </c>
      <c r="I2964" s="11">
        <v>29.0</v>
      </c>
      <c r="M2964" s="16">
        <v>71.44</v>
      </c>
    </row>
    <row r="2965">
      <c r="A2965" s="17">
        <v>84.96859434423007</v>
      </c>
      <c r="I2965" s="11">
        <v>25.0</v>
      </c>
      <c r="M2965" s="16">
        <v>10.576</v>
      </c>
    </row>
    <row r="2966">
      <c r="A2966" s="17">
        <v>104.04035161406436</v>
      </c>
      <c r="I2966" s="11">
        <v>21.0</v>
      </c>
      <c r="M2966" s="16">
        <v>3.2</v>
      </c>
    </row>
    <row r="2967">
      <c r="A2967" s="17">
        <v>161.37576262764557</v>
      </c>
      <c r="I2967" s="11">
        <v>29.0</v>
      </c>
      <c r="M2967" s="16">
        <v>31.688000000000002</v>
      </c>
    </row>
    <row r="2968">
      <c r="A2968" s="17">
        <v>560.8238727361345</v>
      </c>
      <c r="I2968" s="11">
        <v>15.0</v>
      </c>
      <c r="M2968" s="16">
        <v>15.991999999999999</v>
      </c>
    </row>
    <row r="2969">
      <c r="A2969" s="17">
        <v>199.99548697306153</v>
      </c>
      <c r="I2969" s="11">
        <v>16.0</v>
      </c>
      <c r="M2969" s="16">
        <v>15.991999999999999</v>
      </c>
    </row>
    <row r="2970">
      <c r="A2970" s="17">
        <v>22.448863077362216</v>
      </c>
      <c r="I2970" s="11">
        <v>6.0</v>
      </c>
      <c r="M2970" s="16">
        <v>15.991999999999999</v>
      </c>
    </row>
    <row r="2971">
      <c r="A2971" s="17">
        <v>7.0152189336800985</v>
      </c>
      <c r="I2971" s="11">
        <v>1.0</v>
      </c>
      <c r="M2971" s="16">
        <v>3.192</v>
      </c>
    </row>
    <row r="2972">
      <c r="A2972" s="17">
        <v>162.59748291030212</v>
      </c>
      <c r="I2972" s="11">
        <v>47.0</v>
      </c>
      <c r="M2972" s="16">
        <v>1.592</v>
      </c>
    </row>
    <row r="2973">
      <c r="A2973" s="17">
        <v>169.85528972412624</v>
      </c>
      <c r="I2973" s="11">
        <v>36.0</v>
      </c>
      <c r="M2973" s="16">
        <v>15.991999999999999</v>
      </c>
    </row>
    <row r="2974">
      <c r="A2974" s="17">
        <v>5.921501056751467</v>
      </c>
      <c r="I2974" s="11">
        <v>20.0</v>
      </c>
      <c r="M2974" s="16">
        <v>4.264</v>
      </c>
    </row>
    <row r="2975">
      <c r="A2975" s="17">
        <v>9.864388815789514</v>
      </c>
      <c r="I2975" s="11">
        <v>17.0</v>
      </c>
      <c r="M2975" s="16">
        <v>1.592</v>
      </c>
    </row>
    <row r="2976">
      <c r="A2976" s="17">
        <v>19.240491502154786</v>
      </c>
      <c r="I2976" s="11">
        <v>24.0</v>
      </c>
      <c r="M2976" s="16">
        <v>1.592</v>
      </c>
    </row>
    <row r="2977">
      <c r="A2977" s="17">
        <v>28.560430661672882</v>
      </c>
      <c r="I2977" s="11">
        <v>44.0</v>
      </c>
      <c r="M2977" s="16">
        <v>7.104000000000001</v>
      </c>
    </row>
    <row r="2978">
      <c r="A2978" s="17">
        <v>93.64426229508217</v>
      </c>
      <c r="I2978" s="11">
        <v>6.0</v>
      </c>
      <c r="M2978" s="16">
        <v>45.6</v>
      </c>
    </row>
    <row r="2979">
      <c r="A2979" s="17">
        <v>59.07835149690949</v>
      </c>
      <c r="I2979" s="11">
        <v>48.0</v>
      </c>
      <c r="M2979" s="16">
        <v>7.4959999999999996</v>
      </c>
    </row>
    <row r="2980">
      <c r="A2980" s="17">
        <v>4.28808884097035</v>
      </c>
      <c r="I2980" s="11">
        <v>4.0</v>
      </c>
      <c r="M2980" s="16">
        <v>6.552</v>
      </c>
    </row>
    <row r="2981">
      <c r="A2981" s="17">
        <v>180.03046349206343</v>
      </c>
      <c r="I2981" s="11">
        <v>12.0</v>
      </c>
      <c r="M2981" s="16">
        <v>64.16000000000001</v>
      </c>
    </row>
    <row r="2982">
      <c r="A2982" s="17">
        <v>12.560184023421172</v>
      </c>
      <c r="I2982" s="11">
        <v>14.0</v>
      </c>
      <c r="M2982" s="16">
        <v>3.2</v>
      </c>
    </row>
    <row r="2983">
      <c r="A2983" s="17">
        <v>10.38079777777778</v>
      </c>
      <c r="I2983" s="11">
        <v>22.0</v>
      </c>
      <c r="M2983" s="16">
        <v>4.664000000000001</v>
      </c>
    </row>
    <row r="2984">
      <c r="A2984" s="17">
        <v>13.90605207778916</v>
      </c>
      <c r="I2984" s="11">
        <v>43.0</v>
      </c>
      <c r="M2984" s="16">
        <v>4.032</v>
      </c>
    </row>
    <row r="2985">
      <c r="A2985" s="17">
        <v>3.5357599112097438</v>
      </c>
      <c r="I2985" s="11">
        <v>26.0</v>
      </c>
      <c r="M2985" s="16">
        <v>2.3920000000000003</v>
      </c>
    </row>
    <row r="2986">
      <c r="A2986" s="17">
        <v>95.27479162239999</v>
      </c>
      <c r="I2986" s="11">
        <v>49.0</v>
      </c>
      <c r="M2986" s="16">
        <v>4.688000000000001</v>
      </c>
    </row>
    <row r="2987">
      <c r="A2987" s="17">
        <v>3.399027775280898</v>
      </c>
      <c r="I2987" s="11">
        <v>22.0</v>
      </c>
      <c r="M2987" s="16">
        <v>1.192</v>
      </c>
    </row>
    <row r="2988">
      <c r="A2988" s="17">
        <v>166.704554735354</v>
      </c>
      <c r="I2988" s="11">
        <v>21.0</v>
      </c>
      <c r="M2988" s="16">
        <v>69.608</v>
      </c>
    </row>
    <row r="2989">
      <c r="A2989" s="17">
        <v>91.89072360523474</v>
      </c>
      <c r="I2989" s="11">
        <v>3.0</v>
      </c>
      <c r="M2989" s="16">
        <v>39.04</v>
      </c>
    </row>
    <row r="2990">
      <c r="A2990" s="17">
        <v>6.318390332326296</v>
      </c>
      <c r="I2990" s="11">
        <v>5.0</v>
      </c>
      <c r="M2990" s="16">
        <v>6.920000000000001</v>
      </c>
    </row>
    <row r="2991">
      <c r="A2991" s="17">
        <v>379.3412606821164</v>
      </c>
      <c r="I2991" s="11">
        <v>3.0</v>
      </c>
      <c r="M2991" s="16">
        <v>23.76</v>
      </c>
    </row>
    <row r="2992">
      <c r="A2992" s="17">
        <v>4.9149275897435905</v>
      </c>
      <c r="I2992" s="11">
        <v>4.0</v>
      </c>
      <c r="M2992" s="16">
        <v>7.632</v>
      </c>
    </row>
    <row r="2993">
      <c r="A2993" s="17">
        <v>27.68174477457975</v>
      </c>
      <c r="I2993" s="11">
        <v>36.0</v>
      </c>
      <c r="M2993" s="16">
        <v>3.9920000000000004</v>
      </c>
    </row>
    <row r="2994">
      <c r="A2994" s="17">
        <v>21.465459484331596</v>
      </c>
      <c r="I2994" s="11">
        <v>16.0</v>
      </c>
      <c r="M2994" s="16">
        <v>6.008</v>
      </c>
    </row>
    <row r="2995">
      <c r="A2995" s="17">
        <v>46.08117411293173</v>
      </c>
      <c r="I2995" s="11">
        <v>38.0</v>
      </c>
      <c r="M2995" s="16">
        <v>28.0</v>
      </c>
    </row>
    <row r="2996">
      <c r="A2996" s="17">
        <v>16.363084389230817</v>
      </c>
      <c r="I2996" s="11">
        <v>41.0</v>
      </c>
      <c r="M2996" s="16">
        <v>4.0</v>
      </c>
    </row>
    <row r="2997">
      <c r="A2997" s="17">
        <v>231.3197966079965</v>
      </c>
      <c r="I2997" s="11">
        <v>24.0</v>
      </c>
      <c r="M2997" s="16">
        <v>41.93600000000001</v>
      </c>
    </row>
    <row r="2998">
      <c r="A2998" s="17">
        <v>5.926032159773549</v>
      </c>
      <c r="I2998" s="11">
        <v>3.0</v>
      </c>
      <c r="M2998" s="16">
        <v>2.8000000000000003</v>
      </c>
    </row>
    <row r="2999">
      <c r="A2999" s="17">
        <v>100.77756064462335</v>
      </c>
      <c r="I2999" s="11">
        <v>35.0</v>
      </c>
      <c r="M2999" s="16">
        <v>4.064</v>
      </c>
    </row>
    <row r="3000">
      <c r="A3000" s="17">
        <v>349.38928112146573</v>
      </c>
      <c r="I3000" s="11">
        <v>3.0</v>
      </c>
      <c r="M3000" s="16">
        <v>11.76</v>
      </c>
    </row>
    <row r="3001">
      <c r="A3001" s="17">
        <v>1086.991423797564</v>
      </c>
      <c r="I3001" s="11">
        <v>32.0</v>
      </c>
      <c r="M3001" s="16">
        <v>11.76</v>
      </c>
    </row>
    <row r="3002">
      <c r="A3002" s="17">
        <v>0.884534207650272</v>
      </c>
      <c r="I3002" s="11">
        <v>2.0</v>
      </c>
      <c r="M3002" s="16">
        <v>0.768</v>
      </c>
    </row>
    <row r="3003">
      <c r="A3003" s="17">
        <v>184.6942296205711</v>
      </c>
      <c r="I3003" s="11">
        <v>42.0</v>
      </c>
      <c r="M3003" s="16">
        <v>7.192</v>
      </c>
    </row>
    <row r="3004">
      <c r="A3004" s="17">
        <v>955.8786227070734</v>
      </c>
      <c r="I3004" s="11">
        <v>36.0</v>
      </c>
      <c r="M3004" s="16">
        <v>49.408</v>
      </c>
    </row>
    <row r="3005">
      <c r="A3005" s="17">
        <v>20.20208943738656</v>
      </c>
      <c r="I3005" s="11">
        <v>36.0</v>
      </c>
      <c r="M3005" s="16">
        <v>5.5760000000000005</v>
      </c>
    </row>
    <row r="3006">
      <c r="A3006" s="17">
        <v>107.62255663965611</v>
      </c>
      <c r="I3006" s="11">
        <v>24.0</v>
      </c>
      <c r="M3006" s="16">
        <v>48.0</v>
      </c>
    </row>
    <row r="3007">
      <c r="A3007" s="17">
        <v>16.829532529528972</v>
      </c>
      <c r="I3007" s="11">
        <v>49.0</v>
      </c>
      <c r="M3007" s="16">
        <v>2.5120000000000005</v>
      </c>
    </row>
    <row r="3008">
      <c r="A3008" s="17">
        <v>1.3770491803278717</v>
      </c>
      <c r="I3008" s="11">
        <v>4.0</v>
      </c>
      <c r="M3008" s="16">
        <v>0.4</v>
      </c>
    </row>
    <row r="3009">
      <c r="A3009" s="17">
        <v>20.369082209005956</v>
      </c>
      <c r="I3009" s="11">
        <v>8.0</v>
      </c>
      <c r="M3009" s="16">
        <v>11.864</v>
      </c>
    </row>
    <row r="3010">
      <c r="A3010" s="17">
        <v>4.487202495667247</v>
      </c>
      <c r="I3010" s="11">
        <v>1.0</v>
      </c>
      <c r="M3010" s="16">
        <v>4.296</v>
      </c>
    </row>
    <row r="3011">
      <c r="A3011" s="17">
        <v>17.691354947368406</v>
      </c>
      <c r="I3011" s="11">
        <v>36.0</v>
      </c>
      <c r="M3011" s="16">
        <v>6.984000000000001</v>
      </c>
    </row>
    <row r="3012">
      <c r="A3012" s="17">
        <v>11.413602777036054</v>
      </c>
      <c r="I3012" s="11">
        <v>35.0</v>
      </c>
      <c r="M3012" s="16">
        <v>4.352</v>
      </c>
    </row>
    <row r="3013">
      <c r="A3013" s="17">
        <v>6.543476048192782</v>
      </c>
      <c r="I3013" s="11">
        <v>25.0</v>
      </c>
      <c r="M3013" s="16">
        <v>4.176</v>
      </c>
    </row>
    <row r="3014">
      <c r="A3014" s="17">
        <v>5.751831094049919</v>
      </c>
      <c r="I3014" s="11">
        <v>41.0</v>
      </c>
      <c r="M3014" s="16">
        <v>5.68</v>
      </c>
    </row>
    <row r="3015">
      <c r="A3015" s="17">
        <v>13.662664842681272</v>
      </c>
      <c r="I3015" s="11">
        <v>41.0</v>
      </c>
      <c r="M3015" s="16">
        <v>3.7600000000000002</v>
      </c>
    </row>
    <row r="3016">
      <c r="A3016" s="17">
        <v>49.688248029427264</v>
      </c>
      <c r="I3016" s="11">
        <v>12.0</v>
      </c>
      <c r="M3016" s="16">
        <v>41.760000000000005</v>
      </c>
    </row>
    <row r="3017">
      <c r="A3017" s="17">
        <v>518.7932902482439</v>
      </c>
      <c r="I3017" s="11">
        <v>47.0</v>
      </c>
      <c r="M3017" s="16">
        <v>25.983999999999998</v>
      </c>
    </row>
    <row r="3018">
      <c r="A3018" s="17">
        <v>1.8003607609594874</v>
      </c>
      <c r="I3018" s="11">
        <v>28.0</v>
      </c>
      <c r="M3018" s="16">
        <v>4.272</v>
      </c>
    </row>
    <row r="3019">
      <c r="A3019" s="17">
        <v>94.32454309176434</v>
      </c>
      <c r="I3019" s="11">
        <v>14.0</v>
      </c>
      <c r="M3019" s="16">
        <v>38.56</v>
      </c>
    </row>
    <row r="3020">
      <c r="A3020" s="17">
        <v>28.993064401981606</v>
      </c>
      <c r="I3020" s="11">
        <v>2.0</v>
      </c>
      <c r="M3020" s="16">
        <v>28.0</v>
      </c>
    </row>
    <row r="3021">
      <c r="A3021" s="17">
        <v>17.651926977687598</v>
      </c>
      <c r="I3021" s="11">
        <v>27.0</v>
      </c>
      <c r="M3021" s="16">
        <v>4.800000000000001</v>
      </c>
    </row>
    <row r="3022">
      <c r="A3022" s="17">
        <v>8.620835485770383</v>
      </c>
      <c r="I3022" s="11">
        <v>24.0</v>
      </c>
      <c r="M3022" s="16">
        <v>1.192</v>
      </c>
    </row>
    <row r="3023">
      <c r="A3023" s="17">
        <v>47.55043500304688</v>
      </c>
      <c r="I3023" s="11">
        <v>29.0</v>
      </c>
      <c r="M3023" s="16">
        <v>1.592</v>
      </c>
    </row>
    <row r="3024">
      <c r="A3024" s="17">
        <v>8.48754208754209</v>
      </c>
      <c r="I3024" s="11">
        <v>39.0</v>
      </c>
      <c r="M3024" s="16">
        <v>0.4</v>
      </c>
    </row>
    <row r="3025">
      <c r="A3025" s="17">
        <v>22.318759190814767</v>
      </c>
      <c r="I3025" s="11">
        <v>48.0</v>
      </c>
      <c r="M3025" s="16">
        <v>6.928000000000001</v>
      </c>
    </row>
    <row r="3026">
      <c r="A3026" s="17">
        <v>26.26212680477087</v>
      </c>
      <c r="I3026" s="11">
        <v>39.0</v>
      </c>
      <c r="M3026" s="16">
        <v>8.92</v>
      </c>
    </row>
    <row r="3027">
      <c r="A3027" s="17">
        <v>403.96216255096436</v>
      </c>
      <c r="I3027" s="11">
        <v>12.0</v>
      </c>
      <c r="M3027" s="16">
        <v>88.16000000000001</v>
      </c>
    </row>
    <row r="3028">
      <c r="A3028" s="17">
        <v>735.4476889683053</v>
      </c>
      <c r="I3028" s="11">
        <v>44.0</v>
      </c>
      <c r="M3028" s="16">
        <v>6.464</v>
      </c>
    </row>
    <row r="3029">
      <c r="A3029" s="17">
        <v>14.426562990654203</v>
      </c>
      <c r="I3029" s="11">
        <v>14.0</v>
      </c>
      <c r="M3029" s="16">
        <v>2.696</v>
      </c>
    </row>
    <row r="3030">
      <c r="A3030" s="17">
        <v>2.169787765293372</v>
      </c>
      <c r="I3030" s="11">
        <v>23.0</v>
      </c>
      <c r="M3030" s="16">
        <v>1.6</v>
      </c>
    </row>
    <row r="3031">
      <c r="A3031" s="17">
        <v>17.393044314941136</v>
      </c>
      <c r="I3031" s="11">
        <v>20.0</v>
      </c>
      <c r="M3031" s="16">
        <v>6.152000000000001</v>
      </c>
    </row>
    <row r="3032">
      <c r="A3032" s="17">
        <v>11.008027327070865</v>
      </c>
      <c r="I3032" s="11">
        <v>29.0</v>
      </c>
      <c r="M3032" s="16">
        <v>0.4</v>
      </c>
    </row>
    <row r="3033">
      <c r="A3033" s="17">
        <v>21.09761563474386</v>
      </c>
      <c r="I3033" s="11">
        <v>5.0</v>
      </c>
      <c r="M3033" s="16">
        <v>7.192</v>
      </c>
    </row>
    <row r="3034">
      <c r="A3034" s="17">
        <v>21.18939467637295</v>
      </c>
      <c r="I3034" s="11">
        <v>29.0</v>
      </c>
      <c r="M3034" s="16">
        <v>3.848</v>
      </c>
    </row>
    <row r="3035">
      <c r="A3035" s="17">
        <v>9.272945273631862</v>
      </c>
      <c r="I3035" s="11">
        <v>10.0</v>
      </c>
      <c r="M3035" s="16">
        <v>5.920000000000001</v>
      </c>
    </row>
    <row r="3036">
      <c r="A3036" s="17">
        <v>2.9607476635514023</v>
      </c>
      <c r="I3036" s="11">
        <v>4.0</v>
      </c>
      <c r="M3036" s="16">
        <v>1.6</v>
      </c>
    </row>
    <row r="3037">
      <c r="A3037" s="17">
        <v>37.41070275040948</v>
      </c>
      <c r="I3037" s="11">
        <v>18.0</v>
      </c>
      <c r="M3037" s="16">
        <v>7.192</v>
      </c>
    </row>
    <row r="3038">
      <c r="A3038" s="17">
        <v>175.45327587723088</v>
      </c>
      <c r="I3038" s="11">
        <v>24.0</v>
      </c>
      <c r="M3038" s="16">
        <v>24.0</v>
      </c>
    </row>
    <row r="3039">
      <c r="A3039" s="17">
        <v>960.6843329442355</v>
      </c>
      <c r="I3039" s="11">
        <v>28.0</v>
      </c>
      <c r="M3039" s="16">
        <v>35.64</v>
      </c>
    </row>
    <row r="3040">
      <c r="A3040" s="17">
        <v>4.378876019575837</v>
      </c>
      <c r="I3040" s="11">
        <v>43.0</v>
      </c>
      <c r="M3040" s="16">
        <v>4.24</v>
      </c>
    </row>
    <row r="3041">
      <c r="A3041" s="17">
        <v>20.163452054794526</v>
      </c>
      <c r="I3041" s="11">
        <v>24.0</v>
      </c>
      <c r="M3041" s="16">
        <v>8.92</v>
      </c>
    </row>
    <row r="3042">
      <c r="A3042" s="17">
        <v>1416.5518637934658</v>
      </c>
      <c r="I3042" s="11">
        <v>47.0</v>
      </c>
      <c r="M3042" s="16">
        <v>15.991999999999999</v>
      </c>
    </row>
    <row r="3043">
      <c r="A3043" s="17">
        <v>2.2773152995391635</v>
      </c>
      <c r="I3043" s="11">
        <v>9.0</v>
      </c>
      <c r="M3043" s="16">
        <v>1.192</v>
      </c>
    </row>
    <row r="3044">
      <c r="A3044" s="17">
        <v>1.2109047741935468</v>
      </c>
      <c r="I3044" s="11">
        <v>3.0</v>
      </c>
      <c r="M3044" s="16">
        <v>0.976</v>
      </c>
    </row>
    <row r="3045">
      <c r="A3045" s="17">
        <v>13.13891230655858</v>
      </c>
      <c r="I3045" s="11">
        <v>43.0</v>
      </c>
      <c r="M3045" s="16">
        <v>0.5599999999999999</v>
      </c>
    </row>
    <row r="3046">
      <c r="A3046" s="17">
        <v>3.6374505494505525</v>
      </c>
      <c r="I3046" s="11">
        <v>18.0</v>
      </c>
      <c r="M3046" s="16">
        <v>0.5599999999999999</v>
      </c>
    </row>
    <row r="3047">
      <c r="A3047" s="17">
        <v>15.352427384070822</v>
      </c>
      <c r="I3047" s="11">
        <v>46.0</v>
      </c>
      <c r="M3047" s="16">
        <v>4.008</v>
      </c>
    </row>
    <row r="3048">
      <c r="A3048" s="17">
        <v>20.948171550553084</v>
      </c>
      <c r="I3048" s="11">
        <v>1.0</v>
      </c>
      <c r="M3048" s="16">
        <v>23.76</v>
      </c>
    </row>
    <row r="3049">
      <c r="A3049" s="17">
        <v>258.78228080698204</v>
      </c>
      <c r="I3049" s="11">
        <v>19.0</v>
      </c>
      <c r="M3049" s="16">
        <v>4.208</v>
      </c>
    </row>
    <row r="3050">
      <c r="A3050" s="17">
        <v>43.75236543124867</v>
      </c>
      <c r="I3050" s="11">
        <v>31.0</v>
      </c>
      <c r="M3050" s="16">
        <v>3.9920000000000004</v>
      </c>
    </row>
    <row r="3051">
      <c r="A3051" s="17">
        <v>12.473462515795521</v>
      </c>
      <c r="I3051" s="11">
        <v>25.0</v>
      </c>
      <c r="M3051" s="16">
        <v>5.5760000000000005</v>
      </c>
    </row>
    <row r="3052">
      <c r="A3052" s="17">
        <v>80.92068294569968</v>
      </c>
      <c r="I3052" s="11">
        <v>6.0</v>
      </c>
      <c r="M3052" s="16">
        <v>15.991999999999999</v>
      </c>
    </row>
    <row r="3053">
      <c r="A3053" s="17">
        <v>11.737420033777372</v>
      </c>
      <c r="I3053" s="11">
        <v>17.0</v>
      </c>
      <c r="M3053" s="16">
        <v>2.3920000000000003</v>
      </c>
    </row>
    <row r="3054">
      <c r="A3054" s="17">
        <v>13.594221283461707</v>
      </c>
      <c r="I3054" s="11">
        <v>27.0</v>
      </c>
      <c r="M3054" s="16">
        <v>2.4320000000000004</v>
      </c>
    </row>
    <row r="3055">
      <c r="A3055" s="17">
        <v>287.3540524070689</v>
      </c>
      <c r="I3055" s="11">
        <v>42.0</v>
      </c>
      <c r="M3055" s="16">
        <v>28.0</v>
      </c>
    </row>
    <row r="3056">
      <c r="A3056" s="17">
        <v>148.39145246973547</v>
      </c>
      <c r="I3056" s="11">
        <v>45.0</v>
      </c>
      <c r="M3056" s="16">
        <v>24.0</v>
      </c>
    </row>
    <row r="3057">
      <c r="A3057" s="17">
        <v>18.26062210796912</v>
      </c>
      <c r="I3057" s="11">
        <v>19.0</v>
      </c>
      <c r="M3057" s="16">
        <v>6.720000000000001</v>
      </c>
    </row>
    <row r="3058">
      <c r="A3058" s="17">
        <v>27.938173007896626</v>
      </c>
      <c r="I3058" s="11">
        <v>25.0</v>
      </c>
      <c r="M3058" s="16">
        <v>5.2</v>
      </c>
    </row>
    <row r="3059">
      <c r="A3059" s="17">
        <v>6.2044356377079515</v>
      </c>
      <c r="I3059" s="11">
        <v>10.0</v>
      </c>
      <c r="M3059" s="16">
        <v>1.592</v>
      </c>
    </row>
    <row r="3060">
      <c r="A3060" s="17">
        <v>103.55105938903283</v>
      </c>
      <c r="I3060" s="11">
        <v>13.0</v>
      </c>
      <c r="M3060" s="16">
        <v>28.0</v>
      </c>
    </row>
    <row r="3061">
      <c r="A3061" s="17">
        <v>58.154222212168804</v>
      </c>
      <c r="I3061" s="11">
        <v>45.0</v>
      </c>
      <c r="M3061" s="16">
        <v>46.56</v>
      </c>
    </row>
    <row r="3062">
      <c r="A3062" s="17">
        <v>5.311525803108806</v>
      </c>
      <c r="I3062" s="11">
        <v>7.0</v>
      </c>
      <c r="M3062" s="16">
        <v>4.384</v>
      </c>
    </row>
    <row r="3063">
      <c r="A3063" s="17">
        <v>3.336754019088016</v>
      </c>
      <c r="I3063" s="11">
        <v>25.0</v>
      </c>
      <c r="M3063" s="16">
        <v>3.3360000000000003</v>
      </c>
    </row>
    <row r="3064">
      <c r="A3064" s="17">
        <v>45.42618650725868</v>
      </c>
      <c r="I3064" s="11">
        <v>17.0</v>
      </c>
      <c r="M3064" s="16">
        <v>3.3600000000000003</v>
      </c>
    </row>
    <row r="3065">
      <c r="A3065" s="17">
        <v>43.56056345234545</v>
      </c>
      <c r="I3065" s="11">
        <v>32.0</v>
      </c>
      <c r="M3065" s="16">
        <v>8.136000000000001</v>
      </c>
    </row>
    <row r="3066">
      <c r="A3066" s="17">
        <v>413.88993528730424</v>
      </c>
      <c r="I3066" s="11">
        <v>32.0</v>
      </c>
      <c r="M3066" s="16">
        <v>55.712</v>
      </c>
    </row>
    <row r="3067">
      <c r="A3067" s="17">
        <v>9.571910882825033</v>
      </c>
      <c r="I3067" s="11">
        <v>27.0</v>
      </c>
      <c r="M3067" s="16">
        <v>0.752</v>
      </c>
    </row>
    <row r="3068">
      <c r="A3068" s="17">
        <v>121.78453060385105</v>
      </c>
      <c r="I3068" s="11">
        <v>36.0</v>
      </c>
      <c r="M3068" s="16">
        <v>56.160000000000004</v>
      </c>
    </row>
    <row r="3069">
      <c r="A3069" s="17">
        <v>17.44970117647065</v>
      </c>
      <c r="I3069" s="11">
        <v>16.0</v>
      </c>
      <c r="M3069" s="16">
        <v>0.792</v>
      </c>
    </row>
    <row r="3070">
      <c r="A3070" s="17">
        <v>32.33008112138389</v>
      </c>
      <c r="I3070" s="11">
        <v>5.0</v>
      </c>
      <c r="M3070" s="16">
        <v>7.040000000000001</v>
      </c>
    </row>
    <row r="3071">
      <c r="A3071" s="17">
        <v>33.142044345898015</v>
      </c>
      <c r="I3071" s="11">
        <v>46.0</v>
      </c>
      <c r="M3071" s="16">
        <v>1.8800000000000001</v>
      </c>
    </row>
    <row r="3072">
      <c r="A3072" s="17">
        <v>988.9148561892667</v>
      </c>
      <c r="I3072" s="11">
        <v>36.0</v>
      </c>
      <c r="M3072" s="16">
        <v>15.991999999999999</v>
      </c>
    </row>
    <row r="3073">
      <c r="A3073" s="17">
        <v>14.68786085889569</v>
      </c>
      <c r="I3073" s="11">
        <v>45.0</v>
      </c>
      <c r="M3073" s="16">
        <v>4.104</v>
      </c>
    </row>
    <row r="3074">
      <c r="A3074" s="17">
        <v>11.387613333333354</v>
      </c>
      <c r="I3074" s="11">
        <v>40.0</v>
      </c>
      <c r="M3074" s="16">
        <v>4.664000000000001</v>
      </c>
    </row>
    <row r="3075">
      <c r="A3075" s="17">
        <v>28.026406101048657</v>
      </c>
      <c r="I3075" s="11">
        <v>6.0</v>
      </c>
      <c r="M3075" s="16">
        <v>24.0</v>
      </c>
    </row>
    <row r="3076">
      <c r="A3076" s="17">
        <v>46.27029878984537</v>
      </c>
      <c r="I3076" s="11">
        <v>35.0</v>
      </c>
      <c r="M3076" s="16">
        <v>3.608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1.14"/>
    <col customWidth="1" min="7" max="26" width="8.0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2015-11-03T02:00:49Z</dcterms:created>
  <dc:creator>RFID</dc:creator>
</cp:coreProperties>
</file>